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codeName="ThisWorkbook" defaultThemeVersion="124226"/>
  <mc:AlternateContent xmlns:mc="http://schemas.openxmlformats.org/markup-compatibility/2006">
    <mc:Choice Requires="x15">
      <x15ac:absPath xmlns:x15ac="http://schemas.microsoft.com/office/spreadsheetml/2010/11/ac" url="L:\2021 Implementation of Administrative code-audit review\Data Input Worksheet\2021 DIW - Final\"/>
    </mc:Choice>
  </mc:AlternateContent>
  <xr:revisionPtr revIDLastSave="0" documentId="13_ncr:1_{FB9E3785-C85D-46C6-AB2B-DDAF08BDEF17}" xr6:coauthVersionLast="47" xr6:coauthVersionMax="47" xr10:uidLastSave="{00000000-0000-0000-0000-000000000000}"/>
  <bookViews>
    <workbookView xWindow="57480" yWindow="-120" windowWidth="29040" windowHeight="15840" tabRatio="708" xr2:uid="{00000000-000D-0000-FFFF-FFFF00000000}"/>
  </bookViews>
  <sheets>
    <sheet name="Instructions" sheetId="49" r:id="rId1"/>
    <sheet name="Unit Data from Audit Worksheet" sheetId="1" r:id="rId2"/>
    <sheet name="TD Info Completed by Auditor" sheetId="53" r:id="rId3"/>
    <sheet name="Import" sheetId="28" state="hidden" r:id="rId4"/>
    <sheet name="Performance  Indicators Print" sheetId="80" r:id="rId5"/>
    <sheet name="PI series #" sheetId="73" state="hidden" r:id="rId6"/>
    <sheet name="RSS" sheetId="30" state="hidden" r:id="rId7"/>
    <sheet name="Debt Service Funds (H)" sheetId="41" state="hidden" r:id="rId8"/>
    <sheet name="UAL" sheetId="75" state="hidden" r:id="rId9"/>
    <sheet name="2020 Data(H)" sheetId="74" state="hidden" r:id="rId10"/>
    <sheet name="2019 Data(H)" sheetId="42" state="hidden" r:id="rId11"/>
    <sheet name="Tax Reval Rate" sheetId="72" state="hidden" r:id="rId12"/>
    <sheet name="Unit Names(H)" sheetId="29" state="hidden" r:id="rId13"/>
    <sheet name="Electric trans" sheetId="71" state="hidden" r:id="rId14"/>
  </sheets>
  <externalReferences>
    <externalReference r:id="rId15"/>
  </externalReferences>
  <definedNames>
    <definedName name="Audit_Dtl">[1]Database!$AC$3:$AP$413</definedName>
    <definedName name="errorCount">'TD Info Completed by Auditor'!$U$5</definedName>
    <definedName name="_xlnm.Print_Area" localSheetId="9">'2020 Data(H)'!$B$297:$E$320</definedName>
    <definedName name="_xlnm.Print_Area" localSheetId="0">Instructions!$B$1:$B$50</definedName>
    <definedName name="_xlnm.Print_Area" localSheetId="4">'Performance  Indicators Print'!$A$1:$H$26</definedName>
    <definedName name="_xlnm.Print_Area" localSheetId="5">'PI series #'!$A$1:$I$24</definedName>
    <definedName name="_xlnm.Print_Area" localSheetId="1">'Unit Data from Audit Worksheet'!$A$7:$D$297</definedName>
    <definedName name="Print_Selection_Auditor">'TD Info Completed by Auditor'!$A$1:$N$94</definedName>
    <definedName name="Print_Selection_Internal">#REF!</definedName>
    <definedName name="_xlnm.Print_Titles" localSheetId="4">'Performance  Indicators Print'!$3:$5</definedName>
    <definedName name="_xlnm.Print_Titles" localSheetId="5">'PI series #'!$1:$4</definedName>
    <definedName name="_xlnm.Print_Titles" localSheetId="1">'Unit Data from Audit Worksheet'!$5:$5</definedName>
    <definedName name="showError">'TD Info Completed by Auditor'!$W$5</definedName>
    <definedName name="TD_IMPORT_RANGE">#REF!</definedName>
    <definedName name="Temp">[1]Database!$BF$3:$EG$3</definedName>
    <definedName name="Unit_Name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110" i="28" l="1"/>
  <c r="E85" i="53"/>
  <c r="E83" i="53"/>
  <c r="E81" i="53"/>
  <c r="F66" i="53"/>
  <c r="F64" i="53"/>
  <c r="F62" i="53"/>
  <c r="E251" i="28"/>
  <c r="E250" i="28"/>
  <c r="D25" i="80" l="1"/>
  <c r="E246" i="28" l="1"/>
  <c r="E247" i="28"/>
  <c r="E248" i="28"/>
  <c r="E249" i="28"/>
  <c r="E252" i="28"/>
  <c r="E253" i="28"/>
  <c r="L253" i="28" s="1"/>
  <c r="E255" i="28"/>
  <c r="L255" i="28" s="1"/>
  <c r="E258" i="28"/>
  <c r="E259" i="28"/>
  <c r="E260" i="28"/>
  <c r="L4" i="28" l="1"/>
  <c r="H58" i="53" l="1"/>
  <c r="T3" i="29" l="1"/>
  <c r="U3" i="29"/>
  <c r="T4" i="29"/>
  <c r="U4" i="29"/>
  <c r="T5" i="29"/>
  <c r="U5" i="29"/>
  <c r="T6" i="29"/>
  <c r="U6" i="29"/>
  <c r="T7" i="29"/>
  <c r="U7" i="29"/>
  <c r="T8" i="29"/>
  <c r="U8" i="29"/>
  <c r="U2" i="29"/>
  <c r="T2" i="29"/>
  <c r="O7" i="29"/>
  <c r="O6" i="29"/>
  <c r="P6" i="29"/>
  <c r="P7" i="29"/>
  <c r="O8" i="29"/>
  <c r="P8" i="29"/>
  <c r="O3" i="29"/>
  <c r="P3" i="29"/>
  <c r="O4" i="29"/>
  <c r="P4" i="29"/>
  <c r="O5" i="29"/>
  <c r="P5" i="29"/>
  <c r="P2" i="29"/>
  <c r="O2" i="29"/>
  <c r="C259" i="28" l="1"/>
  <c r="H76" i="53"/>
  <c r="E93" i="1"/>
  <c r="E100" i="1" l="1"/>
  <c r="E97" i="1"/>
  <c r="E96" i="1"/>
  <c r="E95" i="1"/>
  <c r="E94" i="1"/>
  <c r="E92" i="1"/>
  <c r="E91" i="1"/>
  <c r="E90" i="1"/>
  <c r="A327" i="1" l="1"/>
  <c r="F291" i="42" l="1"/>
  <c r="G291" i="42"/>
  <c r="H291" i="42"/>
  <c r="I291" i="42"/>
  <c r="J291" i="42"/>
  <c r="K291" i="42"/>
  <c r="E291" i="42"/>
  <c r="K10" i="80" l="1"/>
  <c r="E10" i="80"/>
  <c r="B4" i="80"/>
  <c r="H53" i="53" l="1"/>
  <c r="G160" i="1" l="1"/>
  <c r="G140" i="1"/>
  <c r="F323" i="1"/>
  <c r="E323" i="1"/>
  <c r="F322" i="1"/>
  <c r="E322" i="1"/>
  <c r="F321" i="1"/>
  <c r="E321" i="1"/>
  <c r="F320" i="1"/>
  <c r="E320" i="1"/>
  <c r="F319" i="1"/>
  <c r="E319" i="1"/>
  <c r="G172" i="1"/>
  <c r="H160" i="1"/>
  <c r="I140" i="1"/>
  <c r="H140" i="1"/>
  <c r="E127" i="1"/>
  <c r="E126" i="1"/>
  <c r="E125" i="1"/>
  <c r="E124" i="1"/>
  <c r="E123" i="1"/>
  <c r="E120" i="1"/>
  <c r="E119" i="1"/>
  <c r="E118" i="1"/>
  <c r="E117" i="1"/>
  <c r="E116" i="1"/>
  <c r="E115" i="1"/>
  <c r="E114" i="1"/>
  <c r="E113" i="1"/>
  <c r="E112" i="1"/>
  <c r="E111" i="1"/>
  <c r="E110" i="1"/>
  <c r="E109" i="1"/>
  <c r="E108" i="1"/>
  <c r="E107" i="1"/>
  <c r="E106" i="1"/>
  <c r="E105" i="1"/>
  <c r="E104" i="1"/>
  <c r="E103" i="1"/>
  <c r="E56" i="1"/>
  <c r="E55" i="1"/>
  <c r="E54" i="1"/>
  <c r="E53" i="1"/>
  <c r="E52" i="1"/>
  <c r="E51" i="1"/>
  <c r="E50" i="1"/>
  <c r="E49" i="1"/>
  <c r="E57" i="1"/>
  <c r="E48" i="1"/>
  <c r="E47" i="1"/>
  <c r="E46" i="1"/>
  <c r="G9" i="1"/>
  <c r="E96" i="28" l="1"/>
  <c r="L96" i="28" s="1"/>
  <c r="E97" i="28"/>
  <c r="L97" i="28" s="1"/>
  <c r="E98" i="28"/>
  <c r="L98" i="28" s="1"/>
  <c r="A97" i="28"/>
  <c r="B97" i="28"/>
  <c r="C97" i="28"/>
  <c r="E47" i="28"/>
  <c r="L47" i="28" s="1"/>
  <c r="A47" i="28"/>
  <c r="B47" i="28"/>
  <c r="C47" i="28"/>
  <c r="J299" i="28" l="1"/>
  <c r="J298" i="28"/>
  <c r="J301" i="28"/>
  <c r="J300" i="28" l="1"/>
  <c r="J302" i="28" s="1"/>
  <c r="A96" i="28"/>
  <c r="B96" i="28"/>
  <c r="C96" i="28"/>
  <c r="A98" i="28"/>
  <c r="B98" i="28"/>
  <c r="C98" i="28"/>
  <c r="E93" i="28"/>
  <c r="L93" i="28" s="1"/>
  <c r="E92" i="28"/>
  <c r="L92" i="28" s="1"/>
  <c r="A93" i="28"/>
  <c r="W93" i="28" s="1"/>
  <c r="B93" i="28"/>
  <c r="C93" i="28"/>
  <c r="C92" i="28"/>
  <c r="B92" i="28"/>
  <c r="A92" i="28"/>
  <c r="W92" i="28" s="1"/>
  <c r="E38" i="28"/>
  <c r="L38" i="28" s="1"/>
  <c r="E39" i="28"/>
  <c r="L39" i="28" s="1"/>
  <c r="E40" i="28"/>
  <c r="L40" i="28" s="1"/>
  <c r="E41" i="28"/>
  <c r="L41" i="28" s="1"/>
  <c r="E42" i="28"/>
  <c r="L42" i="28" s="1"/>
  <c r="E43" i="28"/>
  <c r="L43" i="28" s="1"/>
  <c r="E44" i="28"/>
  <c r="L44" i="28" s="1"/>
  <c r="E45" i="28"/>
  <c r="L45" i="28" s="1"/>
  <c r="E46" i="28"/>
  <c r="L46" i="28" s="1"/>
  <c r="E48" i="28"/>
  <c r="L48" i="28" s="1"/>
  <c r="E49" i="28"/>
  <c r="L49" i="28" s="1"/>
  <c r="E50" i="28"/>
  <c r="L50" i="28" s="1"/>
  <c r="E51" i="28"/>
  <c r="L51" i="28" s="1"/>
  <c r="A49" i="28"/>
  <c r="B49" i="28"/>
  <c r="C49" i="28"/>
  <c r="A50" i="28"/>
  <c r="B50" i="28"/>
  <c r="C50" i="28"/>
  <c r="A51" i="28"/>
  <c r="B51" i="28"/>
  <c r="C51" i="28"/>
  <c r="A38" i="28"/>
  <c r="B38" i="28"/>
  <c r="C38" i="28"/>
  <c r="A39" i="28"/>
  <c r="B39" i="28"/>
  <c r="C39" i="28"/>
  <c r="A40" i="28"/>
  <c r="B40" i="28"/>
  <c r="C40" i="28"/>
  <c r="A41" i="28"/>
  <c r="B41" i="28"/>
  <c r="C41" i="28"/>
  <c r="A42" i="28"/>
  <c r="B42" i="28"/>
  <c r="C42" i="28"/>
  <c r="A43" i="28"/>
  <c r="B43" i="28"/>
  <c r="C43" i="28"/>
  <c r="A44" i="28"/>
  <c r="B44" i="28"/>
  <c r="C44" i="28"/>
  <c r="A45" i="28"/>
  <c r="B45" i="28"/>
  <c r="C45" i="28"/>
  <c r="A46" i="28"/>
  <c r="B46" i="28"/>
  <c r="C46" i="28"/>
  <c r="A48" i="28"/>
  <c r="B48" i="28"/>
  <c r="C48" i="28"/>
  <c r="E113" i="28" l="1"/>
  <c r="L113" i="28" s="1"/>
  <c r="E114" i="28"/>
  <c r="L114" i="28" s="1"/>
  <c r="E104" i="28"/>
  <c r="L104" i="28" s="1"/>
  <c r="E105" i="28"/>
  <c r="L105" i="28" s="1"/>
  <c r="E106" i="28"/>
  <c r="L106" i="28" s="1"/>
  <c r="E107" i="28"/>
  <c r="L107" i="28" s="1"/>
  <c r="E108" i="28"/>
  <c r="L108" i="28" s="1"/>
  <c r="E109" i="28"/>
  <c r="L109" i="28" s="1"/>
  <c r="E99" i="28"/>
  <c r="L99" i="28" s="1"/>
  <c r="E100" i="28"/>
  <c r="L100" i="28" s="1"/>
  <c r="E101" i="28"/>
  <c r="L101" i="28" s="1"/>
  <c r="E102" i="28"/>
  <c r="L102" i="28" s="1"/>
  <c r="A113" i="28"/>
  <c r="B113" i="28"/>
  <c r="C113" i="28"/>
  <c r="A114" i="28"/>
  <c r="B114" i="28"/>
  <c r="C114" i="28"/>
  <c r="A109" i="28"/>
  <c r="B109" i="28"/>
  <c r="C109" i="28"/>
  <c r="A104" i="28"/>
  <c r="B104" i="28"/>
  <c r="C104" i="28"/>
  <c r="A105" i="28"/>
  <c r="B105" i="28"/>
  <c r="C105" i="28"/>
  <c r="A106" i="28"/>
  <c r="B106" i="28"/>
  <c r="C106" i="28"/>
  <c r="A107" i="28"/>
  <c r="B107" i="28"/>
  <c r="C107" i="28"/>
  <c r="A108" i="28"/>
  <c r="B108" i="28"/>
  <c r="C108" i="28"/>
  <c r="A99" i="28"/>
  <c r="B99" i="28"/>
  <c r="C99" i="28"/>
  <c r="A100" i="28"/>
  <c r="B100" i="28"/>
  <c r="C100" i="28"/>
  <c r="A101" i="28"/>
  <c r="B101" i="28"/>
  <c r="C101" i="28"/>
  <c r="A102" i="28"/>
  <c r="B102" i="28"/>
  <c r="C102" i="28"/>
  <c r="E85" i="28" l="1"/>
  <c r="L85" i="28" s="1"/>
  <c r="E86" i="28"/>
  <c r="L86" i="28" s="1"/>
  <c r="E87" i="28"/>
  <c r="L87" i="28" s="1"/>
  <c r="E88" i="28"/>
  <c r="L88" i="28" s="1"/>
  <c r="A85" i="28"/>
  <c r="W85" i="28" s="1"/>
  <c r="B85" i="28"/>
  <c r="C85" i="28"/>
  <c r="A86" i="28"/>
  <c r="W86" i="28" s="1"/>
  <c r="B86" i="28"/>
  <c r="C86" i="28"/>
  <c r="A87" i="28"/>
  <c r="W87" i="28" s="1"/>
  <c r="B87" i="28"/>
  <c r="C87" i="28"/>
  <c r="A88" i="28"/>
  <c r="W88" i="28" s="1"/>
  <c r="B88" i="28"/>
  <c r="C88" i="28"/>
  <c r="E296" i="1"/>
  <c r="E295" i="1"/>
  <c r="E294" i="1"/>
  <c r="E293" i="1"/>
  <c r="E292" i="1"/>
  <c r="E291" i="1"/>
  <c r="E290" i="1"/>
  <c r="E289" i="1"/>
  <c r="E286" i="1"/>
  <c r="E284" i="1"/>
  <c r="E282" i="1"/>
  <c r="E279" i="1"/>
  <c r="E278" i="1"/>
  <c r="E277" i="1"/>
  <c r="E274" i="1"/>
  <c r="E273" i="1"/>
  <c r="E272" i="1"/>
  <c r="E271" i="1"/>
  <c r="E270" i="1"/>
  <c r="E268" i="1"/>
  <c r="E267" i="1"/>
  <c r="E266" i="1"/>
  <c r="E265" i="1"/>
  <c r="E262" i="1"/>
  <c r="E260" i="1"/>
  <c r="E259" i="1"/>
  <c r="E258" i="1"/>
  <c r="E257" i="1"/>
  <c r="E255" i="1"/>
  <c r="E254" i="1"/>
  <c r="E253" i="1"/>
  <c r="E248" i="1"/>
  <c r="E247" i="1"/>
  <c r="E246" i="1"/>
  <c r="E245" i="1"/>
  <c r="E242" i="1"/>
  <c r="E241" i="1"/>
  <c r="E240" i="1"/>
  <c r="E239" i="1"/>
  <c r="E236" i="1"/>
  <c r="E235" i="1"/>
  <c r="E234" i="1"/>
  <c r="E233" i="1"/>
  <c r="E229" i="1"/>
  <c r="E228" i="1"/>
  <c r="E221" i="1"/>
  <c r="E220" i="1"/>
  <c r="E216" i="1"/>
  <c r="E214" i="1"/>
  <c r="E212" i="1"/>
  <c r="E210" i="1"/>
  <c r="E209" i="1"/>
  <c r="E208" i="1"/>
  <c r="E206" i="1"/>
  <c r="E205" i="1"/>
  <c r="E204" i="1"/>
  <c r="E199" i="1"/>
  <c r="E198" i="1"/>
  <c r="E197" i="1"/>
  <c r="E196" i="1"/>
  <c r="E195" i="1"/>
  <c r="E194" i="1"/>
  <c r="E193" i="1"/>
  <c r="E192" i="1"/>
  <c r="E191" i="1"/>
  <c r="E190" i="1"/>
  <c r="E189" i="1"/>
  <c r="E188" i="1"/>
  <c r="E187" i="1"/>
  <c r="E185" i="1"/>
  <c r="E184" i="1"/>
  <c r="E183" i="1"/>
  <c r="E182" i="1"/>
  <c r="E181" i="1"/>
  <c r="E179" i="1"/>
  <c r="E178" i="1"/>
  <c r="E177" i="1"/>
  <c r="E176" i="1"/>
  <c r="E175" i="1"/>
  <c r="E174" i="1"/>
  <c r="E173" i="1"/>
  <c r="E172" i="1"/>
  <c r="E171" i="1"/>
  <c r="E168" i="1"/>
  <c r="E167" i="1"/>
  <c r="E166" i="1"/>
  <c r="E165" i="1"/>
  <c r="E164" i="1"/>
  <c r="E163" i="1"/>
  <c r="E162" i="1"/>
  <c r="E161" i="1"/>
  <c r="E160" i="1"/>
  <c r="E159" i="1"/>
  <c r="E158" i="1"/>
  <c r="E157" i="1"/>
  <c r="E156" i="1"/>
  <c r="E155" i="1"/>
  <c r="E154" i="1"/>
  <c r="E153" i="1"/>
  <c r="E152" i="1"/>
  <c r="E151" i="1"/>
  <c r="E149" i="1"/>
  <c r="E148" i="1"/>
  <c r="E147" i="1"/>
  <c r="E146" i="1"/>
  <c r="E145" i="1"/>
  <c r="E144" i="1"/>
  <c r="E143" i="1"/>
  <c r="E142" i="1"/>
  <c r="E141" i="1"/>
  <c r="E140" i="1"/>
  <c r="E139" i="1"/>
  <c r="E138" i="1"/>
  <c r="E137" i="1"/>
  <c r="E136" i="1"/>
  <c r="E135" i="1"/>
  <c r="E134" i="1"/>
  <c r="E133" i="1"/>
  <c r="E132" i="1"/>
  <c r="E131" i="1"/>
  <c r="E101" i="1"/>
  <c r="E98" i="1"/>
  <c r="E89" i="1"/>
  <c r="E87" i="1"/>
  <c r="E86" i="1"/>
  <c r="E85" i="1"/>
  <c r="E84" i="1"/>
  <c r="E83" i="1"/>
  <c r="E82" i="1"/>
  <c r="E81" i="1"/>
  <c r="E80" i="1"/>
  <c r="E79" i="1"/>
  <c r="E78" i="1"/>
  <c r="E77" i="1"/>
  <c r="E73" i="1"/>
  <c r="E72" i="1"/>
  <c r="G89" i="1" s="1"/>
  <c r="E71" i="1"/>
  <c r="E70" i="1"/>
  <c r="E69" i="1"/>
  <c r="E68" i="1"/>
  <c r="E67" i="1"/>
  <c r="E66" i="1"/>
  <c r="E65" i="1"/>
  <c r="E64" i="1"/>
  <c r="E63" i="1"/>
  <c r="E62" i="1"/>
  <c r="E61" i="1"/>
  <c r="E60" i="1"/>
  <c r="E59" i="1"/>
  <c r="E42" i="1"/>
  <c r="E41" i="1"/>
  <c r="E39" i="1"/>
  <c r="E38" i="1"/>
  <c r="E37" i="1"/>
  <c r="E36" i="1"/>
  <c r="E35" i="1"/>
  <c r="E34" i="1"/>
  <c r="E33" i="1"/>
  <c r="E32" i="1"/>
  <c r="E31" i="1"/>
  <c r="E30" i="1"/>
  <c r="E29" i="1"/>
  <c r="E28" i="1"/>
  <c r="E26" i="1"/>
  <c r="E25" i="1"/>
  <c r="E23" i="1"/>
  <c r="E22" i="1"/>
  <c r="E21" i="1"/>
  <c r="E20" i="1"/>
  <c r="E19" i="1"/>
  <c r="E18" i="1"/>
  <c r="E17" i="1"/>
  <c r="E16" i="1"/>
  <c r="E15" i="1"/>
  <c r="E14" i="1"/>
  <c r="E13" i="1"/>
  <c r="E10" i="1"/>
  <c r="E11" i="1" s="1"/>
  <c r="E8" i="1"/>
  <c r="E7" i="1"/>
  <c r="E9" i="1" l="1"/>
  <c r="E12" i="1"/>
  <c r="H38" i="1"/>
  <c r="G38" i="1" s="1"/>
  <c r="A95" i="28"/>
  <c r="B95" i="28"/>
  <c r="C95" i="28"/>
  <c r="E95" i="28"/>
  <c r="L95" i="28" s="1"/>
  <c r="A103" i="28"/>
  <c r="B103" i="28"/>
  <c r="C103" i="28"/>
  <c r="E103" i="28"/>
  <c r="L103" i="28" s="1"/>
  <c r="A110" i="28"/>
  <c r="B110" i="28"/>
  <c r="C110" i="28"/>
  <c r="L110" i="28"/>
  <c r="A111" i="28"/>
  <c r="B111" i="28"/>
  <c r="C111" i="28"/>
  <c r="E111" i="28"/>
  <c r="L111" i="28" s="1"/>
  <c r="A112" i="28"/>
  <c r="B112" i="28"/>
  <c r="C112" i="28"/>
  <c r="E112" i="28"/>
  <c r="L112" i="28" s="1"/>
  <c r="E94" i="28"/>
  <c r="L94" i="28" s="1"/>
  <c r="C94" i="28"/>
  <c r="B94" i="28"/>
  <c r="A94" i="28"/>
  <c r="M23" i="73" l="1"/>
  <c r="D23" i="73" s="1"/>
  <c r="C281" i="28"/>
  <c r="G87" i="53" l="1"/>
  <c r="L266" i="28" l="1"/>
  <c r="L267" i="28"/>
  <c r="L268" i="28"/>
  <c r="E244" i="28"/>
  <c r="L252" i="28"/>
  <c r="C252" i="28"/>
  <c r="A252" i="28"/>
  <c r="W252" i="28" s="1"/>
  <c r="G273" i="1" l="1"/>
  <c r="E290" i="28"/>
  <c r="E278" i="28" l="1"/>
  <c r="E281" i="28" l="1"/>
  <c r="E287" i="28"/>
  <c r="C290" i="28" l="1"/>
  <c r="L290" i="28"/>
  <c r="A290" i="28"/>
  <c r="E90" i="28"/>
  <c r="L90" i="28" s="1"/>
  <c r="C90" i="28"/>
  <c r="B90" i="28"/>
  <c r="A90" i="28"/>
  <c r="W90" i="28" s="1"/>
  <c r="E81" i="28"/>
  <c r="L81" i="28" s="1"/>
  <c r="E82" i="28"/>
  <c r="L82" i="28" s="1"/>
  <c r="E83" i="28"/>
  <c r="L83" i="28" s="1"/>
  <c r="E84" i="28"/>
  <c r="L84" i="28" s="1"/>
  <c r="B81" i="28"/>
  <c r="C81" i="28"/>
  <c r="B82" i="28"/>
  <c r="C82" i="28"/>
  <c r="B83" i="28"/>
  <c r="C83" i="28"/>
  <c r="B84" i="28"/>
  <c r="C84" i="28"/>
  <c r="A81" i="28"/>
  <c r="W81" i="28" s="1"/>
  <c r="A82" i="28"/>
  <c r="W82" i="28" s="1"/>
  <c r="A83" i="28"/>
  <c r="W83" i="28" s="1"/>
  <c r="A84" i="28"/>
  <c r="W84" i="28" s="1"/>
  <c r="G199" i="1" l="1"/>
  <c r="G183" i="1"/>
  <c r="G132" i="1"/>
  <c r="H74" i="53" l="1"/>
  <c r="H72" i="53"/>
  <c r="H70" i="53"/>
  <c r="H68" i="53"/>
  <c r="H66" i="53"/>
  <c r="H64" i="53"/>
  <c r="H62" i="53"/>
  <c r="H60" i="53"/>
  <c r="H55" i="53"/>
  <c r="H51" i="53"/>
  <c r="H49" i="53"/>
  <c r="H47" i="53"/>
  <c r="H45" i="53"/>
  <c r="H43" i="53"/>
  <c r="H41" i="53"/>
  <c r="H78" i="53"/>
  <c r="G180" i="1" l="1"/>
  <c r="D17" i="73"/>
  <c r="C17" i="73"/>
  <c r="B17" i="73"/>
  <c r="B11" i="73"/>
  <c r="C11" i="73"/>
  <c r="D11" i="73"/>
  <c r="E243" i="28" l="1"/>
  <c r="L243" i="28" s="1"/>
  <c r="B20" i="71" s="1"/>
  <c r="C243" i="28"/>
  <c r="A243" i="28"/>
  <c r="B2" i="71"/>
  <c r="B8" i="71" l="1"/>
  <c r="B12" i="71"/>
  <c r="W243" i="28"/>
  <c r="C253" i="28"/>
  <c r="A253" i="28"/>
  <c r="E257" i="28"/>
  <c r="W253" i="28" l="1"/>
  <c r="G222" i="1"/>
  <c r="E256" i="28"/>
  <c r="L256" i="28" s="1"/>
  <c r="C258" i="28"/>
  <c r="C257" i="28"/>
  <c r="C256" i="28"/>
  <c r="C255" i="28"/>
  <c r="C260" i="28"/>
  <c r="C254" i="28"/>
  <c r="C251" i="28"/>
  <c r="C250" i="28"/>
  <c r="C249" i="28"/>
  <c r="C248" i="28"/>
  <c r="L244" i="28" l="1"/>
  <c r="H244" i="28"/>
  <c r="A244" i="28"/>
  <c r="C244" i="28"/>
  <c r="H229" i="28"/>
  <c r="A229" i="28"/>
  <c r="B229" i="28"/>
  <c r="C229" i="28"/>
  <c r="E229" i="28"/>
  <c r="L229" i="28" s="1"/>
  <c r="F19" i="71" s="1"/>
  <c r="H191" i="28"/>
  <c r="H192" i="28"/>
  <c r="H193" i="28"/>
  <c r="E191" i="28"/>
  <c r="L191" i="28" s="1"/>
  <c r="E192" i="28"/>
  <c r="L192" i="28" s="1"/>
  <c r="E193" i="28"/>
  <c r="L193" i="28" s="1"/>
  <c r="B191" i="28"/>
  <c r="C191" i="28"/>
  <c r="B192" i="28"/>
  <c r="C192" i="28"/>
  <c r="B193" i="28"/>
  <c r="C193" i="28"/>
  <c r="A191" i="28"/>
  <c r="A192" i="28"/>
  <c r="A193" i="28"/>
  <c r="H160" i="28"/>
  <c r="E161" i="28"/>
  <c r="L161" i="28" s="1"/>
  <c r="A161" i="28"/>
  <c r="B161" i="28"/>
  <c r="C161" i="28"/>
  <c r="E68" i="28"/>
  <c r="L68" i="28" s="1"/>
  <c r="E67" i="28"/>
  <c r="L67" i="28" s="1"/>
  <c r="C68" i="28"/>
  <c r="C67" i="28"/>
  <c r="B68" i="28"/>
  <c r="B67" i="28"/>
  <c r="A68" i="28"/>
  <c r="A67" i="28"/>
  <c r="L247" i="28"/>
  <c r="L26" i="80" s="1"/>
  <c r="L246" i="28"/>
  <c r="E254" i="28"/>
  <c r="C247" i="28"/>
  <c r="C246" i="28"/>
  <c r="A258" i="28"/>
  <c r="A257" i="28"/>
  <c r="A256" i="28"/>
  <c r="A255" i="28"/>
  <c r="A260" i="28"/>
  <c r="A254" i="28"/>
  <c r="A251" i="28"/>
  <c r="A250" i="28"/>
  <c r="A249" i="28"/>
  <c r="A248" i="28"/>
  <c r="A247" i="28"/>
  <c r="A246" i="28"/>
  <c r="D17" i="80" l="1"/>
  <c r="F17" i="80" s="1"/>
  <c r="D15" i="80"/>
  <c r="F15" i="80" s="1"/>
  <c r="W246" i="28"/>
  <c r="W260" i="28"/>
  <c r="W192" i="28"/>
  <c r="W247" i="28"/>
  <c r="W255" i="28"/>
  <c r="W191" i="28"/>
  <c r="W248" i="28"/>
  <c r="W249" i="28"/>
  <c r="W257" i="28"/>
  <c r="W254" i="28"/>
  <c r="W250" i="28"/>
  <c r="W258" i="28"/>
  <c r="W161" i="28"/>
  <c r="W244" i="28"/>
  <c r="W193" i="28"/>
  <c r="W256" i="28"/>
  <c r="W251" i="28"/>
  <c r="L254" i="28"/>
  <c r="L259" i="28"/>
  <c r="L258" i="28"/>
  <c r="D14" i="80" s="1"/>
  <c r="F14" i="80" s="1"/>
  <c r="L260" i="28"/>
  <c r="L248" i="28"/>
  <c r="M26" i="80" s="1"/>
  <c r="L249" i="28"/>
  <c r="N26" i="80" s="1"/>
  <c r="L250" i="28"/>
  <c r="L251" i="28"/>
  <c r="L257" i="28"/>
  <c r="D26" i="80" l="1"/>
  <c r="F25" i="80"/>
  <c r="D19" i="80"/>
  <c r="F19" i="80" s="1"/>
  <c r="B2" i="73" l="1"/>
  <c r="C9" i="73" l="1"/>
  <c r="C6" i="73"/>
  <c r="B6" i="73"/>
  <c r="C8" i="73"/>
  <c r="L14" i="73"/>
  <c r="L13" i="73"/>
  <c r="L20" i="73"/>
  <c r="L19" i="73"/>
  <c r="L18" i="73"/>
  <c r="L12" i="73"/>
  <c r="H28" i="53"/>
  <c r="E27" i="53"/>
  <c r="G11" i="53"/>
  <c r="G88" i="53" s="1"/>
  <c r="E97" i="53" l="1"/>
  <c r="G89" i="53"/>
  <c r="E286" i="28" l="1"/>
  <c r="L286" i="28" s="1"/>
  <c r="Q286" i="28" s="1"/>
  <c r="L287" i="28"/>
  <c r="Q287" i="28" s="1"/>
  <c r="E288" i="28"/>
  <c r="L288" i="28" s="1"/>
  <c r="Q288" i="28" s="1"/>
  <c r="E289" i="28"/>
  <c r="L289" i="28" s="1"/>
  <c r="Q289" i="28" s="1"/>
  <c r="E285" i="28"/>
  <c r="L285" i="28" s="1"/>
  <c r="Q285" i="28" s="1"/>
  <c r="A286" i="28"/>
  <c r="A287" i="28"/>
  <c r="A288" i="28"/>
  <c r="A289" i="28"/>
  <c r="A285" i="28"/>
  <c r="G310" i="1"/>
  <c r="F283" i="28" s="1"/>
  <c r="G311" i="1"/>
  <c r="F284" i="28" s="1"/>
  <c r="F281" i="28"/>
  <c r="G309" i="1"/>
  <c r="F282" i="28" s="1"/>
  <c r="G305" i="1"/>
  <c r="F278" i="28" s="1"/>
  <c r="G306" i="1"/>
  <c r="F279" i="28" s="1"/>
  <c r="G307" i="1"/>
  <c r="F280" i="28" s="1"/>
  <c r="G304" i="1"/>
  <c r="F277" i="28" s="1"/>
  <c r="C286" i="28" l="1"/>
  <c r="C287" i="28"/>
  <c r="C288" i="28"/>
  <c r="C289" i="28"/>
  <c r="C285" i="28"/>
  <c r="G263" i="1" l="1"/>
  <c r="G157" i="1"/>
  <c r="G19" i="1"/>
  <c r="F289" i="28"/>
  <c r="F288" i="28"/>
  <c r="F287" i="28"/>
  <c r="F286" i="28"/>
  <c r="F285" i="28"/>
  <c r="G147" i="1" l="1"/>
  <c r="G166" i="1" l="1"/>
  <c r="G165" i="1"/>
  <c r="G164" i="1"/>
  <c r="G163" i="1"/>
  <c r="G162" i="1"/>
  <c r="G161" i="1"/>
  <c r="G155" i="1"/>
  <c r="G146" i="1"/>
  <c r="G145" i="1"/>
  <c r="G144" i="1"/>
  <c r="G143" i="1"/>
  <c r="G142" i="1"/>
  <c r="G141" i="1"/>
  <c r="Y276" i="28" l="1"/>
  <c r="D3" i="1" l="1"/>
  <c r="B5" i="80" s="1"/>
  <c r="D23" i="80" l="1"/>
  <c r="B3" i="71"/>
  <c r="B13" i="71"/>
  <c r="B3" i="73"/>
  <c r="Y266" i="28"/>
  <c r="B9" i="73" l="1"/>
  <c r="B8" i="73"/>
  <c r="H23" i="80"/>
  <c r="F23" i="80"/>
  <c r="L11" i="73"/>
  <c r="L17" i="73"/>
  <c r="K18" i="73"/>
  <c r="K17" i="73"/>
  <c r="K14" i="73"/>
  <c r="K20" i="73"/>
  <c r="K12" i="73"/>
  <c r="K11" i="73"/>
  <c r="K19" i="73"/>
  <c r="K13" i="73"/>
  <c r="M17" i="73"/>
  <c r="M11" i="73"/>
  <c r="Y268" i="28"/>
  <c r="Y267" i="28"/>
  <c r="B18" i="73" l="1"/>
  <c r="B20" i="73"/>
  <c r="B19" i="73"/>
  <c r="B12" i="73"/>
  <c r="B14" i="73"/>
  <c r="B13" i="73"/>
  <c r="C20" i="73"/>
  <c r="C19" i="73"/>
  <c r="C18" i="73"/>
  <c r="C12" i="73"/>
  <c r="C14" i="73"/>
  <c r="C13" i="73"/>
  <c r="N236" i="28" l="1"/>
  <c r="X276" i="28"/>
  <c r="W124" i="28"/>
  <c r="W125" i="28"/>
  <c r="W126" i="28"/>
  <c r="W127" i="28"/>
  <c r="W128" i="28"/>
  <c r="W129" i="28"/>
  <c r="W221" i="28"/>
  <c r="W266" i="28"/>
  <c r="W267" i="28"/>
  <c r="W268" i="28"/>
  <c r="W276" i="28"/>
  <c r="W291" i="28"/>
  <c r="W4" i="28"/>
  <c r="E232" i="28"/>
  <c r="L232" i="28" s="1"/>
  <c r="H4" i="30" l="1"/>
  <c r="F4" i="30"/>
  <c r="B4" i="30"/>
  <c r="F295" i="28"/>
  <c r="E295" i="28"/>
  <c r="C295" i="28"/>
  <c r="B295" i="28"/>
  <c r="A295" i="28"/>
  <c r="E284" i="28"/>
  <c r="C284" i="28"/>
  <c r="A284" i="28"/>
  <c r="E283" i="28"/>
  <c r="C283" i="28"/>
  <c r="A283" i="28"/>
  <c r="E282" i="28"/>
  <c r="C282" i="28"/>
  <c r="A282" i="28"/>
  <c r="A281" i="28"/>
  <c r="E280" i="28"/>
  <c r="C280" i="28"/>
  <c r="A280" i="28"/>
  <c r="E279" i="28"/>
  <c r="C279" i="28"/>
  <c r="A279" i="28"/>
  <c r="C278" i="28"/>
  <c r="A278" i="28"/>
  <c r="E277" i="28"/>
  <c r="L277" i="28" s="1"/>
  <c r="Q277" i="28" s="1"/>
  <c r="C277" i="28"/>
  <c r="A277" i="28"/>
  <c r="H245" i="28"/>
  <c r="E245" i="28"/>
  <c r="L245" i="28" s="1"/>
  <c r="C245" i="28"/>
  <c r="A245" i="28"/>
  <c r="E242" i="28"/>
  <c r="L242" i="28" s="1"/>
  <c r="C242" i="28"/>
  <c r="A242" i="28"/>
  <c r="H241" i="28"/>
  <c r="E241" i="28"/>
  <c r="L241" i="28" s="1"/>
  <c r="C241" i="28"/>
  <c r="B241" i="28"/>
  <c r="A241" i="28"/>
  <c r="H240" i="28"/>
  <c r="E240" i="28"/>
  <c r="L240" i="28" s="1"/>
  <c r="C240" i="28"/>
  <c r="B240" i="28"/>
  <c r="A240" i="28"/>
  <c r="E239" i="28"/>
  <c r="L239" i="28" s="1"/>
  <c r="C239" i="28"/>
  <c r="B239" i="28"/>
  <c r="A239" i="28"/>
  <c r="E238" i="28"/>
  <c r="L238" i="28" s="1"/>
  <c r="C238" i="28"/>
  <c r="B238" i="28"/>
  <c r="A238" i="28"/>
  <c r="E237" i="28"/>
  <c r="L237" i="28" s="1"/>
  <c r="C237" i="28"/>
  <c r="B237" i="28"/>
  <c r="A237" i="28"/>
  <c r="E236" i="28"/>
  <c r="L236" i="28" s="1"/>
  <c r="C236" i="28"/>
  <c r="B236" i="28"/>
  <c r="A236" i="28"/>
  <c r="E235" i="28"/>
  <c r="L235" i="28" s="1"/>
  <c r="C235" i="28"/>
  <c r="B235" i="28"/>
  <c r="A235" i="28"/>
  <c r="E234" i="28"/>
  <c r="L234" i="28" s="1"/>
  <c r="C234" i="28"/>
  <c r="B234" i="28"/>
  <c r="A234" i="28"/>
  <c r="E233" i="28"/>
  <c r="L233" i="28" s="1"/>
  <c r="C233" i="28"/>
  <c r="B233" i="28"/>
  <c r="A233" i="28"/>
  <c r="H232" i="28"/>
  <c r="C232" i="28"/>
  <c r="B232" i="28"/>
  <c r="A232" i="28"/>
  <c r="H231" i="28"/>
  <c r="E231" i="28"/>
  <c r="C231" i="28"/>
  <c r="B231" i="28"/>
  <c r="A231" i="28"/>
  <c r="H230" i="28"/>
  <c r="E230" i="28"/>
  <c r="L230" i="28" s="1"/>
  <c r="C230" i="28"/>
  <c r="B230" i="28"/>
  <c r="A230" i="28"/>
  <c r="H228" i="28"/>
  <c r="E228" i="28"/>
  <c r="L228" i="28" s="1"/>
  <c r="C228" i="28"/>
  <c r="B228" i="28"/>
  <c r="A228" i="28"/>
  <c r="H227" i="28"/>
  <c r="E227" i="28"/>
  <c r="L227" i="28" s="1"/>
  <c r="C227" i="28"/>
  <c r="B227" i="28"/>
  <c r="A227" i="28"/>
  <c r="H226" i="28"/>
  <c r="E226" i="28"/>
  <c r="L226" i="28" s="1"/>
  <c r="C226" i="28"/>
  <c r="B226" i="28"/>
  <c r="A226" i="28"/>
  <c r="E225" i="28"/>
  <c r="L225" i="28" s="1"/>
  <c r="C225" i="28"/>
  <c r="B225" i="28"/>
  <c r="A225" i="28"/>
  <c r="H224" i="28"/>
  <c r="E224" i="28"/>
  <c r="L224" i="28" s="1"/>
  <c r="C224" i="28"/>
  <c r="B224" i="28"/>
  <c r="A224" i="28"/>
  <c r="H223" i="28"/>
  <c r="E223" i="28"/>
  <c r="L223" i="28" s="1"/>
  <c r="C223" i="28"/>
  <c r="B223" i="28"/>
  <c r="A223" i="28"/>
  <c r="H222" i="28"/>
  <c r="E222" i="28"/>
  <c r="L222" i="28" s="1"/>
  <c r="C222" i="28"/>
  <c r="B222" i="28"/>
  <c r="A222" i="28"/>
  <c r="E221" i="28"/>
  <c r="L221" i="28" s="1"/>
  <c r="C221" i="28"/>
  <c r="E220" i="28"/>
  <c r="L220" i="28" s="1"/>
  <c r="C220" i="28"/>
  <c r="B220" i="28"/>
  <c r="A220" i="28"/>
  <c r="H219" i="28"/>
  <c r="E219" i="28"/>
  <c r="L219" i="28" s="1"/>
  <c r="C219" i="28"/>
  <c r="B219" i="28"/>
  <c r="A219" i="28"/>
  <c r="H218" i="28"/>
  <c r="E218" i="28"/>
  <c r="L218" i="28" s="1"/>
  <c r="C218" i="28"/>
  <c r="B218" i="28"/>
  <c r="A218" i="28"/>
  <c r="H217" i="28"/>
  <c r="E217" i="28"/>
  <c r="L217" i="28" s="1"/>
  <c r="C217" i="28"/>
  <c r="B217" i="28"/>
  <c r="A217" i="28"/>
  <c r="E216" i="28"/>
  <c r="L216" i="28" s="1"/>
  <c r="C216" i="28"/>
  <c r="B216" i="28"/>
  <c r="A216" i="28"/>
  <c r="E215" i="28"/>
  <c r="L215" i="28" s="1"/>
  <c r="C215" i="28"/>
  <c r="B215" i="28"/>
  <c r="A215" i="28"/>
  <c r="H214" i="28"/>
  <c r="E214" i="28"/>
  <c r="L214" i="28" s="1"/>
  <c r="C214" i="28"/>
  <c r="B214" i="28"/>
  <c r="A214" i="28"/>
  <c r="H213" i="28"/>
  <c r="E213" i="28"/>
  <c r="L213" i="28" s="1"/>
  <c r="C213" i="28"/>
  <c r="B213" i="28"/>
  <c r="A213" i="28"/>
  <c r="H212" i="28"/>
  <c r="E212" i="28"/>
  <c r="L212" i="28" s="1"/>
  <c r="C212" i="28"/>
  <c r="B212" i="28"/>
  <c r="A212" i="28"/>
  <c r="H211" i="28"/>
  <c r="E211" i="28"/>
  <c r="L211" i="28" s="1"/>
  <c r="C211" i="28"/>
  <c r="B211" i="28"/>
  <c r="A211" i="28"/>
  <c r="H210" i="28"/>
  <c r="E210" i="28"/>
  <c r="L210" i="28" s="1"/>
  <c r="C210" i="28"/>
  <c r="B210" i="28"/>
  <c r="A210" i="28"/>
  <c r="H209" i="28"/>
  <c r="E209" i="28"/>
  <c r="L209" i="28" s="1"/>
  <c r="C209" i="28"/>
  <c r="B209" i="28"/>
  <c r="A209" i="28"/>
  <c r="H208" i="28"/>
  <c r="E208" i="28"/>
  <c r="L208" i="28" s="1"/>
  <c r="C208" i="28"/>
  <c r="B208" i="28"/>
  <c r="A208" i="28"/>
  <c r="H207" i="28"/>
  <c r="E207" i="28"/>
  <c r="L207" i="28" s="1"/>
  <c r="C207" i="28"/>
  <c r="B207" i="28"/>
  <c r="A207" i="28"/>
  <c r="H206" i="28"/>
  <c r="E206" i="28"/>
  <c r="L206" i="28" s="1"/>
  <c r="C206" i="28"/>
  <c r="B206" i="28"/>
  <c r="A206" i="28"/>
  <c r="H205" i="28"/>
  <c r="E205" i="28"/>
  <c r="L205" i="28" s="1"/>
  <c r="C205" i="28"/>
  <c r="B205" i="28"/>
  <c r="A205" i="28"/>
  <c r="H204" i="28"/>
  <c r="E204" i="28"/>
  <c r="L204" i="28" s="1"/>
  <c r="C204" i="28"/>
  <c r="B204" i="28"/>
  <c r="A204" i="28"/>
  <c r="H203" i="28"/>
  <c r="E203" i="28"/>
  <c r="L203" i="28" s="1"/>
  <c r="C203" i="28"/>
  <c r="B203" i="28"/>
  <c r="A203" i="28"/>
  <c r="H202" i="28"/>
  <c r="E202" i="28"/>
  <c r="L202" i="28" s="1"/>
  <c r="C202" i="28"/>
  <c r="B202" i="28"/>
  <c r="A202" i="28"/>
  <c r="H201" i="28"/>
  <c r="E201" i="28"/>
  <c r="L201" i="28" s="1"/>
  <c r="C201" i="28"/>
  <c r="B201" i="28"/>
  <c r="A201" i="28"/>
  <c r="H200" i="28"/>
  <c r="E200" i="28"/>
  <c r="L200" i="28" s="1"/>
  <c r="C200" i="28"/>
  <c r="B200" i="28"/>
  <c r="A200" i="28"/>
  <c r="H199" i="28"/>
  <c r="E199" i="28"/>
  <c r="L199" i="28" s="1"/>
  <c r="C199" i="28"/>
  <c r="B199" i="28"/>
  <c r="A199" i="28"/>
  <c r="H198" i="28"/>
  <c r="E198" i="28"/>
  <c r="L198" i="28" s="1"/>
  <c r="C198" i="28"/>
  <c r="B198" i="28"/>
  <c r="A198" i="28"/>
  <c r="H197" i="28"/>
  <c r="E197" i="28"/>
  <c r="L197" i="28" s="1"/>
  <c r="C197" i="28"/>
  <c r="B197" i="28"/>
  <c r="A197" i="28"/>
  <c r="H196" i="28"/>
  <c r="E196" i="28"/>
  <c r="L196" i="28" s="1"/>
  <c r="C196" i="28"/>
  <c r="B196" i="28"/>
  <c r="A196" i="28"/>
  <c r="H195" i="28"/>
  <c r="C195" i="28"/>
  <c r="B195" i="28"/>
  <c r="A195" i="28"/>
  <c r="H194" i="28"/>
  <c r="C194" i="28"/>
  <c r="B194" i="28"/>
  <c r="A194" i="28"/>
  <c r="H190" i="28"/>
  <c r="E190" i="28"/>
  <c r="L190" i="28" s="1"/>
  <c r="C190" i="28"/>
  <c r="B190" i="28"/>
  <c r="A190" i="28"/>
  <c r="H189" i="28"/>
  <c r="E189" i="28"/>
  <c r="L189" i="28" s="1"/>
  <c r="C189" i="28"/>
  <c r="B189" i="28"/>
  <c r="A189" i="28"/>
  <c r="H188" i="28"/>
  <c r="E188" i="28"/>
  <c r="L188" i="28" s="1"/>
  <c r="C188" i="28"/>
  <c r="B188" i="28"/>
  <c r="A188" i="28"/>
  <c r="E187" i="28"/>
  <c r="L187" i="28" s="1"/>
  <c r="C187" i="28"/>
  <c r="B187" i="28"/>
  <c r="A187" i="28"/>
  <c r="H186" i="28"/>
  <c r="E186" i="28"/>
  <c r="L186" i="28" s="1"/>
  <c r="C186" i="28"/>
  <c r="B186" i="28"/>
  <c r="A186" i="28"/>
  <c r="H185" i="28"/>
  <c r="E185" i="28"/>
  <c r="L185" i="28" s="1"/>
  <c r="C185" i="28"/>
  <c r="B185" i="28"/>
  <c r="A185" i="28"/>
  <c r="H184" i="28"/>
  <c r="E184" i="28"/>
  <c r="L184" i="28" s="1"/>
  <c r="C184" i="28"/>
  <c r="B184" i="28"/>
  <c r="A184" i="28"/>
  <c r="H183" i="28"/>
  <c r="E183" i="28"/>
  <c r="L183" i="28" s="1"/>
  <c r="C183" i="28"/>
  <c r="B183" i="28"/>
  <c r="A183" i="28"/>
  <c r="H182" i="28"/>
  <c r="E182" i="28"/>
  <c r="L182" i="28" s="1"/>
  <c r="C182" i="28"/>
  <c r="B182" i="28"/>
  <c r="A182" i="28"/>
  <c r="H181" i="28"/>
  <c r="E181" i="28"/>
  <c r="L181" i="28" s="1"/>
  <c r="C181" i="28"/>
  <c r="B181" i="28"/>
  <c r="A181" i="28"/>
  <c r="H180" i="28"/>
  <c r="E180" i="28"/>
  <c r="L180" i="28" s="1"/>
  <c r="C180" i="28"/>
  <c r="B180" i="28"/>
  <c r="A180" i="28"/>
  <c r="H179" i="28"/>
  <c r="E179" i="28"/>
  <c r="L179" i="28" s="1"/>
  <c r="C179" i="28"/>
  <c r="B179" i="28"/>
  <c r="A179" i="28"/>
  <c r="H178" i="28"/>
  <c r="E178" i="28"/>
  <c r="L178" i="28" s="1"/>
  <c r="C178" i="28"/>
  <c r="B178" i="28"/>
  <c r="A178" i="28"/>
  <c r="H177" i="28"/>
  <c r="E177" i="28"/>
  <c r="L177" i="28" s="1"/>
  <c r="F14" i="71" s="1"/>
  <c r="C177" i="28"/>
  <c r="B177" i="28"/>
  <c r="A177" i="28"/>
  <c r="H176" i="28"/>
  <c r="E176" i="28"/>
  <c r="L176" i="28" s="1"/>
  <c r="C176" i="28"/>
  <c r="B176" i="28"/>
  <c r="A176" i="28"/>
  <c r="H175" i="28"/>
  <c r="E175" i="28"/>
  <c r="L175" i="28" s="1"/>
  <c r="C175" i="28"/>
  <c r="B175" i="28"/>
  <c r="A175" i="28"/>
  <c r="H174" i="28"/>
  <c r="E174" i="28"/>
  <c r="L174" i="28" s="1"/>
  <c r="C174" i="28"/>
  <c r="B174" i="28"/>
  <c r="A174" i="28"/>
  <c r="H173" i="28"/>
  <c r="E173" i="28"/>
  <c r="L173" i="28" s="1"/>
  <c r="C173" i="28"/>
  <c r="B173" i="28"/>
  <c r="A173" i="28"/>
  <c r="H172" i="28"/>
  <c r="E172" i="28"/>
  <c r="L172" i="28" s="1"/>
  <c r="C172" i="28"/>
  <c r="B172" i="28"/>
  <c r="A172" i="28"/>
  <c r="H171" i="28"/>
  <c r="E171" i="28"/>
  <c r="L171" i="28" s="1"/>
  <c r="C171" i="28"/>
  <c r="B171" i="28"/>
  <c r="A171" i="28"/>
  <c r="H170" i="28"/>
  <c r="E170" i="28"/>
  <c r="L170" i="28" s="1"/>
  <c r="C170" i="28"/>
  <c r="B170" i="28"/>
  <c r="A170" i="28"/>
  <c r="H169" i="28"/>
  <c r="E169" i="28"/>
  <c r="L169" i="28" s="1"/>
  <c r="C169" i="28"/>
  <c r="B169" i="28"/>
  <c r="A169" i="28"/>
  <c r="H168" i="28"/>
  <c r="E168" i="28"/>
  <c r="L168" i="28" s="1"/>
  <c r="C168" i="28"/>
  <c r="B168" i="28"/>
  <c r="A168" i="28"/>
  <c r="H167" i="28"/>
  <c r="E167" i="28"/>
  <c r="L167" i="28" s="1"/>
  <c r="C167" i="28"/>
  <c r="B167" i="28"/>
  <c r="A167" i="28"/>
  <c r="H166" i="28"/>
  <c r="E166" i="28"/>
  <c r="L166" i="28" s="1"/>
  <c r="C166" i="28"/>
  <c r="B166" i="28"/>
  <c r="A166" i="28"/>
  <c r="H165" i="28"/>
  <c r="E165" i="28"/>
  <c r="L165" i="28" s="1"/>
  <c r="C165" i="28"/>
  <c r="B165" i="28"/>
  <c r="A165" i="28"/>
  <c r="H164" i="28"/>
  <c r="E164" i="28"/>
  <c r="L164" i="28" s="1"/>
  <c r="C164" i="28"/>
  <c r="B164" i="28"/>
  <c r="A164" i="28"/>
  <c r="H163" i="28"/>
  <c r="E163" i="28"/>
  <c r="L163" i="28" s="1"/>
  <c r="C163" i="28"/>
  <c r="B163" i="28"/>
  <c r="A163" i="28"/>
  <c r="H162" i="28"/>
  <c r="E162" i="28"/>
  <c r="L162" i="28" s="1"/>
  <c r="C162" i="28"/>
  <c r="B162" i="28"/>
  <c r="A162" i="28"/>
  <c r="E160" i="28"/>
  <c r="L160" i="28" s="1"/>
  <c r="C160" i="28"/>
  <c r="B160" i="28"/>
  <c r="A160" i="28"/>
  <c r="H159" i="28"/>
  <c r="E159" i="28"/>
  <c r="L159" i="28" s="1"/>
  <c r="C159" i="28"/>
  <c r="B159" i="28"/>
  <c r="A159" i="28"/>
  <c r="H158" i="28"/>
  <c r="E158" i="28"/>
  <c r="L158" i="28" s="1"/>
  <c r="C158" i="28"/>
  <c r="B158" i="28"/>
  <c r="A158" i="28"/>
  <c r="H157" i="28"/>
  <c r="E157" i="28"/>
  <c r="L157" i="28" s="1"/>
  <c r="C157" i="28"/>
  <c r="B157" i="28"/>
  <c r="A157" i="28"/>
  <c r="H156" i="28"/>
  <c r="E156" i="28"/>
  <c r="L156" i="28" s="1"/>
  <c r="C156" i="28"/>
  <c r="B156" i="28"/>
  <c r="A156" i="28"/>
  <c r="H155" i="28"/>
  <c r="E155" i="28"/>
  <c r="L155" i="28" s="1"/>
  <c r="C155" i="28"/>
  <c r="B155" i="28"/>
  <c r="A155" i="28"/>
  <c r="H154" i="28"/>
  <c r="E154" i="28"/>
  <c r="L154" i="28" s="1"/>
  <c r="C154" i="28"/>
  <c r="B154" i="28"/>
  <c r="A154" i="28"/>
  <c r="H153" i="28"/>
  <c r="E153" i="28"/>
  <c r="L153" i="28" s="1"/>
  <c r="C153" i="28"/>
  <c r="B153" i="28"/>
  <c r="A153" i="28"/>
  <c r="H152" i="28"/>
  <c r="E152" i="28"/>
  <c r="L152" i="28" s="1"/>
  <c r="C152" i="28"/>
  <c r="B152" i="28"/>
  <c r="A152" i="28"/>
  <c r="H151" i="28"/>
  <c r="E151" i="28"/>
  <c r="L151" i="28" s="1"/>
  <c r="C151" i="28"/>
  <c r="B151" i="28"/>
  <c r="A151" i="28"/>
  <c r="H150" i="28"/>
  <c r="E150" i="28"/>
  <c r="L150" i="28" s="1"/>
  <c r="C150" i="28"/>
  <c r="B150" i="28"/>
  <c r="A150" i="28"/>
  <c r="H149" i="28"/>
  <c r="E149" i="28"/>
  <c r="L149" i="28" s="1"/>
  <c r="C149" i="28"/>
  <c r="B149" i="28"/>
  <c r="A149" i="28"/>
  <c r="H148" i="28"/>
  <c r="E148" i="28"/>
  <c r="L148" i="28" s="1"/>
  <c r="C148" i="28"/>
  <c r="B148" i="28"/>
  <c r="A148" i="28"/>
  <c r="H147" i="28"/>
  <c r="E147" i="28"/>
  <c r="L147" i="28" s="1"/>
  <c r="C147" i="28"/>
  <c r="B147" i="28"/>
  <c r="A147" i="28"/>
  <c r="H146" i="28"/>
  <c r="E146" i="28"/>
  <c r="L146" i="28" s="1"/>
  <c r="C146" i="28"/>
  <c r="B146" i="28"/>
  <c r="A146" i="28"/>
  <c r="H145" i="28"/>
  <c r="E145" i="28"/>
  <c r="L145" i="28" s="1"/>
  <c r="C145" i="28"/>
  <c r="B145" i="28"/>
  <c r="A145" i="28"/>
  <c r="H144" i="28"/>
  <c r="E144" i="28"/>
  <c r="L144" i="28" s="1"/>
  <c r="C144" i="28"/>
  <c r="B144" i="28"/>
  <c r="A144" i="28"/>
  <c r="H143" i="28"/>
  <c r="C143" i="28"/>
  <c r="B143" i="28"/>
  <c r="A143" i="28"/>
  <c r="H142" i="28"/>
  <c r="E142" i="28"/>
  <c r="L142" i="28" s="1"/>
  <c r="C142" i="28"/>
  <c r="B142" i="28"/>
  <c r="A142" i="28"/>
  <c r="H141" i="28"/>
  <c r="E141" i="28"/>
  <c r="L141" i="28" s="1"/>
  <c r="C141" i="28"/>
  <c r="B141" i="28"/>
  <c r="A141" i="28"/>
  <c r="H140" i="28"/>
  <c r="E140" i="28"/>
  <c r="L140" i="28" s="1"/>
  <c r="C140" i="28"/>
  <c r="B140" i="28"/>
  <c r="A140" i="28"/>
  <c r="E139" i="28"/>
  <c r="L139" i="28" s="1"/>
  <c r="C139" i="28"/>
  <c r="B139" i="28"/>
  <c r="A139" i="28"/>
  <c r="H138" i="28"/>
  <c r="E138" i="28"/>
  <c r="L138" i="28" s="1"/>
  <c r="C138" i="28"/>
  <c r="B138" i="28"/>
  <c r="A138" i="28"/>
  <c r="H137" i="28"/>
  <c r="E137" i="28"/>
  <c r="L137" i="28" s="1"/>
  <c r="C137" i="28"/>
  <c r="B137" i="28"/>
  <c r="A137" i="28"/>
  <c r="E136" i="28"/>
  <c r="L136" i="28" s="1"/>
  <c r="C136" i="28"/>
  <c r="B136" i="28"/>
  <c r="A136" i="28"/>
  <c r="H135" i="28"/>
  <c r="E135" i="28"/>
  <c r="L135" i="28" s="1"/>
  <c r="C135" i="28"/>
  <c r="B135" i="28"/>
  <c r="A135" i="28"/>
  <c r="H134" i="28"/>
  <c r="E134" i="28"/>
  <c r="L134" i="28" s="1"/>
  <c r="C134" i="28"/>
  <c r="B134" i="28"/>
  <c r="A134" i="28"/>
  <c r="H133" i="28"/>
  <c r="E133" i="28"/>
  <c r="L133" i="28" s="1"/>
  <c r="C133" i="28"/>
  <c r="B133" i="28"/>
  <c r="A133" i="28"/>
  <c r="H132" i="28"/>
  <c r="E132" i="28"/>
  <c r="L132" i="28" s="1"/>
  <c r="C132" i="28"/>
  <c r="B132" i="28"/>
  <c r="A132" i="28"/>
  <c r="H131" i="28"/>
  <c r="E131" i="28"/>
  <c r="L131" i="28" s="1"/>
  <c r="C131" i="28"/>
  <c r="B131" i="28"/>
  <c r="A131" i="28"/>
  <c r="H130" i="28"/>
  <c r="E130" i="28"/>
  <c r="L130" i="28" s="1"/>
  <c r="C130" i="28"/>
  <c r="B130" i="28"/>
  <c r="A130" i="28"/>
  <c r="E129" i="28"/>
  <c r="L129" i="28" s="1"/>
  <c r="C129" i="28"/>
  <c r="B129" i="28"/>
  <c r="E128" i="28"/>
  <c r="L128" i="28" s="1"/>
  <c r="C128" i="28"/>
  <c r="B128" i="28"/>
  <c r="E127" i="28"/>
  <c r="L127" i="28" s="1"/>
  <c r="C127" i="28"/>
  <c r="B127" i="28"/>
  <c r="E126" i="28"/>
  <c r="L126" i="28" s="1"/>
  <c r="C126" i="28"/>
  <c r="B126" i="28"/>
  <c r="E125" i="28"/>
  <c r="L125" i="28" s="1"/>
  <c r="C125" i="28"/>
  <c r="B125" i="28"/>
  <c r="C124" i="28"/>
  <c r="B124" i="28"/>
  <c r="E123" i="28"/>
  <c r="L123" i="28" s="1"/>
  <c r="C123" i="28"/>
  <c r="B123" i="28"/>
  <c r="A123" i="28"/>
  <c r="H122" i="28"/>
  <c r="E122" i="28"/>
  <c r="L122" i="28" s="1"/>
  <c r="C122" i="28"/>
  <c r="B122" i="28"/>
  <c r="A122" i="28"/>
  <c r="E121" i="28"/>
  <c r="L121" i="28" s="1"/>
  <c r="C121" i="28"/>
  <c r="B121" i="28"/>
  <c r="A121" i="28"/>
  <c r="H120" i="28"/>
  <c r="E120" i="28"/>
  <c r="L120" i="28" s="1"/>
  <c r="C120" i="28"/>
  <c r="B120" i="28"/>
  <c r="A120" i="28"/>
  <c r="H119" i="28"/>
  <c r="E119" i="28"/>
  <c r="L119" i="28" s="1"/>
  <c r="C119" i="28"/>
  <c r="B119" i="28"/>
  <c r="A119" i="28"/>
  <c r="E118" i="28"/>
  <c r="L118" i="28" s="1"/>
  <c r="C118" i="28"/>
  <c r="B118" i="28"/>
  <c r="A118" i="28"/>
  <c r="H117" i="28"/>
  <c r="E117" i="28"/>
  <c r="L117" i="28" s="1"/>
  <c r="C117" i="28"/>
  <c r="B117" i="28"/>
  <c r="A117" i="28"/>
  <c r="H116" i="28"/>
  <c r="E116" i="28"/>
  <c r="L116" i="28" s="1"/>
  <c r="C116" i="28"/>
  <c r="B116" i="28"/>
  <c r="A116" i="28"/>
  <c r="H115" i="28"/>
  <c r="E115" i="28"/>
  <c r="L115" i="28" s="1"/>
  <c r="C115" i="28"/>
  <c r="A115" i="28"/>
  <c r="H91" i="28"/>
  <c r="C91" i="28"/>
  <c r="B91" i="28"/>
  <c r="A91" i="28"/>
  <c r="H89" i="28"/>
  <c r="E89" i="28"/>
  <c r="L89" i="28" s="1"/>
  <c r="C89" i="28"/>
  <c r="B89" i="28"/>
  <c r="A89" i="28"/>
  <c r="H80" i="28"/>
  <c r="E80" i="28"/>
  <c r="L80" i="28" s="1"/>
  <c r="C80" i="28"/>
  <c r="B80" i="28"/>
  <c r="A80" i="28"/>
  <c r="H79" i="28"/>
  <c r="E79" i="28"/>
  <c r="L79" i="28" s="1"/>
  <c r="C79" i="28"/>
  <c r="B79" i="28"/>
  <c r="A79" i="28"/>
  <c r="H78" i="28"/>
  <c r="E78" i="28"/>
  <c r="L78" i="28" s="1"/>
  <c r="C78" i="28"/>
  <c r="B78" i="28"/>
  <c r="A78" i="28"/>
  <c r="H77" i="28"/>
  <c r="E77" i="28"/>
  <c r="L77" i="28" s="1"/>
  <c r="C77" i="28"/>
  <c r="B77" i="28"/>
  <c r="A77" i="28"/>
  <c r="H76" i="28"/>
  <c r="E76" i="28"/>
  <c r="L76" i="28" s="1"/>
  <c r="C76" i="28"/>
  <c r="B76" i="28"/>
  <c r="A76" i="28"/>
  <c r="H75" i="28"/>
  <c r="E75" i="28"/>
  <c r="L75" i="28" s="1"/>
  <c r="C75" i="28"/>
  <c r="B75" i="28"/>
  <c r="A75" i="28"/>
  <c r="H74" i="28"/>
  <c r="E74" i="28"/>
  <c r="L74" i="28" s="1"/>
  <c r="C74" i="28"/>
  <c r="B74" i="28"/>
  <c r="A74" i="28"/>
  <c r="H73" i="28"/>
  <c r="E73" i="28"/>
  <c r="L73" i="28" s="1"/>
  <c r="C73" i="28"/>
  <c r="B73" i="28"/>
  <c r="A73" i="28"/>
  <c r="H72" i="28"/>
  <c r="E72" i="28"/>
  <c r="L72" i="28" s="1"/>
  <c r="C72" i="28"/>
  <c r="B72" i="28"/>
  <c r="A72" i="28"/>
  <c r="H71" i="28"/>
  <c r="E71" i="28"/>
  <c r="L71" i="28" s="1"/>
  <c r="C71" i="28"/>
  <c r="B71" i="28"/>
  <c r="A71" i="28"/>
  <c r="H70" i="28"/>
  <c r="E70" i="28"/>
  <c r="L70" i="28" s="1"/>
  <c r="C70" i="28"/>
  <c r="B70" i="28"/>
  <c r="A70" i="28"/>
  <c r="H69" i="28"/>
  <c r="E69" i="28"/>
  <c r="L69" i="28" s="1"/>
  <c r="C69" i="28"/>
  <c r="B69" i="28"/>
  <c r="A69" i="28"/>
  <c r="H66" i="28"/>
  <c r="E66" i="28"/>
  <c r="L66" i="28" s="1"/>
  <c r="C66" i="28"/>
  <c r="B66" i="28"/>
  <c r="A66" i="28"/>
  <c r="H65" i="28"/>
  <c r="E65" i="28"/>
  <c r="L65" i="28" s="1"/>
  <c r="C65" i="28"/>
  <c r="B65" i="28"/>
  <c r="A65" i="28"/>
  <c r="H64" i="28"/>
  <c r="E64" i="28"/>
  <c r="L64" i="28" s="1"/>
  <c r="C64" i="28"/>
  <c r="B64" i="28"/>
  <c r="A64" i="28"/>
  <c r="H63" i="28"/>
  <c r="E63" i="28"/>
  <c r="L63" i="28" s="1"/>
  <c r="C63" i="28"/>
  <c r="B63" i="28"/>
  <c r="A63" i="28"/>
  <c r="H62" i="28"/>
  <c r="E62" i="28"/>
  <c r="L62" i="28" s="1"/>
  <c r="C62" i="28"/>
  <c r="B62" i="28"/>
  <c r="A62" i="28"/>
  <c r="H61" i="28"/>
  <c r="E61" i="28"/>
  <c r="L61" i="28" s="1"/>
  <c r="C61" i="28"/>
  <c r="B61" i="28"/>
  <c r="A61" i="28"/>
  <c r="H60" i="28"/>
  <c r="E60" i="28"/>
  <c r="L60" i="28" s="1"/>
  <c r="C60" i="28"/>
  <c r="B60" i="28"/>
  <c r="A60" i="28"/>
  <c r="H59" i="28"/>
  <c r="E59" i="28"/>
  <c r="L59" i="28" s="1"/>
  <c r="C59" i="28"/>
  <c r="B59" i="28"/>
  <c r="A59" i="28"/>
  <c r="H58" i="28"/>
  <c r="E58" i="28"/>
  <c r="L58" i="28" s="1"/>
  <c r="C58" i="28"/>
  <c r="B58" i="28"/>
  <c r="A58" i="28"/>
  <c r="H57" i="28"/>
  <c r="E57" i="28"/>
  <c r="L57" i="28" s="1"/>
  <c r="C57" i="28"/>
  <c r="B57" i="28"/>
  <c r="A57" i="28"/>
  <c r="H56" i="28"/>
  <c r="E56" i="28"/>
  <c r="L56" i="28" s="1"/>
  <c r="C56" i="28"/>
  <c r="B56" i="28"/>
  <c r="A56" i="28"/>
  <c r="H55" i="28"/>
  <c r="E55" i="28"/>
  <c r="L55" i="28" s="1"/>
  <c r="C55" i="28"/>
  <c r="B55" i="28"/>
  <c r="A55" i="28"/>
  <c r="E54" i="28"/>
  <c r="L54" i="28" s="1"/>
  <c r="C54" i="28"/>
  <c r="B54" i="28"/>
  <c r="A54" i="28"/>
  <c r="H53" i="28"/>
  <c r="E53" i="28"/>
  <c r="L53" i="28" s="1"/>
  <c r="C53" i="28"/>
  <c r="B53" i="28"/>
  <c r="A53" i="28"/>
  <c r="H52" i="28"/>
  <c r="E52" i="28"/>
  <c r="L52" i="28" s="1"/>
  <c r="C52" i="28"/>
  <c r="B52" i="28"/>
  <c r="A52" i="28"/>
  <c r="H37" i="28"/>
  <c r="E37" i="28"/>
  <c r="L37" i="28" s="1"/>
  <c r="C37" i="28"/>
  <c r="B37" i="28"/>
  <c r="A37" i="28"/>
  <c r="H36" i="28"/>
  <c r="E36" i="28"/>
  <c r="L36" i="28" s="1"/>
  <c r="C36" i="28"/>
  <c r="B36" i="28"/>
  <c r="A36" i="28"/>
  <c r="H35" i="28"/>
  <c r="E35" i="28"/>
  <c r="L35" i="28" s="1"/>
  <c r="C35" i="28"/>
  <c r="B35" i="28"/>
  <c r="A35" i="28"/>
  <c r="H34" i="28"/>
  <c r="E34" i="28"/>
  <c r="L34" i="28" s="1"/>
  <c r="C34" i="28"/>
  <c r="B34" i="28"/>
  <c r="A34" i="28"/>
  <c r="H33" i="28"/>
  <c r="E33" i="28"/>
  <c r="L33" i="28" s="1"/>
  <c r="C33" i="28"/>
  <c r="B33" i="28"/>
  <c r="A33" i="28"/>
  <c r="H32" i="28"/>
  <c r="E32" i="28"/>
  <c r="L32" i="28" s="1"/>
  <c r="C32" i="28"/>
  <c r="B32" i="28"/>
  <c r="A32" i="28"/>
  <c r="H31" i="28"/>
  <c r="E31" i="28"/>
  <c r="L31" i="28" s="1"/>
  <c r="C31" i="28"/>
  <c r="B31" i="28"/>
  <c r="A31" i="28"/>
  <c r="H30" i="28"/>
  <c r="E30" i="28"/>
  <c r="L30" i="28" s="1"/>
  <c r="C30" i="28"/>
  <c r="B30" i="28"/>
  <c r="A30" i="28"/>
  <c r="H29" i="28"/>
  <c r="E29" i="28"/>
  <c r="L29" i="28" s="1"/>
  <c r="C29" i="28"/>
  <c r="B29" i="28"/>
  <c r="A29" i="28"/>
  <c r="H28" i="28"/>
  <c r="E28" i="28"/>
  <c r="L28" i="28" s="1"/>
  <c r="C28" i="28"/>
  <c r="B28" i="28"/>
  <c r="A28" i="28"/>
  <c r="H27" i="28"/>
  <c r="E27" i="28"/>
  <c r="L27" i="28" s="1"/>
  <c r="C27" i="28"/>
  <c r="B27" i="28"/>
  <c r="A27" i="28"/>
  <c r="H26" i="28"/>
  <c r="E26" i="28"/>
  <c r="L26" i="28" s="1"/>
  <c r="C26" i="28"/>
  <c r="B26" i="28"/>
  <c r="A26" i="28"/>
  <c r="H25" i="28"/>
  <c r="E25" i="28"/>
  <c r="L25" i="28" s="1"/>
  <c r="C25" i="28"/>
  <c r="B25" i="28"/>
  <c r="A25" i="28"/>
  <c r="H24" i="28"/>
  <c r="E24" i="28"/>
  <c r="L24" i="28" s="1"/>
  <c r="C24" i="28"/>
  <c r="B24" i="28"/>
  <c r="A24" i="28"/>
  <c r="H23" i="28"/>
  <c r="E23" i="28"/>
  <c r="L23" i="28" s="1"/>
  <c r="C23" i="28"/>
  <c r="B23" i="28"/>
  <c r="A23" i="28"/>
  <c r="H22" i="28"/>
  <c r="E22" i="28"/>
  <c r="L22" i="28" s="1"/>
  <c r="C22" i="28"/>
  <c r="B22" i="28"/>
  <c r="A22" i="28"/>
  <c r="H21" i="28"/>
  <c r="E21" i="28"/>
  <c r="L21" i="28" s="1"/>
  <c r="C21" i="28"/>
  <c r="B21" i="28"/>
  <c r="A21" i="28"/>
  <c r="H20" i="28"/>
  <c r="E20" i="28"/>
  <c r="L20" i="28" s="1"/>
  <c r="C20" i="28"/>
  <c r="B20" i="28"/>
  <c r="A20" i="28"/>
  <c r="H19" i="28"/>
  <c r="E19" i="28"/>
  <c r="L19" i="28" s="1"/>
  <c r="C19" i="28"/>
  <c r="B19" i="28"/>
  <c r="A19" i="28"/>
  <c r="H18" i="28"/>
  <c r="E18" i="28"/>
  <c r="L18" i="28" s="1"/>
  <c r="C18" i="28"/>
  <c r="B18" i="28"/>
  <c r="A18" i="28"/>
  <c r="H17" i="28"/>
  <c r="E17" i="28"/>
  <c r="C17" i="28"/>
  <c r="B17" i="28"/>
  <c r="A17" i="28"/>
  <c r="E16" i="28"/>
  <c r="L16" i="28" s="1"/>
  <c r="C16" i="28"/>
  <c r="B16" i="28"/>
  <c r="A16" i="28"/>
  <c r="E15" i="28"/>
  <c r="L15" i="28" s="1"/>
  <c r="C15" i="28"/>
  <c r="B15" i="28"/>
  <c r="A15" i="28"/>
  <c r="E14" i="28"/>
  <c r="L14" i="28" s="1"/>
  <c r="C14" i="28"/>
  <c r="B14" i="28"/>
  <c r="A14" i="28"/>
  <c r="E13" i="28"/>
  <c r="L13" i="28" s="1"/>
  <c r="C13" i="28"/>
  <c r="B13" i="28"/>
  <c r="A13" i="28"/>
  <c r="E12" i="28"/>
  <c r="L12" i="28" s="1"/>
  <c r="C12" i="28"/>
  <c r="B12" i="28"/>
  <c r="A12" i="28"/>
  <c r="E11" i="28"/>
  <c r="L11" i="28" s="1"/>
  <c r="C11" i="28"/>
  <c r="B11" i="28"/>
  <c r="A11" i="28"/>
  <c r="H10" i="28"/>
  <c r="C10" i="28"/>
  <c r="B10" i="28"/>
  <c r="A10" i="28"/>
  <c r="H9" i="28"/>
  <c r="E9" i="28"/>
  <c r="L9" i="28" s="1"/>
  <c r="C9" i="28"/>
  <c r="B9" i="28"/>
  <c r="A9" i="28"/>
  <c r="H8" i="28"/>
  <c r="E8" i="28"/>
  <c r="L8" i="28" s="1"/>
  <c r="C8" i="28"/>
  <c r="B8" i="28"/>
  <c r="A8" i="28"/>
  <c r="H7" i="28"/>
  <c r="G7" i="28"/>
  <c r="E7" i="28"/>
  <c r="C7" i="28"/>
  <c r="B7" i="28"/>
  <c r="A7" i="28"/>
  <c r="H6" i="28"/>
  <c r="E6" i="28"/>
  <c r="L6" i="28" s="1"/>
  <c r="C6" i="28"/>
  <c r="B6" i="28"/>
  <c r="A6" i="28"/>
  <c r="H5" i="28"/>
  <c r="E5" i="28"/>
  <c r="L5" i="28" s="1"/>
  <c r="C5" i="28"/>
  <c r="B5" i="28"/>
  <c r="A5" i="28"/>
  <c r="C2" i="28"/>
  <c r="G302" i="1"/>
  <c r="G298" i="1"/>
  <c r="H295" i="1"/>
  <c r="G295" i="1" s="1"/>
  <c r="H294" i="1"/>
  <c r="G294" i="1" s="1"/>
  <c r="H293" i="1"/>
  <c r="G293" i="1" s="1"/>
  <c r="G292" i="1"/>
  <c r="G291" i="1"/>
  <c r="G290" i="1"/>
  <c r="G289" i="1"/>
  <c r="G282" i="1"/>
  <c r="G279" i="1"/>
  <c r="G278" i="1"/>
  <c r="G277" i="1"/>
  <c r="H274" i="1"/>
  <c r="G274" i="1" s="1"/>
  <c r="H273" i="1"/>
  <c r="G271" i="1"/>
  <c r="H268" i="1"/>
  <c r="G268" i="1" s="1"/>
  <c r="H267" i="1"/>
  <c r="G267" i="1"/>
  <c r="H266" i="1"/>
  <c r="G266" i="1"/>
  <c r="G265" i="1"/>
  <c r="L260" i="1"/>
  <c r="G260" i="1"/>
  <c r="G259" i="1"/>
  <c r="G258" i="1"/>
  <c r="G257" i="1"/>
  <c r="G255" i="1"/>
  <c r="F249" i="1"/>
  <c r="G248" i="1"/>
  <c r="G247" i="1"/>
  <c r="G246" i="1"/>
  <c r="G245" i="1"/>
  <c r="F243" i="1"/>
  <c r="G242" i="1"/>
  <c r="G241" i="1"/>
  <c r="G240" i="1"/>
  <c r="G239" i="1"/>
  <c r="F237" i="1"/>
  <c r="E195" i="28"/>
  <c r="L195" i="28" s="1"/>
  <c r="E194" i="28"/>
  <c r="L194" i="28" s="1"/>
  <c r="G221" i="1"/>
  <c r="G216" i="1"/>
  <c r="G212" i="1"/>
  <c r="G210" i="1"/>
  <c r="G209" i="1"/>
  <c r="G206" i="1"/>
  <c r="G205" i="1"/>
  <c r="H198" i="1"/>
  <c r="G198" i="1" s="1"/>
  <c r="G197" i="1"/>
  <c r="G196" i="1"/>
  <c r="G195" i="1"/>
  <c r="G194" i="1"/>
  <c r="G193" i="1"/>
  <c r="G192" i="1"/>
  <c r="G191" i="1"/>
  <c r="G190" i="1"/>
  <c r="G189" i="1"/>
  <c r="G188" i="1"/>
  <c r="H182" i="1"/>
  <c r="G182" i="1" s="1"/>
  <c r="G181" i="1"/>
  <c r="G179" i="1"/>
  <c r="G178" i="1"/>
  <c r="G177" i="1"/>
  <c r="G175" i="1"/>
  <c r="G174" i="1"/>
  <c r="G173" i="1"/>
  <c r="H168" i="1"/>
  <c r="G168" i="1" s="1"/>
  <c r="G154" i="1"/>
  <c r="G152" i="1"/>
  <c r="G151" i="1"/>
  <c r="H149" i="1"/>
  <c r="G149" i="1"/>
  <c r="H183" i="1"/>
  <c r="E124" i="28"/>
  <c r="L124" i="28" s="1"/>
  <c r="G138" i="1"/>
  <c r="G136" i="1"/>
  <c r="G116" i="28"/>
  <c r="G101" i="1"/>
  <c r="G98" i="1"/>
  <c r="H87" i="1"/>
  <c r="G87" i="1" s="1"/>
  <c r="G85" i="1"/>
  <c r="G82" i="1"/>
  <c r="G80" i="1"/>
  <c r="G79" i="1"/>
  <c r="H72" i="1"/>
  <c r="G72" i="1"/>
  <c r="H89" i="1"/>
  <c r="G71" i="1"/>
  <c r="G70" i="1"/>
  <c r="G69" i="1"/>
  <c r="G68" i="1"/>
  <c r="G67" i="1"/>
  <c r="G66" i="1"/>
  <c r="G65" i="1"/>
  <c r="G64" i="1"/>
  <c r="G63" i="1"/>
  <c r="G62" i="1"/>
  <c r="G61" i="1"/>
  <c r="G60" i="1"/>
  <c r="G59" i="1"/>
  <c r="G42" i="1"/>
  <c r="G39" i="1"/>
  <c r="O34" i="28"/>
  <c r="H37" i="1"/>
  <c r="G37" i="1" s="1"/>
  <c r="O33" i="28"/>
  <c r="G35" i="1"/>
  <c r="G34" i="1"/>
  <c r="G33" i="1"/>
  <c r="G32" i="1"/>
  <c r="G31" i="1"/>
  <c r="G30" i="1"/>
  <c r="G29" i="1"/>
  <c r="G28" i="1"/>
  <c r="G26" i="1"/>
  <c r="G25" i="1"/>
  <c r="H23" i="1"/>
  <c r="G23" i="1" s="1"/>
  <c r="O21" i="28"/>
  <c r="O20" i="28"/>
  <c r="G20" i="1"/>
  <c r="G18" i="1"/>
  <c r="G11" i="1"/>
  <c r="G10" i="1"/>
  <c r="G8" i="1"/>
  <c r="G7" i="1"/>
  <c r="L291" i="28"/>
  <c r="Y291" i="28" s="1"/>
  <c r="D9" i="73" l="1"/>
  <c r="F11" i="80" s="1"/>
  <c r="D21" i="80"/>
  <c r="F21" i="80" s="1"/>
  <c r="L7" i="80"/>
  <c r="E9" i="80" s="1"/>
  <c r="M20" i="73"/>
  <c r="F20" i="73" s="1"/>
  <c r="M14" i="73"/>
  <c r="D14" i="73" s="1"/>
  <c r="D8" i="73"/>
  <c r="D6" i="73"/>
  <c r="M12" i="73"/>
  <c r="F12" i="73" s="1"/>
  <c r="M19" i="73"/>
  <c r="D19" i="73" s="1"/>
  <c r="F19" i="73" s="1"/>
  <c r="G124" i="28"/>
  <c r="F124" i="28"/>
  <c r="K15" i="73"/>
  <c r="K5" i="73"/>
  <c r="E6" i="73" s="1"/>
  <c r="L264" i="28"/>
  <c r="D10" i="73"/>
  <c r="F10" i="73" s="1"/>
  <c r="L263" i="28"/>
  <c r="L262" i="28"/>
  <c r="M13" i="73"/>
  <c r="W180" i="28"/>
  <c r="W198" i="28"/>
  <c r="W280" i="28"/>
  <c r="W7" i="28"/>
  <c r="W56" i="28"/>
  <c r="W64" i="28"/>
  <c r="W74" i="28"/>
  <c r="W91" i="28"/>
  <c r="W116" i="28"/>
  <c r="W121" i="28"/>
  <c r="W132" i="28"/>
  <c r="W137" i="28"/>
  <c r="W142" i="28"/>
  <c r="W147" i="28"/>
  <c r="W155" i="28"/>
  <c r="W169" i="28"/>
  <c r="W177" i="28"/>
  <c r="W185" i="28"/>
  <c r="W190" i="28"/>
  <c r="W203" i="28"/>
  <c r="W211" i="28"/>
  <c r="W216" i="28"/>
  <c r="W225" i="28"/>
  <c r="W231" i="28"/>
  <c r="W283" i="28"/>
  <c r="W150" i="28"/>
  <c r="W18" i="28"/>
  <c r="W26" i="28"/>
  <c r="W34" i="28"/>
  <c r="W61" i="28"/>
  <c r="W71" i="28"/>
  <c r="W79" i="28"/>
  <c r="W123" i="28"/>
  <c r="W144" i="28"/>
  <c r="W152" i="28"/>
  <c r="W160" i="28"/>
  <c r="W166" i="28"/>
  <c r="W174" i="28"/>
  <c r="W182" i="28"/>
  <c r="W195" i="28"/>
  <c r="W200" i="28"/>
  <c r="W208" i="28"/>
  <c r="W218" i="28"/>
  <c r="W222" i="28"/>
  <c r="W227" i="28"/>
  <c r="W233" i="28"/>
  <c r="W235" i="28"/>
  <c r="W237" i="28"/>
  <c r="W239" i="28"/>
  <c r="W278" i="28"/>
  <c r="W206" i="28"/>
  <c r="W16" i="28"/>
  <c r="W37" i="28"/>
  <c r="W23" i="28"/>
  <c r="W53" i="28"/>
  <c r="W58" i="28"/>
  <c r="W66" i="28"/>
  <c r="W139" i="28"/>
  <c r="W149" i="28"/>
  <c r="W157" i="28"/>
  <c r="W163" i="28"/>
  <c r="W171" i="28"/>
  <c r="W179" i="28"/>
  <c r="W187" i="28"/>
  <c r="W197" i="28"/>
  <c r="W205" i="28"/>
  <c r="W213" i="28"/>
  <c r="W241" i="28"/>
  <c r="W245" i="28"/>
  <c r="W281" i="28"/>
  <c r="W32" i="28"/>
  <c r="W6" i="28"/>
  <c r="W9" i="28"/>
  <c r="W20" i="28"/>
  <c r="W28" i="28"/>
  <c r="W36" i="28"/>
  <c r="W55" i="28"/>
  <c r="W63" i="28"/>
  <c r="W73" i="28"/>
  <c r="W89" i="28"/>
  <c r="W120" i="28"/>
  <c r="W131" i="28"/>
  <c r="W141" i="28"/>
  <c r="W146" i="28"/>
  <c r="W154" i="28"/>
  <c r="W168" i="28"/>
  <c r="W176" i="28"/>
  <c r="W184" i="28"/>
  <c r="W189" i="28"/>
  <c r="W202" i="28"/>
  <c r="W210" i="28"/>
  <c r="W220" i="28"/>
  <c r="W224" i="28"/>
  <c r="W230" i="28"/>
  <c r="W284" i="28"/>
  <c r="W24" i="28"/>
  <c r="W54" i="28"/>
  <c r="W59" i="28"/>
  <c r="W69" i="28"/>
  <c r="W77" i="28"/>
  <c r="W214" i="28"/>
  <c r="W242" i="28"/>
  <c r="W12" i="28"/>
  <c r="W21" i="28"/>
  <c r="W29" i="28"/>
  <c r="W118" i="28"/>
  <c r="W11" i="28"/>
  <c r="W13" i="28"/>
  <c r="W15" i="28"/>
  <c r="W17" i="28"/>
  <c r="W25" i="28"/>
  <c r="W33" i="28"/>
  <c r="W60" i="28"/>
  <c r="W70" i="28"/>
  <c r="W78" i="28"/>
  <c r="W115" i="28"/>
  <c r="W122" i="28"/>
  <c r="W136" i="28"/>
  <c r="W151" i="28"/>
  <c r="W159" i="28"/>
  <c r="W165" i="28"/>
  <c r="W173" i="28"/>
  <c r="W181" i="28"/>
  <c r="W199" i="28"/>
  <c r="W207" i="28"/>
  <c r="W215" i="28"/>
  <c r="W217" i="28"/>
  <c r="W226" i="28"/>
  <c r="W279" i="28"/>
  <c r="W135" i="28"/>
  <c r="W164" i="28"/>
  <c r="W172" i="28"/>
  <c r="W14" i="28"/>
  <c r="W31" i="28"/>
  <c r="W76" i="28"/>
  <c r="W134" i="28"/>
  <c r="W22" i="28"/>
  <c r="W30" i="28"/>
  <c r="W52" i="28"/>
  <c r="W57" i="28"/>
  <c r="W65" i="28"/>
  <c r="W75" i="28"/>
  <c r="W117" i="28"/>
  <c r="W133" i="28"/>
  <c r="W138" i="28"/>
  <c r="W143" i="28"/>
  <c r="W148" i="28"/>
  <c r="W156" i="28"/>
  <c r="W162" i="28"/>
  <c r="W170" i="28"/>
  <c r="W178" i="28"/>
  <c r="W186" i="28"/>
  <c r="W194" i="28"/>
  <c r="W196" i="28"/>
  <c r="W204" i="28"/>
  <c r="W212" i="28"/>
  <c r="W232" i="28"/>
  <c r="W234" i="28"/>
  <c r="W236" i="28"/>
  <c r="W238" i="28"/>
  <c r="W240" i="28"/>
  <c r="W282" i="28"/>
  <c r="W158" i="28"/>
  <c r="W10" i="28"/>
  <c r="W5" i="28"/>
  <c r="W8" i="28"/>
  <c r="W19" i="28"/>
  <c r="W27" i="28"/>
  <c r="W35" i="28"/>
  <c r="W62" i="28"/>
  <c r="W72" i="28"/>
  <c r="W80" i="28"/>
  <c r="W119" i="28"/>
  <c r="W130" i="28"/>
  <c r="W140" i="28"/>
  <c r="W145" i="28"/>
  <c r="W153" i="28"/>
  <c r="W167" i="28"/>
  <c r="W175" i="28"/>
  <c r="W183" i="28"/>
  <c r="W188" i="28"/>
  <c r="W201" i="28"/>
  <c r="W209" i="28"/>
  <c r="W219" i="28"/>
  <c r="W223" i="28"/>
  <c r="W228" i="28"/>
  <c r="W277" i="28"/>
  <c r="L231" i="28"/>
  <c r="Y231" i="28" s="1"/>
  <c r="L7" i="28"/>
  <c r="L17" i="28"/>
  <c r="F233" i="28"/>
  <c r="Y233" i="28"/>
  <c r="Y277" i="28"/>
  <c r="O151" i="28"/>
  <c r="L279" i="28"/>
  <c r="L282" i="28"/>
  <c r="Q282" i="28" s="1"/>
  <c r="L280" i="28"/>
  <c r="X233" i="28"/>
  <c r="L283" i="28"/>
  <c r="Q283" i="28" s="1"/>
  <c r="L278" i="28"/>
  <c r="L281" i="28"/>
  <c r="Y170" i="28"/>
  <c r="L284" i="28"/>
  <c r="Q284" i="28" s="1"/>
  <c r="X266" i="28"/>
  <c r="X267" i="28"/>
  <c r="E143" i="28"/>
  <c r="L143" i="28" s="1"/>
  <c r="M18" i="73" s="1"/>
  <c r="F18" i="73" s="1"/>
  <c r="E230" i="1"/>
  <c r="E10" i="28"/>
  <c r="L10" i="28" s="1"/>
  <c r="L261" i="28" s="1"/>
  <c r="G12" i="1"/>
  <c r="Y66" i="28"/>
  <c r="G13" i="1"/>
  <c r="G14" i="1"/>
  <c r="G15" i="1"/>
  <c r="G16" i="1"/>
  <c r="G17" i="1"/>
  <c r="E91" i="28"/>
  <c r="L91" i="28" s="1"/>
  <c r="O133" i="28"/>
  <c r="E237" i="1"/>
  <c r="O65" i="28"/>
  <c r="O19" i="28"/>
  <c r="E243" i="1"/>
  <c r="X268" i="28"/>
  <c r="Y55" i="28"/>
  <c r="F9" i="28"/>
  <c r="Y136" i="28"/>
  <c r="E249" i="1"/>
  <c r="H199" i="1"/>
  <c r="F230" i="1"/>
  <c r="F250" i="1" s="1"/>
  <c r="Y156" i="28"/>
  <c r="L8" i="80" l="1"/>
  <c r="K9" i="73"/>
  <c r="F9" i="73" s="1"/>
  <c r="L11" i="80"/>
  <c r="D20" i="73"/>
  <c r="G143" i="28"/>
  <c r="F143" i="28"/>
  <c r="D12" i="73"/>
  <c r="F14" i="73"/>
  <c r="D13" i="73"/>
  <c r="F13" i="73" s="1"/>
  <c r="D15" i="73"/>
  <c r="F15" i="73" s="1"/>
  <c r="K8" i="73"/>
  <c r="L8" i="73" s="1"/>
  <c r="L10" i="80" s="1"/>
  <c r="E8" i="73"/>
  <c r="K6" i="73"/>
  <c r="L6" i="73" s="1"/>
  <c r="L9" i="80" s="1"/>
  <c r="L265" i="28"/>
  <c r="B19" i="71"/>
  <c r="B21" i="71" s="1"/>
  <c r="G19" i="71" s="1"/>
  <c r="B9" i="71"/>
  <c r="F27" i="71" s="1"/>
  <c r="X231" i="28"/>
  <c r="F34" i="28"/>
  <c r="G178" i="28"/>
  <c r="Q178" i="28" s="1"/>
  <c r="Q138" i="28"/>
  <c r="F80" i="28"/>
  <c r="Q153" i="28"/>
  <c r="G153" i="28" s="1"/>
  <c r="Q120" i="28"/>
  <c r="G120" i="28" s="1"/>
  <c r="F164" i="28"/>
  <c r="Q55" i="28"/>
  <c r="G55" i="28" s="1"/>
  <c r="F131" i="28"/>
  <c r="Q168" i="28"/>
  <c r="G168" i="28" s="1"/>
  <c r="Y280" i="28"/>
  <c r="Q280" i="28"/>
  <c r="Y281" i="28"/>
  <c r="Q281" i="28"/>
  <c r="Q151" i="28"/>
  <c r="Y237" i="28"/>
  <c r="Y279" i="28"/>
  <c r="Q279" i="28"/>
  <c r="Y122" i="28"/>
  <c r="Q122" i="28"/>
  <c r="G122" i="28" s="1"/>
  <c r="Y238" i="28"/>
  <c r="Y239" i="28"/>
  <c r="Y278" i="28"/>
  <c r="Q278" i="28"/>
  <c r="Q131" i="28"/>
  <c r="G131" i="28" s="1"/>
  <c r="F162" i="28"/>
  <c r="Y162" i="28"/>
  <c r="F148" i="28"/>
  <c r="Y148" i="28"/>
  <c r="Y283" i="28"/>
  <c r="X151" i="28"/>
  <c r="Y151" i="28"/>
  <c r="Y73" i="28"/>
  <c r="X129" i="28"/>
  <c r="Y129" i="28"/>
  <c r="F214" i="28"/>
  <c r="Y214" i="28"/>
  <c r="F18" i="28"/>
  <c r="Y18" i="28"/>
  <c r="F142" i="28"/>
  <c r="Y142" i="28"/>
  <c r="X21" i="28"/>
  <c r="Y21" i="28"/>
  <c r="F213" i="28"/>
  <c r="Y213" i="28"/>
  <c r="X241" i="28"/>
  <c r="Y241" i="28"/>
  <c r="F76" i="28"/>
  <c r="Y76" i="28"/>
  <c r="F25" i="28"/>
  <c r="Y25" i="28"/>
  <c r="X201" i="28"/>
  <c r="Y201" i="28"/>
  <c r="X117" i="28"/>
  <c r="Y117" i="28"/>
  <c r="F228" i="28"/>
  <c r="Y228" i="28"/>
  <c r="X178" i="28"/>
  <c r="Y178" i="28"/>
  <c r="X78" i="28"/>
  <c r="Y78" i="28"/>
  <c r="X5" i="28"/>
  <c r="Y5" i="28"/>
  <c r="X150" i="28"/>
  <c r="Y150" i="28"/>
  <c r="F140" i="28"/>
  <c r="Y140" i="28"/>
  <c r="F138" i="28"/>
  <c r="Y138" i="28"/>
  <c r="X127" i="28"/>
  <c r="Y127" i="28"/>
  <c r="X242" i="28"/>
  <c r="Y242" i="28"/>
  <c r="F63" i="28"/>
  <c r="Y63" i="28"/>
  <c r="X216" i="28"/>
  <c r="Y216" i="28"/>
  <c r="X58" i="28"/>
  <c r="Y58" i="28"/>
  <c r="X206" i="28"/>
  <c r="Y206" i="28"/>
  <c r="F137" i="28"/>
  <c r="Y137" i="28"/>
  <c r="X16" i="28"/>
  <c r="Y16" i="28"/>
  <c r="X219" i="28"/>
  <c r="Y219" i="28"/>
  <c r="X208" i="28"/>
  <c r="Y208" i="28"/>
  <c r="F235" i="28"/>
  <c r="Y235" i="28"/>
  <c r="X72" i="28"/>
  <c r="Y72" i="28"/>
  <c r="F169" i="28"/>
  <c r="Y169" i="28"/>
  <c r="Y180" i="28"/>
  <c r="X74" i="28"/>
  <c r="Y74" i="28"/>
  <c r="F227" i="28"/>
  <c r="Y227" i="28"/>
  <c r="F184" i="28"/>
  <c r="Y184" i="28"/>
  <c r="Y284" i="28"/>
  <c r="F135" i="28"/>
  <c r="Y135" i="28"/>
  <c r="X245" i="28"/>
  <c r="Y245" i="28"/>
  <c r="F130" i="28"/>
  <c r="Y130" i="28"/>
  <c r="F224" i="28"/>
  <c r="Y224" i="28"/>
  <c r="X133" i="28"/>
  <c r="Y133" i="28"/>
  <c r="X197" i="28"/>
  <c r="Y197" i="28"/>
  <c r="X222" i="28"/>
  <c r="Y222" i="28"/>
  <c r="X36" i="28"/>
  <c r="Y36" i="28"/>
  <c r="X190" i="28"/>
  <c r="Y190" i="28"/>
  <c r="X53" i="28"/>
  <c r="Y53" i="28"/>
  <c r="X198" i="28"/>
  <c r="Y198" i="28"/>
  <c r="F223" i="28"/>
  <c r="Y223" i="28"/>
  <c r="X132" i="28"/>
  <c r="Y132" i="28"/>
  <c r="X14" i="28"/>
  <c r="Y14" i="28"/>
  <c r="X167" i="28"/>
  <c r="Y167" i="28"/>
  <c r="X185" i="28"/>
  <c r="Y185" i="28"/>
  <c r="X200" i="28"/>
  <c r="Y200" i="28"/>
  <c r="Y65" i="28"/>
  <c r="F177" i="28"/>
  <c r="Y177" i="28"/>
  <c r="F218" i="28"/>
  <c r="Y218" i="28"/>
  <c r="X17" i="28"/>
  <c r="Y17" i="28"/>
  <c r="F212" i="28"/>
  <c r="Y212" i="28"/>
  <c r="F77" i="28"/>
  <c r="Y77" i="28"/>
  <c r="F226" i="28"/>
  <c r="Y226" i="28"/>
  <c r="X80" i="28"/>
  <c r="Y80" i="28"/>
  <c r="X210" i="28"/>
  <c r="Y210" i="28"/>
  <c r="F9" i="30"/>
  <c r="H9" i="30" s="1"/>
  <c r="Y57" i="28"/>
  <c r="X179" i="28"/>
  <c r="Y179" i="28"/>
  <c r="X33" i="28"/>
  <c r="Y33" i="28"/>
  <c r="F174" i="28"/>
  <c r="Y174" i="28"/>
  <c r="X20" i="28"/>
  <c r="Y20" i="28"/>
  <c r="X160" i="28"/>
  <c r="Y160" i="28"/>
  <c r="X195" i="28"/>
  <c r="Y195" i="28"/>
  <c r="F144" i="28"/>
  <c r="Y144" i="28"/>
  <c r="Y183" i="28"/>
  <c r="F116" i="28"/>
  <c r="Y116" i="28"/>
  <c r="X194" i="28"/>
  <c r="Y194" i="28"/>
  <c r="X199" i="28"/>
  <c r="Y199" i="28"/>
  <c r="X118" i="28"/>
  <c r="Y118" i="28"/>
  <c r="X24" i="28"/>
  <c r="Y24" i="28"/>
  <c r="X131" i="28"/>
  <c r="Y131" i="28"/>
  <c r="F20" i="30"/>
  <c r="Y60" i="28"/>
  <c r="X164" i="28"/>
  <c r="Y164" i="28"/>
  <c r="X12" i="28"/>
  <c r="Y12" i="28"/>
  <c r="F211" i="28"/>
  <c r="Y211" i="28"/>
  <c r="Y79" i="28"/>
  <c r="X165" i="28"/>
  <c r="Y165" i="28"/>
  <c r="X34" i="28"/>
  <c r="Y34" i="28"/>
  <c r="F8" i="28"/>
  <c r="Y8" i="28"/>
  <c r="X230" i="28"/>
  <c r="Y230" i="28"/>
  <c r="X204" i="28"/>
  <c r="Y204" i="28"/>
  <c r="X157" i="28"/>
  <c r="Y157" i="28"/>
  <c r="X75" i="28"/>
  <c r="Y75" i="28"/>
  <c r="X155" i="28"/>
  <c r="Y155" i="28"/>
  <c r="X32" i="28"/>
  <c r="Y32" i="28"/>
  <c r="X119" i="28"/>
  <c r="Y119" i="28"/>
  <c r="X7" i="28"/>
  <c r="Y7" i="28"/>
  <c r="X196" i="28"/>
  <c r="Y196" i="28"/>
  <c r="X69" i="28"/>
  <c r="Y69" i="28"/>
  <c r="X215" i="28"/>
  <c r="Y215" i="28"/>
  <c r="F62" i="28"/>
  <c r="Y62" i="28"/>
  <c r="X202" i="28"/>
  <c r="Y202" i="28"/>
  <c r="X52" i="28"/>
  <c r="Y52" i="28"/>
  <c r="X171" i="28"/>
  <c r="Y171" i="28"/>
  <c r="X15" i="28"/>
  <c r="Y15" i="28"/>
  <c r="F146" i="28"/>
  <c r="Y146" i="28"/>
  <c r="X9" i="28"/>
  <c r="Y9" i="28"/>
  <c r="F149" i="28"/>
  <c r="Y149" i="28"/>
  <c r="Y282" i="28"/>
  <c r="X126" i="28"/>
  <c r="Y126" i="28"/>
  <c r="F175" i="28"/>
  <c r="Y175" i="28"/>
  <c r="F64" i="28"/>
  <c r="Y64" i="28"/>
  <c r="X124" i="28"/>
  <c r="Y124" i="28"/>
  <c r="F145" i="28"/>
  <c r="Y145" i="28"/>
  <c r="F35" i="28"/>
  <c r="Y35" i="28"/>
  <c r="X70" i="28"/>
  <c r="Y70" i="28"/>
  <c r="F221" i="28"/>
  <c r="Y221" i="28"/>
  <c r="X220" i="28"/>
  <c r="Y220" i="28"/>
  <c r="F182" i="28"/>
  <c r="Y182" i="28"/>
  <c r="F31" i="28"/>
  <c r="Y31" i="28"/>
  <c r="X121" i="28"/>
  <c r="Y121" i="28"/>
  <c r="X203" i="28"/>
  <c r="Y203" i="28"/>
  <c r="X225" i="28"/>
  <c r="Y225" i="28"/>
  <c r="X232" i="28"/>
  <c r="Y232" i="28"/>
  <c r="X153" i="28"/>
  <c r="Y153" i="28"/>
  <c r="F71" i="28"/>
  <c r="Y71" i="28"/>
  <c r="X152" i="28"/>
  <c r="Y152" i="28"/>
  <c r="F6" i="28"/>
  <c r="Y6" i="28"/>
  <c r="F186" i="28"/>
  <c r="Y186" i="28"/>
  <c r="F59" i="28"/>
  <c r="Y59" i="28"/>
  <c r="F181" i="28"/>
  <c r="Y181" i="28"/>
  <c r="F27" i="28"/>
  <c r="Y27" i="28"/>
  <c r="X189" i="28"/>
  <c r="Y189" i="28"/>
  <c r="F30" i="28"/>
  <c r="Y30" i="28"/>
  <c r="X163" i="28"/>
  <c r="Y163" i="28"/>
  <c r="X13" i="28"/>
  <c r="Y13" i="28"/>
  <c r="F141" i="28"/>
  <c r="Y141" i="28"/>
  <c r="X240" i="28"/>
  <c r="Y240" i="28"/>
  <c r="F139" i="28"/>
  <c r="Y139" i="28"/>
  <c r="F236" i="28"/>
  <c r="Y236" i="28"/>
  <c r="X61" i="28"/>
  <c r="Y61" i="28"/>
  <c r="X158" i="28"/>
  <c r="Y158" i="28"/>
  <c r="F56" i="28"/>
  <c r="Y56" i="28"/>
  <c r="F29" i="28"/>
  <c r="Y29" i="28"/>
  <c r="X120" i="28"/>
  <c r="Y120" i="28"/>
  <c r="F217" i="28"/>
  <c r="Y217" i="28"/>
  <c r="X168" i="28"/>
  <c r="Y168" i="28"/>
  <c r="F172" i="28"/>
  <c r="Y172" i="28"/>
  <c r="X128" i="28"/>
  <c r="Y128" i="28"/>
  <c r="X125" i="28"/>
  <c r="Y125" i="28"/>
  <c r="X187" i="28"/>
  <c r="Y187" i="28"/>
  <c r="F28" i="28"/>
  <c r="Y28" i="28"/>
  <c r="X209" i="28"/>
  <c r="Y209" i="28"/>
  <c r="X207" i="28"/>
  <c r="Y207" i="28"/>
  <c r="X188" i="28"/>
  <c r="Y188" i="28"/>
  <c r="X115" i="28"/>
  <c r="Y115" i="28"/>
  <c r="X166" i="28"/>
  <c r="Y166" i="28"/>
  <c r="X123" i="28"/>
  <c r="Y123" i="28"/>
  <c r="F23" i="28"/>
  <c r="Y23" i="28"/>
  <c r="X205" i="28"/>
  <c r="Y205" i="28"/>
  <c r="X176" i="28"/>
  <c r="Y176" i="28"/>
  <c r="X54" i="28"/>
  <c r="Y54" i="28"/>
  <c r="X173" i="28"/>
  <c r="Y173" i="28"/>
  <c r="X19" i="28"/>
  <c r="Y19" i="28"/>
  <c r="F159" i="28"/>
  <c r="Y159" i="28"/>
  <c r="F22" i="28"/>
  <c r="Y22" i="28"/>
  <c r="F154" i="28"/>
  <c r="Y154" i="28"/>
  <c r="X11" i="28"/>
  <c r="Y11" i="28"/>
  <c r="X89" i="28"/>
  <c r="Y89" i="28"/>
  <c r="F134" i="28"/>
  <c r="Y134" i="28"/>
  <c r="X234" i="28"/>
  <c r="Y234" i="28"/>
  <c r="X26" i="28"/>
  <c r="Y26" i="28"/>
  <c r="F147" i="28"/>
  <c r="Y147" i="28"/>
  <c r="F37" i="28"/>
  <c r="Y37" i="28"/>
  <c r="X4" i="28"/>
  <c r="Y4" i="28"/>
  <c r="X122" i="28"/>
  <c r="F122" i="28"/>
  <c r="X278" i="28"/>
  <c r="X283" i="28"/>
  <c r="X280" i="28"/>
  <c r="X279" i="28"/>
  <c r="X291" i="28"/>
  <c r="X281" i="28"/>
  <c r="X284" i="28"/>
  <c r="X282" i="28"/>
  <c r="F11" i="30"/>
  <c r="H11" i="30" s="1"/>
  <c r="F61" i="28"/>
  <c r="F17" i="30"/>
  <c r="F171" i="28"/>
  <c r="X277" i="28"/>
  <c r="F60" i="28"/>
  <c r="F26" i="28"/>
  <c r="F24" i="28"/>
  <c r="X238" i="28"/>
  <c r="X237" i="28"/>
  <c r="X239" i="28"/>
  <c r="X18" i="28"/>
  <c r="X130" i="28"/>
  <c r="X212" i="28"/>
  <c r="F52" i="28"/>
  <c r="F7" i="30"/>
  <c r="H7" i="30" s="1"/>
  <c r="F73" i="28"/>
  <c r="X116" i="28"/>
  <c r="F120" i="28"/>
  <c r="X35" i="28"/>
  <c r="X57" i="28"/>
  <c r="X139" i="28"/>
  <c r="X223" i="28"/>
  <c r="X137" i="28"/>
  <c r="F8" i="30"/>
  <c r="F53" i="28"/>
  <c r="X138" i="28"/>
  <c r="F57" i="28"/>
  <c r="X186" i="28"/>
  <c r="X56" i="28"/>
  <c r="D1" i="28"/>
  <c r="G151" i="28"/>
  <c r="X60" i="28"/>
  <c r="H239" i="28"/>
  <c r="Q239" i="28" s="1"/>
  <c r="F14" i="30"/>
  <c r="X227" i="28"/>
  <c r="X62" i="28"/>
  <c r="X140" i="28"/>
  <c r="X182" i="28"/>
  <c r="X147" i="28"/>
  <c r="X141" i="28"/>
  <c r="G164" i="28"/>
  <c r="Q164" i="28" s="1"/>
  <c r="X148" i="28"/>
  <c r="X218" i="28"/>
  <c r="X28" i="28"/>
  <c r="X64" i="28"/>
  <c r="X226" i="28"/>
  <c r="X156" i="28"/>
  <c r="X31" i="28"/>
  <c r="X170" i="28"/>
  <c r="X77" i="28"/>
  <c r="X217" i="28"/>
  <c r="X174" i="28"/>
  <c r="X134" i="28"/>
  <c r="X214" i="28"/>
  <c r="X23" i="28"/>
  <c r="F170" i="28"/>
  <c r="X162" i="28"/>
  <c r="X181" i="28"/>
  <c r="X27" i="28"/>
  <c r="X235" i="28"/>
  <c r="X22" i="28"/>
  <c r="X65" i="28"/>
  <c r="X146" i="28"/>
  <c r="X169" i="28"/>
  <c r="X76" i="28"/>
  <c r="X142" i="28"/>
  <c r="X25" i="28"/>
  <c r="F234" i="28"/>
  <c r="X8" i="28"/>
  <c r="X224" i="28"/>
  <c r="X154" i="28"/>
  <c r="X73" i="28"/>
  <c r="X211" i="28"/>
  <c r="X236" i="28"/>
  <c r="X144" i="28"/>
  <c r="X228" i="28"/>
  <c r="X183" i="28"/>
  <c r="X37" i="28"/>
  <c r="F151" i="28"/>
  <c r="Y143" i="28"/>
  <c r="X221" i="28"/>
  <c r="X135" i="28"/>
  <c r="X59" i="28"/>
  <c r="X184" i="28"/>
  <c r="X63" i="28"/>
  <c r="X149" i="28"/>
  <c r="X180" i="28"/>
  <c r="X175" i="28"/>
  <c r="X29" i="28"/>
  <c r="X172" i="28"/>
  <c r="H225" i="28"/>
  <c r="Q225" i="28" s="1"/>
  <c r="X213" i="28"/>
  <c r="X136" i="28"/>
  <c r="X55" i="28"/>
  <c r="X66" i="28"/>
  <c r="F58" i="28"/>
  <c r="X145" i="28"/>
  <c r="X159" i="28"/>
  <c r="X30" i="28"/>
  <c r="X6" i="28"/>
  <c r="X177" i="28"/>
  <c r="X79" i="28"/>
  <c r="X71" i="28"/>
  <c r="F17" i="28"/>
  <c r="F5" i="28"/>
  <c r="F179" i="28"/>
  <c r="F55" i="28"/>
  <c r="G34" i="28"/>
  <c r="Q34" i="28" s="1"/>
  <c r="G65" i="28"/>
  <c r="Q65" i="28" s="1"/>
  <c r="F66" i="28"/>
  <c r="F65" i="28"/>
  <c r="F21" i="28"/>
  <c r="E250" i="1"/>
  <c r="H238" i="28"/>
  <c r="Q238" i="28" s="1"/>
  <c r="G21" i="28"/>
  <c r="Q21" i="28" s="1"/>
  <c r="G179" i="28"/>
  <c r="Q179" i="28" s="1"/>
  <c r="F185" i="28"/>
  <c r="F188" i="28"/>
  <c r="F133" i="28"/>
  <c r="G133" i="28"/>
  <c r="Q133" i="28" s="1"/>
  <c r="F153" i="28"/>
  <c r="F117" i="28"/>
  <c r="F168" i="28"/>
  <c r="F167" i="28"/>
  <c r="F29" i="30"/>
  <c r="F75" i="28"/>
  <c r="F74" i="28"/>
  <c r="F28" i="30"/>
  <c r="H28" i="30" s="1"/>
  <c r="F33" i="28"/>
  <c r="F7" i="28"/>
  <c r="G163" i="28"/>
  <c r="Q163" i="28" s="1"/>
  <c r="F163" i="28"/>
  <c r="F79" i="28"/>
  <c r="G79" i="28"/>
  <c r="Q79" i="28" s="1"/>
  <c r="G80" i="28"/>
  <c r="Q80" i="28" s="1"/>
  <c r="G33" i="28"/>
  <c r="Q33" i="28" s="1"/>
  <c r="F72" i="28"/>
  <c r="F26" i="30"/>
  <c r="H26" i="30" s="1"/>
  <c r="F178" i="28"/>
  <c r="H220" i="28"/>
  <c r="Q220" i="28" s="1"/>
  <c r="F219" i="28"/>
  <c r="H237" i="28"/>
  <c r="Q237" i="28" s="1"/>
  <c r="F230" i="28"/>
  <c r="F10" i="30"/>
  <c r="F222" i="28"/>
  <c r="D18" i="73" l="1"/>
  <c r="F32" i="71"/>
  <c r="F23" i="71"/>
  <c r="F29" i="71" s="1"/>
  <c r="G239" i="28"/>
  <c r="G237" i="28"/>
  <c r="X10" i="28"/>
  <c r="Y10" i="28"/>
  <c r="F91" i="28"/>
  <c r="Y91" i="28"/>
  <c r="G238" i="28"/>
  <c r="F239" i="28"/>
  <c r="F10" i="28"/>
  <c r="X91" i="28"/>
  <c r="X143" i="28"/>
  <c r="F225" i="28"/>
  <c r="F238" i="28"/>
  <c r="F30" i="30"/>
  <c r="H29" i="30"/>
  <c r="H30" i="30" s="1"/>
  <c r="F220" i="28"/>
  <c r="F12" i="30"/>
  <c r="H10" i="30"/>
  <c r="H12" i="30" s="1"/>
  <c r="F237" i="28"/>
  <c r="F30" i="71" l="1"/>
  <c r="L295" i="28"/>
  <c r="J295" i="28"/>
  <c r="H32" i="30"/>
  <c r="F15" i="30"/>
  <c r="F18" i="30" s="1"/>
  <c r="F32" i="30"/>
  <c r="C22" i="30" l="1"/>
  <c r="F21" i="30"/>
  <c r="C21" i="30"/>
  <c r="F23" i="73" l="1"/>
</calcChain>
</file>

<file path=xl/sharedStrings.xml><?xml version="1.0" encoding="utf-8"?>
<sst xmlns="http://schemas.openxmlformats.org/spreadsheetml/2006/main" count="2490" uniqueCount="1475">
  <si>
    <t xml:space="preserve">Unit Number:      </t>
  </si>
  <si>
    <t>Description of Requested Amount from Audited Financial Statements</t>
  </si>
  <si>
    <t>Capital Assets for Governmental Activities</t>
  </si>
  <si>
    <t>Buildings</t>
  </si>
  <si>
    <t>Plant / distributions systems / water lines</t>
  </si>
  <si>
    <t>Infrastructure(other infrastructure)</t>
  </si>
  <si>
    <t xml:space="preserve">Electric Fund </t>
  </si>
  <si>
    <t>Construction in progress</t>
  </si>
  <si>
    <t>Capital Assets for Electric Fund</t>
  </si>
  <si>
    <t>Gross value:</t>
  </si>
  <si>
    <t>Notes to the Financial Statements -Summary Changes in Long-Term Liability</t>
  </si>
  <si>
    <t>Statement of Revenue, Expenditures and Changes in Fund Balance - Governmental Funds
 - All Governmental Funds</t>
  </si>
  <si>
    <t xml:space="preserve">     not necessarily the statistical section.</t>
  </si>
  <si>
    <t>Notes</t>
  </si>
  <si>
    <t>Buildings annual depreciation</t>
  </si>
  <si>
    <t>Building accumulated depreciation</t>
  </si>
  <si>
    <t>Plant / distributions systems / water lines annual depreciation</t>
  </si>
  <si>
    <t>Plant / distributions systems / water lines accumulated depreciation</t>
  </si>
  <si>
    <t>Infrastructure(other infrastructure) annual depreciation</t>
  </si>
  <si>
    <t>Infrastructure(other infrastructure) accumulated depreciation</t>
  </si>
  <si>
    <t>Total Assets Gross value of assets being depreciated for Electric Fund</t>
  </si>
  <si>
    <t>Total accumulated depreciation for Electric Fund assets</t>
  </si>
  <si>
    <t>receiving operating revenues or paying operating expenditures. Eliminate internal balances within this activity group.</t>
  </si>
  <si>
    <t xml:space="preserve">receiving operating revenues or paying operating expenditures. </t>
  </si>
  <si>
    <t xml:space="preserve">and wastewater funds into one activity for purposes of this worksheet.  Exclude stormwater funds.  Only fill out this section if </t>
  </si>
  <si>
    <t>Notes to the Financial Statements - Other Post-employment benefits (OPEB) Note</t>
  </si>
  <si>
    <t>(The OPEB amounts requested are normally in the OPEB note - however, many of them can also be found on the Required Supplementary Information Schedule for OPEB that follows the Notes.)</t>
  </si>
  <si>
    <t>Notes to the Financial Statements -Transfer Note</t>
  </si>
  <si>
    <t>Notes to the Financial Statements -Fund Balance Note</t>
  </si>
  <si>
    <t>Notes to the Financial Statements - Capital Asset Information</t>
  </si>
  <si>
    <t>Upload Amounts</t>
  </si>
  <si>
    <t xml:space="preserve"> </t>
  </si>
  <si>
    <t>Accumulated depreciation:</t>
  </si>
  <si>
    <t>Total Accumulated depreciation</t>
  </si>
  <si>
    <t>Total Annual depreciation</t>
  </si>
  <si>
    <t>Total Net Water and Sewer Capital Assets</t>
  </si>
  <si>
    <t xml:space="preserve">Fiscal Year </t>
  </si>
  <si>
    <t>Water Sewer Dashboard</t>
  </si>
  <si>
    <t>NC County and Municipal Financial Information</t>
  </si>
  <si>
    <t>All other depreciable capital assets</t>
  </si>
  <si>
    <t>All other depreciable capital assets annual depreciation</t>
  </si>
  <si>
    <t>All other depreciable capital assets accumulated depreciation</t>
  </si>
  <si>
    <t>Description</t>
  </si>
  <si>
    <t>Account #</t>
  </si>
  <si>
    <t>Fiscal Year Reviewer Corrections</t>
  </si>
  <si>
    <t>Fiscal Year Unit Input</t>
  </si>
  <si>
    <t xml:space="preserve">                    FINISHED</t>
  </si>
  <si>
    <t>IMPORT</t>
  </si>
  <si>
    <t>Annual depreciation expense:</t>
  </si>
  <si>
    <t>Errors</t>
  </si>
  <si>
    <t>Other Financial Information</t>
  </si>
  <si>
    <t>Yes</t>
  </si>
  <si>
    <t>No</t>
  </si>
  <si>
    <t>Property Tax Increase for Year Audited</t>
  </si>
  <si>
    <t>Property Tax Increase for budget year after fiscal year being reported</t>
  </si>
  <si>
    <t>Cash &amp; Tax Memo</t>
  </si>
  <si>
    <t>Dashboard</t>
  </si>
  <si>
    <t>Water Sewer Memo</t>
  </si>
  <si>
    <t>Electric Memo</t>
  </si>
  <si>
    <t>Review Summary</t>
  </si>
  <si>
    <t>Error Detection</t>
  </si>
  <si>
    <t>Water Sewer Memo,
Dashboard,
Water Sewer Dashboard</t>
  </si>
  <si>
    <t>Water Sewer Memo, Water Sewer Dashboard</t>
  </si>
  <si>
    <t>Electric Memo,
Dashboard</t>
  </si>
  <si>
    <t>Water Sewer Memo, Water Sewer Dashboard, Dashboard</t>
  </si>
  <si>
    <t>Electrical Memo</t>
  </si>
  <si>
    <t>Dashboard,
Electric Memo</t>
  </si>
  <si>
    <t>Cash &amp; Tax Memo,
Dashboard</t>
  </si>
  <si>
    <t>Dashboard,
Water Sewer Memo</t>
  </si>
  <si>
    <t>Review Summary - FBA</t>
  </si>
  <si>
    <t>General Info used to evaluate health of unit</t>
  </si>
  <si>
    <t>Fiduciary Funds</t>
  </si>
  <si>
    <t>Calculation</t>
  </si>
  <si>
    <t>Total</t>
  </si>
  <si>
    <t>Without Including Restricted Cash</t>
  </si>
  <si>
    <t>Fund Balance Available for Appropriation - G.S. §159-8(a)</t>
  </si>
  <si>
    <t>Unrestricted Cash and Investments ………………………………..…………………..</t>
  </si>
  <si>
    <t>Restricted cash and investments (This would normally include Powell Bill, Bond Proceeds, consolidated funds such as capital reserve funds or tax revaluation funds)</t>
  </si>
  <si>
    <t>Encumbrances at June 30 (listed in the notes)……………………………...…………………………</t>
  </si>
  <si>
    <t>Unavailable or Unearned Revenues Arising from Cash Receipts ……………………………</t>
  </si>
  <si>
    <t>ü</t>
  </si>
  <si>
    <t>Fund Balance Available for Appropriation ……………………………………………………….</t>
  </si>
  <si>
    <t>Total Fund Balance (From Audited Financial Statements) ……………………………………..………………….</t>
  </si>
  <si>
    <t>Total Restricted by State Statue………………………………………….…………………………………………..</t>
  </si>
  <si>
    <t>Restricted by State Statute Presented on Financial Statements</t>
  </si>
  <si>
    <t>Less</t>
  </si>
  <si>
    <t>Non Spendable -  Inventory, Prepaids, or Other ……………………………………………...…………………..</t>
  </si>
  <si>
    <t>Restricted - Stabilization by State Statute (LGC calculation) …………………….………………..</t>
  </si>
  <si>
    <t>Restricted - Stabilization by State Statute (From Audited Financial Statements) ……………………….…………….…………………………</t>
  </si>
  <si>
    <t>Analysis</t>
  </si>
  <si>
    <t>Without Including</t>
  </si>
  <si>
    <t xml:space="preserve"> Total </t>
  </si>
  <si>
    <t>Expenditures - General Fund</t>
  </si>
  <si>
    <t>Total Expenditures - General Fund ………………………………..………………………………..</t>
  </si>
  <si>
    <t>Adjustments</t>
  </si>
  <si>
    <t xml:space="preserve">    Transfers Out …………………………...…………………………………...…….</t>
  </si>
  <si>
    <t xml:space="preserve">    Issuance of Capital Leases &amp; Installment Purchases ……………...………….</t>
  </si>
  <si>
    <t>Total Expenditures (As Adjusted) ………………………………...…………………….</t>
  </si>
  <si>
    <t xml:space="preserve">    Fund Balance Available  as % of Expenditures …………………………..........</t>
  </si>
  <si>
    <t xml:space="preserve"> Restricted Cash</t>
  </si>
  <si>
    <t>WS - Change in Net Position</t>
  </si>
  <si>
    <t>Electric - Change in Net Position</t>
  </si>
  <si>
    <t>WS - Total Net Position</t>
  </si>
  <si>
    <t>Gov - Net Investment in Capital Assets</t>
  </si>
  <si>
    <t>Gov - Restricted Net Position</t>
  </si>
  <si>
    <t>Gov - Unrestricted Net Position</t>
  </si>
  <si>
    <t>Electric - Unrestricted Net Position</t>
  </si>
  <si>
    <t>Electric - Total Net Position</t>
  </si>
  <si>
    <t>Gov - Any Adj. to Beginning Net Position</t>
  </si>
  <si>
    <t>WS - Any Adj. to Beginning Net Position</t>
  </si>
  <si>
    <t>Electric - Any Adj. to Beginning Net Position</t>
  </si>
  <si>
    <t>How Data is used</t>
  </si>
  <si>
    <t>Statutory Calculation of Fund Balance Available for Appropriation At June 30 for the General Fund
Restricted - Stabilization by State Statute</t>
  </si>
  <si>
    <t>WS - Total Assets and deferred outflows</t>
  </si>
  <si>
    <t>Electric - Total Assets and deferred outflows</t>
  </si>
  <si>
    <t>Gov - Total Assets and deferred outflows</t>
  </si>
  <si>
    <t>Gov - Total Liabilities and total deferred inflows</t>
  </si>
  <si>
    <t>Gov - Unearned Revenues included in Select Current Liabilities</t>
  </si>
  <si>
    <t>Gen Fund - Total Assets and deferred outflows</t>
  </si>
  <si>
    <t>Gen  Fund - Current  Liabilities</t>
  </si>
  <si>
    <t>Gen Fund - deferred inflows derived from Cash Receipts</t>
  </si>
  <si>
    <t>Gen Fund - Deferred inflows Not from Cash Receipts</t>
  </si>
  <si>
    <t>WS - Total Liabilities and deferred inflows</t>
  </si>
  <si>
    <t>Electric - Select Current Liabilities</t>
  </si>
  <si>
    <t>Electric - Unearned Revenues included in Select Current Liabilities</t>
  </si>
  <si>
    <t>Electric - Total Liabilities and deferred inflows</t>
  </si>
  <si>
    <t>New Questions  -  Please read and answer if applicable</t>
  </si>
  <si>
    <t>Government Wide Statements - Net Position Statement - Governmental Activities Column</t>
  </si>
  <si>
    <t>Statement</t>
  </si>
  <si>
    <t>Net Position-Governmental Activities</t>
  </si>
  <si>
    <t>Total Assets and deferred outflows</t>
  </si>
  <si>
    <t>Total Liabilities and total deferred inflows</t>
  </si>
  <si>
    <t xml:space="preserve"> Total Net investment in capital assets</t>
  </si>
  <si>
    <t xml:space="preserve"> Total Net Position, Restricted</t>
  </si>
  <si>
    <t>Government Wide Statements-Net Position-Business Activities Column</t>
  </si>
  <si>
    <t>All restricted Cash and investments</t>
  </si>
  <si>
    <t>Net Position-Business Activities</t>
  </si>
  <si>
    <t>Government Wide Statements - Statement of Activities  - Governmental Activities Column</t>
  </si>
  <si>
    <t xml:space="preserve">Total Interest expense on Long-Term Debt </t>
  </si>
  <si>
    <t>Total Expenses</t>
  </si>
  <si>
    <t xml:space="preserve">Charges for services </t>
  </si>
  <si>
    <t>Operating grants and contributions</t>
  </si>
  <si>
    <t>Capital grants and contributions</t>
  </si>
  <si>
    <t>Total Transfers out</t>
  </si>
  <si>
    <t>Statement of Activities - Governmental</t>
  </si>
  <si>
    <t>Fund Statements - General Fund Balance Sheet</t>
  </si>
  <si>
    <t>All restricted cash and investments</t>
  </si>
  <si>
    <t xml:space="preserve">Fund balance, Restricted for Stabilization by State Statute </t>
  </si>
  <si>
    <t>Fund balance, Nonspendable-  inventory/prepaids/etc.</t>
  </si>
  <si>
    <t>General Fund-Balance Sheet</t>
  </si>
  <si>
    <t>Total revenues</t>
  </si>
  <si>
    <t xml:space="preserve">    General Fund Only - Statement of Revenue, Expenditures and Changes in Fund Balance </t>
  </si>
  <si>
    <t>General Fund-Rev, Exp. Change in Fund Balance</t>
  </si>
  <si>
    <t>Total Liabilities and deferred inflows</t>
  </si>
  <si>
    <t>Total Net position</t>
  </si>
  <si>
    <t xml:space="preserve">Statement of Net Position - Electric Fund </t>
  </si>
  <si>
    <t>Amount of inventories and prepaids</t>
  </si>
  <si>
    <t>Total liabilities and total deferred inflows</t>
  </si>
  <si>
    <t>Total net position</t>
  </si>
  <si>
    <t>Total Operating revenues</t>
  </si>
  <si>
    <t>Depreciation and amortization expense</t>
  </si>
  <si>
    <t>Total Operating expenses</t>
  </si>
  <si>
    <t>Interest expense</t>
  </si>
  <si>
    <t>Charges for services</t>
  </si>
  <si>
    <t>Electrical power purchases</t>
  </si>
  <si>
    <t>Fiduciary Statements</t>
  </si>
  <si>
    <t>Cash and Investment Note</t>
  </si>
  <si>
    <t>OPEB Note</t>
  </si>
  <si>
    <t>Transfer Note</t>
  </si>
  <si>
    <t>Fund Balance Note</t>
  </si>
  <si>
    <t>Amount of the Water Sewer Fund Balance appropriated in next year's budget?</t>
  </si>
  <si>
    <t>Analysis of Current Tax Levy Schedule</t>
  </si>
  <si>
    <t>Accumulated depreciation</t>
  </si>
  <si>
    <t>Gov.-Capital Assets Schedule in the Notes</t>
  </si>
  <si>
    <t>WS-Capital Assets Schedule in the Notes</t>
  </si>
  <si>
    <t>WS Capital Assets Schedule-Gross Value</t>
  </si>
  <si>
    <t>WS Capital Assets Schedule-Annual Depreciation</t>
  </si>
  <si>
    <t>WS Capital Assets Schedule-Accumulated Depreciation</t>
  </si>
  <si>
    <t>Electric Assets</t>
  </si>
  <si>
    <t>Electric Accumulated Depreciation</t>
  </si>
  <si>
    <t>Budget Actual Statement for Water Sewer Fund-Modified Accrual Basis</t>
  </si>
  <si>
    <t>Liabilities……………………………………………………………….………………………….</t>
  </si>
  <si>
    <t>Statement of Revenues, Expenses, and Changes in Fund Net Position</t>
  </si>
  <si>
    <t>Gov - Restricted Cash &amp; Investments</t>
  </si>
  <si>
    <t>GA-Total Unrestricted Cash &amp; Investments</t>
  </si>
  <si>
    <t>Gov - Internal Balance</t>
  </si>
  <si>
    <t>Bus - Unrestricted Cash &amp; Investments</t>
  </si>
  <si>
    <t>Bus - Restricted Cash &amp; Investments</t>
  </si>
  <si>
    <t>Gov - Interest Exp on LT Debt</t>
  </si>
  <si>
    <t>Gov - Total Expenses</t>
  </si>
  <si>
    <t>Gov - Charges for Services</t>
  </si>
  <si>
    <t>Gov - Operating grants and contributions</t>
  </si>
  <si>
    <t>Gov - Capital grants and contributions</t>
  </si>
  <si>
    <t>Gov - Total General Revenues</t>
  </si>
  <si>
    <t>Gov - Total Transfers In</t>
  </si>
  <si>
    <t>Gov - Total Transfers Out</t>
  </si>
  <si>
    <t>Gov - Special &amp; Extraordinary Items</t>
  </si>
  <si>
    <t>Gov - Change in Net Position</t>
  </si>
  <si>
    <t>Gen Fund - Unrestricted Cash &amp; Investments</t>
  </si>
  <si>
    <t>Gen Fund - Restricted Cash &amp; Investments</t>
  </si>
  <si>
    <t>Gen Fund - Liabilities from Restricted Assets</t>
  </si>
  <si>
    <t>Gen Fund - RSS</t>
  </si>
  <si>
    <t>Gen Fund - Nonspendable</t>
  </si>
  <si>
    <t>Gen Fund - Powell Bill in FB</t>
  </si>
  <si>
    <t>Gen Fund - Total Fund Balance per report</t>
  </si>
  <si>
    <t>Gen Fund - Intergov Rev</t>
  </si>
  <si>
    <t>Gen Fund - Total Revenue</t>
  </si>
  <si>
    <t>Gen Fund - Debt Annual P &amp; I</t>
  </si>
  <si>
    <t xml:space="preserve">Gen Fund - Total Expenditures </t>
  </si>
  <si>
    <t>Gen Fund - Transfers In</t>
  </si>
  <si>
    <t>Gen Fund - Transfers Out</t>
  </si>
  <si>
    <t xml:space="preserve">Gen Fund - Proceeds from LTD </t>
  </si>
  <si>
    <t>Gen Fund - Other items</t>
  </si>
  <si>
    <t>Gen Fund - Positive debt refund</t>
  </si>
  <si>
    <t>Gen fund - Negative debt refund</t>
  </si>
  <si>
    <t>Gen Fund - Change in Fund Balance</t>
  </si>
  <si>
    <t>Gen Fund - Any Adj. to Beginning Net Assets</t>
  </si>
  <si>
    <t>Gov - Debt P &amp; I</t>
  </si>
  <si>
    <t>WS - Unrestricted Cash &amp; Investments</t>
  </si>
  <si>
    <t>WS - Customer AR Net</t>
  </si>
  <si>
    <t>WS - Inventories &amp; Prepaids in Curr Assets</t>
  </si>
  <si>
    <t>WS - Unearned revenue</t>
  </si>
  <si>
    <t>WS - Unrestricted Net Position</t>
  </si>
  <si>
    <t>Electric - Unrestricted Cash &amp; Investments</t>
  </si>
  <si>
    <t>Electric - Customer AR Net</t>
  </si>
  <si>
    <t>Electric - Inventories &amp; Prepaids in Curr Assets</t>
  </si>
  <si>
    <t>WS - Charges for Services</t>
  </si>
  <si>
    <t>WS - Total Operating Revenue</t>
  </si>
  <si>
    <t>WS - Depreciation &amp; Amortization Exp.</t>
  </si>
  <si>
    <t>WS - Total Operating Expenses</t>
  </si>
  <si>
    <t>WS - Interest Expense</t>
  </si>
  <si>
    <t>WS - Total Non-Operating Revenues</t>
  </si>
  <si>
    <t>WS - Total Non-Operating Expenses</t>
  </si>
  <si>
    <t>WS - Capital Contributions</t>
  </si>
  <si>
    <t>WS - Total Transfer In</t>
  </si>
  <si>
    <t>WS - Total Transfer Out</t>
  </si>
  <si>
    <t>Electric - Charges for Services</t>
  </si>
  <si>
    <t>Electric - Total Operating Revenues</t>
  </si>
  <si>
    <t>Electric - Electrical Power Purchases</t>
  </si>
  <si>
    <t>Electric - Depreciation and Amortization Exp.</t>
  </si>
  <si>
    <t>Electric - Total Operating Expenses</t>
  </si>
  <si>
    <t>Electric - Interest Expense</t>
  </si>
  <si>
    <t>Electric - Total Non-Operating Revenues</t>
  </si>
  <si>
    <t>Electric - Total Non-Operating Expenses</t>
  </si>
  <si>
    <t>Electric - Capital Contributions</t>
  </si>
  <si>
    <t>Electric - Total Transfers In</t>
  </si>
  <si>
    <t>WS - Cash Flow from Operating Activities</t>
  </si>
  <si>
    <t>WS - Principal Paid - Cash Flow</t>
  </si>
  <si>
    <t>WS - Capital Outlay - Cashflow</t>
  </si>
  <si>
    <t>Electric - Cash Flow from Operating Activities</t>
  </si>
  <si>
    <t>Electric - Capital Outlay - Cash Flow</t>
  </si>
  <si>
    <t>Electric - Principal Paid - Cash Flow</t>
  </si>
  <si>
    <t>Fiduciary - Cash and Investments</t>
  </si>
  <si>
    <t>Cash and Investment - Bond Proceeds - all Funds</t>
  </si>
  <si>
    <t>Gov - Debt Liability</t>
  </si>
  <si>
    <t>Gov - Principal Paid</t>
  </si>
  <si>
    <t>Electric - Debt Liability</t>
  </si>
  <si>
    <t>OPEB- Actuarial Value of Assets</t>
  </si>
  <si>
    <t>Transfer from General to Debt Fund</t>
  </si>
  <si>
    <t>Transfer from General Fund to Electric</t>
  </si>
  <si>
    <t>Transfer from Electric to General Fund</t>
  </si>
  <si>
    <t>Gen Fund - Encumbrances</t>
  </si>
  <si>
    <t>Amt of the WS Fund Balance approp. in next year's budget</t>
  </si>
  <si>
    <t>Amt of the GF Fund Bal. approp. in next year's budget</t>
  </si>
  <si>
    <t>Tax Collection Rate - Unit Wide</t>
  </si>
  <si>
    <t>Tax collection Rate - Excluding Vehicles</t>
  </si>
  <si>
    <t>Tax Collection Rate - Vehicles</t>
  </si>
  <si>
    <t>Current year's levy -- Excluding motor vehicles</t>
  </si>
  <si>
    <t>Current year's levy -- Motor vehicles (only)</t>
  </si>
  <si>
    <t>Uncollected Taxes - Curr Year's Levy Exclude Motor Vehicles</t>
  </si>
  <si>
    <t>Uncollected Taxes - Curr Year's Levy Motor Vehicles</t>
  </si>
  <si>
    <t>Comb-Proprietary Funds- Inventories &amp; Prepaids in Curr Assets</t>
  </si>
  <si>
    <t>GA-Total Depreciable capital assets, gross</t>
  </si>
  <si>
    <t>WS Cap Asset - Buildings</t>
  </si>
  <si>
    <t>WS Cap Asset - Plant/Distributions/Lines</t>
  </si>
  <si>
    <t>WS Cap Asset - Infrastructure</t>
  </si>
  <si>
    <t>WS Cap Asset- All other Depreciable Assets</t>
  </si>
  <si>
    <t>WS Annual Dep - Buildings</t>
  </si>
  <si>
    <t>WS Annual Dep - Plant/Distributions/Lines</t>
  </si>
  <si>
    <t>WS Annual Dep - Infrastructure</t>
  </si>
  <si>
    <t>WS Annual Dep - All Other Depreciable Assets</t>
  </si>
  <si>
    <t>WS Acc Dep - Buildings</t>
  </si>
  <si>
    <t>WS Acc Dep - Plant/Distributions/Lines</t>
  </si>
  <si>
    <t>WS Acc Dep - Infrastructure</t>
  </si>
  <si>
    <t>WS Acc Dep - All Other Depreciable Assets</t>
  </si>
  <si>
    <t>Electric Cap Asset - Gross Value of Non-Depreciated Assets</t>
  </si>
  <si>
    <t>Units with Electric Operations have $.07, $.08, $.09</t>
  </si>
  <si>
    <t>Units with Water Sewer Operations have $.01</t>
  </si>
  <si>
    <t>CCH Unit Type</t>
  </si>
  <si>
    <t>CCH Unit Code</t>
  </si>
  <si>
    <t>Were WS rates raised in next year's budget</t>
  </si>
  <si>
    <t>Were WS rates raised during the audited fiscal period</t>
  </si>
  <si>
    <t>Prior Year Amts.</t>
  </si>
  <si>
    <t>Combined Totals of all Proprietary Funds - Cash Flow from Operating</t>
  </si>
  <si>
    <t xml:space="preserve">Counties Only- Local Current Expense to BOEs </t>
  </si>
  <si>
    <t xml:space="preserve">Counties Only- Capital Outlay Contribution to BOEs </t>
  </si>
  <si>
    <t xml:space="preserve">BOE Only-- Local Current Exp. Revenue from County. </t>
  </si>
  <si>
    <t>Combined Totals of all Proprietary Funds - Capital Contributions</t>
  </si>
  <si>
    <t>GF- Total cash &amp; investments (restricted &amp; unrestricted)</t>
  </si>
  <si>
    <t>All cash and investments (unit-wide, w/ fiduciary fds, &amp; restricted cash)</t>
  </si>
  <si>
    <t>Select Your Unit's Name from the drop down box in cell D2</t>
  </si>
  <si>
    <t>Dashboard,
Water Sewer Dashboard</t>
  </si>
  <si>
    <t>Water Sewer Memo,
Water Sewer Dashboard</t>
  </si>
  <si>
    <t>Notes to the Financial Statements - Law Enforcement Officers' Special Separation Allowance Note</t>
  </si>
  <si>
    <t>LEO Note</t>
  </si>
  <si>
    <t>Notes to the Financial Statements -Cash and Investments - Bond/Debt Proceeds</t>
  </si>
  <si>
    <t>Amount of Inventories and Prepaid expenses in current assets</t>
  </si>
  <si>
    <t>Select 1,2,3 or 4:
1-Unit has an OPEB benefit that allows qualified retirees to received health care if the retiree pays the same premium rate as an active employee
2-The unit has no OPEB benefits
3- The unit pays some portion of the qualified retiree's health care premium
4-The unit's qualified retiree's receive health care under the state health care plan</t>
  </si>
  <si>
    <t>Debt Refunding - Net refunding proceeds against debt payoff and if negative place results on this line.</t>
  </si>
  <si>
    <t xml:space="preserve">All other items on this statement that were not included in total revenues, total expenditures, transfers in or out, or proceeds from long-term debt above.  </t>
  </si>
  <si>
    <t>Debt Refunding - Net refunding proceeds against debt payoff and if positive place results on this line.</t>
  </si>
  <si>
    <t>Electric - Total Transfers Out(to all funds)</t>
  </si>
  <si>
    <t>Fund Statements - all Governmental Funds</t>
  </si>
  <si>
    <t>Information</t>
  </si>
  <si>
    <t>If your unit is not on the Drop Down list in cell D2 please select the blank space at the top of the drop down list in cell D2 and enter your units name here and complete the worksheet</t>
  </si>
  <si>
    <t xml:space="preserve">OPEB 
1-implicit rate only  
2-no benefit 
3-benfit 
4- state health plan  </t>
  </si>
  <si>
    <t>Pension Notes</t>
  </si>
  <si>
    <t>Note this number is adjusted for any negative internal balances</t>
  </si>
  <si>
    <t>Formula Results</t>
  </si>
  <si>
    <t>If unit does not answer you do not have to pursue</t>
  </si>
  <si>
    <t>GW-positive internal balance</t>
  </si>
  <si>
    <t>GW-negative internal balance</t>
  </si>
  <si>
    <t>Gov Acc Dep - Capital Assets</t>
  </si>
  <si>
    <t xml:space="preserve">WS Cap Asset - Land &amp; other Non-Construction </t>
  </si>
  <si>
    <t>WS Cap Asset - Construction in Progress</t>
  </si>
  <si>
    <t>Electric Cap Asset - Gross Value of Depreciable Capital Assets</t>
  </si>
  <si>
    <t>Electric Acc Dep - Capital Assets</t>
  </si>
  <si>
    <t>WS-EF- Total LT Debt (ST &amp;LT; normal exclusions)</t>
  </si>
  <si>
    <t>WS-revenues and other financing sources over expenditures and other uses-excl. transfers, capital Cont.</t>
  </si>
  <si>
    <t>If unit did not answer you do not need to pursue.</t>
  </si>
  <si>
    <t>Error Amounts</t>
  </si>
  <si>
    <t>Error Count</t>
  </si>
  <si>
    <t xml:space="preserve">Review Summary </t>
  </si>
  <si>
    <t>Review Summary; Electric Memo</t>
  </si>
  <si>
    <t>Advance To: Interfund loan receivable-portion of repayment plan longer than 12 months</t>
  </si>
  <si>
    <t>GF-Advance To - Asset</t>
  </si>
  <si>
    <t>WS -  Advance To - Asset</t>
  </si>
  <si>
    <t>WS - Advance From - Liability</t>
  </si>
  <si>
    <t>EF - Advance To - Asset</t>
  </si>
  <si>
    <t>EF - Advance from - Liability</t>
  </si>
  <si>
    <t>use on upload template</t>
  </si>
  <si>
    <t>Single Audit Only - total amount of federal awards and grants expended as found on SEFSA</t>
  </si>
  <si>
    <t>Single Audit Only - Total amount of federal awards and grants that were audited as major as found on SEFSA</t>
  </si>
  <si>
    <t>Single Audit Only - total amount of state awards and grants expended as found on SEFSA</t>
  </si>
  <si>
    <t>Single Audit Only - Total amount of state awards and grants that were audited as major as found on SEFSA</t>
  </si>
  <si>
    <t>Fiscal Review</t>
  </si>
  <si>
    <t>Operations</t>
  </si>
  <si>
    <t>Government Wide Statements - Statement of Activities  - Business Type Activities Column</t>
  </si>
  <si>
    <t>Reporting</t>
  </si>
  <si>
    <t>Statement of Activities - Business Activities</t>
  </si>
  <si>
    <t>Total Expenses - Exclude Transfers</t>
  </si>
  <si>
    <t>Business Type - Total Expenses</t>
  </si>
  <si>
    <t>Business Type - Change in Net Position</t>
  </si>
  <si>
    <t>Reviewer if you need to change what the unit entered, do so directly in cell to the right.  Enter "1" to the right if the unit has defined benefit other than the ones adm.   Leave blank if the unit does not answer</t>
  </si>
  <si>
    <t>Indicate if your water/sewer system:
50 - Became Operational
51 - Ceased Operations
52 - No Change</t>
  </si>
  <si>
    <t>50 - Became Operational</t>
  </si>
  <si>
    <t>51 - Ceased Operations</t>
  </si>
  <si>
    <t>52 - No Change</t>
  </si>
  <si>
    <t>Status of Water Sewer</t>
  </si>
  <si>
    <t>C-EF- Current Assets (unrestricted, excl. inventory and prepaids)</t>
  </si>
  <si>
    <t>C-EF Current Assets (unrestricted, incl. inventory and prepaids)</t>
  </si>
  <si>
    <t>GF- Proceeds from all LT debt issuance (COPs, IPs, Notes, CLs, etc.)</t>
  </si>
  <si>
    <t>GA- Total Net transfers in(out) (SOA)</t>
  </si>
  <si>
    <t>GF- Restricted cash &amp; investments</t>
  </si>
  <si>
    <t>Yes  or "1" indicates unit has defined benefit other than the ones adm. By the state</t>
  </si>
  <si>
    <t>County only-timber receipts sent to the schools</t>
  </si>
  <si>
    <t>GF - Advance from</t>
  </si>
  <si>
    <t>Local Curr Exp trx to Fund 8</t>
  </si>
  <si>
    <t>Capital Outlay trx to Fund 8</t>
  </si>
  <si>
    <t>Statement of Activities                               (all governmental and business funds)</t>
  </si>
  <si>
    <t xml:space="preserve">Does your unit sponsor a defined benefit retirement plan other than the four State or Local Government Retirement Plans administered by the State of North Carolina: LGERS, TSERS, Firefighters' and Rescue Squad Workers' and the Registers of Deeds' Supplemental Pension?  Answer Yes if you do have a defined benefit retirement plan other than those mentioned above and provide the name of the plan , a brief description of the benefit and the population group that received the benefit in column G.
</t>
  </si>
  <si>
    <t>https://www.nctreasurer.com/slg/lfm/financial-analysis/Pages/Analysis-by-Population.aspx</t>
  </si>
  <si>
    <t>Interest income from statement of activities</t>
  </si>
  <si>
    <t>Long-Term Liability Note - Governmental Activities</t>
  </si>
  <si>
    <t>Amount the unit paid out in benefits under LEO special separation allowance to retired law enforcement officers this fiscal year if you report under GASB 68 or GASB 73.</t>
  </si>
  <si>
    <t>The total LEO pension liability if you report under GASB 68 or GASB 73.</t>
  </si>
  <si>
    <t>Total LEO pension liability under GASB 68 or 73</t>
  </si>
  <si>
    <t>Unit paid to Officers under LEO under 68 or 73</t>
  </si>
  <si>
    <t>LEO Plan fiduciary net position</t>
  </si>
  <si>
    <t>If you have LEO pension assets and are reporting under GASB 68 please enter "Plan Fiduciary Net Position" which can be found on your RSI schedules and the Notes.</t>
  </si>
  <si>
    <t>Health benefits - total OPEB liability</t>
  </si>
  <si>
    <t>Health benefits- OPEB plan fiduciary net position</t>
  </si>
  <si>
    <t>Vision benefits - total OPEB liability</t>
  </si>
  <si>
    <t>Vision benefits - OPEB plan fiduciary net position</t>
  </si>
  <si>
    <t>Dental benefits - OPEB plan fiduciary net position</t>
  </si>
  <si>
    <t>Other benefits - total OPEB liability</t>
  </si>
  <si>
    <t>Other benefits - OPEB plan fiduciary net position</t>
  </si>
  <si>
    <t xml:space="preserve">For Internal Control Uses Only:
1) NO IC Issues
2) Immaterial IC Issues
3) Unit Visit needed, no UL
4) Unit Letter for IC
5) Consider placing/remaining on Unit Assistance List
6) Consider taking off Unit Assistance List
7) Communication to DPI
</t>
  </si>
  <si>
    <t>Unit was issued:
1) No UL
2) No UL but visit is needed
3) UL with response
4) UL no response required
5) SUL requiring written response
6) Communication to DPI</t>
  </si>
  <si>
    <t>OPEB
 Note or RSI</t>
  </si>
  <si>
    <t>Financial opinion - enter "1" for clean Opinion or "2" for other than clean opinion</t>
  </si>
  <si>
    <t>Dental benefits - total OPEB liability</t>
  </si>
  <si>
    <t>Notes or formulas</t>
  </si>
  <si>
    <t>OPEB
RSI</t>
  </si>
  <si>
    <t>LEO
RSI</t>
  </si>
  <si>
    <t>Do you expect to issue debt requiring LGC approval within 12 months from the date that the audit is submitted - select "1" for yes and "2" for no</t>
  </si>
  <si>
    <t>Debt Issued within next 12 months</t>
  </si>
  <si>
    <t/>
  </si>
  <si>
    <t>Other benefits - plan's fiduary net postion as a % of total OPEB liability</t>
  </si>
  <si>
    <t>LEOSSA – What is the plan’s fiduciary net position as a percentage of the total pension liability?  Please enter as percentage value; for example, 83.5% should be entered as 83.5.  If assets have not been set aside in a trust, please enter 0.0</t>
  </si>
  <si>
    <t>FS., OPEB  note or RSI</t>
  </si>
  <si>
    <t>Compliance opinion - enter "1" for clean Opinion or "2" for other than clean opinion</t>
  </si>
  <si>
    <t>FS., Pension note or RSI</t>
  </si>
  <si>
    <t>Notes to the Financial Statements - Pension Note</t>
  </si>
  <si>
    <t>FS., OPEB note or RSI</t>
  </si>
  <si>
    <t>Does the County collect real estate property taxes on your behalf? Select "1" for "yes and "2" for "No"</t>
  </si>
  <si>
    <t>Not loaded to CCH</t>
  </si>
  <si>
    <t>County collects real estate property on your behalf</t>
  </si>
  <si>
    <t>Net Pension Liability</t>
  </si>
  <si>
    <t>Determination of Fiscal Health</t>
  </si>
  <si>
    <t>Fund Balance, Unassigned</t>
  </si>
  <si>
    <t>Debt Service Fund</t>
  </si>
  <si>
    <t>Please enter the Total Fund Balance for any Debt Service Funds</t>
  </si>
  <si>
    <t>Water Sewer Net Position Statement</t>
  </si>
  <si>
    <t>Total Fund Balance</t>
  </si>
  <si>
    <t>Quick Ratio</t>
  </si>
  <si>
    <t>General fund:</t>
  </si>
  <si>
    <t>Electric Fund:</t>
  </si>
  <si>
    <t>Water Sewer Funds:</t>
  </si>
  <si>
    <t>Current Liabilities - bond anticipation notes</t>
  </si>
  <si>
    <t xml:space="preserve">Current Liabilities - closure/Postclosure </t>
  </si>
  <si>
    <t>Current Liabilities - OPEB</t>
  </si>
  <si>
    <t>Current Liabilities - current liabilities payable from restricted assets</t>
  </si>
  <si>
    <t>Current Liabilities - current pension liabilities</t>
  </si>
  <si>
    <t>Current Liabilities - current compensated absences</t>
  </si>
  <si>
    <t>WS-Current Liabilities - current pension liabilities</t>
  </si>
  <si>
    <t>WS-Current Liabilities - current liabilities payable from restricted assets</t>
  </si>
  <si>
    <t>Total Current Liabilities including current portion of long-term debt</t>
  </si>
  <si>
    <t>WS - Total Current Liabilities including current portion of long-term debt</t>
  </si>
  <si>
    <t>WS-Current Liabilities - bond anticipation notes</t>
  </si>
  <si>
    <t>WS-Current Liabilities - current compensated absences</t>
  </si>
  <si>
    <t>WS-Current Liabilities - OPEB</t>
  </si>
  <si>
    <t>Electric - Total Current Liabilities including current portion of long-term debt</t>
  </si>
  <si>
    <t>Electric-Current Liabilities - bond anticipation notes</t>
  </si>
  <si>
    <t>Electric-Current Liabilities - current compensated absences</t>
  </si>
  <si>
    <t>Electric-Current Liabilities - current pension liabilities</t>
  </si>
  <si>
    <t>Electric-Current Liabilities - current liabilities payable from restricted assets</t>
  </si>
  <si>
    <t>Electric-Current Liabilities - OPEB</t>
  </si>
  <si>
    <t xml:space="preserve"> GF - Fund balance, Assigned </t>
  </si>
  <si>
    <t>GF - Fund Balance, Unassigned</t>
  </si>
  <si>
    <t>Acct #</t>
  </si>
  <si>
    <t>Fund balance, Assigned (total of all assigned components)</t>
  </si>
  <si>
    <t>Amount of the General Fund Balance appropriated in next year's budget. As reported on the General Fund Balance Sheet.</t>
  </si>
  <si>
    <t>Unit Data From Audit Worksheet</t>
  </si>
  <si>
    <t>Cherokee</t>
  </si>
  <si>
    <t>Chowan</t>
  </si>
  <si>
    <t>Durham</t>
  </si>
  <si>
    <t>Gaston</t>
  </si>
  <si>
    <t>Henderson</t>
  </si>
  <si>
    <t>Macon</t>
  </si>
  <si>
    <t>McDowell</t>
  </si>
  <si>
    <t>Mecklenburg</t>
  </si>
  <si>
    <t xml:space="preserve">New Hanover </t>
  </si>
  <si>
    <t>Pitt</t>
  </si>
  <si>
    <t>Rockingham</t>
  </si>
  <si>
    <t>Rutherford</t>
  </si>
  <si>
    <t>Wake</t>
  </si>
  <si>
    <t>Chapel Hill</t>
  </si>
  <si>
    <t>Charlotte</t>
  </si>
  <si>
    <t>Durham City</t>
  </si>
  <si>
    <t>Fuquay Varina</t>
  </si>
  <si>
    <t>Greensboro</t>
  </si>
  <si>
    <t>Greenville</t>
  </si>
  <si>
    <t>High Point</t>
  </si>
  <si>
    <t>Wake Forest</t>
  </si>
  <si>
    <t>Wilmington</t>
  </si>
  <si>
    <t>Winston-Salem</t>
  </si>
  <si>
    <t>Unit #</t>
  </si>
  <si>
    <t>CCH # 647</t>
  </si>
  <si>
    <t>MANDATORY</t>
  </si>
  <si>
    <t>All Fields Must Be Completed</t>
  </si>
  <si>
    <t>Title of Official</t>
  </si>
  <si>
    <t>Date                        (Enter as "MM/DD/YYYY")</t>
  </si>
  <si>
    <t>Telephone number</t>
  </si>
  <si>
    <t>E-mail address</t>
  </si>
  <si>
    <t>GF Exp and Tran out</t>
  </si>
  <si>
    <t>WS debt service</t>
  </si>
  <si>
    <t>100+98</t>
  </si>
  <si>
    <t>44-510</t>
  </si>
  <si>
    <t>WS Current asset</t>
  </si>
  <si>
    <t>532+20+509-533-508</t>
  </si>
  <si>
    <t>WS Days in Sales</t>
  </si>
  <si>
    <t xml:space="preserve">Electric Days in Sales </t>
  </si>
  <si>
    <t>81*365/88</t>
  </si>
  <si>
    <t>91*365/97</t>
  </si>
  <si>
    <t>First name of finance officer or interim finance officer (please enter “vacant” for first or last name if the position is currently vacant)</t>
  </si>
  <si>
    <t>Last name of finance officer or interim finance officer (please enter “vacant” for first or last name if the position is currently vacant)</t>
  </si>
  <si>
    <t>Has the finance officer been formally appointed by the local government, public authority, or designated official?  (Y/N)</t>
  </si>
  <si>
    <t>Has the finance officer or interim finance officer read, understand, and is in compliance with the requirements of N.C.G.S. 159, as applicable based on unit type and circumstances? (Y/N)</t>
  </si>
  <si>
    <t>Does the finance officer or interim finance officer maintain and update (or ensures the maintenance and update of)  financial records monthly, including reconciliation of bank accounts to the general ledger? (Y/N)</t>
  </si>
  <si>
    <t>Permanent</t>
  </si>
  <si>
    <t>REQUIRED</t>
  </si>
  <si>
    <t>RSS-Accounts used to calculate the RSS are shaded in Green</t>
  </si>
  <si>
    <t>WS-Total Current Assets as presented on the Statement of Net Position</t>
  </si>
  <si>
    <t>Units that have a Tourism Development Authority reported in their audit report</t>
  </si>
  <si>
    <t>Do you use prepared food/occupancy tax revenue stream to support debt?  Select "1" for Yes and "2" for No</t>
  </si>
  <si>
    <t>Total OPEB benefits - total OPEB liability
If you do not provide benefit, please enter 0</t>
  </si>
  <si>
    <t>Total OPEB benefits- OPEB plan fiduciary net position
If no fiduciary net position, enter 0</t>
  </si>
  <si>
    <t xml:space="preserve">Total Current assets as listed on the Electric Net Position Statement.  
</t>
  </si>
  <si>
    <t>Unit was issued:
1) No UL
2) No UL but visit is needed
3) UL with response
4) SUL requiring written response
5) Communication to DPI</t>
  </si>
  <si>
    <t>OPEB-Plan's fiduciary net position as a % of total OPEB liability</t>
  </si>
  <si>
    <t>Do you use prepared food/occupancy tax revenue stream to support debt.  Yes =1 No=2</t>
  </si>
  <si>
    <t>(654-655-579-510)/(633-634-635-636-637-638-578)</t>
  </si>
  <si>
    <t>First name of finance officer or interim finance officer (please enter “vacant” for first name if the position is currently vacant)</t>
  </si>
  <si>
    <t>Last name of finance officer or interim finance officer (please enter “vacant” for last name if the position is currently vacant)</t>
  </si>
  <si>
    <t>Is the finance officer serving in a permanent role or an interim role? (select permanent/interim/vacant)</t>
  </si>
  <si>
    <t>Please enter any current liabilities that are payable from restricted assets and included in account 626 above</t>
  </si>
  <si>
    <t>Errors :  The cell to the left indicates the number of error messages on the data input tab</t>
  </si>
  <si>
    <t xml:space="preserve"> Statement of Cash Flows</t>
  </si>
  <si>
    <t>The Official should be the Finance Officer or interim Finance Officer as designated by the Board.</t>
  </si>
  <si>
    <t>Name of Finance Officer</t>
  </si>
  <si>
    <t>Capital</t>
  </si>
  <si>
    <t>Interim</t>
  </si>
  <si>
    <t>Vacant</t>
  </si>
  <si>
    <t>Is the finance officer serving in a permanent role or an interim role. (permanent/interim/vacant)</t>
  </si>
  <si>
    <t>Has the finance officer been formally appointed by the local government, public authority, or designated official.  (Y/N)</t>
  </si>
  <si>
    <t>Date on which the local government, public authority, or designated official appointed the finance officer. (If the date of appointment by the board is difficult to find you may enter January 1 and the year)</t>
  </si>
  <si>
    <t>Has the finance officer or interim finance officer read, understand, and is in compliance with the requirements of N.C.G.S. 159, as applicable based on unit type and circumstances. (Y/N)</t>
  </si>
  <si>
    <t>Does the finance officer or interim finance officer maintain and update (or ensures the maintenance and update of)  financial records monthly, including reconciliation of bank accounts to the general ledger. (Y/N)</t>
  </si>
  <si>
    <t xml:space="preserve">Has the finance officer or interim finance officer submitted (or has ensured the submission of) all required and applicable reports, including but not limited to, the annual audit report (N.C.G.S. 159-34), the semi-annual report on cash and investments (“LGC-203”)(N.C.G.S. 159-33), and the annual financial information report (“AFIR”)(N.C.G.S. 159-33.1) during the fiscal year corresponding to the audit report being submitted. (Y/N)
</t>
  </si>
  <si>
    <t>Indian Beach</t>
  </si>
  <si>
    <t>Jackson</t>
  </si>
  <si>
    <t>Kingstown</t>
  </si>
  <si>
    <t>Love Valley</t>
  </si>
  <si>
    <t>Lucama</t>
  </si>
  <si>
    <t>Lumberton</t>
  </si>
  <si>
    <t>Macclesfield</t>
  </si>
  <si>
    <t>Magnolia</t>
  </si>
  <si>
    <t>Maysville</t>
  </si>
  <si>
    <t>Supplemental School Tax</t>
  </si>
  <si>
    <t>For Internal Control Issues Only
1) no IC issues 
2)Immaterial IC issues
3) Unit letter for IC 
4) Consider placing on Unit Assistance List due to IC issues
5) Communication with DPI</t>
  </si>
  <si>
    <t xml:space="preserve">In your professional opinion do you believe the unit of government can best be served by:
1 - No UL
2 - UL requiring a written response from the unit
3 - UL no written  response required from unit - schedule a staff followup
4-  UL requires a written reponse from unit and a staff followup
5 - Special unit letter requiring a written response
6- Communication to DPI
</t>
  </si>
  <si>
    <t>Electric cash flow - debt service</t>
  </si>
  <si>
    <t>Dashboard; Determination of Fiscal Health</t>
  </si>
  <si>
    <t>WS-Any current assets that are restricted (Cash, Accounts Rec., etc..) and included in account 654 above</t>
  </si>
  <si>
    <t>Electric-Any current assets that are restricted (Cash, Accounts Rec., etc..) and included in account 657 above</t>
  </si>
  <si>
    <t>WS-Any current assets that are restricted (Cash, Accounts Rec., etc..)</t>
  </si>
  <si>
    <t>LEO - plan's fiduciary net position as a % of total pension liability</t>
  </si>
  <si>
    <t>Single Audit Only - Type of compliance report(s) issued:  #1- all unmodified; #2- at least one other (qualified, adverse)</t>
  </si>
  <si>
    <t>Single Audit Only - Coronavirus Relief Fund expenditures (21.019)</t>
  </si>
  <si>
    <t xml:space="preserve">Single Audit Only - Other CARES Act /Coronavirus funding </t>
  </si>
  <si>
    <t>The below information must be completed 
in order to process your audit report.</t>
  </si>
  <si>
    <t>Net OPEB Liability RHBF</t>
  </si>
  <si>
    <t>Total current and non-current portion of Debt. 
Include:  Bonds, bond anticipation notes, 
                 Capital leases,
                 Premiums and discounts,
                 Installment purchases. 
Exclude: Compensated absences, 
                 Pensions, 
                 Other post-employment benefits (OPEB), 
                 Debt within the primary government, 
                 Amounts due to participants from
                        internal service funds, 
                 Landfill closure/postclosure liability, 
                 Any other debt not directly related to 
                        long-term contracts.</t>
  </si>
  <si>
    <t>Important Notes to the Preparer</t>
  </si>
  <si>
    <t>The Unit Data from Audit Worksheet contains edits that will display error messages if these edit tests are not passed.  Please make sure that your worksheet is error free.  The worksheet may be returned to the unit to correct any errors that have not been resolved.</t>
  </si>
  <si>
    <t>Data documenting the unit's compliance with General Statue 159-25 is captured in account numbers 947, 948, 949, 950, 952, 954, 956, and 958.</t>
  </si>
  <si>
    <t>Links to Websites that provide financial data and ratios for Municipalities and Counties</t>
  </si>
  <si>
    <t>Instructions for the Unit Data from Audit Worksheet</t>
  </si>
  <si>
    <t xml:space="preserve">The worksheet requests information for every possible service we collect data on; however, you only need to complete sections that apply to your unit.  For example, the Water Sewer, Electric and OPEB sections may be skipped if you do not have these funds or benefits.   The Water Sewer Questions are only for Water Sewer Funds that are operating as a proprietary fund.  Also, please note that all numbers on the financial statements will not be entered on this worksheet, as we are only requesting information used in the communications described above. </t>
  </si>
  <si>
    <t xml:space="preserve">Date                   </t>
  </si>
  <si>
    <t>The staff of the Local Government Commission is requesting the following information to ensure that our records are current and to determine if units are aware of and in compliance with their statutory responsibilities so that we can better assist and meet the needs of all local governments and public authorities.  G.S. 159-25.  By providing the information below, the submitter is verifying that the answers have been provided and verified by the finance officer.</t>
  </si>
  <si>
    <t>Finance Officer Verification of Unit Data from Audit Worksheet</t>
  </si>
  <si>
    <t xml:space="preserve">Data reported in the “Unit Data from Audit” worksheet must be verified by the finance officer and confirmed to be prepared in accordance with the instructions and in agreement with the unit’s audited financial statements. By providing the information below, the submitter is verifying that the finance officer has ensured that the data meets these requirements. 
</t>
  </si>
  <si>
    <t>GF FBA Less Powell Bill</t>
  </si>
  <si>
    <t>GF FBA% of Exp less Powell Bill</t>
  </si>
  <si>
    <t>(506+536-4-5-6-11)+647/(532+20+509-533-508)</t>
  </si>
  <si>
    <t>(506+536-4-5-6-11)+647</t>
  </si>
  <si>
    <t>Available Fund Balance + debt service fund balance less Powell Bill / Total Expenditures and Transfers-out less bond proceeds</t>
  </si>
  <si>
    <t>N/A</t>
  </si>
  <si>
    <t>NC DEPARTMENT OF STATE TREASURER- STATE AND LOCAL GOVERNMENT FINANCE DIVISION
 AUDIT REPORT TRANSMITTAL DOCUMENT
PORTAL ADDRESS: https://nctreasurerslgfd.leapfile.net</t>
  </si>
  <si>
    <t>Transmittal Instructions</t>
  </si>
  <si>
    <t>Section 1: Contact and General Info</t>
  </si>
  <si>
    <r>
      <t>Name of Primary Governmental Unit:</t>
    </r>
    <r>
      <rPr>
        <sz val="10"/>
        <color rgb="FF00B050"/>
        <rFont val="Verdana"/>
        <family val="2"/>
      </rPr>
      <t xml:space="preserve"> </t>
    </r>
    <r>
      <rPr>
        <i/>
        <sz val="10"/>
        <rFont val="Verdana"/>
        <family val="2"/>
      </rPr>
      <t>ie. City of Dogwood = Dogwood</t>
    </r>
  </si>
  <si>
    <t>Does this unit have a Tourism Development Authority as a discretely presented component unit?</t>
  </si>
  <si>
    <t>E-mail address to notify the Primary Government Unit that report has been reviewed</t>
  </si>
  <si>
    <t xml:space="preserve">Name of Audit Firm </t>
  </si>
  <si>
    <t>Name of Auditor</t>
  </si>
  <si>
    <t>E-mail address to notify the Auditor that the report has been reviewed</t>
  </si>
  <si>
    <r>
      <t xml:space="preserve">E-mail address to send approved invoices </t>
    </r>
    <r>
      <rPr>
        <i/>
        <sz val="9.5"/>
        <rFont val="Verdana"/>
        <family val="2"/>
      </rPr>
      <t>(should be at the audit firm)</t>
    </r>
  </si>
  <si>
    <t>Unit Type</t>
  </si>
  <si>
    <t>Did the Auditor prepare the Unit's financial statements?</t>
  </si>
  <si>
    <r>
      <t xml:space="preserve">Type of Audit </t>
    </r>
    <r>
      <rPr>
        <i/>
        <sz val="10"/>
        <color rgb="FF000000"/>
        <rFont val="Verdana"/>
        <family val="2"/>
      </rPr>
      <t>(Financial Only, Yellow Book, Single Audit)</t>
    </r>
  </si>
  <si>
    <t>Who is the designated person with skills, knowledge and experience (SKE) for the unit?</t>
  </si>
  <si>
    <t>What is the designated SKE's title?</t>
  </si>
  <si>
    <t>Who is the designated SKE's employer?</t>
  </si>
  <si>
    <t>Is the Independent Auditor's Report Opinion Unmodified?</t>
  </si>
  <si>
    <r>
      <t xml:space="preserve">Is there a </t>
    </r>
    <r>
      <rPr>
        <b/>
        <i/>
        <sz val="10"/>
        <color rgb="FF000000"/>
        <rFont val="Verdana"/>
        <family val="2"/>
      </rPr>
      <t>finding</t>
    </r>
    <r>
      <rPr>
        <i/>
        <sz val="10"/>
        <color rgb="FF000000"/>
        <rFont val="Verdana"/>
        <family val="2"/>
      </rPr>
      <t xml:space="preserve"> </t>
    </r>
    <r>
      <rPr>
        <sz val="10"/>
        <color rgb="FF000000"/>
        <rFont val="Verdana"/>
        <family val="2"/>
      </rPr>
      <t xml:space="preserve">for lack of segregation of duties at this unit? </t>
    </r>
  </si>
  <si>
    <r>
      <t>Is there a</t>
    </r>
    <r>
      <rPr>
        <b/>
        <i/>
        <sz val="10"/>
        <color rgb="FF000000"/>
        <rFont val="Verdana"/>
        <family val="2"/>
      </rPr>
      <t xml:space="preserve"> finding</t>
    </r>
    <r>
      <rPr>
        <sz val="10"/>
        <color rgb="FF000000"/>
        <rFont val="Verdana"/>
        <family val="2"/>
      </rPr>
      <t xml:space="preserve"> for lack of technical skills, knowledge and experience (SKE) at this unit?</t>
    </r>
  </si>
  <si>
    <r>
      <t>Is there is a going concern</t>
    </r>
    <r>
      <rPr>
        <i/>
        <sz val="10"/>
        <color rgb="FF000000"/>
        <rFont val="Verdana"/>
        <family val="2"/>
      </rPr>
      <t xml:space="preserve"> </t>
    </r>
    <r>
      <rPr>
        <b/>
        <i/>
        <sz val="10"/>
        <color rgb="FF000000"/>
        <rFont val="Verdana"/>
        <family val="2"/>
      </rPr>
      <t>finding</t>
    </r>
    <r>
      <rPr>
        <sz val="10"/>
        <color rgb="FF000000"/>
        <rFont val="Verdana"/>
        <family val="2"/>
      </rPr>
      <t xml:space="preserve"> noted in the audit report? </t>
    </r>
  </si>
  <si>
    <r>
      <t xml:space="preserve">Number of significant deficiency </t>
    </r>
    <r>
      <rPr>
        <b/>
        <i/>
        <sz val="10"/>
        <color rgb="FF000000"/>
        <rFont val="Verdana"/>
        <family val="2"/>
      </rPr>
      <t>findings</t>
    </r>
    <r>
      <rPr>
        <sz val="10"/>
        <color rgb="FF000000"/>
        <rFont val="Verdana"/>
        <family val="2"/>
      </rPr>
      <t xml:space="preserve"> </t>
    </r>
    <r>
      <rPr>
        <i/>
        <sz val="10"/>
        <color rgb="FF000000"/>
        <rFont val="Verdana"/>
        <family val="2"/>
      </rPr>
      <t>(other than in Questions 15-18 )</t>
    </r>
  </si>
  <si>
    <r>
      <t xml:space="preserve">Number of material weaknesses </t>
    </r>
    <r>
      <rPr>
        <b/>
        <i/>
        <sz val="10"/>
        <color rgb="FF000000"/>
        <rFont val="Verdana"/>
        <family val="2"/>
      </rPr>
      <t>findings</t>
    </r>
    <r>
      <rPr>
        <sz val="10"/>
        <color rgb="FF000000"/>
        <rFont val="Verdana"/>
        <family val="2"/>
      </rPr>
      <t xml:space="preserve"> </t>
    </r>
    <r>
      <rPr>
        <i/>
        <sz val="10"/>
        <color rgb="FF000000"/>
        <rFont val="Verdana"/>
        <family val="2"/>
      </rPr>
      <t>(other than in Questions 15-18)</t>
    </r>
  </si>
  <si>
    <t xml:space="preserve">Is the Finance Officer bonded for at least $50,000? (GS 159-42(h) </t>
  </si>
  <si>
    <t xml:space="preserve">Was a  Management Letter issued? </t>
  </si>
  <si>
    <t>Was an AU-C 260 letter issued?</t>
  </si>
  <si>
    <t>Was an AU-C 265 letter issued?</t>
  </si>
  <si>
    <t>Form completed by:</t>
  </si>
  <si>
    <t>Title:</t>
  </si>
  <si>
    <t>Version:</t>
  </si>
  <si>
    <t>Date:</t>
  </si>
  <si>
    <t>Is the Independent Auditor's Report Opinion Unmodified</t>
  </si>
  <si>
    <t>Is there a finding for lack of segregation of duties at this unit</t>
  </si>
  <si>
    <t>Is there a finding for lack of technical skills, knowledge and experience (SKE) at this unit</t>
  </si>
  <si>
    <t xml:space="preserve">Is there is a going concern finding noted in the audit report </t>
  </si>
  <si>
    <t>Did the Unit have debt service payments deferred or restructured in this fiscal year (does not include refinancings designed to take advantage of lower interest rates)</t>
  </si>
  <si>
    <t>Were debt service payments made late  Deferred payments authorized by LGC or other state agencies should not be counted as late for purposes of this question.</t>
  </si>
  <si>
    <t>Were all bond covenants met</t>
  </si>
  <si>
    <t xml:space="preserve">Is the Finance Officer bonded for at least $50,000 (GS 159-42(h) </t>
  </si>
  <si>
    <t>TD-UL Issued based on report  (Y/N)</t>
  </si>
  <si>
    <t>TD-SUL Issued based on report (Y/N)</t>
  </si>
  <si>
    <t>TD-DPI Issued based on  report (Y/N)</t>
  </si>
  <si>
    <t>TD-Unit Visit Needed based on report (Y/N)</t>
  </si>
  <si>
    <t>TD-Choose one of the following related to Internal Controls:</t>
  </si>
  <si>
    <t># of significant deficiency findings (other than in Questions 15-17 )</t>
  </si>
  <si>
    <t># of material weaknesses findings (other than in Questions 15-17)</t>
  </si>
  <si>
    <t>Unit Name</t>
  </si>
  <si>
    <t>Aberdeen</t>
  </si>
  <si>
    <t>Andrews</t>
  </si>
  <si>
    <t>Anson County</t>
  </si>
  <si>
    <t>Askewville</t>
  </si>
  <si>
    <t>Badin</t>
  </si>
  <si>
    <t>Bath</t>
  </si>
  <si>
    <t>Belhaven</t>
  </si>
  <si>
    <t>Belville</t>
  </si>
  <si>
    <t>Bertie County</t>
  </si>
  <si>
    <t>Bethel</t>
  </si>
  <si>
    <t>Black Creek</t>
  </si>
  <si>
    <t>Boardman</t>
  </si>
  <si>
    <t>Bolton</t>
  </si>
  <si>
    <t>Brevard</t>
  </si>
  <si>
    <t>Castalia</t>
  </si>
  <si>
    <t>Cerro Gordo</t>
  </si>
  <si>
    <t>Chimney Rock</t>
  </si>
  <si>
    <t>Cliffside Sanitary District</t>
  </si>
  <si>
    <t>Colerain</t>
  </si>
  <si>
    <t>Columbia</t>
  </si>
  <si>
    <t>Dobbins Heights</t>
  </si>
  <si>
    <t>Dover</t>
  </si>
  <si>
    <t>Earl</t>
  </si>
  <si>
    <t>East Laurinburg</t>
  </si>
  <si>
    <t>East Spencer</t>
  </si>
  <si>
    <t>Edgecombe County</t>
  </si>
  <si>
    <t>Ellerbe</t>
  </si>
  <si>
    <t>Elm City</t>
  </si>
  <si>
    <t>Enfield</t>
  </si>
  <si>
    <t>Engelhard Sanitary District</t>
  </si>
  <si>
    <t>Everetts</t>
  </si>
  <si>
    <t>Fair Bluff</t>
  </si>
  <si>
    <t>Fairmont</t>
  </si>
  <si>
    <t>Fontana Dam</t>
  </si>
  <si>
    <t>Fork Township Sanitary District</t>
  </si>
  <si>
    <t>Four Oaks</t>
  </si>
  <si>
    <t>Franklinville</t>
  </si>
  <si>
    <t>Fremont</t>
  </si>
  <si>
    <t>Glen Alpine</t>
  </si>
  <si>
    <t>Goldsboro</t>
  </si>
  <si>
    <t>Greenevers</t>
  </si>
  <si>
    <t>Grover</t>
  </si>
  <si>
    <t>Halifax</t>
  </si>
  <si>
    <t>Hamilton</t>
  </si>
  <si>
    <t>Hamlet</t>
  </si>
  <si>
    <t>Hoffman</t>
  </si>
  <si>
    <t>Holly Ridge</t>
  </si>
  <si>
    <t>Hookerton</t>
  </si>
  <si>
    <t>Hyde County</t>
  </si>
  <si>
    <t>Madison County</t>
  </si>
  <si>
    <t>Milton</t>
  </si>
  <si>
    <t>Montreat</t>
  </si>
  <si>
    <t>Mount Olive</t>
  </si>
  <si>
    <t>Navassa</t>
  </si>
  <si>
    <t>Newport</t>
  </si>
  <si>
    <t>Newton Grove</t>
  </si>
  <si>
    <t>Norlina</t>
  </si>
  <si>
    <t>Norman</t>
  </si>
  <si>
    <t>Northampton County</t>
  </si>
  <si>
    <t>Norwood</t>
  </si>
  <si>
    <t>Oak City</t>
  </si>
  <si>
    <t>Orange County</t>
  </si>
  <si>
    <t>Pender County</t>
  </si>
  <si>
    <t>Pikeville</t>
  </si>
  <si>
    <t>Pilot Mountain</t>
  </si>
  <si>
    <t>Polkville</t>
  </si>
  <si>
    <t>Pollocksville</t>
  </si>
  <si>
    <t>Princeville</t>
  </si>
  <si>
    <t>Proctorville</t>
  </si>
  <si>
    <t>Ramseur</t>
  </si>
  <si>
    <t>Ranlo</t>
  </si>
  <si>
    <t>Red Springs</t>
  </si>
  <si>
    <t>Rich Square</t>
  </si>
  <si>
    <t>Robbins</t>
  </si>
  <si>
    <t>Robersonville</t>
  </si>
  <si>
    <t>Ronda</t>
  </si>
  <si>
    <t>Saint Pauls</t>
  </si>
  <si>
    <t>Scotland County</t>
  </si>
  <si>
    <t>Scotland Neck</t>
  </si>
  <si>
    <t>Sedalia</t>
  </si>
  <si>
    <t>Sharpsburg</t>
  </si>
  <si>
    <t>Snow Hill</t>
  </si>
  <si>
    <t>Spring Lake</t>
  </si>
  <si>
    <t>Stanly Water &amp; Sewer Authority</t>
  </si>
  <si>
    <t>Taylorsville</t>
  </si>
  <si>
    <t>Taylortown</t>
  </si>
  <si>
    <t>Tryon</t>
  </si>
  <si>
    <t>Tyrrell County</t>
  </si>
  <si>
    <t>Vanceboro</t>
  </si>
  <si>
    <t>Vass</t>
  </si>
  <si>
    <t>Whitakers</t>
  </si>
  <si>
    <t>Wilkesboro</t>
  </si>
  <si>
    <t>Data not collected in 2020</t>
  </si>
  <si>
    <t>No Revaluation with next two years</t>
  </si>
  <si>
    <t>Unsure</t>
  </si>
  <si>
    <t>Town of</t>
  </si>
  <si>
    <t>Statutory Calculation</t>
  </si>
  <si>
    <t>Actual Financial Reporting (per Audit Report)</t>
  </si>
  <si>
    <t>3% of Gross Capital Assets for the Prior Yr.</t>
  </si>
  <si>
    <t>Gross Capital Assets-Prior Year</t>
  </si>
  <si>
    <t>Results</t>
  </si>
  <si>
    <t>5% of Gross Annual Revenue of the Prior Yr.</t>
  </si>
  <si>
    <t xml:space="preserve">Amount Transferred per Audit </t>
  </si>
  <si>
    <t>Payment in Lieu of Taxes</t>
  </si>
  <si>
    <t>Actual Pilot per Audit</t>
  </si>
  <si>
    <t xml:space="preserve">Calculated Pilot </t>
  </si>
  <si>
    <t xml:space="preserve">PILOT </t>
  </si>
  <si>
    <t>Current property tax rate</t>
  </si>
  <si>
    <t xml:space="preserve">Amount Transferred minus PILOT </t>
  </si>
  <si>
    <t>Compliance</t>
  </si>
  <si>
    <t>Allowable Transfer per statute</t>
  </si>
  <si>
    <t>Is Unit following G.S. 159B-39?</t>
  </si>
  <si>
    <t>Payment in Lieu of Taxes Error:</t>
  </si>
  <si>
    <t>Notes:</t>
  </si>
  <si>
    <t xml:space="preserve">Comments: </t>
  </si>
  <si>
    <t>Electric Transfer Calculation</t>
  </si>
  <si>
    <t>Amount of transfer out to the General Fund that is for Payment in Lieu of Taxes (PILOT)</t>
  </si>
  <si>
    <t>2020-2021</t>
  </si>
  <si>
    <t>Avery, Bladen, Chowan, Craven, Duplin, Guilford, Harnett, Hoke, Jones, Mitchell, Onslow, Pasquotank, Watauga</t>
  </si>
  <si>
    <t>Increase</t>
  </si>
  <si>
    <t>Decrease</t>
  </si>
  <si>
    <t>No Change</t>
  </si>
  <si>
    <t>Performance Indicator</t>
  </si>
  <si>
    <t>This information was not collected in 2020</t>
  </si>
  <si>
    <t>Performance Indicator Worksheet</t>
  </si>
  <si>
    <t>Fiscal Year</t>
  </si>
  <si>
    <t>Unit Number:</t>
  </si>
  <si>
    <t>Explanation of Performance Indicator</t>
  </si>
  <si>
    <t>Equal or greater than 1</t>
  </si>
  <si>
    <t>The unit must address the material and/or significant findings or any other findings that the auditor reported to them.</t>
  </si>
  <si>
    <t>Less than 3%</t>
  </si>
  <si>
    <t>Unit results</t>
  </si>
  <si>
    <t>Unit Data from Audit Worksheet tab: '(506+536-4-5-6)+647/(532+509+20-533-508)</t>
  </si>
  <si>
    <t>Unit Data from Audit Worksheet tab : (654-655-579-510)/(633-634-635-636-637-638-578)</t>
  </si>
  <si>
    <t>901</t>
  </si>
  <si>
    <t>902</t>
  </si>
  <si>
    <t>903</t>
  </si>
  <si>
    <t>904</t>
  </si>
  <si>
    <t>905</t>
  </si>
  <si>
    <t>967</t>
  </si>
  <si>
    <t>969</t>
  </si>
  <si>
    <t>970</t>
  </si>
  <si>
    <t>971</t>
  </si>
  <si>
    <t>972</t>
  </si>
  <si>
    <t>Date the Auditor presented or plans to present the Audit to the Governing Board</t>
  </si>
  <si>
    <t>Did the audit disclose any statutory violations in the notes that were not covered by findings?  Select Yes or No</t>
  </si>
  <si>
    <t>The Auditor will submit the Audit Report to the LGC by December 1, 2021   Select Yes or No</t>
  </si>
  <si>
    <t>The Performance Indicator Tab in this worksheet has at least one performance indicator of concern (indicated by a red shaded cell)</t>
  </si>
  <si>
    <t>TD Info Completed by Auditor : CCH acct # 979</t>
  </si>
  <si>
    <t>TD Info Completed by Auditor : CCH acct # 977</t>
  </si>
  <si>
    <t>If TD Info Completed by Auditor : CCH accts # 907, 951, 953, 955, 957, 973 had entries they would trigger this indicator</t>
  </si>
  <si>
    <t>Of the transfers-in above in acct # 352, list amount of transfers-in that were used to support Water Sewer operations  (exclude capital transfers)</t>
  </si>
  <si>
    <t>This information was not collected in 2021</t>
  </si>
  <si>
    <t>Unit Data from Audit worksheet tab : (984-985)/985</t>
  </si>
  <si>
    <t>Unit Data from Audit worksheet tab :  CCH acct # 991</t>
  </si>
  <si>
    <t>Unit Data from Audit worksheet tab :  CCH acct # 987</t>
  </si>
  <si>
    <t>TD Info Completed by Auditor : CCH acct # 978</t>
  </si>
  <si>
    <t>No over-expenditures</t>
  </si>
  <si>
    <t>The General Fund had a fund balance less than zero - Fund Deficit</t>
  </si>
  <si>
    <t>Unit Data from Audit worksheet tab :  CCH acct # 9</t>
  </si>
  <si>
    <t>In your response letter please review all the Electric performance indicators highlighted in red and provide a detailed financial plan that addresses these Electric issues.</t>
  </si>
  <si>
    <t xml:space="preserve">A Quick ratio less than 1 indicates that the amount the unit owes is larger than their cash investments and receivables.  This can indicate that the Fund may have difficulty in paying its current bills.  If this financial pattern remains the water and/or sewer system may not be sustainable in its current form.  </t>
  </si>
  <si>
    <t xml:space="preserve">This calculation subtracts (operating expenses - depreciation + debt principal paid) from operating revenues.  A negative balance in this indicates that your rate structure is not covering your operating expenses.  </t>
  </si>
  <si>
    <t>Please explain where the operating transfers-in are coming from, why they are being made, and if they will be continued.  Please exclude all capital transfers-in.  Only discuss transfers-in that are being used to support the operations of the Water Sewer Fund.  The rate structure of the Water Sewer fund should support the expenses of the Water Sewer Fund without operating subsidies from other funds.</t>
  </si>
  <si>
    <t>hidden data</t>
  </si>
  <si>
    <t>(532+509+20-533-508)</t>
  </si>
  <si>
    <t>GF  FBA without Powell Bill</t>
  </si>
  <si>
    <t>GF FBA% of Exp w/o Powell Bill</t>
  </si>
  <si>
    <t>WS Quick Ratio</t>
  </si>
  <si>
    <t>Operating Net Income (loss) excluding depreciation+ debt service principal</t>
  </si>
  <si>
    <t>Unit data from Audit Worksheet tab ; 84-85-49+331</t>
  </si>
  <si>
    <t>Unit Data from Audit worksheet tab : 80/(85+351-49+331)</t>
  </si>
  <si>
    <t>Unit Data from Audit worksheet tab : 93-94-52+100</t>
  </si>
  <si>
    <t>Elec Quick ratio</t>
  </si>
  <si>
    <t>WS Unrestricted cash / Total expenses less depreciation+depbt service principal</t>
  </si>
  <si>
    <t>WS Operating Net Income (loss) excluding depreciation+ debt service principal</t>
  </si>
  <si>
    <t>80/(85+351-49+331)</t>
  </si>
  <si>
    <t>(657-658-511-581)/(639-640-641-642-643-644-580)</t>
  </si>
  <si>
    <t>Unit Data from Audit worksheet tab : (657-658-511-581)/(639-640-641-642-643-644-580)</t>
  </si>
  <si>
    <t>Elec Operating Net Income (loss) excluding depreciation+ debt service principal</t>
  </si>
  <si>
    <t>Elec Unrestricted cash / Total expenses less depreciation+depbt service principal</t>
  </si>
  <si>
    <t>(90/(364+94-52+100)</t>
  </si>
  <si>
    <t>Unit Data from Audit worksheet tab : (90/(364+94-52+100)</t>
  </si>
  <si>
    <t>TD Auditor</t>
  </si>
  <si>
    <t>Ad valorem tax collected (including motor vehicle and prior years) reported on budget actual statement</t>
  </si>
  <si>
    <t>Ad valorem tax budgeted (including motor vehicle and prior years) reported on budget actual statement</t>
  </si>
  <si>
    <t>Does Unit expect to issue debt next fiscal year</t>
  </si>
  <si>
    <t>Number of significant deficiency findings (other than in Questions 15-18 )</t>
  </si>
  <si>
    <t>Number of material weaknesses findings (other than in Questions 15-18)</t>
  </si>
  <si>
    <t>Auditor indicated that there was at least one Performance indicator of Concern on the PI tab</t>
  </si>
  <si>
    <t>Result for Performance Indicator Tab</t>
  </si>
  <si>
    <t>It is not uncommon for an Electric System with multiple performance indicators of concern to find that a proposed solution to one of the indicators also solves other performance indicators of concern.</t>
  </si>
  <si>
    <t>Unrestricted cash / Total expenses less depreciation+debt service principal</t>
  </si>
  <si>
    <t>Uni Number</t>
  </si>
  <si>
    <t>Electric Gross Annual Revenue</t>
  </si>
  <si>
    <t>527+356</t>
  </si>
  <si>
    <t>Tax rate for year audited</t>
  </si>
  <si>
    <t>Electric worksheet</t>
  </si>
  <si>
    <t>Location of Documents for the 2021 Audit Submission Process</t>
  </si>
  <si>
    <t>Instructions for Audits with a Fiscal Year Ending Earlier than June 30, 2021</t>
  </si>
  <si>
    <t>Unit Name:</t>
  </si>
  <si>
    <t>A</t>
  </si>
  <si>
    <t>B</t>
  </si>
  <si>
    <t>C</t>
  </si>
  <si>
    <t>D</t>
  </si>
  <si>
    <t>E</t>
  </si>
  <si>
    <t>F</t>
  </si>
  <si>
    <t>G</t>
  </si>
  <si>
    <t>H</t>
  </si>
  <si>
    <t>Total expenditures used to determine a Unit's expenditure group</t>
  </si>
  <si>
    <t>PROPERTY TAX RATES AND REVALUATION SCHEDULES FOR NORTH CAROLINA COUNTIES</t>
  </si>
  <si>
    <t>(All rates per $100 valuation*)</t>
  </si>
  <si>
    <t>Year</t>
  </si>
  <si>
    <t>Next</t>
  </si>
  <si>
    <t>Tax</t>
  </si>
  <si>
    <t>of latest</t>
  </si>
  <si>
    <t>scheduled</t>
  </si>
  <si>
    <t>Counties</t>
  </si>
  <si>
    <t>Rate</t>
  </si>
  <si>
    <t>revaluation</t>
  </si>
  <si>
    <t>ALLEGHANY</t>
  </si>
  <si>
    <t>BUNCOMBE</t>
  </si>
  <si>
    <t>CALDWELL</t>
  </si>
  <si>
    <t>CASWELL</t>
  </si>
  <si>
    <t>CHATHAM</t>
  </si>
  <si>
    <t>CLEVELAND</t>
  </si>
  <si>
    <t>COLUMBUS</t>
  </si>
  <si>
    <t>CURRITUCK</t>
  </si>
  <si>
    <t>DAVIDSON</t>
  </si>
  <si>
    <t>DAVIE</t>
  </si>
  <si>
    <t>FORSYTH</t>
  </si>
  <si>
    <t>GREENE</t>
  </si>
  <si>
    <t>HAYWOOD</t>
  </si>
  <si>
    <t>JACKSON</t>
  </si>
  <si>
    <t>NEW HANOVER</t>
  </si>
  <si>
    <t>ORANGE</t>
  </si>
  <si>
    <t>PERSON</t>
  </si>
  <si>
    <t>POLK</t>
  </si>
  <si>
    <t>STANLY</t>
  </si>
  <si>
    <t>STOKES</t>
  </si>
  <si>
    <t>SURRY</t>
  </si>
  <si>
    <t>SWAIN</t>
  </si>
  <si>
    <t>TRANSYLVANIA</t>
  </si>
  <si>
    <t>UNION</t>
  </si>
  <si>
    <t>WASHINGTON</t>
  </si>
  <si>
    <t>AVERY</t>
  </si>
  <si>
    <t>BLADEN</t>
  </si>
  <si>
    <t>CHOWAN</t>
  </si>
  <si>
    <t>CRAVEN</t>
  </si>
  <si>
    <t>DUPLIN</t>
  </si>
  <si>
    <t>GUILFORD</t>
  </si>
  <si>
    <t>HARNETT</t>
  </si>
  <si>
    <t>HOKE</t>
  </si>
  <si>
    <t>JONES</t>
  </si>
  <si>
    <t>MITCHELL</t>
  </si>
  <si>
    <t>ONSLOW</t>
  </si>
  <si>
    <t>PASQUOTANK</t>
  </si>
  <si>
    <t>WATAUGA</t>
  </si>
  <si>
    <t>ALEXANDER</t>
  </si>
  <si>
    <t>ASHE</t>
  </si>
  <si>
    <t>BRUNSWICK</t>
  </si>
  <si>
    <t>CAMDEN</t>
  </si>
  <si>
    <t>CATAWBA</t>
  </si>
  <si>
    <t>DURHAM</t>
  </si>
  <si>
    <t>GASTON</t>
  </si>
  <si>
    <t>GRAHAM</t>
  </si>
  <si>
    <t>HENDERSON</t>
  </si>
  <si>
    <t>HYDE</t>
  </si>
  <si>
    <t>IREDELL</t>
  </si>
  <si>
    <t>LEE</t>
  </si>
  <si>
    <t>LINCOLN</t>
  </si>
  <si>
    <t>MACON</t>
  </si>
  <si>
    <t>MCDOWELL</t>
  </si>
  <si>
    <t>MECKLENBURG</t>
  </si>
  <si>
    <t>MOORE</t>
  </si>
  <si>
    <t>NORTHAMPTON</t>
  </si>
  <si>
    <t>ROWAN</t>
  </si>
  <si>
    <t>RUTHERFORD</t>
  </si>
  <si>
    <t>WILKES</t>
  </si>
  <si>
    <t>YADKIN</t>
  </si>
  <si>
    <t>CABARRUS</t>
  </si>
  <si>
    <t>CARTERET</t>
  </si>
  <si>
    <t>FRANKLIN</t>
  </si>
  <si>
    <t>HALIFAX</t>
  </si>
  <si>
    <t>PERQUIMANS</t>
  </si>
  <si>
    <t>PITT</t>
  </si>
  <si>
    <t>RICHMOND</t>
  </si>
  <si>
    <t>ROBESON</t>
  </si>
  <si>
    <t>VANCE</t>
  </si>
  <si>
    <t>WAKE</t>
  </si>
  <si>
    <t>WILSON</t>
  </si>
  <si>
    <t>YANCEY</t>
  </si>
  <si>
    <t>ALAMANCE</t>
  </si>
  <si>
    <t>BURKE</t>
  </si>
  <si>
    <t>CUMBERLAND</t>
  </si>
  <si>
    <t>DARE</t>
  </si>
  <si>
    <t>EDGECOMBE</t>
  </si>
  <si>
    <t>GATES</t>
  </si>
  <si>
    <t>JOHNSTON</t>
  </si>
  <si>
    <t>LENOIR</t>
  </si>
  <si>
    <t>MARTIN</t>
  </si>
  <si>
    <t>NASH</t>
  </si>
  <si>
    <t>RANDOLPH</t>
  </si>
  <si>
    <t>TYRRELL</t>
  </si>
  <si>
    <t>WARREN</t>
  </si>
  <si>
    <t>ANSON</t>
  </si>
  <si>
    <t>BEAUFORT</t>
  </si>
  <si>
    <t>CLAY</t>
  </si>
  <si>
    <t>GRANVILLE</t>
  </si>
  <si>
    <t>HERTFORD</t>
  </si>
  <si>
    <t>PENDER</t>
  </si>
  <si>
    <t>ROCKINGHAM</t>
  </si>
  <si>
    <t>SAMPSON</t>
  </si>
  <si>
    <t>SCOTLAND</t>
  </si>
  <si>
    <t>WAYNE</t>
  </si>
  <si>
    <t>BERTIE</t>
  </si>
  <si>
    <t>CHEROKEE</t>
  </si>
  <si>
    <t>MADISON</t>
  </si>
  <si>
    <t>MONTGOMERY</t>
  </si>
  <si>
    <t>PAMLICO</t>
  </si>
  <si>
    <t>Property subject to taxation must be assessed at 100% of appraised value.</t>
  </si>
  <si>
    <t>Revaluations are effective January 1 of year shown.  Real property must be revalued every 8 years but</t>
  </si>
  <si>
    <t>counties may elect to revalue more frequently.</t>
  </si>
  <si>
    <t>Year shown for next scheduled revaluation is the year indicated based on the Octennial Reappraisal Budget Reserve</t>
  </si>
  <si>
    <t>provided to NCDOR as of July 2020.</t>
  </si>
  <si>
    <t>North Carolina Department of Revenue</t>
  </si>
  <si>
    <t>Local Government Division</t>
  </si>
  <si>
    <t>Aug-20</t>
  </si>
  <si>
    <t>The budgeted tax levy for the General fund had more than 3% uncollected for the fiscal year audited - decreases are shown by a negative %</t>
  </si>
  <si>
    <t>The local government had a mandate placed on them by DEQ, a court order or some similar requirement (that has no realistic appeal path) that the financial effect will be greater than 3% of the WS Budget and is not yet budgeted.</t>
  </si>
  <si>
    <t>This tab need to have the most up-to-date UAL list on it at the time it is finalized</t>
  </si>
  <si>
    <t>34% -- Average of similar units is 68%</t>
  </si>
  <si>
    <t>25% -- Average of similar units is 50%</t>
  </si>
  <si>
    <t>Has the finance officer or interim finance officer submitted (or ensured or confirmed submission of) all required and applicable reports including but not limited to  the FY2020 annual audit report (N.C.G.S. 159-34), the semi-annual report on cash and investments (LGC-203) due July 25, 2020 and January 25, 2020 (N.C.G.S. 159-33), and the annual financial information report (AFIR) due by counites and municipalities October 31, 2020 (N.C.G.S. 159-33.1), and any other reports due  during the fiscal year corresponding to the audit report being submitted? (Y/N)</t>
  </si>
  <si>
    <t>84-85+49-331</t>
  </si>
  <si>
    <t xml:space="preserve"> 93-94+52-100</t>
  </si>
  <si>
    <t>School Current Expense Report</t>
  </si>
  <si>
    <t>General Fund-Rev, Exp. Change in Fund Balance or General Fund Budget Actual</t>
  </si>
  <si>
    <t>Local Current Expense sent to Boards of Education (some units present this information in the detailed general fund statements after the notes)
Exclude: amounts for community colleges and 
                  supplemental taxes
Include: amounts spent on resource officers, 
                  nurses and Timber receipts</t>
  </si>
  <si>
    <t xml:space="preserve">How much of the above number in account 147 is from Timber Receipts sent to the schools </t>
  </si>
  <si>
    <t>Amount of Supplemental School Tax revenue recorded in the governmental funds.</t>
  </si>
  <si>
    <t>Amount of Supplemental School Tax revenue recorded in agency funds.</t>
  </si>
  <si>
    <t>All Gov. Funds Rev, Exp. Change in Fund Balance</t>
  </si>
  <si>
    <t>Capital Outlay contributions to the BOEs (include amounts from general fund, capital project funds and any other fund sent to the BOE as part of capital outlay)</t>
  </si>
  <si>
    <t>School Capital Outlay Report to the Legislature</t>
  </si>
  <si>
    <t xml:space="preserve">Amount of Supplemental School Tax revenue recorded in agency funds.
</t>
  </si>
  <si>
    <t># of other matters that auditor asked the unit to respond to.</t>
  </si>
  <si>
    <t>If the answer to Question "975" above is “yes” did the auditor present or plan to present these issues to the governing body in an open meeting and inform the Local Gov. that they are required to submit a " Response to the Auditor's Findings, Recommendations, and Fiscal Matters" within 60 days, to the LGC.   Select Yes, No or N/A.</t>
  </si>
  <si>
    <t>If the unit had PIs of concern, the issues were presented to the board and informed they needed to send Response Letter in 60 days</t>
  </si>
  <si>
    <t>item</t>
  </si>
  <si>
    <t>accounts set-up in 2020 that are equivalent to account 44</t>
  </si>
  <si>
    <t>=654-655-579)</t>
  </si>
  <si>
    <t>accounts set-up in 2020 that are equivalent to account 45</t>
  </si>
  <si>
    <t>=(633-634-635-636-637-638-578)</t>
  </si>
  <si>
    <t>accounts set-up in 2020 that are equivalent to account 47</t>
  </si>
  <si>
    <t>accounts set-up in 2020 that are equivalent to account 48</t>
  </si>
  <si>
    <t>=(657-658-581)</t>
  </si>
  <si>
    <t>=(639-640-641-642-643-644-580)</t>
  </si>
  <si>
    <t>Governmental Activities - Benchmarking Tool uses account 336 in the code to calculate liquidity quick ratio.  Must be included on imported to CCH and SQL database.</t>
  </si>
  <si>
    <t>accounts set-up in 2020 that are equivalent to account 336</t>
  </si>
  <si>
    <t>=626-627-628-629-630-631-632</t>
  </si>
  <si>
    <t>Cell L219 contains formula to sum accounts listed in cell E219</t>
  </si>
  <si>
    <t>Cell L220 contains formula to sum accounts listed in cell E220</t>
  </si>
  <si>
    <t xml:space="preserve">Gov - Select Current Liabilities </t>
  </si>
  <si>
    <t xml:space="preserve">WS - Total Current Assets </t>
  </si>
  <si>
    <t xml:space="preserve">WS - Select Current Liabilities </t>
  </si>
  <si>
    <t xml:space="preserve">Electric - Total Current Assets </t>
  </si>
  <si>
    <t>Total Current assets.  
Include amounts of prepaids and inventory.  
Exclude any current assets identified as restricted.
Exclude "Advance To:-portion of interfund loans with repayment longer than 12 months</t>
  </si>
  <si>
    <t>Current liabilities.  
Include:   Current portions of long-term debt
Exclude:  "Advance From"-portion of interfund loans with repayment longer than 12 months,
                   Bond anticipation notes, 
                   Compensated absences, 
                   Pension liabilities, 
                   Other post-employment liabilities (OPEB), 
                   Closure/postclosure liabilities, 
                   Payables from restricted assets
                   Deferred inflows.</t>
  </si>
  <si>
    <t>Cell L224 contains link that has to be relinked to prior year  "YYYY Data(H)" tab</t>
  </si>
  <si>
    <t>Version Date 5/11/2021</t>
  </si>
  <si>
    <t xml:space="preserve">Fund balance available for appropriation is an important reserve for local governments to provide cash flow during periods of declining revenues and to be used for emergencies and unforeseen expenditures.  Column F to the left indicates the amount of available cash on hand as well as the average for units of your size.  Note one month of expenditures is equal to 8.33%.  In your Response Letter please provide detail plans on how your unit will improve your available fund balance.  Normally, a unit has to either increasing revenues or decreasing expenditures.  </t>
  </si>
  <si>
    <t>This performance indicator calculates the number of months the unit has cash to pay it's annualized expenses (excluding depreciation)  The normal billing cycle is one month and an extra month gives a unit cash balance to handle unusual monthly expenditures.  This 16% would be a bare minimum necessary to keep the fund from experiencing cash flow issues</t>
  </si>
  <si>
    <t>The General Fund has a fund deficit which means that the Unit's revenues and other receipts are inadequate to support its operations.  G.S. 159 13(b)(2) requires that the board fund the full amount of a prior fiscal year's deficit in the current fiscal year's budget.  Therefore, this deficit should have been funded immediately after the June 30, fiscal year-end.  The law requires such action be taken to stop any further deterioration of the overall financial condition of the fund.  Please let us know if the deficit was funded in the budget, and what actions the unit plans to take to bring the general fund balance up to an acceptable level.</t>
  </si>
  <si>
    <t>Do you operate a landfill that will be closing  or have a significant portion closing within the next 5 years?  Select "1" for Yes and "2" for No</t>
  </si>
  <si>
    <t>Does the entity have an  effective pre-audit process to ensure that pervasive budgetary over- expenditures do not occur at the budget ordinance level? Select Yes or No</t>
  </si>
  <si>
    <t xml:space="preserve">Does the entity have an  effective pre-audit process to ensure that pervasive budgetary over- expenditures do not occur at the budget ordinance level? </t>
  </si>
  <si>
    <t xml:space="preserve">Estimated cost not yet budgeted of any mandate placed on unit by DEQ, a court order or some similar requirement (that has no realistic appeal path). </t>
  </si>
  <si>
    <t>The Unit had Statutory Violations listed in the Audit Report that should be addressed in the Unit Response Letter</t>
  </si>
  <si>
    <t>Total current and non-current portion of Debt. 
Include:  Bonds, bond anticipation notes, 
                 Capital leases,
                 Premiums and discounts,
                 Installment purchases. 
Exclude: Compensated absences, 
                 Pensions, 
                 Other post-employment benefits 
                 (OPEB), 
                 Debt within the primary government, 
                 Amounts due to participants from
                 internal service funds, 
                 Landfill closure/postclosure liability, 
                 Any other debt not directly related to 
                        long-term contracts.</t>
  </si>
  <si>
    <t>Cell L221 contains formula to sum accounts listed in cell E221</t>
  </si>
  <si>
    <t>Cell L222 contains formula to sum accounts listed in cell E222</t>
  </si>
  <si>
    <t>Cell L223 contains formula to sum accounts listed in cell E223</t>
  </si>
  <si>
    <t>Cell L225 contains link that has to be relinked to prior year  "YYYY Data(H)" tab</t>
  </si>
  <si>
    <t>Cell L226 contains link that has to be relinked to prior year "YYYY Data(H)" tab</t>
  </si>
  <si>
    <t>must be populated  in L column for database upload</t>
  </si>
  <si>
    <t>Must be linked to unit number on Unit Datat from Audit Worksheet tab</t>
  </si>
  <si>
    <t xml:space="preserve"> formula in E column - use for handling date from TD Info Completed by Auditor tab uploading to database</t>
  </si>
  <si>
    <t>If unit is an employer participant in one of the State Cost Sharing Plans rows 182 - 184 should be blank.  Unless they have an additional single employer plan.</t>
  </si>
  <si>
    <t>TD</t>
  </si>
  <si>
    <t>Did the Unit have debt service payments deferred or restructured in this fiscal year? (does not include refinancings designed to take advantage of lower interest rates)  Select Yes, No, or NA</t>
  </si>
  <si>
    <t>TD-Did unit have their debt service payments restructured in this fiscal year</t>
  </si>
  <si>
    <t>Total Transfers in - all funds (operating and capital)</t>
  </si>
  <si>
    <t>The Counties listed in cell H256 are scheduled to revalue property listing by 1/1/2022 according to the Dept. of Revenue records.  Please indicate if you expect your revaluation to: 
Enter  "20" for increase, 
            "21" for decrease, 
            "22" for no change,
            "23" if this question is not applicable</t>
  </si>
  <si>
    <t>Did the Unit have any of the following occur:
1.  Bond covenants were not met
2.  Debt service payments made late?  Deferred payments authorized by LGC or other state
     agencies should not be counted as late for purposes of this question.</t>
  </si>
  <si>
    <r>
      <t xml:space="preserve">Primary Government's  FYE </t>
    </r>
    <r>
      <rPr>
        <i/>
        <sz val="10"/>
        <color rgb="FF000000"/>
        <rFont val="Verdana"/>
        <family val="2"/>
      </rPr>
      <t>(MM/DD/YYYY)</t>
    </r>
  </si>
  <si>
    <r>
      <t xml:space="preserve">Date </t>
    </r>
    <r>
      <rPr>
        <i/>
        <sz val="10"/>
        <color theme="1"/>
        <rFont val="Verdana"/>
        <family val="2"/>
      </rPr>
      <t>(MM/DD/YYYY)</t>
    </r>
  </si>
  <si>
    <t>Hide This Column</t>
  </si>
  <si>
    <t>Muni</t>
  </si>
  <si>
    <t>Muni, county, utility authority</t>
  </si>
  <si>
    <t>Muni, Utility Authority</t>
  </si>
  <si>
    <t>As of the creation of this worksheet your unit was on the Unit Assistance List.  Please provide details of what progress you have made to date to improve the issues that placed you on the list and future progress you intend to make.  If you are unaware that you are on the Unit Assistance List please email LGCMonitoring@nctreasurer.com and request a copy of the letter notifying you of your status on the Unit Assistance List.</t>
  </si>
  <si>
    <t>Minimum Threshold</t>
  </si>
  <si>
    <t>In your response letter please review all the Water Sewer performance indicators highlighted in red and provide a detailed financial plan that addresses these water sewer issues.  It is not uncommon for a Water Sewer System with multiple performance indicators of concern to find that a proposed solution to one of the indicators also solves other performance indicators of concern.</t>
  </si>
  <si>
    <r>
      <t xml:space="preserve">If any </t>
    </r>
    <r>
      <rPr>
        <i/>
        <sz val="14"/>
        <color theme="1"/>
        <rFont val="Calibri"/>
        <family val="2"/>
        <scheme val="minor"/>
      </rPr>
      <t>Units Results</t>
    </r>
    <r>
      <rPr>
        <sz val="14"/>
        <color theme="1"/>
        <rFont val="Calibri"/>
        <family val="2"/>
        <scheme val="minor"/>
      </rPr>
      <t xml:space="preserve"> in Column F are shaded red then the unit must submit a "Response to the Auditor's Findings, Recommendations, and Fiscal Matters"  within 60 days from the Auditors board presentation.  The Response must address all performance indicators shaded in red.</t>
    </r>
  </si>
  <si>
    <t>Enterprise Funds:</t>
  </si>
  <si>
    <t>Miscellaneous</t>
  </si>
  <si>
    <t>Less than zero is below threshold</t>
  </si>
  <si>
    <t>Enterprise Funds other than WS and Electric</t>
  </si>
  <si>
    <t>Combined Proprietary Funds - Net Position</t>
  </si>
  <si>
    <t>Comb-Proprietary Funds-Current Assets 
Exclude: any restricted assets
                  deferred outflows.</t>
  </si>
  <si>
    <t>Combined Totals of all Proprietary Funds - Total Current Liabilities  
Include:  Current liabilities and current portion of long-term debt 
Exclude:   Bond anticipation notes
                   Compensated Absences
                   Pension liabilities
                   Liabilities payable from restricted assets
                   Other post employment liabilities (OPEB)
                   Deferred inflows</t>
  </si>
  <si>
    <t>Combined Totals of all Proprietary Funds - Revenue, Expenses, Changes in Net Position</t>
  </si>
  <si>
    <t>Combined Totals of all proprietary Funds - Depreciation &amp; Amortization Expense</t>
  </si>
  <si>
    <t>Combined Totals of all Proprietary Funds - Change in net position - (increase in net position is recorded as a positive and a decrease in net position is recorded as a negative)</t>
  </si>
  <si>
    <t>193</t>
  </si>
  <si>
    <t>Combined Proprietary Funds - Change in Cash Flow Statement</t>
  </si>
  <si>
    <t>33</t>
  </si>
  <si>
    <t>Local Current Expense Revenue from the County (Enter as a positive) 
Exclude: supplemental taxes
Include: Timber Receipts, amounts spent on 
                  resource officers and nurses, etc.  
                  Amount must agree with the amount
                  reported in the County Audit Report</t>
  </si>
  <si>
    <t xml:space="preserve">Capital Outlay revenue from the County and budgeted by the County as Capital Outlay reported in the School Capital Outlay fund or the local current expense fund.  (capitalization policies might be different between the Schools and County)
</t>
  </si>
  <si>
    <t>County School Capital Outlay Rpt.</t>
  </si>
  <si>
    <t xml:space="preserve">Fund 8 Rev, Exp. Change in Fund Balance Rpt. </t>
  </si>
  <si>
    <t>BOE</t>
  </si>
  <si>
    <t>Hospital</t>
  </si>
  <si>
    <t>Net Position</t>
  </si>
  <si>
    <t>Unrestricted Cash &amp; Investments - all but exclude "Held by Trustee" or "3rd party restricted"</t>
  </si>
  <si>
    <t>Net Patient Accounts Receivable</t>
  </si>
  <si>
    <t>Unrestricted fund equity or net position</t>
  </si>
  <si>
    <t>Revenue, Expenses, Changes in Net Position</t>
  </si>
  <si>
    <t>Net Patient Revenues</t>
  </si>
  <si>
    <t>Total Operating Revenues</t>
  </si>
  <si>
    <t xml:space="preserve">Capital Contributions </t>
  </si>
  <si>
    <t>Change in Net Position</t>
  </si>
  <si>
    <t>Cash Flows</t>
  </si>
  <si>
    <t>Capital Outlays</t>
  </si>
  <si>
    <t>Principal Paid - Long-term Debt</t>
  </si>
  <si>
    <t>Total Long-term debt (non current portion only) - enter as a positive</t>
  </si>
  <si>
    <t>Total Operating Expenses. May include Interest Expense - Enter as a positive</t>
  </si>
  <si>
    <t xml:space="preserve">Interest Expense - Enter as a positive </t>
  </si>
  <si>
    <r>
      <t>Gross Capital Assets-</t>
    </r>
    <r>
      <rPr>
        <b/>
        <sz val="11"/>
        <rFont val="Calibri"/>
        <family val="2"/>
        <scheme val="minor"/>
      </rPr>
      <t>Prior Year</t>
    </r>
  </si>
  <si>
    <r>
      <t>Gross Annual Revenue-</t>
    </r>
    <r>
      <rPr>
        <b/>
        <sz val="11"/>
        <rFont val="Calibri"/>
        <family val="2"/>
        <scheme val="minor"/>
      </rPr>
      <t>Prior Year</t>
    </r>
  </si>
  <si>
    <r>
      <rPr>
        <b/>
        <i/>
        <sz val="11"/>
        <rFont val="Calibri"/>
        <family val="2"/>
        <scheme val="minor"/>
      </rPr>
      <t>Amount Transferred minus PILOT (cell F23)</t>
    </r>
    <r>
      <rPr>
        <i/>
        <sz val="11"/>
        <rFont val="Calibri"/>
        <family val="2"/>
        <scheme val="minor"/>
      </rPr>
      <t xml:space="preserve"> is calculated by taking the Amount Transferred per Audit (cell F14) and subtracting the greater amount of PILOT (cells F19 and G19). When cell F23 exceeds the statutory calculation in cell F27, you will get an error message "No, unit exceeds limit by:"</t>
    </r>
  </si>
  <si>
    <r>
      <rPr>
        <b/>
        <i/>
        <sz val="11"/>
        <rFont val="Calibri"/>
        <family val="2"/>
        <scheme val="minor"/>
      </rPr>
      <t>Payment in Lieu of Taxes Error (cells F32 - F33):</t>
    </r>
    <r>
      <rPr>
        <i/>
        <sz val="11"/>
        <rFont val="Calibri"/>
        <family val="2"/>
        <scheme val="minor"/>
      </rPr>
      <t xml:space="preserve">  When the "Actual Pilot" (cell F19) doesn't agree with the "Calculated Pilot" (cell G19) you will get an error message requiring you to investigate variance.</t>
    </r>
  </si>
  <si>
    <r>
      <t xml:space="preserve">Notes From Auditor
</t>
    </r>
    <r>
      <rPr>
        <sz val="11"/>
        <color theme="1"/>
        <rFont val="Calibri"/>
        <family val="2"/>
        <scheme val="minor"/>
      </rPr>
      <t>The Auditor can use the cells below to provide additional details that are pertinent to the performance indicator.</t>
    </r>
  </si>
  <si>
    <r>
      <rPr>
        <u/>
        <sz val="8"/>
        <color indexed="8"/>
        <rFont val="Calibri"/>
        <family val="2"/>
        <scheme val="minor"/>
      </rPr>
      <t>Current liabilities</t>
    </r>
    <r>
      <rPr>
        <sz val="8"/>
        <color indexed="8"/>
        <rFont val="Calibri"/>
        <family val="2"/>
        <scheme val="minor"/>
      </rPr>
      <t xml:space="preserve">
</t>
    </r>
    <r>
      <rPr>
        <b/>
        <sz val="8"/>
        <color indexed="8"/>
        <rFont val="Calibri"/>
        <family val="2"/>
        <scheme val="minor"/>
      </rPr>
      <t>Include:</t>
    </r>
    <r>
      <rPr>
        <sz val="8"/>
        <color indexed="8"/>
        <rFont val="Calibri"/>
        <family val="2"/>
        <scheme val="minor"/>
      </rPr>
      <t xml:space="preserve">   Current liabilities and current portion of long-term debt. 
</t>
    </r>
    <r>
      <rPr>
        <b/>
        <sz val="8"/>
        <color indexed="8"/>
        <rFont val="Calibri"/>
        <family val="2"/>
        <scheme val="minor"/>
      </rPr>
      <t>Exclude</t>
    </r>
    <r>
      <rPr>
        <sz val="8"/>
        <color indexed="8"/>
        <rFont val="Calibri"/>
        <family val="2"/>
        <scheme val="minor"/>
      </rPr>
      <t xml:space="preserve">:   Bond Anticipation Notes
                  Compensated  Absences
                  Pension liabilities
                  Liabilities payable from restricted assets
                  Other post employment liabilities (OPEB)
                  Deferred inflows.
</t>
    </r>
  </si>
  <si>
    <r>
      <rPr>
        <u/>
        <sz val="8"/>
        <color indexed="8"/>
        <rFont val="Calibri"/>
        <family val="2"/>
        <scheme val="minor"/>
      </rPr>
      <t>Total Current assets</t>
    </r>
    <r>
      <rPr>
        <sz val="8"/>
        <color indexed="8"/>
        <rFont val="Calibri"/>
        <family val="2"/>
        <scheme val="minor"/>
      </rPr>
      <t xml:space="preserve">.  
</t>
    </r>
    <r>
      <rPr>
        <b/>
        <sz val="8"/>
        <rFont val="Calibri"/>
        <family val="2"/>
        <scheme val="minor"/>
      </rPr>
      <t>Exclude</t>
    </r>
    <r>
      <rPr>
        <sz val="8"/>
        <rFont val="Calibri"/>
        <family val="2"/>
        <scheme val="minor"/>
      </rPr>
      <t xml:space="preserve"> any current assets identified as restricted.
</t>
    </r>
    <r>
      <rPr>
        <b/>
        <sz val="8"/>
        <color indexed="17"/>
        <rFont val="Calibri"/>
        <family val="2"/>
        <scheme val="minor"/>
      </rPr>
      <t>Exclude "Advance To": portion of interfund loan with repayment longer than 12 months.</t>
    </r>
  </si>
  <si>
    <r>
      <rPr>
        <u/>
        <sz val="8"/>
        <rFont val="Calibri"/>
        <family val="2"/>
        <scheme val="minor"/>
      </rPr>
      <t>Current liabilities</t>
    </r>
    <r>
      <rPr>
        <sz val="8"/>
        <rFont val="Calibri"/>
        <family val="2"/>
        <scheme val="minor"/>
      </rPr>
      <t xml:space="preserve">.  
</t>
    </r>
    <r>
      <rPr>
        <b/>
        <sz val="8"/>
        <rFont val="Calibri"/>
        <family val="2"/>
        <scheme val="minor"/>
      </rPr>
      <t xml:space="preserve">Include:  </t>
    </r>
    <r>
      <rPr>
        <sz val="8"/>
        <rFont val="Calibri"/>
        <family val="2"/>
        <scheme val="minor"/>
      </rPr>
      <t xml:space="preserve"> Current liabilities and current portions of long-term debt
</t>
    </r>
    <r>
      <rPr>
        <b/>
        <sz val="8"/>
        <rFont val="Calibri"/>
        <family val="2"/>
        <scheme val="minor"/>
      </rPr>
      <t xml:space="preserve">Exclude:  </t>
    </r>
    <r>
      <rPr>
        <b/>
        <sz val="8"/>
        <color indexed="17"/>
        <rFont val="Calibri"/>
        <family val="2"/>
        <scheme val="minor"/>
      </rPr>
      <t xml:space="preserve">"Advance From"-portion of interfund loans with repayment longer than 12 months,
                   Bond anticipation notes, </t>
    </r>
    <r>
      <rPr>
        <sz val="8"/>
        <rFont val="Calibri"/>
        <family val="2"/>
        <scheme val="minor"/>
      </rPr>
      <t xml:space="preserve">
                   Compensated absences, 
                   Pension liabilities, 
                   Other post-employment liabilities (OPEB), 
                   Closure/postclosure liabilities, 
                   Payables from restricted assets
                   Deferred inflows.</t>
    </r>
  </si>
  <si>
    <t>Total Gross Capital Assets - without accumulated depreciation</t>
  </si>
  <si>
    <t>Combined Totals of all Proprietary Funds - Amount of Inventories and Prepaids in current assets</t>
  </si>
  <si>
    <t>Statement of Net Position - combined totals from all Proprietary Funds</t>
  </si>
  <si>
    <t>Mental Health Net Position - Net Investment in Capital Assets</t>
  </si>
  <si>
    <t>Mental Health Net Position - Restricted Net Position</t>
  </si>
  <si>
    <t>Total Transfers in    (Preference is that transfers-in  are not netted against transfers-out)</t>
  </si>
  <si>
    <t>Total Transfers out    (Preference is that transfers-in  are not netted against transfers-out)</t>
  </si>
  <si>
    <t>Mental Health-Balance Sheet - Non GAAP</t>
  </si>
  <si>
    <t>Total Liabilities payable from restricted assets (only complete if this if unit has listed this account in their financial statements for the Mental Health Enterprise Fund Non GAAP and the auditor has listed the cash to be used to pay the liabilities as restricted)</t>
  </si>
  <si>
    <t>Current Liabilities 
Exclude: all deferred inflows
                 current debt service payments
Include: Liabilities payable from restricted assets.</t>
  </si>
  <si>
    <t xml:space="preserve">Mental Health Enterprise Fund Non GAAP deferred inflows or liabilities derived from cash receipts.   </t>
  </si>
  <si>
    <t>Total expenditures  
Exclude: expenditures in the ""other financing sources (uses)"" section.</t>
  </si>
  <si>
    <t xml:space="preserve">All unrestricted cash and investments.  
Exclude restricted cash and cash held by a third party. </t>
  </si>
  <si>
    <t>Total Proceeds from all long-term debt issuances 
Exclude: proceeds from refundings</t>
  </si>
  <si>
    <t>Mental Health Enterprise Fund Non GAAP-Rev, Exp. Change in Fund Balance</t>
  </si>
  <si>
    <t>Mental Health Enterprise Fund Non GAAP -  Total Encumbrances.  You will have to refer to the note disclosure where the amount of encumbrances is listed.</t>
  </si>
  <si>
    <t>Please enter the principal and interest due next fiscal year on existing borrowings.</t>
  </si>
  <si>
    <t>The above questions account for significant and material findings.  Were there any issues or other matters presented to the Governing Board regarding internal controls (additional issues or other matters that were not listed as a material weakness or significant deficiency), that the Governing Board was instructed to include in the unit's "Response to the Auditor's Findings, Recommendations, and Fiscal Matters" Please indicate the number of other issues presented to the board.</t>
  </si>
  <si>
    <t>Please enter your tax rate for ad valorem in effect for fiscal year audited.  Example 60 cents per 100 would be entered as .60</t>
  </si>
  <si>
    <t>Business Type - Total Transfers In</t>
  </si>
  <si>
    <t>Business Type - Total Transfers Out</t>
  </si>
  <si>
    <t>MH Enterprise Fund Non GAAP - Unrestricted Cash &amp; Investments</t>
  </si>
  <si>
    <t>MH Enterprise Fund Non GAAP - Restricted Cash &amp; Investments</t>
  </si>
  <si>
    <t>MH Enterprise Fund Non GAAP- Current  Liabilities</t>
  </si>
  <si>
    <t>MH Enterprise Fund Non GAAP - deferred inflows derived from Cash Receipts</t>
  </si>
  <si>
    <t>MH Enterprise Fund Non GAAP - Liabilities from Restricted Assets</t>
  </si>
  <si>
    <t xml:space="preserve">MH Enterprise Fund Non GAAP - Total Expenditures </t>
  </si>
  <si>
    <t xml:space="preserve">MH- Proceeds from LTD </t>
  </si>
  <si>
    <t>MH Enterprise Fund Non GAAP - Positive debt refund</t>
  </si>
  <si>
    <t>MH Enterprise Fund Non GAAP - Transfers Out</t>
  </si>
  <si>
    <t>MH Enterprise Fund Non GAAP - Encumbrances</t>
  </si>
  <si>
    <t>MH Enterprise Fund P &amp; I Due next year</t>
  </si>
  <si>
    <t>Hospital/MH -EF- Total Gross Capital Assets (BS), w/o acc. dep.</t>
  </si>
  <si>
    <r>
      <t xml:space="preserve">Unit's Share of Net Pension Liability ($s)
- unit of government is a participating employer in the State's </t>
    </r>
    <r>
      <rPr>
        <b/>
        <sz val="11"/>
        <color theme="1"/>
        <rFont val="Calibri"/>
        <family val="2"/>
        <scheme val="minor"/>
      </rPr>
      <t>TSERS</t>
    </r>
    <r>
      <rPr>
        <sz val="11"/>
        <color theme="1"/>
        <rFont val="Calibri"/>
        <family val="2"/>
        <scheme val="minor"/>
      </rPr>
      <t xml:space="preserve"> (Teachers' and State Employees' Retirement System) or the </t>
    </r>
    <r>
      <rPr>
        <b/>
        <sz val="11"/>
        <color theme="1"/>
        <rFont val="Calibri"/>
        <family val="2"/>
        <scheme val="minor"/>
      </rPr>
      <t>LGERS</t>
    </r>
    <r>
      <rPr>
        <sz val="11"/>
        <color theme="1"/>
        <rFont val="Calibri"/>
        <family val="2"/>
        <scheme val="minor"/>
      </rPr>
      <t xml:space="preserve"> (Local Governmental Employees' Retirement System).  </t>
    </r>
  </si>
  <si>
    <r>
      <t xml:space="preserve">Unit's share of Retirement Health Benefit Fund </t>
    </r>
    <r>
      <rPr>
        <sz val="11"/>
        <color rgb="FFFF0000"/>
        <rFont val="Calibri"/>
        <family val="2"/>
        <scheme val="minor"/>
      </rPr>
      <t>Net</t>
    </r>
    <r>
      <rPr>
        <sz val="11"/>
        <color theme="1"/>
        <rFont val="Calibri"/>
        <family val="2"/>
        <scheme val="minor"/>
      </rPr>
      <t xml:space="preserve"> OPEB Liability ($s)
- unit of government is a participating employer in the </t>
    </r>
    <r>
      <rPr>
        <b/>
        <sz val="11"/>
        <color theme="1"/>
        <rFont val="Calibri"/>
        <family val="2"/>
        <scheme val="minor"/>
      </rPr>
      <t>State's RHBF</t>
    </r>
    <r>
      <rPr>
        <sz val="11"/>
        <color theme="1"/>
        <rFont val="Calibri"/>
        <family val="2"/>
        <scheme val="minor"/>
      </rPr>
      <t xml:space="preserve"> </t>
    </r>
  </si>
  <si>
    <r>
      <rPr>
        <sz val="11"/>
        <color rgb="FF0070C0"/>
        <rFont val="Calibri"/>
        <family val="2"/>
        <scheme val="minor"/>
      </rPr>
      <t xml:space="preserve">Please note - Account 621 - if applicable - </t>
    </r>
    <r>
      <rPr>
        <sz val="11"/>
        <rFont val="Calibri"/>
        <family val="2"/>
        <scheme val="minor"/>
      </rPr>
      <t xml:space="preserve">See RSI Schedule of PROPORTIONATE SHARE OF </t>
    </r>
    <r>
      <rPr>
        <b/>
        <sz val="11"/>
        <rFont val="Calibri"/>
        <family val="2"/>
        <scheme val="minor"/>
      </rPr>
      <t>NET</t>
    </r>
    <r>
      <rPr>
        <sz val="11"/>
        <rFont val="Calibri"/>
        <family val="2"/>
        <scheme val="minor"/>
      </rPr>
      <t xml:space="preserve"> OPEB LIABILITY - RETIREE HEALTH BENEFIT FUND REQUIRED SUPPLEMENTARY INFORMATION</t>
    </r>
  </si>
  <si>
    <r>
      <rPr>
        <sz val="11"/>
        <color rgb="FFFF0000"/>
        <rFont val="Calibri"/>
        <family val="2"/>
        <scheme val="minor"/>
      </rPr>
      <t>Total</t>
    </r>
    <r>
      <rPr>
        <sz val="11"/>
        <color theme="1"/>
        <rFont val="Calibri"/>
        <family val="2"/>
        <scheme val="minor"/>
      </rPr>
      <t xml:space="preserve"> OPEB benefits - total OPEB liability
If you do not provide benefit, please enter 0</t>
    </r>
  </si>
  <si>
    <r>
      <rPr>
        <sz val="11"/>
        <color rgb="FF0070C0"/>
        <rFont val="Calibri"/>
        <family val="2"/>
        <scheme val="minor"/>
      </rPr>
      <t xml:space="preserve">Please note - if applicable - </t>
    </r>
    <r>
      <rPr>
        <sz val="11"/>
        <rFont val="Calibri"/>
        <family val="2"/>
        <scheme val="minor"/>
      </rPr>
      <t xml:space="preserve">See RSI SCHEDULE OF CHANGES IN THE </t>
    </r>
    <r>
      <rPr>
        <b/>
        <sz val="11"/>
        <rFont val="Calibri"/>
        <family val="2"/>
        <scheme val="minor"/>
      </rPr>
      <t>TOTAL</t>
    </r>
    <r>
      <rPr>
        <sz val="11"/>
        <rFont val="Calibri"/>
        <family val="2"/>
        <scheme val="minor"/>
      </rPr>
      <t xml:space="preserve"> OPEB LIABILITY AND RELATED RATIOS
</t>
    </r>
    <r>
      <rPr>
        <sz val="11"/>
        <color theme="9" tint="-0.249977111117893"/>
        <rFont val="Calibri"/>
        <family val="2"/>
        <scheme val="minor"/>
      </rPr>
      <t xml:space="preserve"> (Net OPEB should not be reported for account 659)</t>
    </r>
  </si>
  <si>
    <r>
      <rPr>
        <sz val="11"/>
        <color rgb="FFFF0000"/>
        <rFont val="Calibri"/>
        <family val="2"/>
        <scheme val="minor"/>
      </rPr>
      <t>Total</t>
    </r>
    <r>
      <rPr>
        <sz val="11"/>
        <color theme="1"/>
        <rFont val="Calibri"/>
        <family val="2"/>
        <scheme val="minor"/>
      </rPr>
      <t xml:space="preserve"> OPEB benefits- OPEB plan fiduciary net position
If no fiduciary net position, enter 0</t>
    </r>
  </si>
  <si>
    <r>
      <rPr>
        <sz val="11"/>
        <color rgb="FFFF0000"/>
        <rFont val="Calibri"/>
        <family val="2"/>
        <scheme val="minor"/>
      </rPr>
      <t>Total</t>
    </r>
    <r>
      <rPr>
        <sz val="11"/>
        <color theme="1"/>
        <rFont val="Calibri"/>
        <family val="2"/>
        <scheme val="minor"/>
      </rPr>
      <t xml:space="preserve"> OPEB benefits - What is the plan’s fiduciary net position as a percentage of the total OPEB liability?  Please enter as percentage value; for example, 83.5% should be entered as 83.5.  If assets have not been set aside in a trust, please enter 0.0</t>
    </r>
  </si>
  <si>
    <r>
      <t>Date on which the local government, public authority, or designated official appointed the finance officer?</t>
    </r>
    <r>
      <rPr>
        <b/>
        <sz val="11"/>
        <color theme="5" tint="-0.249977111117893"/>
        <rFont val="Calibri"/>
        <family val="2"/>
        <scheme val="minor"/>
      </rPr>
      <t xml:space="preserve"> (If the date of appointment by the board is difficult to find you may enter January 1 and the year)</t>
    </r>
    <r>
      <rPr>
        <sz val="11"/>
        <color theme="1"/>
        <rFont val="Calibri"/>
        <family val="2"/>
        <scheme val="minor"/>
      </rPr>
      <t xml:space="preserve">      </t>
    </r>
    <r>
      <rPr>
        <b/>
        <sz val="11"/>
        <color theme="1"/>
        <rFont val="Calibri"/>
        <family val="2"/>
        <scheme val="minor"/>
      </rPr>
      <t>Date Format  MM/DD/YYYY</t>
    </r>
  </si>
  <si>
    <r>
      <t xml:space="preserve">Instructions:  See Previous Excel tab - </t>
    </r>
    <r>
      <rPr>
        <sz val="11"/>
        <color indexed="8"/>
        <rFont val="Calibri"/>
        <family val="2"/>
        <scheme val="minor"/>
      </rPr>
      <t>Please enter current year audited data in column F</t>
    </r>
  </si>
  <si>
    <r>
      <rPr>
        <u/>
        <sz val="11"/>
        <color indexed="8"/>
        <rFont val="Calibri"/>
        <family val="2"/>
        <scheme val="minor"/>
      </rPr>
      <t xml:space="preserve"> All unrestricted Cash and investments.</t>
    </r>
    <r>
      <rPr>
        <sz val="11"/>
        <color theme="1"/>
        <rFont val="Calibri"/>
        <family val="2"/>
        <scheme val="minor"/>
      </rPr>
      <t xml:space="preserve">  
</t>
    </r>
    <r>
      <rPr>
        <b/>
        <sz val="11"/>
        <color indexed="8"/>
        <rFont val="Calibri"/>
        <family val="2"/>
        <scheme val="minor"/>
      </rPr>
      <t>Exclude:</t>
    </r>
    <r>
      <rPr>
        <sz val="11"/>
        <color theme="1"/>
        <rFont val="Calibri"/>
        <family val="2"/>
        <scheme val="minor"/>
      </rPr>
      <t xml:space="preserve"> restricted cash 
                   cash held by a third party. </t>
    </r>
  </si>
  <si>
    <r>
      <t xml:space="preserve"> </t>
    </r>
    <r>
      <rPr>
        <u/>
        <sz val="11"/>
        <color indexed="8"/>
        <rFont val="Calibri"/>
        <family val="2"/>
        <scheme val="minor"/>
      </rPr>
      <t>All restricted Cash and investments</t>
    </r>
  </si>
  <si>
    <r>
      <t xml:space="preserve">Record any </t>
    </r>
    <r>
      <rPr>
        <b/>
        <u/>
        <sz val="11"/>
        <color indexed="8"/>
        <rFont val="Calibri"/>
        <family val="2"/>
        <scheme val="minor"/>
      </rPr>
      <t>positive</t>
    </r>
    <r>
      <rPr>
        <u/>
        <sz val="11"/>
        <color indexed="8"/>
        <rFont val="Calibri"/>
        <family val="2"/>
        <scheme val="minor"/>
      </rPr>
      <t xml:space="preserve"> Internal balances on the net position statements that appear in the Asset Section of the Net Position Statement</t>
    </r>
  </si>
  <si>
    <r>
      <t>Record any</t>
    </r>
    <r>
      <rPr>
        <b/>
        <u/>
        <sz val="11"/>
        <color indexed="8"/>
        <rFont val="Calibri"/>
        <family val="2"/>
        <scheme val="minor"/>
      </rPr>
      <t xml:space="preserve"> negative</t>
    </r>
    <r>
      <rPr>
        <u/>
        <sz val="11"/>
        <color indexed="8"/>
        <rFont val="Calibri"/>
        <family val="2"/>
        <scheme val="minor"/>
      </rPr>
      <t xml:space="preserve"> Internal balances on the net position statements that appear in the Asset Section of the Net Position Statement.
</t>
    </r>
    <r>
      <rPr>
        <b/>
        <sz val="11"/>
        <color indexed="60"/>
        <rFont val="Calibri"/>
        <family val="2"/>
        <scheme val="minor"/>
      </rPr>
      <t xml:space="preserve">
Enter as a positive</t>
    </r>
  </si>
  <si>
    <r>
      <rPr>
        <u/>
        <sz val="11"/>
        <color indexed="8"/>
        <rFont val="Calibri"/>
        <family val="2"/>
        <scheme val="minor"/>
      </rPr>
      <t xml:space="preserve">Total Current liabilities </t>
    </r>
    <r>
      <rPr>
        <u/>
        <sz val="11"/>
        <color rgb="FFFF0000"/>
        <rFont val="Calibri"/>
        <family val="2"/>
        <scheme val="minor"/>
      </rPr>
      <t>(as reported on Statement of Net Position)</t>
    </r>
    <r>
      <rPr>
        <sz val="11"/>
        <color indexed="8"/>
        <rFont val="Calibri"/>
        <family val="2"/>
        <scheme val="minor"/>
      </rPr>
      <t xml:space="preserve">
</t>
    </r>
    <r>
      <rPr>
        <b/>
        <sz val="11"/>
        <color indexed="8"/>
        <rFont val="Calibri"/>
        <family val="2"/>
        <scheme val="minor"/>
      </rPr>
      <t>Include:</t>
    </r>
    <r>
      <rPr>
        <sz val="11"/>
        <color indexed="8"/>
        <rFont val="Calibri"/>
        <family val="2"/>
        <scheme val="minor"/>
      </rPr>
      <t xml:space="preserve">   Current liabilities including current portion of long-term debt.  </t>
    </r>
    <r>
      <rPr>
        <b/>
        <sz val="11"/>
        <color rgb="FF000000"/>
        <rFont val="Calibri"/>
        <family val="2"/>
        <scheme val="minor"/>
      </rPr>
      <t>Deferred inflows should not be included in Current Liabilities</t>
    </r>
    <r>
      <rPr>
        <sz val="11"/>
        <color indexed="8"/>
        <rFont val="Calibri"/>
        <family val="2"/>
        <scheme val="minor"/>
      </rPr>
      <t xml:space="preserve">  </t>
    </r>
  </si>
  <si>
    <r>
      <t xml:space="preserve">Please enter any bond anticipation notes that are classified as current liabilities and included in account 626 above </t>
    </r>
    <r>
      <rPr>
        <sz val="11"/>
        <color theme="5" tint="-0.249977111117893"/>
        <rFont val="Calibri"/>
        <family val="2"/>
        <scheme val="minor"/>
      </rPr>
      <t>(amounts entered should agree to the current amount included in the changes to long-term debt note)</t>
    </r>
  </si>
  <si>
    <r>
      <t xml:space="preserve">Please enter any compensated absences that are classified as current liabilities and included in account 626 above </t>
    </r>
    <r>
      <rPr>
        <sz val="11"/>
        <color theme="5" tint="-0.249977111117893"/>
        <rFont val="Calibri"/>
        <family val="2"/>
        <scheme val="minor"/>
      </rPr>
      <t>(amounts entered should agree to the current amount included in the changes to long-term debt note)</t>
    </r>
  </si>
  <si>
    <r>
      <t xml:space="preserve">Please enter any pension liabilities that are classified as current liabilities and included in account 626 above </t>
    </r>
    <r>
      <rPr>
        <sz val="11"/>
        <color theme="5" tint="-0.249977111117893"/>
        <rFont val="Calibri"/>
        <family val="2"/>
        <scheme val="minor"/>
      </rPr>
      <t>(amounts entered should agree to the current amount included in the changes to long-term debt note)</t>
    </r>
  </si>
  <si>
    <r>
      <t xml:space="preserve">Please enter any OPEB liabilities that are classified as current liabilities and included in account 626 above </t>
    </r>
    <r>
      <rPr>
        <sz val="11"/>
        <color theme="5" tint="-0.249977111117893"/>
        <rFont val="Calibri"/>
        <family val="2"/>
        <scheme val="minor"/>
      </rPr>
      <t>(amounts entered should agree to the current amount included in the changes to long-term debt note)</t>
    </r>
  </si>
  <si>
    <r>
      <t xml:space="preserve">Please enter any landfill closure/postclosure liabilities that are classified as current liabilities and included in account 626 above </t>
    </r>
    <r>
      <rPr>
        <sz val="11"/>
        <color theme="5" tint="-0.249977111117893"/>
        <rFont val="Calibri"/>
        <family val="2"/>
        <scheme val="minor"/>
      </rPr>
      <t>(amounts entered should agree to the current amount included in the changes to long-term debt note)</t>
    </r>
  </si>
  <si>
    <r>
      <rPr>
        <u/>
        <sz val="11"/>
        <color indexed="8"/>
        <rFont val="Calibri"/>
        <family val="2"/>
        <scheme val="minor"/>
      </rPr>
      <t xml:space="preserve">Unearned revenues that were included in current liabilities in your audit report or entered in acct # 626 above. </t>
    </r>
    <r>
      <rPr>
        <sz val="11"/>
        <color theme="1"/>
        <rFont val="Calibri"/>
        <family val="2"/>
        <scheme val="minor"/>
      </rPr>
      <t xml:space="preserve">
</t>
    </r>
    <r>
      <rPr>
        <b/>
        <sz val="11"/>
        <color indexed="8"/>
        <rFont val="Calibri"/>
        <family val="2"/>
        <scheme val="minor"/>
      </rPr>
      <t xml:space="preserve">Exclude - </t>
    </r>
    <r>
      <rPr>
        <sz val="11"/>
        <color theme="1"/>
        <rFont val="Calibri"/>
        <family val="2"/>
        <scheme val="minor"/>
      </rPr>
      <t>unearned revenues that are listed in deferred inflows.</t>
    </r>
  </si>
  <si>
    <r>
      <t>Total Net Position, Unrestricted -</t>
    </r>
    <r>
      <rPr>
        <u/>
        <sz val="11"/>
        <color indexed="60"/>
        <rFont val="Calibri"/>
        <family val="2"/>
        <scheme val="minor"/>
      </rPr>
      <t xml:space="preserve"> enter negative unrestricted net position as a negative)</t>
    </r>
  </si>
  <si>
    <r>
      <rPr>
        <u/>
        <sz val="11"/>
        <color indexed="8"/>
        <rFont val="Calibri"/>
        <family val="2"/>
        <scheme val="minor"/>
      </rPr>
      <t>All unrestricted Cash and investments.</t>
    </r>
    <r>
      <rPr>
        <sz val="11"/>
        <color theme="1"/>
        <rFont val="Calibri"/>
        <family val="2"/>
        <scheme val="minor"/>
      </rPr>
      <t xml:space="preserve"> 
</t>
    </r>
    <r>
      <rPr>
        <b/>
        <sz val="11"/>
        <color indexed="8"/>
        <rFont val="Calibri"/>
        <family val="2"/>
        <scheme val="minor"/>
      </rPr>
      <t>Exclude</t>
    </r>
    <r>
      <rPr>
        <sz val="11"/>
        <color theme="1"/>
        <rFont val="Calibri"/>
        <family val="2"/>
        <scheme val="minor"/>
      </rPr>
      <t xml:space="preserve"> restricted cash and cash held by a third party. </t>
    </r>
  </si>
  <si>
    <r>
      <rPr>
        <u/>
        <sz val="11"/>
        <color indexed="8"/>
        <rFont val="Calibri"/>
        <family val="2"/>
        <scheme val="minor"/>
      </rPr>
      <t xml:space="preserve">Total General revenues
</t>
    </r>
    <r>
      <rPr>
        <b/>
        <u/>
        <sz val="11"/>
        <color indexed="8"/>
        <rFont val="Calibri"/>
        <family val="2"/>
        <scheme val="minor"/>
      </rPr>
      <t>E</t>
    </r>
    <r>
      <rPr>
        <b/>
        <sz val="11"/>
        <color indexed="8"/>
        <rFont val="Calibri"/>
        <family val="2"/>
        <scheme val="minor"/>
      </rPr>
      <t>xclude:</t>
    </r>
    <r>
      <rPr>
        <sz val="11"/>
        <color indexed="8"/>
        <rFont val="Calibri"/>
        <family val="2"/>
        <scheme val="minor"/>
      </rPr>
      <t xml:space="preserve"> transfers-in or out,
                 special items,
                 extraordinary amounts</t>
    </r>
  </si>
  <si>
    <r>
      <t>Total Transfers in</t>
    </r>
    <r>
      <rPr>
        <sz val="11"/>
        <color theme="1"/>
        <rFont val="Calibri"/>
        <family val="2"/>
        <scheme val="minor"/>
      </rPr>
      <t xml:space="preserve">    </t>
    </r>
    <r>
      <rPr>
        <sz val="11"/>
        <color indexed="60"/>
        <rFont val="Calibri"/>
        <family val="2"/>
        <scheme val="minor"/>
      </rPr>
      <t>(Preference is that transfers-in  are not netted against transfers-out)</t>
    </r>
  </si>
  <si>
    <r>
      <t>Total Transfers out</t>
    </r>
    <r>
      <rPr>
        <sz val="11"/>
        <color theme="1"/>
        <rFont val="Calibri"/>
        <family val="2"/>
        <scheme val="minor"/>
      </rPr>
      <t xml:space="preserve">    </t>
    </r>
    <r>
      <rPr>
        <sz val="11"/>
        <color indexed="60"/>
        <rFont val="Calibri"/>
        <family val="2"/>
        <scheme val="minor"/>
      </rPr>
      <t>(Preference is that transfers-in  are not netted against transfers-out)</t>
    </r>
  </si>
  <si>
    <r>
      <rPr>
        <u/>
        <sz val="11"/>
        <color indexed="8"/>
        <rFont val="Calibri"/>
        <family val="2"/>
        <scheme val="minor"/>
      </rPr>
      <t>Total Special and Extraordinary items</t>
    </r>
    <r>
      <rPr>
        <sz val="11"/>
        <color theme="1"/>
        <rFont val="Calibri"/>
        <family val="2"/>
        <scheme val="minor"/>
      </rPr>
      <t xml:space="preserve">.   </t>
    </r>
    <r>
      <rPr>
        <sz val="11"/>
        <color indexed="60"/>
        <rFont val="Calibri"/>
        <family val="2"/>
        <scheme val="minor"/>
      </rPr>
      <t xml:space="preserve"> (Amounts that increase net position are recorded as positive and amounts that decrease net position are recorded as negative)</t>
    </r>
  </si>
  <si>
    <r>
      <rPr>
        <u/>
        <sz val="11"/>
        <color indexed="8"/>
        <rFont val="Calibri"/>
        <family val="2"/>
        <scheme val="minor"/>
      </rPr>
      <t>Total Change in net position</t>
    </r>
    <r>
      <rPr>
        <sz val="11"/>
        <color theme="1"/>
        <rFont val="Calibri"/>
        <family val="2"/>
        <scheme val="minor"/>
      </rPr>
      <t xml:space="preserve"> - </t>
    </r>
    <r>
      <rPr>
        <sz val="11"/>
        <color indexed="60"/>
        <rFont val="Calibri"/>
        <family val="2"/>
        <scheme val="minor"/>
      </rPr>
      <t>(Increase in net position is recorded as a positive and a decrease in net position is recorded as a negative)</t>
    </r>
  </si>
  <si>
    <r>
      <rPr>
        <u/>
        <sz val="11"/>
        <color indexed="8"/>
        <rFont val="Calibri"/>
        <family val="2"/>
        <scheme val="minor"/>
      </rPr>
      <t>Any adjustment to beginning net position including rounding, prior period adjustments and restatements</t>
    </r>
    <r>
      <rPr>
        <sz val="11"/>
        <color theme="1"/>
        <rFont val="Calibri"/>
        <family val="2"/>
        <scheme val="minor"/>
      </rPr>
      <t xml:space="preserve">.  </t>
    </r>
    <r>
      <rPr>
        <sz val="11"/>
        <color indexed="60"/>
        <rFont val="Calibri"/>
        <family val="2"/>
        <scheme val="minor"/>
      </rPr>
      <t xml:space="preserve"> (Increases to net position are positive; decreases to net position are negative)</t>
    </r>
  </si>
  <si>
    <r>
      <t xml:space="preserve">Amount of interest income and investment income recognized as revenue in your audit report for all governmental and proprietary funds.  </t>
    </r>
    <r>
      <rPr>
        <sz val="11"/>
        <color indexed="60"/>
        <rFont val="Calibri"/>
        <family val="2"/>
        <scheme val="minor"/>
      </rPr>
      <t xml:space="preserve">In the past we have asked you to adjust this number, but this year we would like the number as it appears on your Statement of Activities </t>
    </r>
    <r>
      <rPr>
        <u/>
        <sz val="11"/>
        <color indexed="60"/>
        <rFont val="Calibri"/>
        <family val="2"/>
        <scheme val="minor"/>
      </rPr>
      <t>without</t>
    </r>
    <r>
      <rPr>
        <sz val="11"/>
        <color indexed="60"/>
        <rFont val="Calibri"/>
        <family val="2"/>
        <scheme val="minor"/>
      </rPr>
      <t xml:space="preserve"> adjustment.</t>
    </r>
  </si>
  <si>
    <r>
      <rPr>
        <u/>
        <sz val="11"/>
        <color indexed="8"/>
        <rFont val="Calibri"/>
        <family val="2"/>
        <scheme val="minor"/>
      </rPr>
      <t xml:space="preserve">Total Change in net position Business Type </t>
    </r>
    <r>
      <rPr>
        <sz val="11"/>
        <color theme="1"/>
        <rFont val="Calibri"/>
        <family val="2"/>
        <scheme val="minor"/>
      </rPr>
      <t xml:space="preserve">
</t>
    </r>
    <r>
      <rPr>
        <sz val="11"/>
        <color indexed="60"/>
        <rFont val="Calibri"/>
        <family val="2"/>
        <scheme val="minor"/>
      </rPr>
      <t>(Increase in net position is recorded as a positive and a decrease in net position is recorded as a negative)</t>
    </r>
  </si>
  <si>
    <r>
      <t xml:space="preserve">All unrestricted cash and investments.  
</t>
    </r>
    <r>
      <rPr>
        <b/>
        <sz val="11"/>
        <color indexed="8"/>
        <rFont val="Calibri"/>
        <family val="2"/>
        <scheme val="minor"/>
      </rPr>
      <t>Exclude</t>
    </r>
    <r>
      <rPr>
        <sz val="11"/>
        <color indexed="8"/>
        <rFont val="Calibri"/>
        <family val="2"/>
        <scheme val="minor"/>
      </rPr>
      <t xml:space="preserve"> restricted cash and cash held by a third party. </t>
    </r>
  </si>
  <si>
    <r>
      <rPr>
        <u/>
        <sz val="11"/>
        <color indexed="8"/>
        <rFont val="Calibri"/>
        <family val="2"/>
        <scheme val="minor"/>
      </rPr>
      <t>Total Liabilities payable from restricted assets</t>
    </r>
    <r>
      <rPr>
        <sz val="11"/>
        <color theme="1"/>
        <rFont val="Calibri"/>
        <family val="2"/>
        <scheme val="minor"/>
      </rPr>
      <t xml:space="preserve"> </t>
    </r>
    <r>
      <rPr>
        <sz val="11"/>
        <color indexed="60"/>
        <rFont val="Calibri"/>
        <family val="2"/>
        <scheme val="minor"/>
      </rPr>
      <t>(only complete if this is listed in your financial statements for the general fund and the auditor has listed the cash to be used to pay the liabilities as restricted)</t>
    </r>
  </si>
  <si>
    <r>
      <rPr>
        <u/>
        <sz val="11"/>
        <color indexed="8"/>
        <rFont val="Calibri"/>
        <family val="2"/>
        <scheme val="minor"/>
      </rPr>
      <t>Current Liabilities</t>
    </r>
    <r>
      <rPr>
        <sz val="11"/>
        <color rgb="FFFF0000"/>
        <rFont val="Calibri"/>
        <family val="2"/>
        <scheme val="minor"/>
      </rPr>
      <t xml:space="preserve"> (as reported on the Balance Sheet)</t>
    </r>
    <r>
      <rPr>
        <sz val="11"/>
        <color theme="1"/>
        <rFont val="Calibri"/>
        <family val="2"/>
        <scheme val="minor"/>
      </rPr>
      <t xml:space="preserve">
</t>
    </r>
    <r>
      <rPr>
        <b/>
        <sz val="11"/>
        <color indexed="8"/>
        <rFont val="Calibri"/>
        <family val="2"/>
        <scheme val="minor"/>
      </rPr>
      <t>Exclude</t>
    </r>
    <r>
      <rPr>
        <sz val="11"/>
        <color indexed="60"/>
        <rFont val="Calibri"/>
        <family val="2"/>
        <scheme val="minor"/>
      </rPr>
      <t xml:space="preserve"> </t>
    </r>
    <r>
      <rPr>
        <sz val="11"/>
        <color indexed="8"/>
        <rFont val="Calibri"/>
        <family val="2"/>
        <scheme val="minor"/>
      </rPr>
      <t xml:space="preserve">all deferred inflows. 
</t>
    </r>
    <r>
      <rPr>
        <b/>
        <sz val="11"/>
        <color indexed="8"/>
        <rFont val="Calibri"/>
        <family val="2"/>
        <scheme val="minor"/>
      </rPr>
      <t>Include</t>
    </r>
    <r>
      <rPr>
        <sz val="11"/>
        <color indexed="8"/>
        <rFont val="Calibri"/>
        <family val="2"/>
        <scheme val="minor"/>
      </rPr>
      <t xml:space="preserve"> advance from(long-term portion of interfund loans)</t>
    </r>
  </si>
  <si>
    <r>
      <rPr>
        <u/>
        <sz val="11"/>
        <color indexed="8"/>
        <rFont val="Calibri"/>
        <family val="2"/>
        <scheme val="minor"/>
      </rPr>
      <t>General fund deferred inflows derived from cash receipts</t>
    </r>
    <r>
      <rPr>
        <sz val="11"/>
        <color indexed="8"/>
        <rFont val="Calibri"/>
        <family val="2"/>
        <scheme val="minor"/>
      </rPr>
      <t xml:space="preserve">. 
</t>
    </r>
    <r>
      <rPr>
        <sz val="11"/>
        <color indexed="60"/>
        <rFont val="Calibri"/>
        <family val="2"/>
        <scheme val="minor"/>
      </rPr>
      <t xml:space="preserve"> Prepaid taxes is a common item listed.  Deferred inflows on the face of the statements can include cash and non-cash.  You may have to refer to the note disclosure where the cash and non-cash is broken out.</t>
    </r>
  </si>
  <si>
    <r>
      <rPr>
        <u/>
        <sz val="11"/>
        <color indexed="8"/>
        <rFont val="Calibri"/>
        <family val="2"/>
        <scheme val="minor"/>
      </rPr>
      <t>Total Deferred inflows not derived from cash receipts.</t>
    </r>
    <r>
      <rPr>
        <sz val="11"/>
        <color indexed="8"/>
        <rFont val="Calibri"/>
        <family val="2"/>
        <scheme val="minor"/>
      </rPr>
      <t xml:space="preserve">  </t>
    </r>
    <r>
      <rPr>
        <sz val="11"/>
        <color indexed="60"/>
        <rFont val="Calibri"/>
        <family val="2"/>
        <scheme val="minor"/>
      </rPr>
      <t>Deferred inflows on the face of the statements can include cash and non-cash.  You may have to refer to the note disclosure where the cash and non-cash is broken out.</t>
    </r>
  </si>
  <si>
    <r>
      <rPr>
        <u/>
        <sz val="11"/>
        <color indexed="8"/>
        <rFont val="Calibri"/>
        <family val="2"/>
        <scheme val="minor"/>
      </rPr>
      <t>Fund balance, Restricted for Streets</t>
    </r>
    <r>
      <rPr>
        <sz val="11"/>
        <color theme="1"/>
        <rFont val="Calibri"/>
        <family val="2"/>
        <scheme val="minor"/>
      </rPr>
      <t xml:space="preserve"> (unspent Powell Bill balance).  </t>
    </r>
    <r>
      <rPr>
        <sz val="11"/>
        <color indexed="60"/>
        <rFont val="Calibri"/>
        <family val="2"/>
        <scheme val="minor"/>
      </rPr>
      <t>You may have to refer to the note disclosure where restricted fund balance is described.</t>
    </r>
  </si>
  <si>
    <r>
      <rPr>
        <u/>
        <sz val="11"/>
        <color indexed="8"/>
        <rFont val="Calibri"/>
        <family val="2"/>
        <scheme val="minor"/>
      </rPr>
      <t>Total Fund balance</t>
    </r>
    <r>
      <rPr>
        <sz val="11"/>
        <color theme="1"/>
        <rFont val="Calibri"/>
        <family val="2"/>
        <scheme val="minor"/>
      </rPr>
      <t xml:space="preserve"> </t>
    </r>
    <r>
      <rPr>
        <sz val="11"/>
        <color indexed="60"/>
        <rFont val="Calibri"/>
        <family val="2"/>
        <scheme val="minor"/>
      </rPr>
      <t>(enter fund deficits as negative)</t>
    </r>
  </si>
  <si>
    <r>
      <rPr>
        <b/>
        <sz val="11"/>
        <color indexed="8"/>
        <rFont val="Calibri"/>
        <family val="2"/>
        <scheme val="minor"/>
      </rPr>
      <t>General Fund</t>
    </r>
    <r>
      <rPr>
        <sz val="11"/>
        <color indexed="8"/>
        <rFont val="Calibri"/>
        <family val="2"/>
        <scheme val="minor"/>
      </rPr>
      <t xml:space="preserve"> - Budget Actual Statement</t>
    </r>
  </si>
  <si>
    <r>
      <rPr>
        <u/>
        <sz val="11"/>
        <color indexed="8"/>
        <rFont val="Calibri"/>
        <family val="2"/>
        <scheme val="minor"/>
      </rPr>
      <t>Total Intergovernmental revenue</t>
    </r>
    <r>
      <rPr>
        <sz val="11"/>
        <color theme="1"/>
        <rFont val="Calibri"/>
        <family val="2"/>
        <scheme val="minor"/>
      </rPr>
      <t xml:space="preserve"> 
</t>
    </r>
    <r>
      <rPr>
        <b/>
        <sz val="11"/>
        <color indexed="8"/>
        <rFont val="Calibri"/>
        <family val="2"/>
        <scheme val="minor"/>
      </rPr>
      <t>Include</t>
    </r>
    <r>
      <rPr>
        <sz val="11"/>
        <color indexed="8"/>
        <rFont val="Calibri"/>
        <family val="2"/>
        <scheme val="minor"/>
      </rPr>
      <t xml:space="preserve"> restricted and unrestricted revenues</t>
    </r>
  </si>
  <si>
    <r>
      <rPr>
        <u/>
        <sz val="11"/>
        <color indexed="8"/>
        <rFont val="Calibri"/>
        <family val="2"/>
        <scheme val="minor"/>
      </rPr>
      <t>Debt service expenditures</t>
    </r>
    <r>
      <rPr>
        <sz val="11"/>
        <color theme="1"/>
        <rFont val="Calibri"/>
        <family val="2"/>
        <scheme val="minor"/>
      </rPr>
      <t xml:space="preserve">. 
</t>
    </r>
    <r>
      <rPr>
        <b/>
        <sz val="11"/>
        <color indexed="8"/>
        <rFont val="Calibri"/>
        <family val="2"/>
        <scheme val="minor"/>
      </rPr>
      <t>Include</t>
    </r>
    <r>
      <rPr>
        <sz val="11"/>
        <color theme="1"/>
        <rFont val="Calibri"/>
        <family val="2"/>
        <scheme val="minor"/>
      </rPr>
      <t xml:space="preserve"> principal, interest paid, and bond/debt issuance costs on long-term debt</t>
    </r>
  </si>
  <si>
    <r>
      <rPr>
        <u/>
        <sz val="11"/>
        <rFont val="Calibri"/>
        <family val="2"/>
        <scheme val="minor"/>
      </rPr>
      <t>Total expenditures</t>
    </r>
    <r>
      <rPr>
        <sz val="11"/>
        <rFont val="Calibri"/>
        <family val="2"/>
        <scheme val="minor"/>
      </rPr>
      <t xml:space="preserve">  
</t>
    </r>
    <r>
      <rPr>
        <b/>
        <sz val="11"/>
        <rFont val="Calibri"/>
        <family val="2"/>
        <scheme val="minor"/>
      </rPr>
      <t>Exclude</t>
    </r>
    <r>
      <rPr>
        <sz val="11"/>
        <rFont val="Calibri"/>
        <family val="2"/>
        <scheme val="minor"/>
      </rPr>
      <t xml:space="preserve"> expenditures in the "other financing sources (uses)" section.
</t>
    </r>
  </si>
  <si>
    <r>
      <t xml:space="preserve">Total Transfers in   </t>
    </r>
    <r>
      <rPr>
        <sz val="11"/>
        <color indexed="60"/>
        <rFont val="Calibri"/>
        <family val="2"/>
        <scheme val="minor"/>
      </rPr>
      <t xml:space="preserve"> (Preference is that transfers-in  are not netted against transfers-out)</t>
    </r>
  </si>
  <si>
    <r>
      <t xml:space="preserve">Total Transfers out   </t>
    </r>
    <r>
      <rPr>
        <sz val="11"/>
        <color theme="1"/>
        <rFont val="Calibri"/>
        <family val="2"/>
        <scheme val="minor"/>
      </rPr>
      <t xml:space="preserve"> </t>
    </r>
    <r>
      <rPr>
        <sz val="11"/>
        <color indexed="60"/>
        <rFont val="Calibri"/>
        <family val="2"/>
        <scheme val="minor"/>
      </rPr>
      <t>(Preference is that transfers-in  are not netted against transfers-out)</t>
    </r>
  </si>
  <si>
    <r>
      <rPr>
        <u/>
        <sz val="11"/>
        <rFont val="Calibri"/>
        <family val="2"/>
        <scheme val="minor"/>
      </rPr>
      <t>Total Proceeds from all long-term debt issuances</t>
    </r>
    <r>
      <rPr>
        <sz val="11"/>
        <rFont val="Calibri"/>
        <family val="2"/>
        <scheme val="minor"/>
      </rPr>
      <t xml:space="preserve"> 
</t>
    </r>
    <r>
      <rPr>
        <b/>
        <sz val="11"/>
        <rFont val="Calibri"/>
        <family val="2"/>
        <scheme val="minor"/>
      </rPr>
      <t xml:space="preserve">Exclude </t>
    </r>
    <r>
      <rPr>
        <sz val="11"/>
        <rFont val="Calibri"/>
        <family val="2"/>
        <scheme val="minor"/>
      </rPr>
      <t>proceeds from refundings</t>
    </r>
  </si>
  <si>
    <r>
      <rPr>
        <u/>
        <sz val="11"/>
        <color indexed="8"/>
        <rFont val="Calibri"/>
        <family val="2"/>
        <scheme val="minor"/>
      </rPr>
      <t>Change in fund balance</t>
    </r>
    <r>
      <rPr>
        <sz val="11"/>
        <color theme="1"/>
        <rFont val="Calibri"/>
        <family val="2"/>
        <scheme val="minor"/>
      </rPr>
      <t xml:space="preserve"> - </t>
    </r>
    <r>
      <rPr>
        <sz val="11"/>
        <color indexed="60"/>
        <rFont val="Calibri"/>
        <family val="2"/>
        <scheme val="minor"/>
      </rPr>
      <t>(Increase in Fund balance is recorded as a positive and a decrease in fund balance is recorded as a negative)</t>
    </r>
  </si>
  <si>
    <r>
      <rPr>
        <u/>
        <sz val="11"/>
        <color indexed="8"/>
        <rFont val="Calibri"/>
        <family val="2"/>
        <scheme val="minor"/>
      </rPr>
      <t>Cash and investments</t>
    </r>
    <r>
      <rPr>
        <sz val="11"/>
        <color theme="1"/>
        <rFont val="Calibri"/>
        <family val="2"/>
        <scheme val="minor"/>
      </rPr>
      <t xml:space="preserve">.  
</t>
    </r>
    <r>
      <rPr>
        <b/>
        <sz val="11"/>
        <color indexed="8"/>
        <rFont val="Calibri"/>
        <family val="2"/>
        <scheme val="minor"/>
      </rPr>
      <t>Include:</t>
    </r>
    <r>
      <rPr>
        <sz val="11"/>
        <color theme="1"/>
        <rFont val="Calibri"/>
        <family val="2"/>
        <scheme val="minor"/>
      </rPr>
      <t xml:space="preserve">  unrestricted and restricted.  
                   cash and investments held 
                   by a third party</t>
    </r>
  </si>
  <si>
    <r>
      <rPr>
        <u/>
        <sz val="11"/>
        <color indexed="8"/>
        <rFont val="Calibri"/>
        <family val="2"/>
        <scheme val="minor"/>
      </rPr>
      <t>Cash and Investment</t>
    </r>
    <r>
      <rPr>
        <sz val="11"/>
        <color indexed="8"/>
        <rFont val="Calibri"/>
        <family val="2"/>
        <scheme val="minor"/>
      </rPr>
      <t xml:space="preserve"> - </t>
    </r>
    <r>
      <rPr>
        <sz val="11"/>
        <color indexed="60"/>
        <rFont val="Calibri"/>
        <family val="2"/>
        <scheme val="minor"/>
      </rPr>
      <t>Please list the book value of any unspent debt proceeds (bonds, installment, etc.) in any funds as of June 30.  This information may be on the face of your statements or in the notes</t>
    </r>
  </si>
  <si>
    <r>
      <t xml:space="preserve">Total Assets </t>
    </r>
    <r>
      <rPr>
        <b/>
        <sz val="11"/>
        <color indexed="8"/>
        <rFont val="Calibri"/>
        <family val="2"/>
        <scheme val="minor"/>
      </rPr>
      <t>being depreciated</t>
    </r>
    <r>
      <rPr>
        <sz val="11"/>
        <color theme="1"/>
        <rFont val="Calibri"/>
        <family val="2"/>
        <scheme val="minor"/>
      </rPr>
      <t xml:space="preserve"> for Governmental Activities:</t>
    </r>
  </si>
  <si>
    <r>
      <rPr>
        <u/>
        <sz val="11"/>
        <color indexed="8"/>
        <rFont val="Calibri"/>
        <family val="2"/>
        <scheme val="minor"/>
      </rPr>
      <t>Gross value.</t>
    </r>
    <r>
      <rPr>
        <sz val="11"/>
        <color theme="1"/>
        <rFont val="Calibri"/>
        <family val="2"/>
        <scheme val="minor"/>
      </rPr>
      <t xml:space="preserve"> </t>
    </r>
    <r>
      <rPr>
        <b/>
        <sz val="11"/>
        <color indexed="8"/>
        <rFont val="Calibri"/>
        <family val="2"/>
        <scheme val="minor"/>
      </rPr>
      <t xml:space="preserve"> 
Exclude</t>
    </r>
    <r>
      <rPr>
        <sz val="11"/>
        <color theme="1"/>
        <rFont val="Calibri"/>
        <family val="2"/>
        <scheme val="minor"/>
      </rPr>
      <t xml:space="preserve"> non-depreciable.</t>
    </r>
  </si>
  <si>
    <r>
      <t xml:space="preserve">Capital Assets for Water and Sewer Activity </t>
    </r>
    <r>
      <rPr>
        <sz val="11"/>
        <color indexed="60"/>
        <rFont val="Calibri"/>
        <family val="2"/>
        <scheme val="minor"/>
      </rPr>
      <t>(If unit maintains separate funds please combine all water, sewer and wastewater funds into one activity for purposes of this worksheet)</t>
    </r>
    <r>
      <rPr>
        <b/>
        <sz val="11"/>
        <color indexed="8"/>
        <rFont val="Calibri"/>
        <family val="2"/>
        <scheme val="minor"/>
      </rPr>
      <t xml:space="preserve">
Exclude </t>
    </r>
    <r>
      <rPr>
        <sz val="11"/>
        <color indexed="8"/>
        <rFont val="Calibri"/>
        <family val="2"/>
        <scheme val="minor"/>
      </rPr>
      <t>Stormwater funds</t>
    </r>
  </si>
  <si>
    <r>
      <t xml:space="preserve">Assets </t>
    </r>
    <r>
      <rPr>
        <b/>
        <sz val="11"/>
        <color indexed="8"/>
        <rFont val="Calibri"/>
        <family val="2"/>
        <scheme val="minor"/>
      </rPr>
      <t>not being depreciated</t>
    </r>
    <r>
      <rPr>
        <sz val="11"/>
        <color theme="1"/>
        <rFont val="Calibri"/>
        <family val="2"/>
        <scheme val="minor"/>
      </rPr>
      <t xml:space="preserve"> for Water and Sewer Activities:</t>
    </r>
  </si>
  <si>
    <r>
      <rPr>
        <u/>
        <sz val="11"/>
        <color indexed="8"/>
        <rFont val="Calibri"/>
        <family val="2"/>
        <scheme val="minor"/>
      </rPr>
      <t>Land and all other non depreciable capital assets</t>
    </r>
    <r>
      <rPr>
        <sz val="11"/>
        <color theme="1"/>
        <rFont val="Calibri"/>
        <family val="2"/>
        <scheme val="minor"/>
      </rPr>
      <t xml:space="preserve"> 
</t>
    </r>
    <r>
      <rPr>
        <b/>
        <sz val="11"/>
        <color indexed="8"/>
        <rFont val="Calibri"/>
        <family val="2"/>
        <scheme val="minor"/>
      </rPr>
      <t>Exclude</t>
    </r>
    <r>
      <rPr>
        <sz val="11"/>
        <color theme="1"/>
        <rFont val="Calibri"/>
        <family val="2"/>
        <scheme val="minor"/>
      </rPr>
      <t xml:space="preserve"> construction in progress</t>
    </r>
  </si>
  <si>
    <r>
      <t>Total Assets not being depreciated for</t>
    </r>
    <r>
      <rPr>
        <b/>
        <u/>
        <sz val="11"/>
        <color indexed="8"/>
        <rFont val="Calibri"/>
        <family val="2"/>
        <scheme val="minor"/>
      </rPr>
      <t xml:space="preserve"> Water and Sewer</t>
    </r>
    <r>
      <rPr>
        <u/>
        <sz val="11"/>
        <color indexed="8"/>
        <rFont val="Calibri"/>
        <family val="2"/>
        <scheme val="minor"/>
      </rPr>
      <t xml:space="preserve"> Activities</t>
    </r>
  </si>
  <si>
    <r>
      <t xml:space="preserve">Assets </t>
    </r>
    <r>
      <rPr>
        <b/>
        <sz val="11"/>
        <color indexed="8"/>
        <rFont val="Calibri"/>
        <family val="2"/>
        <scheme val="minor"/>
      </rPr>
      <t>being depreciated</t>
    </r>
    <r>
      <rPr>
        <sz val="11"/>
        <color theme="1"/>
        <rFont val="Calibri"/>
        <family val="2"/>
        <scheme val="minor"/>
      </rPr>
      <t xml:space="preserve"> for Water and Sewer Activities:</t>
    </r>
  </si>
  <si>
    <r>
      <t xml:space="preserve">Total Gross Value Assets </t>
    </r>
    <r>
      <rPr>
        <b/>
        <sz val="11"/>
        <color indexed="8"/>
        <rFont val="Calibri"/>
        <family val="2"/>
        <scheme val="minor"/>
      </rPr>
      <t>being depreciated</t>
    </r>
    <r>
      <rPr>
        <sz val="11"/>
        <color theme="1"/>
        <rFont val="Calibri"/>
        <family val="2"/>
        <scheme val="minor"/>
      </rPr>
      <t xml:space="preserve"> for Water and Sewer Activities</t>
    </r>
  </si>
  <si>
    <r>
      <t xml:space="preserve">Total Assets Gross value </t>
    </r>
    <r>
      <rPr>
        <b/>
        <u/>
        <sz val="11"/>
        <color indexed="8"/>
        <rFont val="Calibri"/>
        <family val="2"/>
        <scheme val="minor"/>
      </rPr>
      <t>not being depreciated</t>
    </r>
    <r>
      <rPr>
        <u/>
        <sz val="11"/>
        <color indexed="8"/>
        <rFont val="Calibri"/>
        <family val="2"/>
        <scheme val="minor"/>
      </rPr>
      <t xml:space="preserve"> for Electric Fund</t>
    </r>
  </si>
  <si>
    <r>
      <t xml:space="preserve">Long-Term Liability Note - </t>
    </r>
    <r>
      <rPr>
        <b/>
        <sz val="11"/>
        <color indexed="8"/>
        <rFont val="Calibri"/>
        <family val="2"/>
        <scheme val="minor"/>
      </rPr>
      <t>Governmental Activities</t>
    </r>
  </si>
  <si>
    <r>
      <rPr>
        <u/>
        <sz val="11"/>
        <color indexed="8"/>
        <rFont val="Calibri"/>
        <family val="2"/>
        <scheme val="minor"/>
      </rPr>
      <t xml:space="preserve">Decreases made (principal paid) on Long-Term Debt in current fiscal year.  Reduce for </t>
    </r>
    <r>
      <rPr>
        <b/>
        <u/>
        <sz val="11"/>
        <color indexed="8"/>
        <rFont val="Calibri"/>
        <family val="2"/>
        <scheme val="minor"/>
      </rPr>
      <t>debt refunding</t>
    </r>
    <r>
      <rPr>
        <u/>
        <sz val="11"/>
        <color indexed="8"/>
        <rFont val="Calibri"/>
        <family val="2"/>
        <scheme val="minor"/>
      </rPr>
      <t>.</t>
    </r>
  </si>
  <si>
    <r>
      <t xml:space="preserve">Long-Term Liability Note - </t>
    </r>
    <r>
      <rPr>
        <b/>
        <sz val="11"/>
        <color indexed="8"/>
        <rFont val="Calibri"/>
        <family val="2"/>
        <scheme val="minor"/>
      </rPr>
      <t>Water Sewer Activities</t>
    </r>
  </si>
  <si>
    <r>
      <t>Long-Term Liability Note -</t>
    </r>
    <r>
      <rPr>
        <b/>
        <sz val="11"/>
        <color indexed="8"/>
        <rFont val="Calibri"/>
        <family val="2"/>
        <scheme val="minor"/>
      </rPr>
      <t xml:space="preserve"> Electric Activities</t>
    </r>
  </si>
  <si>
    <r>
      <rPr>
        <u/>
        <sz val="11"/>
        <color indexed="8"/>
        <rFont val="Calibri"/>
        <family val="2"/>
        <scheme val="minor"/>
      </rPr>
      <t>Amount of Transfers from the General Fund to the Debt Service Fund</t>
    </r>
    <r>
      <rPr>
        <sz val="11"/>
        <color theme="1"/>
        <rFont val="Calibri"/>
        <family val="2"/>
        <scheme val="minor"/>
      </rPr>
      <t xml:space="preserve"> </t>
    </r>
    <r>
      <rPr>
        <sz val="11"/>
        <color indexed="60"/>
        <rFont val="Calibri"/>
        <family val="2"/>
        <scheme val="minor"/>
      </rPr>
      <t>(Enter as positive)</t>
    </r>
  </si>
  <si>
    <r>
      <rPr>
        <u/>
        <sz val="11"/>
        <color indexed="8"/>
        <rFont val="Calibri"/>
        <family val="2"/>
        <scheme val="minor"/>
      </rPr>
      <t>Amount of Transfers from the General Fund to the Electric Fund</t>
    </r>
    <r>
      <rPr>
        <sz val="11"/>
        <color theme="1"/>
        <rFont val="Calibri"/>
        <family val="2"/>
        <scheme val="minor"/>
      </rPr>
      <t xml:space="preserve">  </t>
    </r>
    <r>
      <rPr>
        <sz val="11"/>
        <color indexed="60"/>
        <rFont val="Calibri"/>
        <family val="2"/>
        <scheme val="minor"/>
      </rPr>
      <t>(Enter as positive)</t>
    </r>
  </si>
  <si>
    <r>
      <rPr>
        <u/>
        <sz val="11"/>
        <color indexed="8"/>
        <rFont val="Calibri"/>
        <family val="2"/>
        <scheme val="minor"/>
      </rPr>
      <t>Amount of Transfers from the Electric Fund to the General Fund</t>
    </r>
    <r>
      <rPr>
        <sz val="11"/>
        <color theme="1"/>
        <rFont val="Calibri"/>
        <family val="2"/>
        <scheme val="minor"/>
      </rPr>
      <t xml:space="preserve">  </t>
    </r>
    <r>
      <rPr>
        <sz val="11"/>
        <color indexed="60"/>
        <rFont val="Calibri"/>
        <family val="2"/>
        <scheme val="minor"/>
      </rPr>
      <t xml:space="preserve">(Enter as positive)
</t>
    </r>
    <r>
      <rPr>
        <b/>
        <sz val="11"/>
        <rFont val="Calibri"/>
        <family val="2"/>
        <scheme val="minor"/>
      </rPr>
      <t>Include</t>
    </r>
    <r>
      <rPr>
        <sz val="11"/>
        <rFont val="Calibri"/>
        <family val="2"/>
        <scheme val="minor"/>
      </rPr>
      <t>:  Payment in Lieu of Taxes (PILOT)</t>
    </r>
  </si>
  <si>
    <r>
      <rPr>
        <u/>
        <sz val="11"/>
        <color indexed="8"/>
        <rFont val="Calibri"/>
        <family val="2"/>
        <scheme val="minor"/>
      </rPr>
      <t>General Fund -  Total Encumbrances.</t>
    </r>
    <r>
      <rPr>
        <sz val="11"/>
        <color theme="1"/>
        <rFont val="Calibri"/>
        <family val="2"/>
        <scheme val="minor"/>
      </rPr>
      <t xml:space="preserve">  </t>
    </r>
    <r>
      <rPr>
        <sz val="11"/>
        <color indexed="60"/>
        <rFont val="Calibri"/>
        <family val="2"/>
        <scheme val="minor"/>
      </rPr>
      <t>You will probably have to refer to the note disclosure where the amount of encumbrances is listed.</t>
    </r>
  </si>
  <si>
    <r>
      <rPr>
        <b/>
        <sz val="11"/>
        <color indexed="8"/>
        <rFont val="Calibri"/>
        <family val="2"/>
        <scheme val="minor"/>
      </rPr>
      <t>Water Sewer</t>
    </r>
    <r>
      <rPr>
        <sz val="11"/>
        <color indexed="8"/>
        <rFont val="Calibri"/>
        <family val="2"/>
        <scheme val="minor"/>
      </rPr>
      <t xml:space="preserve"> - Budget Actual Statement</t>
    </r>
  </si>
  <si>
    <r>
      <rPr>
        <u/>
        <sz val="11"/>
        <color indexed="8"/>
        <rFont val="Calibri"/>
        <family val="2"/>
        <scheme val="minor"/>
      </rPr>
      <t xml:space="preserve">Amount of Water Sewer revenues and other financing sources over expenditures and other uses
</t>
    </r>
    <r>
      <rPr>
        <b/>
        <u/>
        <sz val="11"/>
        <color indexed="8"/>
        <rFont val="Calibri"/>
        <family val="2"/>
        <scheme val="minor"/>
      </rPr>
      <t xml:space="preserve">Exclude:  All transfers and capital contributions
Exclude:  Capital Project funds
</t>
    </r>
    <r>
      <rPr>
        <sz val="11"/>
        <color indexed="60"/>
        <rFont val="Calibri"/>
        <family val="2"/>
        <scheme val="minor"/>
      </rPr>
      <t>This schedule is usually found behind the notes and should be entered as a positive or negative as indicated on your audit report</t>
    </r>
  </si>
  <si>
    <r>
      <rPr>
        <b/>
        <sz val="11"/>
        <color indexed="8"/>
        <rFont val="Calibri"/>
        <family val="2"/>
        <scheme val="minor"/>
      </rPr>
      <t>Water Sewer</t>
    </r>
    <r>
      <rPr>
        <sz val="11"/>
        <color indexed="8"/>
        <rFont val="Calibri"/>
        <family val="2"/>
        <scheme val="minor"/>
      </rPr>
      <t xml:space="preserve"> - Disclosed in the Notes or in the recently approved Budget for next year.</t>
    </r>
  </si>
  <si>
    <r>
      <t xml:space="preserve">Analysis of Current Tax Levy Schedule - Unit-Wide - </t>
    </r>
    <r>
      <rPr>
        <b/>
        <sz val="11"/>
        <color indexed="60"/>
        <rFont val="Calibri"/>
        <family val="2"/>
        <scheme val="minor"/>
      </rPr>
      <t xml:space="preserve">Pull percentages from this LGC-required schedule, </t>
    </r>
  </si>
  <si>
    <r>
      <rPr>
        <u/>
        <sz val="11"/>
        <rFont val="Calibri"/>
        <family val="2"/>
        <scheme val="minor"/>
      </rPr>
      <t>Please enter the Net Current year's levy -- Motor vehicles</t>
    </r>
    <r>
      <rPr>
        <sz val="11"/>
        <rFont val="Calibri"/>
        <family val="2"/>
        <scheme val="minor"/>
      </rPr>
      <t xml:space="preserve"> (only) </t>
    </r>
    <r>
      <rPr>
        <sz val="11"/>
        <color indexed="60"/>
        <rFont val="Calibri"/>
        <family val="2"/>
        <scheme val="minor"/>
      </rPr>
      <t xml:space="preserve">(after adjusting for discoveries and abatements)
</t>
    </r>
    <r>
      <rPr>
        <b/>
        <sz val="11"/>
        <color indexed="8"/>
        <rFont val="Calibri"/>
        <family val="2"/>
        <scheme val="minor"/>
      </rPr>
      <t xml:space="preserve">Exclude </t>
    </r>
    <r>
      <rPr>
        <sz val="11"/>
        <color indexed="8"/>
        <rFont val="Calibri"/>
        <family val="2"/>
        <scheme val="minor"/>
      </rPr>
      <t>supplemental taxes</t>
    </r>
  </si>
  <si>
    <r>
      <t xml:space="preserve">Uncollected Taxes - Curr Year's Levy Exclude Motor Vehicles
</t>
    </r>
    <r>
      <rPr>
        <b/>
        <sz val="11"/>
        <rFont val="Calibri"/>
        <family val="2"/>
        <scheme val="minor"/>
      </rPr>
      <t>Exclude</t>
    </r>
    <r>
      <rPr>
        <sz val="11"/>
        <rFont val="Calibri"/>
        <family val="2"/>
        <scheme val="minor"/>
      </rPr>
      <t xml:space="preserve"> supplemental taxes</t>
    </r>
  </si>
  <si>
    <r>
      <t xml:space="preserve">Uncollected Taxes - Curr Year's Levy Motor Vehicles
</t>
    </r>
    <r>
      <rPr>
        <b/>
        <sz val="11"/>
        <rFont val="Calibri"/>
        <family val="2"/>
        <scheme val="minor"/>
      </rPr>
      <t>Exclude</t>
    </r>
    <r>
      <rPr>
        <sz val="11"/>
        <rFont val="Calibri"/>
        <family val="2"/>
        <scheme val="minor"/>
      </rPr>
      <t xml:space="preserve"> supplemental taxes</t>
    </r>
  </si>
  <si>
    <r>
      <t xml:space="preserve">Tax collection rate- Total Levy UNIT-WIDE
</t>
    </r>
    <r>
      <rPr>
        <b/>
        <sz val="11"/>
        <color indexed="8"/>
        <rFont val="Calibri"/>
        <family val="2"/>
        <scheme val="minor"/>
      </rPr>
      <t>Exclude</t>
    </r>
    <r>
      <rPr>
        <sz val="11"/>
        <color theme="1"/>
        <rFont val="Calibri"/>
        <family val="2"/>
        <scheme val="minor"/>
      </rPr>
      <t xml:space="preserve"> supplemental taxes
(</t>
    </r>
    <r>
      <rPr>
        <sz val="11"/>
        <color indexed="60"/>
        <rFont val="Calibri"/>
        <family val="2"/>
        <scheme val="minor"/>
      </rPr>
      <t>Enter as a percentage with two decimal places)</t>
    </r>
  </si>
  <si>
    <r>
      <rPr>
        <u/>
        <sz val="11"/>
        <rFont val="Calibri"/>
        <family val="2"/>
        <scheme val="minor"/>
      </rPr>
      <t>Tax collection rate - Excluding Registered motor vehicles</t>
    </r>
    <r>
      <rPr>
        <u/>
        <sz val="11"/>
        <color indexed="60"/>
        <rFont val="Calibri"/>
        <family val="2"/>
        <scheme val="minor"/>
      </rPr>
      <t xml:space="preserve">
</t>
    </r>
    <r>
      <rPr>
        <b/>
        <sz val="11"/>
        <rFont val="Calibri"/>
        <family val="2"/>
        <scheme val="minor"/>
      </rPr>
      <t>Exclude</t>
    </r>
    <r>
      <rPr>
        <sz val="11"/>
        <rFont val="Calibri"/>
        <family val="2"/>
        <scheme val="minor"/>
      </rPr>
      <t xml:space="preserve"> supplemental taxes</t>
    </r>
    <r>
      <rPr>
        <sz val="11"/>
        <color indexed="60"/>
        <rFont val="Calibri"/>
        <family val="2"/>
        <scheme val="minor"/>
      </rPr>
      <t xml:space="preserve">
(Enter as a percentage with two decimal places)</t>
    </r>
  </si>
  <si>
    <r>
      <t xml:space="preserve">Tax collection rate - Registered motor vehicles
</t>
    </r>
    <r>
      <rPr>
        <b/>
        <sz val="11"/>
        <color indexed="8"/>
        <rFont val="Calibri"/>
        <family val="2"/>
        <scheme val="minor"/>
      </rPr>
      <t>Exclude</t>
    </r>
    <r>
      <rPr>
        <sz val="11"/>
        <color theme="1"/>
        <rFont val="Calibri"/>
        <family val="2"/>
        <scheme val="minor"/>
      </rPr>
      <t xml:space="preserve"> supplemental taxes
</t>
    </r>
    <r>
      <rPr>
        <sz val="11"/>
        <color indexed="60"/>
        <rFont val="Calibri"/>
        <family val="2"/>
        <scheme val="minor"/>
      </rPr>
      <t>(Enter as a percentage with two decimal places)</t>
    </r>
  </si>
  <si>
    <r>
      <rPr>
        <u/>
        <sz val="11"/>
        <color indexed="8"/>
        <rFont val="Calibri"/>
        <family val="2"/>
        <scheme val="minor"/>
      </rPr>
      <t>Property Tax Increase for Year Audited</t>
    </r>
    <r>
      <rPr>
        <sz val="11"/>
        <color theme="1"/>
        <rFont val="Calibri"/>
        <family val="2"/>
        <scheme val="minor"/>
      </rPr>
      <t xml:space="preserve">- </t>
    </r>
    <r>
      <rPr>
        <sz val="11"/>
        <color indexed="60"/>
        <rFont val="Calibri"/>
        <family val="2"/>
        <scheme val="minor"/>
      </rPr>
      <t xml:space="preserve">enter amount of  increase in cents per $100 - leave blank if no increase 
</t>
    </r>
    <r>
      <rPr>
        <b/>
        <sz val="11"/>
        <color indexed="8"/>
        <rFont val="Calibri"/>
        <family val="2"/>
        <scheme val="minor"/>
      </rPr>
      <t>Exclude</t>
    </r>
    <r>
      <rPr>
        <sz val="11"/>
        <color indexed="8"/>
        <rFont val="Calibri"/>
        <family val="2"/>
        <scheme val="minor"/>
      </rPr>
      <t xml:space="preserve"> supplemental taxes</t>
    </r>
  </si>
  <si>
    <r>
      <rPr>
        <u/>
        <sz val="11"/>
        <color indexed="8"/>
        <rFont val="Calibri"/>
        <family val="2"/>
        <scheme val="minor"/>
      </rPr>
      <t>Property Tax Increase for budget year after fiscal year being reported</t>
    </r>
    <r>
      <rPr>
        <sz val="11"/>
        <color theme="1"/>
        <rFont val="Calibri"/>
        <family val="2"/>
        <scheme val="minor"/>
      </rPr>
      <t xml:space="preserve"> - </t>
    </r>
    <r>
      <rPr>
        <sz val="11"/>
        <color indexed="60"/>
        <rFont val="Calibri"/>
        <family val="2"/>
        <scheme val="minor"/>
      </rPr>
      <t xml:space="preserve">enter amount of increase in cents per $100- leave blank if no increase
</t>
    </r>
    <r>
      <rPr>
        <b/>
        <sz val="11"/>
        <color indexed="8"/>
        <rFont val="Calibri"/>
        <family val="2"/>
        <scheme val="minor"/>
      </rPr>
      <t>Exclude</t>
    </r>
    <r>
      <rPr>
        <sz val="11"/>
        <color indexed="8"/>
        <rFont val="Calibri"/>
        <family val="2"/>
        <scheme val="minor"/>
      </rPr>
      <t xml:space="preserve"> supplemental taxes</t>
    </r>
  </si>
  <si>
    <t>Hospital-EF- Unrestricted Cash &amp; Invest. [Incl.all but Held by Trustee or 3rd party restricted](BS)</t>
  </si>
  <si>
    <t>Unit Data from Audit Worksheet tab: '(506+536-4-5-6-11)+647/(532+509+20-533-508)</t>
  </si>
  <si>
    <t>County only</t>
  </si>
  <si>
    <t>hide for muni, county, utility</t>
  </si>
  <si>
    <t>MH Enterprise Fund Non GAAP - Negative debt refund</t>
  </si>
  <si>
    <t>Mental Health Net Position - Unrestricted Net Position</t>
  </si>
  <si>
    <t>Messages</t>
  </si>
  <si>
    <t>not on 2020 Data</t>
  </si>
  <si>
    <r>
      <t xml:space="preserve">Amount of Ad valorem tax </t>
    </r>
    <r>
      <rPr>
        <b/>
        <sz val="14"/>
        <color theme="1"/>
        <rFont val="Calibri"/>
        <family val="2"/>
        <scheme val="minor"/>
      </rPr>
      <t>collected</t>
    </r>
    <r>
      <rPr>
        <sz val="11"/>
        <color theme="1"/>
        <rFont val="Calibri"/>
        <family val="2"/>
        <scheme val="minor"/>
      </rPr>
      <t xml:space="preserve"> (including motor vehicle and prior years) reported on budget actual statement</t>
    </r>
  </si>
  <si>
    <r>
      <t xml:space="preserve">Amount of Ad valorem tax </t>
    </r>
    <r>
      <rPr>
        <b/>
        <sz val="14"/>
        <color theme="1"/>
        <rFont val="Calibri"/>
        <family val="2"/>
        <scheme val="minor"/>
      </rPr>
      <t>budgeted</t>
    </r>
    <r>
      <rPr>
        <sz val="11"/>
        <color theme="1"/>
        <rFont val="Calibri"/>
        <family val="2"/>
        <scheme val="minor"/>
      </rPr>
      <t xml:space="preserve"> (including motor vehicle and prior years) reported on budget actual statement</t>
    </r>
  </si>
  <si>
    <t>Comb-Proprietary Funds-Current Assets 
Exclude: any restricted assets
                  deferred outflows</t>
  </si>
  <si>
    <t>Mental Health Enterprise Fund Non GAAP (Budget Actual Statements behind the notes)</t>
  </si>
  <si>
    <t>Mental Health or Hospital-EF- Patient Accounts Receivable, Net of Allowance for Bad Debt</t>
  </si>
  <si>
    <t>Please enter any current liabilities that are payable from restricted assets and included in account 633 above.
Enter as positive</t>
  </si>
  <si>
    <t>Please enter any current liabilities that are payable from restricted assets and included in account 639 above. 
Enter as a positive</t>
  </si>
  <si>
    <t>Unearned revenue (arising from cash receipts) that were included in Current Liabilities in account 639 above.
Enter as a positive</t>
  </si>
  <si>
    <t>If you answered "yes" to question #988 above, will you have the closure/postclosure cost fully funded by the date of closure?  Select "1" for Yes,  "2" for No, or "3" for N/A.</t>
  </si>
  <si>
    <r>
      <rPr>
        <u/>
        <sz val="11"/>
        <rFont val="Calibri"/>
        <family val="2"/>
        <scheme val="minor"/>
      </rPr>
      <t xml:space="preserve">Please enter the </t>
    </r>
    <r>
      <rPr>
        <b/>
        <u/>
        <sz val="11"/>
        <rFont val="Calibri"/>
        <family val="2"/>
        <scheme val="minor"/>
      </rPr>
      <t>Net Current year's levy for property excluding registered motor vehicles</t>
    </r>
    <r>
      <rPr>
        <sz val="11"/>
        <rFont val="Calibri"/>
        <family val="2"/>
        <scheme val="minor"/>
      </rPr>
      <t xml:space="preserve">-- </t>
    </r>
    <r>
      <rPr>
        <sz val="11"/>
        <color indexed="60"/>
        <rFont val="Calibri"/>
        <family val="2"/>
        <scheme val="minor"/>
      </rPr>
      <t>(after adjusting for discoveries and abatements)</t>
    </r>
    <r>
      <rPr>
        <sz val="11"/>
        <rFont val="Calibri"/>
        <family val="2"/>
        <scheme val="minor"/>
      </rPr>
      <t xml:space="preserve">
</t>
    </r>
    <r>
      <rPr>
        <b/>
        <sz val="11"/>
        <rFont val="Calibri"/>
        <family val="2"/>
        <scheme val="minor"/>
      </rPr>
      <t>Exclude</t>
    </r>
    <r>
      <rPr>
        <sz val="11"/>
        <rFont val="Calibri"/>
        <family val="2"/>
        <scheme val="minor"/>
      </rPr>
      <t xml:space="preserve"> Supplemental Taxes</t>
    </r>
  </si>
  <si>
    <t>Leave blank if data not available</t>
  </si>
  <si>
    <t>If you appropriated General Fund Balance in your 2021 budget and your "change in fund balance": (account # 9 above) is negative, please select from the drop down box in column F either "operations" or "capital", whichever best describes what the fund balance was used for.  If you select "Capital" please briefly describe in column G to the right the capital items.</t>
  </si>
  <si>
    <t>Debt Service Fund Balance</t>
  </si>
  <si>
    <t>Is there is a going concern finding noted in the audit report</t>
  </si>
  <si>
    <t>Did unit have problems with debt service payments being late, debt restructured or not meeting bond covenants</t>
  </si>
  <si>
    <t>Were there statutory violations disclosed in the audit</t>
  </si>
  <si>
    <t>Were major funds overspent</t>
  </si>
  <si>
    <t>If you answered "yes" to question CCH #988 above, will you have the closure/postclosure cost fully funded by the date of closure</t>
  </si>
  <si>
    <t>Greater than 16% (2 months)</t>
  </si>
  <si>
    <t>It appears your Water Sewer fund(s) have  transfers-in for the support of operations that are greater than 3% of the total of operating and non-operating expenses.  Please discuss the purpose of such transfers-in and if you plan to continue these transfers-in.</t>
  </si>
  <si>
    <t>Unit Data from Audit worksheet tab :  CCH acct # 986 is greater than (CCH 85+CCH 351)*.03</t>
  </si>
  <si>
    <t>If you encounter an Excel error in the various indicators such as "false", "#DIV/0!" OR "#NA", normally the reason is you did not to answer one of the questions used to calculate the formula - Column G provides the accounts and formula used in the calculation.  If the Unit Results cell is red, please verify that the data is entered correctly in the "Unit Data From Audit Worksheet" or "TD Info Completed by Auditor" as indicated for accounts listed in Column G.</t>
  </si>
  <si>
    <t>Fund balance available for appropriation is an important reserve for local governments to provide cash flow during periods of declining revenues and to be used for emergencies and unforeseen expenditures.  Column F to the left indicates the amount of available cash on hand as well as the average for units of your size.  Note one month of expenditures is equal to 8.33%.  In your Response Letter please provide detail plans on how your unit will improve your available fund balance.  Normally, a unit has to either increase revenues or decrease expenditures.  The Threshold tab in this worksheet discusses the various expenditure groupings.</t>
  </si>
  <si>
    <t>On the Unit Assistance List</t>
  </si>
  <si>
    <t xml:space="preserve">Fund balance available for appropriation is an important reserve for local governments to provide cash flow during periods of declining revenues and to be used for emergencies and unforeseen expenditures.  Column F to the left indicates the amount of available cash on hand.  Note one month of expenditures is equal to 8.33%.  In your Response Letter please provide detail plans on how your unit will improve your available fund balance.  Normally, a unit has to either increasing revenues or decreasing expenditures.  </t>
  </si>
  <si>
    <t>Unit Data from Audit Worksheet tab: (13-534)/14</t>
  </si>
  <si>
    <t>Available Fund Balance + debt service fund balance / Total Expenditures and Transfers-out less bond proceeds</t>
  </si>
  <si>
    <t>Select Unit Name from Drop Down List</t>
  </si>
  <si>
    <t>The General Fund had a fund balance available less than 8% or one month of expenditures</t>
  </si>
  <si>
    <t>Section 1: Data Collection NOTE:  the data submitted below may be used in various published reports</t>
  </si>
  <si>
    <t>The  name of the Primary Government for the file name and in question 1 should not contain the words "Town of", Village of" etc…..The City of Dogwood = Dogwood</t>
  </si>
  <si>
    <t>Copy of final Ual as of 4/23/2021 based on June 30 2020 audited financals</t>
  </si>
  <si>
    <t>Aulander</t>
  </si>
  <si>
    <t>Ayden</t>
  </si>
  <si>
    <t>Bailey</t>
  </si>
  <si>
    <t>Belmont</t>
  </si>
  <si>
    <t>Bunn</t>
  </si>
  <si>
    <t>Casar</t>
  </si>
  <si>
    <t>Chocowinity</t>
  </si>
  <si>
    <t>Clarkton</t>
  </si>
  <si>
    <t>Cofield</t>
  </si>
  <si>
    <t>Conetoe</t>
  </si>
  <si>
    <t>Creswell</t>
  </si>
  <si>
    <t>Dallas</t>
  </si>
  <si>
    <t>Elizabeth City</t>
  </si>
  <si>
    <t>Erwin</t>
  </si>
  <si>
    <t>Eureka</t>
  </si>
  <si>
    <t>Gibson</t>
  </si>
  <si>
    <t>Green Level</t>
  </si>
  <si>
    <t>Hassell</t>
  </si>
  <si>
    <t>Haw River</t>
  </si>
  <si>
    <t>Hertford</t>
  </si>
  <si>
    <t>Micro</t>
  </si>
  <si>
    <t>Middleburg</t>
  </si>
  <si>
    <t>Mint Hill</t>
  </si>
  <si>
    <t>Mount Holly</t>
  </si>
  <si>
    <t>Plymouth</t>
  </si>
  <si>
    <t>Richfield</t>
  </si>
  <si>
    <t>Roseboro</t>
  </si>
  <si>
    <t>Rosman</t>
  </si>
  <si>
    <t>Rowland</t>
  </si>
  <si>
    <t>Roxboro</t>
  </si>
  <si>
    <t>Ruth</t>
  </si>
  <si>
    <t>Siler City</t>
  </si>
  <si>
    <t>Stanley</t>
  </si>
  <si>
    <t>Stonewall</t>
  </si>
  <si>
    <t>Tabor City</t>
  </si>
  <si>
    <t>Teachey</t>
  </si>
  <si>
    <t>Waco</t>
  </si>
  <si>
    <t>Walnut Creek</t>
  </si>
  <si>
    <t>Warrenton</t>
  </si>
  <si>
    <t>White Lake</t>
  </si>
  <si>
    <t>Winton</t>
  </si>
  <si>
    <t>Yanceyville</t>
  </si>
  <si>
    <t>Caswell County</t>
  </si>
  <si>
    <t>Cherokee County</t>
  </si>
  <si>
    <t>Columbus County</t>
  </si>
  <si>
    <t>Davie County</t>
  </si>
  <si>
    <t>Graham County</t>
  </si>
  <si>
    <t>Martin County</t>
  </si>
  <si>
    <t>Person County</t>
  </si>
  <si>
    <t>Bay River Metropolitan Sewer District</t>
  </si>
  <si>
    <t>Brunswick Regional Water Sewer - H2GO</t>
  </si>
  <si>
    <t>Maggie Valley Sanitary District</t>
  </si>
  <si>
    <t>Ocracoke Sanitary District</t>
  </si>
  <si>
    <t>Swan Quarter Sanitary District</t>
  </si>
  <si>
    <t>PERFORMANCE INDICATORS OF CONCERN</t>
  </si>
  <si>
    <t>The self-reported information from your unit's audit report was used to generate the following trends and performance indicators.    We have created this Performance Indicator Tab to make these indicators available to auditors and local governments when your audit is conducted. If any unit's results are shaded red then the unit must submit a "Response to the Auditor's Findings, Recommendations, and Fiscal Matters" within 60 days from the auditor's board presentation.  The response must address all performance indicators shaded in red.</t>
  </si>
  <si>
    <t>Fiscal Year 2021</t>
  </si>
  <si>
    <t>In the past, units of government have been grouped by population to evaluate various ratios and benchmarking.  This year we have also grouped units by expenditure which is a more effective comparison for some ratios.  Beginning with this year, units of government have been grouped by general fund expenditures for purposes of evaluating available fund balance as a percentage of expenditures (GF FBA%).  Each grouping category has its own minimum threshold. If you are in the lower quartile your GF FBA% might be considered a performance indicator of concern and you might be asked to communicate to us. To the left are the minimum thresholds for Municipalities and Counties.</t>
  </si>
  <si>
    <t>GENERAL FUND:</t>
  </si>
  <si>
    <t>Unit Results</t>
  </si>
  <si>
    <t>Fund balance available for appropriation is an important reserve for local governments to provide cash flow during periods of declining revenues and to be used for emergencies and unforeseen expenditures.  The information to the left indicates the amount of available cash on hand.  You will also see the average for units of your size.  Note that 8.33% represents enough fund balance to cover one month of expenditures.  Normally, a unit has to either increase revenues or decrease expenditures to increase fund balance available. 
This calculation looks at fund balance available plus debt service fund balance (if applicable) less Powell Bill.  This number is them divided by the total of total expenditures plus transfers out less bond proceeds.</t>
  </si>
  <si>
    <t>2021</t>
  </si>
  <si>
    <t>GENERAL PERFORMANCE INDICATORS:</t>
  </si>
  <si>
    <t>Target</t>
  </si>
  <si>
    <t>As stewards of the public’s resources, the governing body is responsible for ensuring that the audited financial statements are available to the public in a timely manner.  External groups such as the North Carolina General Assembly, federal and State agencies that provide funding, and other public associations need current financial information about your local government as well.</t>
  </si>
  <si>
    <t>This indicator shows that the local government did not collect 3% (or more) of its budgeted tax levy.  This could be an indicator of negative economic events, inaccurate budgeting, and/or issues with the collection process.  Uncollected revenues at the 3% level represent several pennies of the tax rate.</t>
  </si>
  <si>
    <t>You indicated that you expect a decrease in property value for your next property revaluation.   In your Response Letter please discuss the magnitude of the drop in valuation, the overall cause of the drop and how your County plans to recover the lost revenues.</t>
  </si>
  <si>
    <t>Any estimated decrease</t>
  </si>
  <si>
    <t>You indicated that you expect a decrease in property value for your next property revaluation which could result in lost tax revenue.</t>
  </si>
  <si>
    <t>The unit had expenditures that exceeded the legal budget ordinance.  This indicates that the unit's purchase order system, contract approval process and / or payment process is not in compliance with North Carolina General Statute 159.</t>
  </si>
  <si>
    <t xml:space="preserve">The local government has indicated there is substantial unbudgeted costs that could significantly impact their operations and/or customer rates.  </t>
  </si>
  <si>
    <t>If a unit has no performance indicators of concern that would require them to submit a Response to Audit Findings, Recommendations and Fiscal Matters, but they are currently on the  Unit Assistance List, they must still submit a Response to Audit Findings, Recommendations and Fiscal Matters.  Their response should discuss the financial plan they have developed to address the issues that placed them on the Unit Assistance List and the progress they have made to date.</t>
  </si>
  <si>
    <t>This indicator lists whether the unit has a statutory violation.</t>
  </si>
  <si>
    <t>This indicator states whether or not your auditor has identified material and/or significant findings or any other findings for your unit.</t>
  </si>
  <si>
    <t>If you encounter an Excel error in the various indicators such as "false", "#DIV/0!" OR "#NA", normally the reason is you did not to answer one of the questions used to calculate the formula - This column provides the accounts and formula used in the calculation.  If the Unit Results cell is red, please verify that the data is entered correctly in the "Unit Data From Audit Worksheet" or "TD Info Completed by Auditor" as indicated for accounts listed in Column G.</t>
  </si>
  <si>
    <t>Print Area is set to exclude column I and J</t>
  </si>
  <si>
    <t>Fund balance available for appropriation is an important reserve for local governments to provide cash flow during periods of declining revenues and to be used for emergencies and unforeseen expenditures.  The information to the left indicates the amount of available cash on hand.  You will also see the average for units of your size.  Note that 8.33% represents enough fund balance to cover one month of expenditures.  Normally, a unit has to either increase revenues or decrease expenditures to increase fund balance available. 
This calculation looks at fund balance available plus debt service fund balance (if applicable).  This number is them divided by the total of total expenditures plus transfers out less bond proceeds.</t>
  </si>
  <si>
    <t>Data Import 2017</t>
  </si>
  <si>
    <t>Account</t>
  </si>
  <si>
    <t>Albemarle Regional Health Services</t>
  </si>
  <si>
    <t>Appalachian District Health</t>
  </si>
  <si>
    <t>Cabarrus Health Alliance</t>
  </si>
  <si>
    <t>Granville/Vance District Health</t>
  </si>
  <si>
    <t>Martin/Tyrrell/Washington District Health</t>
  </si>
  <si>
    <t>Rutherford/Polk/Mcdowell District Health</t>
  </si>
  <si>
    <t>Toe River Health District</t>
  </si>
  <si>
    <t>GF- Reserved by state statute per report</t>
  </si>
  <si>
    <t>C-EF- Current liabilities (Inc. Def Rev, Excl. BANs &amp; Comp Abs) Enter as positive.</t>
  </si>
  <si>
    <t>GF- Total revenues</t>
  </si>
  <si>
    <t>GF- Transfers In (incl. CU)</t>
  </si>
  <si>
    <t>GF- Total expenditures. Enter as positive.</t>
  </si>
  <si>
    <t>C-EF- Capital contributions. (only positive)</t>
  </si>
  <si>
    <t>GF- Transfers Out (incl. CU) ENTER AS A POSITIVE!</t>
  </si>
  <si>
    <t>GF- Other items. Should be only positive items. If negative, group with Total expenditures or Transfers out.</t>
  </si>
  <si>
    <t>GF-net change in fund balance</t>
  </si>
  <si>
    <t>GA- net assets, ICAND</t>
  </si>
  <si>
    <t>GA-net assets, restricted</t>
  </si>
  <si>
    <t>GA-net assets -unrestricted</t>
  </si>
  <si>
    <t>GA-change in net assets</t>
  </si>
  <si>
    <t>GA-special items</t>
  </si>
  <si>
    <t>GA-extraordinary items</t>
  </si>
  <si>
    <t>BTA- net assets, ICAND</t>
  </si>
  <si>
    <t>BTA-net assets, restricted</t>
  </si>
  <si>
    <t>BTA-net assets, unrestricted</t>
  </si>
  <si>
    <t>BTA-change in net assets</t>
  </si>
  <si>
    <t>BTA-special items</t>
  </si>
  <si>
    <t>BTA-extraordinary items</t>
  </si>
  <si>
    <t>C-EF- Change in Net Assets - per exhibits</t>
  </si>
  <si>
    <t>Entity-Wide Buildings and Structures at Original Cost</t>
  </si>
  <si>
    <t>C-EF- Depreciation &amp; Amort Expense. Enter as positive.</t>
  </si>
  <si>
    <t>OPEB- Net OPEB obligation, ending</t>
  </si>
  <si>
    <t>OPEB- Annual OPEB cost(expense)</t>
  </si>
  <si>
    <t>OPEB- Total UAAL (unfunded actuarial accrued liability)</t>
  </si>
  <si>
    <t>OPEB- ARC (annual required contribution)</t>
  </si>
  <si>
    <t>OPEB- UAAL as % of covered payroll</t>
  </si>
  <si>
    <t>C-EF- Cash Flow from Operating Activities</t>
  </si>
  <si>
    <t>GA- Total Unrestricted Cash &amp; Investments (SNA)</t>
  </si>
  <si>
    <t>GA- Total Depreciable capital assets, gross (no non-depreciable CA)(Notes)</t>
  </si>
  <si>
    <t>GA- Unearned revenues- current portion only (SNA) Enter as positive.</t>
  </si>
  <si>
    <t>GA- Current liabilities (Inc. UR, LTD, ISF)(Ex. BANs, Comp Abs, Pension, OPEB, Payables from Rest. Assets)(SNA) Enter as positive.</t>
  </si>
  <si>
    <t>GA- Total LTD (ST &amp;LT, include BANs; No Comp Abs, Pension, OPEB)(Notes) Enter as positive.</t>
  </si>
  <si>
    <t>GA- Total liabilities (SNA). Enter as postive.</t>
  </si>
  <si>
    <t>GA- Total Charges for services (SOA)</t>
  </si>
  <si>
    <t>GA- Total Program revenues (positive only)(SOA)</t>
  </si>
  <si>
    <t>GA- Total General revenues (positive only; No transfers, special, extraordinary items)(SOA)</t>
  </si>
  <si>
    <t>GA- Principal paid on LT Debt (Notes) Enter as positive.</t>
  </si>
  <si>
    <t>GA- Interest of LTD (SOA) Enter as positive.</t>
  </si>
  <si>
    <t>GF- Liabilities payable from restricted assets. Enter as positive.</t>
  </si>
  <si>
    <t>GF- Total Intergovernmental revenue (Rest &amp; Unrest)</t>
  </si>
  <si>
    <t>GF- Principal &amp; interest paid on LT debt (Exh. 4) Enter as positive.</t>
  </si>
  <si>
    <t>GF- Transfers out to Debt Service Fund (Enter as positive)</t>
  </si>
  <si>
    <t>Legal debt margin (amount cited in notes)</t>
  </si>
  <si>
    <t>GA- Total accum. deprec. on all capital assets</t>
  </si>
  <si>
    <t>GA- PPA &amp; restatements to Beg. Bal.</t>
  </si>
  <si>
    <t>GF- Total assets</t>
  </si>
  <si>
    <t>GF- Deferred rev NOT from cash. Enter as positive.</t>
  </si>
  <si>
    <t>GA- Total assets (SNA)</t>
  </si>
  <si>
    <t>GA- Transfers In (SOA)</t>
  </si>
  <si>
    <t>GA- Transfers Out (SOA) Enter as positive.</t>
  </si>
  <si>
    <t>GA- Total Expenses (SOA) Enter as positive.</t>
  </si>
  <si>
    <t>GA- extraordinary &amp; special items (SOA)</t>
  </si>
  <si>
    <t>BTA- extraordinary &amp; special items (SOA)</t>
  </si>
  <si>
    <t>GF- Restricted for Stablization by State Statute</t>
  </si>
  <si>
    <t>GF- Liabilities (Excl deferred/unearned rev)(Inc Payables from restricted asets) Enter as positive.</t>
  </si>
  <si>
    <t>GF- Deferred/unearned rev from cash receipts (Notes) Enter as positive.</t>
  </si>
  <si>
    <t>Gen Fund - Total Expenditures (w/o Neg Refund)</t>
  </si>
  <si>
    <t>Gen Fund - Proceeds from LTD (w/o Pos Refund)</t>
  </si>
  <si>
    <t>Retiree Premiums pd by unit</t>
  </si>
  <si>
    <t>"OPEB 
1-implicit rate only 
2-no benefit 
3-benfit 
4- state health plan  "</t>
  </si>
  <si>
    <t>The Actuarially accrued liability for the unit's OPEB benefit.</t>
  </si>
  <si>
    <t>"Internal Control-
1) no IC issues 
2)Immaterial 
3) Unit letter for IC 
4) Unit visit for IC"</t>
  </si>
  <si>
    <t>GF- Encumbrances in fund balance</t>
  </si>
  <si>
    <t>GF- Inventory/prepaids in fund balance</t>
  </si>
  <si>
    <t>GF- Total Fund Balance per report</t>
  </si>
  <si>
    <t>import tab only</t>
  </si>
  <si>
    <t>Health benefits - plan's fiduciary net postion as a % of total OPEB liability</t>
  </si>
  <si>
    <t>Vision benefits - plan's fiduciary net postion as a % of total OPEB liability</t>
  </si>
  <si>
    <t>Dental benefits - plan's fiduciary net postion as a % of total OPEB liability</t>
  </si>
  <si>
    <t>Net OPEB Liability</t>
  </si>
  <si>
    <t>Hertford County Public Health Authority</t>
  </si>
  <si>
    <t>FootHills Health District</t>
  </si>
  <si>
    <t>336 is active, collected by accounts 626-631</t>
  </si>
  <si>
    <t>DO NOT DELETE ROW</t>
  </si>
  <si>
    <t>INCLUDED on TD BELOW</t>
  </si>
  <si>
    <t>do not delete row</t>
  </si>
  <si>
    <t>total expenditures for FBA Calculation</t>
  </si>
  <si>
    <t>25%</t>
  </si>
  <si>
    <t>34%</t>
  </si>
  <si>
    <t xml:space="preserve"> 331+89 </t>
  </si>
  <si>
    <t>Electric Gross Capital Assets</t>
  </si>
  <si>
    <t xml:space="preserve">Performance Indicator Tab Target for FBA - County </t>
  </si>
  <si>
    <t>should equal to column E on Unit Data from audit worksheet</t>
  </si>
  <si>
    <t>only loaded to SQl database</t>
  </si>
  <si>
    <t xml:space="preserve">Date    </t>
  </si>
  <si>
    <t>The 2021 Audit Report is expected to be submitted within five months plus one day from the fiscal year end per the auditor.  (December 1st for most units)</t>
  </si>
  <si>
    <t>The Auditor will submit the Audit Report to the LGC within five months plus one day after the fiscal year end.  (for units with a June 30th fiscal year-end this would be December 1)   Select Yes or No</t>
  </si>
  <si>
    <t>5 months plus one day after the fiscal year end</t>
  </si>
  <si>
    <r>
      <rPr>
        <b/>
        <u/>
        <sz val="11"/>
        <color indexed="8"/>
        <rFont val="Calibri"/>
        <family val="2"/>
        <scheme val="minor"/>
      </rPr>
      <t>Any adjustment to beginning fund balance including rounding, prior period adjustments and restatements.</t>
    </r>
    <r>
      <rPr>
        <b/>
        <sz val="11"/>
        <color theme="1"/>
        <rFont val="Calibri"/>
        <family val="2"/>
        <scheme val="minor"/>
      </rPr>
      <t xml:space="preserve">  </t>
    </r>
    <r>
      <rPr>
        <b/>
        <sz val="11"/>
        <color indexed="60"/>
        <rFont val="Calibri"/>
        <family val="2"/>
        <scheme val="minor"/>
      </rPr>
      <t xml:space="preserve"> (Amounts that increase fund balance are recorded as positive and amounts that decrease fund balance are recorded as negative)</t>
    </r>
  </si>
  <si>
    <r>
      <t xml:space="preserve">Amount of </t>
    </r>
    <r>
      <rPr>
        <b/>
        <u/>
        <sz val="11"/>
        <color indexed="8"/>
        <rFont val="Calibri"/>
        <family val="2"/>
        <scheme val="minor"/>
      </rPr>
      <t>Local Current Expense Funds</t>
    </r>
    <r>
      <rPr>
        <b/>
        <sz val="11"/>
        <color indexed="8"/>
        <rFont val="Calibri"/>
        <family val="2"/>
        <scheme val="minor"/>
      </rPr>
      <t xml:space="preserve"> received from the County transferred to Fund 8 this year.</t>
    </r>
  </si>
  <si>
    <r>
      <t xml:space="preserve">Amount of </t>
    </r>
    <r>
      <rPr>
        <b/>
        <u/>
        <sz val="11"/>
        <color indexed="8"/>
        <rFont val="Calibri"/>
        <family val="2"/>
        <scheme val="minor"/>
      </rPr>
      <t>Capital Outlay Funds</t>
    </r>
    <r>
      <rPr>
        <b/>
        <sz val="11"/>
        <color indexed="8"/>
        <rFont val="Calibri"/>
        <family val="2"/>
        <scheme val="minor"/>
      </rPr>
      <t xml:space="preserve"> received from the County transferred to Fund 8 this year.</t>
    </r>
  </si>
  <si>
    <r>
      <rPr>
        <b/>
        <u/>
        <sz val="11"/>
        <color indexed="8"/>
        <rFont val="Calibri"/>
        <family val="2"/>
        <scheme val="minor"/>
      </rPr>
      <t>Debt service expenditures from all governmental funds</t>
    </r>
    <r>
      <rPr>
        <b/>
        <sz val="11"/>
        <color theme="1"/>
        <rFont val="Calibri"/>
        <family val="2"/>
        <scheme val="minor"/>
      </rPr>
      <t>.  Include principal, interest paid, and debt issuance costs on long-term debt.</t>
    </r>
  </si>
  <si>
    <r>
      <t xml:space="preserve">Total Long-term debt (non current portion only) - </t>
    </r>
    <r>
      <rPr>
        <b/>
        <sz val="11"/>
        <color indexed="10"/>
        <rFont val="Calibri"/>
        <family val="2"/>
        <scheme val="minor"/>
      </rPr>
      <t>enter as a positive</t>
    </r>
  </si>
  <si>
    <r>
      <t xml:space="preserve">Total Operating Expenses. May include Interest Expense - </t>
    </r>
    <r>
      <rPr>
        <b/>
        <sz val="11"/>
        <color indexed="10"/>
        <rFont val="Calibri"/>
        <family val="2"/>
        <scheme val="minor"/>
      </rPr>
      <t>Enter as a positive</t>
    </r>
  </si>
  <si>
    <r>
      <t xml:space="preserve">Interest Expense - </t>
    </r>
    <r>
      <rPr>
        <b/>
        <sz val="11"/>
        <color indexed="10"/>
        <rFont val="Calibri"/>
        <family val="2"/>
        <scheme val="minor"/>
      </rPr>
      <t xml:space="preserve">Enter as a positive </t>
    </r>
  </si>
  <si>
    <r>
      <rPr>
        <b/>
        <sz val="11"/>
        <color indexed="8"/>
        <rFont val="Calibri"/>
        <family val="2"/>
        <scheme val="minor"/>
      </rPr>
      <t>Statement of Net Position - Water and Sewer Operations - If unit maintains separate funds please combine all water, sewer,</t>
    </r>
  </si>
  <si>
    <r>
      <rPr>
        <b/>
        <sz val="11"/>
        <color indexed="8"/>
        <rFont val="Calibri"/>
        <family val="2"/>
        <scheme val="minor"/>
      </rPr>
      <t>Water Sewer Net Position Statement</t>
    </r>
  </si>
  <si>
    <r>
      <rPr>
        <b/>
        <u/>
        <sz val="11"/>
        <color indexed="8"/>
        <rFont val="Calibri"/>
        <family val="2"/>
        <scheme val="minor"/>
      </rPr>
      <t>Unrestricted Cash and investments</t>
    </r>
    <r>
      <rPr>
        <b/>
        <sz val="11"/>
        <color theme="1"/>
        <rFont val="Calibri"/>
        <family val="2"/>
        <scheme val="minor"/>
      </rPr>
      <t xml:space="preserve"> 
</t>
    </r>
    <r>
      <rPr>
        <b/>
        <sz val="11"/>
        <color indexed="8"/>
        <rFont val="Calibri"/>
        <family val="2"/>
        <scheme val="minor"/>
      </rPr>
      <t>Exclude</t>
    </r>
    <r>
      <rPr>
        <b/>
        <sz val="11"/>
        <color theme="1"/>
        <rFont val="Calibri"/>
        <family val="2"/>
        <scheme val="minor"/>
      </rPr>
      <t xml:space="preserve"> restricted cash and/or restricted investments.</t>
    </r>
  </si>
  <si>
    <r>
      <rPr>
        <b/>
        <u/>
        <sz val="11"/>
        <color indexed="8"/>
        <rFont val="Calibri"/>
        <family val="2"/>
        <scheme val="minor"/>
      </rPr>
      <t>Customer accounts receivable</t>
    </r>
    <r>
      <rPr>
        <b/>
        <sz val="11"/>
        <color theme="1"/>
        <rFont val="Calibri"/>
        <family val="2"/>
        <scheme val="minor"/>
      </rPr>
      <t xml:space="preserve"> (net of allowance accounts). 
</t>
    </r>
    <r>
      <rPr>
        <b/>
        <sz val="11"/>
        <color indexed="8"/>
        <rFont val="Calibri"/>
        <family val="2"/>
        <scheme val="minor"/>
      </rPr>
      <t>Include</t>
    </r>
    <r>
      <rPr>
        <b/>
        <sz val="11"/>
        <color theme="1"/>
        <rFont val="Calibri"/>
        <family val="2"/>
        <scheme val="minor"/>
      </rPr>
      <t xml:space="preserve"> both billed and unbilled amounts.</t>
    </r>
  </si>
  <si>
    <r>
      <rPr>
        <b/>
        <u/>
        <sz val="11"/>
        <rFont val="Calibri"/>
        <family val="2"/>
        <scheme val="minor"/>
      </rPr>
      <t>Water Sewer - Advance To:</t>
    </r>
    <r>
      <rPr>
        <b/>
        <sz val="11"/>
        <rFont val="Calibri"/>
        <family val="2"/>
        <scheme val="minor"/>
      </rPr>
      <t xml:space="preserve">
Interfund loan receivable-portion of repayment plan longer than 12 months</t>
    </r>
  </si>
  <si>
    <r>
      <rPr>
        <b/>
        <u/>
        <sz val="11"/>
        <color indexed="8"/>
        <rFont val="Calibri"/>
        <family val="2"/>
        <scheme val="minor"/>
      </rPr>
      <t>Total Current assets as listed on the WS Net Position Statement</t>
    </r>
    <r>
      <rPr>
        <b/>
        <sz val="11"/>
        <color indexed="8"/>
        <rFont val="Calibri"/>
        <family val="2"/>
        <scheme val="minor"/>
      </rPr>
      <t xml:space="preserve">.  
</t>
    </r>
  </si>
  <si>
    <r>
      <rPr>
        <b/>
        <u/>
        <sz val="11"/>
        <rFont val="Calibri"/>
        <family val="2"/>
        <scheme val="minor"/>
      </rPr>
      <t xml:space="preserve">Water Sewer - Advance From: 
</t>
    </r>
    <r>
      <rPr>
        <b/>
        <sz val="11"/>
        <rFont val="Calibri"/>
        <family val="2"/>
        <scheme val="minor"/>
      </rPr>
      <t>Interfund loan Payable-portion of repayment plan longer than 12 months</t>
    </r>
  </si>
  <si>
    <r>
      <rPr>
        <b/>
        <u/>
        <sz val="11"/>
        <color indexed="8"/>
        <rFont val="Calibri"/>
        <family val="2"/>
        <scheme val="minor"/>
      </rPr>
      <t>Current liabilities</t>
    </r>
    <r>
      <rPr>
        <b/>
        <u/>
        <sz val="11"/>
        <color rgb="FFFF0000"/>
        <rFont val="Calibri"/>
        <family val="2"/>
        <scheme val="minor"/>
      </rPr>
      <t xml:space="preserve"> (as reported on the Statement of Fund Net Position)</t>
    </r>
    <r>
      <rPr>
        <b/>
        <sz val="11"/>
        <color indexed="8"/>
        <rFont val="Calibri"/>
        <family val="2"/>
        <scheme val="minor"/>
      </rPr>
      <t xml:space="preserve">
Include:   Current liabilities including current portion of long-term debt.  </t>
    </r>
    <r>
      <rPr>
        <b/>
        <sz val="11"/>
        <color rgb="FF000000"/>
        <rFont val="Calibri"/>
        <family val="2"/>
        <scheme val="minor"/>
      </rPr>
      <t>Deferred inflows should not be included in Current Liabilities</t>
    </r>
    <r>
      <rPr>
        <b/>
        <sz val="11"/>
        <color indexed="8"/>
        <rFont val="Calibri"/>
        <family val="2"/>
        <scheme val="minor"/>
      </rPr>
      <t xml:space="preserve">  
Enter as positive</t>
    </r>
  </si>
  <si>
    <r>
      <t xml:space="preserve">Please enter any bond anticipation notes that are classified as current liabilities and included in account 633 above </t>
    </r>
    <r>
      <rPr>
        <b/>
        <sz val="11"/>
        <color theme="5" tint="-0.249977111117893"/>
        <rFont val="Calibri"/>
        <family val="2"/>
        <scheme val="minor"/>
      </rPr>
      <t xml:space="preserve">(amounts entered should agree to the current amount included in the changes to long-term debt note)
</t>
    </r>
    <r>
      <rPr>
        <b/>
        <sz val="11"/>
        <rFont val="Calibri"/>
        <family val="2"/>
        <scheme val="minor"/>
      </rPr>
      <t>Enter as positive</t>
    </r>
  </si>
  <si>
    <r>
      <t xml:space="preserve">Please enter any compensated absences that are classified as current liabilities and included in account 633 above </t>
    </r>
    <r>
      <rPr>
        <b/>
        <sz val="11"/>
        <color theme="5" tint="-0.249977111117893"/>
        <rFont val="Calibri"/>
        <family val="2"/>
        <scheme val="minor"/>
      </rPr>
      <t>(amounts entered should agree to the current amount included in the changes to long-term debt note)</t>
    </r>
    <r>
      <rPr>
        <b/>
        <sz val="11"/>
        <color indexed="8"/>
        <rFont val="Calibri"/>
        <family val="2"/>
        <scheme val="minor"/>
      </rPr>
      <t xml:space="preserve">
Enter as positive</t>
    </r>
  </si>
  <si>
    <r>
      <t xml:space="preserve">Please enter any pension liabilities that are classified as current liabilities and included in account 633 above </t>
    </r>
    <r>
      <rPr>
        <b/>
        <sz val="11"/>
        <color theme="5" tint="-0.249977111117893"/>
        <rFont val="Calibri"/>
        <family val="2"/>
        <scheme val="minor"/>
      </rPr>
      <t>(amounts entered should agree to the current amount included in the changes to long-term debt note)</t>
    </r>
    <r>
      <rPr>
        <b/>
        <sz val="11"/>
        <color indexed="8"/>
        <rFont val="Calibri"/>
        <family val="2"/>
        <scheme val="minor"/>
      </rPr>
      <t xml:space="preserve">
Enter as positive</t>
    </r>
  </si>
  <si>
    <r>
      <t xml:space="preserve">Please enter any OPEB liabilities that are classified as current liabilities and included in account 633 above </t>
    </r>
    <r>
      <rPr>
        <b/>
        <sz val="11"/>
        <color theme="5" tint="-0.249977111117893"/>
        <rFont val="Calibri"/>
        <family val="2"/>
        <scheme val="minor"/>
      </rPr>
      <t>(amounts entered should agree to the current amount included in the changes to long-term debt note)</t>
    </r>
    <r>
      <rPr>
        <b/>
        <sz val="11"/>
        <color indexed="8"/>
        <rFont val="Calibri"/>
        <family val="2"/>
        <scheme val="minor"/>
      </rPr>
      <t xml:space="preserve">
Enter as positive</t>
    </r>
  </si>
  <si>
    <r>
      <t xml:space="preserve">Unearned revenue (arising from cash receipts) that were included in Current Liabilities in the question in account 633 above.
</t>
    </r>
    <r>
      <rPr>
        <b/>
        <sz val="11"/>
        <color theme="1"/>
        <rFont val="Calibri"/>
        <family val="2"/>
        <scheme val="minor"/>
      </rPr>
      <t xml:space="preserve">
Enter as positive</t>
    </r>
  </si>
  <si>
    <r>
      <rPr>
        <b/>
        <u/>
        <sz val="11"/>
        <color indexed="8"/>
        <rFont val="Calibri"/>
        <family val="2"/>
        <scheme val="minor"/>
      </rPr>
      <t>Total Net position, Unrestricted</t>
    </r>
    <r>
      <rPr>
        <b/>
        <sz val="11"/>
        <color theme="1"/>
        <rFont val="Calibri"/>
        <family val="2"/>
        <scheme val="minor"/>
      </rPr>
      <t xml:space="preserve"> - </t>
    </r>
    <r>
      <rPr>
        <b/>
        <sz val="11"/>
        <color indexed="60"/>
        <rFont val="Calibri"/>
        <family val="2"/>
        <scheme val="minor"/>
      </rPr>
      <t>enter negative unrestricted net position as a negative</t>
    </r>
  </si>
  <si>
    <r>
      <rPr>
        <b/>
        <sz val="11"/>
        <color indexed="8"/>
        <rFont val="Calibri"/>
        <family val="2"/>
        <scheme val="minor"/>
      </rPr>
      <t>Electric Fund Net Position Statement</t>
    </r>
  </si>
  <si>
    <r>
      <rPr>
        <b/>
        <u/>
        <sz val="11"/>
        <color indexed="8"/>
        <rFont val="Calibri"/>
        <family val="2"/>
        <scheme val="minor"/>
      </rPr>
      <t>All Unrestricted Cash and Investments</t>
    </r>
    <r>
      <rPr>
        <b/>
        <sz val="11"/>
        <color theme="1"/>
        <rFont val="Calibri"/>
        <family val="2"/>
        <scheme val="minor"/>
      </rPr>
      <t xml:space="preserve">.  
</t>
    </r>
    <r>
      <rPr>
        <b/>
        <sz val="11"/>
        <color indexed="8"/>
        <rFont val="Calibri"/>
        <family val="2"/>
        <scheme val="minor"/>
      </rPr>
      <t>Exclude</t>
    </r>
    <r>
      <rPr>
        <b/>
        <sz val="11"/>
        <color theme="1"/>
        <rFont val="Calibri"/>
        <family val="2"/>
        <scheme val="minor"/>
      </rPr>
      <t xml:space="preserve"> any restricted cash and investments.</t>
    </r>
  </si>
  <si>
    <r>
      <rPr>
        <b/>
        <u/>
        <sz val="11"/>
        <color indexed="8"/>
        <rFont val="Calibri"/>
        <family val="2"/>
        <scheme val="minor"/>
      </rPr>
      <t>Customer accounts receivable</t>
    </r>
    <r>
      <rPr>
        <b/>
        <sz val="11"/>
        <color theme="1"/>
        <rFont val="Calibri"/>
        <family val="2"/>
        <scheme val="minor"/>
      </rPr>
      <t xml:space="preserve"> (net of allowance accounts)
</t>
    </r>
    <r>
      <rPr>
        <b/>
        <sz val="11"/>
        <color indexed="8"/>
        <rFont val="Calibri"/>
        <family val="2"/>
        <scheme val="minor"/>
      </rPr>
      <t>Include</t>
    </r>
    <r>
      <rPr>
        <b/>
        <sz val="11"/>
        <color theme="1"/>
        <rFont val="Calibri"/>
        <family val="2"/>
        <scheme val="minor"/>
      </rPr>
      <t xml:space="preserve"> billed and unbilled amounts </t>
    </r>
  </si>
  <si>
    <r>
      <rPr>
        <b/>
        <u/>
        <sz val="11"/>
        <rFont val="Calibri"/>
        <family val="2"/>
        <scheme val="minor"/>
      </rPr>
      <t>Electric Fund - Advance To:</t>
    </r>
    <r>
      <rPr>
        <b/>
        <sz val="11"/>
        <rFont val="Calibri"/>
        <family val="2"/>
        <scheme val="minor"/>
      </rPr>
      <t xml:space="preserve">
Interfund loan receivable-portion of repayment plan longer than 12 months</t>
    </r>
  </si>
  <si>
    <r>
      <rPr>
        <b/>
        <u/>
        <sz val="11"/>
        <color indexed="8"/>
        <rFont val="Calibri"/>
        <family val="2"/>
        <scheme val="minor"/>
      </rPr>
      <t>Total Current assets as listed on the Electric Net Position Statement</t>
    </r>
    <r>
      <rPr>
        <b/>
        <sz val="11"/>
        <color indexed="8"/>
        <rFont val="Calibri"/>
        <family val="2"/>
        <scheme val="minor"/>
      </rPr>
      <t xml:space="preserve">.  
</t>
    </r>
  </si>
  <si>
    <r>
      <rPr>
        <b/>
        <u/>
        <sz val="11"/>
        <rFont val="Calibri"/>
        <family val="2"/>
        <scheme val="minor"/>
      </rPr>
      <t>Electric Fund - Advance From:</t>
    </r>
    <r>
      <rPr>
        <b/>
        <sz val="11"/>
        <rFont val="Calibri"/>
        <family val="2"/>
        <scheme val="minor"/>
      </rPr>
      <t xml:space="preserve">
Interfund loans payable-portion of repayment plan longer than 12 months</t>
    </r>
  </si>
  <si>
    <r>
      <rPr>
        <b/>
        <u/>
        <sz val="11"/>
        <color indexed="8"/>
        <rFont val="Calibri"/>
        <family val="2"/>
        <scheme val="minor"/>
      </rPr>
      <t xml:space="preserve">Current liabilities </t>
    </r>
    <r>
      <rPr>
        <b/>
        <u/>
        <sz val="11"/>
        <color rgb="FFFF0000"/>
        <rFont val="Calibri"/>
        <family val="2"/>
        <scheme val="minor"/>
      </rPr>
      <t>(as reported on the Statement of Fund Net Position)</t>
    </r>
    <r>
      <rPr>
        <b/>
        <sz val="11"/>
        <color indexed="8"/>
        <rFont val="Calibri"/>
        <family val="2"/>
        <scheme val="minor"/>
      </rPr>
      <t xml:space="preserve">
Include:   Current liabilities including current portion of long-term debt.  </t>
    </r>
    <r>
      <rPr>
        <b/>
        <sz val="11"/>
        <color rgb="FF000000"/>
        <rFont val="Calibri"/>
        <family val="2"/>
        <scheme val="minor"/>
      </rPr>
      <t>Deferred inflows should not be included in Current Liabilities</t>
    </r>
    <r>
      <rPr>
        <b/>
        <sz val="11"/>
        <color indexed="8"/>
        <rFont val="Calibri"/>
        <family val="2"/>
        <scheme val="minor"/>
      </rPr>
      <t xml:space="preserve">   
Enter as a positive</t>
    </r>
  </si>
  <si>
    <r>
      <t xml:space="preserve">Please enter any bond anticipation notes that are classified as current liabilities and included in account 639 above </t>
    </r>
    <r>
      <rPr>
        <b/>
        <sz val="11"/>
        <color theme="5" tint="-0.249977111117893"/>
        <rFont val="Calibri"/>
        <family val="2"/>
        <scheme val="minor"/>
      </rPr>
      <t xml:space="preserve">(amounts entered should agree to the current amount included in the changes to long-term debt note)
</t>
    </r>
    <r>
      <rPr>
        <b/>
        <sz val="11"/>
        <color indexed="8"/>
        <rFont val="Calibri"/>
        <family val="2"/>
        <scheme val="minor"/>
      </rPr>
      <t>Enter as a positive</t>
    </r>
  </si>
  <si>
    <r>
      <t xml:space="preserve">Please enter any compensated absences that are classified as current liabilities and included in account 639 above </t>
    </r>
    <r>
      <rPr>
        <b/>
        <sz val="11"/>
        <color theme="5" tint="-0.249977111117893"/>
        <rFont val="Calibri"/>
        <family val="2"/>
        <scheme val="minor"/>
      </rPr>
      <t>(amounts entered should agree to the current amount included in the changes to long-term debt note)</t>
    </r>
    <r>
      <rPr>
        <b/>
        <sz val="11"/>
        <color indexed="8"/>
        <rFont val="Calibri"/>
        <family val="2"/>
        <scheme val="minor"/>
      </rPr>
      <t xml:space="preserve">
Enter as a positive</t>
    </r>
  </si>
  <si>
    <r>
      <t xml:space="preserve">Please enter any pension liabilities that are classified as current liabilities and included account in 639 above </t>
    </r>
    <r>
      <rPr>
        <b/>
        <sz val="11"/>
        <color theme="5" tint="-0.249977111117893"/>
        <rFont val="Calibri"/>
        <family val="2"/>
        <scheme val="minor"/>
      </rPr>
      <t xml:space="preserve">(amounts entered should agree to the current amount included in the changes to long-term debt note)
</t>
    </r>
    <r>
      <rPr>
        <b/>
        <sz val="11"/>
        <color indexed="8"/>
        <rFont val="Calibri"/>
        <family val="2"/>
        <scheme val="minor"/>
      </rPr>
      <t>Enter as a positive</t>
    </r>
  </si>
  <si>
    <r>
      <t xml:space="preserve">Please enter any OPEB liabilities that are classified as current liabilities and included in account 639 above </t>
    </r>
    <r>
      <rPr>
        <b/>
        <sz val="11"/>
        <color theme="5" tint="-0.249977111117893"/>
        <rFont val="Calibri"/>
        <family val="2"/>
        <scheme val="minor"/>
      </rPr>
      <t>(amounts entered should agree to the current amount included in the changes to long-term debt note)</t>
    </r>
    <r>
      <rPr>
        <b/>
        <sz val="11"/>
        <color indexed="8"/>
        <rFont val="Calibri"/>
        <family val="2"/>
        <scheme val="minor"/>
      </rPr>
      <t xml:space="preserve">
Enter as a positive</t>
    </r>
  </si>
  <si>
    <r>
      <rPr>
        <b/>
        <u/>
        <sz val="11"/>
        <color indexed="8"/>
        <rFont val="Calibri"/>
        <family val="2"/>
        <scheme val="minor"/>
      </rPr>
      <t>Total net position, unrestricted</t>
    </r>
    <r>
      <rPr>
        <b/>
        <sz val="11"/>
        <color theme="1"/>
        <rFont val="Calibri"/>
        <family val="2"/>
        <scheme val="minor"/>
      </rPr>
      <t xml:space="preserve"> - </t>
    </r>
    <r>
      <rPr>
        <b/>
        <sz val="11"/>
        <color indexed="60"/>
        <rFont val="Calibri"/>
        <family val="2"/>
        <scheme val="minor"/>
      </rPr>
      <t>Amount of negative unrestricted net position should be entered as a negative amount and the amount of positive unrestricted net position should be entered as a positive amount.</t>
    </r>
  </si>
  <si>
    <t>Water and Sewer Operations - If unit maintains separate funds please combine all water, sewer, and wastewater funds into one activity for purposes of this worksheet.  Exclude stormwater funds.  Only fill out this section if receiving operating revenues or paying operating expenditures. Eliminate transfers within this activity group.</t>
  </si>
  <si>
    <r>
      <rPr>
        <b/>
        <sz val="11"/>
        <color indexed="8"/>
        <rFont val="Calibri"/>
        <family val="2"/>
        <scheme val="minor"/>
      </rPr>
      <t>Water Sewer Revenue, Expenses &amp; Changes in Fund Net Position</t>
    </r>
  </si>
  <si>
    <r>
      <rPr>
        <b/>
        <u/>
        <sz val="11"/>
        <color indexed="8"/>
        <rFont val="Calibri"/>
        <family val="2"/>
        <scheme val="minor"/>
      </rPr>
      <t>Charges for services</t>
    </r>
    <r>
      <rPr>
        <b/>
        <sz val="11"/>
        <color theme="1"/>
        <rFont val="Calibri"/>
        <family val="2"/>
        <scheme val="minor"/>
      </rPr>
      <t xml:space="preserve">. 
</t>
    </r>
    <r>
      <rPr>
        <b/>
        <sz val="11"/>
        <color indexed="8"/>
        <rFont val="Calibri"/>
        <family val="2"/>
        <scheme val="minor"/>
      </rPr>
      <t>Exclude</t>
    </r>
    <r>
      <rPr>
        <b/>
        <sz val="11"/>
        <color theme="1"/>
        <rFont val="Calibri"/>
        <family val="2"/>
        <scheme val="minor"/>
      </rPr>
      <t xml:space="preserve"> tap, capacity fees and other misc. income .</t>
    </r>
  </si>
  <si>
    <r>
      <rPr>
        <b/>
        <u/>
        <sz val="11"/>
        <color indexed="8"/>
        <rFont val="Calibri"/>
        <family val="2"/>
        <scheme val="minor"/>
      </rPr>
      <t>Total all non-operating revenues</t>
    </r>
    <r>
      <rPr>
        <b/>
        <sz val="11"/>
        <color indexed="10"/>
        <rFont val="Calibri"/>
        <family val="2"/>
        <scheme val="minor"/>
      </rPr>
      <t xml:space="preserve">  
</t>
    </r>
    <r>
      <rPr>
        <b/>
        <sz val="11"/>
        <color indexed="8"/>
        <rFont val="Calibri"/>
        <family val="2"/>
        <scheme val="minor"/>
      </rPr>
      <t>Exclude Capital contributions.</t>
    </r>
  </si>
  <si>
    <r>
      <rPr>
        <b/>
        <u/>
        <sz val="11"/>
        <color indexed="8"/>
        <rFont val="Calibri"/>
        <family val="2"/>
        <scheme val="minor"/>
      </rPr>
      <t>Total all non-operating expenses</t>
    </r>
    <r>
      <rPr>
        <b/>
        <sz val="11"/>
        <color theme="1"/>
        <rFont val="Calibri"/>
        <family val="2"/>
        <scheme val="minor"/>
      </rPr>
      <t xml:space="preserve">. </t>
    </r>
    <r>
      <rPr>
        <b/>
        <sz val="11"/>
        <color indexed="60"/>
        <rFont val="Calibri"/>
        <family val="2"/>
        <scheme val="minor"/>
      </rPr>
      <t xml:space="preserve"> 
</t>
    </r>
    <r>
      <rPr>
        <b/>
        <sz val="11"/>
        <color indexed="8"/>
        <rFont val="Calibri"/>
        <family val="2"/>
        <scheme val="minor"/>
      </rPr>
      <t>Include any negative special, extraordinary, or capital contribution.</t>
    </r>
  </si>
  <si>
    <r>
      <rPr>
        <b/>
        <u/>
        <sz val="11"/>
        <color indexed="8"/>
        <rFont val="Calibri"/>
        <family val="2"/>
        <scheme val="minor"/>
      </rPr>
      <t>Capital contributions</t>
    </r>
    <r>
      <rPr>
        <b/>
        <sz val="11"/>
        <color theme="1"/>
        <rFont val="Calibri"/>
        <family val="2"/>
        <scheme val="minor"/>
      </rPr>
      <t>.</t>
    </r>
    <r>
      <rPr>
        <b/>
        <sz val="11"/>
        <color indexed="60"/>
        <rFont val="Calibri"/>
        <family val="2"/>
        <scheme val="minor"/>
      </rPr>
      <t xml:space="preserve"> Only include positive capital contributions.  Negative capital contributions should be included with 'Total all non-operating expenses.'</t>
    </r>
  </si>
  <si>
    <r>
      <rPr>
        <b/>
        <u/>
        <sz val="11"/>
        <color indexed="8"/>
        <rFont val="Calibri"/>
        <family val="2"/>
        <scheme val="minor"/>
      </rPr>
      <t>Change in net position</t>
    </r>
    <r>
      <rPr>
        <b/>
        <sz val="11"/>
        <color theme="1"/>
        <rFont val="Calibri"/>
        <family val="2"/>
        <scheme val="minor"/>
      </rPr>
      <t xml:space="preserve"> - </t>
    </r>
    <r>
      <rPr>
        <b/>
        <sz val="11"/>
        <color indexed="60"/>
        <rFont val="Calibri"/>
        <family val="2"/>
        <scheme val="minor"/>
      </rPr>
      <t>Increase in net position is recorded as a positive and a (Decrease) in net position is recorded as a negative.</t>
    </r>
  </si>
  <si>
    <r>
      <rPr>
        <b/>
        <u/>
        <sz val="11"/>
        <color indexed="8"/>
        <rFont val="Calibri"/>
        <family val="2"/>
        <scheme val="minor"/>
      </rPr>
      <t>Increases or (decreases) to beginning water sewer net position due to rounding, prior period adjustments and restatements</t>
    </r>
    <r>
      <rPr>
        <b/>
        <sz val="11"/>
        <color theme="1"/>
        <rFont val="Calibri"/>
        <family val="2"/>
        <scheme val="minor"/>
      </rPr>
      <t xml:space="preserve">.  </t>
    </r>
    <r>
      <rPr>
        <b/>
        <sz val="11"/>
        <color indexed="60"/>
        <rFont val="Calibri"/>
        <family val="2"/>
        <scheme val="minor"/>
      </rPr>
      <t>Increase amounts to beginning net position should be entered as a positive amount and (decreases) should be entered as a negative amount.</t>
    </r>
  </si>
  <si>
    <r>
      <rPr>
        <b/>
        <u/>
        <sz val="11"/>
        <color indexed="8"/>
        <rFont val="Calibri"/>
        <family val="2"/>
        <scheme val="minor"/>
      </rPr>
      <t>Did unit raise Water Sewer rates during the audited fiscal period</t>
    </r>
    <r>
      <rPr>
        <b/>
        <sz val="11"/>
        <color theme="1"/>
        <rFont val="Calibri"/>
        <family val="2"/>
        <scheme val="minor"/>
      </rPr>
      <t>? -</t>
    </r>
    <r>
      <rPr>
        <b/>
        <sz val="11"/>
        <color indexed="60"/>
        <rFont val="Calibri"/>
        <family val="2"/>
        <scheme val="minor"/>
      </rPr>
      <t xml:space="preserve"> answer Yes or No</t>
    </r>
  </si>
  <si>
    <r>
      <rPr>
        <b/>
        <u/>
        <sz val="11"/>
        <color indexed="8"/>
        <rFont val="Calibri"/>
        <family val="2"/>
        <scheme val="minor"/>
      </rPr>
      <t>Did unit raise Water Sewer rates during the budget year following the audited fiscal year</t>
    </r>
    <r>
      <rPr>
        <b/>
        <sz val="11"/>
        <color theme="1"/>
        <rFont val="Calibri"/>
        <family val="2"/>
        <scheme val="minor"/>
      </rPr>
      <t xml:space="preserve">? - </t>
    </r>
    <r>
      <rPr>
        <b/>
        <sz val="11"/>
        <color indexed="60"/>
        <rFont val="Calibri"/>
        <family val="2"/>
        <scheme val="minor"/>
      </rPr>
      <t>answer Yes or No</t>
    </r>
  </si>
  <si>
    <r>
      <rPr>
        <b/>
        <sz val="11"/>
        <color indexed="8"/>
        <rFont val="Calibri"/>
        <family val="2"/>
        <scheme val="minor"/>
      </rPr>
      <t>Electric Fund Revenue, Expenses &amp; Changes in Fund Net Position</t>
    </r>
  </si>
  <si>
    <r>
      <rPr>
        <b/>
        <u/>
        <sz val="11"/>
        <color indexed="8"/>
        <rFont val="Calibri"/>
        <family val="2"/>
        <scheme val="minor"/>
      </rPr>
      <t xml:space="preserve">Total all the non-operating revenues  </t>
    </r>
    <r>
      <rPr>
        <b/>
        <sz val="11"/>
        <color indexed="8"/>
        <rFont val="Calibri"/>
        <family val="2"/>
        <scheme val="minor"/>
      </rPr>
      <t xml:space="preserve">
Exclude Capital Contributions.</t>
    </r>
  </si>
  <si>
    <r>
      <rPr>
        <b/>
        <u/>
        <sz val="11"/>
        <color indexed="8"/>
        <rFont val="Calibri"/>
        <family val="2"/>
        <scheme val="minor"/>
      </rPr>
      <t>Total all non-operating expenses</t>
    </r>
    <r>
      <rPr>
        <b/>
        <sz val="11"/>
        <color theme="1"/>
        <rFont val="Calibri"/>
        <family val="2"/>
        <scheme val="minor"/>
      </rPr>
      <t xml:space="preserve">. </t>
    </r>
    <r>
      <rPr>
        <b/>
        <sz val="11"/>
        <color indexed="60"/>
        <rFont val="Calibri"/>
        <family val="2"/>
        <scheme val="minor"/>
      </rPr>
      <t xml:space="preserve"> 
</t>
    </r>
    <r>
      <rPr>
        <b/>
        <sz val="11"/>
        <color indexed="8"/>
        <rFont val="Calibri"/>
        <family val="2"/>
        <scheme val="minor"/>
      </rPr>
      <t>Include negative special, extraordinary, or capital contribution.</t>
    </r>
  </si>
  <si>
    <r>
      <rPr>
        <b/>
        <u/>
        <sz val="11"/>
        <color indexed="8"/>
        <rFont val="Calibri"/>
        <family val="2"/>
        <scheme val="minor"/>
      </rPr>
      <t>Capi</t>
    </r>
    <r>
      <rPr>
        <b/>
        <u/>
        <sz val="11"/>
        <rFont val="Calibri"/>
        <family val="2"/>
        <scheme val="minor"/>
      </rPr>
      <t>tal Contributions</t>
    </r>
    <r>
      <rPr>
        <b/>
        <sz val="11"/>
        <rFont val="Calibri"/>
        <family val="2"/>
        <scheme val="minor"/>
      </rPr>
      <t xml:space="preserve">.  
Include only positive capital Contributions.  </t>
    </r>
    <r>
      <rPr>
        <b/>
        <sz val="11"/>
        <color indexed="60"/>
        <rFont val="Calibri"/>
        <family val="2"/>
        <scheme val="minor"/>
      </rPr>
      <t>Negative capital contributions should be included with 'Total all non-operating expenses.'</t>
    </r>
  </si>
  <si>
    <r>
      <rPr>
        <b/>
        <u/>
        <sz val="11"/>
        <color indexed="8"/>
        <rFont val="Calibri"/>
        <family val="2"/>
        <scheme val="minor"/>
      </rPr>
      <t>Total Transfers In</t>
    </r>
    <r>
      <rPr>
        <b/>
        <sz val="11"/>
        <color theme="1"/>
        <rFont val="Calibri"/>
        <family val="2"/>
        <scheme val="minor"/>
      </rPr>
      <t xml:space="preserve"> (From all Funds)</t>
    </r>
  </si>
  <si>
    <r>
      <rPr>
        <b/>
        <u/>
        <sz val="11"/>
        <color indexed="8"/>
        <rFont val="Calibri"/>
        <family val="2"/>
        <scheme val="minor"/>
      </rPr>
      <t>Total Transfers Out</t>
    </r>
    <r>
      <rPr>
        <b/>
        <sz val="11"/>
        <color theme="1"/>
        <rFont val="Calibri"/>
        <family val="2"/>
        <scheme val="minor"/>
      </rPr>
      <t xml:space="preserve"> (To all funds)</t>
    </r>
  </si>
  <si>
    <r>
      <rPr>
        <b/>
        <u/>
        <sz val="11"/>
        <color indexed="8"/>
        <rFont val="Calibri"/>
        <family val="2"/>
        <scheme val="minor"/>
      </rPr>
      <t>Change in net position</t>
    </r>
    <r>
      <rPr>
        <b/>
        <sz val="11"/>
        <color theme="1"/>
        <rFont val="Calibri"/>
        <family val="2"/>
        <scheme val="minor"/>
      </rPr>
      <t xml:space="preserve"> - </t>
    </r>
    <r>
      <rPr>
        <b/>
        <sz val="11"/>
        <color indexed="60"/>
        <rFont val="Calibri"/>
        <family val="2"/>
        <scheme val="minor"/>
      </rPr>
      <t>Increase in net position is recorded as a positive and a (decrease) in net position is recorded as a negative.</t>
    </r>
  </si>
  <si>
    <r>
      <rPr>
        <b/>
        <u/>
        <sz val="11"/>
        <color indexed="8"/>
        <rFont val="Calibri"/>
        <family val="2"/>
        <scheme val="minor"/>
      </rPr>
      <t>Increases or (decreases) to beginning electric net position due to rounding, prior period adjustments and restatements</t>
    </r>
    <r>
      <rPr>
        <b/>
        <sz val="11"/>
        <color indexed="60"/>
        <rFont val="Calibri"/>
        <family val="2"/>
        <scheme val="minor"/>
      </rPr>
      <t>.  Increase amounts to beginning net position should be entered as a positive amount and (decreases) should be entered as a negative amount.</t>
    </r>
  </si>
  <si>
    <t>Water and Sewer Operations - If unit maintains separate funds please combine all water, sewer,</t>
  </si>
  <si>
    <r>
      <t xml:space="preserve">and wastewater funds into one activity for purposes of this worksheet.  </t>
    </r>
    <r>
      <rPr>
        <b/>
        <sz val="11"/>
        <color indexed="8"/>
        <rFont val="Calibri"/>
        <family val="2"/>
        <scheme val="minor"/>
      </rPr>
      <t xml:space="preserve">Exclude stormwater funds.  Only fill out this section if </t>
    </r>
  </si>
  <si>
    <r>
      <t xml:space="preserve">Water Sewer </t>
    </r>
    <r>
      <rPr>
        <b/>
        <sz val="11"/>
        <color indexed="8"/>
        <rFont val="Calibri"/>
        <family val="2"/>
        <scheme val="minor"/>
      </rPr>
      <t>Cash Flow Statement</t>
    </r>
  </si>
  <si>
    <r>
      <rPr>
        <b/>
        <u/>
        <sz val="11"/>
        <color indexed="8"/>
        <rFont val="Calibri"/>
        <family val="2"/>
        <scheme val="minor"/>
      </rPr>
      <t>Total Cash flow from operating activities</t>
    </r>
    <r>
      <rPr>
        <b/>
        <sz val="11"/>
        <color theme="1"/>
        <rFont val="Calibri"/>
        <family val="2"/>
        <scheme val="minor"/>
      </rPr>
      <t xml:space="preserve">  - </t>
    </r>
    <r>
      <rPr>
        <b/>
        <sz val="11"/>
        <color indexed="60"/>
        <rFont val="Calibri"/>
        <family val="2"/>
        <scheme val="minor"/>
      </rPr>
      <t>(Enter negative cash flows as negative)</t>
    </r>
  </si>
  <si>
    <r>
      <rPr>
        <b/>
        <u/>
        <sz val="11"/>
        <color indexed="8"/>
        <rFont val="Calibri"/>
        <family val="2"/>
        <scheme val="minor"/>
      </rPr>
      <t>Total Capital outlay</t>
    </r>
    <r>
      <rPr>
        <b/>
        <sz val="11"/>
        <color theme="1"/>
        <rFont val="Calibri"/>
        <family val="2"/>
        <scheme val="minor"/>
      </rPr>
      <t xml:space="preserve">. 
</t>
    </r>
    <r>
      <rPr>
        <b/>
        <sz val="11"/>
        <color indexed="8"/>
        <rFont val="Calibri"/>
        <family val="2"/>
        <scheme val="minor"/>
      </rPr>
      <t>Include</t>
    </r>
    <r>
      <rPr>
        <b/>
        <sz val="11"/>
        <color theme="1"/>
        <rFont val="Calibri"/>
        <family val="2"/>
        <scheme val="minor"/>
      </rPr>
      <t xml:space="preserve"> acquisition and construction of capital assets.</t>
    </r>
  </si>
  <si>
    <r>
      <rPr>
        <b/>
        <u/>
        <sz val="11"/>
        <color indexed="8"/>
        <rFont val="Calibri"/>
        <family val="2"/>
        <scheme val="minor"/>
      </rPr>
      <t>Principal paid on long-term debt</t>
    </r>
    <r>
      <rPr>
        <b/>
        <sz val="11"/>
        <color theme="1"/>
        <rFont val="Calibri"/>
        <family val="2"/>
        <scheme val="minor"/>
      </rPr>
      <t xml:space="preserve">.  </t>
    </r>
    <r>
      <rPr>
        <b/>
        <sz val="11"/>
        <color indexed="60"/>
        <rFont val="Calibri"/>
        <family val="2"/>
        <scheme val="minor"/>
      </rPr>
      <t>Amount should be reduced by principal payments for debt refunding.</t>
    </r>
  </si>
  <si>
    <r>
      <t xml:space="preserve">Electric Fund </t>
    </r>
    <r>
      <rPr>
        <b/>
        <sz val="11"/>
        <color indexed="8"/>
        <rFont val="Calibri"/>
        <family val="2"/>
        <scheme val="minor"/>
      </rPr>
      <t>Cash Flow Statement</t>
    </r>
  </si>
  <si>
    <r>
      <rPr>
        <b/>
        <u/>
        <sz val="11"/>
        <color indexed="8"/>
        <rFont val="Calibri"/>
        <family val="2"/>
        <scheme val="minor"/>
      </rPr>
      <t>Cash flow from operating activities</t>
    </r>
    <r>
      <rPr>
        <b/>
        <sz val="11"/>
        <color theme="1"/>
        <rFont val="Calibri"/>
        <family val="2"/>
        <scheme val="minor"/>
      </rPr>
      <t xml:space="preserve"> - </t>
    </r>
    <r>
      <rPr>
        <b/>
        <sz val="11"/>
        <color indexed="60"/>
        <rFont val="Calibri"/>
        <family val="2"/>
        <scheme val="minor"/>
      </rPr>
      <t>(enter negative cash flows as negative)</t>
    </r>
  </si>
  <si>
    <r>
      <rPr>
        <b/>
        <u/>
        <sz val="11"/>
        <color indexed="8"/>
        <rFont val="Calibri"/>
        <family val="2"/>
        <scheme val="minor"/>
      </rPr>
      <t>Total Capital outlay.</t>
    </r>
    <r>
      <rPr>
        <b/>
        <sz val="11"/>
        <color theme="1"/>
        <rFont val="Calibri"/>
        <family val="2"/>
        <scheme val="minor"/>
      </rPr>
      <t xml:space="preserve">  
</t>
    </r>
    <r>
      <rPr>
        <b/>
        <sz val="11"/>
        <color indexed="8"/>
        <rFont val="Calibri"/>
        <family val="2"/>
        <scheme val="minor"/>
      </rPr>
      <t>Include</t>
    </r>
    <r>
      <rPr>
        <b/>
        <sz val="11"/>
        <color theme="1"/>
        <rFont val="Calibri"/>
        <family val="2"/>
        <scheme val="minor"/>
      </rPr>
      <t xml:space="preserve"> acquisition and construction of capital assets.</t>
    </r>
  </si>
  <si>
    <t>Please indicate if you expect your revaluation to increase, decrease, or no change.  If you are not listed please select N/A</t>
  </si>
  <si>
    <t>name change</t>
  </si>
  <si>
    <t>I</t>
  </si>
  <si>
    <t>Do you operate a landfill that will be closing  or have a significant portion closing within the next 5 years</t>
  </si>
  <si>
    <r>
      <t>Fund balance available for appropriation is an important reserve for local governments to provide cash flow during periods of declining revenues and to be used for emergencies and unforeseen expenditures.  The information to the left indicates the amount of available cash on hand.</t>
    </r>
    <r>
      <rPr>
        <b/>
        <sz val="12"/>
        <color theme="1"/>
        <rFont val="Calibri"/>
        <family val="2"/>
        <scheme val="minor"/>
      </rPr>
      <t xml:space="preserve"> Note that the 8% only equals one month of expenditures.</t>
    </r>
    <r>
      <rPr>
        <sz val="12"/>
        <color theme="1"/>
        <rFont val="Calibri"/>
        <family val="2"/>
        <scheme val="minor"/>
      </rPr>
      <t xml:space="preserve">  In your Response Letter please provide detail plans on how your unit will improve your available fund balance.  Normally, a unit has to either increasing revenues or decreasing expenditures.  </t>
    </r>
  </si>
  <si>
    <t>New for Fiscal 2021 -  Data Input Workbook incorporates the
Unit Data from Audit Worksheet, TD Info Completed by Auditor Worksheet, Performance Indicators Print Worksheet</t>
  </si>
  <si>
    <r>
      <rPr>
        <b/>
        <i/>
        <sz val="12"/>
        <rFont val="Cambria"/>
        <family val="1"/>
      </rPr>
      <t xml:space="preserve"> Data Input Workbook</t>
    </r>
    <r>
      <rPr>
        <i/>
        <sz val="12"/>
        <rFont val="Cambria"/>
        <family val="1"/>
      </rPr>
      <t xml:space="preserve"> - The newly combined workbook consist of  the Unit Data from Audit Worksheet, the TD Info Completed by Auditor (formerly the Transmittal Document) and the Performance Indicator Print Worksheet.  The Unit Data from Audit Worksheet and the TD Info Completed Auditor Worksheet provides the information that populates the Performance Indicator Print Worksheet. </t>
    </r>
  </si>
  <si>
    <r>
      <rPr>
        <b/>
        <i/>
        <sz val="12"/>
        <rFont val="Cambria"/>
        <family val="1"/>
      </rPr>
      <t>TD Info Completed by Auditor Worksheet</t>
    </r>
    <r>
      <rPr>
        <i/>
        <sz val="12"/>
        <rFont val="Cambria"/>
        <family val="1"/>
      </rPr>
      <t xml:space="preserve"> - The </t>
    </r>
    <r>
      <rPr>
        <i/>
        <u/>
        <sz val="12"/>
        <color rgb="FFFF0000"/>
        <rFont val="Cambria"/>
        <family val="1"/>
      </rPr>
      <t>auditor-prepared</t>
    </r>
    <r>
      <rPr>
        <i/>
        <sz val="12"/>
        <rFont val="Cambria"/>
        <family val="1"/>
      </rPr>
      <t xml:space="preserve"> data provided in this worksheet will summarize findings and provide fiscal information to assist in populating the performance indicators.</t>
    </r>
  </si>
  <si>
    <r>
      <t xml:space="preserve">Performance Indicators Print - </t>
    </r>
    <r>
      <rPr>
        <i/>
        <sz val="12"/>
        <rFont val="Cambria"/>
        <family val="1"/>
      </rPr>
      <t xml:space="preserve">The </t>
    </r>
    <r>
      <rPr>
        <i/>
        <u/>
        <sz val="12"/>
        <color rgb="FFFF0000"/>
        <rFont val="Cambria"/>
        <family val="1"/>
      </rPr>
      <t>self-reported</t>
    </r>
    <r>
      <rPr>
        <i/>
        <sz val="12"/>
        <rFont val="Cambria"/>
        <family val="1"/>
      </rPr>
      <t xml:space="preserve"> financial data and TD information populates the Performance Indicators Worksheet.  These performance indicators are key ratios and trends the Fiscal Management Division of the State Treasurer's Office has monitored for decades.  We created this Performance Indicator Worksheet to make these fiscal measures available to Auditors and Local Governments before submittal of the audit to the Fiscal Management Division.  If the Unit of Government crosses a certain threshold the performance indicator result will turn red and the unit will have to prepare a "Response to the Auditor's Findings, Recommendations, and Fiscal Matter uses" that address </t>
    </r>
    <r>
      <rPr>
        <i/>
        <u/>
        <sz val="12"/>
        <color rgb="FFFF0000"/>
        <rFont val="Cambria"/>
        <family val="1"/>
      </rPr>
      <t>each</t>
    </r>
    <r>
      <rPr>
        <i/>
        <sz val="12"/>
        <rFont val="Cambria"/>
        <family val="1"/>
      </rPr>
      <t xml:space="preserve"> of the Performance Indicators that are red.  Your Auditor will provide you a copy of these performance indicators when the audit is presented to the Governing Board. The Department will have Response Preparation Guidance posted on our website to help units prepare their required responses.</t>
    </r>
  </si>
  <si>
    <r>
      <t xml:space="preserve">All information provided is </t>
    </r>
    <r>
      <rPr>
        <u/>
        <sz val="12"/>
        <color rgb="FFFF0000"/>
        <rFont val="Cambria"/>
        <family val="1"/>
      </rPr>
      <t>self-reported</t>
    </r>
    <r>
      <rPr>
        <sz val="12"/>
        <color rgb="FFFF0000"/>
        <rFont val="Cambria"/>
        <family val="1"/>
      </rPr>
      <t xml:space="preserve"> </t>
    </r>
    <r>
      <rPr>
        <sz val="12"/>
        <color theme="1"/>
        <rFont val="Cambria"/>
        <family val="1"/>
      </rPr>
      <t xml:space="preserve">by the units of local government.  The staff of the State and Local Government Fiscal Management Section does NOT recalculate and is not responsible for incorrectly reported amounts. </t>
    </r>
  </si>
  <si>
    <r>
      <t xml:space="preserve">The data provided in the </t>
    </r>
    <r>
      <rPr>
        <i/>
        <sz val="12"/>
        <color theme="1"/>
        <rFont val="Cambria"/>
        <family val="1"/>
      </rPr>
      <t xml:space="preserve">Unit Data from Audit Worksheet </t>
    </r>
    <r>
      <rPr>
        <sz val="12"/>
        <color theme="1"/>
        <rFont val="Cambria"/>
        <family val="1"/>
      </rPr>
      <t xml:space="preserve">still requires a certification by the Finance Officer that is located at the end of the worksheet in account numbers 960, 962, 964, 966, and 968.  </t>
    </r>
  </si>
  <si>
    <r>
      <t xml:space="preserve">The </t>
    </r>
    <r>
      <rPr>
        <i/>
        <sz val="12"/>
        <color theme="1"/>
        <rFont val="Cambria"/>
        <family val="1"/>
      </rPr>
      <t xml:space="preserve">Resubmission Form </t>
    </r>
    <r>
      <rPr>
        <sz val="12"/>
        <color theme="1"/>
        <rFont val="Cambria"/>
        <family val="1"/>
      </rPr>
      <t xml:space="preserve">provides instructions for reissuing audit reports and modifying data input workbooks.  See the "Resubmitting Audit Reports and Data" section of our website (link below) for detailed instructions and a matrix of the documents to include in a resubmission.   </t>
    </r>
  </si>
  <si>
    <t>https://www.nctreasurer.com/links/state-and-local-government-finance/lgc/local-fiscal-management/annual-audit/submitting-your-0</t>
  </si>
  <si>
    <t>https://efc.sog.unc.edu/resource/north-carolina-water-and-wastewater-rates-dashboard/</t>
  </si>
  <si>
    <r>
      <t xml:space="preserve">The Unit Data from Audit Worksheet must be completed using audited financial statements and submitted with the audit report to the Local Government Commission.  This worksheet is designed so that each unit should be able to complete it in less than an hour, once they have a completed audit report.  Units can always choose to outsource the completion of this worksheet but it must be verified by the finance officer on lines 319-323 of the worksheet.  The worksheet must be </t>
    </r>
    <r>
      <rPr>
        <b/>
        <sz val="12"/>
        <color indexed="8"/>
        <rFont val="Cambria"/>
        <family val="1"/>
      </rPr>
      <t>submitted with the unit’s audit report</t>
    </r>
    <r>
      <rPr>
        <sz val="12"/>
        <color indexed="8"/>
        <rFont val="Cambria"/>
        <family val="1"/>
      </rPr>
      <t>.</t>
    </r>
  </si>
  <si>
    <r>
      <t xml:space="preserve">The worksheet is organized based on how the audit report is laid out.  Titles on this worksheet appear in highlighted colors and correspond to various exhibits, statements, notes and schedules where the requested amounts should be found.  We have also provided the previous year's data in column E so that you can reference last year's amounts to aid in the completion of the worksheet.  </t>
    </r>
    <r>
      <rPr>
        <b/>
        <sz val="12"/>
        <color indexed="8"/>
        <rFont val="Cambria"/>
        <family val="1"/>
      </rPr>
      <t>Please record the numbers in the shaded column F.  Please enter all numbers as positive</t>
    </r>
    <r>
      <rPr>
        <sz val="12"/>
        <color indexed="8"/>
        <rFont val="Cambria"/>
        <family val="1"/>
      </rPr>
      <t xml:space="preserve"> unless specifically stated otherwise in the description of the amount requested.  </t>
    </r>
  </si>
  <si>
    <t>If you have any questions, please call 919-814-4299 or email at LGCAudit@nctreasurer.com</t>
  </si>
  <si>
    <t>Important Notes to the Auditor</t>
  </si>
  <si>
    <t xml:space="preserve">The TD Info Completed by Auditor Worksheet is to be filled out using the completed audit report for the fiscal year 2021. </t>
  </si>
  <si>
    <t>Please remember the original 2021 audit report submission cannot be processed unless we receive the following:</t>
  </si>
  <si>
    <t xml:space="preserve">- PDF file of the Audit Report named “Unit Name 2021 Audit”             </t>
  </si>
  <si>
    <t>- PDF file of all communication letters from the auditor to the unit  named “Unit Name 2021 comm #1”, “Unit Name 2021 comm #2”, etc.</t>
  </si>
  <si>
    <t xml:space="preserve">- Excel file named “Unit Name 2021 Data Input Workbook" </t>
  </si>
  <si>
    <t>We cannot complete our review process when "protection" is placed on the submitted documents.</t>
  </si>
  <si>
    <r>
      <t xml:space="preserve">We have added questions to the  2021 TD Info Completed by Auditor tab to assist our team in routing the audit report through our review process.  Please answer </t>
    </r>
    <r>
      <rPr>
        <b/>
        <i/>
        <u/>
        <sz val="12"/>
        <color rgb="FFFF0000"/>
        <rFont val="Cambria"/>
        <family val="1"/>
      </rPr>
      <t>all</t>
    </r>
    <r>
      <rPr>
        <b/>
        <i/>
        <sz val="12"/>
        <rFont val="Cambria"/>
        <family val="1"/>
      </rPr>
      <t xml:space="preserve"> questions before submitting the Data Input Workbook to the portal.  Incomplete TD Info Completed by Auditor tabs </t>
    </r>
    <r>
      <rPr>
        <b/>
        <sz val="12"/>
        <color theme="1"/>
        <rFont val="Century Schoolbook"/>
        <family val="1"/>
      </rPr>
      <t>will be returned and may delay invoice processing</t>
    </r>
    <r>
      <rPr>
        <sz val="12"/>
        <color theme="1"/>
        <rFont val="Century Schoolbook"/>
        <family val="1"/>
      </rPr>
      <t xml:space="preserve">.  </t>
    </r>
  </si>
  <si>
    <t xml:space="preserve">If you are submitting the audit report for a prior year, please follow the instructions in the last section below. </t>
  </si>
  <si>
    <t xml:space="preserve">The Data Input Workbook can be accessed at the NC Treasurer's website from the "Data Input Workbook" section(see link below). Instructions, Forms, and other Audit Links can be found there under the "Submitting Audit Reports" and "Resubmitting Audit Reports and Data" sections.  </t>
  </si>
  <si>
    <r>
      <t xml:space="preserve">If you are performing an audit for a year earlier than June 30, 2021, please email </t>
    </r>
    <r>
      <rPr>
        <b/>
        <sz val="12"/>
        <color theme="1"/>
        <rFont val="Cambria"/>
        <family val="1"/>
      </rPr>
      <t>LGCAudit@nctreasurer.com</t>
    </r>
    <r>
      <rPr>
        <sz val="12"/>
        <color theme="1"/>
        <rFont val="Cambria"/>
        <family val="1"/>
      </rPr>
      <t>, as you will need to use the appropriate transmittal and data input document for that time period.</t>
    </r>
  </si>
  <si>
    <t>NC DEPARTMENT OF STATE TREASURER- STATE AND LOCAL GOVERNMENT FINANCE DIVISION
  TD Info Completed by Auditor</t>
  </si>
  <si>
    <t>Please see the INSTRUCTIONS worksheet before completing this form.</t>
  </si>
  <si>
    <t>Please have the completed audit report available to complete this form.  ALL questions must be answered before submitting to the portal.</t>
  </si>
  <si>
    <r>
      <rPr>
        <b/>
        <i/>
        <sz val="12"/>
        <rFont val="Cambria"/>
        <family val="1"/>
      </rPr>
      <t xml:space="preserve">Unit Data from Audit Worksheet </t>
    </r>
    <r>
      <rPr>
        <i/>
        <sz val="12"/>
        <rFont val="Cambria"/>
        <family val="1"/>
      </rPr>
      <t xml:space="preserve">- The </t>
    </r>
    <r>
      <rPr>
        <i/>
        <u/>
        <sz val="12"/>
        <color rgb="FFFF0000"/>
        <rFont val="Cambria"/>
        <family val="1"/>
      </rPr>
      <t xml:space="preserve">self-reported </t>
    </r>
    <r>
      <rPr>
        <i/>
        <sz val="12"/>
        <rFont val="Cambria"/>
        <family val="1"/>
      </rPr>
      <t xml:space="preserve">data provided in this worksheet is used by staff as the primary tool to determine a unit of government's fiscal health as well as providing information to the North Carolina Legislature, North Carolina Budget and the Governor’s Office and other state agencies.  The North Carolina League of Municipalities and North Carolina Association of County Commissioners also use this information to advocate before the Executive, Legislative and Judicial branches of State Government on behalf of local governments.  </t>
    </r>
    <r>
      <rPr>
        <i/>
        <u/>
        <sz val="12"/>
        <color rgb="FFFF0000"/>
        <rFont val="Cambria"/>
        <family val="1"/>
      </rPr>
      <t>Accuracy in completion of data is important for your local government</t>
    </r>
    <r>
      <rPr>
        <i/>
        <sz val="12"/>
        <color rgb="FFFF0000"/>
        <rFont val="Cambria"/>
        <family val="1"/>
      </rPr>
      <t xml:space="preserve">.  </t>
    </r>
  </si>
  <si>
    <t>Please do not enter prior's years beginning balance as an adjustment in column F.</t>
  </si>
  <si>
    <t>Formula in cell E250</t>
  </si>
  <si>
    <t>Formula in cell E251</t>
  </si>
  <si>
    <t>Version Date 08/19/2021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</si>
</sst>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4">
    <numFmt numFmtId="41" formatCode="_(* #,##0_);_(* \(#,##0\);_(* &quot;-&quot;_);_(@_)"/>
    <numFmt numFmtId="44" formatCode="_(&quot;$&quot;* #,##0.00_);_(&quot;$&quot;* \(#,##0.00\);_(&quot;$&quot;* &quot;-&quot;??_);_(@_)"/>
    <numFmt numFmtId="43" formatCode="_(* #,##0.00_);_(* \(#,##0.00\);_(* &quot;-&quot;??_);_(@_)"/>
    <numFmt numFmtId="164" formatCode="_(* #,##0_);_(* \(#,##0\);_(* &quot;-&quot;??_);_(@_)"/>
    <numFmt numFmtId="165" formatCode="_(* #,##0.0_);_(* \(#,##0.0\);_(* &quot;-&quot;??_);_(@_)"/>
    <numFmt numFmtId="166" formatCode="0_);[Red]\(0\)"/>
    <numFmt numFmtId="167" formatCode="_(&quot;$&quot;* #,##0_);_(&quot;$&quot;* \(#,##0\);_(&quot;$&quot;* &quot;-&quot;??_);_(@_)"/>
    <numFmt numFmtId="168" formatCode="0.0"/>
    <numFmt numFmtId="169" formatCode="0_);\(0\)"/>
    <numFmt numFmtId="170" formatCode="0.00_);\(0.00\)"/>
    <numFmt numFmtId="171" formatCode="0.0_);\(0.0\)"/>
    <numFmt numFmtId="172" formatCode="_(* #,##0.0000_);_(* \(#,##0.0000\);_(* &quot;-&quot;??_);_(@_)"/>
    <numFmt numFmtId="173" formatCode="#,##0.0000_);[Red]\(#,##0.0000\)"/>
    <numFmt numFmtId="174" formatCode="#,##0.0_);\(#,##0.0\)"/>
    <numFmt numFmtId="175" formatCode="#,##0.0000_);\(#,##0.0000\)"/>
    <numFmt numFmtId="176" formatCode="_(* #,##0.00_);_(* \(#,##0.00\);_(* &quot;-&quot;_);_(@_)"/>
    <numFmt numFmtId="177" formatCode="_(* #,##0.00%_);[Red]_(* \(#,##0.00%\);_(0.00%_);@"/>
    <numFmt numFmtId="178" formatCode="m/d/yy;@"/>
    <numFmt numFmtId="179" formatCode="mm/dd/yyyy"/>
    <numFmt numFmtId="180" formatCode="#,##0.0"/>
    <numFmt numFmtId="181" formatCode="0.0000"/>
    <numFmt numFmtId="182" formatCode="0.0000_);\(0.0000\)"/>
    <numFmt numFmtId="183" formatCode="#,##0.0_);[Red]\(#,##0.0\)"/>
    <numFmt numFmtId="184" formatCode="_(* #,##0.00000_);_(* \(#,##0.00000\);_(* &quot;-&quot;??_);_(@_)"/>
  </numFmts>
  <fonts count="212" x14ac:knownFonts="1">
    <font>
      <sz val="11"/>
      <color theme="1"/>
      <name val="Calibri"/>
      <family val="2"/>
      <scheme val="minor"/>
    </font>
    <font>
      <sz val="11"/>
      <color indexed="8"/>
      <name val="Calibri"/>
      <family val="2"/>
    </font>
    <font>
      <sz val="11"/>
      <color indexed="10"/>
      <name val="Calibri"/>
      <family val="2"/>
    </font>
    <font>
      <b/>
      <sz val="11"/>
      <color indexed="8"/>
      <name val="Calibri"/>
      <family val="2"/>
    </font>
    <font>
      <sz val="11"/>
      <color indexed="62"/>
      <name val="Calibri"/>
      <family val="2"/>
    </font>
    <font>
      <sz val="11"/>
      <color indexed="60"/>
      <name val="Calibri"/>
      <family val="2"/>
    </font>
    <font>
      <sz val="10"/>
      <name val="Times New Roman"/>
      <family val="1"/>
    </font>
    <font>
      <sz val="11"/>
      <color indexed="9"/>
      <name val="Calibri"/>
      <family val="2"/>
    </font>
    <font>
      <b/>
      <sz val="11"/>
      <color indexed="9"/>
      <name val="Calibri"/>
      <family val="2"/>
    </font>
    <font>
      <sz val="11"/>
      <color indexed="17"/>
      <name val="Calibri"/>
      <family val="2"/>
    </font>
    <font>
      <b/>
      <sz val="11"/>
      <color indexed="63"/>
      <name val="Calibri"/>
      <family val="2"/>
    </font>
    <font>
      <sz val="10"/>
      <name val="Arial"/>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sz val="11"/>
      <color indexed="16"/>
      <name val="Calibri"/>
      <family val="2"/>
    </font>
    <font>
      <b/>
      <sz val="11"/>
      <color indexed="53"/>
      <name val="Calibri"/>
      <family val="2"/>
    </font>
    <font>
      <sz val="11"/>
      <color indexed="53"/>
      <name val="Calibri"/>
      <family val="2"/>
    </font>
    <font>
      <sz val="8"/>
      <name val="Arial"/>
      <family val="2"/>
    </font>
    <font>
      <sz val="8"/>
      <name val="Arial"/>
      <family val="2"/>
    </font>
    <font>
      <sz val="12"/>
      <name val="Garamond"/>
      <family val="1"/>
    </font>
    <font>
      <sz val="12"/>
      <name val="Garamond"/>
      <family val="1"/>
    </font>
    <font>
      <u/>
      <sz val="10"/>
      <color indexed="12"/>
      <name val="Arial"/>
      <family val="2"/>
    </font>
    <font>
      <sz val="10"/>
      <name val="Arial"/>
      <family val="2"/>
    </font>
    <font>
      <sz val="8"/>
      <name val="Arial"/>
      <family val="2"/>
    </font>
    <font>
      <sz val="10"/>
      <name val="Arial"/>
      <family val="2"/>
    </font>
    <font>
      <sz val="12"/>
      <name val="Garamond"/>
      <family val="1"/>
    </font>
    <font>
      <sz val="8"/>
      <name val="Arial"/>
      <family val="2"/>
    </font>
    <font>
      <sz val="10"/>
      <name val="Arial"/>
      <family val="2"/>
    </font>
    <font>
      <sz val="12"/>
      <name val="Garamond"/>
      <family val="1"/>
    </font>
    <font>
      <sz val="11"/>
      <color indexed="8"/>
      <name val="Century Schoolbook"/>
      <family val="2"/>
    </font>
    <font>
      <b/>
      <sz val="22"/>
      <color indexed="8"/>
      <name val="Calibri"/>
      <family val="2"/>
    </font>
    <font>
      <sz val="11"/>
      <color theme="1"/>
      <name val="Calibri"/>
      <family val="2"/>
      <scheme val="minor"/>
    </font>
    <font>
      <sz val="11"/>
      <color theme="1"/>
      <name val="Century Schoolbook"/>
      <family val="2"/>
    </font>
    <font>
      <u/>
      <sz val="11"/>
      <color theme="10"/>
      <name val="Calibri"/>
      <family val="2"/>
      <scheme val="minor"/>
    </font>
    <font>
      <u/>
      <sz val="11"/>
      <color theme="10"/>
      <name val="Calibri"/>
      <family val="2"/>
    </font>
    <font>
      <sz val="12"/>
      <color theme="1"/>
      <name val="Calibri"/>
      <family val="2"/>
      <scheme val="minor"/>
    </font>
    <font>
      <b/>
      <sz val="22"/>
      <color theme="1"/>
      <name val="Calibri"/>
      <family val="2"/>
      <scheme val="minor"/>
    </font>
    <font>
      <b/>
      <sz val="11"/>
      <color theme="1"/>
      <name val="Calibri"/>
      <family val="2"/>
      <scheme val="minor"/>
    </font>
    <font>
      <b/>
      <sz val="14"/>
      <color theme="1"/>
      <name val="Calibri"/>
      <family val="2"/>
      <scheme val="minor"/>
    </font>
    <font>
      <sz val="9"/>
      <color theme="1"/>
      <name val="Calibri"/>
      <family val="2"/>
      <scheme val="minor"/>
    </font>
    <font>
      <b/>
      <sz val="9"/>
      <color rgb="FFFF0000"/>
      <name val="Calibri"/>
      <family val="2"/>
      <scheme val="minor"/>
    </font>
    <font>
      <sz val="11"/>
      <color rgb="FF0070C0"/>
      <name val="Calibri"/>
      <family val="2"/>
      <scheme val="minor"/>
    </font>
    <font>
      <sz val="11"/>
      <color theme="1"/>
      <name val="Century Schoolbook"/>
      <family val="1"/>
    </font>
    <font>
      <sz val="11"/>
      <name val="Calibri"/>
      <family val="2"/>
      <scheme val="minor"/>
    </font>
    <font>
      <sz val="14"/>
      <color theme="1"/>
      <name val="Calibri"/>
      <family val="2"/>
      <scheme val="minor"/>
    </font>
    <font>
      <sz val="12"/>
      <color theme="1"/>
      <name val="Century Schoolbook"/>
      <family val="1"/>
    </font>
    <font>
      <b/>
      <sz val="9"/>
      <color theme="1"/>
      <name val="Calibri"/>
      <family val="2"/>
      <scheme val="minor"/>
    </font>
    <font>
      <b/>
      <sz val="16"/>
      <color theme="1"/>
      <name val="Calibri"/>
      <family val="2"/>
      <scheme val="minor"/>
    </font>
    <font>
      <b/>
      <sz val="10"/>
      <color theme="1"/>
      <name val="Calibri"/>
      <family val="2"/>
      <scheme val="minor"/>
    </font>
    <font>
      <b/>
      <sz val="12"/>
      <color theme="0"/>
      <name val="Calibri"/>
      <family val="2"/>
      <scheme val="minor"/>
    </font>
    <font>
      <b/>
      <sz val="12"/>
      <color theme="1"/>
      <name val="Calibri"/>
      <family val="2"/>
      <scheme val="minor"/>
    </font>
    <font>
      <sz val="10"/>
      <color theme="1"/>
      <name val="Calibri"/>
      <family val="2"/>
      <scheme val="minor"/>
    </font>
    <font>
      <u/>
      <sz val="11"/>
      <color theme="1"/>
      <name val="Calibri"/>
      <family val="2"/>
      <scheme val="minor"/>
    </font>
    <font>
      <sz val="11"/>
      <color indexed="9"/>
      <name val="Calibri"/>
      <family val="2"/>
      <scheme val="minor"/>
    </font>
    <font>
      <sz val="8"/>
      <name val="Calibri"/>
      <family val="2"/>
      <scheme val="minor"/>
    </font>
    <font>
      <sz val="11"/>
      <color rgb="FFC00000"/>
      <name val="Calibri"/>
      <family val="2"/>
      <scheme val="minor"/>
    </font>
    <font>
      <sz val="8"/>
      <color theme="1"/>
      <name val="Calibri"/>
      <family val="2"/>
      <scheme val="minor"/>
    </font>
    <font>
      <b/>
      <sz val="11"/>
      <name val="Calibri"/>
      <family val="2"/>
      <scheme val="minor"/>
    </font>
    <font>
      <b/>
      <sz val="11"/>
      <color indexed="8"/>
      <name val="Calibri"/>
      <family val="2"/>
      <scheme val="minor"/>
    </font>
    <font>
      <u/>
      <sz val="11"/>
      <color theme="5" tint="-0.249977111117893"/>
      <name val="Calibri"/>
      <family val="2"/>
      <scheme val="minor"/>
    </font>
    <font>
      <b/>
      <sz val="8"/>
      <color theme="1"/>
      <name val="Calibri"/>
      <family val="2"/>
      <scheme val="minor"/>
    </font>
    <font>
      <sz val="11"/>
      <color indexed="8"/>
      <name val="Calibri"/>
      <family val="2"/>
      <scheme val="minor"/>
    </font>
    <font>
      <sz val="28"/>
      <color theme="1"/>
      <name val="Calibri"/>
      <family val="2"/>
      <scheme val="minor"/>
    </font>
    <font>
      <sz val="9"/>
      <name val="Calibri"/>
      <family val="2"/>
      <scheme val="minor"/>
    </font>
    <font>
      <sz val="9"/>
      <color rgb="FFFF0000"/>
      <name val="Calibri"/>
      <family val="2"/>
      <scheme val="minor"/>
    </font>
    <font>
      <sz val="8"/>
      <name val="Arial"/>
      <family val="2"/>
    </font>
    <font>
      <sz val="10"/>
      <name val="Arial"/>
      <family val="2"/>
    </font>
    <font>
      <sz val="12"/>
      <name val="Garamond"/>
      <family val="1"/>
    </font>
    <font>
      <sz val="11"/>
      <color rgb="FFFF0000"/>
      <name val="Calibri"/>
      <family val="2"/>
      <scheme val="minor"/>
    </font>
    <font>
      <b/>
      <sz val="11"/>
      <color rgb="FFFF0000"/>
      <name val="Calibri"/>
      <family val="2"/>
      <scheme val="minor"/>
    </font>
    <font>
      <b/>
      <sz val="14"/>
      <color theme="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theme="0"/>
      <name val="Calibri"/>
      <family val="2"/>
      <scheme val="minor"/>
    </font>
    <font>
      <b/>
      <sz val="10"/>
      <color indexed="9"/>
      <name val="Arial"/>
      <family val="2"/>
    </font>
    <font>
      <b/>
      <sz val="10"/>
      <name val="Arial"/>
      <family val="2"/>
    </font>
    <font>
      <b/>
      <sz val="10"/>
      <color indexed="12"/>
      <name val="Arial"/>
      <family val="2"/>
    </font>
    <font>
      <sz val="9"/>
      <name val="Arial"/>
      <family val="2"/>
    </font>
    <font>
      <b/>
      <sz val="9"/>
      <color indexed="18"/>
      <name val="Arial"/>
      <family val="2"/>
    </font>
    <font>
      <b/>
      <sz val="9"/>
      <color indexed="9"/>
      <name val="Arial"/>
      <family val="2"/>
    </font>
    <font>
      <b/>
      <sz val="9"/>
      <name val="Arial"/>
      <family val="2"/>
    </font>
    <font>
      <b/>
      <sz val="10"/>
      <color theme="0"/>
      <name val="Arial"/>
      <family val="2"/>
    </font>
    <font>
      <sz val="11"/>
      <color rgb="FF9C6500"/>
      <name val="Calibri"/>
      <family val="2"/>
      <scheme val="minor"/>
    </font>
    <font>
      <sz val="10"/>
      <color indexed="63"/>
      <name val="Arial"/>
      <family val="2"/>
    </font>
    <font>
      <b/>
      <i/>
      <sz val="10"/>
      <color indexed="63"/>
      <name val="Arial"/>
      <family val="2"/>
    </font>
    <font>
      <b/>
      <sz val="10"/>
      <color indexed="8"/>
      <name val="Arial"/>
      <family val="2"/>
    </font>
    <font>
      <i/>
      <sz val="11"/>
      <color rgb="FF7F7F7F"/>
      <name val="Calibri"/>
      <family val="2"/>
      <scheme val="minor"/>
    </font>
    <font>
      <sz val="11"/>
      <color theme="0"/>
      <name val="Century Schoolbook"/>
      <family val="2"/>
    </font>
    <font>
      <sz val="11"/>
      <color rgb="FF9C0006"/>
      <name val="Century Schoolbook"/>
      <family val="2"/>
    </font>
    <font>
      <b/>
      <sz val="11"/>
      <color rgb="FFFA7D00"/>
      <name val="Century Schoolbook"/>
      <family val="2"/>
    </font>
    <font>
      <b/>
      <sz val="11"/>
      <color theme="0"/>
      <name val="Century Schoolbook"/>
      <family val="2"/>
    </font>
    <font>
      <i/>
      <sz val="11"/>
      <color rgb="FF7F7F7F"/>
      <name val="Century Schoolbook"/>
      <family val="2"/>
    </font>
    <font>
      <sz val="11"/>
      <color rgb="FF006100"/>
      <name val="Century Schoolbook"/>
      <family val="2"/>
    </font>
    <font>
      <b/>
      <sz val="15"/>
      <color theme="3"/>
      <name val="Century Schoolbook"/>
      <family val="2"/>
    </font>
    <font>
      <b/>
      <sz val="13"/>
      <color theme="3"/>
      <name val="Century Schoolbook"/>
      <family val="2"/>
    </font>
    <font>
      <b/>
      <sz val="11"/>
      <color theme="3"/>
      <name val="Century Schoolbook"/>
      <family val="2"/>
    </font>
    <font>
      <sz val="11"/>
      <color rgb="FF3F3F76"/>
      <name val="Century Schoolbook"/>
      <family val="2"/>
    </font>
    <font>
      <sz val="11"/>
      <color rgb="FFFA7D00"/>
      <name val="Century Schoolbook"/>
      <family val="2"/>
    </font>
    <font>
      <sz val="11"/>
      <color rgb="FF9C6500"/>
      <name val="Century Schoolbook"/>
      <family val="2"/>
    </font>
    <font>
      <b/>
      <sz val="11"/>
      <color rgb="FF3F3F3F"/>
      <name val="Century Schoolbook"/>
      <family val="2"/>
    </font>
    <font>
      <b/>
      <sz val="18"/>
      <color theme="3"/>
      <name val="Cambria"/>
      <family val="2"/>
      <scheme val="major"/>
    </font>
    <font>
      <b/>
      <sz val="11"/>
      <color theme="1"/>
      <name val="Century Schoolbook"/>
      <family val="2"/>
    </font>
    <font>
      <sz val="11"/>
      <color rgb="FFFF0000"/>
      <name val="Century Schoolbook"/>
      <family val="2"/>
    </font>
    <font>
      <b/>
      <sz val="11"/>
      <color rgb="FF000000"/>
      <name val="Calibri"/>
      <family val="2"/>
      <scheme val="minor"/>
    </font>
    <font>
      <b/>
      <sz val="11"/>
      <color theme="5" tint="-0.249977111117893"/>
      <name val="Calibri"/>
      <family val="2"/>
      <scheme val="minor"/>
    </font>
    <font>
      <sz val="10"/>
      <color rgb="FF000000"/>
      <name val="Times New Roman"/>
      <family val="1"/>
    </font>
    <font>
      <sz val="10"/>
      <color rgb="FF000000"/>
      <name val="Times New Roman"/>
      <family val="1"/>
    </font>
    <font>
      <u/>
      <sz val="10"/>
      <color indexed="12"/>
      <name val="Times New Roman"/>
      <family val="1"/>
    </font>
    <font>
      <u/>
      <sz val="10"/>
      <color theme="10"/>
      <name val="Times New Roman"/>
      <family val="1"/>
    </font>
    <font>
      <b/>
      <sz val="8"/>
      <color theme="0"/>
      <name val="Calibri"/>
      <family val="2"/>
      <scheme val="minor"/>
    </font>
    <font>
      <b/>
      <i/>
      <sz val="12"/>
      <name val="Cambria"/>
      <family val="1"/>
    </font>
    <font>
      <i/>
      <sz val="12"/>
      <name val="Cambria"/>
      <family val="1"/>
    </font>
    <font>
      <i/>
      <sz val="12"/>
      <color rgb="FFFF0000"/>
      <name val="Cambria"/>
      <family val="1"/>
    </font>
    <font>
      <i/>
      <u/>
      <sz val="12"/>
      <color rgb="FFFF0000"/>
      <name val="Cambria"/>
      <family val="1"/>
    </font>
    <font>
      <b/>
      <i/>
      <sz val="14"/>
      <color theme="0"/>
      <name val="Cambria"/>
      <family val="1"/>
    </font>
    <font>
      <sz val="12"/>
      <color theme="0"/>
      <name val="Century Schoolbook"/>
      <family val="1"/>
    </font>
    <font>
      <b/>
      <sz val="12"/>
      <color theme="1"/>
      <name val="Century Schoolbook"/>
      <family val="1"/>
    </font>
    <font>
      <sz val="10"/>
      <color rgb="FF000000"/>
      <name val="Times New Roman"/>
      <family val="1"/>
    </font>
    <font>
      <sz val="10"/>
      <color rgb="FF000000"/>
      <name val="Verdana"/>
      <family val="2"/>
    </font>
    <font>
      <b/>
      <sz val="12"/>
      <color rgb="FF000000"/>
      <name val="Verdana"/>
      <family val="2"/>
    </font>
    <font>
      <sz val="10"/>
      <color theme="0"/>
      <name val="Verdana"/>
      <family val="2"/>
    </font>
    <font>
      <b/>
      <sz val="22"/>
      <color theme="0"/>
      <name val="Verdana"/>
      <family val="2"/>
    </font>
    <font>
      <b/>
      <sz val="10"/>
      <color rgb="FFFF0000"/>
      <name val="Verdana"/>
      <family val="2"/>
    </font>
    <font>
      <b/>
      <sz val="10"/>
      <name val="Verdana"/>
      <family val="2"/>
    </font>
    <font>
      <sz val="10"/>
      <name val="Verdana"/>
      <family val="2"/>
    </font>
    <font>
      <b/>
      <sz val="14"/>
      <color theme="0"/>
      <name val="Verdana"/>
      <family val="2"/>
    </font>
    <font>
      <sz val="14"/>
      <color theme="0"/>
      <name val="Verdana"/>
      <family val="2"/>
    </font>
    <font>
      <sz val="10"/>
      <color theme="0" tint="-0.14999847407452621"/>
      <name val="Verdana"/>
      <family val="2"/>
    </font>
    <font>
      <sz val="10"/>
      <color rgb="FF00B050"/>
      <name val="Verdana"/>
      <family val="2"/>
    </font>
    <font>
      <i/>
      <sz val="10"/>
      <name val="Verdana"/>
      <family val="2"/>
    </font>
    <font>
      <sz val="10"/>
      <color rgb="FFFF0000"/>
      <name val="Verdana"/>
      <family val="2"/>
    </font>
    <font>
      <i/>
      <sz val="10"/>
      <color rgb="FF000000"/>
      <name val="Verdana"/>
      <family val="2"/>
    </font>
    <font>
      <sz val="9.5"/>
      <name val="Verdana"/>
      <family val="2"/>
    </font>
    <font>
      <i/>
      <sz val="9.5"/>
      <name val="Verdana"/>
      <family val="2"/>
    </font>
    <font>
      <b/>
      <sz val="20"/>
      <color theme="3" tint="0.39997558519241921"/>
      <name val="Verdana"/>
      <family val="2"/>
    </font>
    <font>
      <sz val="10"/>
      <color theme="1"/>
      <name val="Verdana"/>
      <family val="2"/>
    </font>
    <font>
      <b/>
      <i/>
      <sz val="10"/>
      <color rgb="FF000000"/>
      <name val="Verdana"/>
      <family val="2"/>
    </font>
    <font>
      <i/>
      <sz val="10"/>
      <color theme="1"/>
      <name val="Verdana"/>
      <family val="2"/>
    </font>
    <font>
      <sz val="11"/>
      <color theme="1"/>
      <name val="Verdana"/>
      <family val="2"/>
    </font>
    <font>
      <sz val="12"/>
      <color theme="0"/>
      <name val="Verdana"/>
      <family val="2"/>
    </font>
    <font>
      <sz val="16"/>
      <color rgb="FFFF0000"/>
      <name val="Walbaum Display Heavy"/>
      <family val="1"/>
    </font>
    <font>
      <b/>
      <sz val="12"/>
      <name val="Verdana"/>
      <family val="2"/>
    </font>
    <font>
      <sz val="10"/>
      <name val="Arial"/>
      <family val="2"/>
    </font>
    <font>
      <sz val="8"/>
      <color rgb="FF000000"/>
      <name val="Verdana"/>
      <family val="2"/>
    </font>
    <font>
      <b/>
      <sz val="9"/>
      <color rgb="FFFF0000"/>
      <name val="Verdana"/>
      <family val="2"/>
    </font>
    <font>
      <sz val="8"/>
      <name val="Arial"/>
      <family val="2"/>
    </font>
    <font>
      <sz val="12"/>
      <name val="Garamond"/>
      <family val="1"/>
    </font>
    <font>
      <sz val="10"/>
      <color rgb="FF000000"/>
      <name val="Times New Roman"/>
      <family val="1"/>
    </font>
    <font>
      <sz val="11"/>
      <color rgb="FF000000"/>
      <name val="Calibri"/>
      <family val="2"/>
      <scheme val="minor"/>
    </font>
    <font>
      <b/>
      <sz val="8"/>
      <color rgb="FFFF0000"/>
      <name val="Verdana"/>
      <family val="2"/>
    </font>
    <font>
      <b/>
      <sz val="18"/>
      <color rgb="FFFF0000"/>
      <name val="Calibri"/>
      <family val="2"/>
      <scheme val="minor"/>
    </font>
    <font>
      <i/>
      <sz val="14"/>
      <color theme="1"/>
      <name val="Calibri"/>
      <family val="2"/>
      <scheme val="minor"/>
    </font>
    <font>
      <i/>
      <sz val="14"/>
      <color theme="3"/>
      <name val="Calibri"/>
      <family val="2"/>
      <scheme val="minor"/>
    </font>
    <font>
      <b/>
      <i/>
      <sz val="11"/>
      <name val="Calibri"/>
      <family val="2"/>
      <scheme val="minor"/>
    </font>
    <font>
      <i/>
      <sz val="11"/>
      <name val="Calibri"/>
      <family val="2"/>
      <scheme val="minor"/>
    </font>
    <font>
      <b/>
      <u/>
      <sz val="12"/>
      <color theme="1"/>
      <name val="Calibri"/>
      <family val="2"/>
      <scheme val="minor"/>
    </font>
    <font>
      <b/>
      <u/>
      <sz val="16"/>
      <color theme="1"/>
      <name val="Calibri"/>
      <family val="2"/>
      <scheme val="minor"/>
    </font>
    <font>
      <b/>
      <u/>
      <sz val="10"/>
      <color theme="1"/>
      <name val="Calibri"/>
      <family val="2"/>
      <scheme val="minor"/>
    </font>
    <font>
      <sz val="10"/>
      <color indexed="8"/>
      <name val="Calibri"/>
      <family val="2"/>
      <scheme val="minor"/>
    </font>
    <font>
      <u/>
      <sz val="10"/>
      <color theme="1"/>
      <name val="Calibri"/>
      <family val="2"/>
      <scheme val="minor"/>
    </font>
    <font>
      <b/>
      <i/>
      <u/>
      <sz val="10"/>
      <color theme="1"/>
      <name val="Calibri"/>
      <family val="2"/>
      <scheme val="minor"/>
    </font>
    <font>
      <b/>
      <sz val="11"/>
      <color rgb="FF0070C0"/>
      <name val="Calibri"/>
      <family val="2"/>
      <scheme val="minor"/>
    </font>
    <font>
      <sz val="8"/>
      <color indexed="8"/>
      <name val="Calibri"/>
      <family val="2"/>
      <scheme val="minor"/>
    </font>
    <font>
      <u/>
      <sz val="8"/>
      <color indexed="8"/>
      <name val="Calibri"/>
      <family val="2"/>
      <scheme val="minor"/>
    </font>
    <font>
      <b/>
      <sz val="8"/>
      <color indexed="8"/>
      <name val="Calibri"/>
      <family val="2"/>
      <scheme val="minor"/>
    </font>
    <font>
      <b/>
      <sz val="8"/>
      <name val="Calibri"/>
      <family val="2"/>
      <scheme val="minor"/>
    </font>
    <font>
      <b/>
      <sz val="8"/>
      <color indexed="17"/>
      <name val="Calibri"/>
      <family val="2"/>
      <scheme val="minor"/>
    </font>
    <font>
      <u/>
      <sz val="8"/>
      <name val="Calibri"/>
      <family val="2"/>
      <scheme val="minor"/>
    </font>
    <font>
      <sz val="11"/>
      <color theme="9" tint="-0.249977111117893"/>
      <name val="Calibri"/>
      <family val="2"/>
      <scheme val="minor"/>
    </font>
    <font>
      <u/>
      <sz val="11"/>
      <color indexed="8"/>
      <name val="Calibri"/>
      <family val="2"/>
      <scheme val="minor"/>
    </font>
    <font>
      <b/>
      <u/>
      <sz val="11"/>
      <color indexed="8"/>
      <name val="Calibri"/>
      <family val="2"/>
      <scheme val="minor"/>
    </font>
    <font>
      <b/>
      <sz val="11"/>
      <color indexed="60"/>
      <name val="Calibri"/>
      <family val="2"/>
      <scheme val="minor"/>
    </font>
    <font>
      <u/>
      <sz val="11"/>
      <color rgb="FFFF0000"/>
      <name val="Calibri"/>
      <family val="2"/>
      <scheme val="minor"/>
    </font>
    <font>
      <sz val="11"/>
      <color theme="5" tint="-0.249977111117893"/>
      <name val="Calibri"/>
      <family val="2"/>
      <scheme val="minor"/>
    </font>
    <font>
      <u/>
      <sz val="11"/>
      <color indexed="60"/>
      <name val="Calibri"/>
      <family val="2"/>
      <scheme val="minor"/>
    </font>
    <font>
      <sz val="11"/>
      <color indexed="60"/>
      <name val="Calibri"/>
      <family val="2"/>
      <scheme val="minor"/>
    </font>
    <font>
      <u/>
      <sz val="11"/>
      <name val="Calibri"/>
      <family val="2"/>
      <scheme val="minor"/>
    </font>
    <font>
      <b/>
      <sz val="11"/>
      <color rgb="FFC00000"/>
      <name val="Calibri"/>
      <family val="2"/>
      <scheme val="minor"/>
    </font>
    <font>
      <b/>
      <sz val="11"/>
      <color theme="2"/>
      <name val="Calibri"/>
      <family val="2"/>
      <scheme val="minor"/>
    </font>
    <font>
      <sz val="11"/>
      <color theme="2"/>
      <name val="Calibri"/>
      <family val="2"/>
      <scheme val="minor"/>
    </font>
    <font>
      <sz val="10"/>
      <color rgb="FFFF0000"/>
      <name val="Calibri"/>
      <family val="2"/>
      <scheme val="minor"/>
    </font>
    <font>
      <b/>
      <u/>
      <sz val="11"/>
      <name val="Calibri"/>
      <family val="2"/>
      <scheme val="minor"/>
    </font>
    <font>
      <sz val="16"/>
      <color rgb="FFFF0000"/>
      <name val="Calibri"/>
      <family val="2"/>
      <scheme val="minor"/>
    </font>
    <font>
      <b/>
      <sz val="20"/>
      <color theme="1"/>
      <name val="Calibri"/>
      <family val="2"/>
      <scheme val="minor"/>
    </font>
    <font>
      <sz val="16"/>
      <color theme="1"/>
      <name val="Calibri"/>
      <family val="2"/>
      <scheme val="minor"/>
    </font>
    <font>
      <sz val="9"/>
      <color indexed="8"/>
      <name val="Calibri"/>
      <family val="2"/>
    </font>
    <font>
      <sz val="10"/>
      <name val="Arial"/>
      <family val="2"/>
    </font>
    <font>
      <b/>
      <sz val="11"/>
      <color indexed="10"/>
      <name val="Calibri"/>
      <family val="2"/>
      <scheme val="minor"/>
    </font>
    <font>
      <b/>
      <u/>
      <sz val="11"/>
      <color theme="1"/>
      <name val="Calibri"/>
      <family val="2"/>
      <scheme val="minor"/>
    </font>
    <font>
      <b/>
      <u/>
      <sz val="11"/>
      <color rgb="FFFF0000"/>
      <name val="Calibri"/>
      <family val="2"/>
      <scheme val="minor"/>
    </font>
    <font>
      <i/>
      <sz val="18"/>
      <color theme="0"/>
      <name val="Cambria"/>
      <family val="1"/>
      <scheme val="major"/>
    </font>
    <font>
      <sz val="12"/>
      <color theme="1"/>
      <name val="Cambria"/>
      <family val="1"/>
    </font>
    <font>
      <u/>
      <sz val="12"/>
      <color rgb="FFFF0000"/>
      <name val="Cambria"/>
      <family val="1"/>
    </font>
    <font>
      <sz val="12"/>
      <color rgb="FFFF0000"/>
      <name val="Cambria"/>
      <family val="1"/>
    </font>
    <font>
      <i/>
      <sz val="12"/>
      <color theme="1"/>
      <name val="Cambria"/>
      <family val="1"/>
    </font>
    <font>
      <u/>
      <sz val="12"/>
      <color theme="10"/>
      <name val="Cambria"/>
      <family val="1"/>
    </font>
    <font>
      <sz val="11"/>
      <color theme="1"/>
      <name val="Cambria"/>
      <family val="1"/>
    </font>
    <font>
      <u/>
      <sz val="11"/>
      <color theme="10"/>
      <name val="Cambria"/>
      <family val="1"/>
    </font>
    <font>
      <b/>
      <sz val="12"/>
      <color indexed="8"/>
      <name val="Cambria"/>
      <family val="1"/>
    </font>
    <font>
      <sz val="12"/>
      <color indexed="8"/>
      <name val="Cambria"/>
      <family val="1"/>
    </font>
    <font>
      <b/>
      <i/>
      <u/>
      <sz val="12"/>
      <color rgb="FFFF0000"/>
      <name val="Cambria"/>
      <family val="1"/>
    </font>
    <font>
      <b/>
      <sz val="12"/>
      <color theme="1"/>
      <name val="Cambria"/>
      <family val="1"/>
    </font>
  </fonts>
  <fills count="86">
    <fill>
      <patternFill patternType="none"/>
    </fill>
    <fill>
      <patternFill patternType="gray125"/>
    </fill>
    <fill>
      <patternFill patternType="solid">
        <fgColor indexed="31"/>
        <bgColor indexed="31"/>
      </patternFill>
    </fill>
    <fill>
      <patternFill patternType="solid">
        <fgColor indexed="44"/>
        <bgColor indexed="44"/>
      </patternFill>
    </fill>
    <fill>
      <patternFill patternType="solid">
        <fgColor indexed="54"/>
        <bgColor indexed="54"/>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25"/>
        <bgColor indexed="25"/>
      </patternFill>
    </fill>
    <fill>
      <patternFill patternType="solid">
        <fgColor indexed="42"/>
        <bgColor indexed="42"/>
      </patternFill>
    </fill>
    <fill>
      <patternFill patternType="solid">
        <fgColor indexed="27"/>
        <bgColor indexed="27"/>
      </patternFill>
    </fill>
    <fill>
      <patternFill patternType="solid">
        <fgColor indexed="49"/>
        <bgColor indexed="49"/>
      </patternFill>
    </fill>
    <fill>
      <patternFill patternType="solid">
        <fgColor indexed="47"/>
        <bgColor indexed="47"/>
      </patternFill>
    </fill>
    <fill>
      <patternFill patternType="solid">
        <fgColor indexed="52"/>
        <bgColor indexed="52"/>
      </patternFill>
    </fill>
    <fill>
      <patternFill patternType="solid">
        <fgColor indexed="45"/>
        <bgColor indexed="45"/>
      </patternFill>
    </fill>
    <fill>
      <patternFill patternType="solid">
        <fgColor indexed="9"/>
        <bgColor indexed="9"/>
      </patternFill>
    </fill>
    <fill>
      <patternFill patternType="lightUp">
        <fgColor indexed="9"/>
        <bgColor indexed="55"/>
      </patternFill>
    </fill>
    <fill>
      <patternFill patternType="lightUp">
        <fgColor indexed="9"/>
        <bgColor indexed="29"/>
      </patternFill>
    </fill>
    <fill>
      <patternFill patternType="lightUp">
        <fgColor indexed="9"/>
        <bgColor indexed="22"/>
      </patternFill>
    </fill>
    <fill>
      <patternFill patternType="solid">
        <fgColor indexed="43"/>
        <bgColor indexed="43"/>
      </patternFill>
    </fill>
    <fill>
      <patternFill patternType="solid">
        <fgColor theme="7" tint="0.79998168889431442"/>
        <bgColor indexed="64"/>
      </patternFill>
    </fill>
    <fill>
      <patternFill patternType="solid">
        <fgColor theme="2" tint="-9.9978637043366805E-2"/>
        <bgColor indexed="64"/>
      </patternFill>
    </fill>
    <fill>
      <patternFill patternType="solid">
        <fgColor theme="1"/>
        <bgColor indexed="64"/>
      </patternFill>
    </fill>
    <fill>
      <patternFill patternType="solid">
        <fgColor theme="6" tint="0.39997558519241921"/>
        <bgColor indexed="64"/>
      </patternFill>
    </fill>
    <fill>
      <patternFill patternType="solid">
        <fgColor theme="9" tint="0.59999389629810485"/>
        <bgColor indexed="64"/>
      </patternFill>
    </fill>
    <fill>
      <patternFill patternType="solid">
        <fgColor rgb="FF0070C0"/>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theme="8" tint="0.39997558519241921"/>
        <bgColor indexed="64"/>
      </patternFill>
    </fill>
    <fill>
      <patternFill patternType="solid">
        <fgColor theme="9" tint="0.79998168889431442"/>
        <bgColor indexed="64"/>
      </patternFill>
    </fill>
    <fill>
      <patternFill patternType="solid">
        <fgColor theme="2" tint="-0.249977111117893"/>
        <bgColor indexed="64"/>
      </patternFill>
    </fill>
    <fill>
      <patternFill patternType="solid">
        <fgColor theme="5" tint="0.59999389629810485"/>
        <bgColor indexed="64"/>
      </patternFill>
    </fill>
    <fill>
      <patternFill patternType="solid">
        <fgColor theme="5" tint="0.79998168889431442"/>
        <bgColor indexed="64"/>
      </patternFill>
    </fill>
    <fill>
      <patternFill patternType="solid">
        <fgColor rgb="FF00FFFF"/>
        <bgColor indexed="64"/>
      </patternFill>
    </fill>
    <fill>
      <patternFill patternType="solid">
        <fgColor rgb="FFFFFFCC"/>
        <bgColor indexed="64"/>
      </patternFill>
    </fill>
    <fill>
      <patternFill patternType="solid">
        <fgColor theme="3" tint="0.79998168889431442"/>
        <bgColor indexed="64"/>
      </patternFill>
    </fill>
    <fill>
      <patternFill patternType="solid">
        <fgColor rgb="FFFFFF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indexed="18"/>
        <bgColor indexed="64"/>
      </patternFill>
    </fill>
    <fill>
      <patternFill patternType="solid">
        <fgColor rgb="FF99CCFF"/>
        <bgColor indexed="64"/>
      </patternFill>
    </fill>
    <fill>
      <patternFill patternType="solid">
        <fgColor indexed="44"/>
        <bgColor indexed="64"/>
      </patternFill>
    </fill>
    <fill>
      <patternFill patternType="solid">
        <fgColor indexed="22"/>
        <bgColor indexed="64"/>
      </patternFill>
    </fill>
    <fill>
      <patternFill patternType="solid">
        <fgColor theme="1" tint="0.24994659260841701"/>
        <bgColor indexed="6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6" tint="0.79998168889431442"/>
        <bgColor indexed="64"/>
      </patternFill>
    </fill>
    <fill>
      <patternFill patternType="solid">
        <fgColor theme="8" tint="0.59999389629810485"/>
        <bgColor indexed="64"/>
      </patternFill>
    </fill>
    <fill>
      <patternFill patternType="solid">
        <fgColor theme="4" tint="0.79998168889431442"/>
        <bgColor indexed="64"/>
      </patternFill>
    </fill>
    <fill>
      <patternFill patternType="solid">
        <fgColor rgb="FFBFC2D9"/>
        <bgColor indexed="64"/>
      </patternFill>
    </fill>
    <fill>
      <patternFill patternType="solid">
        <fgColor theme="6" tint="-0.249977111117893"/>
        <bgColor indexed="64"/>
      </patternFill>
    </fill>
    <fill>
      <patternFill patternType="solid">
        <fgColor theme="0" tint="-4.9989318521683403E-2"/>
        <bgColor indexed="64"/>
      </patternFill>
    </fill>
    <fill>
      <patternFill patternType="solid">
        <fgColor theme="3" tint="0.39997558519241921"/>
        <bgColor indexed="64"/>
      </patternFill>
    </fill>
    <fill>
      <patternFill patternType="solid">
        <fgColor theme="8" tint="0.79998168889431442"/>
        <bgColor indexed="64"/>
      </patternFill>
    </fill>
    <fill>
      <patternFill patternType="solid">
        <fgColor theme="0"/>
        <bgColor indexed="64"/>
      </patternFill>
    </fill>
    <fill>
      <patternFill patternType="solid">
        <fgColor rgb="FFCCFF66"/>
        <bgColor indexed="64"/>
      </patternFill>
    </fill>
    <fill>
      <patternFill patternType="solid">
        <fgColor theme="7" tint="0.59999389629810485"/>
        <bgColor indexed="64"/>
      </patternFill>
    </fill>
    <fill>
      <patternFill patternType="solid">
        <fgColor indexed="55"/>
        <bgColor indexed="64"/>
      </patternFill>
    </fill>
    <fill>
      <patternFill patternType="solid">
        <fgColor theme="0" tint="-0.249977111117893"/>
        <bgColor indexed="64"/>
      </patternFill>
    </fill>
  </fills>
  <borders count="131">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54"/>
      </bottom>
      <diagonal/>
    </border>
    <border>
      <left/>
      <right/>
      <top/>
      <bottom style="thick">
        <color indexed="22"/>
      </bottom>
      <diagonal/>
    </border>
    <border>
      <left/>
      <right/>
      <top/>
      <bottom style="medium">
        <color indexed="4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54"/>
      </top>
      <bottom style="double">
        <color indexed="5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thin">
        <color indexed="64"/>
      </top>
      <bottom style="thin">
        <color indexed="64"/>
      </bottom>
      <diagonal/>
    </border>
    <border>
      <left style="medium">
        <color indexed="64"/>
      </left>
      <right/>
      <top/>
      <bottom/>
      <diagonal/>
    </border>
    <border>
      <left/>
      <right/>
      <top style="medium">
        <color indexed="64"/>
      </top>
      <bottom style="medium">
        <color indexed="64"/>
      </bottom>
      <diagonal/>
    </border>
    <border>
      <left/>
      <right/>
      <top/>
      <bottom style="thin">
        <color indexed="64"/>
      </bottom>
      <diagonal/>
    </border>
    <border>
      <left/>
      <right/>
      <top style="thin">
        <color indexed="64"/>
      </top>
      <bottom style="double">
        <color indexed="64"/>
      </bottom>
      <diagonal/>
    </border>
    <border>
      <left/>
      <right/>
      <top/>
      <bottom style="double">
        <color indexed="64"/>
      </bottom>
      <diagonal/>
    </border>
    <border>
      <left/>
      <right/>
      <top style="double">
        <color indexed="64"/>
      </top>
      <bottom style="double">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theme="3" tint="0.59996337778862885"/>
      </left>
      <right style="thin">
        <color theme="3" tint="0.59996337778862885"/>
      </right>
      <top style="thin">
        <color theme="3" tint="0.59996337778862885"/>
      </top>
      <bottom style="thin">
        <color theme="3" tint="0.59996337778862885"/>
      </bottom>
      <diagonal/>
    </border>
    <border>
      <left/>
      <right style="thin">
        <color theme="3" tint="0.59996337778862885"/>
      </right>
      <top style="thin">
        <color theme="3" tint="0.59996337778862885"/>
      </top>
      <bottom/>
      <diagonal/>
    </border>
    <border>
      <left/>
      <right style="thin">
        <color theme="3" tint="0.59996337778862885"/>
      </right>
      <top style="thin">
        <color theme="3" tint="0.59996337778862885"/>
      </top>
      <bottom style="thin">
        <color theme="3" tint="0.59996337778862885"/>
      </bottom>
      <diagonal/>
    </border>
    <border>
      <left/>
      <right style="thin">
        <color theme="3" tint="0.59996337778862885"/>
      </right>
      <top/>
      <bottom style="thin">
        <color theme="3" tint="0.59996337778862885"/>
      </bottom>
      <diagonal/>
    </border>
    <border>
      <left style="thin">
        <color theme="3" tint="0.59996337778862885"/>
      </left>
      <right/>
      <top style="thin">
        <color theme="3" tint="0.59996337778862885"/>
      </top>
      <bottom/>
      <diagonal/>
    </border>
    <border>
      <left style="thin">
        <color theme="3" tint="0.59996337778862885"/>
      </left>
      <right/>
      <top style="thin">
        <color theme="3" tint="0.59996337778862885"/>
      </top>
      <bottom style="thin">
        <color theme="3" tint="0.59996337778862885"/>
      </bottom>
      <diagonal/>
    </border>
    <border>
      <left style="thin">
        <color theme="3" tint="0.59996337778862885"/>
      </left>
      <right/>
      <top/>
      <bottom style="thin">
        <color theme="3" tint="0.59996337778862885"/>
      </bottom>
      <diagonal/>
    </border>
    <border>
      <left style="thin">
        <color theme="3" tint="0.59996337778862885"/>
      </left>
      <right style="thin">
        <color theme="3" tint="0.59996337778862885"/>
      </right>
      <top style="thin">
        <color theme="3" tint="0.59996337778862885"/>
      </top>
      <bottom/>
      <diagonal/>
    </border>
    <border>
      <left style="thin">
        <color theme="3" tint="0.59996337778862885"/>
      </left>
      <right style="thin">
        <color theme="3" tint="0.59996337778862885"/>
      </right>
      <top/>
      <bottom style="thin">
        <color theme="3" tint="0.59996337778862885"/>
      </bottom>
      <diagonal/>
    </border>
    <border>
      <left/>
      <right/>
      <top style="thin">
        <color theme="4" tint="0.39997558519241921"/>
      </top>
      <bottom style="thin">
        <color theme="4" tint="0.39997558519241921"/>
      </bottom>
      <diagonal/>
    </border>
    <border>
      <left style="thin">
        <color theme="4" tint="0.39997558519241921"/>
      </left>
      <right/>
      <top style="thin">
        <color theme="4" tint="0.39997558519241921"/>
      </top>
      <bottom style="thin">
        <color theme="4" tint="0.39997558519241921"/>
      </bottom>
      <diagonal/>
    </border>
    <border>
      <left style="thin">
        <color theme="3" tint="0.59999389629810485"/>
      </left>
      <right style="thin">
        <color theme="3" tint="0.59996337778862885"/>
      </right>
      <top style="thin">
        <color theme="3" tint="0.59996337778862885"/>
      </top>
      <bottom style="thin">
        <color theme="3" tint="0.59996337778862885"/>
      </bottom>
      <diagonal/>
    </border>
    <border>
      <left style="thin">
        <color indexed="64"/>
      </left>
      <right style="thin">
        <color theme="3" tint="0.59996337778862885"/>
      </right>
      <top style="thin">
        <color theme="3" tint="0.59996337778862885"/>
      </top>
      <bottom style="thin">
        <color theme="3" tint="0.59996337778862885"/>
      </bottom>
      <diagonal/>
    </border>
    <border>
      <left style="thin">
        <color indexed="44"/>
      </left>
      <right style="thin">
        <color indexed="44"/>
      </right>
      <top style="thin">
        <color indexed="44"/>
      </top>
      <bottom style="thin">
        <color indexed="4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theme="3" tint="0.59996337778862885"/>
      </right>
      <top/>
      <bottom/>
      <diagonal/>
    </border>
    <border>
      <left style="thin">
        <color theme="3" tint="0.59996337778862885"/>
      </left>
      <right style="thin">
        <color theme="3" tint="0.59996337778862885"/>
      </right>
      <top/>
      <bottom/>
      <diagonal/>
    </border>
    <border>
      <left style="thin">
        <color theme="3" tint="0.79998168889431442"/>
      </left>
      <right style="thin">
        <color theme="3" tint="0.79998168889431442"/>
      </right>
      <top style="thin">
        <color theme="3" tint="0.79998168889431442"/>
      </top>
      <bottom style="thin">
        <color theme="3" tint="0.79998168889431442"/>
      </bottom>
      <diagonal/>
    </border>
    <border>
      <left style="thin">
        <color theme="3" tint="0.59996337778862885"/>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indexed="64"/>
      </right>
      <top/>
      <bottom/>
      <diagonal/>
    </border>
    <border>
      <left style="medium">
        <color auto="1"/>
      </left>
      <right style="medium">
        <color auto="1"/>
      </right>
      <top style="medium">
        <color auto="1"/>
      </top>
      <bottom style="medium">
        <color auto="1"/>
      </bottom>
      <diagonal/>
    </border>
    <border>
      <left/>
      <right/>
      <top/>
      <bottom style="medium">
        <color indexed="44"/>
      </bottom>
      <diagonal/>
    </border>
    <border>
      <left/>
      <right style="medium">
        <color indexed="64"/>
      </right>
      <top/>
      <bottom style="thin">
        <color indexed="64"/>
      </bottom>
      <diagonal/>
    </border>
    <border>
      <left/>
      <right style="medium">
        <color indexed="64"/>
      </right>
      <top/>
      <bottom/>
      <diagonal/>
    </border>
    <border>
      <left/>
      <right/>
      <top/>
      <bottom style="medium">
        <color indexed="22"/>
      </bottom>
      <diagonal/>
    </border>
    <border>
      <left style="thin">
        <color indexed="44"/>
      </left>
      <right/>
      <top/>
      <bottom style="thin">
        <color indexed="44"/>
      </bottom>
      <diagonal/>
    </border>
    <border>
      <left/>
      <right/>
      <top style="thin">
        <color theme="3" tint="0.59996337778862885"/>
      </top>
      <bottom/>
      <diagonal/>
    </border>
    <border>
      <left/>
      <right/>
      <top style="thin">
        <color theme="3" tint="0.59996337778862885"/>
      </top>
      <bottom style="thin">
        <color theme="3" tint="0.59996337778862885"/>
      </bottom>
      <diagonal/>
    </border>
    <border>
      <left style="thin">
        <color theme="4" tint="0.59999389629810485"/>
      </left>
      <right style="thin">
        <color theme="4" tint="0.59999389629810485"/>
      </right>
      <top style="thin">
        <color theme="4" tint="0.59999389629810485"/>
      </top>
      <bottom style="thin">
        <color theme="4" tint="0.59999389629810485"/>
      </bottom>
      <diagonal/>
    </border>
    <border>
      <left style="medium">
        <color theme="3"/>
      </left>
      <right/>
      <top style="medium">
        <color theme="3"/>
      </top>
      <bottom style="medium">
        <color theme="3"/>
      </bottom>
      <diagonal/>
    </border>
    <border>
      <left/>
      <right/>
      <top style="medium">
        <color theme="3"/>
      </top>
      <bottom style="medium">
        <color theme="3"/>
      </bottom>
      <diagonal/>
    </border>
    <border>
      <left/>
      <right style="medium">
        <color theme="3"/>
      </right>
      <top style="medium">
        <color theme="3"/>
      </top>
      <bottom style="medium">
        <color theme="3"/>
      </bottom>
      <diagonal/>
    </border>
    <border>
      <left style="medium">
        <color theme="3"/>
      </left>
      <right style="medium">
        <color theme="3"/>
      </right>
      <top style="medium">
        <color theme="3"/>
      </top>
      <bottom style="medium">
        <color theme="3"/>
      </bottom>
      <diagonal/>
    </border>
    <border>
      <left style="medium">
        <color indexed="64"/>
      </left>
      <right style="medium">
        <color indexed="64"/>
      </right>
      <top style="medium">
        <color indexed="64"/>
      </top>
      <bottom/>
      <diagonal/>
    </border>
    <border>
      <left/>
      <right style="medium">
        <color theme="3"/>
      </right>
      <top/>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theme="0"/>
      </left>
      <right style="thin">
        <color theme="0"/>
      </right>
      <top style="thin">
        <color theme="0"/>
      </top>
      <bottom/>
      <diagonal/>
    </border>
    <border>
      <left style="thin">
        <color theme="0"/>
      </left>
      <right/>
      <top style="thin">
        <color theme="0"/>
      </top>
      <bottom style="thin">
        <color indexed="64"/>
      </bottom>
      <diagonal/>
    </border>
    <border>
      <left/>
      <right style="thin">
        <color theme="0"/>
      </right>
      <top style="thin">
        <color theme="0"/>
      </top>
      <bottom style="thin">
        <color indexed="64"/>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indexed="64"/>
      </left>
      <right style="thin">
        <color indexed="64"/>
      </right>
      <top style="thin">
        <color indexed="64"/>
      </top>
      <bottom/>
      <diagonal/>
    </border>
    <border>
      <left style="thin">
        <color theme="0"/>
      </left>
      <right style="thin">
        <color theme="0"/>
      </right>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theme="1" tint="0.499984740745262"/>
      </left>
      <right/>
      <top style="thin">
        <color theme="1" tint="0.499984740745262"/>
      </top>
      <bottom style="thin">
        <color theme="1" tint="0.499984740745262"/>
      </bottom>
      <diagonal/>
    </border>
    <border>
      <left style="thin">
        <color theme="0"/>
      </left>
      <right style="thin">
        <color theme="0"/>
      </right>
      <top/>
      <bottom style="thin">
        <color theme="0"/>
      </bottom>
      <diagonal/>
    </border>
    <border>
      <left style="thin">
        <color theme="1" tint="0.499984740745262"/>
      </left>
      <right style="thin">
        <color theme="1" tint="0.499984740745262"/>
      </right>
      <top/>
      <bottom style="thin">
        <color theme="1" tint="0.499984740745262"/>
      </bottom>
      <diagonal/>
    </border>
    <border>
      <left style="thin">
        <color theme="0"/>
      </left>
      <right/>
      <top/>
      <bottom/>
      <diagonal/>
    </border>
    <border>
      <left/>
      <right style="thin">
        <color theme="0"/>
      </right>
      <top/>
      <bottom/>
      <diagonal/>
    </border>
    <border>
      <left style="thin">
        <color theme="0"/>
      </left>
      <right style="thin">
        <color theme="0"/>
      </right>
      <top style="medium">
        <color indexed="64"/>
      </top>
      <bottom/>
      <diagonal/>
    </border>
    <border>
      <left style="thin">
        <color theme="0"/>
      </left>
      <right style="medium">
        <color indexed="64"/>
      </right>
      <top style="medium">
        <color indexed="64"/>
      </top>
      <bottom/>
      <diagonal/>
    </border>
    <border>
      <left style="medium">
        <color indexed="64"/>
      </left>
      <right style="thin">
        <color theme="1" tint="0.499984740745262"/>
      </right>
      <top style="thin">
        <color theme="1" tint="0.499984740745262"/>
      </top>
      <bottom style="thin">
        <color theme="1" tint="0.499984740745262"/>
      </bottom>
      <diagonal/>
    </border>
    <border>
      <left style="thin">
        <color theme="1" tint="0.499984740745262"/>
      </left>
      <right style="thin">
        <color theme="1" tint="0.499984740745262"/>
      </right>
      <top style="thin">
        <color theme="1" tint="0.499984740745262"/>
      </top>
      <bottom style="medium">
        <color indexed="64"/>
      </bottom>
      <diagonal/>
    </border>
    <border>
      <left style="thin">
        <color theme="1" tint="0.499984740745262"/>
      </left>
      <right/>
      <top/>
      <bottom style="thin">
        <color theme="1" tint="0.499984740745262"/>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theme="0"/>
      </right>
      <top style="medium">
        <color indexed="64"/>
      </top>
      <bottom/>
      <diagonal/>
    </border>
    <border>
      <left style="medium">
        <color indexed="64"/>
      </left>
      <right style="thin">
        <color theme="1" tint="0.499984740745262"/>
      </right>
      <top style="thin">
        <color theme="1" tint="0.499984740745262"/>
      </top>
      <bottom style="medium">
        <color indexed="64"/>
      </bottom>
      <diagonal/>
    </border>
    <border>
      <left style="thin">
        <color theme="1" tint="0.499984740745262"/>
      </left>
      <right/>
      <top style="thin">
        <color theme="1" tint="0.499984740745262"/>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top/>
      <bottom style="thin">
        <color theme="3" tint="0.79998168889431442"/>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theme="0"/>
      </right>
      <top/>
      <bottom style="thin">
        <color indexed="64"/>
      </bottom>
      <diagonal/>
    </border>
    <border>
      <left/>
      <right/>
      <top style="thin">
        <color theme="0"/>
      </top>
      <bottom style="thin">
        <color theme="0"/>
      </bottom>
      <diagonal/>
    </border>
    <border>
      <left/>
      <right/>
      <top/>
      <bottom style="thin">
        <color theme="0"/>
      </bottom>
      <diagonal/>
    </border>
    <border>
      <left style="thin">
        <color theme="0"/>
      </left>
      <right/>
      <top style="thin">
        <color theme="0"/>
      </top>
      <bottom style="thin">
        <color theme="0"/>
      </bottom>
      <diagonal/>
    </border>
    <border>
      <left style="medium">
        <color indexed="64"/>
      </left>
      <right style="medium">
        <color indexed="64"/>
      </right>
      <top/>
      <bottom/>
      <diagonal/>
    </border>
    <border>
      <left style="medium">
        <color auto="1"/>
      </left>
      <right style="thin">
        <color theme="0"/>
      </right>
      <top style="medium">
        <color indexed="64"/>
      </top>
      <bottom style="medium">
        <color indexed="64"/>
      </bottom>
      <diagonal/>
    </border>
    <border>
      <left style="thin">
        <color theme="0"/>
      </left>
      <right style="thin">
        <color theme="0"/>
      </right>
      <top style="medium">
        <color indexed="64"/>
      </top>
      <bottom style="medium">
        <color indexed="64"/>
      </bottom>
      <diagonal/>
    </border>
    <border>
      <left/>
      <right style="thin">
        <color theme="0"/>
      </right>
      <top style="medium">
        <color indexed="64"/>
      </top>
      <bottom style="medium">
        <color indexed="64"/>
      </bottom>
      <diagonal/>
    </border>
    <border>
      <left/>
      <right/>
      <top style="thin">
        <color theme="0"/>
      </top>
      <bottom/>
      <diagonal/>
    </border>
    <border>
      <left style="thin">
        <color theme="1" tint="0.499984740745262"/>
      </left>
      <right/>
      <top style="thin">
        <color theme="1" tint="0.499984740745262"/>
      </top>
      <bottom/>
      <diagonal/>
    </border>
    <border>
      <left/>
      <right style="thin">
        <color indexed="44"/>
      </right>
      <top style="thin">
        <color indexed="44"/>
      </top>
      <bottom/>
      <diagonal/>
    </border>
    <border>
      <left style="thin">
        <color indexed="44"/>
      </left>
      <right style="thin">
        <color indexed="44"/>
      </right>
      <top style="thin">
        <color indexed="64"/>
      </top>
      <bottom style="thin">
        <color indexed="64"/>
      </bottom>
      <diagonal/>
    </border>
    <border>
      <left style="thin">
        <color theme="0"/>
      </left>
      <right style="thin">
        <color theme="0"/>
      </right>
      <top/>
      <bottom style="thin">
        <color indexed="64"/>
      </bottom>
      <diagonal/>
    </border>
    <border>
      <left style="thin">
        <color theme="0"/>
      </left>
      <right/>
      <top/>
      <bottom style="thin">
        <color indexed="64"/>
      </bottom>
      <diagonal/>
    </border>
    <border>
      <left style="thin">
        <color indexed="64"/>
      </left>
      <right style="thin">
        <color indexed="64"/>
      </right>
      <top/>
      <bottom style="medium">
        <color indexed="64"/>
      </bottom>
      <diagonal/>
    </border>
  </borders>
  <cellStyleXfs count="31723">
    <xf numFmtId="0" fontId="0" fillId="0" borderId="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7" fillId="3"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7" fillId="6"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7" fillId="6"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7" fillId="3"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7" fillId="12"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7" fillId="15" borderId="1" applyNumberFormat="0" applyAlignment="0" applyProtection="0"/>
    <xf numFmtId="0" fontId="17" fillId="15" borderId="1" applyNumberFormat="0" applyAlignment="0" applyProtection="0"/>
    <xf numFmtId="0" fontId="8" fillId="7" borderId="2" applyNumberFormat="0" applyAlignment="0" applyProtection="0"/>
    <xf numFmtId="0" fontId="8" fillId="7" borderId="2" applyNumberFormat="0" applyAlignment="0" applyProtection="0"/>
    <xf numFmtId="43"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20" fillId="0" borderId="0" applyFont="0" applyFill="0" applyBorder="0" applyAlignment="0" applyProtection="0"/>
    <xf numFmtId="43" fontId="19" fillId="0" borderId="0" applyFont="0" applyFill="0" applyBorder="0" applyAlignment="0" applyProtection="0"/>
    <xf numFmtId="43" fontId="20" fillId="0" borderId="0" applyFont="0" applyFill="0" applyBorder="0" applyAlignment="0" applyProtection="0"/>
    <xf numFmtId="43" fontId="19"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4" fillId="0" borderId="0" applyFont="0" applyFill="0" applyBorder="0" applyAlignment="0" applyProtection="0"/>
    <xf numFmtId="43" fontId="31" fillId="0" borderId="0" applyFont="0" applyFill="0" applyBorder="0" applyAlignment="0" applyProtection="0"/>
    <xf numFmtId="43"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13" fillId="0" borderId="3" applyNumberFormat="0" applyFill="0" applyAlignment="0" applyProtection="0"/>
    <xf numFmtId="0" fontId="13" fillId="0" borderId="3"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6" fillId="0" borderId="0" applyNumberFormat="0" applyFill="0" applyBorder="0" applyAlignment="0" applyProtection="0">
      <alignment vertical="top"/>
      <protection locked="0"/>
    </xf>
    <xf numFmtId="0" fontId="23" fillId="0" borderId="0" applyNumberFormat="0" applyFill="0" applyBorder="0" applyAlignment="0" applyProtection="0">
      <alignment vertical="top"/>
      <protection locked="0"/>
    </xf>
    <xf numFmtId="0" fontId="4" fillId="12" borderId="1" applyNumberFormat="0" applyAlignment="0" applyProtection="0"/>
    <xf numFmtId="0" fontId="4" fillId="12" borderId="1" applyNumberFormat="0" applyAlignment="0" applyProtection="0"/>
    <xf numFmtId="0" fontId="18" fillId="0" borderId="6" applyNumberFormat="0" applyFill="0" applyAlignment="0" applyProtection="0"/>
    <xf numFmtId="0" fontId="18" fillId="0" borderId="6" applyNumberFormat="0" applyFill="0" applyAlignment="0" applyProtection="0"/>
    <xf numFmtId="0" fontId="5" fillId="19" borderId="0" applyNumberFormat="0" applyBorder="0" applyAlignment="0" applyProtection="0"/>
    <xf numFmtId="0" fontId="5" fillId="19"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0" fontId="34"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0" fontId="37"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19" fillId="0" borderId="0"/>
    <xf numFmtId="0" fontId="20" fillId="0" borderId="0"/>
    <xf numFmtId="0" fontId="19" fillId="0" borderId="0"/>
    <xf numFmtId="0" fontId="28" fillId="0" borderId="0"/>
    <xf numFmtId="0" fontId="19" fillId="0" borderId="0"/>
    <xf numFmtId="0" fontId="19" fillId="0" borderId="0"/>
    <xf numFmtId="0" fontId="19" fillId="0" borderId="0"/>
    <xf numFmtId="0" fontId="25" fillId="0" borderId="0"/>
    <xf numFmtId="0" fontId="19" fillId="0" borderId="0"/>
    <xf numFmtId="0" fontId="19" fillId="0" borderId="0"/>
    <xf numFmtId="0" fontId="28" fillId="0" borderId="0"/>
    <xf numFmtId="0" fontId="19" fillId="0" borderId="0"/>
    <xf numFmtId="0" fontId="28" fillId="0" borderId="0"/>
    <xf numFmtId="0" fontId="19" fillId="0" borderId="0"/>
    <xf numFmtId="0" fontId="19" fillId="0" borderId="0"/>
    <xf numFmtId="0" fontId="19" fillId="0" borderId="0"/>
    <xf numFmtId="0" fontId="19" fillId="0" borderId="0"/>
    <xf numFmtId="0" fontId="28" fillId="0" borderId="0"/>
    <xf numFmtId="0" fontId="19" fillId="0" borderId="0"/>
    <xf numFmtId="0" fontId="28" fillId="0" borderId="0"/>
    <xf numFmtId="0" fontId="19" fillId="0" borderId="0"/>
    <xf numFmtId="0" fontId="19" fillId="0" borderId="0"/>
    <xf numFmtId="0" fontId="19" fillId="0" borderId="0"/>
    <xf numFmtId="0" fontId="28" fillId="0" borderId="0"/>
    <xf numFmtId="0" fontId="19" fillId="0" borderId="0"/>
    <xf numFmtId="0" fontId="19" fillId="0" borderId="0"/>
    <xf numFmtId="0" fontId="19" fillId="0" borderId="0"/>
    <xf numFmtId="0" fontId="19" fillId="0" borderId="0"/>
    <xf numFmtId="0" fontId="19" fillId="0" borderId="0"/>
    <xf numFmtId="0" fontId="28" fillId="0" borderId="0"/>
    <xf numFmtId="0" fontId="19" fillId="0" borderId="0"/>
    <xf numFmtId="0" fontId="28" fillId="0" borderId="0"/>
    <xf numFmtId="0" fontId="19" fillId="0" borderId="0"/>
    <xf numFmtId="0" fontId="19" fillId="0" borderId="0"/>
    <xf numFmtId="0" fontId="19" fillId="0" borderId="0"/>
    <xf numFmtId="0" fontId="19" fillId="0" borderId="0"/>
    <xf numFmtId="0" fontId="19" fillId="0" borderId="0"/>
    <xf numFmtId="0" fontId="28" fillId="0" borderId="0"/>
    <xf numFmtId="0" fontId="19" fillId="0" borderId="0"/>
    <xf numFmtId="0" fontId="28" fillId="0" borderId="0"/>
    <xf numFmtId="0" fontId="19" fillId="0" borderId="0"/>
    <xf numFmtId="0" fontId="19" fillId="0" borderId="0"/>
    <xf numFmtId="0" fontId="19" fillId="0" borderId="0"/>
    <xf numFmtId="0" fontId="19" fillId="0" borderId="0"/>
    <xf numFmtId="0" fontId="6"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0"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20" fillId="0" borderId="0"/>
    <xf numFmtId="0" fontId="24" fillId="0" borderId="0"/>
    <xf numFmtId="0" fontId="11" fillId="0" borderId="0"/>
    <xf numFmtId="0" fontId="26"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11" fillId="0" borderId="0"/>
    <xf numFmtId="0" fontId="20" fillId="0" borderId="0"/>
    <xf numFmtId="0" fontId="19" fillId="0" borderId="0"/>
    <xf numFmtId="0" fontId="19" fillId="0" borderId="0"/>
    <xf numFmtId="0" fontId="11" fillId="0" borderId="0"/>
    <xf numFmtId="0" fontId="26"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9"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28" fillId="0" borderId="0"/>
    <xf numFmtId="0" fontId="19" fillId="0" borderId="0"/>
    <xf numFmtId="0" fontId="19" fillId="0" borderId="0"/>
    <xf numFmtId="0" fontId="25" fillId="0" borderId="0"/>
    <xf numFmtId="0" fontId="19" fillId="0" borderId="0"/>
    <xf numFmtId="0" fontId="19" fillId="0" borderId="0"/>
    <xf numFmtId="0" fontId="28" fillId="0" borderId="0"/>
    <xf numFmtId="0" fontId="19" fillId="0" borderId="0"/>
    <xf numFmtId="0" fontId="28" fillId="0" borderId="0"/>
    <xf numFmtId="0" fontId="19" fillId="0" borderId="0"/>
    <xf numFmtId="0" fontId="19" fillId="0" borderId="0"/>
    <xf numFmtId="0" fontId="19" fillId="0" borderId="0"/>
    <xf numFmtId="0" fontId="19" fillId="0" borderId="0"/>
    <xf numFmtId="0" fontId="28" fillId="0" borderId="0"/>
    <xf numFmtId="0" fontId="19" fillId="0" borderId="0"/>
    <xf numFmtId="0" fontId="19" fillId="0" borderId="0"/>
    <xf numFmtId="0" fontId="19" fillId="0" borderId="0"/>
    <xf numFmtId="0" fontId="19" fillId="0" borderId="0"/>
    <xf numFmtId="0" fontId="28" fillId="0" borderId="0"/>
    <xf numFmtId="0" fontId="19" fillId="0" borderId="0"/>
    <xf numFmtId="0" fontId="19" fillId="0" borderId="0"/>
    <xf numFmtId="0" fontId="19" fillId="0" borderId="0"/>
    <xf numFmtId="0" fontId="28"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0" borderId="0"/>
    <xf numFmtId="0" fontId="19" fillId="0" borderId="0"/>
    <xf numFmtId="0" fontId="2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0" borderId="0"/>
    <xf numFmtId="0" fontId="28" fillId="0" borderId="0"/>
    <xf numFmtId="0" fontId="19" fillId="0" borderId="0"/>
    <xf numFmtId="0" fontId="19" fillId="0" borderId="0"/>
    <xf numFmtId="0" fontId="19" fillId="0" borderId="0"/>
    <xf numFmtId="0" fontId="19" fillId="0" borderId="0"/>
    <xf numFmtId="0" fontId="33" fillId="0" borderId="0"/>
    <xf numFmtId="0" fontId="28" fillId="0" borderId="0"/>
    <xf numFmtId="0" fontId="19" fillId="0" borderId="0"/>
    <xf numFmtId="0" fontId="19" fillId="0" borderId="0"/>
    <xf numFmtId="0" fontId="33" fillId="0" borderId="0"/>
    <xf numFmtId="0" fontId="11" fillId="0" borderId="0"/>
    <xf numFmtId="0" fontId="11" fillId="0" borderId="0"/>
    <xf numFmtId="0" fontId="33" fillId="0" borderId="0"/>
    <xf numFmtId="0" fontId="19" fillId="0" borderId="0"/>
    <xf numFmtId="0" fontId="19" fillId="0" borderId="0"/>
    <xf numFmtId="0" fontId="19" fillId="0" borderId="0"/>
    <xf numFmtId="0" fontId="33" fillId="0" borderId="0"/>
    <xf numFmtId="0" fontId="33" fillId="0" borderId="0"/>
    <xf numFmtId="0" fontId="33" fillId="0" borderId="0"/>
    <xf numFmtId="0" fontId="19" fillId="0" borderId="0"/>
    <xf numFmtId="0" fontId="33" fillId="0" borderId="0"/>
    <xf numFmtId="0" fontId="19" fillId="0" borderId="0"/>
    <xf numFmtId="0" fontId="33" fillId="0" borderId="0"/>
    <xf numFmtId="0" fontId="33" fillId="0" borderId="0"/>
    <xf numFmtId="0" fontId="19" fillId="0" borderId="0"/>
    <xf numFmtId="0" fontId="33" fillId="0" borderId="0"/>
    <xf numFmtId="0" fontId="33" fillId="0" borderId="0"/>
    <xf numFmtId="0" fontId="33" fillId="0" borderId="0"/>
    <xf numFmtId="0" fontId="28" fillId="0" borderId="0"/>
    <xf numFmtId="0" fontId="19" fillId="0" borderId="0"/>
    <xf numFmtId="0" fontId="19"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19" fillId="0" borderId="0"/>
    <xf numFmtId="0" fontId="11" fillId="0" borderId="0"/>
    <xf numFmtId="0" fontId="11" fillId="0" borderId="0"/>
    <xf numFmtId="0" fontId="22" fillId="0" borderId="0"/>
    <xf numFmtId="0" fontId="21" fillId="0" borderId="0"/>
    <xf numFmtId="0" fontId="21" fillId="0" borderId="0"/>
    <xf numFmtId="0" fontId="29" fillId="0" borderId="0"/>
    <xf numFmtId="0" fontId="11" fillId="0" borderId="0"/>
    <xf numFmtId="0" fontId="11" fillId="0" borderId="0"/>
    <xf numFmtId="0" fontId="11" fillId="0" borderId="0"/>
    <xf numFmtId="0" fontId="11" fillId="0" borderId="0"/>
    <xf numFmtId="0" fontId="24" fillId="0" borderId="0"/>
    <xf numFmtId="0" fontId="11" fillId="0" borderId="0"/>
    <xf numFmtId="0" fontId="26"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6"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9" fillId="0" borderId="0"/>
    <xf numFmtId="0" fontId="11" fillId="0" borderId="0"/>
    <xf numFmtId="0" fontId="11" fillId="0" borderId="0"/>
    <xf numFmtId="0" fontId="11" fillId="0" borderId="0"/>
    <xf numFmtId="0" fontId="29" fillId="0" borderId="0"/>
    <xf numFmtId="0" fontId="11" fillId="0" borderId="0"/>
    <xf numFmtId="0" fontId="11" fillId="0" borderId="0"/>
    <xf numFmtId="0" fontId="11" fillId="0" borderId="0"/>
    <xf numFmtId="0" fontId="11" fillId="0" borderId="0"/>
    <xf numFmtId="0" fontId="29" fillId="0" borderId="0"/>
    <xf numFmtId="0" fontId="11" fillId="0" borderId="0"/>
    <xf numFmtId="0" fontId="11" fillId="0" borderId="0"/>
    <xf numFmtId="0" fontId="11" fillId="0" borderId="0"/>
    <xf numFmtId="0" fontId="11" fillId="0" borderId="0"/>
    <xf numFmtId="0" fontId="19" fillId="0" borderId="0"/>
    <xf numFmtId="0" fontId="29" fillId="0" borderId="0"/>
    <xf numFmtId="0" fontId="11" fillId="0" borderId="0"/>
    <xf numFmtId="0" fontId="11" fillId="0" borderId="0"/>
    <xf numFmtId="0" fontId="11" fillId="0" borderId="0"/>
    <xf numFmtId="0" fontId="11"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2" fillId="0" borderId="0"/>
    <xf numFmtId="0" fontId="21" fillId="0" borderId="0"/>
    <xf numFmtId="0" fontId="27" fillId="0" borderId="0"/>
    <xf numFmtId="0" fontId="21" fillId="0" borderId="0"/>
    <xf numFmtId="0" fontId="21" fillId="0" borderId="0"/>
    <xf numFmtId="0" fontId="30" fillId="0" borderId="0"/>
    <xf numFmtId="0" fontId="21" fillId="0" borderId="0"/>
    <xf numFmtId="0" fontId="30" fillId="0" borderId="0"/>
    <xf numFmtId="0" fontId="21" fillId="0" borderId="0"/>
    <xf numFmtId="0" fontId="21" fillId="0" borderId="0"/>
    <xf numFmtId="0" fontId="21" fillId="0" borderId="0"/>
    <xf numFmtId="0" fontId="21" fillId="0" borderId="0"/>
    <xf numFmtId="0" fontId="30" fillId="0" borderId="0"/>
    <xf numFmtId="0" fontId="21" fillId="0" borderId="0"/>
    <xf numFmtId="0" fontId="30" fillId="0" borderId="0"/>
    <xf numFmtId="0" fontId="21" fillId="0" borderId="0"/>
    <xf numFmtId="0" fontId="21" fillId="0" borderId="0"/>
    <xf numFmtId="0" fontId="21" fillId="0" borderId="0"/>
    <xf numFmtId="0" fontId="30" fillId="0" borderId="0"/>
    <xf numFmtId="0" fontId="21" fillId="0" borderId="0"/>
    <xf numFmtId="0" fontId="21" fillId="0" borderId="0"/>
    <xf numFmtId="0" fontId="21" fillId="0" borderId="0"/>
    <xf numFmtId="0" fontId="21" fillId="0" borderId="0"/>
    <xf numFmtId="0" fontId="21" fillId="0" borderId="0"/>
    <xf numFmtId="0" fontId="30" fillId="0" borderId="0"/>
    <xf numFmtId="0" fontId="21" fillId="0" borderId="0"/>
    <xf numFmtId="0" fontId="30" fillId="0" borderId="0"/>
    <xf numFmtId="0" fontId="21" fillId="0" borderId="0"/>
    <xf numFmtId="0" fontId="21" fillId="0" borderId="0"/>
    <xf numFmtId="0" fontId="21" fillId="0" borderId="0"/>
    <xf numFmtId="0" fontId="21"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30" fillId="0" borderId="0"/>
    <xf numFmtId="0" fontId="30" fillId="0" borderId="0"/>
    <xf numFmtId="0" fontId="21" fillId="0" borderId="0"/>
    <xf numFmtId="0" fontId="21" fillId="0" borderId="0"/>
    <xf numFmtId="0" fontId="21" fillId="0" borderId="0"/>
    <xf numFmtId="0" fontId="21" fillId="0" borderId="0"/>
    <xf numFmtId="0" fontId="33" fillId="0" borderId="0"/>
    <xf numFmtId="0" fontId="30" fillId="0" borderId="0"/>
    <xf numFmtId="0" fontId="21" fillId="0" borderId="0"/>
    <xf numFmtId="0" fontId="33" fillId="0" borderId="0"/>
    <xf numFmtId="0" fontId="21" fillId="0" borderId="0"/>
    <xf numFmtId="0" fontId="33" fillId="0" borderId="0"/>
    <xf numFmtId="0" fontId="21" fillId="0" borderId="0"/>
    <xf numFmtId="0" fontId="21" fillId="0" borderId="0"/>
    <xf numFmtId="0" fontId="21" fillId="0" borderId="0"/>
    <xf numFmtId="0" fontId="21" fillId="0" borderId="0"/>
    <xf numFmtId="0" fontId="21" fillId="0" borderId="0"/>
    <xf numFmtId="0" fontId="33" fillId="0" borderId="0"/>
    <xf numFmtId="0" fontId="33" fillId="0" borderId="0"/>
    <xf numFmtId="0" fontId="33" fillId="0" borderId="0"/>
    <xf numFmtId="0" fontId="21" fillId="0" borderId="0"/>
    <xf numFmtId="0" fontId="33" fillId="0" borderId="0"/>
    <xf numFmtId="0" fontId="33" fillId="0" borderId="0"/>
    <xf numFmtId="0" fontId="21" fillId="0" borderId="0"/>
    <xf numFmtId="0" fontId="33" fillId="0" borderId="0"/>
    <xf numFmtId="0" fontId="33" fillId="0" borderId="0"/>
    <xf numFmtId="0" fontId="33" fillId="0" borderId="0"/>
    <xf numFmtId="0" fontId="30" fillId="0" borderId="0"/>
    <xf numFmtId="0" fontId="21" fillId="0" borderId="0"/>
    <xf numFmtId="0" fontId="21"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0" fontId="34" fillId="0" borderId="0"/>
    <xf numFmtId="0" fontId="34" fillId="0" borderId="0"/>
    <xf numFmtId="0" fontId="33" fillId="0" borderId="0"/>
    <xf numFmtId="0" fontId="33" fillId="0" borderId="0"/>
    <xf numFmtId="0" fontId="33" fillId="0" borderId="0"/>
    <xf numFmtId="0" fontId="33" fillId="0" borderId="0"/>
    <xf numFmtId="0" fontId="33" fillId="0" borderId="0"/>
    <xf numFmtId="0" fontId="34" fillId="0" borderId="0"/>
    <xf numFmtId="3" fontId="6" fillId="0" borderId="0"/>
    <xf numFmtId="0" fontId="11" fillId="5" borderId="7" applyNumberFormat="0" applyFont="0" applyAlignment="0" applyProtection="0"/>
    <xf numFmtId="0" fontId="11" fillId="5" borderId="7" applyNumberFormat="0" applyFont="0" applyAlignment="0" applyProtection="0"/>
    <xf numFmtId="0" fontId="29" fillId="5" borderId="7" applyNumberFormat="0" applyFont="0" applyAlignment="0" applyProtection="0"/>
    <xf numFmtId="0" fontId="11" fillId="5" borderId="7" applyNumberFormat="0" applyFont="0" applyAlignment="0" applyProtection="0"/>
    <xf numFmtId="0" fontId="11" fillId="5" borderId="7" applyNumberFormat="0" applyFont="0" applyAlignment="0" applyProtection="0"/>
    <xf numFmtId="0" fontId="10" fillId="15" borderId="8" applyNumberFormat="0" applyAlignment="0" applyProtection="0"/>
    <xf numFmtId="0" fontId="10" fillId="15" borderId="8" applyNumberFormat="0" applyAlignment="0" applyProtection="0"/>
    <xf numFmtId="9" fontId="22" fillId="0" borderId="0" applyFont="0" applyFill="0" applyBorder="0" applyAlignment="0" applyProtection="0"/>
    <xf numFmtId="9" fontId="21" fillId="0" borderId="0" applyFont="0" applyFill="0" applyBorder="0" applyAlignment="0" applyProtection="0"/>
    <xf numFmtId="9" fontId="34" fillId="0" borderId="0" applyFont="0" applyFill="0" applyBorder="0" applyAlignment="0" applyProtection="0"/>
    <xf numFmtId="9" fontId="33" fillId="0" borderId="0" applyFont="0" applyFill="0" applyBorder="0" applyAlignment="0" applyProtection="0"/>
    <xf numFmtId="0" fontId="12" fillId="0" borderId="0" applyNumberFormat="0" applyFill="0" applyBorder="0" applyAlignment="0" applyProtection="0"/>
    <xf numFmtId="0" fontId="38" fillId="20" borderId="0" applyFont="0" applyBorder="0" applyAlignment="0">
      <alignment horizontal="center" wrapText="1"/>
    </xf>
    <xf numFmtId="0" fontId="38" fillId="20" borderId="0" applyFont="0" applyBorder="0" applyAlignment="0">
      <alignment horizontal="center" wrapText="1"/>
    </xf>
    <xf numFmtId="0" fontId="32" fillId="20" borderId="0" applyFont="0" applyBorder="0" applyAlignment="0">
      <alignment horizontal="center" wrapText="1"/>
    </xf>
    <xf numFmtId="0" fontId="3" fillId="0" borderId="9" applyNumberFormat="0" applyFill="0" applyAlignment="0" applyProtection="0"/>
    <xf numFmtId="0" fontId="3" fillId="0" borderId="9" applyNumberFormat="0" applyFill="0" applyAlignment="0" applyProtection="0"/>
    <xf numFmtId="0" fontId="2" fillId="0" borderId="0" applyNumberFormat="0" applyFill="0" applyBorder="0" applyAlignment="0" applyProtection="0"/>
    <xf numFmtId="0" fontId="2" fillId="0" borderId="0" applyNumberForma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32" fillId="20" borderId="0" applyFont="0" applyBorder="0" applyAlignment="0">
      <alignment horizontal="center" wrapText="1"/>
    </xf>
    <xf numFmtId="0" fontId="32" fillId="20" borderId="0" applyFont="0" applyBorder="0" applyAlignment="0">
      <alignment horizontal="center" wrapText="1"/>
    </xf>
    <xf numFmtId="0" fontId="32" fillId="20" borderId="0" applyFont="0" applyBorder="0" applyAlignment="0">
      <alignment horizontal="center" wrapText="1"/>
    </xf>
    <xf numFmtId="0" fontId="32" fillId="20" borderId="0" applyFont="0" applyBorder="0" applyAlignment="0">
      <alignment horizontal="center" wrapText="1"/>
    </xf>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21"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67" fillId="0" borderId="0"/>
    <xf numFmtId="0" fontId="68" fillId="0" borderId="0"/>
    <xf numFmtId="0" fontId="68" fillId="0" borderId="0"/>
    <xf numFmtId="0" fontId="67" fillId="0" borderId="0"/>
    <xf numFmtId="0" fontId="68" fillId="0" borderId="0"/>
    <xf numFmtId="0" fontId="68" fillId="0" borderId="0"/>
    <xf numFmtId="0" fontId="69" fillId="0" borderId="0"/>
    <xf numFmtId="0" fontId="68" fillId="5" borderId="7" applyNumberFormat="0" applyFont="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7"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8" fillId="0" borderId="0"/>
    <xf numFmtId="0" fontId="69"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43" fontId="34"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19" fillId="0" borderId="0"/>
    <xf numFmtId="0" fontId="19" fillId="0" borderId="0"/>
    <xf numFmtId="0" fontId="19" fillId="0" borderId="0"/>
    <xf numFmtId="0" fontId="19"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3" fillId="0" borderId="0"/>
    <xf numFmtId="0" fontId="21" fillId="0" borderId="0"/>
    <xf numFmtId="0" fontId="21" fillId="0" borderId="0"/>
    <xf numFmtId="0" fontId="21"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5" borderId="7" applyNumberFormat="0" applyFont="0" applyAlignment="0" applyProtection="0"/>
    <xf numFmtId="0" fontId="11" fillId="5" borderId="7" applyNumberFormat="0" applyFont="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9" fillId="0" borderId="0"/>
    <xf numFmtId="44" fontId="1" fillId="0" borderId="0" applyFont="0" applyFill="0" applyBorder="0" applyAlignment="0" applyProtection="0"/>
    <xf numFmtId="44"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1" fillId="0" borderId="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21"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8" fillId="0" borderId="0"/>
    <xf numFmtId="0" fontId="67" fillId="0" borderId="0"/>
    <xf numFmtId="0" fontId="67"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8" fillId="5" borderId="7" applyNumberFormat="0" applyFont="0" applyAlignment="0" applyProtection="0"/>
    <xf numFmtId="44" fontId="33" fillId="0" borderId="0" applyFont="0" applyFill="0" applyBorder="0" applyAlignment="0" applyProtection="0"/>
    <xf numFmtId="44" fontId="33" fillId="0" borderId="0" applyFont="0" applyFill="0" applyBorder="0" applyAlignment="0" applyProtection="0"/>
    <xf numFmtId="0" fontId="11" fillId="0" borderId="0"/>
    <xf numFmtId="0" fontId="67" fillId="0" borderId="0"/>
    <xf numFmtId="43" fontId="33" fillId="0" borderId="0" applyFont="0" applyFill="0" applyBorder="0" applyAlignment="0" applyProtection="0"/>
    <xf numFmtId="44" fontId="33" fillId="0" borderId="0" applyFont="0" applyFill="0" applyBorder="0" applyAlignment="0" applyProtection="0"/>
    <xf numFmtId="0" fontId="11" fillId="0" borderId="0"/>
    <xf numFmtId="43" fontId="33" fillId="0" borderId="0" applyFont="0" applyFill="0" applyBorder="0" applyAlignment="0" applyProtection="0"/>
    <xf numFmtId="0" fontId="19" fillId="0" borderId="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0" fontId="19" fillId="0" borderId="0"/>
    <xf numFmtId="0" fontId="19" fillId="0" borderId="0"/>
    <xf numFmtId="0" fontId="11"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19" fillId="0" borderId="0"/>
    <xf numFmtId="0" fontId="33" fillId="0" borderId="0"/>
    <xf numFmtId="0" fontId="33" fillId="0" borderId="0"/>
    <xf numFmtId="43"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19"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67" fillId="0" borderId="0"/>
    <xf numFmtId="0" fontId="67" fillId="0" borderId="0"/>
    <xf numFmtId="0" fontId="67" fillId="0" borderId="0"/>
    <xf numFmtId="0" fontId="67" fillId="0" borderId="0"/>
    <xf numFmtId="0" fontId="67" fillId="0" borderId="0"/>
    <xf numFmtId="0" fontId="11" fillId="0" borderId="0"/>
    <xf numFmtId="0" fontId="67" fillId="0" borderId="0"/>
    <xf numFmtId="0" fontId="67"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33" fillId="0" borderId="0"/>
    <xf numFmtId="0" fontId="33" fillId="0" borderId="0"/>
    <xf numFmtId="0" fontId="21" fillId="0" borderId="0"/>
    <xf numFmtId="0" fontId="33" fillId="0" borderId="0"/>
    <xf numFmtId="0" fontId="33" fillId="0" borderId="0"/>
    <xf numFmtId="0" fontId="33" fillId="0" borderId="0"/>
    <xf numFmtId="0" fontId="67" fillId="0" borderId="0"/>
    <xf numFmtId="0" fontId="33" fillId="0" borderId="0"/>
    <xf numFmtId="0" fontId="33" fillId="0" borderId="0"/>
    <xf numFmtId="0" fontId="33" fillId="0" borderId="0"/>
    <xf numFmtId="0" fontId="33" fillId="0" borderId="0"/>
    <xf numFmtId="0" fontId="33"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7"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33" fillId="0" borderId="0"/>
    <xf numFmtId="0" fontId="33" fillId="0" borderId="0"/>
    <xf numFmtId="0" fontId="33" fillId="0" borderId="0"/>
    <xf numFmtId="0" fontId="33" fillId="0" borderId="0"/>
    <xf numFmtId="0" fontId="33" fillId="0" borderId="0"/>
    <xf numFmtId="0" fontId="11" fillId="0" borderId="0"/>
    <xf numFmtId="0" fontId="69" fillId="0" borderId="0"/>
    <xf numFmtId="0" fontId="69" fillId="0" borderId="0"/>
    <xf numFmtId="0" fontId="69" fillId="0" borderId="0"/>
    <xf numFmtId="0" fontId="69" fillId="0" borderId="0"/>
    <xf numFmtId="0" fontId="6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69" fillId="0" borderId="0"/>
    <xf numFmtId="0" fontId="69" fillId="0" borderId="0"/>
    <xf numFmtId="0" fontId="33" fillId="0" borderId="0"/>
    <xf numFmtId="0" fontId="33" fillId="0" borderId="0"/>
    <xf numFmtId="0" fontId="33" fillId="0" borderId="0"/>
    <xf numFmtId="0" fontId="33" fillId="0" borderId="0"/>
    <xf numFmtId="0" fontId="6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0" fontId="33" fillId="0" borderId="0"/>
    <xf numFmtId="0" fontId="21" fillId="0" borderId="0"/>
    <xf numFmtId="0" fontId="68"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69"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11" fillId="0" borderId="0"/>
    <xf numFmtId="0" fontId="68" fillId="0" borderId="0"/>
    <xf numFmtId="0" fontId="11" fillId="0" borderId="0"/>
    <xf numFmtId="0" fontId="11" fillId="0" borderId="0"/>
    <xf numFmtId="0" fontId="11"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11" fillId="0" borderId="0"/>
    <xf numFmtId="0" fontId="21" fillId="0" borderId="0"/>
    <xf numFmtId="0" fontId="11" fillId="0" borderId="0"/>
    <xf numFmtId="0" fontId="11" fillId="0" borderId="0"/>
    <xf numFmtId="44" fontId="33" fillId="0" borderId="0" applyFont="0" applyFill="0" applyBorder="0" applyAlignment="0" applyProtection="0"/>
    <xf numFmtId="0" fontId="21" fillId="0" borderId="0"/>
    <xf numFmtId="0" fontId="11" fillId="0" borderId="0"/>
    <xf numFmtId="0" fontId="11" fillId="0" borderId="0"/>
    <xf numFmtId="0" fontId="19" fillId="0" borderId="0"/>
    <xf numFmtId="0" fontId="11" fillId="0" borderId="0"/>
    <xf numFmtId="43" fontId="33" fillId="0" borderId="0" applyFont="0" applyFill="0" applyBorder="0" applyAlignment="0" applyProtection="0"/>
    <xf numFmtId="0" fontId="19" fillId="0" borderId="0"/>
    <xf numFmtId="0" fontId="11" fillId="0" borderId="0"/>
    <xf numFmtId="43" fontId="33" fillId="0" borderId="0" applyFont="0" applyFill="0" applyBorder="0" applyAlignment="0" applyProtection="0"/>
    <xf numFmtId="0" fontId="11" fillId="0" borderId="0"/>
    <xf numFmtId="0" fontId="19" fillId="0" borderId="0"/>
    <xf numFmtId="0" fontId="19" fillId="0" borderId="0"/>
    <xf numFmtId="43" fontId="33" fillId="0" borderId="0" applyFont="0" applyFill="0" applyBorder="0" applyAlignment="0" applyProtection="0"/>
    <xf numFmtId="0" fontId="19"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69" fillId="0" borderId="0"/>
    <xf numFmtId="0" fontId="11" fillId="0" borderId="0"/>
    <xf numFmtId="0" fontId="11" fillId="0" borderId="0"/>
    <xf numFmtId="43" fontId="33" fillId="0" borderId="0" applyFont="0" applyFill="0" applyBorder="0" applyAlignment="0" applyProtection="0"/>
    <xf numFmtId="43" fontId="33" fillId="0" borderId="0" applyFont="0" applyFill="0" applyBorder="0" applyAlignment="0" applyProtection="0"/>
    <xf numFmtId="0" fontId="21" fillId="0" borderId="0"/>
    <xf numFmtId="43" fontId="33" fillId="0" borderId="0" applyFont="0" applyFill="0" applyBorder="0" applyAlignment="0" applyProtection="0"/>
    <xf numFmtId="0" fontId="11" fillId="0" borderId="0"/>
    <xf numFmtId="0" fontId="19" fillId="0" borderId="0"/>
    <xf numFmtId="0" fontId="19" fillId="0" borderId="0"/>
    <xf numFmtId="0" fontId="11" fillId="0" borderId="0"/>
    <xf numFmtId="0" fontId="21" fillId="0" borderId="0"/>
    <xf numFmtId="0" fontId="19" fillId="0" borderId="0"/>
    <xf numFmtId="0" fontId="19" fillId="0" borderId="0"/>
    <xf numFmtId="0" fontId="11" fillId="0" borderId="0"/>
    <xf numFmtId="44" fontId="33" fillId="0" borderId="0" applyFont="0" applyFill="0" applyBorder="0" applyAlignment="0" applyProtection="0"/>
    <xf numFmtId="44" fontId="33" fillId="0" borderId="0" applyFont="0" applyFill="0" applyBorder="0" applyAlignment="0" applyProtection="0"/>
    <xf numFmtId="43" fontId="34" fillId="0" borderId="0" applyFont="0" applyFill="0" applyBorder="0" applyAlignment="0" applyProtection="0"/>
    <xf numFmtId="0" fontId="21" fillId="0" borderId="0"/>
    <xf numFmtId="43" fontId="33" fillId="0" borderId="0" applyFont="0" applyFill="0" applyBorder="0" applyAlignment="0" applyProtection="0"/>
    <xf numFmtId="43" fontId="33" fillId="0" borderId="0" applyFont="0" applyFill="0" applyBorder="0" applyAlignment="0" applyProtection="0"/>
    <xf numFmtId="0" fontId="11" fillId="0" borderId="0"/>
    <xf numFmtId="0" fontId="11" fillId="0" borderId="0"/>
    <xf numFmtId="0" fontId="21" fillId="0" borderId="0"/>
    <xf numFmtId="43" fontId="33" fillId="0" borderId="0" applyFont="0" applyFill="0" applyBorder="0" applyAlignment="0" applyProtection="0"/>
    <xf numFmtId="44" fontId="33" fillId="0" borderId="0" applyFont="0" applyFill="0" applyBorder="0" applyAlignment="0" applyProtection="0"/>
    <xf numFmtId="0" fontId="11" fillId="0" borderId="0"/>
    <xf numFmtId="0" fontId="68" fillId="0" borderId="0"/>
    <xf numFmtId="0" fontId="19" fillId="0" borderId="0"/>
    <xf numFmtId="44" fontId="33" fillId="0" borderId="0" applyFont="0" applyFill="0" applyBorder="0" applyAlignment="0" applyProtection="0"/>
    <xf numFmtId="9" fontId="33" fillId="0" borderId="0" applyFont="0" applyFill="0" applyBorder="0" applyAlignment="0" applyProtection="0"/>
    <xf numFmtId="0" fontId="19" fillId="0" borderId="0"/>
    <xf numFmtId="0" fontId="21" fillId="0" borderId="0"/>
    <xf numFmtId="0" fontId="11" fillId="0" borderId="0"/>
    <xf numFmtId="0" fontId="11" fillId="0" borderId="0"/>
    <xf numFmtId="0" fontId="2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1" fillId="0" borderId="0"/>
    <xf numFmtId="0" fontId="19" fillId="0" borderId="0"/>
    <xf numFmtId="0" fontId="11" fillId="0" borderId="0"/>
    <xf numFmtId="0" fontId="19" fillId="0" borderId="0"/>
    <xf numFmtId="0" fontId="11" fillId="0" borderId="0"/>
    <xf numFmtId="0" fontId="11" fillId="0" borderId="0"/>
    <xf numFmtId="0" fontId="21"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9" fillId="0" borderId="0"/>
    <xf numFmtId="0" fontId="11" fillId="0" borderId="0"/>
    <xf numFmtId="0" fontId="11" fillId="0" borderId="0"/>
    <xf numFmtId="0" fontId="11" fillId="0" borderId="0"/>
    <xf numFmtId="0" fontId="19" fillId="0" borderId="0"/>
    <xf numFmtId="0" fontId="11" fillId="0" borderId="0"/>
    <xf numFmtId="0" fontId="19" fillId="0" borderId="0"/>
    <xf numFmtId="0" fontId="11" fillId="0" borderId="0"/>
    <xf numFmtId="0" fontId="19" fillId="0" borderId="0"/>
    <xf numFmtId="0" fontId="21" fillId="0" borderId="0"/>
    <xf numFmtId="0" fontId="11" fillId="0" borderId="0"/>
    <xf numFmtId="0" fontId="19" fillId="0" borderId="0"/>
    <xf numFmtId="0" fontId="2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1" fillId="0" borderId="0"/>
    <xf numFmtId="0" fontId="21" fillId="0" borderId="0"/>
    <xf numFmtId="0" fontId="19" fillId="0" borderId="0"/>
    <xf numFmtId="0" fontId="11" fillId="0" borderId="0"/>
    <xf numFmtId="0" fontId="11" fillId="0" borderId="0"/>
    <xf numFmtId="0" fontId="21" fillId="0" borderId="0"/>
    <xf numFmtId="0" fontId="19" fillId="0" borderId="0"/>
    <xf numFmtId="0" fontId="11" fillId="0" borderId="0"/>
    <xf numFmtId="0" fontId="11" fillId="0" borderId="0"/>
    <xf numFmtId="0" fontId="19" fillId="0" borderId="0"/>
    <xf numFmtId="0" fontId="21" fillId="0" borderId="0"/>
    <xf numFmtId="0" fontId="11" fillId="0" borderId="0"/>
    <xf numFmtId="0" fontId="19" fillId="0" borderId="0"/>
    <xf numFmtId="0" fontId="21" fillId="0" borderId="0"/>
    <xf numFmtId="0" fontId="11" fillId="0" borderId="0"/>
    <xf numFmtId="0" fontId="11" fillId="0" borderId="0"/>
    <xf numFmtId="0" fontId="11" fillId="0" borderId="0"/>
    <xf numFmtId="0" fontId="19" fillId="0" borderId="0"/>
    <xf numFmtId="0" fontId="21" fillId="0" borderId="0"/>
    <xf numFmtId="0" fontId="21" fillId="0" borderId="0"/>
    <xf numFmtId="0" fontId="11" fillId="0" borderId="0"/>
    <xf numFmtId="0" fontId="11" fillId="0" borderId="0"/>
    <xf numFmtId="0" fontId="19" fillId="0" borderId="0"/>
    <xf numFmtId="0" fontId="11" fillId="0" borderId="0"/>
    <xf numFmtId="0" fontId="19" fillId="0" borderId="0"/>
    <xf numFmtId="0" fontId="11" fillId="0" borderId="0"/>
    <xf numFmtId="0" fontId="19" fillId="0" borderId="0"/>
    <xf numFmtId="0" fontId="11" fillId="0" borderId="0"/>
    <xf numFmtId="0" fontId="19" fillId="0" borderId="0"/>
    <xf numFmtId="0" fontId="19" fillId="0" borderId="0"/>
    <xf numFmtId="0" fontId="11" fillId="0" borderId="0"/>
    <xf numFmtId="0" fontId="11" fillId="0" borderId="0"/>
    <xf numFmtId="0" fontId="11" fillId="0" borderId="0"/>
    <xf numFmtId="0" fontId="21" fillId="0" borderId="0"/>
    <xf numFmtId="0" fontId="21" fillId="0" borderId="0"/>
    <xf numFmtId="0" fontId="11" fillId="0" borderId="0"/>
    <xf numFmtId="0" fontId="19" fillId="0" borderId="0"/>
    <xf numFmtId="0" fontId="19" fillId="0" borderId="0"/>
    <xf numFmtId="0" fontId="11" fillId="0" borderId="0"/>
    <xf numFmtId="0" fontId="11" fillId="0" borderId="0"/>
    <xf numFmtId="0" fontId="11" fillId="0" borderId="0"/>
    <xf numFmtId="0" fontId="19" fillId="0" borderId="0"/>
    <xf numFmtId="0" fontId="19" fillId="0" borderId="0"/>
    <xf numFmtId="0" fontId="21" fillId="0" borderId="0"/>
    <xf numFmtId="0" fontId="11" fillId="5" borderId="7" applyNumberFormat="0" applyFont="0" applyAlignment="0" applyProtection="0"/>
    <xf numFmtId="0" fontId="11" fillId="0" borderId="0"/>
    <xf numFmtId="0" fontId="11" fillId="0" borderId="0"/>
    <xf numFmtId="0" fontId="11" fillId="0" borderId="0"/>
    <xf numFmtId="0" fontId="11" fillId="0" borderId="0"/>
    <xf numFmtId="0" fontId="21" fillId="0" borderId="0"/>
    <xf numFmtId="0" fontId="21" fillId="0" borderId="0"/>
    <xf numFmtId="0" fontId="11" fillId="0" borderId="0"/>
    <xf numFmtId="0" fontId="11" fillId="0" borderId="0"/>
    <xf numFmtId="0" fontId="21" fillId="0" borderId="0"/>
    <xf numFmtId="0" fontId="19" fillId="0" borderId="0"/>
    <xf numFmtId="0" fontId="11" fillId="5" borderId="7" applyNumberFormat="0" applyFont="0" applyAlignment="0" applyProtection="0"/>
    <xf numFmtId="0" fontId="11" fillId="0" borderId="0"/>
    <xf numFmtId="0" fontId="19" fillId="0" borderId="0"/>
    <xf numFmtId="0" fontId="11" fillId="0" borderId="0"/>
    <xf numFmtId="0" fontId="19" fillId="0" borderId="0"/>
    <xf numFmtId="0" fontId="19" fillId="0" borderId="0"/>
    <xf numFmtId="0" fontId="19" fillId="0" borderId="0"/>
    <xf numFmtId="0" fontId="11" fillId="0" borderId="0"/>
    <xf numFmtId="0" fontId="11" fillId="0" borderId="0"/>
    <xf numFmtId="0" fontId="19" fillId="0" borderId="0"/>
    <xf numFmtId="0" fontId="11" fillId="0" borderId="0"/>
    <xf numFmtId="0" fontId="21" fillId="0" borderId="0"/>
    <xf numFmtId="0" fontId="19" fillId="0" borderId="0"/>
    <xf numFmtId="0" fontId="11" fillId="0" borderId="0"/>
    <xf numFmtId="0" fontId="11" fillId="0" borderId="0"/>
    <xf numFmtId="0" fontId="19" fillId="0" borderId="0"/>
    <xf numFmtId="0" fontId="19" fillId="0" borderId="0"/>
    <xf numFmtId="0" fontId="21" fillId="0" borderId="0"/>
    <xf numFmtId="0" fontId="19" fillId="0" borderId="0"/>
    <xf numFmtId="0" fontId="21" fillId="0" borderId="0"/>
    <xf numFmtId="0" fontId="11" fillId="0" borderId="0"/>
    <xf numFmtId="0" fontId="11" fillId="0" borderId="0"/>
    <xf numFmtId="0" fontId="21" fillId="0" borderId="0"/>
    <xf numFmtId="0" fontId="19" fillId="0" borderId="0"/>
    <xf numFmtId="0" fontId="11" fillId="0" borderId="0"/>
    <xf numFmtId="0" fontId="73" fillId="0" borderId="47" applyNumberFormat="0" applyFill="0" applyAlignment="0" applyProtection="0"/>
    <xf numFmtId="0" fontId="74" fillId="0" borderId="48" applyNumberFormat="0" applyFill="0" applyAlignment="0" applyProtection="0"/>
    <xf numFmtId="0" fontId="75" fillId="0" borderId="49" applyNumberFormat="0" applyFill="0" applyAlignment="0" applyProtection="0"/>
    <xf numFmtId="0" fontId="75" fillId="0" borderId="0" applyNumberFormat="0" applyFill="0" applyBorder="0" applyAlignment="0" applyProtection="0"/>
    <xf numFmtId="0" fontId="76" fillId="37" borderId="0" applyNumberFormat="0" applyBorder="0" applyAlignment="0" applyProtection="0"/>
    <xf numFmtId="0" fontId="77" fillId="38" borderId="0" applyNumberFormat="0" applyBorder="0" applyAlignment="0" applyProtection="0"/>
    <xf numFmtId="0" fontId="78" fillId="40" borderId="50" applyNumberFormat="0" applyAlignment="0" applyProtection="0"/>
    <xf numFmtId="0" fontId="79" fillId="41" borderId="51" applyNumberFormat="0" applyAlignment="0" applyProtection="0"/>
    <xf numFmtId="0" fontId="80" fillId="41" borderId="50" applyNumberFormat="0" applyAlignment="0" applyProtection="0"/>
    <xf numFmtId="0" fontId="81" fillId="0" borderId="52" applyNumberFormat="0" applyFill="0" applyAlignment="0" applyProtection="0"/>
    <xf numFmtId="0" fontId="82" fillId="42" borderId="53" applyNumberFormat="0" applyAlignment="0" applyProtection="0"/>
    <xf numFmtId="0" fontId="70" fillId="0" borderId="0" applyNumberFormat="0" applyFill="0" applyBorder="0" applyAlignment="0" applyProtection="0"/>
    <xf numFmtId="0" fontId="39" fillId="0" borderId="55" applyNumberFormat="0" applyFill="0" applyAlignment="0" applyProtection="0"/>
    <xf numFmtId="0" fontId="83" fillId="44" borderId="0" applyNumberFormat="0" applyBorder="0" applyAlignment="0" applyProtection="0"/>
    <xf numFmtId="0" fontId="83" fillId="45" borderId="0" applyNumberFormat="0" applyBorder="0" applyAlignment="0" applyProtection="0"/>
    <xf numFmtId="0" fontId="83" fillId="46" borderId="0" applyNumberFormat="0" applyBorder="0" applyAlignment="0" applyProtection="0"/>
    <xf numFmtId="0" fontId="83" fillId="47" borderId="0" applyNumberFormat="0" applyBorder="0" applyAlignment="0" applyProtection="0"/>
    <xf numFmtId="0" fontId="83" fillId="48" borderId="0" applyNumberFormat="0" applyBorder="0" applyAlignment="0" applyProtection="0"/>
    <xf numFmtId="0" fontId="83" fillId="49" borderId="0" applyNumberFormat="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19"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0" fontId="33" fillId="0" borderId="0"/>
    <xf numFmtId="0" fontId="21"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43" fontId="3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9"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9"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92" fillId="39" borderId="0" applyNumberFormat="0" applyBorder="0" applyAlignment="0" applyProtection="0"/>
    <xf numFmtId="0" fontId="33" fillId="43" borderId="54" applyNumberFormat="0" applyFont="0" applyAlignment="0" applyProtection="0"/>
    <xf numFmtId="40" fontId="85" fillId="0" borderId="17">
      <alignment horizontal="right"/>
    </xf>
    <xf numFmtId="0" fontId="86" fillId="0" borderId="0">
      <alignment horizontal="left"/>
    </xf>
    <xf numFmtId="49" fontId="11" fillId="0" borderId="0"/>
    <xf numFmtId="0" fontId="86" fillId="0" borderId="0">
      <alignment horizontal="left"/>
    </xf>
    <xf numFmtId="177" fontId="85" fillId="0" borderId="17">
      <alignment horizontal="right"/>
    </xf>
    <xf numFmtId="49" fontId="85" fillId="0" borderId="0">
      <alignment horizontal="right"/>
    </xf>
    <xf numFmtId="40" fontId="11" fillId="0" borderId="0">
      <alignment horizontal="right"/>
    </xf>
    <xf numFmtId="49" fontId="11" fillId="0" borderId="0">
      <alignment horizontal="left"/>
    </xf>
    <xf numFmtId="40" fontId="11" fillId="0" borderId="0"/>
    <xf numFmtId="49" fontId="11" fillId="0" borderId="0">
      <alignment horizontal="left"/>
    </xf>
    <xf numFmtId="177" fontId="11" fillId="0" borderId="0">
      <alignment horizontal="right"/>
    </xf>
    <xf numFmtId="49" fontId="11" fillId="0" borderId="0"/>
    <xf numFmtId="49" fontId="84" fillId="50" borderId="0">
      <alignment horizontal="right" vertical="center"/>
    </xf>
    <xf numFmtId="49" fontId="84" fillId="50" borderId="0">
      <alignment horizontal="left" vertical="center"/>
    </xf>
    <xf numFmtId="49" fontId="84" fillId="50" borderId="0">
      <alignment horizontal="center" vertical="center"/>
    </xf>
    <xf numFmtId="49" fontId="84" fillId="50" borderId="0">
      <alignment horizontal="center" vertical="center"/>
    </xf>
    <xf numFmtId="49" fontId="84" fillId="50" borderId="0">
      <alignment horizontal="right" vertical="center"/>
    </xf>
    <xf numFmtId="40" fontId="84" fillId="50" borderId="0">
      <alignment horizontal="right"/>
    </xf>
    <xf numFmtId="49" fontId="84" fillId="50" borderId="0">
      <alignment horizontal="center" vertical="center"/>
    </xf>
    <xf numFmtId="40" fontId="11" fillId="0" borderId="0"/>
    <xf numFmtId="0" fontId="11" fillId="0" borderId="0">
      <alignment horizontal="left"/>
    </xf>
    <xf numFmtId="49" fontId="11" fillId="0" borderId="0"/>
    <xf numFmtId="49" fontId="11" fillId="0" borderId="0">
      <alignment horizontal="center" vertical="center"/>
    </xf>
    <xf numFmtId="177" fontId="11" fillId="0" borderId="0">
      <alignment horizontal="right"/>
    </xf>
    <xf numFmtId="49" fontId="11" fillId="0" borderId="0"/>
    <xf numFmtId="49" fontId="84" fillId="50" borderId="0">
      <alignment horizontal="center" vertical="center"/>
    </xf>
    <xf numFmtId="49" fontId="84" fillId="50" borderId="0">
      <alignment horizontal="center" vertical="center"/>
    </xf>
    <xf numFmtId="177" fontId="84" fillId="50" borderId="0">
      <alignment horizontal="center" vertical="center"/>
    </xf>
    <xf numFmtId="49" fontId="84" fillId="50" borderId="0">
      <alignment horizontal="right"/>
    </xf>
    <xf numFmtId="40" fontId="85" fillId="0" borderId="19">
      <alignment horizontal="right"/>
    </xf>
    <xf numFmtId="0" fontId="86" fillId="0" borderId="0">
      <alignment horizontal="left"/>
    </xf>
    <xf numFmtId="49" fontId="11" fillId="0" borderId="0"/>
    <xf numFmtId="0" fontId="86" fillId="0" borderId="0">
      <alignment horizontal="left"/>
    </xf>
    <xf numFmtId="177" fontId="85" fillId="0" borderId="19">
      <alignment horizontal="right"/>
    </xf>
    <xf numFmtId="49" fontId="85" fillId="0" borderId="0">
      <alignment horizontal="right"/>
    </xf>
    <xf numFmtId="49" fontId="11" fillId="0" borderId="0"/>
    <xf numFmtId="49" fontId="11" fillId="0" borderId="0"/>
    <xf numFmtId="40" fontId="85" fillId="0" borderId="14">
      <alignment horizontal="right"/>
    </xf>
    <xf numFmtId="49" fontId="85" fillId="0" borderId="0">
      <alignment horizontal="left"/>
    </xf>
    <xf numFmtId="49" fontId="11" fillId="0" borderId="0"/>
    <xf numFmtId="49" fontId="85" fillId="0" borderId="0">
      <alignment horizontal="left"/>
    </xf>
    <xf numFmtId="177" fontId="85" fillId="0" borderId="14">
      <alignment horizontal="right"/>
    </xf>
    <xf numFmtId="49" fontId="85" fillId="0" borderId="0">
      <alignment horizontal="right"/>
    </xf>
    <xf numFmtId="49" fontId="84" fillId="50" borderId="0">
      <alignment horizontal="center" vertical="center"/>
    </xf>
    <xf numFmtId="49" fontId="84" fillId="50" borderId="0">
      <alignment horizontal="center" vertical="center"/>
    </xf>
    <xf numFmtId="49" fontId="84" fillId="50" borderId="0">
      <alignment horizontal="center" vertical="center"/>
    </xf>
    <xf numFmtId="49" fontId="84" fillId="50" borderId="0">
      <alignment horizontal="center" vertical="center"/>
    </xf>
    <xf numFmtId="49" fontId="84" fillId="50" borderId="0">
      <alignment horizontal="center" vertical="center"/>
    </xf>
    <xf numFmtId="49" fontId="84" fillId="50" borderId="0">
      <alignment horizontal="center" vertical="center"/>
    </xf>
    <xf numFmtId="49" fontId="84" fillId="50" borderId="0">
      <alignment horizontal="center" vertical="center"/>
    </xf>
    <xf numFmtId="49" fontId="84" fillId="50" borderId="0">
      <alignment horizontal="center" vertical="center"/>
    </xf>
    <xf numFmtId="49" fontId="84" fillId="50" borderId="0">
      <alignment horizontal="center" vertical="center"/>
    </xf>
    <xf numFmtId="49" fontId="11" fillId="0" borderId="0"/>
    <xf numFmtId="49" fontId="11" fillId="0" borderId="0"/>
    <xf numFmtId="49" fontId="11" fillId="0" borderId="0"/>
    <xf numFmtId="49" fontId="11" fillId="0" borderId="0"/>
    <xf numFmtId="49" fontId="11" fillId="0" borderId="0"/>
    <xf numFmtId="49" fontId="11" fillId="0" borderId="0"/>
    <xf numFmtId="0" fontId="85" fillId="51" borderId="0">
      <alignment horizontal="center" vertical="center"/>
    </xf>
    <xf numFmtId="49" fontId="11" fillId="51" borderId="0">
      <alignment horizontal="left" vertical="center"/>
    </xf>
    <xf numFmtId="49" fontId="85" fillId="51" borderId="0">
      <alignment horizontal="center" vertical="center"/>
    </xf>
    <xf numFmtId="0" fontId="85" fillId="52" borderId="0">
      <alignment horizontal="left"/>
    </xf>
    <xf numFmtId="49" fontId="11" fillId="0" borderId="0"/>
    <xf numFmtId="0" fontId="85" fillId="52" borderId="0">
      <alignment horizontal="left"/>
    </xf>
    <xf numFmtId="40" fontId="85" fillId="0" borderId="0">
      <alignment horizontal="right"/>
    </xf>
    <xf numFmtId="49" fontId="84" fillId="50" borderId="0"/>
    <xf numFmtId="49" fontId="84" fillId="50" borderId="0"/>
    <xf numFmtId="49" fontId="11" fillId="0" borderId="0"/>
    <xf numFmtId="0" fontId="87" fillId="53" borderId="0" applyFont="0" applyFill="0">
      <alignment horizontal="left" vertical="top" wrapText="1"/>
    </xf>
    <xf numFmtId="40" fontId="87" fillId="0" borderId="0"/>
    <xf numFmtId="40" fontId="87" fillId="0" borderId="0"/>
    <xf numFmtId="0" fontId="87" fillId="0" borderId="0">
      <alignment horizontal="left"/>
    </xf>
    <xf numFmtId="0" fontId="87" fillId="0" borderId="0">
      <alignment horizontal="center"/>
    </xf>
    <xf numFmtId="0" fontId="88" fillId="0" borderId="0">
      <alignment horizontal="center"/>
    </xf>
    <xf numFmtId="0" fontId="89" fillId="50" borderId="0">
      <alignment horizontal="left"/>
    </xf>
    <xf numFmtId="0" fontId="89" fillId="50" borderId="0">
      <alignment horizontal="left"/>
    </xf>
    <xf numFmtId="0" fontId="88" fillId="0" borderId="0">
      <alignment horizontal="center"/>
    </xf>
    <xf numFmtId="40" fontId="90" fillId="0" borderId="18"/>
    <xf numFmtId="40" fontId="90" fillId="0" borderId="18"/>
    <xf numFmtId="0" fontId="90" fillId="0" borderId="0"/>
    <xf numFmtId="0" fontId="90" fillId="0" borderId="0"/>
    <xf numFmtId="0" fontId="88" fillId="0" borderId="0">
      <alignment horizontal="center"/>
    </xf>
    <xf numFmtId="0" fontId="91" fillId="54" borderId="0">
      <alignment horizontal="left"/>
    </xf>
    <xf numFmtId="0" fontId="91" fillId="54" borderId="0">
      <alignment horizontal="left"/>
    </xf>
    <xf numFmtId="40" fontId="85" fillId="0" borderId="0">
      <alignment horizontal="right"/>
    </xf>
    <xf numFmtId="0" fontId="86" fillId="0" borderId="0">
      <alignment horizontal="left"/>
    </xf>
    <xf numFmtId="49" fontId="11" fillId="0" borderId="0"/>
    <xf numFmtId="0" fontId="86" fillId="0" borderId="0">
      <alignment horizontal="left"/>
    </xf>
    <xf numFmtId="177" fontId="85" fillId="0" borderId="0">
      <alignment horizontal="right"/>
    </xf>
    <xf numFmtId="49" fontId="85" fillId="0" borderId="0" applyBorder="0">
      <alignment horizontal="right"/>
    </xf>
    <xf numFmtId="0" fontId="11" fillId="0" borderId="0"/>
    <xf numFmtId="49" fontId="93" fillId="53" borderId="0">
      <alignment horizontal="left"/>
    </xf>
    <xf numFmtId="49" fontId="93" fillId="53" borderId="0">
      <alignment horizontal="left"/>
    </xf>
    <xf numFmtId="0" fontId="94" fillId="53" borderId="0">
      <alignment horizontal="left"/>
    </xf>
    <xf numFmtId="178" fontId="94" fillId="53" borderId="0">
      <alignment horizontal="left"/>
    </xf>
    <xf numFmtId="40" fontId="85" fillId="0" borderId="0">
      <alignment horizontal="right"/>
    </xf>
    <xf numFmtId="49" fontId="95" fillId="53" borderId="0">
      <alignment horizontal="left"/>
    </xf>
    <xf numFmtId="49" fontId="95" fillId="53" borderId="0">
      <alignment horizontal="left"/>
    </xf>
    <xf numFmtId="49" fontId="11" fillId="0" borderId="0"/>
    <xf numFmtId="40" fontId="85" fillId="0" borderId="14">
      <alignment horizontal="right"/>
    </xf>
    <xf numFmtId="49" fontId="85" fillId="0" borderId="0">
      <alignment horizontal="left"/>
    </xf>
    <xf numFmtId="49" fontId="11" fillId="0" borderId="0"/>
    <xf numFmtId="49" fontId="85" fillId="0" borderId="0">
      <alignment horizontal="left"/>
    </xf>
    <xf numFmtId="177" fontId="85" fillId="0" borderId="14">
      <alignment horizontal="right"/>
    </xf>
    <xf numFmtId="49" fontId="85" fillId="0" borderId="0">
      <alignment horizontal="right"/>
    </xf>
    <xf numFmtId="40" fontId="85" fillId="0" borderId="14">
      <alignment horizontal="right"/>
    </xf>
    <xf numFmtId="0" fontId="85" fillId="52" borderId="0">
      <alignment horizontal="left"/>
    </xf>
    <xf numFmtId="49" fontId="11" fillId="0" borderId="0"/>
    <xf numFmtId="0" fontId="85" fillId="52" borderId="0">
      <alignment horizontal="left"/>
    </xf>
    <xf numFmtId="177" fontId="85" fillId="0" borderId="14">
      <alignment horizontal="right"/>
    </xf>
    <xf numFmtId="49" fontId="85" fillId="0" borderId="0">
      <alignment horizontal="right"/>
    </xf>
    <xf numFmtId="0" fontId="90" fillId="0" borderId="0"/>
    <xf numFmtId="40" fontId="87" fillId="0" borderId="18"/>
    <xf numFmtId="40" fontId="87" fillId="0" borderId="18"/>
    <xf numFmtId="0" fontId="87" fillId="0" borderId="0"/>
    <xf numFmtId="0" fontId="87" fillId="0" borderId="0"/>
    <xf numFmtId="40" fontId="87" fillId="0" borderId="0"/>
    <xf numFmtId="179" fontId="87" fillId="0" borderId="0"/>
    <xf numFmtId="40" fontId="87" fillId="0" borderId="0"/>
    <xf numFmtId="0" fontId="87" fillId="0" borderId="0"/>
    <xf numFmtId="0" fontId="87" fillId="0" borderId="0"/>
    <xf numFmtId="40" fontId="85" fillId="0" borderId="18">
      <alignment horizontal="right"/>
    </xf>
    <xf numFmtId="49" fontId="85" fillId="0" borderId="0">
      <alignment horizontal="left"/>
    </xf>
    <xf numFmtId="49" fontId="11" fillId="0" borderId="0"/>
    <xf numFmtId="49" fontId="85" fillId="0" borderId="0">
      <alignment horizontal="left"/>
    </xf>
    <xf numFmtId="177" fontId="85" fillId="0" borderId="18">
      <alignment horizontal="right"/>
    </xf>
    <xf numFmtId="49" fontId="85" fillId="0" borderId="0">
      <alignment horizontal="right"/>
    </xf>
    <xf numFmtId="0" fontId="33" fillId="0" borderId="0"/>
    <xf numFmtId="0" fontId="34" fillId="0" borderId="0"/>
    <xf numFmtId="43" fontId="34"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9"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9"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9"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43" borderId="54" applyNumberFormat="0" applyFont="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7" fillId="4"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11"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11" fillId="0" borderId="0"/>
    <xf numFmtId="44" fontId="33" fillId="0" borderId="0" applyFont="0" applyFill="0" applyBorder="0" applyAlignment="0" applyProtection="0"/>
    <xf numFmtId="0" fontId="11" fillId="0" borderId="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21"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19"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19"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21"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11"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4"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11"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4"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7" fillId="11" borderId="0" applyNumberFormat="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7" fillId="4"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11"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11"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7" fillId="4"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19" fillId="0" borderId="0"/>
    <xf numFmtId="0" fontId="33" fillId="0" borderId="0"/>
    <xf numFmtId="0" fontId="33" fillId="0" borderId="0"/>
    <xf numFmtId="44" fontId="33" fillId="0" borderId="0" applyFont="0" applyFill="0" applyBorder="0" applyAlignment="0" applyProtection="0"/>
    <xf numFmtId="0" fontId="33" fillId="0" borderId="0"/>
    <xf numFmtId="0" fontId="19"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4" fillId="0" borderId="0"/>
    <xf numFmtId="0" fontId="11"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11" fillId="0" borderId="0"/>
    <xf numFmtId="0" fontId="21"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43" fontId="34"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11"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11" fillId="0" borderId="0"/>
    <xf numFmtId="0" fontId="33" fillId="0" borderId="0"/>
    <xf numFmtId="0" fontId="33" fillId="0" borderId="0"/>
    <xf numFmtId="0" fontId="33" fillId="0" borderId="0"/>
    <xf numFmtId="43" fontId="33" fillId="0" borderId="0" applyFont="0" applyFill="0" applyBorder="0" applyAlignment="0" applyProtection="0"/>
    <xf numFmtId="0" fontId="19"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11" fillId="0" borderId="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19"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4"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7" fillId="13"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7" fillId="7" borderId="0" applyNumberFormat="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11"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19"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19"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11"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21"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21" fillId="0" borderId="0"/>
    <xf numFmtId="0" fontId="33" fillId="0" borderId="0"/>
    <xf numFmtId="0" fontId="33" fillId="0" borderId="0"/>
    <xf numFmtId="0" fontId="33" fillId="0" borderId="0"/>
    <xf numFmtId="0" fontId="33" fillId="0" borderId="0"/>
    <xf numFmtId="0" fontId="33" fillId="0" borderId="0"/>
    <xf numFmtId="0" fontId="7" fillId="8"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11"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11" fillId="0" borderId="0"/>
    <xf numFmtId="0" fontId="33" fillId="0" borderId="0"/>
    <xf numFmtId="0" fontId="21"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11"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7" fillId="11"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7" fillId="4" borderId="0" applyNumberFormat="0" applyBorder="0" applyAlignment="0" applyProtection="0"/>
    <xf numFmtId="0" fontId="33" fillId="0" borderId="0"/>
    <xf numFmtId="0" fontId="33" fillId="0" borderId="0"/>
    <xf numFmtId="0" fontId="33" fillId="0" borderId="0"/>
    <xf numFmtId="0" fontId="33" fillId="0" borderId="0"/>
    <xf numFmtId="0" fontId="11" fillId="0" borderId="0"/>
    <xf numFmtId="0" fontId="33" fillId="0" borderId="0"/>
    <xf numFmtId="43" fontId="33" fillId="0" borderId="0" applyFont="0" applyFill="0" applyBorder="0" applyAlignment="0" applyProtection="0"/>
    <xf numFmtId="0" fontId="33" fillId="0" borderId="0"/>
    <xf numFmtId="0" fontId="11"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1"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9"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7" fillId="4"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7" fillId="13" borderId="0" applyNumberFormat="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9"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11" fillId="0" borderId="0"/>
    <xf numFmtId="0" fontId="33" fillId="0" borderId="0"/>
    <xf numFmtId="9"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11"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19"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21"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0" fontId="11"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4"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9" fontId="34" fillId="0" borderId="0" applyFont="0" applyFill="0" applyBorder="0" applyAlignment="0" applyProtection="0"/>
    <xf numFmtId="0" fontId="11"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11" fillId="0" borderId="0"/>
    <xf numFmtId="0" fontId="33" fillId="0" borderId="0"/>
    <xf numFmtId="0" fontId="33" fillId="0" borderId="0"/>
    <xf numFmtId="44" fontId="33" fillId="0" borderId="0" applyFont="0" applyFill="0" applyBorder="0" applyAlignment="0" applyProtection="0"/>
    <xf numFmtId="0" fontId="33" fillId="0" borderId="0"/>
    <xf numFmtId="0" fontId="21" fillId="0" borderId="0"/>
    <xf numFmtId="0" fontId="11"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19" fillId="0" borderId="0"/>
    <xf numFmtId="0" fontId="21"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11" fillId="0" borderId="0"/>
    <xf numFmtId="0" fontId="33" fillId="0" borderId="0"/>
    <xf numFmtId="44" fontId="33" fillId="0" borderId="0" applyFont="0" applyFill="0" applyBorder="0" applyAlignment="0" applyProtection="0"/>
    <xf numFmtId="9" fontId="31" fillId="0" borderId="0" applyFont="0" applyFill="0" applyBorder="0" applyAlignment="0" applyProtection="0"/>
    <xf numFmtId="0" fontId="21"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2" fillId="20" borderId="0" applyFont="0" applyBorder="0" applyAlignment="0">
      <alignment horizontal="center" wrapText="1"/>
    </xf>
    <xf numFmtId="0" fontId="33" fillId="0" borderId="0"/>
    <xf numFmtId="43" fontId="1" fillId="0" borderId="0" applyFont="0" applyFill="0" applyBorder="0" applyAlignment="0" applyProtection="0"/>
    <xf numFmtId="44" fontId="33" fillId="0" borderId="0" applyFont="0" applyFill="0" applyBorder="0" applyAlignment="0" applyProtection="0"/>
    <xf numFmtId="0" fontId="11"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11"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11"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19"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19"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11" fillId="0" borderId="0"/>
    <xf numFmtId="0" fontId="33" fillId="0" borderId="0"/>
    <xf numFmtId="0" fontId="33" fillId="0" borderId="0"/>
    <xf numFmtId="43" fontId="33" fillId="0" borderId="0" applyFont="0" applyFill="0" applyBorder="0" applyAlignment="0" applyProtection="0"/>
    <xf numFmtId="0" fontId="33" fillId="0" borderId="0"/>
    <xf numFmtId="43" fontId="34"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11" fillId="0" borderId="0"/>
    <xf numFmtId="0" fontId="33" fillId="0" borderId="0"/>
    <xf numFmtId="0" fontId="33" fillId="0" borderId="0"/>
    <xf numFmtId="43" fontId="1" fillId="0" borderId="0" applyFont="0" applyFill="0" applyBorder="0" applyAlignment="0" applyProtection="0"/>
    <xf numFmtId="0" fontId="33" fillId="0" borderId="0"/>
    <xf numFmtId="0" fontId="19"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11"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11"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19" fillId="0" borderId="0"/>
    <xf numFmtId="0" fontId="33" fillId="0" borderId="0"/>
    <xf numFmtId="0" fontId="33" fillId="0" borderId="0"/>
    <xf numFmtId="0" fontId="33" fillId="0" borderId="0"/>
    <xf numFmtId="0" fontId="19" fillId="0" borderId="0"/>
    <xf numFmtId="44" fontId="1"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19" fillId="0" borderId="0"/>
    <xf numFmtId="0" fontId="33" fillId="0" borderId="0"/>
    <xf numFmtId="0" fontId="33" fillId="0" borderId="0"/>
    <xf numFmtId="0" fontId="11"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7" fillId="8"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7" fillId="13" borderId="0" applyNumberFormat="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11"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11"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11" fillId="0" borderId="0"/>
    <xf numFmtId="0" fontId="33" fillId="0" borderId="0"/>
    <xf numFmtId="44" fontId="33" fillId="0" borderId="0" applyFont="0" applyFill="0" applyBorder="0" applyAlignment="0" applyProtection="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3" fontId="33" fillId="0" borderId="0" applyFont="0" applyFill="0" applyBorder="0" applyAlignment="0" applyProtection="0"/>
    <xf numFmtId="0" fontId="11"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21" fillId="0" borderId="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7" fillId="4" borderId="0" applyNumberFormat="0" applyBorder="0" applyAlignment="0" applyProtection="0"/>
    <xf numFmtId="0" fontId="33" fillId="0" borderId="0"/>
    <xf numFmtId="0" fontId="19"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7" fillId="8" borderId="0" applyNumberFormat="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21" fillId="0" borderId="0"/>
    <xf numFmtId="0" fontId="33" fillId="0" borderId="0"/>
    <xf numFmtId="43" fontId="34"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21" fillId="0" borderId="0"/>
    <xf numFmtId="0" fontId="21"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21"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11"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19"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21"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11"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11"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21"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19"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11" fillId="0" borderId="0"/>
    <xf numFmtId="0" fontId="11" fillId="0" borderId="0"/>
    <xf numFmtId="43" fontId="33" fillId="0" borderId="0" applyFont="0" applyFill="0" applyBorder="0" applyAlignment="0" applyProtection="0"/>
    <xf numFmtId="0" fontId="7" fillId="7" borderId="0" applyNumberFormat="0" applyBorder="0" applyAlignment="0" applyProtection="0"/>
    <xf numFmtId="0" fontId="33" fillId="0" borderId="0"/>
    <xf numFmtId="0" fontId="7" fillId="11" borderId="0" applyNumberFormat="0" applyBorder="0" applyAlignment="0" applyProtection="0"/>
    <xf numFmtId="0" fontId="33" fillId="0" borderId="0"/>
    <xf numFmtId="0" fontId="19" fillId="0" borderId="0"/>
    <xf numFmtId="44" fontId="33" fillId="0" borderId="0" applyFont="0" applyFill="0" applyBorder="0" applyAlignment="0" applyProtection="0"/>
    <xf numFmtId="0" fontId="11" fillId="0" borderId="0"/>
    <xf numFmtId="44" fontId="33" fillId="0" borderId="0" applyFont="0" applyFill="0" applyBorder="0" applyAlignment="0" applyProtection="0"/>
    <xf numFmtId="43" fontId="33" fillId="0" borderId="0" applyFont="0" applyFill="0" applyBorder="0" applyAlignment="0" applyProtection="0"/>
    <xf numFmtId="0" fontId="21" fillId="0" borderId="0"/>
    <xf numFmtId="0" fontId="33" fillId="0" borderId="0"/>
    <xf numFmtId="0" fontId="33" fillId="0" borderId="0"/>
    <xf numFmtId="0" fontId="33" fillId="0" borderId="0"/>
    <xf numFmtId="0" fontId="33" fillId="0" borderId="0"/>
    <xf numFmtId="0" fontId="19" fillId="0" borderId="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21"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43" fontId="33" fillId="0" borderId="0" applyFont="0" applyFill="0" applyBorder="0" applyAlignment="0" applyProtection="0"/>
    <xf numFmtId="0" fontId="33" fillId="0" borderId="0"/>
    <xf numFmtId="0" fontId="11" fillId="0" borderId="0"/>
    <xf numFmtId="0" fontId="11" fillId="0" borderId="0"/>
    <xf numFmtId="43" fontId="34"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7" fillId="7" borderId="0" applyNumberFormat="0" applyBorder="0" applyAlignment="0" applyProtection="0"/>
    <xf numFmtId="0" fontId="11" fillId="0" borderId="0"/>
    <xf numFmtId="0" fontId="38" fillId="20" borderId="0" applyFont="0" applyBorder="0" applyAlignment="0">
      <alignment horizontal="center" wrapText="1"/>
    </xf>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11"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43" fontId="33" fillId="0" borderId="0" applyFont="0" applyFill="0" applyBorder="0" applyAlignment="0" applyProtection="0"/>
    <xf numFmtId="0" fontId="21" fillId="0" borderId="0"/>
    <xf numFmtId="0" fontId="19" fillId="0" borderId="0"/>
    <xf numFmtId="0" fontId="11" fillId="0" borderId="0"/>
    <xf numFmtId="0" fontId="11"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19"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11"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19" fillId="0" borderId="0"/>
    <xf numFmtId="0" fontId="33" fillId="0" borderId="0"/>
    <xf numFmtId="0" fontId="11" fillId="0" borderId="0"/>
    <xf numFmtId="0" fontId="33" fillId="0" borderId="0"/>
    <xf numFmtId="0" fontId="33" fillId="0" borderId="0"/>
    <xf numFmtId="0" fontId="33" fillId="0" borderId="0"/>
    <xf numFmtId="0" fontId="33" fillId="0" borderId="0"/>
    <xf numFmtId="0" fontId="19" fillId="0" borderId="0"/>
    <xf numFmtId="0" fontId="19" fillId="0" borderId="0"/>
    <xf numFmtId="0" fontId="33" fillId="0" borderId="0"/>
    <xf numFmtId="0" fontId="33" fillId="0" borderId="0"/>
    <xf numFmtId="0" fontId="33" fillId="0" borderId="0"/>
    <xf numFmtId="43" fontId="1" fillId="0" borderId="0" applyFont="0" applyFill="0" applyBorder="0" applyAlignment="0" applyProtection="0"/>
    <xf numFmtId="0" fontId="11" fillId="0" borderId="0"/>
    <xf numFmtId="43" fontId="33" fillId="0" borderId="0" applyFont="0" applyFill="0" applyBorder="0" applyAlignment="0" applyProtection="0"/>
    <xf numFmtId="0" fontId="19"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11" fillId="0" borderId="0"/>
    <xf numFmtId="43" fontId="33" fillId="0" borderId="0" applyFont="0" applyFill="0" applyBorder="0" applyAlignment="0" applyProtection="0"/>
    <xf numFmtId="43" fontId="33" fillId="0" borderId="0" applyFont="0" applyFill="0" applyBorder="0" applyAlignment="0" applyProtection="0"/>
    <xf numFmtId="0" fontId="19"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11" fillId="0" borderId="0"/>
    <xf numFmtId="43" fontId="33" fillId="0" borderId="0" applyFont="0" applyFill="0" applyBorder="0" applyAlignment="0" applyProtection="0"/>
    <xf numFmtId="0" fontId="33" fillId="0" borderId="0"/>
    <xf numFmtId="0" fontId="33" fillId="0" borderId="0"/>
    <xf numFmtId="0" fontId="19"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4"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19" fillId="0" borderId="0"/>
    <xf numFmtId="0" fontId="21" fillId="0" borderId="0"/>
    <xf numFmtId="44" fontId="34" fillId="0" borderId="0" applyFont="0" applyFill="0" applyBorder="0" applyAlignment="0" applyProtection="0"/>
    <xf numFmtId="43" fontId="33" fillId="0" borderId="0" applyFont="0" applyFill="0" applyBorder="0" applyAlignment="0" applyProtection="0"/>
    <xf numFmtId="0" fontId="19" fillId="0" borderId="0"/>
    <xf numFmtId="0" fontId="11"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44" fontId="33" fillId="0" borderId="0" applyFont="0" applyFill="0" applyBorder="0" applyAlignment="0" applyProtection="0"/>
    <xf numFmtId="43" fontId="33" fillId="0" borderId="0" applyFont="0" applyFill="0" applyBorder="0" applyAlignment="0" applyProtection="0"/>
    <xf numFmtId="0" fontId="11" fillId="0" borderId="0"/>
    <xf numFmtId="0" fontId="19" fillId="0" borderId="0"/>
    <xf numFmtId="0" fontId="33" fillId="0" borderId="0"/>
    <xf numFmtId="44" fontId="1"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8" fillId="20" borderId="0" applyFont="0" applyBorder="0" applyAlignment="0">
      <alignment horizontal="center" wrapText="1"/>
    </xf>
    <xf numFmtId="0" fontId="21" fillId="0" borderId="0"/>
    <xf numFmtId="0" fontId="11" fillId="0" borderId="0"/>
    <xf numFmtId="43" fontId="1" fillId="0" borderId="0" applyFont="0" applyFill="0" applyBorder="0" applyAlignment="0" applyProtection="0"/>
    <xf numFmtId="0" fontId="33" fillId="0" borderId="0"/>
    <xf numFmtId="0" fontId="11"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19" fillId="0" borderId="0"/>
    <xf numFmtId="0" fontId="11" fillId="0" borderId="0"/>
    <xf numFmtId="0" fontId="33" fillId="0" borderId="0"/>
    <xf numFmtId="0" fontId="32" fillId="20" borderId="0" applyFont="0" applyBorder="0" applyAlignment="0">
      <alignment horizontal="center" wrapText="1"/>
    </xf>
    <xf numFmtId="0" fontId="33" fillId="0" borderId="0"/>
    <xf numFmtId="0" fontId="33" fillId="0" borderId="0"/>
    <xf numFmtId="0" fontId="11"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33" fillId="0" borderId="0"/>
    <xf numFmtId="0" fontId="33" fillId="0" borderId="0"/>
    <xf numFmtId="0" fontId="33" fillId="0" borderId="0"/>
    <xf numFmtId="43" fontId="31" fillId="0" borderId="0" applyFont="0" applyFill="0" applyBorder="0" applyAlignment="0" applyProtection="0"/>
    <xf numFmtId="0" fontId="33" fillId="0" borderId="0"/>
    <xf numFmtId="0" fontId="11" fillId="0" borderId="0"/>
    <xf numFmtId="44" fontId="1" fillId="0" borderId="0" applyFont="0" applyFill="0" applyBorder="0" applyAlignment="0" applyProtection="0"/>
    <xf numFmtId="0" fontId="11" fillId="0" borderId="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21"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11" fillId="0" borderId="0"/>
    <xf numFmtId="0" fontId="11" fillId="0" borderId="0"/>
    <xf numFmtId="0" fontId="19" fillId="0" borderId="0"/>
    <xf numFmtId="0" fontId="33" fillId="0" borderId="0"/>
    <xf numFmtId="0" fontId="19" fillId="0" borderId="0"/>
    <xf numFmtId="0" fontId="11"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11" fillId="0" borderId="0"/>
    <xf numFmtId="0" fontId="19" fillId="0" borderId="0"/>
    <xf numFmtId="43" fontId="33" fillId="0" borderId="0" applyFont="0" applyFill="0" applyBorder="0" applyAlignment="0" applyProtection="0"/>
    <xf numFmtId="0" fontId="33" fillId="0" borderId="0"/>
    <xf numFmtId="0" fontId="33" fillId="0" borderId="0"/>
    <xf numFmtId="0" fontId="11" fillId="0" borderId="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9"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9"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19"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9" fontId="1" fillId="0" borderId="0" applyFont="0" applyFill="0" applyBorder="0" applyAlignment="0" applyProtection="0"/>
    <xf numFmtId="0" fontId="19"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0" fontId="11"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21" fillId="0" borderId="0"/>
    <xf numFmtId="0" fontId="11"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43" fontId="3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9"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19" fillId="0" borderId="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21"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33" fillId="0" borderId="0" applyFont="0" applyFill="0" applyBorder="0" applyAlignment="0" applyProtection="0"/>
    <xf numFmtId="0" fontId="11"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21"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19" fillId="0" borderId="0"/>
    <xf numFmtId="44"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4" fontId="1" fillId="0" borderId="0" applyFont="0" applyFill="0" applyBorder="0" applyAlignment="0" applyProtection="0"/>
    <xf numFmtId="0" fontId="33" fillId="0" borderId="0"/>
    <xf numFmtId="44"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19"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43" fontId="34"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3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21"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44" fontId="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9"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9"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4" fontId="31"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44" fontId="1" fillId="0" borderId="0" applyFont="0" applyFill="0" applyBorder="0" applyAlignment="0" applyProtection="0"/>
    <xf numFmtId="44" fontId="33"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19" fillId="0" borderId="0"/>
    <xf numFmtId="0" fontId="11" fillId="0" borderId="0"/>
    <xf numFmtId="0" fontId="11" fillId="0" borderId="0"/>
    <xf numFmtId="0" fontId="19" fillId="0" borderId="0"/>
    <xf numFmtId="0" fontId="11" fillId="0" borderId="0"/>
    <xf numFmtId="0" fontId="11" fillId="0" borderId="0"/>
    <xf numFmtId="0" fontId="21"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44" fontId="1" fillId="0" borderId="0" applyFont="0" applyFill="0" applyBorder="0" applyAlignment="0" applyProtection="0"/>
    <xf numFmtId="44" fontId="1" fillId="0" borderId="0" applyFont="0" applyFill="0" applyBorder="0" applyAlignment="0" applyProtection="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21"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21"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21"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4" fontId="1"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1"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31"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9"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11"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44"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9"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21"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33" fillId="0" borderId="0"/>
    <xf numFmtId="44"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43" fontId="3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19"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43" fontId="31"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43" borderId="54" applyNumberFormat="0" applyFont="0" applyAlignment="0" applyProtection="0"/>
    <xf numFmtId="0" fontId="96" fillId="0" borderId="0" applyNumberFormat="0" applyFill="0" applyBorder="0" applyAlignment="0" applyProtection="0"/>
    <xf numFmtId="0" fontId="33" fillId="55" borderId="0" applyNumberFormat="0" applyBorder="0" applyAlignment="0" applyProtection="0"/>
    <xf numFmtId="0" fontId="33" fillId="56" borderId="0" applyNumberFormat="0" applyBorder="0" applyAlignment="0" applyProtection="0"/>
    <xf numFmtId="0" fontId="33" fillId="58" borderId="0" applyNumberFormat="0" applyBorder="0" applyAlignment="0" applyProtection="0"/>
    <xf numFmtId="0" fontId="33" fillId="59" borderId="0" applyNumberFormat="0" applyBorder="0" applyAlignment="0" applyProtection="0"/>
    <xf numFmtId="0" fontId="33" fillId="61" borderId="0" applyNumberFormat="0" applyBorder="0" applyAlignment="0" applyProtection="0"/>
    <xf numFmtId="0" fontId="33" fillId="62" borderId="0" applyNumberFormat="0" applyBorder="0" applyAlignment="0" applyProtection="0"/>
    <xf numFmtId="0" fontId="33" fillId="64" borderId="0" applyNumberFormat="0" applyBorder="0" applyAlignment="0" applyProtection="0"/>
    <xf numFmtId="0" fontId="33" fillId="65" borderId="0" applyNumberFormat="0" applyBorder="0" applyAlignment="0" applyProtection="0"/>
    <xf numFmtId="0" fontId="33" fillId="67" borderId="0" applyNumberFormat="0" applyBorder="0" applyAlignment="0" applyProtection="0"/>
    <xf numFmtId="0" fontId="33" fillId="68" borderId="0" applyNumberFormat="0" applyBorder="0" applyAlignment="0" applyProtection="0"/>
    <xf numFmtId="0" fontId="33" fillId="70" borderId="0" applyNumberFormat="0" applyBorder="0" applyAlignment="0" applyProtection="0"/>
    <xf numFmtId="0" fontId="33" fillId="71" borderId="0" applyNumberFormat="0" applyBorder="0" applyAlignment="0" applyProtection="0"/>
    <xf numFmtId="0" fontId="34" fillId="55" borderId="0" applyNumberFormat="0" applyBorder="0" applyAlignment="0" applyProtection="0"/>
    <xf numFmtId="0" fontId="34" fillId="58" borderId="0" applyNumberFormat="0" applyBorder="0" applyAlignment="0" applyProtection="0"/>
    <xf numFmtId="0" fontId="34" fillId="61" borderId="0" applyNumberFormat="0" applyBorder="0" applyAlignment="0" applyProtection="0"/>
    <xf numFmtId="0" fontId="34" fillId="64" borderId="0" applyNumberFormat="0" applyBorder="0" applyAlignment="0" applyProtection="0"/>
    <xf numFmtId="0" fontId="34" fillId="67" borderId="0" applyNumberFormat="0" applyBorder="0" applyAlignment="0" applyProtection="0"/>
    <xf numFmtId="0" fontId="34" fillId="70" borderId="0" applyNumberFormat="0" applyBorder="0" applyAlignment="0" applyProtection="0"/>
    <xf numFmtId="0" fontId="34" fillId="56" borderId="0" applyNumberFormat="0" applyBorder="0" applyAlignment="0" applyProtection="0"/>
    <xf numFmtId="0" fontId="34" fillId="59" borderId="0" applyNumberFormat="0" applyBorder="0" applyAlignment="0" applyProtection="0"/>
    <xf numFmtId="0" fontId="34" fillId="62" borderId="0" applyNumberFormat="0" applyBorder="0" applyAlignment="0" applyProtection="0"/>
    <xf numFmtId="0" fontId="34" fillId="65" borderId="0" applyNumberFormat="0" applyBorder="0" applyAlignment="0" applyProtection="0"/>
    <xf numFmtId="0" fontId="34" fillId="68" borderId="0" applyNumberFormat="0" applyBorder="0" applyAlignment="0" applyProtection="0"/>
    <xf numFmtId="0" fontId="34" fillId="71" borderId="0" applyNumberFormat="0" applyBorder="0" applyAlignment="0" applyProtection="0"/>
    <xf numFmtId="0" fontId="83" fillId="57" borderId="0" applyNumberFormat="0" applyBorder="0" applyAlignment="0" applyProtection="0"/>
    <xf numFmtId="0" fontId="97" fillId="57" borderId="0" applyNumberFormat="0" applyBorder="0" applyAlignment="0" applyProtection="0"/>
    <xf numFmtId="0" fontId="83" fillId="60" borderId="0" applyNumberFormat="0" applyBorder="0" applyAlignment="0" applyProtection="0"/>
    <xf numFmtId="0" fontId="97" fillId="60" borderId="0" applyNumberFormat="0" applyBorder="0" applyAlignment="0" applyProtection="0"/>
    <xf numFmtId="0" fontId="83" fillId="63" borderId="0" applyNumberFormat="0" applyBorder="0" applyAlignment="0" applyProtection="0"/>
    <xf numFmtId="0" fontId="97" fillId="63" borderId="0" applyNumberFormat="0" applyBorder="0" applyAlignment="0" applyProtection="0"/>
    <xf numFmtId="0" fontId="83" fillId="66" borderId="0" applyNumberFormat="0" applyBorder="0" applyAlignment="0" applyProtection="0"/>
    <xf numFmtId="0" fontId="97" fillId="66" borderId="0" applyNumberFormat="0" applyBorder="0" applyAlignment="0" applyProtection="0"/>
    <xf numFmtId="0" fontId="83" fillId="69" borderId="0" applyNumberFormat="0" applyBorder="0" applyAlignment="0" applyProtection="0"/>
    <xf numFmtId="0" fontId="97" fillId="69" borderId="0" applyNumberFormat="0" applyBorder="0" applyAlignment="0" applyProtection="0"/>
    <xf numFmtId="0" fontId="83" fillId="72" borderId="0" applyNumberFormat="0" applyBorder="0" applyAlignment="0" applyProtection="0"/>
    <xf numFmtId="0" fontId="97" fillId="72" borderId="0" applyNumberFormat="0" applyBorder="0" applyAlignment="0" applyProtection="0"/>
    <xf numFmtId="0" fontId="97" fillId="44" borderId="0" applyNumberFormat="0" applyBorder="0" applyAlignment="0" applyProtection="0"/>
    <xf numFmtId="0" fontId="97" fillId="44" borderId="0" applyNumberFormat="0" applyBorder="0" applyAlignment="0" applyProtection="0"/>
    <xf numFmtId="0" fontId="97" fillId="45" borderId="0" applyNumberFormat="0" applyBorder="0" applyAlignment="0" applyProtection="0"/>
    <xf numFmtId="0" fontId="97" fillId="45" borderId="0" applyNumberFormat="0" applyBorder="0" applyAlignment="0" applyProtection="0"/>
    <xf numFmtId="0" fontId="97" fillId="46" borderId="0" applyNumberFormat="0" applyBorder="0" applyAlignment="0" applyProtection="0"/>
    <xf numFmtId="0" fontId="97" fillId="46" borderId="0" applyNumberFormat="0" applyBorder="0" applyAlignment="0" applyProtection="0"/>
    <xf numFmtId="0" fontId="97" fillId="47" borderId="0" applyNumberFormat="0" applyBorder="0" applyAlignment="0" applyProtection="0"/>
    <xf numFmtId="0" fontId="97" fillId="47" borderId="0" applyNumberFormat="0" applyBorder="0" applyAlignment="0" applyProtection="0"/>
    <xf numFmtId="0" fontId="97" fillId="48" borderId="0" applyNumberFormat="0" applyBorder="0" applyAlignment="0" applyProtection="0"/>
    <xf numFmtId="0" fontId="97" fillId="48" borderId="0" applyNumberFormat="0" applyBorder="0" applyAlignment="0" applyProtection="0"/>
    <xf numFmtId="0" fontId="97" fillId="49" borderId="0" applyNumberFormat="0" applyBorder="0" applyAlignment="0" applyProtection="0"/>
    <xf numFmtId="0" fontId="97" fillId="49" borderId="0" applyNumberFormat="0" applyBorder="0" applyAlignment="0" applyProtection="0"/>
    <xf numFmtId="0" fontId="98" fillId="38" borderId="0" applyNumberFormat="0" applyBorder="0" applyAlignment="0" applyProtection="0"/>
    <xf numFmtId="0" fontId="99" fillId="41" borderId="50" applyNumberFormat="0" applyAlignment="0" applyProtection="0"/>
    <xf numFmtId="0" fontId="100" fillId="42" borderId="53" applyNumberFormat="0" applyAlignment="0" applyProtection="0"/>
    <xf numFmtId="43" fontId="6" fillId="0" borderId="0" applyFont="0" applyFill="0" applyBorder="0" applyAlignment="0" applyProtection="0"/>
    <xf numFmtId="43" fontId="6"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33" fillId="0" borderId="0" applyFont="0" applyFill="0" applyBorder="0" applyAlignment="0" applyProtection="0"/>
    <xf numFmtId="43" fontId="11" fillId="0" borderId="0" applyFont="0" applyFill="0" applyBorder="0" applyAlignment="0" applyProtection="0"/>
    <xf numFmtId="43" fontId="34" fillId="0" borderId="0" applyFont="0" applyFill="0" applyBorder="0" applyAlignment="0" applyProtection="0"/>
    <xf numFmtId="0" fontId="101" fillId="0" borderId="0" applyNumberFormat="0" applyFill="0" applyBorder="0" applyAlignment="0" applyProtection="0"/>
    <xf numFmtId="0" fontId="102" fillId="37" borderId="0" applyNumberFormat="0" applyBorder="0" applyAlignment="0" applyProtection="0"/>
    <xf numFmtId="0" fontId="103" fillId="0" borderId="47" applyNumberFormat="0" applyFill="0" applyAlignment="0" applyProtection="0"/>
    <xf numFmtId="0" fontId="104" fillId="0" borderId="48" applyNumberFormat="0" applyFill="0" applyAlignment="0" applyProtection="0"/>
    <xf numFmtId="0" fontId="15" fillId="0" borderId="58" applyNumberFormat="0" applyFill="0" applyAlignment="0" applyProtection="0"/>
    <xf numFmtId="0" fontId="15" fillId="0" borderId="58" applyNumberFormat="0" applyFill="0" applyAlignment="0" applyProtection="0"/>
    <xf numFmtId="0" fontId="105" fillId="0" borderId="49" applyNumberFormat="0" applyFill="0" applyAlignment="0" applyProtection="0"/>
    <xf numFmtId="0" fontId="105" fillId="0" borderId="0" applyNumberFormat="0" applyFill="0" applyBorder="0" applyAlignment="0" applyProtection="0"/>
    <xf numFmtId="0" fontId="106" fillId="40" borderId="50" applyNumberFormat="0" applyAlignment="0" applyProtection="0"/>
    <xf numFmtId="0" fontId="107" fillId="0" borderId="52" applyNumberFormat="0" applyFill="0" applyAlignment="0" applyProtection="0"/>
    <xf numFmtId="0" fontId="108" fillId="39" borderId="0" applyNumberFormat="0" applyBorder="0" applyAlignment="0" applyProtection="0"/>
    <xf numFmtId="0" fontId="6" fillId="0" borderId="0"/>
    <xf numFmtId="0" fontId="34" fillId="0" borderId="0"/>
    <xf numFmtId="0" fontId="34" fillId="0" borderId="0"/>
    <xf numFmtId="0" fontId="34" fillId="0" borderId="0"/>
    <xf numFmtId="0" fontId="34" fillId="0" borderId="0"/>
    <xf numFmtId="0" fontId="6" fillId="0" borderId="0"/>
    <xf numFmtId="0" fontId="6" fillId="0" borderId="0"/>
    <xf numFmtId="0" fontId="11" fillId="0" borderId="0"/>
    <xf numFmtId="0" fontId="19" fillId="0" borderId="0"/>
    <xf numFmtId="0" fontId="11" fillId="0" borderId="0"/>
    <xf numFmtId="0" fontId="34" fillId="0" borderId="0"/>
    <xf numFmtId="0" fontId="33" fillId="0" borderId="0"/>
    <xf numFmtId="0" fontId="11" fillId="0" borderId="0"/>
    <xf numFmtId="0" fontId="33" fillId="0" borderId="0"/>
    <xf numFmtId="0" fontId="11" fillId="0" borderId="0"/>
    <xf numFmtId="0" fontId="11" fillId="0" borderId="0"/>
    <xf numFmtId="0" fontId="11" fillId="0" borderId="0"/>
    <xf numFmtId="0" fontId="11" fillId="0" borderId="0"/>
    <xf numFmtId="0" fontId="11" fillId="0" borderId="0"/>
    <xf numFmtId="0" fontId="34" fillId="43" borderId="54" applyNumberFormat="0" applyFont="0" applyAlignment="0" applyProtection="0"/>
    <xf numFmtId="0" fontId="109" fillId="41" borderId="51" applyNumberFormat="0" applyAlignment="0" applyProtection="0"/>
    <xf numFmtId="9" fontId="6" fillId="0" borderId="0" applyFont="0" applyFill="0" applyBorder="0" applyAlignment="0" applyProtection="0"/>
    <xf numFmtId="0" fontId="110" fillId="0" borderId="0" applyNumberFormat="0" applyFill="0" applyBorder="0" applyAlignment="0" applyProtection="0"/>
    <xf numFmtId="0" fontId="111" fillId="0" borderId="55" applyNumberFormat="0" applyFill="0" applyAlignment="0" applyProtection="0"/>
    <xf numFmtId="0" fontId="112" fillId="0" borderId="0" applyNumberFormat="0" applyFill="0" applyBorder="0" applyAlignment="0" applyProtection="0"/>
    <xf numFmtId="0" fontId="115" fillId="0" borderId="0"/>
    <xf numFmtId="43" fontId="116" fillId="0" borderId="0" applyFont="0" applyFill="0" applyBorder="0" applyAlignment="0" applyProtection="0"/>
    <xf numFmtId="0" fontId="116"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6" fillId="0" borderId="0"/>
    <xf numFmtId="0" fontId="117" fillId="0" borderId="0" applyNumberFormat="0" applyFill="0" applyBorder="0" applyAlignment="0" applyProtection="0">
      <alignment vertical="top"/>
      <protection locked="0"/>
    </xf>
    <xf numFmtId="0" fontId="118" fillId="0" borderId="0" applyNumberFormat="0" applyFill="0" applyBorder="0" applyAlignment="0" applyProtection="0"/>
    <xf numFmtId="0" fontId="67" fillId="0" borderId="0"/>
    <xf numFmtId="0" fontId="67" fillId="0" borderId="0"/>
    <xf numFmtId="0" fontId="67" fillId="0" borderId="0"/>
    <xf numFmtId="0" fontId="68" fillId="0" borderId="0"/>
    <xf numFmtId="0" fontId="68" fillId="0" borderId="0"/>
    <xf numFmtId="0" fontId="68" fillId="0" borderId="0"/>
    <xf numFmtId="0" fontId="68" fillId="0" borderId="0"/>
    <xf numFmtId="0" fontId="68" fillId="0" borderId="0"/>
    <xf numFmtId="0" fontId="67" fillId="0" borderId="0"/>
    <xf numFmtId="0" fontId="68" fillId="0" borderId="0"/>
    <xf numFmtId="0" fontId="68" fillId="0" borderId="0"/>
    <xf numFmtId="0" fontId="68" fillId="0" borderId="0"/>
    <xf numFmtId="0" fontId="68" fillId="0" borderId="0"/>
    <xf numFmtId="0" fontId="68" fillId="0" borderId="0"/>
    <xf numFmtId="0" fontId="69" fillId="0" borderId="0"/>
    <xf numFmtId="0" fontId="69" fillId="0" borderId="0"/>
    <xf numFmtId="0" fontId="33" fillId="0" borderId="0"/>
    <xf numFmtId="43" fontId="33" fillId="0" borderId="0" applyFont="0" applyFill="0" applyBorder="0" applyAlignment="0" applyProtection="0"/>
    <xf numFmtId="0" fontId="33"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21" fillId="0" borderId="0"/>
    <xf numFmtId="0" fontId="11" fillId="0" borderId="0"/>
    <xf numFmtId="0" fontId="19" fillId="0" borderId="0"/>
    <xf numFmtId="43" fontId="6" fillId="0" borderId="0" applyFont="0" applyFill="0" applyBorder="0" applyAlignment="0" applyProtection="0"/>
    <xf numFmtId="43" fontId="1" fillId="0" borderId="0" applyFont="0" applyFill="0" applyBorder="0" applyAlignment="0" applyProtection="0"/>
    <xf numFmtId="0" fontId="34" fillId="0" borderId="0"/>
    <xf numFmtId="0" fontId="11" fillId="0" borderId="0"/>
    <xf numFmtId="0" fontId="11" fillId="0" borderId="0"/>
    <xf numFmtId="0" fontId="33" fillId="0" borderId="0"/>
    <xf numFmtId="0" fontId="11" fillId="0" borderId="0"/>
    <xf numFmtId="0" fontId="19" fillId="0" borderId="0"/>
    <xf numFmtId="0" fontId="21" fillId="0" borderId="0"/>
    <xf numFmtId="0" fontId="11" fillId="0" borderId="0"/>
    <xf numFmtId="0" fontId="11" fillId="0" borderId="0"/>
    <xf numFmtId="0" fontId="19" fillId="0" borderId="0"/>
    <xf numFmtId="0" fontId="116" fillId="0" borderId="0"/>
    <xf numFmtId="0" fontId="11" fillId="0" borderId="0"/>
    <xf numFmtId="0" fontId="116"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43" fontId="33" fillId="0" borderId="0" applyFont="0" applyFill="0" applyBorder="0" applyAlignment="0" applyProtection="0"/>
    <xf numFmtId="9"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9" fontId="33" fillId="0" borderId="0" applyFont="0" applyFill="0" applyBorder="0" applyAlignment="0" applyProtection="0"/>
    <xf numFmtId="0" fontId="19" fillId="0" borderId="0"/>
    <xf numFmtId="0" fontId="21" fillId="0" borderId="0"/>
    <xf numFmtId="0" fontId="33" fillId="0" borderId="0"/>
    <xf numFmtId="43" fontId="33" fillId="0" borderId="0" applyFont="0" applyFill="0" applyBorder="0" applyAlignment="0" applyProtection="0"/>
    <xf numFmtId="0" fontId="19" fillId="0" borderId="0"/>
    <xf numFmtId="0" fontId="21" fillId="0" borderId="0"/>
    <xf numFmtId="43" fontId="33" fillId="0" borderId="0" applyFont="0" applyFill="0" applyBorder="0" applyAlignment="0" applyProtection="0"/>
    <xf numFmtId="44"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9"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8" fillId="20" borderId="0" applyFont="0" applyBorder="0" applyAlignment="0">
      <alignment horizontal="center" wrapText="1"/>
    </xf>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21"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0" fontId="19" fillId="0" borderId="0"/>
    <xf numFmtId="43" fontId="34" fillId="0" borderId="0" applyFont="0" applyFill="0" applyBorder="0" applyAlignment="0" applyProtection="0"/>
    <xf numFmtId="43" fontId="34" fillId="0" borderId="0" applyFont="0" applyFill="0" applyBorder="0" applyAlignment="0" applyProtection="0"/>
    <xf numFmtId="9" fontId="34" fillId="0" borderId="0" applyFont="0" applyFill="0" applyBorder="0" applyAlignment="0" applyProtection="0"/>
    <xf numFmtId="43"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8" fillId="20" borderId="0" applyFont="0" applyBorder="0" applyAlignment="0">
      <alignment horizontal="center" wrapText="1"/>
    </xf>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11" fillId="0" borderId="0"/>
    <xf numFmtId="0" fontId="21"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9"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11" fillId="0" borderId="0"/>
    <xf numFmtId="43" fontId="1" fillId="0" borderId="0" applyFont="0" applyFill="0" applyBorder="0" applyAlignment="0" applyProtection="0"/>
    <xf numFmtId="43" fontId="1" fillId="0" borderId="0" applyFont="0" applyFill="0" applyBorder="0" applyAlignment="0" applyProtection="0"/>
    <xf numFmtId="0" fontId="21" fillId="0" borderId="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1" fillId="0" borderId="0"/>
    <xf numFmtId="43" fontId="1" fillId="0" borderId="0" applyFont="0" applyFill="0" applyBorder="0" applyAlignment="0" applyProtection="0"/>
    <xf numFmtId="44" fontId="1" fillId="0" borderId="0" applyFont="0" applyFill="0" applyBorder="0" applyAlignment="0" applyProtection="0"/>
    <xf numFmtId="0" fontId="19" fillId="0" borderId="0"/>
    <xf numFmtId="44" fontId="1" fillId="0" borderId="0" applyFont="0" applyFill="0" applyBorder="0" applyAlignment="0" applyProtection="0"/>
    <xf numFmtId="0" fontId="11" fillId="0" borderId="0"/>
    <xf numFmtId="0" fontId="19" fillId="0" borderId="0"/>
    <xf numFmtId="0" fontId="19"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0" fontId="11" fillId="0" borderId="0"/>
    <xf numFmtId="0" fontId="11"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11" fillId="5" borderId="7" applyNumberFormat="0" applyFont="0" applyAlignment="0" applyProtection="0"/>
    <xf numFmtId="0" fontId="33" fillId="0" borderId="0"/>
    <xf numFmtId="0" fontId="127" fillId="0" borderId="0"/>
    <xf numFmtId="43" fontId="115" fillId="0" borderId="0" applyFont="0" applyFill="0" applyBorder="0" applyAlignment="0" applyProtection="0"/>
    <xf numFmtId="0" fontId="115" fillId="0" borderId="0"/>
    <xf numFmtId="0" fontId="152" fillId="0" borderId="0"/>
    <xf numFmtId="0" fontId="33" fillId="0" borderId="0"/>
    <xf numFmtId="0" fontId="152" fillId="0" borderId="0"/>
    <xf numFmtId="43" fontId="115" fillId="0" borderId="0" applyFont="0" applyFill="0" applyBorder="0" applyAlignment="0" applyProtection="0"/>
    <xf numFmtId="0" fontId="115" fillId="0" borderId="0"/>
    <xf numFmtId="0" fontId="115" fillId="0" borderId="0"/>
    <xf numFmtId="0" fontId="115" fillId="0" borderId="0"/>
    <xf numFmtId="0" fontId="155" fillId="0" borderId="0"/>
    <xf numFmtId="0" fontId="155" fillId="0" borderId="0"/>
    <xf numFmtId="0" fontId="156" fillId="0" borderId="0"/>
    <xf numFmtId="0" fontId="155" fillId="0" borderId="0"/>
    <xf numFmtId="0" fontId="152" fillId="0" borderId="0"/>
    <xf numFmtId="0" fontId="155" fillId="0" borderId="0"/>
    <xf numFmtId="0" fontId="152" fillId="0" borderId="0"/>
    <xf numFmtId="0" fontId="156" fillId="0" borderId="0"/>
    <xf numFmtId="0" fontId="155" fillId="0" borderId="0"/>
    <xf numFmtId="0" fontId="155" fillId="0" borderId="0"/>
    <xf numFmtId="0" fontId="155" fillId="0" borderId="0"/>
    <xf numFmtId="0" fontId="155" fillId="0" borderId="0"/>
    <xf numFmtId="0" fontId="155" fillId="0" borderId="0"/>
    <xf numFmtId="0" fontId="155" fillId="0" borderId="0"/>
    <xf numFmtId="0" fontId="155"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5" fillId="0" borderId="0"/>
    <xf numFmtId="0" fontId="155" fillId="0" borderId="0"/>
    <xf numFmtId="0" fontId="155" fillId="0" borderId="0"/>
    <xf numFmtId="0" fontId="155" fillId="0" borderId="0"/>
    <xf numFmtId="0" fontId="155" fillId="0" borderId="0"/>
    <xf numFmtId="0" fontId="155" fillId="0" borderId="0"/>
    <xf numFmtId="0" fontId="155"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5" fillId="0" borderId="0"/>
    <xf numFmtId="0" fontId="152" fillId="0" borderId="0"/>
    <xf numFmtId="0" fontId="152" fillId="0" borderId="0"/>
    <xf numFmtId="0" fontId="155" fillId="0" borderId="0"/>
    <xf numFmtId="0" fontId="152" fillId="0" borderId="0"/>
    <xf numFmtId="0" fontId="152" fillId="0" borderId="0"/>
    <xf numFmtId="0" fontId="156" fillId="0" borderId="0"/>
    <xf numFmtId="0" fontId="152" fillId="5" borderId="7" applyNumberFormat="0" applyFont="0" applyAlignment="0" applyProtection="0"/>
    <xf numFmtId="0" fontId="155" fillId="0" borderId="0"/>
    <xf numFmtId="0" fontId="155" fillId="0" borderId="0"/>
    <xf numFmtId="0" fontId="155" fillId="0" borderId="0"/>
    <xf numFmtId="0" fontId="155" fillId="0" borderId="0"/>
    <xf numFmtId="0" fontId="155" fillId="0" borderId="0"/>
    <xf numFmtId="0" fontId="155" fillId="0" borderId="0"/>
    <xf numFmtId="0" fontId="155" fillId="0" borderId="0"/>
    <xf numFmtId="0" fontId="155"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5" fillId="0" borderId="0"/>
    <xf numFmtId="0" fontId="155" fillId="0" borderId="0"/>
    <xf numFmtId="0" fontId="155" fillId="0" borderId="0"/>
    <xf numFmtId="0" fontId="155" fillId="0" borderId="0"/>
    <xf numFmtId="0" fontId="155" fillId="0" borderId="0"/>
    <xf numFmtId="0" fontId="155" fillId="0" borderId="0"/>
    <xf numFmtId="0" fontId="155" fillId="0" borderId="0"/>
    <xf numFmtId="0" fontId="155" fillId="0" borderId="0"/>
    <xf numFmtId="0" fontId="155"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5"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2" fillId="0" borderId="0"/>
    <xf numFmtId="0" fontId="156" fillId="0" borderId="0"/>
    <xf numFmtId="0" fontId="155" fillId="0" borderId="0"/>
    <xf numFmtId="0" fontId="155" fillId="0" borderId="0"/>
    <xf numFmtId="0" fontId="155" fillId="0" borderId="0"/>
    <xf numFmtId="0" fontId="155" fillId="0" borderId="0"/>
    <xf numFmtId="0" fontId="155" fillId="0" borderId="0"/>
    <xf numFmtId="0" fontId="155" fillId="0" borderId="0"/>
    <xf numFmtId="0" fontId="155"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5" fillId="0" borderId="0"/>
    <xf numFmtId="0" fontId="155" fillId="0" borderId="0"/>
    <xf numFmtId="0" fontId="155" fillId="0" borderId="0"/>
    <xf numFmtId="0" fontId="155" fillId="0" borderId="0"/>
    <xf numFmtId="0" fontId="155" fillId="0" borderId="0"/>
    <xf numFmtId="0" fontId="155" fillId="0" borderId="0"/>
    <xf numFmtId="0" fontId="155" fillId="0" borderId="0"/>
    <xf numFmtId="0" fontId="155" fillId="0" borderId="0"/>
    <xf numFmtId="0" fontId="155" fillId="0" borderId="0"/>
    <xf numFmtId="0" fontId="155" fillId="0" borderId="0"/>
    <xf numFmtId="0" fontId="155" fillId="0" borderId="0"/>
    <xf numFmtId="0" fontId="152" fillId="0" borderId="0"/>
    <xf numFmtId="0" fontId="155" fillId="0" borderId="0"/>
    <xf numFmtId="0" fontId="155"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2" fillId="5" borderId="7" applyNumberFormat="0" applyFont="0" applyAlignment="0" applyProtection="0"/>
    <xf numFmtId="0" fontId="155" fillId="0" borderId="0"/>
    <xf numFmtId="0" fontId="155" fillId="0" borderId="0"/>
    <xf numFmtId="0" fontId="155" fillId="0" borderId="0"/>
    <xf numFmtId="0" fontId="155" fillId="0" borderId="0"/>
    <xf numFmtId="0" fontId="155" fillId="0" borderId="0"/>
    <xf numFmtId="0" fontId="155" fillId="0" borderId="0"/>
    <xf numFmtId="0" fontId="155" fillId="0" borderId="0"/>
    <xf numFmtId="0" fontId="155"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5" fillId="0" borderId="0"/>
    <xf numFmtId="0" fontId="155" fillId="0" borderId="0"/>
    <xf numFmtId="0" fontId="155" fillId="0" borderId="0"/>
    <xf numFmtId="0" fontId="155" fillId="0" borderId="0"/>
    <xf numFmtId="0" fontId="155" fillId="0" borderId="0"/>
    <xf numFmtId="0" fontId="155" fillId="0" borderId="0"/>
    <xf numFmtId="0" fontId="155" fillId="0" borderId="0"/>
    <xf numFmtId="0" fontId="155"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5"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2" fillId="0" borderId="0"/>
    <xf numFmtId="0" fontId="156" fillId="0" borderId="0"/>
    <xf numFmtId="0" fontId="152" fillId="0" borderId="0"/>
    <xf numFmtId="0" fontId="156" fillId="0" borderId="0"/>
    <xf numFmtId="0" fontId="152" fillId="0" borderId="0"/>
    <xf numFmtId="0" fontId="157" fillId="0" borderId="0"/>
    <xf numFmtId="0" fontId="155" fillId="0" borderId="0"/>
    <xf numFmtId="0" fontId="155" fillId="0" borderId="0"/>
    <xf numFmtId="0" fontId="155" fillId="0" borderId="0"/>
    <xf numFmtId="0" fontId="152" fillId="0" borderId="0"/>
    <xf numFmtId="0" fontId="152" fillId="0" borderId="0"/>
    <xf numFmtId="0" fontId="152" fillId="0" borderId="0"/>
    <xf numFmtId="0" fontId="152" fillId="0" borderId="0"/>
    <xf numFmtId="0" fontId="152" fillId="0" borderId="0"/>
    <xf numFmtId="0" fontId="155" fillId="0" borderId="0"/>
    <xf numFmtId="0" fontId="152" fillId="0" borderId="0"/>
    <xf numFmtId="0" fontId="152" fillId="0" borderId="0"/>
    <xf numFmtId="0" fontId="152" fillId="0" borderId="0"/>
    <xf numFmtId="0" fontId="152" fillId="0" borderId="0"/>
    <xf numFmtId="0" fontId="152" fillId="0" borderId="0"/>
    <xf numFmtId="0" fontId="156" fillId="0" borderId="0"/>
    <xf numFmtId="0" fontId="156" fillId="0" borderId="0"/>
    <xf numFmtId="0" fontId="157" fillId="0" borderId="0"/>
    <xf numFmtId="0" fontId="155" fillId="0" borderId="0"/>
    <xf numFmtId="0" fontId="155" fillId="0" borderId="0"/>
    <xf numFmtId="0" fontId="155"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6" fillId="0" borderId="0"/>
    <xf numFmtId="0" fontId="156" fillId="0" borderId="0"/>
    <xf numFmtId="0" fontId="115"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157" fillId="0" borderId="0"/>
    <xf numFmtId="0" fontId="19"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9" fontId="34" fillId="0" borderId="0" applyFont="0" applyFill="0" applyBorder="0" applyAlignment="0" applyProtection="0"/>
    <xf numFmtId="0" fontId="38" fillId="20" borderId="0" applyFont="0" applyBorder="0" applyAlignment="0">
      <alignment horizontal="center" wrapText="1"/>
    </xf>
    <xf numFmtId="0" fontId="38" fillId="20" borderId="0" applyFont="0" applyBorder="0" applyAlignment="0">
      <alignment horizontal="center" wrapText="1"/>
    </xf>
    <xf numFmtId="0" fontId="21" fillId="0" borderId="0"/>
    <xf numFmtId="9" fontId="33"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21" fillId="0" borderId="0"/>
    <xf numFmtId="0" fontId="21" fillId="0" borderId="0"/>
    <xf numFmtId="0" fontId="33" fillId="0" borderId="0"/>
    <xf numFmtId="0" fontId="11" fillId="0" borderId="0"/>
    <xf numFmtId="0" fontId="21" fillId="0" borderId="0"/>
    <xf numFmtId="0" fontId="21" fillId="0" borderId="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3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1" fillId="0" borderId="0"/>
    <xf numFmtId="0" fontId="19" fillId="0" borderId="0"/>
    <xf numFmtId="0" fontId="11" fillId="0" borderId="0"/>
    <xf numFmtId="9" fontId="31" fillId="0" borderId="0" applyFont="0" applyFill="0" applyBorder="0" applyAlignment="0" applyProtection="0"/>
    <xf numFmtId="0" fontId="32" fillId="20" borderId="0" applyFont="0" applyBorder="0" applyAlignment="0">
      <alignment horizontal="center" wrapText="1"/>
    </xf>
    <xf numFmtId="0" fontId="11" fillId="0" borderId="0"/>
    <xf numFmtId="0" fontId="19" fillId="0" borderId="0"/>
    <xf numFmtId="0" fontId="19" fillId="0" borderId="0"/>
    <xf numFmtId="0" fontId="11" fillId="0" borderId="0"/>
    <xf numFmtId="0" fontId="21" fillId="0" borderId="0"/>
    <xf numFmtId="0" fontId="19" fillId="0" borderId="0"/>
    <xf numFmtId="0" fontId="11" fillId="0" borderId="0"/>
    <xf numFmtId="0" fontId="11" fillId="0" borderId="0"/>
    <xf numFmtId="0" fontId="19" fillId="0" borderId="0"/>
    <xf numFmtId="0" fontId="11" fillId="0" borderId="0"/>
    <xf numFmtId="0" fontId="11"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9" fillId="0" borderId="0"/>
    <xf numFmtId="0" fontId="11" fillId="0" borderId="0"/>
    <xf numFmtId="0" fontId="11" fillId="0" borderId="0"/>
    <xf numFmtId="0" fontId="19" fillId="0" borderId="0"/>
    <xf numFmtId="0" fontId="19" fillId="0" borderId="0"/>
    <xf numFmtId="0" fontId="11" fillId="0" borderId="0"/>
    <xf numFmtId="0" fontId="11" fillId="0" borderId="0"/>
    <xf numFmtId="0" fontId="11" fillId="0" borderId="0"/>
    <xf numFmtId="0" fontId="21" fillId="0" borderId="0"/>
    <xf numFmtId="0" fontId="21" fillId="0" borderId="0"/>
    <xf numFmtId="44" fontId="33" fillId="0" borderId="0" applyFont="0" applyFill="0" applyBorder="0" applyAlignment="0" applyProtection="0"/>
    <xf numFmtId="43" fontId="33" fillId="0" borderId="0" applyFont="0" applyFill="0" applyBorder="0" applyAlignment="0" applyProtection="0"/>
    <xf numFmtId="0" fontId="11" fillId="5" borderId="7" applyNumberFormat="0" applyFont="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11" fillId="0" borderId="0"/>
    <xf numFmtId="0" fontId="19" fillId="0" borderId="0"/>
    <xf numFmtId="0" fontId="21"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9" fillId="0" borderId="0"/>
    <xf numFmtId="0" fontId="19" fillId="0" borderId="0"/>
    <xf numFmtId="0" fontId="19" fillId="0" borderId="0"/>
    <xf numFmtId="0" fontId="21" fillId="0" borderId="0"/>
    <xf numFmtId="0" fontId="21" fillId="0" borderId="0"/>
    <xf numFmtId="0" fontId="11" fillId="0" borderId="0"/>
    <xf numFmtId="0" fontId="33" fillId="43" borderId="54" applyNumberFormat="0" applyFont="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43" borderId="54" applyNumberFormat="0" applyFont="0" applyAlignment="0" applyProtection="0"/>
    <xf numFmtId="0" fontId="19" fillId="0" borderId="0"/>
    <xf numFmtId="0" fontId="21" fillId="0" borderId="0"/>
    <xf numFmtId="0" fontId="34" fillId="0" borderId="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11"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21" fillId="0" borderId="0"/>
    <xf numFmtId="43" fontId="34" fillId="0" borderId="0" applyFont="0" applyFill="0" applyBorder="0" applyAlignment="0" applyProtection="0"/>
    <xf numFmtId="0" fontId="21"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11" fillId="0" borderId="0"/>
    <xf numFmtId="43" fontId="33" fillId="0" borderId="0" applyFont="0" applyFill="0" applyBorder="0" applyAlignment="0" applyProtection="0"/>
    <xf numFmtId="44" fontId="33" fillId="0" borderId="0" applyFont="0" applyFill="0" applyBorder="0" applyAlignment="0" applyProtection="0"/>
    <xf numFmtId="0" fontId="19" fillId="0" borderId="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19"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21"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11" fillId="0" borderId="0" applyFont="0" applyFill="0" applyBorder="0" applyAlignment="0" applyProtection="0"/>
    <xf numFmtId="43" fontId="33" fillId="0" borderId="0" applyFont="0" applyFill="0" applyBorder="0" applyAlignment="0" applyProtection="0"/>
    <xf numFmtId="0" fontId="11" fillId="0" borderId="0"/>
    <xf numFmtId="0" fontId="33" fillId="0" borderId="0"/>
    <xf numFmtId="0" fontId="11" fillId="0" borderId="0"/>
    <xf numFmtId="0" fontId="11" fillId="0" borderId="0"/>
    <xf numFmtId="0" fontId="34" fillId="43" borderId="54" applyNumberFormat="0" applyFont="0" applyAlignment="0" applyProtection="0"/>
    <xf numFmtId="0" fontId="11" fillId="0" borderId="0"/>
    <xf numFmtId="0" fontId="11" fillId="0" borderId="0"/>
    <xf numFmtId="0" fontId="33" fillId="0" borderId="0"/>
    <xf numFmtId="0" fontId="11" fillId="0" borderId="0"/>
    <xf numFmtId="0" fontId="11" fillId="0" borderId="0"/>
    <xf numFmtId="0" fontId="34" fillId="0" borderId="0"/>
    <xf numFmtId="44" fontId="1" fillId="0" borderId="0" applyFont="0" applyFill="0" applyBorder="0" applyAlignment="0" applyProtection="0"/>
    <xf numFmtId="43" fontId="31" fillId="0" borderId="0" applyFont="0" applyFill="0" applyBorder="0" applyAlignment="0" applyProtection="0"/>
    <xf numFmtId="43" fontId="34" fillId="0" borderId="0" applyFont="0" applyFill="0" applyBorder="0" applyAlignment="0" applyProtection="0"/>
    <xf numFmtId="43"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3" fillId="0" borderId="0" applyFont="0" applyFill="0" applyBorder="0" applyAlignment="0" applyProtection="0"/>
    <xf numFmtId="44" fontId="34" fillId="0" borderId="0" applyFont="0" applyFill="0" applyBorder="0" applyAlignment="0" applyProtection="0"/>
    <xf numFmtId="0" fontId="19" fillId="0" borderId="0"/>
    <xf numFmtId="0" fontId="19" fillId="0" borderId="0"/>
    <xf numFmtId="0" fontId="11" fillId="0" borderId="0"/>
    <xf numFmtId="9"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38" fillId="20" borderId="0" applyFont="0" applyBorder="0" applyAlignment="0">
      <alignment horizontal="center" wrapText="1"/>
    </xf>
    <xf numFmtId="43" fontId="33" fillId="0" borderId="0" applyFont="0" applyFill="0" applyBorder="0" applyAlignment="0" applyProtection="0"/>
    <xf numFmtId="44" fontId="33" fillId="0" borderId="0" applyFont="0" applyFill="0" applyBorder="0" applyAlignment="0" applyProtection="0"/>
    <xf numFmtId="43" fontId="31" fillId="0" borderId="0" applyFont="0" applyFill="0" applyBorder="0" applyAlignment="0" applyProtection="0"/>
    <xf numFmtId="44" fontId="1" fillId="0" borderId="0" applyFont="0" applyFill="0" applyBorder="0" applyAlignment="0" applyProtection="0"/>
    <xf numFmtId="0" fontId="11" fillId="0" borderId="0"/>
    <xf numFmtId="0" fontId="11" fillId="0" borderId="0"/>
    <xf numFmtId="0" fontId="21" fillId="0" borderId="0"/>
    <xf numFmtId="0" fontId="11" fillId="0" borderId="0"/>
    <xf numFmtId="0" fontId="11" fillId="0" borderId="0"/>
    <xf numFmtId="0" fontId="11" fillId="0" borderId="0"/>
    <xf numFmtId="0" fontId="19" fillId="0" borderId="0"/>
    <xf numFmtId="0" fontId="11" fillId="0" borderId="0"/>
    <xf numFmtId="0" fontId="11" fillId="0" borderId="0"/>
    <xf numFmtId="0" fontId="21" fillId="0" borderId="0"/>
    <xf numFmtId="0" fontId="11" fillId="0" borderId="0"/>
    <xf numFmtId="0" fontId="19" fillId="0" borderId="0"/>
    <xf numFmtId="0" fontId="11" fillId="0" borderId="0"/>
    <xf numFmtId="0" fontId="19" fillId="0" borderId="0"/>
    <xf numFmtId="0" fontId="19" fillId="0" borderId="0"/>
    <xf numFmtId="0" fontId="11" fillId="0" borderId="0"/>
    <xf numFmtId="0" fontId="21" fillId="0" borderId="0"/>
    <xf numFmtId="0" fontId="11" fillId="0" borderId="0"/>
    <xf numFmtId="0" fontId="19" fillId="0" borderId="0"/>
    <xf numFmtId="0" fontId="19" fillId="0" borderId="0"/>
    <xf numFmtId="0" fontId="11" fillId="0" borderId="0"/>
    <xf numFmtId="0" fontId="11" fillId="0" borderId="0"/>
    <xf numFmtId="0" fontId="19" fillId="0" borderId="0"/>
    <xf numFmtId="0" fontId="11" fillId="0" borderId="0"/>
    <xf numFmtId="0" fontId="19" fillId="0" borderId="0"/>
    <xf numFmtId="0" fontId="21" fillId="0" borderId="0"/>
    <xf numFmtId="0" fontId="11" fillId="0" borderId="0"/>
    <xf numFmtId="0" fontId="11" fillId="0" borderId="0"/>
    <xf numFmtId="0" fontId="11" fillId="5" borderId="7" applyNumberFormat="0" applyFont="0" applyAlignment="0" applyProtection="0"/>
    <xf numFmtId="0" fontId="19" fillId="0" borderId="0"/>
    <xf numFmtId="0" fontId="19" fillId="0" borderId="0"/>
    <xf numFmtId="0" fontId="11" fillId="0" borderId="0"/>
    <xf numFmtId="43" fontId="3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4" fontId="31" fillId="0" borderId="0" applyFont="0" applyFill="0" applyBorder="0" applyAlignment="0" applyProtection="0"/>
    <xf numFmtId="44" fontId="1" fillId="0" borderId="0" applyFont="0" applyFill="0" applyBorder="0" applyAlignment="0" applyProtection="0"/>
    <xf numFmtId="44" fontId="31" fillId="0" borderId="0" applyFont="0" applyFill="0" applyBorder="0" applyAlignment="0" applyProtection="0"/>
    <xf numFmtId="9" fontId="31" fillId="0" borderId="0" applyFont="0" applyFill="0" applyBorder="0" applyAlignment="0" applyProtection="0"/>
    <xf numFmtId="0" fontId="32" fillId="20" borderId="0" applyFont="0" applyBorder="0" applyAlignment="0">
      <alignment horizontal="center" wrapText="1"/>
    </xf>
    <xf numFmtId="0" fontId="11" fillId="0" borderId="0"/>
    <xf numFmtId="0" fontId="11" fillId="5" borderId="7"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5" borderId="7"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0" borderId="0"/>
    <xf numFmtId="0" fontId="21" fillId="0" borderId="0"/>
    <xf numFmtId="0" fontId="11" fillId="0" borderId="0"/>
    <xf numFmtId="43" fontId="1" fillId="0" borderId="0" applyFont="0" applyFill="0" applyBorder="0" applyAlignment="0" applyProtection="0"/>
    <xf numFmtId="0" fontId="33" fillId="0" borderId="0"/>
    <xf numFmtId="0" fontId="19" fillId="0" borderId="0"/>
    <xf numFmtId="0" fontId="19" fillId="0" borderId="0"/>
    <xf numFmtId="0" fontId="11" fillId="0" borderId="0"/>
    <xf numFmtId="0" fontId="11" fillId="0" borderId="0"/>
    <xf numFmtId="0" fontId="11" fillId="0" borderId="0"/>
    <xf numFmtId="0" fontId="11" fillId="0" borderId="0"/>
    <xf numFmtId="0" fontId="21" fillId="0" borderId="0"/>
    <xf numFmtId="0" fontId="21" fillId="0" borderId="0"/>
    <xf numFmtId="0" fontId="19" fillId="0" borderId="0"/>
    <xf numFmtId="0" fontId="11" fillId="0" borderId="0"/>
    <xf numFmtId="0" fontId="21" fillId="0" borderId="0"/>
    <xf numFmtId="0" fontId="19" fillId="0" borderId="0"/>
    <xf numFmtId="0" fontId="11" fillId="0" borderId="0"/>
    <xf numFmtId="0" fontId="11" fillId="0" borderId="0"/>
    <xf numFmtId="0" fontId="19" fillId="0" borderId="0"/>
    <xf numFmtId="0" fontId="11" fillId="0" borderId="0"/>
    <xf numFmtId="0" fontId="11" fillId="0" borderId="0"/>
    <xf numFmtId="0" fontId="21" fillId="0" borderId="0"/>
    <xf numFmtId="0" fontId="11" fillId="5" borderId="7"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5" borderId="7"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0" borderId="0"/>
    <xf numFmtId="0" fontId="21" fillId="0" borderId="0"/>
    <xf numFmtId="0" fontId="11" fillId="0" borderId="0"/>
    <xf numFmtId="0" fontId="21" fillId="0" borderId="0"/>
    <xf numFmtId="0" fontId="11" fillId="0" borderId="0"/>
    <xf numFmtId="0" fontId="115" fillId="0" borderId="0"/>
    <xf numFmtId="43" fontId="115" fillId="0" borderId="0" applyFont="0" applyFill="0" applyBorder="0" applyAlignment="0" applyProtection="0"/>
    <xf numFmtId="0" fontId="115" fillId="0" borderId="0"/>
    <xf numFmtId="0" fontId="19" fillId="0" borderId="0"/>
    <xf numFmtId="0" fontId="19" fillId="0" borderId="0"/>
    <xf numFmtId="0" fontId="19" fillId="0" borderId="0"/>
    <xf numFmtId="0" fontId="11"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21" fillId="0" borderId="0"/>
    <xf numFmtId="0" fontId="21" fillId="0" borderId="0"/>
    <xf numFmtId="0" fontId="115"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196" fillId="0" borderId="0"/>
  </cellStyleXfs>
  <cellXfs count="1288">
    <xf numFmtId="0" fontId="0" fillId="0" borderId="0" xfId="0"/>
    <xf numFmtId="164" fontId="39" fillId="0" borderId="0" xfId="439" applyNumberFormat="1" applyFont="1" applyFill="1" applyAlignment="1" applyProtection="1">
      <alignment horizontal="center" wrapText="1"/>
    </xf>
    <xf numFmtId="0" fontId="43" fillId="0" borderId="0" xfId="0" applyFont="1" applyProtection="1"/>
    <xf numFmtId="0" fontId="0" fillId="0" borderId="0" xfId="0" applyFont="1" applyProtection="1"/>
    <xf numFmtId="0" fontId="0" fillId="0" borderId="0" xfId="0" applyFont="1" applyAlignment="1" applyProtection="1">
      <alignment horizontal="center" vertical="center" wrapText="1"/>
    </xf>
    <xf numFmtId="0" fontId="0" fillId="0" borderId="0" xfId="0" applyFont="1" applyAlignment="1" applyProtection="1">
      <alignment horizontal="center" vertical="center"/>
    </xf>
    <xf numFmtId="0" fontId="0" fillId="0" borderId="0" xfId="0" applyNumberFormat="1" applyFont="1" applyFill="1" applyAlignment="1" applyProtection="1">
      <alignment horizontal="left" vertical="center" wrapText="1" indent="6"/>
    </xf>
    <xf numFmtId="0" fontId="40" fillId="21" borderId="0" xfId="0" applyFont="1" applyFill="1" applyBorder="1" applyAlignment="1" applyProtection="1">
      <alignment horizontal="center" wrapText="1"/>
    </xf>
    <xf numFmtId="0" fontId="48" fillId="24" borderId="10" xfId="0" applyFont="1" applyFill="1" applyBorder="1" applyAlignment="1" applyProtection="1">
      <alignment horizontal="center" wrapText="1"/>
    </xf>
    <xf numFmtId="0" fontId="41" fillId="0" borderId="0" xfId="0" applyFont="1" applyAlignment="1" applyProtection="1">
      <alignment horizontal="left" wrapText="1"/>
    </xf>
    <xf numFmtId="0" fontId="41" fillId="0" borderId="0" xfId="0" applyFont="1" applyAlignment="1" applyProtection="1">
      <alignment horizontal="left" vertical="center" wrapText="1"/>
    </xf>
    <xf numFmtId="0" fontId="41" fillId="24" borderId="0" xfId="0" applyFont="1" applyFill="1" applyBorder="1" applyAlignment="1" applyProtection="1">
      <alignment horizontal="left" wrapText="1"/>
    </xf>
    <xf numFmtId="0" fontId="39" fillId="0" borderId="0" xfId="0" applyFont="1" applyAlignment="1" applyProtection="1">
      <alignment horizontal="center"/>
    </xf>
    <xf numFmtId="167" fontId="39" fillId="23" borderId="0" xfId="545" applyNumberFormat="1" applyFont="1" applyFill="1" applyProtection="1"/>
    <xf numFmtId="0" fontId="51" fillId="25" borderId="0" xfId="0" applyFont="1" applyFill="1" applyAlignment="1" applyProtection="1">
      <alignment horizontal="center" wrapText="1"/>
    </xf>
    <xf numFmtId="0" fontId="52" fillId="21" borderId="10" xfId="0" applyFont="1" applyFill="1" applyBorder="1" applyAlignment="1" applyProtection="1">
      <alignment horizontal="center" wrapText="1"/>
    </xf>
    <xf numFmtId="0" fontId="52" fillId="21" borderId="0" xfId="0" applyFont="1" applyFill="1" applyBorder="1" applyAlignment="1" applyProtection="1">
      <alignment horizontal="center" wrapText="1"/>
    </xf>
    <xf numFmtId="0" fontId="0" fillId="0" borderId="0" xfId="0" applyFont="1" applyAlignment="1" applyProtection="1">
      <alignment wrapText="1"/>
      <protection locked="0"/>
    </xf>
    <xf numFmtId="0" fontId="0" fillId="0" borderId="0" xfId="0" applyFont="1" applyFill="1" applyProtection="1"/>
    <xf numFmtId="0" fontId="54" fillId="26" borderId="0" xfId="682" applyFont="1" applyFill="1"/>
    <xf numFmtId="0" fontId="54" fillId="0" borderId="0" xfId="682" applyFont="1" applyFill="1"/>
    <xf numFmtId="0" fontId="39" fillId="0" borderId="0" xfId="682" applyFont="1"/>
    <xf numFmtId="40" fontId="55" fillId="0" borderId="0" xfId="0" applyNumberFormat="1" applyFont="1"/>
    <xf numFmtId="0" fontId="52" fillId="0" borderId="0" xfId="0" applyFont="1"/>
    <xf numFmtId="0" fontId="0" fillId="0" borderId="0" xfId="0" applyNumberFormat="1" applyFont="1" applyFill="1" applyAlignment="1" applyProtection="1">
      <alignment vertical="center" wrapText="1"/>
    </xf>
    <xf numFmtId="0" fontId="0" fillId="0" borderId="0" xfId="0" applyNumberFormat="1" applyFont="1" applyFill="1" applyAlignment="1" applyProtection="1">
      <alignment horizontal="left" vertical="center" wrapText="1"/>
    </xf>
    <xf numFmtId="0" fontId="57" fillId="0" borderId="0" xfId="0" applyNumberFormat="1" applyFont="1" applyFill="1" applyAlignment="1" applyProtection="1">
      <alignment vertical="center" wrapText="1"/>
    </xf>
    <xf numFmtId="0" fontId="39" fillId="0" borderId="0" xfId="0" applyNumberFormat="1" applyFont="1" applyFill="1" applyAlignment="1" applyProtection="1">
      <alignment horizontal="left" vertical="center" wrapText="1" indent="3"/>
    </xf>
    <xf numFmtId="0" fontId="54" fillId="0" borderId="0" xfId="0" applyNumberFormat="1" applyFont="1" applyFill="1" applyAlignment="1" applyProtection="1">
      <alignment vertical="center" wrapText="1"/>
    </xf>
    <xf numFmtId="0" fontId="54" fillId="0" borderId="0" xfId="0" applyNumberFormat="1" applyFont="1" applyFill="1" applyAlignment="1" applyProtection="1">
      <alignment horizontal="left" vertical="center" wrapText="1" indent="3"/>
    </xf>
    <xf numFmtId="0" fontId="54" fillId="0" borderId="14" xfId="0" applyNumberFormat="1" applyFont="1" applyFill="1" applyBorder="1" applyAlignment="1" applyProtection="1">
      <alignment horizontal="left" vertical="center" wrapText="1" indent="3"/>
    </xf>
    <xf numFmtId="0" fontId="54" fillId="0" borderId="0" xfId="0" applyNumberFormat="1" applyFont="1" applyFill="1" applyAlignment="1" applyProtection="1">
      <alignment horizontal="left" vertical="center" wrapText="1" indent="6"/>
    </xf>
    <xf numFmtId="0" fontId="45" fillId="0" borderId="0" xfId="0" applyNumberFormat="1" applyFont="1" applyFill="1" applyAlignment="1" applyProtection="1">
      <alignment horizontal="center" vertical="center"/>
    </xf>
    <xf numFmtId="0" fontId="0" fillId="0" borderId="0" xfId="0" applyNumberFormat="1" applyFont="1" applyFill="1" applyAlignment="1" applyProtection="1">
      <alignment horizontal="center"/>
    </xf>
    <xf numFmtId="40" fontId="45" fillId="0" borderId="0" xfId="439" applyNumberFormat="1" applyFont="1" applyFill="1" applyAlignment="1" applyProtection="1">
      <alignment horizontal="center" vertical="center" wrapText="1"/>
    </xf>
    <xf numFmtId="173" fontId="45" fillId="0" borderId="0" xfId="439" applyNumberFormat="1" applyFont="1" applyFill="1" applyAlignment="1" applyProtection="1">
      <alignment horizontal="center" vertical="center" wrapText="1"/>
    </xf>
    <xf numFmtId="164" fontId="58" fillId="23" borderId="23" xfId="439" applyNumberFormat="1" applyFont="1" applyFill="1" applyBorder="1" applyAlignment="1" applyProtection="1">
      <alignment horizontal="center" vertical="center" wrapText="1"/>
    </xf>
    <xf numFmtId="0" fontId="0" fillId="22" borderId="0" xfId="0" applyFont="1" applyFill="1" applyBorder="1" applyAlignment="1" applyProtection="1">
      <alignment vertical="center"/>
    </xf>
    <xf numFmtId="0" fontId="59" fillId="0" borderId="25" xfId="0" applyNumberFormat="1" applyFont="1" applyFill="1" applyBorder="1" applyAlignment="1" applyProtection="1">
      <alignment horizontal="center" vertical="center"/>
    </xf>
    <xf numFmtId="0" fontId="60" fillId="0" borderId="25" xfId="0" applyNumberFormat="1" applyFont="1" applyFill="1" applyBorder="1" applyAlignment="1" applyProtection="1">
      <alignment horizontal="center" vertical="center"/>
    </xf>
    <xf numFmtId="0" fontId="39" fillId="23" borderId="25" xfId="0" applyNumberFormat="1" applyFont="1" applyFill="1" applyBorder="1" applyAlignment="1" applyProtection="1">
      <alignment horizontal="center" vertical="center"/>
    </xf>
    <xf numFmtId="0" fontId="39" fillId="0" borderId="26" xfId="0" applyNumberFormat="1" applyFont="1" applyFill="1" applyBorder="1" applyAlignment="1" applyProtection="1">
      <alignment horizontal="center" vertical="center"/>
    </xf>
    <xf numFmtId="0" fontId="50" fillId="24" borderId="21" xfId="0" applyFont="1" applyFill="1" applyBorder="1" applyAlignment="1" applyProtection="1">
      <alignment horizontal="center" vertical="center" wrapText="1"/>
    </xf>
    <xf numFmtId="0" fontId="0" fillId="0" borderId="30" xfId="0" applyFont="1" applyFill="1" applyBorder="1" applyAlignment="1" applyProtection="1">
      <alignment vertical="center" wrapText="1"/>
    </xf>
    <xf numFmtId="0" fontId="40" fillId="24" borderId="0" xfId="0" applyFont="1" applyFill="1" applyBorder="1" applyAlignment="1" applyProtection="1">
      <alignment horizontal="center" vertical="center" wrapText="1"/>
    </xf>
    <xf numFmtId="0" fontId="52" fillId="21" borderId="10" xfId="0" applyFont="1" applyFill="1" applyBorder="1" applyAlignment="1" applyProtection="1">
      <alignment horizontal="center" vertical="center" wrapText="1"/>
    </xf>
    <xf numFmtId="164" fontId="58" fillId="0" borderId="31" xfId="439" applyNumberFormat="1" applyFont="1" applyFill="1" applyBorder="1" applyAlignment="1" applyProtection="1">
      <alignment horizontal="center" vertical="center" wrapText="1"/>
    </xf>
    <xf numFmtId="0" fontId="51" fillId="25" borderId="0" xfId="0" applyFont="1" applyFill="1" applyAlignment="1" applyProtection="1">
      <alignment horizontal="center" vertical="center"/>
    </xf>
    <xf numFmtId="0" fontId="40" fillId="23" borderId="0" xfId="0" applyFont="1" applyFill="1" applyAlignment="1" applyProtection="1">
      <alignment vertical="center" wrapText="1"/>
    </xf>
    <xf numFmtId="0" fontId="40" fillId="21" borderId="0" xfId="0" applyFont="1" applyFill="1" applyBorder="1" applyAlignment="1" applyProtection="1">
      <alignment horizontal="center" vertical="center" wrapText="1"/>
    </xf>
    <xf numFmtId="0" fontId="0" fillId="0" borderId="31" xfId="0" applyFont="1" applyFill="1" applyBorder="1" applyAlignment="1" applyProtection="1">
      <alignment vertical="center" wrapText="1"/>
    </xf>
    <xf numFmtId="0" fontId="58" fillId="0" borderId="0" xfId="0" applyFont="1" applyProtection="1"/>
    <xf numFmtId="0" fontId="58" fillId="23" borderId="23" xfId="0" applyNumberFormat="1" applyFont="1" applyFill="1" applyBorder="1" applyAlignment="1" applyProtection="1">
      <alignment horizontal="left" vertical="center" wrapText="1"/>
    </xf>
    <xf numFmtId="0" fontId="58" fillId="0" borderId="31" xfId="0" applyNumberFormat="1" applyFont="1" applyFill="1" applyBorder="1" applyAlignment="1" applyProtection="1">
      <alignment horizontal="left" vertical="center" wrapText="1"/>
    </xf>
    <xf numFmtId="49" fontId="0" fillId="0" borderId="33" xfId="0" applyNumberFormat="1" applyFont="1" applyFill="1" applyBorder="1" applyAlignment="1">
      <alignment horizontal="center"/>
    </xf>
    <xf numFmtId="49" fontId="0" fillId="0" borderId="32" xfId="0" applyNumberFormat="1" applyFont="1" applyFill="1" applyBorder="1" applyAlignment="1">
      <alignment horizontal="center"/>
    </xf>
    <xf numFmtId="164" fontId="58" fillId="0" borderId="23" xfId="439" applyNumberFormat="1" applyFont="1" applyFill="1" applyBorder="1" applyAlignment="1" applyProtection="1">
      <alignment horizontal="center" vertical="center" wrapText="1"/>
      <protection locked="0"/>
    </xf>
    <xf numFmtId="0" fontId="0" fillId="0" borderId="0" xfId="0" applyFont="1" applyFill="1" applyAlignment="1" applyProtection="1">
      <alignment vertical="center" wrapText="1"/>
      <protection locked="0"/>
    </xf>
    <xf numFmtId="0" fontId="61" fillId="0" borderId="0" xfId="0" applyNumberFormat="1" applyFont="1" applyFill="1" applyAlignment="1" applyProtection="1">
      <alignment vertical="center" wrapText="1"/>
    </xf>
    <xf numFmtId="0" fontId="50" fillId="0" borderId="0" xfId="0" applyFont="1" applyAlignment="1" applyProtection="1">
      <alignment wrapText="1"/>
    </xf>
    <xf numFmtId="0" fontId="45" fillId="0" borderId="23" xfId="1243" applyFont="1" applyFill="1" applyBorder="1" applyAlignment="1" applyProtection="1">
      <alignment horizontal="left" vertical="center" wrapText="1"/>
    </xf>
    <xf numFmtId="164" fontId="51" fillId="25" borderId="0" xfId="439" applyNumberFormat="1" applyFont="1" applyFill="1" applyAlignment="1" applyProtection="1">
      <alignment horizontal="center"/>
    </xf>
    <xf numFmtId="0" fontId="62" fillId="0" borderId="0" xfId="0" applyFont="1" applyAlignment="1" applyProtection="1">
      <alignment horizontal="center" vertical="center" wrapText="1"/>
    </xf>
    <xf numFmtId="0" fontId="0" fillId="30" borderId="23" xfId="0" applyFont="1" applyFill="1" applyBorder="1" applyAlignment="1" applyProtection="1">
      <alignment vertical="center" wrapText="1"/>
    </xf>
    <xf numFmtId="164" fontId="58" fillId="22" borderId="23" xfId="439" applyNumberFormat="1" applyFont="1" applyFill="1" applyBorder="1" applyAlignment="1" applyProtection="1">
      <alignment horizontal="center" vertical="center" wrapText="1"/>
    </xf>
    <xf numFmtId="0" fontId="50" fillId="30" borderId="25" xfId="0" applyNumberFormat="1" applyFont="1" applyFill="1" applyBorder="1" applyAlignment="1" applyProtection="1">
      <alignment horizontal="center" vertical="center" wrapText="1"/>
    </xf>
    <xf numFmtId="164" fontId="50" fillId="24" borderId="10" xfId="439" applyNumberFormat="1" applyFont="1" applyFill="1" applyBorder="1" applyAlignment="1" applyProtection="1">
      <alignment horizontal="center" wrapText="1"/>
    </xf>
    <xf numFmtId="0" fontId="63" fillId="0" borderId="0" xfId="720" applyNumberFormat="1" applyFont="1" applyFill="1" applyAlignment="1" applyProtection="1">
      <alignment horizontal="left" vertical="center" wrapText="1"/>
    </xf>
    <xf numFmtId="39" fontId="39" fillId="0" borderId="0" xfId="0" applyNumberFormat="1" applyFont="1" applyAlignment="1" applyProtection="1">
      <alignment horizontal="center"/>
    </xf>
    <xf numFmtId="39" fontId="40" fillId="21" borderId="0" xfId="0" applyNumberFormat="1" applyFont="1" applyFill="1" applyBorder="1" applyAlignment="1" applyProtection="1">
      <alignment horizontal="center" wrapText="1"/>
    </xf>
    <xf numFmtId="39" fontId="58" fillId="0" borderId="29" xfId="439" applyNumberFormat="1" applyFont="1" applyFill="1" applyBorder="1" applyAlignment="1" applyProtection="1">
      <alignment horizontal="center" vertical="center" wrapText="1"/>
    </xf>
    <xf numFmtId="39" fontId="58" fillId="23" borderId="28" xfId="439" applyNumberFormat="1" applyFont="1" applyFill="1" applyBorder="1" applyAlignment="1" applyProtection="1">
      <alignment horizontal="center" vertical="center" wrapText="1"/>
    </xf>
    <xf numFmtId="0" fontId="40" fillId="0" borderId="0" xfId="0" applyFont="1" applyFill="1" applyAlignment="1" applyProtection="1">
      <alignment vertical="center" wrapText="1"/>
    </xf>
    <xf numFmtId="39" fontId="52" fillId="31" borderId="0" xfId="0" applyNumberFormat="1" applyFont="1" applyFill="1" applyBorder="1" applyAlignment="1" applyProtection="1">
      <alignment horizontal="center" wrapText="1"/>
    </xf>
    <xf numFmtId="0" fontId="39" fillId="32" borderId="25" xfId="0" applyNumberFormat="1" applyFont="1" applyFill="1" applyBorder="1" applyAlignment="1" applyProtection="1">
      <alignment horizontal="center" vertical="center"/>
    </xf>
    <xf numFmtId="0" fontId="0" fillId="32" borderId="23" xfId="0" applyFont="1" applyFill="1" applyBorder="1" applyAlignment="1" applyProtection="1">
      <alignment vertical="center" wrapText="1"/>
    </xf>
    <xf numFmtId="0" fontId="62" fillId="32" borderId="0" xfId="0" applyFont="1" applyFill="1" applyAlignment="1" applyProtection="1">
      <alignment horizontal="center" vertical="center" wrapText="1"/>
    </xf>
    <xf numFmtId="0" fontId="0" fillId="0" borderId="0" xfId="0" applyFont="1" applyProtection="1">
      <protection locked="0"/>
    </xf>
    <xf numFmtId="0" fontId="53" fillId="0" borderId="25" xfId="0" applyNumberFormat="1" applyFont="1" applyFill="1" applyBorder="1" applyAlignment="1" applyProtection="1">
      <alignment horizontal="left" vertical="center" wrapText="1"/>
    </xf>
    <xf numFmtId="0" fontId="41" fillId="0" borderId="25" xfId="0" applyNumberFormat="1" applyFont="1" applyFill="1" applyBorder="1" applyAlignment="1" applyProtection="1">
      <alignment horizontal="left" vertical="center" wrapText="1"/>
    </xf>
    <xf numFmtId="41" fontId="58" fillId="0" borderId="23" xfId="439" applyNumberFormat="1" applyFont="1" applyFill="1" applyBorder="1" applyAlignment="1" applyProtection="1">
      <alignment horizontal="center" vertical="center" wrapText="1"/>
    </xf>
    <xf numFmtId="0" fontId="48" fillId="0" borderId="23" xfId="439" applyNumberFormat="1" applyFont="1" applyFill="1" applyBorder="1" applyAlignment="1" applyProtection="1">
      <alignment horizontal="center" vertical="center" wrapText="1"/>
    </xf>
    <xf numFmtId="41" fontId="65" fillId="0" borderId="0" xfId="0" applyNumberFormat="1" applyFont="1" applyFill="1" applyAlignment="1" applyProtection="1">
      <alignment wrapText="1"/>
    </xf>
    <xf numFmtId="0" fontId="64" fillId="0" borderId="0" xfId="0" applyFont="1" applyFill="1" applyAlignment="1" applyProtection="1">
      <alignment horizontal="center" vertical="center"/>
    </xf>
    <xf numFmtId="0" fontId="50" fillId="0" borderId="0" xfId="0" applyFont="1" applyFill="1" applyAlignment="1" applyProtection="1">
      <alignment horizontal="center" vertical="center" wrapText="1"/>
    </xf>
    <xf numFmtId="0" fontId="58" fillId="0" borderId="23" xfId="439" applyNumberFormat="1" applyFont="1" applyFill="1" applyBorder="1" applyAlignment="1" applyProtection="1">
      <alignment horizontal="center" vertical="center" wrapText="1"/>
    </xf>
    <xf numFmtId="0" fontId="0" fillId="0" borderId="0" xfId="0" applyFont="1" applyFill="1" applyAlignment="1" applyProtection="1">
      <alignment vertical="center" wrapText="1"/>
    </xf>
    <xf numFmtId="170" fontId="58" fillId="29" borderId="23" xfId="439" applyNumberFormat="1" applyFont="1" applyFill="1" applyBorder="1" applyAlignment="1" applyProtection="1">
      <alignment horizontal="center" vertical="center" wrapText="1"/>
      <protection locked="0"/>
    </xf>
    <xf numFmtId="37" fontId="59" fillId="33" borderId="28" xfId="439" applyNumberFormat="1" applyFont="1" applyFill="1" applyBorder="1" applyAlignment="1" applyProtection="1">
      <alignment horizontal="center" vertical="center" wrapText="1"/>
    </xf>
    <xf numFmtId="37" fontId="39" fillId="0" borderId="28" xfId="439" applyNumberFormat="1" applyFont="1" applyFill="1" applyBorder="1" applyAlignment="1" applyProtection="1">
      <alignment horizontal="center" vertical="center" wrapText="1"/>
    </xf>
    <xf numFmtId="37" fontId="59" fillId="0" borderId="28" xfId="439" applyNumberFormat="1" applyFont="1" applyFill="1" applyBorder="1" applyAlignment="1" applyProtection="1">
      <alignment horizontal="center" vertical="center" wrapText="1"/>
    </xf>
    <xf numFmtId="0" fontId="0" fillId="0" borderId="23" xfId="0" applyNumberFormat="1" applyFont="1" applyFill="1" applyBorder="1" applyAlignment="1" applyProtection="1">
      <alignment vertical="center" wrapText="1"/>
    </xf>
    <xf numFmtId="0" fontId="0" fillId="0" borderId="0" xfId="0" applyFont="1" applyFill="1" applyAlignment="1">
      <alignment vertical="center" wrapText="1"/>
    </xf>
    <xf numFmtId="165" fontId="58" fillId="29" borderId="23" xfId="439" applyNumberFormat="1" applyFont="1" applyFill="1" applyBorder="1" applyAlignment="1" applyProtection="1">
      <alignment horizontal="center" vertical="center" wrapText="1"/>
      <protection locked="0"/>
    </xf>
    <xf numFmtId="0" fontId="0" fillId="28" borderId="0" xfId="0" applyNumberFormat="1" applyFont="1" applyFill="1" applyAlignment="1" applyProtection="1">
      <alignment vertical="center" wrapText="1"/>
    </xf>
    <xf numFmtId="0" fontId="58" fillId="22" borderId="25" xfId="0" applyNumberFormat="1" applyFont="1" applyFill="1" applyBorder="1" applyAlignment="1" applyProtection="1">
      <alignment horizontal="left" vertical="center" wrapText="1"/>
    </xf>
    <xf numFmtId="164" fontId="0" fillId="0" borderId="0" xfId="0" applyNumberFormat="1" applyFont="1" applyFill="1" applyProtection="1"/>
    <xf numFmtId="0" fontId="0" fillId="0" borderId="0" xfId="0" applyFill="1"/>
    <xf numFmtId="169" fontId="39" fillId="0" borderId="0" xfId="439" applyNumberFormat="1" applyFont="1" applyFill="1" applyAlignment="1" applyProtection="1">
      <alignment horizontal="center" vertical="center"/>
      <protection locked="0"/>
    </xf>
    <xf numFmtId="38" fontId="45" fillId="0" borderId="14" xfId="439" applyNumberFormat="1" applyFont="1" applyFill="1" applyBorder="1" applyAlignment="1" applyProtection="1">
      <alignment horizontal="center" vertical="center" wrapText="1"/>
    </xf>
    <xf numFmtId="0" fontId="0" fillId="0" borderId="10" xfId="0" applyFont="1" applyFill="1" applyBorder="1" applyAlignment="1" applyProtection="1">
      <alignment horizontal="left" vertical="center" wrapText="1"/>
    </xf>
    <xf numFmtId="171" fontId="58" fillId="0" borderId="29" xfId="439" applyNumberFormat="1" applyFont="1" applyFill="1" applyBorder="1" applyAlignment="1" applyProtection="1">
      <alignment horizontal="center" vertical="center" wrapText="1"/>
    </xf>
    <xf numFmtId="172" fontId="58" fillId="0" borderId="23" xfId="439" applyNumberFormat="1" applyFont="1" applyFill="1" applyBorder="1" applyAlignment="1" applyProtection="1">
      <alignment horizontal="center" vertical="center" wrapText="1"/>
    </xf>
    <xf numFmtId="0" fontId="39" fillId="0" borderId="24" xfId="0" applyNumberFormat="1" applyFont="1" applyFill="1" applyBorder="1" applyAlignment="1" applyProtection="1">
      <alignment horizontal="center" vertical="center"/>
    </xf>
    <xf numFmtId="0" fontId="54" fillId="0" borderId="0" xfId="0" applyNumberFormat="1" applyFont="1" applyFill="1" applyAlignment="1" applyProtection="1">
      <alignment horizontal="left" vertical="center" wrapText="1"/>
    </xf>
    <xf numFmtId="0" fontId="0" fillId="0" borderId="0" xfId="0" applyNumberFormat="1" applyFont="1" applyFill="1" applyAlignment="1" applyProtection="1">
      <alignment horizontal="center" vertical="center"/>
    </xf>
    <xf numFmtId="0" fontId="0" fillId="0" borderId="23" xfId="0" applyFont="1" applyFill="1" applyBorder="1" applyAlignment="1" applyProtection="1">
      <alignment vertical="center" wrapText="1"/>
      <protection locked="0"/>
    </xf>
    <xf numFmtId="164" fontId="58" fillId="29" borderId="44" xfId="439" applyNumberFormat="1" applyFont="1" applyFill="1" applyBorder="1" applyAlignment="1" applyProtection="1">
      <alignment horizontal="center" vertical="center" wrapText="1"/>
      <protection locked="0"/>
    </xf>
    <xf numFmtId="164" fontId="58" fillId="0" borderId="30" xfId="439" applyNumberFormat="1" applyFont="1" applyFill="1" applyBorder="1" applyAlignment="1" applyProtection="1">
      <alignment horizontal="center" vertical="center" wrapText="1"/>
    </xf>
    <xf numFmtId="39" fontId="58" fillId="0" borderId="27" xfId="439" applyNumberFormat="1" applyFont="1" applyFill="1" applyBorder="1" applyAlignment="1" applyProtection="1">
      <alignment horizontal="center" vertical="center" wrapText="1"/>
    </xf>
    <xf numFmtId="164" fontId="58" fillId="0" borderId="46" xfId="439" applyNumberFormat="1" applyFont="1" applyFill="1" applyBorder="1" applyAlignment="1" applyProtection="1">
      <alignment horizontal="center" vertical="center" wrapText="1"/>
    </xf>
    <xf numFmtId="0" fontId="39" fillId="32" borderId="26" xfId="0" applyNumberFormat="1" applyFont="1" applyFill="1" applyBorder="1" applyAlignment="1" applyProtection="1">
      <alignment horizontal="center" vertical="center"/>
    </xf>
    <xf numFmtId="0" fontId="0" fillId="32" borderId="31" xfId="0" applyFont="1" applyFill="1" applyBorder="1" applyAlignment="1" applyProtection="1">
      <alignment vertical="center" wrapText="1"/>
    </xf>
    <xf numFmtId="164" fontId="58" fillId="29" borderId="45" xfId="439" applyNumberFormat="1" applyFont="1" applyFill="1" applyBorder="1" applyAlignment="1" applyProtection="1">
      <alignment horizontal="center" vertical="center" wrapText="1"/>
      <protection locked="0"/>
    </xf>
    <xf numFmtId="0" fontId="58" fillId="0" borderId="30" xfId="0" applyNumberFormat="1" applyFont="1" applyFill="1" applyBorder="1" applyAlignment="1" applyProtection="1">
      <alignment horizontal="left" vertical="center" wrapText="1"/>
    </xf>
    <xf numFmtId="0" fontId="58" fillId="23" borderId="31" xfId="0" applyNumberFormat="1" applyFont="1" applyFill="1" applyBorder="1" applyAlignment="1" applyProtection="1">
      <alignment horizontal="left" vertical="center" wrapText="1"/>
    </xf>
    <xf numFmtId="0" fontId="58" fillId="23" borderId="31" xfId="439" applyNumberFormat="1" applyFont="1" applyFill="1" applyBorder="1" applyAlignment="1" applyProtection="1">
      <alignment horizontal="center" vertical="center" wrapText="1"/>
    </xf>
    <xf numFmtId="37" fontId="39" fillId="23" borderId="29" xfId="439" applyNumberFormat="1" applyFont="1" applyFill="1" applyBorder="1" applyAlignment="1" applyProtection="1">
      <alignment horizontal="center" vertical="center" wrapText="1"/>
    </xf>
    <xf numFmtId="0" fontId="39" fillId="23" borderId="26" xfId="0" applyNumberFormat="1" applyFont="1" applyFill="1" applyBorder="1" applyAlignment="1" applyProtection="1">
      <alignment horizontal="center" vertical="center"/>
    </xf>
    <xf numFmtId="37" fontId="39" fillId="0" borderId="27" xfId="439" applyNumberFormat="1" applyFont="1" applyFill="1" applyBorder="1" applyAlignment="1" applyProtection="1">
      <alignment horizontal="center" vertical="center" wrapText="1"/>
    </xf>
    <xf numFmtId="0" fontId="39" fillId="34" borderId="0" xfId="0" applyFont="1" applyFill="1" applyProtection="1"/>
    <xf numFmtId="0" fontId="0" fillId="0" borderId="36" xfId="0" applyNumberFormat="1" applyFont="1" applyFill="1" applyBorder="1" applyAlignment="1" applyProtection="1">
      <alignment horizontal="left" vertical="center" wrapText="1"/>
    </xf>
    <xf numFmtId="0" fontId="0" fillId="0" borderId="36" xfId="0" applyNumberFormat="1" applyFont="1" applyFill="1" applyBorder="1" applyAlignment="1" applyProtection="1">
      <alignment horizontal="center" vertical="center" wrapText="1"/>
    </xf>
    <xf numFmtId="0" fontId="0" fillId="34" borderId="23" xfId="0" applyFont="1" applyFill="1" applyBorder="1" applyAlignment="1" applyProtection="1">
      <alignment vertical="center" wrapText="1"/>
    </xf>
    <xf numFmtId="0" fontId="39" fillId="34" borderId="43" xfId="0" applyNumberFormat="1" applyFont="1" applyFill="1" applyBorder="1" applyAlignment="1" applyProtection="1">
      <alignment horizontal="center" vertical="center"/>
    </xf>
    <xf numFmtId="39" fontId="0" fillId="0" borderId="28" xfId="439" applyNumberFormat="1" applyFont="1" applyFill="1" applyBorder="1" applyAlignment="1" applyProtection="1">
      <alignment horizontal="center" vertical="center" wrapText="1"/>
    </xf>
    <xf numFmtId="39" fontId="0" fillId="0" borderId="28" xfId="439" applyNumberFormat="1" applyFont="1" applyFill="1" applyBorder="1" applyAlignment="1" applyProtection="1">
      <alignment vertical="center" wrapText="1"/>
    </xf>
    <xf numFmtId="164" fontId="0" fillId="0" borderId="0" xfId="439" applyNumberFormat="1" applyFont="1"/>
    <xf numFmtId="0" fontId="70" fillId="0" borderId="0" xfId="0" applyNumberFormat="1" applyFont="1" applyFill="1" applyAlignment="1" applyProtection="1">
      <alignment horizontal="left" vertical="center" wrapText="1" indent="6"/>
    </xf>
    <xf numFmtId="0" fontId="58" fillId="0" borderId="25" xfId="0" applyNumberFormat="1" applyFont="1" applyFill="1" applyBorder="1" applyAlignment="1" applyProtection="1">
      <alignment horizontal="left" vertical="center" wrapText="1"/>
    </xf>
    <xf numFmtId="0" fontId="0" fillId="23" borderId="23" xfId="0" applyFont="1" applyFill="1" applyBorder="1" applyAlignment="1" applyProtection="1">
      <alignment vertical="center" wrapText="1"/>
    </xf>
    <xf numFmtId="0" fontId="40" fillId="24" borderId="0" xfId="439" applyNumberFormat="1" applyFont="1" applyFill="1" applyBorder="1" applyAlignment="1" applyProtection="1">
      <alignment horizontal="center" wrapText="1"/>
    </xf>
    <xf numFmtId="41" fontId="66" fillId="0" borderId="0" xfId="0" applyNumberFormat="1" applyFont="1" applyFill="1" applyAlignment="1" applyProtection="1">
      <alignment wrapText="1"/>
    </xf>
    <xf numFmtId="14" fontId="58" fillId="0" borderId="23" xfId="439" applyNumberFormat="1" applyFont="1" applyFill="1" applyBorder="1" applyAlignment="1" applyProtection="1">
      <alignment horizontal="center" vertical="center" wrapText="1"/>
    </xf>
    <xf numFmtId="37" fontId="0" fillId="0" borderId="0" xfId="0" applyNumberFormat="1" applyFont="1" applyFill="1" applyAlignment="1" applyProtection="1">
      <alignment horizontal="center" vertical="center"/>
    </xf>
    <xf numFmtId="164" fontId="50" fillId="0" borderId="0" xfId="0" applyNumberFormat="1" applyFont="1" applyAlignment="1" applyProtection="1">
      <alignment wrapText="1"/>
    </xf>
    <xf numFmtId="164" fontId="58" fillId="22" borderId="23" xfId="439" applyNumberFormat="1" applyFont="1" applyFill="1" applyBorder="1" applyAlignment="1" applyProtection="1">
      <alignment horizontal="center" vertical="center" wrapText="1"/>
      <protection locked="0"/>
    </xf>
    <xf numFmtId="172" fontId="58" fillId="22" borderId="23" xfId="439" applyNumberFormat="1" applyFont="1" applyFill="1" applyBorder="1" applyAlignment="1" applyProtection="1">
      <alignment horizontal="center" vertical="center" wrapText="1"/>
    </xf>
    <xf numFmtId="39" fontId="58" fillId="22" borderId="28" xfId="439" applyNumberFormat="1" applyFont="1" applyFill="1" applyBorder="1" applyAlignment="1" applyProtection="1">
      <alignment horizontal="center" vertical="center" wrapText="1"/>
    </xf>
    <xf numFmtId="164" fontId="58" fillId="22" borderId="29" xfId="439" applyNumberFormat="1" applyFont="1" applyFill="1" applyBorder="1" applyAlignment="1" applyProtection="1">
      <alignment horizontal="center" vertical="center" wrapText="1"/>
    </xf>
    <xf numFmtId="0" fontId="39" fillId="22" borderId="24" xfId="0" applyNumberFormat="1" applyFont="1" applyFill="1" applyBorder="1" applyAlignment="1" applyProtection="1">
      <alignment horizontal="center" vertical="center"/>
    </xf>
    <xf numFmtId="164" fontId="58" fillId="29" borderId="31" xfId="439" applyNumberFormat="1" applyFont="1" applyFill="1" applyBorder="1" applyAlignment="1" applyProtection="1">
      <alignment horizontal="center" vertical="center" wrapText="1"/>
      <protection locked="0"/>
    </xf>
    <xf numFmtId="0" fontId="49" fillId="0" borderId="0" xfId="0" applyFont="1" applyAlignment="1" applyProtection="1">
      <alignment horizontal="center"/>
    </xf>
    <xf numFmtId="0" fontId="41" fillId="22" borderId="0" xfId="0" applyFont="1" applyFill="1" applyAlignment="1" applyProtection="1">
      <alignment horizontal="left" wrapText="1"/>
    </xf>
    <xf numFmtId="172" fontId="58" fillId="22" borderId="30" xfId="439" applyNumberFormat="1" applyFont="1" applyFill="1" applyBorder="1" applyAlignment="1" applyProtection="1">
      <alignment horizontal="center" vertical="center" wrapText="1"/>
    </xf>
    <xf numFmtId="175" fontId="58" fillId="75" borderId="23" xfId="439" applyNumberFormat="1" applyFont="1" applyFill="1" applyBorder="1" applyAlignment="1" applyProtection="1">
      <alignment horizontal="center" vertical="center" wrapText="1"/>
    </xf>
    <xf numFmtId="3" fontId="58" fillId="0" borderId="23" xfId="439" applyNumberFormat="1" applyFont="1" applyFill="1" applyBorder="1" applyAlignment="1" applyProtection="1">
      <alignment horizontal="center" vertical="center" wrapText="1"/>
      <protection locked="0"/>
    </xf>
    <xf numFmtId="180" fontId="58" fillId="75" borderId="23" xfId="439" applyNumberFormat="1" applyFont="1" applyFill="1" applyBorder="1" applyAlignment="1" applyProtection="1">
      <alignment horizontal="center" vertical="center" wrapText="1"/>
    </xf>
    <xf numFmtId="39" fontId="58" fillId="0" borderId="23" xfId="439" applyNumberFormat="1" applyFont="1" applyFill="1" applyBorder="1" applyAlignment="1" applyProtection="1">
      <alignment horizontal="center" vertical="center" wrapText="1"/>
    </xf>
    <xf numFmtId="3" fontId="58" fillId="0" borderId="31" xfId="439" applyNumberFormat="1" applyFont="1" applyFill="1" applyBorder="1" applyAlignment="1" applyProtection="1">
      <alignment horizontal="center" vertical="center" wrapText="1"/>
    </xf>
    <xf numFmtId="3" fontId="58" fillId="23" borderId="31" xfId="439" applyNumberFormat="1" applyFont="1" applyFill="1" applyBorder="1" applyAlignment="1" applyProtection="1">
      <alignment horizontal="center" vertical="center" wrapText="1"/>
    </xf>
    <xf numFmtId="3" fontId="58" fillId="23" borderId="23" xfId="439" applyNumberFormat="1" applyFont="1" applyFill="1" applyBorder="1" applyAlignment="1" applyProtection="1">
      <alignment horizontal="center" vertical="center" wrapText="1"/>
    </xf>
    <xf numFmtId="3" fontId="58" fillId="0" borderId="30" xfId="439" applyNumberFormat="1" applyFont="1" applyFill="1" applyBorder="1" applyAlignment="1" applyProtection="1">
      <alignment horizontal="center" vertical="center" wrapText="1"/>
    </xf>
    <xf numFmtId="37" fontId="58" fillId="0" borderId="23" xfId="439" applyNumberFormat="1" applyFont="1" applyFill="1" applyBorder="1" applyAlignment="1" applyProtection="1">
      <alignment horizontal="center" vertical="center" wrapText="1"/>
    </xf>
    <xf numFmtId="0" fontId="39" fillId="0" borderId="0" xfId="0" applyFont="1" applyAlignment="1" applyProtection="1">
      <alignment horizontal="left" vertical="center" wrapText="1"/>
    </xf>
    <xf numFmtId="0" fontId="64" fillId="0" borderId="0" xfId="0" applyFont="1" applyProtection="1"/>
    <xf numFmtId="0" fontId="39" fillId="0" borderId="57" xfId="0" applyFont="1" applyBorder="1"/>
    <xf numFmtId="0" fontId="39" fillId="26" borderId="16" xfId="0" applyFont="1" applyFill="1" applyBorder="1" applyAlignment="1" applyProtection="1">
      <alignment horizontal="left"/>
    </xf>
    <xf numFmtId="0" fontId="39" fillId="0" borderId="17" xfId="0" applyFont="1" applyBorder="1" applyAlignment="1">
      <alignment vertical="center"/>
    </xf>
    <xf numFmtId="0" fontId="39" fillId="0" borderId="0" xfId="0" applyFont="1" applyBorder="1" applyAlignment="1">
      <alignment vertical="center"/>
    </xf>
    <xf numFmtId="0" fontId="39" fillId="0" borderId="15" xfId="0" applyFont="1" applyBorder="1" applyAlignment="1">
      <alignment vertical="center"/>
    </xf>
    <xf numFmtId="3" fontId="39" fillId="0" borderId="0" xfId="439" applyNumberFormat="1" applyFont="1" applyFill="1" applyAlignment="1" applyProtection="1">
      <alignment horizontal="center" vertical="center" wrapText="1"/>
      <protection locked="0"/>
    </xf>
    <xf numFmtId="0" fontId="72" fillId="22" borderId="0" xfId="0" applyFont="1" applyFill="1" applyProtection="1"/>
    <xf numFmtId="0" fontId="119" fillId="22" borderId="0" xfId="0" applyFont="1" applyFill="1" applyProtection="1"/>
    <xf numFmtId="0" fontId="83" fillId="22" borderId="0" xfId="0" applyFont="1" applyFill="1" applyAlignment="1" applyProtection="1">
      <alignment vertical="center" wrapText="1"/>
    </xf>
    <xf numFmtId="0" fontId="83" fillId="22" borderId="0" xfId="0" applyFont="1" applyFill="1" applyAlignment="1" applyProtection="1">
      <alignment vertical="center"/>
      <protection locked="0"/>
    </xf>
    <xf numFmtId="0" fontId="83" fillId="22" borderId="0" xfId="0" applyFont="1" applyFill="1" applyAlignment="1" applyProtection="1">
      <alignment vertical="center"/>
    </xf>
    <xf numFmtId="0" fontId="0" fillId="0" borderId="0" xfId="0" applyAlignment="1">
      <alignment horizontal="center"/>
    </xf>
    <xf numFmtId="0" fontId="83" fillId="0" borderId="0" xfId="0" applyFont="1" applyAlignment="1">
      <alignment horizontal="center"/>
    </xf>
    <xf numFmtId="0" fontId="39" fillId="0" borderId="24" xfId="0" applyFont="1" applyBorder="1" applyAlignment="1">
      <alignment horizontal="center" vertical="center"/>
    </xf>
    <xf numFmtId="0" fontId="39" fillId="0" borderId="0" xfId="0" applyFont="1" applyAlignment="1">
      <alignment vertical="center"/>
    </xf>
    <xf numFmtId="0" fontId="0" fillId="34" borderId="45" xfId="0" applyFont="1" applyFill="1" applyBorder="1" applyAlignment="1">
      <alignment vertical="center" wrapText="1"/>
    </xf>
    <xf numFmtId="171" fontId="58" fillId="75" borderId="29" xfId="439" applyNumberFormat="1" applyFont="1" applyFill="1" applyBorder="1" applyAlignment="1" applyProtection="1">
      <alignment horizontal="center" vertical="center" wrapText="1"/>
    </xf>
    <xf numFmtId="0" fontId="39" fillId="74" borderId="63" xfId="0" applyNumberFormat="1" applyFont="1" applyFill="1" applyBorder="1" applyAlignment="1" applyProtection="1">
      <alignment horizontal="center" vertical="center"/>
    </xf>
    <xf numFmtId="0" fontId="120" fillId="73" borderId="0" xfId="0" applyFont="1" applyFill="1" applyAlignment="1">
      <alignment vertical="center" wrapText="1"/>
    </xf>
    <xf numFmtId="0" fontId="47" fillId="73" borderId="0" xfId="0" applyFont="1" applyFill="1" applyAlignment="1">
      <alignment horizontal="justify" vertical="center"/>
    </xf>
    <xf numFmtId="0" fontId="125" fillId="77" borderId="0" xfId="0" applyFont="1" applyFill="1" applyAlignment="1">
      <alignment vertical="center"/>
    </xf>
    <xf numFmtId="0" fontId="62" fillId="0" borderId="45" xfId="0" applyFont="1" applyFill="1" applyBorder="1" applyAlignment="1" applyProtection="1">
      <alignment horizontal="center" vertical="center" wrapText="1"/>
    </xf>
    <xf numFmtId="0" fontId="62" fillId="32" borderId="45" xfId="0" applyFont="1" applyFill="1" applyBorder="1" applyAlignment="1" applyProtection="1">
      <alignment horizontal="center" vertical="center" wrapText="1"/>
    </xf>
    <xf numFmtId="0" fontId="58" fillId="31" borderId="25" xfId="0" applyNumberFormat="1" applyFont="1" applyFill="1" applyBorder="1" applyAlignment="1" applyProtection="1">
      <alignment horizontal="left" vertical="center" wrapText="1"/>
    </xf>
    <xf numFmtId="0" fontId="41" fillId="31" borderId="65" xfId="0" applyFont="1" applyFill="1" applyBorder="1" applyAlignment="1">
      <alignment wrapText="1"/>
    </xf>
    <xf numFmtId="14" fontId="41" fillId="31" borderId="65" xfId="0" applyNumberFormat="1" applyFont="1" applyFill="1" applyBorder="1" applyAlignment="1">
      <alignment wrapText="1"/>
    </xf>
    <xf numFmtId="0" fontId="39" fillId="31" borderId="63" xfId="0" applyNumberFormat="1" applyFont="1" applyFill="1" applyBorder="1" applyAlignment="1" applyProtection="1">
      <alignment horizontal="center" vertical="center"/>
    </xf>
    <xf numFmtId="49" fontId="58" fillId="0" borderId="23" xfId="439" applyNumberFormat="1" applyFont="1" applyFill="1" applyBorder="1" applyAlignment="1" applyProtection="1">
      <alignment horizontal="center" vertical="center" wrapText="1"/>
    </xf>
    <xf numFmtId="0" fontId="121" fillId="73" borderId="0" xfId="0" applyFont="1" applyFill="1" applyAlignment="1">
      <alignment horizontal="left" vertical="center" wrapText="1"/>
    </xf>
    <xf numFmtId="0" fontId="33" fillId="73" borderId="0" xfId="30098" applyFill="1"/>
    <xf numFmtId="0" fontId="124" fillId="77" borderId="0" xfId="30098" applyFont="1" applyFill="1" applyAlignment="1">
      <alignment horizontal="center" vertical="center" wrapText="1"/>
    </xf>
    <xf numFmtId="0" fontId="120" fillId="73" borderId="0" xfId="30098" applyFont="1" applyFill="1" applyAlignment="1">
      <alignment vertical="center" wrapText="1"/>
    </xf>
    <xf numFmtId="0" fontId="47" fillId="73" borderId="0" xfId="30098" applyFont="1" applyFill="1" applyAlignment="1">
      <alignment vertical="center" wrapText="1"/>
    </xf>
    <xf numFmtId="0" fontId="125" fillId="77" borderId="0" xfId="30098" applyFont="1" applyFill="1" applyAlignment="1">
      <alignment vertical="center"/>
    </xf>
    <xf numFmtId="0" fontId="128" fillId="0" borderId="0" xfId="30099" applyFont="1" applyAlignment="1">
      <alignment horizontal="left" vertical="top"/>
    </xf>
    <xf numFmtId="0" fontId="128" fillId="36" borderId="0" xfId="30099" applyFont="1" applyFill="1" applyAlignment="1">
      <alignment horizontal="left" vertical="top"/>
    </xf>
    <xf numFmtId="0" fontId="128" fillId="0" borderId="0" xfId="30099" applyFont="1" applyAlignment="1">
      <alignment vertical="top"/>
    </xf>
    <xf numFmtId="0" fontId="130" fillId="79" borderId="13" xfId="30099" applyFont="1" applyFill="1" applyBorder="1" applyAlignment="1">
      <alignment horizontal="left" vertical="top"/>
    </xf>
    <xf numFmtId="0" fontId="130" fillId="79" borderId="16" xfId="30099" applyFont="1" applyFill="1" applyBorder="1" applyAlignment="1">
      <alignment horizontal="left" vertical="top"/>
    </xf>
    <xf numFmtId="164" fontId="135" fillId="79" borderId="16" xfId="30100" applyNumberFormat="1" applyFont="1" applyFill="1" applyBorder="1" applyAlignment="1">
      <alignment vertical="center"/>
    </xf>
    <xf numFmtId="0" fontId="136" fillId="79" borderId="16" xfId="30099" applyFont="1" applyFill="1" applyBorder="1" applyAlignment="1">
      <alignment vertical="center" wrapText="1"/>
    </xf>
    <xf numFmtId="0" fontId="136" fillId="79" borderId="16" xfId="30099" applyFont="1" applyFill="1" applyBorder="1" applyAlignment="1">
      <alignment vertical="center"/>
    </xf>
    <xf numFmtId="0" fontId="128" fillId="79" borderId="11" xfId="30099" applyFont="1" applyFill="1" applyBorder="1" applyAlignment="1">
      <alignment horizontal="left" vertical="top" wrapText="1"/>
    </xf>
    <xf numFmtId="0" fontId="137" fillId="0" borderId="0" xfId="30099" applyFont="1" applyAlignment="1">
      <alignment horizontal="left" vertical="top"/>
    </xf>
    <xf numFmtId="0" fontId="137" fillId="26" borderId="15" xfId="30099" applyFont="1" applyFill="1" applyBorder="1" applyAlignment="1">
      <alignment horizontal="left" vertical="top"/>
    </xf>
    <xf numFmtId="0" fontId="137" fillId="26" borderId="0" xfId="30099" applyFont="1" applyFill="1" applyAlignment="1">
      <alignment horizontal="left" vertical="top"/>
    </xf>
    <xf numFmtId="0" fontId="128" fillId="26" borderId="0" xfId="30099" applyFont="1" applyFill="1" applyAlignment="1">
      <alignment horizontal="left" vertical="top" wrapText="1"/>
    </xf>
    <xf numFmtId="0" fontId="137" fillId="26" borderId="0" xfId="30099" applyFont="1" applyFill="1" applyAlignment="1">
      <alignment horizontal="left" vertical="center"/>
    </xf>
    <xf numFmtId="0" fontId="137" fillId="26" borderId="60" xfId="30099" applyFont="1" applyFill="1" applyBorder="1" applyAlignment="1">
      <alignment horizontal="left" vertical="top" wrapText="1"/>
    </xf>
    <xf numFmtId="0" fontId="128" fillId="26" borderId="15" xfId="30099" applyFont="1" applyFill="1" applyBorder="1" applyAlignment="1">
      <alignment horizontal="left" vertical="top"/>
    </xf>
    <xf numFmtId="0" fontId="128" fillId="26" borderId="0" xfId="30099" applyFont="1" applyFill="1" applyAlignment="1">
      <alignment horizontal="left" vertical="top"/>
    </xf>
    <xf numFmtId="0" fontId="128" fillId="26" borderId="60" xfId="30099" applyFont="1" applyFill="1" applyBorder="1" applyAlignment="1">
      <alignment horizontal="left" vertical="top" wrapText="1"/>
    </xf>
    <xf numFmtId="0" fontId="140" fillId="26" borderId="0" xfId="30099" applyFont="1" applyFill="1" applyAlignment="1">
      <alignment horizontal="left" vertical="top"/>
    </xf>
    <xf numFmtId="0" fontId="128" fillId="26" borderId="0" xfId="30099" applyFont="1" applyFill="1" applyAlignment="1">
      <alignment horizontal="left" vertical="center"/>
    </xf>
    <xf numFmtId="14" fontId="128" fillId="0" borderId="69" xfId="30099" applyNumberFormat="1" applyFont="1" applyBorder="1" applyAlignment="1" applyProtection="1">
      <alignment horizontal="center" vertical="center"/>
      <protection locked="0"/>
    </xf>
    <xf numFmtId="0" fontId="128" fillId="26" borderId="0" xfId="30099" applyFont="1" applyFill="1" applyAlignment="1">
      <alignment horizontal="left" vertical="center" wrapText="1"/>
    </xf>
    <xf numFmtId="0" fontId="128" fillId="0" borderId="69" xfId="30099" applyFont="1" applyBorder="1" applyAlignment="1" applyProtection="1">
      <alignment horizontal="center" vertical="center"/>
      <protection locked="0"/>
    </xf>
    <xf numFmtId="0" fontId="144" fillId="26" borderId="0" xfId="30099" applyFont="1" applyFill="1" applyAlignment="1">
      <alignment horizontal="center" vertical="center" wrapText="1"/>
    </xf>
    <xf numFmtId="0" fontId="128" fillId="0" borderId="57" xfId="30099" applyFont="1" applyBorder="1" applyAlignment="1" applyProtection="1">
      <alignment horizontal="center" vertical="center"/>
      <protection locked="0"/>
    </xf>
    <xf numFmtId="0" fontId="128" fillId="26" borderId="0" xfId="30099" applyFont="1" applyFill="1" applyAlignment="1">
      <alignment horizontal="center" vertical="center"/>
    </xf>
    <xf numFmtId="0" fontId="145" fillId="26" borderId="0" xfId="30099" applyFont="1" applyFill="1" applyAlignment="1">
      <alignment horizontal="left" vertical="top" wrapText="1"/>
    </xf>
    <xf numFmtId="0" fontId="145" fillId="0" borderId="57" xfId="30099" applyFont="1" applyBorder="1" applyAlignment="1" applyProtection="1">
      <alignment horizontal="center" vertical="center" wrapText="1"/>
      <protection locked="0"/>
    </xf>
    <xf numFmtId="0" fontId="129" fillId="0" borderId="69" xfId="30099" applyFont="1" applyBorder="1" applyAlignment="1" applyProtection="1">
      <alignment horizontal="center" vertical="center"/>
      <protection locked="0"/>
    </xf>
    <xf numFmtId="0" fontId="128" fillId="26" borderId="0" xfId="30099" applyFont="1" applyFill="1" applyAlignment="1">
      <alignment vertical="top" wrapText="1"/>
    </xf>
    <xf numFmtId="0" fontId="128" fillId="26" borderId="60" xfId="30099" applyFont="1" applyFill="1" applyBorder="1" applyAlignment="1">
      <alignment vertical="top" wrapText="1"/>
    </xf>
    <xf numFmtId="0" fontId="132" fillId="26" borderId="0" xfId="30099" applyFont="1" applyFill="1" applyAlignment="1">
      <alignment horizontal="left" vertical="top"/>
    </xf>
    <xf numFmtId="0" fontId="140" fillId="26" borderId="0" xfId="30099" applyFont="1" applyFill="1" applyAlignment="1">
      <alignment horizontal="left" vertical="top" wrapText="1"/>
    </xf>
    <xf numFmtId="0" fontId="128" fillId="26" borderId="15" xfId="30099" applyFont="1" applyFill="1" applyBorder="1" applyAlignment="1">
      <alignment horizontal="left"/>
    </xf>
    <xf numFmtId="0" fontId="128" fillId="26" borderId="0" xfId="30099" applyFont="1" applyFill="1" applyAlignment="1">
      <alignment horizontal="left"/>
    </xf>
    <xf numFmtId="0" fontId="128" fillId="26" borderId="0" xfId="30099" applyFont="1" applyFill="1" applyAlignment="1">
      <alignment vertical="center" wrapText="1"/>
    </xf>
    <xf numFmtId="0" fontId="140" fillId="26" borderId="0" xfId="30099" applyFont="1" applyFill="1" applyAlignment="1">
      <alignment vertical="center" wrapText="1"/>
    </xf>
    <xf numFmtId="0" fontId="128" fillId="0" borderId="0" xfId="30099" applyFont="1" applyAlignment="1">
      <alignment horizontal="left"/>
    </xf>
    <xf numFmtId="0" fontId="134" fillId="26" borderId="0" xfId="30099" applyFont="1" applyFill="1" applyAlignment="1">
      <alignment horizontal="left"/>
    </xf>
    <xf numFmtId="0" fontId="134" fillId="26" borderId="0" xfId="30099" applyFont="1" applyFill="1" applyAlignment="1">
      <alignment horizontal="right" vertical="center"/>
    </xf>
    <xf numFmtId="0" fontId="134" fillId="26" borderId="0" xfId="30099" applyFont="1" applyFill="1" applyAlignment="1">
      <alignment horizontal="right"/>
    </xf>
    <xf numFmtId="0" fontId="128" fillId="26" borderId="0" xfId="30099" applyFont="1" applyFill="1" applyAlignment="1">
      <alignment horizontal="right" vertical="center" wrapText="1"/>
    </xf>
    <xf numFmtId="14" fontId="128" fillId="26" borderId="0" xfId="30099" applyNumberFormat="1" applyFont="1" applyFill="1" applyAlignment="1">
      <alignment horizontal="left" vertical="center"/>
    </xf>
    <xf numFmtId="0" fontId="149" fillId="79" borderId="0" xfId="30099" applyFont="1" applyFill="1" applyAlignment="1">
      <alignment vertical="center"/>
    </xf>
    <xf numFmtId="0" fontId="149" fillId="79" borderId="0" xfId="30099" applyFont="1" applyFill="1" applyAlignment="1">
      <alignment horizontal="left" vertical="center"/>
    </xf>
    <xf numFmtId="0" fontId="140" fillId="26" borderId="0" xfId="30099" applyFont="1" applyFill="1" applyAlignment="1">
      <alignment horizontal="left" vertical="center" wrapText="1"/>
    </xf>
    <xf numFmtId="0" fontId="140" fillId="26" borderId="60" xfId="30099" applyFont="1" applyFill="1" applyBorder="1" applyAlignment="1">
      <alignment vertical="top" wrapText="1"/>
    </xf>
    <xf numFmtId="0" fontId="128" fillId="26" borderId="40" xfId="30099" applyFont="1" applyFill="1" applyBorder="1" applyAlignment="1">
      <alignment horizontal="left" vertical="top"/>
    </xf>
    <xf numFmtId="0" fontId="128" fillId="26" borderId="41" xfId="30099" applyFont="1" applyFill="1" applyBorder="1" applyAlignment="1">
      <alignment horizontal="left" vertical="top"/>
    </xf>
    <xf numFmtId="0" fontId="128" fillId="26" borderId="41" xfId="30099" applyFont="1" applyFill="1" applyBorder="1" applyAlignment="1">
      <alignment horizontal="right" vertical="center" wrapText="1"/>
    </xf>
    <xf numFmtId="0" fontId="128" fillId="26" borderId="41" xfId="30099" applyFont="1" applyFill="1" applyBorder="1" applyAlignment="1">
      <alignment horizontal="left" vertical="center"/>
    </xf>
    <xf numFmtId="0" fontId="128" fillId="26" borderId="42" xfId="30099" applyFont="1" applyFill="1" applyBorder="1" applyAlignment="1">
      <alignment horizontal="left" vertical="top" wrapText="1"/>
    </xf>
    <xf numFmtId="0" fontId="128" fillId="0" borderId="0" xfId="30099" applyFont="1" applyAlignment="1">
      <alignment horizontal="left" vertical="top" wrapText="1"/>
    </xf>
    <xf numFmtId="2" fontId="128" fillId="0" borderId="0" xfId="30099" applyNumberFormat="1" applyFont="1" applyAlignment="1">
      <alignment horizontal="left" vertical="top"/>
    </xf>
    <xf numFmtId="0" fontId="128" fillId="0" borderId="0" xfId="30099" applyFont="1" applyAlignment="1">
      <alignment horizontal="left" vertical="center" wrapText="1"/>
    </xf>
    <xf numFmtId="14" fontId="128" fillId="0" borderId="0" xfId="30099" applyNumberFormat="1" applyFont="1" applyAlignment="1">
      <alignment horizontal="left" vertical="top"/>
    </xf>
    <xf numFmtId="0" fontId="128" fillId="0" borderId="0" xfId="30099" applyFont="1" applyAlignment="1">
      <alignment horizontal="left" wrapText="1"/>
    </xf>
    <xf numFmtId="0" fontId="0" fillId="0" borderId="0" xfId="0" applyNumberFormat="1" applyFont="1" applyFill="1" applyBorder="1" applyAlignment="1" applyProtection="1">
      <alignment horizontal="left" vertical="center" wrapText="1"/>
    </xf>
    <xf numFmtId="0" fontId="151" fillId="26" borderId="0" xfId="30099" applyFont="1" applyFill="1" applyAlignment="1">
      <alignment horizontal="center" vertical="center"/>
    </xf>
    <xf numFmtId="164" fontId="134" fillId="26" borderId="0" xfId="30100" applyNumberFormat="1" applyFont="1" applyFill="1" applyBorder="1" applyAlignment="1">
      <alignment vertical="center"/>
    </xf>
    <xf numFmtId="164" fontId="134" fillId="26" borderId="0" xfId="30100" applyNumberFormat="1" applyFont="1" applyFill="1" applyBorder="1" applyAlignment="1">
      <alignment vertical="top"/>
    </xf>
    <xf numFmtId="164" fontId="133" fillId="26" borderId="0" xfId="30100" applyNumberFormat="1" applyFont="1" applyFill="1" applyBorder="1" applyAlignment="1">
      <alignment vertical="center"/>
    </xf>
    <xf numFmtId="164" fontId="132" fillId="26" borderId="0" xfId="30100" applyNumberFormat="1" applyFont="1" applyFill="1" applyBorder="1" applyAlignment="1">
      <alignment vertical="center"/>
    </xf>
    <xf numFmtId="164" fontId="134" fillId="26" borderId="41" xfId="30100" applyNumberFormat="1" applyFont="1" applyFill="1" applyBorder="1" applyAlignment="1">
      <alignment vertical="top"/>
    </xf>
    <xf numFmtId="164" fontId="128" fillId="0" borderId="0" xfId="30100" applyNumberFormat="1" applyFont="1" applyFill="1" applyBorder="1" applyAlignment="1">
      <alignment vertical="top"/>
    </xf>
    <xf numFmtId="49" fontId="134" fillId="26" borderId="0" xfId="30100" applyNumberFormat="1" applyFont="1" applyFill="1" applyBorder="1" applyAlignment="1">
      <alignment horizontal="center" vertical="center"/>
    </xf>
    <xf numFmtId="49" fontId="134" fillId="26" borderId="0" xfId="30100" applyNumberFormat="1" applyFont="1" applyFill="1" applyBorder="1" applyAlignment="1">
      <alignment horizontal="center" vertical="top"/>
    </xf>
    <xf numFmtId="0" fontId="134" fillId="26" borderId="0" xfId="30099" applyFont="1" applyFill="1" applyAlignment="1">
      <alignment horizontal="left" wrapText="1"/>
    </xf>
    <xf numFmtId="0" fontId="134" fillId="26" borderId="0" xfId="30099" applyFont="1" applyFill="1" applyAlignment="1">
      <alignment horizontal="left" vertical="center" wrapText="1"/>
    </xf>
    <xf numFmtId="0" fontId="128" fillId="0" borderId="0" xfId="30099" applyFont="1" applyFill="1" applyAlignment="1">
      <alignment horizontal="left"/>
    </xf>
    <xf numFmtId="167" fontId="0" fillId="0" borderId="82" xfId="545" applyNumberFormat="1" applyFont="1" applyBorder="1"/>
    <xf numFmtId="10" fontId="0" fillId="0" borderId="82" xfId="4688" applyNumberFormat="1" applyFont="1" applyBorder="1"/>
    <xf numFmtId="0" fontId="0" fillId="0" borderId="0" xfId="0"/>
    <xf numFmtId="2" fontId="0" fillId="0" borderId="82" xfId="439" applyNumberFormat="1" applyFont="1" applyBorder="1"/>
    <xf numFmtId="169" fontId="39" fillId="29" borderId="0" xfId="439" applyNumberFormat="1" applyFont="1" applyFill="1" applyAlignment="1" applyProtection="1">
      <alignment horizontal="center" vertical="center"/>
      <protection locked="0"/>
    </xf>
    <xf numFmtId="174" fontId="39" fillId="29" borderId="0" xfId="439" applyNumberFormat="1" applyFont="1" applyFill="1" applyAlignment="1" applyProtection="1">
      <alignment horizontal="center" vertical="center"/>
      <protection locked="0"/>
    </xf>
    <xf numFmtId="38" fontId="45" fillId="29" borderId="0" xfId="439" applyNumberFormat="1" applyFont="1" applyFill="1" applyAlignment="1" applyProtection="1">
      <alignment horizontal="center" vertical="center" wrapText="1"/>
      <protection locked="0"/>
    </xf>
    <xf numFmtId="9" fontId="0" fillId="0" borderId="82" xfId="4688" applyFont="1" applyBorder="1"/>
    <xf numFmtId="0" fontId="136" fillId="79" borderId="41" xfId="30099" applyFont="1" applyFill="1" applyBorder="1" applyAlignment="1">
      <alignment vertical="center"/>
    </xf>
    <xf numFmtId="0" fontId="39" fillId="0" borderId="43" xfId="0" applyNumberFormat="1" applyFont="1" applyFill="1" applyBorder="1" applyAlignment="1" applyProtection="1">
      <alignment horizontal="center" vertical="center"/>
    </xf>
    <xf numFmtId="0" fontId="39" fillId="0" borderId="0" xfId="0" applyFont="1" applyAlignment="1">
      <alignment horizontal="center"/>
    </xf>
    <xf numFmtId="0" fontId="39" fillId="0" borderId="0" xfId="0" applyFont="1" applyAlignment="1">
      <alignment horizontal="center" wrapText="1"/>
    </xf>
    <xf numFmtId="0" fontId="132" fillId="26" borderId="0" xfId="30099" applyFont="1" applyFill="1" applyAlignment="1">
      <alignment vertical="top" wrapText="1"/>
    </xf>
    <xf numFmtId="0" fontId="153" fillId="26" borderId="0" xfId="30099" applyFont="1" applyFill="1" applyAlignment="1">
      <alignment horizontal="left" vertical="top" wrapText="1"/>
    </xf>
    <xf numFmtId="170" fontId="39" fillId="29" borderId="0" xfId="439" applyNumberFormat="1" applyFont="1" applyFill="1" applyAlignment="1" applyProtection="1">
      <alignment horizontal="center" vertical="center"/>
      <protection locked="0"/>
    </xf>
    <xf numFmtId="0" fontId="39" fillId="78" borderId="84" xfId="0" applyFont="1" applyFill="1" applyBorder="1" applyAlignment="1">
      <alignment horizontal="center"/>
    </xf>
    <xf numFmtId="0" fontId="39" fillId="78" borderId="84" xfId="0" applyFont="1" applyFill="1" applyBorder="1" applyAlignment="1">
      <alignment horizontal="center" wrapText="1"/>
    </xf>
    <xf numFmtId="0" fontId="39" fillId="78" borderId="93" xfId="0" applyFont="1" applyFill="1" applyBorder="1" applyAlignment="1">
      <alignment vertical="center" wrapText="1"/>
    </xf>
    <xf numFmtId="0" fontId="39" fillId="78" borderId="87" xfId="0" applyFont="1" applyFill="1" applyBorder="1" applyAlignment="1">
      <alignment wrapText="1"/>
    </xf>
    <xf numFmtId="0" fontId="39" fillId="78" borderId="84" xfId="0" applyFont="1" applyFill="1" applyBorder="1" applyAlignment="1">
      <alignment wrapText="1"/>
    </xf>
    <xf numFmtId="43" fontId="0" fillId="0" borderId="82" xfId="439" applyNumberFormat="1" applyFont="1" applyBorder="1"/>
    <xf numFmtId="0" fontId="39" fillId="78" borderId="96" xfId="0" applyFont="1" applyFill="1" applyBorder="1" applyAlignment="1">
      <alignment horizontal="center"/>
    </xf>
    <xf numFmtId="0" fontId="39" fillId="78" borderId="91" xfId="0" applyFont="1" applyFill="1" applyBorder="1" applyAlignment="1">
      <alignment horizontal="center"/>
    </xf>
    <xf numFmtId="0" fontId="39" fillId="78" borderId="93" xfId="0" applyFont="1" applyFill="1" applyBorder="1" applyAlignment="1">
      <alignment wrapText="1"/>
    </xf>
    <xf numFmtId="0" fontId="39" fillId="78" borderId="100" xfId="0" applyFont="1" applyFill="1" applyBorder="1" applyAlignment="1">
      <alignment vertical="center" wrapText="1"/>
    </xf>
    <xf numFmtId="38" fontId="39" fillId="29" borderId="0" xfId="439" applyNumberFormat="1" applyFont="1" applyFill="1" applyAlignment="1" applyProtection="1">
      <alignment horizontal="center" vertical="center"/>
      <protection locked="0"/>
    </xf>
    <xf numFmtId="3" fontId="39" fillId="29" borderId="0" xfId="439" applyNumberFormat="1" applyFont="1" applyFill="1" applyAlignment="1" applyProtection="1">
      <alignment horizontal="center" vertical="center"/>
      <protection locked="0"/>
    </xf>
    <xf numFmtId="37" fontId="39" fillId="29" borderId="0" xfId="439" applyNumberFormat="1" applyFont="1" applyFill="1" applyAlignment="1" applyProtection="1">
      <alignment horizontal="center" vertical="center"/>
      <protection locked="0"/>
    </xf>
    <xf numFmtId="0" fontId="0" fillId="0" borderId="0" xfId="0" applyFont="1"/>
    <xf numFmtId="2" fontId="0" fillId="0" borderId="0" xfId="0" applyNumberFormat="1" applyFont="1"/>
    <xf numFmtId="0" fontId="0" fillId="0" borderId="0" xfId="0" applyFont="1" applyFill="1"/>
    <xf numFmtId="0" fontId="158" fillId="0" borderId="0" xfId="0" applyFont="1" applyAlignment="1">
      <alignment vertical="center"/>
    </xf>
    <xf numFmtId="0" fontId="158" fillId="0" borderId="0" xfId="30099" applyFont="1" applyAlignment="1">
      <alignment horizontal="left" vertical="top"/>
    </xf>
    <xf numFmtId="0" fontId="154" fillId="26" borderId="0" xfId="30099" applyFont="1" applyFill="1" applyAlignment="1">
      <alignment vertical="center" wrapText="1"/>
    </xf>
    <xf numFmtId="0" fontId="159" fillId="26" borderId="0" xfId="30099" applyFont="1" applyFill="1" applyAlignment="1">
      <alignment vertical="center" wrapText="1"/>
    </xf>
    <xf numFmtId="0" fontId="128" fillId="26" borderId="0" xfId="30099" applyFont="1" applyFill="1" applyAlignment="1">
      <alignment horizontal="left" vertical="center" wrapText="1"/>
    </xf>
    <xf numFmtId="0" fontId="160" fillId="0" borderId="0" xfId="0" applyFont="1"/>
    <xf numFmtId="0" fontId="134" fillId="26" borderId="0" xfId="30100" applyNumberFormat="1" applyFont="1" applyFill="1" applyBorder="1" applyAlignment="1">
      <alignment horizontal="center" vertical="center"/>
    </xf>
    <xf numFmtId="164" fontId="134" fillId="26" borderId="0" xfId="30100" quotePrefix="1" applyNumberFormat="1" applyFont="1" applyFill="1" applyBorder="1" applyAlignment="1">
      <alignment horizontal="center" vertical="center"/>
    </xf>
    <xf numFmtId="0" fontId="0" fillId="0" borderId="45" xfId="0" applyNumberFormat="1" applyFont="1" applyFill="1" applyBorder="1" applyAlignment="1" applyProtection="1">
      <alignment horizontal="left" vertical="center" wrapText="1"/>
    </xf>
    <xf numFmtId="0" fontId="0" fillId="0" borderId="45" xfId="0" applyNumberFormat="1" applyFont="1" applyFill="1" applyBorder="1" applyAlignment="1" applyProtection="1">
      <alignment horizontal="center" vertical="center"/>
    </xf>
    <xf numFmtId="0" fontId="0" fillId="0" borderId="45" xfId="0" applyNumberFormat="1" applyFont="1" applyFill="1" applyBorder="1" applyAlignment="1" applyProtection="1">
      <alignment horizontal="center" vertical="center" wrapText="1"/>
    </xf>
    <xf numFmtId="0" fontId="0" fillId="0" borderId="45" xfId="0" applyFont="1" applyFill="1" applyBorder="1" applyAlignment="1" applyProtection="1">
      <alignment vertical="center" wrapText="1"/>
    </xf>
    <xf numFmtId="0" fontId="0" fillId="0" borderId="45" xfId="0" applyFont="1" applyFill="1" applyBorder="1" applyAlignment="1" applyProtection="1">
      <alignment horizontal="left" vertical="center" wrapText="1"/>
    </xf>
    <xf numFmtId="0" fontId="0" fillId="0" borderId="0" xfId="0" applyFill="1" applyAlignment="1">
      <alignment horizontal="center"/>
    </xf>
    <xf numFmtId="0" fontId="0" fillId="34" borderId="0" xfId="0" applyNumberFormat="1" applyFont="1" applyFill="1" applyBorder="1" applyAlignment="1" applyProtection="1">
      <alignment horizontal="center" vertical="center" wrapText="1"/>
    </xf>
    <xf numFmtId="0" fontId="0" fillId="34" borderId="0" xfId="0" applyNumberFormat="1" applyFont="1" applyFill="1" applyBorder="1" applyAlignment="1" applyProtection="1">
      <alignment horizontal="left" vertical="center" wrapText="1"/>
    </xf>
    <xf numFmtId="0" fontId="39" fillId="0" borderId="26" xfId="0" applyFont="1" applyFill="1" applyBorder="1" applyAlignment="1">
      <alignment horizontal="center" vertical="center"/>
    </xf>
    <xf numFmtId="0" fontId="39" fillId="0" borderId="25" xfId="0" applyFont="1" applyFill="1" applyBorder="1" applyAlignment="1">
      <alignment horizontal="center" vertical="center"/>
    </xf>
    <xf numFmtId="0" fontId="39" fillId="0" borderId="24" xfId="0" applyFont="1" applyFill="1" applyBorder="1" applyAlignment="1">
      <alignment horizontal="center" vertical="center"/>
    </xf>
    <xf numFmtId="0" fontId="39" fillId="0" borderId="45" xfId="0" applyFont="1" applyFill="1" applyBorder="1" applyAlignment="1">
      <alignment horizontal="center" vertical="center"/>
    </xf>
    <xf numFmtId="0" fontId="39" fillId="0" borderId="43" xfId="0" applyFont="1" applyFill="1" applyBorder="1" applyAlignment="1">
      <alignment horizontal="center" vertical="center"/>
    </xf>
    <xf numFmtId="0" fontId="60" fillId="0" borderId="25" xfId="0" applyFont="1" applyFill="1" applyBorder="1" applyAlignment="1">
      <alignment horizontal="center" vertical="center"/>
    </xf>
    <xf numFmtId="0" fontId="50" fillId="0" borderId="25" xfId="0" applyFont="1" applyFill="1" applyBorder="1" applyAlignment="1">
      <alignment horizontal="center" vertical="center" wrapText="1"/>
    </xf>
    <xf numFmtId="0" fontId="59" fillId="0" borderId="25" xfId="0" applyFont="1" applyFill="1" applyBorder="1" applyAlignment="1">
      <alignment horizontal="center" vertical="center"/>
    </xf>
    <xf numFmtId="0" fontId="39" fillId="0" borderId="63" xfId="0" applyFont="1" applyFill="1" applyBorder="1" applyAlignment="1">
      <alignment horizontal="center" vertical="center"/>
    </xf>
    <xf numFmtId="0" fontId="70" fillId="0" borderId="0" xfId="0" applyFont="1" applyFill="1"/>
    <xf numFmtId="0" fontId="39" fillId="0" borderId="0" xfId="0" applyFont="1" applyFill="1" applyBorder="1" applyAlignment="1">
      <alignment horizontal="center" vertical="center"/>
    </xf>
    <xf numFmtId="0" fontId="53" fillId="0" borderId="30" xfId="0" applyNumberFormat="1" applyFont="1" applyFill="1" applyBorder="1" applyAlignment="1" applyProtection="1">
      <alignment horizontal="left" vertical="center" wrapText="1"/>
    </xf>
    <xf numFmtId="39" fontId="58" fillId="0" borderId="45" xfId="439" applyNumberFormat="1" applyFont="1" applyFill="1" applyBorder="1" applyAlignment="1" applyProtection="1">
      <alignment horizontal="center" vertical="center" wrapText="1"/>
    </xf>
    <xf numFmtId="0" fontId="63" fillId="0" borderId="0" xfId="0" applyNumberFormat="1" applyFont="1" applyFill="1" applyAlignment="1" applyProtection="1">
      <alignment horizontal="left" vertical="center" wrapText="1"/>
    </xf>
    <xf numFmtId="0" fontId="41" fillId="34" borderId="23" xfId="0" applyNumberFormat="1" applyFont="1" applyFill="1" applyBorder="1" applyAlignment="1" applyProtection="1">
      <alignment horizontal="left" vertical="center" wrapText="1"/>
    </xf>
    <xf numFmtId="0" fontId="58" fillId="34" borderId="25" xfId="0" applyNumberFormat="1" applyFont="1" applyFill="1" applyBorder="1" applyAlignment="1" applyProtection="1">
      <alignment horizontal="left" vertical="center" wrapText="1"/>
    </xf>
    <xf numFmtId="0" fontId="39" fillId="34" borderId="24" xfId="0" applyNumberFormat="1" applyFont="1" applyFill="1" applyBorder="1" applyAlignment="1" applyProtection="1">
      <alignment horizontal="center" vertical="center"/>
    </xf>
    <xf numFmtId="180" fontId="58" fillId="0" borderId="23" xfId="439" applyNumberFormat="1" applyFont="1" applyFill="1" applyBorder="1" applyAlignment="1" applyProtection="1">
      <alignment horizontal="center" vertical="center" wrapText="1"/>
    </xf>
    <xf numFmtId="0" fontId="0" fillId="0" borderId="23" xfId="0" applyNumberFormat="1" applyFont="1" applyFill="1" applyBorder="1" applyAlignment="1" applyProtection="1">
      <alignment horizontal="left" vertical="center" wrapText="1"/>
    </xf>
    <xf numFmtId="0" fontId="0" fillId="0" borderId="25" xfId="0" applyNumberFormat="1" applyFont="1" applyFill="1" applyBorder="1" applyAlignment="1" applyProtection="1">
      <alignment horizontal="left" vertical="center" wrapText="1"/>
    </xf>
    <xf numFmtId="0" fontId="0" fillId="0" borderId="0" xfId="0" applyFont="1" applyFill="1" applyAlignment="1" applyProtection="1">
      <alignment horizontal="left" vertical="center" wrapText="1"/>
    </xf>
    <xf numFmtId="0" fontId="0" fillId="0" borderId="25" xfId="0" applyNumberFormat="1" applyFont="1" applyFill="1" applyBorder="1" applyAlignment="1" applyProtection="1">
      <alignment horizontal="center" vertical="center" wrapText="1"/>
    </xf>
    <xf numFmtId="37" fontId="39" fillId="0" borderId="45" xfId="439" applyNumberFormat="1" applyFont="1" applyFill="1" applyBorder="1" applyAlignment="1" applyProtection="1">
      <alignment horizontal="center" vertical="center" wrapText="1"/>
    </xf>
    <xf numFmtId="0" fontId="63" fillId="0" borderId="45" xfId="0" applyNumberFormat="1" applyFont="1" applyFill="1" applyBorder="1" applyAlignment="1" applyProtection="1">
      <alignment horizontal="left" vertical="center" wrapText="1"/>
    </xf>
    <xf numFmtId="0" fontId="58" fillId="0" borderId="28" xfId="0" applyNumberFormat="1" applyFont="1" applyFill="1" applyBorder="1" applyAlignment="1" applyProtection="1">
      <alignment horizontal="left" vertical="center" wrapText="1"/>
    </xf>
    <xf numFmtId="0" fontId="53" fillId="0" borderId="45" xfId="0" applyNumberFormat="1" applyFont="1" applyFill="1" applyBorder="1" applyAlignment="1" applyProtection="1">
      <alignment horizontal="left" vertical="center" wrapText="1"/>
    </xf>
    <xf numFmtId="0" fontId="39" fillId="0" borderId="45" xfId="0" applyNumberFormat="1" applyFont="1" applyFill="1" applyBorder="1" applyAlignment="1" applyProtection="1">
      <alignment horizontal="center" vertical="center"/>
    </xf>
    <xf numFmtId="164" fontId="58" fillId="0" borderId="45" xfId="439" applyNumberFormat="1" applyFont="1" applyFill="1" applyBorder="1" applyAlignment="1" applyProtection="1">
      <alignment horizontal="center" vertical="center" wrapText="1"/>
    </xf>
    <xf numFmtId="41" fontId="42" fillId="0" borderId="0" xfId="0" applyNumberFormat="1" applyFont="1" applyFill="1" applyAlignment="1" applyProtection="1">
      <alignment wrapText="1"/>
    </xf>
    <xf numFmtId="0" fontId="0" fillId="0" borderId="23" xfId="0" applyFont="1" applyFill="1" applyBorder="1" applyAlignment="1" applyProtection="1">
      <alignment vertical="center" wrapText="1"/>
    </xf>
    <xf numFmtId="0" fontId="39" fillId="0" borderId="25" xfId="0" applyNumberFormat="1" applyFont="1" applyFill="1" applyBorder="1" applyAlignment="1" applyProtection="1">
      <alignment horizontal="center" vertical="center"/>
    </xf>
    <xf numFmtId="164" fontId="58" fillId="0" borderId="29" xfId="439" applyNumberFormat="1" applyFont="1" applyFill="1" applyBorder="1" applyAlignment="1" applyProtection="1">
      <alignment horizontal="center" vertical="center" wrapText="1"/>
    </xf>
    <xf numFmtId="164" fontId="58" fillId="0" borderId="23" xfId="439" applyNumberFormat="1" applyFont="1" applyFill="1" applyBorder="1" applyAlignment="1" applyProtection="1">
      <alignment horizontal="center" vertical="center" wrapText="1"/>
    </xf>
    <xf numFmtId="0" fontId="58" fillId="0" borderId="23" xfId="0" applyNumberFormat="1" applyFont="1" applyFill="1" applyBorder="1" applyAlignment="1" applyProtection="1">
      <alignment horizontal="left" vertical="center" wrapText="1"/>
    </xf>
    <xf numFmtId="39" fontId="58" fillId="0" borderId="28" xfId="439" applyNumberFormat="1" applyFont="1" applyFill="1" applyBorder="1" applyAlignment="1" applyProtection="1">
      <alignment horizontal="center" vertical="center" wrapText="1"/>
    </xf>
    <xf numFmtId="164" fontId="58" fillId="0" borderId="0" xfId="439" applyNumberFormat="1" applyFont="1" applyFill="1" applyBorder="1" applyAlignment="1" applyProtection="1">
      <alignment horizontal="center" vertical="center" wrapText="1"/>
    </xf>
    <xf numFmtId="0" fontId="0" fillId="0" borderId="0" xfId="0" applyFont="1" applyFill="1" applyBorder="1" applyAlignment="1" applyProtection="1">
      <alignment vertical="center" wrapText="1"/>
    </xf>
    <xf numFmtId="0" fontId="58" fillId="34" borderId="23" xfId="0" applyNumberFormat="1" applyFont="1" applyFill="1" applyBorder="1" applyAlignment="1" applyProtection="1">
      <alignment horizontal="left" vertical="center" wrapText="1"/>
    </xf>
    <xf numFmtId="164" fontId="58" fillId="29" borderId="23" xfId="439" applyNumberFormat="1" applyFont="1" applyFill="1" applyBorder="1" applyAlignment="1" applyProtection="1">
      <alignment horizontal="center" vertical="center" wrapText="1"/>
      <protection locked="0"/>
    </xf>
    <xf numFmtId="3" fontId="58" fillId="0" borderId="23" xfId="439" applyNumberFormat="1" applyFont="1" applyFill="1" applyBorder="1" applyAlignment="1" applyProtection="1">
      <alignment horizontal="center" vertical="center" wrapText="1"/>
    </xf>
    <xf numFmtId="3" fontId="58" fillId="34" borderId="23" xfId="439" applyNumberFormat="1" applyFont="1" applyFill="1" applyBorder="1" applyAlignment="1" applyProtection="1">
      <alignment horizontal="center" vertical="center" wrapText="1"/>
    </xf>
    <xf numFmtId="0" fontId="58" fillId="22" borderId="23" xfId="439" applyNumberFormat="1" applyFont="1" applyFill="1" applyBorder="1" applyAlignment="1" applyProtection="1">
      <alignment horizontal="center" vertical="center" wrapText="1"/>
      <protection locked="0"/>
    </xf>
    <xf numFmtId="164" fontId="58" fillId="29" borderId="0" xfId="439" applyNumberFormat="1" applyFont="1" applyFill="1" applyBorder="1" applyAlignment="1" applyProtection="1">
      <alignment horizontal="center" vertical="center" wrapText="1"/>
      <protection locked="0"/>
    </xf>
    <xf numFmtId="37" fontId="39" fillId="0" borderId="0" xfId="439" applyNumberFormat="1" applyFont="1" applyFill="1" applyBorder="1" applyAlignment="1" applyProtection="1">
      <alignment horizontal="center" vertical="center" wrapText="1"/>
    </xf>
    <xf numFmtId="0" fontId="39" fillId="0" borderId="0" xfId="0" applyNumberFormat="1" applyFont="1" applyFill="1" applyBorder="1" applyAlignment="1" applyProtection="1">
      <alignment horizontal="center" vertical="center"/>
    </xf>
    <xf numFmtId="3" fontId="58" fillId="0" borderId="45" xfId="439" applyNumberFormat="1" applyFont="1" applyFill="1" applyBorder="1" applyAlignment="1" applyProtection="1">
      <alignment horizontal="center" vertical="center" wrapText="1"/>
    </xf>
    <xf numFmtId="0" fontId="58" fillId="0" borderId="45" xfId="0" applyNumberFormat="1" applyFont="1" applyFill="1" applyBorder="1" applyAlignment="1" applyProtection="1">
      <alignment horizontal="left" vertical="center" wrapText="1"/>
    </xf>
    <xf numFmtId="0" fontId="0" fillId="0" borderId="36" xfId="0" applyFont="1" applyFill="1" applyBorder="1" applyAlignment="1" applyProtection="1">
      <alignment vertical="center" wrapText="1"/>
    </xf>
    <xf numFmtId="0" fontId="39" fillId="34" borderId="25" xfId="0" applyNumberFormat="1" applyFont="1" applyFill="1" applyBorder="1" applyAlignment="1" applyProtection="1">
      <alignment horizontal="center" vertical="center"/>
    </xf>
    <xf numFmtId="182" fontId="39" fillId="29" borderId="0" xfId="439" applyNumberFormat="1" applyFont="1" applyFill="1" applyAlignment="1" applyProtection="1">
      <alignment horizontal="center" vertical="center"/>
      <protection locked="0"/>
    </xf>
    <xf numFmtId="14" fontId="0" fillId="0" borderId="0" xfId="0" applyNumberFormat="1" applyFont="1" applyFill="1" applyAlignment="1" applyProtection="1">
      <alignment horizontal="center" vertical="center"/>
    </xf>
    <xf numFmtId="0" fontId="58" fillId="78" borderId="25" xfId="0" applyNumberFormat="1" applyFont="1" applyFill="1" applyBorder="1" applyAlignment="1" applyProtection="1">
      <alignment horizontal="left" vertical="center" wrapText="1"/>
    </xf>
    <xf numFmtId="0" fontId="58" fillId="78" borderId="23" xfId="0" applyNumberFormat="1" applyFont="1" applyFill="1" applyBorder="1" applyAlignment="1" applyProtection="1">
      <alignment horizontal="left" vertical="center" wrapText="1"/>
    </xf>
    <xf numFmtId="0" fontId="39" fillId="78" borderId="43" xfId="0" applyNumberFormat="1" applyFont="1" applyFill="1" applyBorder="1" applyAlignment="1" applyProtection="1">
      <alignment horizontal="center" vertical="center"/>
    </xf>
    <xf numFmtId="0" fontId="39" fillId="78" borderId="26" xfId="0" applyNumberFormat="1" applyFont="1" applyFill="1" applyBorder="1" applyAlignment="1" applyProtection="1">
      <alignment horizontal="center" vertical="center"/>
    </xf>
    <xf numFmtId="0" fontId="0" fillId="78" borderId="31" xfId="0" applyFont="1" applyFill="1" applyBorder="1" applyAlignment="1" applyProtection="1">
      <alignment vertical="center" wrapText="1"/>
    </xf>
    <xf numFmtId="0" fontId="39" fillId="78" borderId="25" xfId="0" applyNumberFormat="1" applyFont="1" applyFill="1" applyBorder="1" applyAlignment="1" applyProtection="1">
      <alignment horizontal="center" vertical="center"/>
    </xf>
    <xf numFmtId="0" fontId="0" fillId="78" borderId="23" xfId="0" applyFont="1" applyFill="1" applyBorder="1" applyAlignment="1" applyProtection="1">
      <alignment vertical="center" wrapText="1"/>
    </xf>
    <xf numFmtId="0" fontId="70" fillId="0" borderId="0" xfId="0" applyFont="1" applyAlignment="1" applyProtection="1">
      <alignment wrapText="1"/>
      <protection locked="0"/>
    </xf>
    <xf numFmtId="3" fontId="39" fillId="0" borderId="0" xfId="439" applyNumberFormat="1" applyFont="1" applyFill="1" applyAlignment="1" applyProtection="1">
      <alignment horizontal="center" vertical="center" wrapText="1"/>
    </xf>
    <xf numFmtId="183" fontId="45" fillId="0" borderId="0" xfId="439" applyNumberFormat="1" applyFont="1" applyFill="1" applyAlignment="1" applyProtection="1">
      <alignment horizontal="center" vertical="center" wrapText="1"/>
    </xf>
    <xf numFmtId="167" fontId="0" fillId="0" borderId="85" xfId="545" applyNumberFormat="1" applyFont="1" applyFill="1" applyBorder="1" applyAlignment="1">
      <alignment horizontal="center"/>
    </xf>
    <xf numFmtId="10" fontId="0" fillId="0" borderId="94" xfId="4688" applyNumberFormat="1" applyFont="1" applyFill="1" applyBorder="1" applyAlignment="1">
      <alignment horizontal="center"/>
    </xf>
    <xf numFmtId="164" fontId="50" fillId="0" borderId="0" xfId="0" applyNumberFormat="1" applyFont="1" applyFill="1" applyAlignment="1" applyProtection="1">
      <alignment wrapText="1"/>
    </xf>
    <xf numFmtId="0" fontId="128" fillId="26" borderId="0" xfId="30099" applyFont="1" applyFill="1" applyAlignment="1">
      <alignment horizontal="left" vertical="top" wrapText="1"/>
    </xf>
    <xf numFmtId="164" fontId="50" fillId="78" borderId="10" xfId="0" applyNumberFormat="1" applyFont="1" applyFill="1" applyBorder="1" applyAlignment="1" applyProtection="1">
      <alignment horizontal="center" vertical="center" wrapText="1"/>
    </xf>
    <xf numFmtId="0" fontId="41" fillId="78" borderId="0" xfId="0" applyFont="1" applyFill="1" applyBorder="1" applyAlignment="1">
      <alignment wrapText="1"/>
    </xf>
    <xf numFmtId="0" fontId="39" fillId="78" borderId="63" xfId="0" applyNumberFormat="1" applyFont="1" applyFill="1" applyBorder="1" applyAlignment="1" applyProtection="1">
      <alignment horizontal="center" vertical="center"/>
    </xf>
    <xf numFmtId="0" fontId="41" fillId="78" borderId="23" xfId="0" applyNumberFormat="1" applyFont="1" applyFill="1" applyBorder="1" applyAlignment="1" applyProtection="1">
      <alignment horizontal="left" vertical="center" wrapText="1"/>
    </xf>
    <xf numFmtId="0" fontId="151" fillId="81" borderId="57" xfId="30099" applyFont="1" applyFill="1" applyBorder="1" applyAlignment="1" applyProtection="1">
      <alignment horizontal="center" vertical="center"/>
      <protection locked="0"/>
    </xf>
    <xf numFmtId="0" fontId="128" fillId="81" borderId="57" xfId="30099" applyFont="1" applyFill="1" applyBorder="1" applyAlignment="1" applyProtection="1">
      <alignment horizontal="center" vertical="center"/>
      <protection locked="0"/>
    </xf>
    <xf numFmtId="14" fontId="128" fillId="81" borderId="57" xfId="30099" applyNumberFormat="1" applyFont="1" applyFill="1" applyBorder="1" applyAlignment="1" applyProtection="1">
      <alignment horizontal="center" vertical="center"/>
      <protection locked="0"/>
    </xf>
    <xf numFmtId="164" fontId="134" fillId="26" borderId="0" xfId="30100" applyNumberFormat="1" applyFont="1" applyFill="1" applyBorder="1" applyAlignment="1"/>
    <xf numFmtId="10" fontId="0" fillId="0" borderId="10" xfId="4688" applyNumberFormat="1" applyFont="1" applyFill="1" applyBorder="1"/>
    <xf numFmtId="10" fontId="0" fillId="0" borderId="10" xfId="0" applyNumberFormat="1" applyFont="1" applyFill="1" applyBorder="1" applyAlignment="1">
      <alignment horizontal="center" wrapText="1"/>
    </xf>
    <xf numFmtId="10" fontId="0" fillId="78" borderId="10" xfId="4688" applyNumberFormat="1" applyFont="1" applyFill="1" applyBorder="1"/>
    <xf numFmtId="10" fontId="0" fillId="78" borderId="10" xfId="0" applyNumberFormat="1" applyFont="1" applyFill="1" applyBorder="1" applyAlignment="1">
      <alignment horizontal="center" wrapText="1"/>
    </xf>
    <xf numFmtId="0" fontId="39" fillId="78" borderId="105" xfId="0" applyFont="1" applyFill="1" applyBorder="1" applyAlignment="1">
      <alignment wrapText="1"/>
    </xf>
    <xf numFmtId="0" fontId="39" fillId="78" borderId="10" xfId="0" applyFont="1" applyFill="1" applyBorder="1" applyAlignment="1">
      <alignment vertical="center" wrapText="1"/>
    </xf>
    <xf numFmtId="167" fontId="0" fillId="0" borderId="10" xfId="545" applyNumberFormat="1" applyFont="1" applyFill="1" applyBorder="1" applyAlignment="1">
      <alignment horizontal="center"/>
    </xf>
    <xf numFmtId="10" fontId="0" fillId="0" borderId="10" xfId="4688" applyNumberFormat="1" applyFont="1" applyFill="1" applyBorder="1" applyAlignment="1">
      <alignment horizontal="center"/>
    </xf>
    <xf numFmtId="0" fontId="39" fillId="78" borderId="105" xfId="0" applyFont="1" applyFill="1" applyBorder="1" applyAlignment="1">
      <alignment vertical="center" wrapText="1"/>
    </xf>
    <xf numFmtId="0" fontId="39" fillId="78" borderId="0" xfId="0" applyFont="1" applyFill="1" applyBorder="1" applyAlignment="1">
      <alignment vertical="center" wrapText="1"/>
    </xf>
    <xf numFmtId="10" fontId="0" fillId="78" borderId="0" xfId="4688" applyNumberFormat="1" applyFont="1" applyFill="1" applyBorder="1" applyAlignment="1">
      <alignment horizontal="center"/>
    </xf>
    <xf numFmtId="10" fontId="0" fillId="78" borderId="10" xfId="4688" applyNumberFormat="1" applyFont="1" applyFill="1" applyBorder="1" applyAlignment="1">
      <alignment horizontal="center"/>
    </xf>
    <xf numFmtId="43" fontId="0" fillId="0" borderId="0" xfId="439" applyFont="1" applyFill="1"/>
    <xf numFmtId="164" fontId="0" fillId="0" borderId="0" xfId="439" applyNumberFormat="1" applyFont="1" applyFill="1"/>
    <xf numFmtId="172" fontId="0" fillId="0" borderId="0" xfId="439" applyNumberFormat="1" applyFont="1" applyFill="1"/>
    <xf numFmtId="184" fontId="0" fillId="0" borderId="0" xfId="439" applyNumberFormat="1" applyFont="1" applyFill="1"/>
    <xf numFmtId="43" fontId="0" fillId="0" borderId="0" xfId="439" applyNumberFormat="1" applyFont="1" applyFill="1"/>
    <xf numFmtId="38" fontId="0" fillId="0" borderId="0" xfId="0" applyNumberFormat="1" applyFont="1" applyFill="1"/>
    <xf numFmtId="40" fontId="0" fillId="0" borderId="0" xfId="0" applyNumberFormat="1" applyFont="1" applyFill="1"/>
    <xf numFmtId="0" fontId="33" fillId="0" borderId="0" xfId="0" applyFont="1" applyProtection="1"/>
    <xf numFmtId="0" fontId="59" fillId="0" borderId="0" xfId="26000" applyFont="1" applyProtection="1"/>
    <xf numFmtId="0" fontId="59" fillId="0" borderId="0" xfId="26000" applyFont="1" applyAlignment="1" applyProtection="1">
      <alignment horizontal="center" vertical="center"/>
    </xf>
    <xf numFmtId="0" fontId="45" fillId="0" borderId="0" xfId="26000" applyFont="1" applyProtection="1"/>
    <xf numFmtId="0" fontId="45" fillId="0" borderId="0" xfId="26000" applyFont="1" applyFill="1" applyProtection="1"/>
    <xf numFmtId="0" fontId="45" fillId="0" borderId="0" xfId="26000" applyFont="1" applyAlignment="1" applyProtection="1">
      <alignment horizontal="center"/>
    </xf>
    <xf numFmtId="0" fontId="59" fillId="0" borderId="0" xfId="26000" applyFont="1" applyAlignment="1" applyProtection="1">
      <alignment horizontal="left"/>
    </xf>
    <xf numFmtId="0" fontId="59" fillId="84" borderId="0" xfId="26000" applyFont="1" applyFill="1" applyProtection="1"/>
    <xf numFmtId="0" fontId="45" fillId="84" borderId="0" xfId="26000" applyFont="1" applyFill="1" applyProtection="1"/>
    <xf numFmtId="0" fontId="163" fillId="0" borderId="57" xfId="26000" applyFont="1" applyBorder="1" applyProtection="1"/>
    <xf numFmtId="9" fontId="59" fillId="0" borderId="0" xfId="26000" applyNumberFormat="1" applyFont="1" applyAlignment="1" applyProtection="1">
      <alignment horizontal="center"/>
    </xf>
    <xf numFmtId="38" fontId="45" fillId="83" borderId="0" xfId="29549" applyNumberFormat="1" applyFont="1" applyFill="1" applyProtection="1"/>
    <xf numFmtId="38" fontId="45" fillId="0" borderId="0" xfId="29549" applyNumberFormat="1" applyFont="1" applyFill="1" applyProtection="1"/>
    <xf numFmtId="164" fontId="45" fillId="0" borderId="57" xfId="29549" applyNumberFormat="1" applyFont="1" applyBorder="1" applyProtection="1"/>
    <xf numFmtId="164" fontId="45" fillId="0" borderId="0" xfId="29549" applyNumberFormat="1" applyFont="1" applyFill="1" applyBorder="1" applyProtection="1"/>
    <xf numFmtId="38" fontId="45" fillId="83" borderId="0" xfId="26000" applyNumberFormat="1" applyFont="1" applyFill="1" applyProtection="1"/>
    <xf numFmtId="38" fontId="45" fillId="0" borderId="0" xfId="26000" applyNumberFormat="1" applyFont="1" applyProtection="1"/>
    <xf numFmtId="0" fontId="45" fillId="0" borderId="0" xfId="26000" applyFont="1" applyAlignment="1" applyProtection="1">
      <alignment wrapText="1"/>
    </xf>
    <xf numFmtId="43" fontId="45" fillId="83" borderId="57" xfId="29549" applyFont="1" applyFill="1" applyBorder="1" applyAlignment="1" applyProtection="1">
      <alignment horizontal="left"/>
    </xf>
    <xf numFmtId="164" fontId="45" fillId="0" borderId="0" xfId="29549" applyNumberFormat="1" applyFont="1" applyFill="1" applyBorder="1" applyAlignment="1" applyProtection="1">
      <alignment horizontal="left"/>
    </xf>
    <xf numFmtId="172" fontId="45" fillId="0" borderId="0" xfId="29549" applyNumberFormat="1" applyFont="1" applyFill="1" applyBorder="1" applyAlignment="1" applyProtection="1">
      <alignment horizontal="left"/>
    </xf>
    <xf numFmtId="0" fontId="59" fillId="0" borderId="0" xfId="26000" applyFont="1" applyAlignment="1" applyProtection="1">
      <alignment wrapText="1"/>
    </xf>
    <xf numFmtId="164" fontId="45" fillId="83" borderId="57" xfId="29549" applyNumberFormat="1" applyFont="1" applyFill="1" applyBorder="1" applyProtection="1"/>
    <xf numFmtId="164" fontId="45" fillId="0" borderId="57" xfId="29549" applyNumberFormat="1" applyFont="1" applyFill="1" applyBorder="1" applyProtection="1"/>
    <xf numFmtId="40" fontId="45" fillId="83" borderId="0" xfId="26000" applyNumberFormat="1" applyFont="1" applyFill="1" applyProtection="1"/>
    <xf numFmtId="0" fontId="164" fillId="0" borderId="0" xfId="26000" applyFont="1" applyAlignment="1" applyProtection="1">
      <alignment horizontal="right"/>
    </xf>
    <xf numFmtId="164" fontId="45" fillId="0" borderId="0" xfId="29549" applyNumberFormat="1" applyFont="1" applyBorder="1" applyProtection="1"/>
    <xf numFmtId="164" fontId="45" fillId="0" borderId="0" xfId="26000" applyNumberFormat="1" applyFont="1" applyProtection="1"/>
    <xf numFmtId="38" fontId="45" fillId="0" borderId="0" xfId="29549" applyNumberFormat="1" applyFont="1" applyBorder="1" applyProtection="1"/>
    <xf numFmtId="0" fontId="164" fillId="0" borderId="0" xfId="26000" applyFont="1" applyProtection="1"/>
    <xf numFmtId="43" fontId="45" fillId="0" borderId="0" xfId="26000" applyNumberFormat="1" applyFont="1" applyProtection="1"/>
    <xf numFmtId="164" fontId="59" fillId="0" borderId="57" xfId="26000" applyNumberFormat="1" applyFont="1" applyBorder="1" applyProtection="1"/>
    <xf numFmtId="0" fontId="59" fillId="0" borderId="0" xfId="26000" applyFont="1" applyAlignment="1" applyProtection="1">
      <alignment horizontal="center"/>
    </xf>
    <xf numFmtId="0" fontId="59" fillId="0" borderId="70" xfId="26000" applyFont="1" applyBorder="1" applyAlignment="1" applyProtection="1">
      <alignment horizontal="right" vertical="top" wrapText="1"/>
    </xf>
    <xf numFmtId="164" fontId="59" fillId="0" borderId="72" xfId="29549" applyNumberFormat="1" applyFont="1" applyBorder="1" applyProtection="1"/>
    <xf numFmtId="167" fontId="45" fillId="0" borderId="0" xfId="29549" applyNumberFormat="1" applyFont="1" applyProtection="1"/>
    <xf numFmtId="43" fontId="59" fillId="0" borderId="70" xfId="29549" applyFont="1" applyBorder="1" applyProtection="1"/>
    <xf numFmtId="43" fontId="45" fillId="0" borderId="72" xfId="29549" applyFont="1" applyBorder="1" applyAlignment="1" applyProtection="1">
      <alignment horizontal="right"/>
    </xf>
    <xf numFmtId="0" fontId="45" fillId="0" borderId="0" xfId="26000" applyFont="1" applyBorder="1" applyAlignment="1" applyProtection="1">
      <alignment vertical="top"/>
    </xf>
    <xf numFmtId="0" fontId="164" fillId="0" borderId="0" xfId="26000" applyFont="1" applyAlignment="1" applyProtection="1">
      <alignment vertical="top" wrapText="1"/>
    </xf>
    <xf numFmtId="38" fontId="53" fillId="26" borderId="0" xfId="682" applyNumberFormat="1" applyFont="1" applyFill="1"/>
    <xf numFmtId="0" fontId="39" fillId="0" borderId="0" xfId="682" applyFont="1" applyFill="1" applyAlignment="1">
      <alignment wrapText="1"/>
    </xf>
    <xf numFmtId="0" fontId="0" fillId="0" borderId="0" xfId="682" applyFont="1"/>
    <xf numFmtId="0" fontId="165" fillId="26" borderId="0" xfId="682" applyFont="1" applyFill="1"/>
    <xf numFmtId="0" fontId="0" fillId="26" borderId="0" xfId="682" applyFont="1" applyFill="1"/>
    <xf numFmtId="0" fontId="50" fillId="0" borderId="17" xfId="682" applyFont="1" applyBorder="1" applyAlignment="1">
      <alignment horizontal="center"/>
    </xf>
    <xf numFmtId="0" fontId="166" fillId="0" borderId="0" xfId="682" applyFont="1"/>
    <xf numFmtId="0" fontId="166" fillId="0" borderId="0" xfId="682" applyFont="1" applyAlignment="1">
      <alignment vertical="center"/>
    </xf>
    <xf numFmtId="0" fontId="50" fillId="0" borderId="14" xfId="682" applyFont="1" applyBorder="1" applyAlignment="1">
      <alignment horizontal="center" vertical="center" wrapText="1"/>
    </xf>
    <xf numFmtId="0" fontId="167" fillId="0" borderId="0" xfId="682" applyFont="1"/>
    <xf numFmtId="0" fontId="53" fillId="0" borderId="0" xfId="682" applyFont="1"/>
    <xf numFmtId="167" fontId="168" fillId="26" borderId="0" xfId="546" applyNumberFormat="1" applyFont="1" applyFill="1"/>
    <xf numFmtId="167" fontId="53" fillId="0" borderId="0" xfId="546" applyNumberFormat="1" applyFont="1"/>
    <xf numFmtId="38" fontId="168" fillId="26" borderId="0" xfId="682" applyNumberFormat="1" applyFont="1" applyFill="1"/>
    <xf numFmtId="38" fontId="53" fillId="0" borderId="0" xfId="682" applyNumberFormat="1" applyFont="1"/>
    <xf numFmtId="38" fontId="0" fillId="26" borderId="0" xfId="682" applyNumberFormat="1" applyFont="1" applyFill="1"/>
    <xf numFmtId="38" fontId="53" fillId="26" borderId="17" xfId="449" applyNumberFormat="1" applyFont="1" applyFill="1" applyBorder="1"/>
    <xf numFmtId="38" fontId="53" fillId="0" borderId="0" xfId="449" applyNumberFormat="1" applyFont="1"/>
    <xf numFmtId="0" fontId="50" fillId="27" borderId="0" xfId="682" applyFont="1" applyFill="1"/>
    <xf numFmtId="0" fontId="0" fillId="27" borderId="0" xfId="682" applyFont="1" applyFill="1"/>
    <xf numFmtId="0" fontId="53" fillId="27" borderId="0" xfId="682" applyFont="1" applyFill="1"/>
    <xf numFmtId="167" fontId="50" fillId="27" borderId="0" xfId="546" applyNumberFormat="1" applyFont="1" applyFill="1"/>
    <xf numFmtId="167" fontId="53" fillId="27" borderId="0" xfId="546" applyNumberFormat="1" applyFont="1" applyFill="1"/>
    <xf numFmtId="164" fontId="53" fillId="26" borderId="17" xfId="449" applyNumberFormat="1" applyFont="1" applyFill="1" applyBorder="1"/>
    <xf numFmtId="164" fontId="53" fillId="0" borderId="0" xfId="449" applyNumberFormat="1" applyFont="1"/>
    <xf numFmtId="0" fontId="167" fillId="0" borderId="0" xfId="682" applyFont="1" applyAlignment="1">
      <alignment vertical="center"/>
    </xf>
    <xf numFmtId="0" fontId="169" fillId="0" borderId="0" xfId="682" applyFont="1"/>
    <xf numFmtId="38" fontId="53" fillId="26" borderId="0" xfId="449" applyNumberFormat="1" applyFont="1" applyFill="1"/>
    <xf numFmtId="167" fontId="50" fillId="27" borderId="18" xfId="546" applyNumberFormat="1" applyFont="1" applyFill="1" applyBorder="1"/>
    <xf numFmtId="167" fontId="53" fillId="26" borderId="19" xfId="546" applyNumberFormat="1" applyFont="1" applyFill="1" applyBorder="1"/>
    <xf numFmtId="0" fontId="50" fillId="0" borderId="0" xfId="682" applyFont="1"/>
    <xf numFmtId="167" fontId="50" fillId="0" borderId="20" xfId="546" applyNumberFormat="1" applyFont="1" applyBorder="1"/>
    <xf numFmtId="0" fontId="50" fillId="0" borderId="0" xfId="682" applyFont="1" applyAlignment="1">
      <alignment horizontal="center"/>
    </xf>
    <xf numFmtId="167" fontId="168" fillId="0" borderId="0" xfId="546" applyNumberFormat="1" applyFont="1" applyFill="1"/>
    <xf numFmtId="38" fontId="168" fillId="26" borderId="0" xfId="0" applyNumberFormat="1" applyFont="1" applyFill="1"/>
    <xf numFmtId="38" fontId="168" fillId="0" borderId="0" xfId="449" applyNumberFormat="1" applyFont="1" applyFill="1"/>
    <xf numFmtId="38" fontId="168" fillId="26" borderId="17" xfId="0" applyNumberFormat="1" applyFont="1" applyFill="1" applyBorder="1"/>
    <xf numFmtId="38" fontId="168" fillId="0" borderId="17" xfId="449" applyNumberFormat="1" applyFont="1" applyFill="1" applyBorder="1"/>
    <xf numFmtId="167" fontId="53" fillId="0" borderId="19" xfId="546" applyNumberFormat="1" applyFont="1" applyBorder="1"/>
    <xf numFmtId="10" fontId="50" fillId="0" borderId="19" xfId="682" applyNumberFormat="1" applyFont="1" applyBorder="1"/>
    <xf numFmtId="0" fontId="0" fillId="0" borderId="82" xfId="0" applyFont="1" applyBorder="1"/>
    <xf numFmtId="0" fontId="39" fillId="78" borderId="78" xfId="0" applyFont="1" applyFill="1" applyBorder="1" applyAlignment="1">
      <alignment horizontal="left"/>
    </xf>
    <xf numFmtId="0" fontId="0" fillId="78" borderId="78" xfId="0" applyFont="1" applyFill="1" applyBorder="1"/>
    <xf numFmtId="0" fontId="39" fillId="78" borderId="78" xfId="0" applyFont="1" applyFill="1" applyBorder="1"/>
    <xf numFmtId="0" fontId="0" fillId="78" borderId="81" xfId="0" applyFont="1" applyFill="1" applyBorder="1"/>
    <xf numFmtId="0" fontId="0" fillId="73" borderId="10" xfId="0" applyFont="1" applyFill="1" applyBorder="1" applyAlignment="1">
      <alignment horizontal="center" vertical="center" wrapText="1"/>
    </xf>
    <xf numFmtId="0" fontId="0" fillId="78" borderId="81" xfId="0" applyFont="1" applyFill="1" applyBorder="1" applyAlignment="1">
      <alignment wrapText="1"/>
    </xf>
    <xf numFmtId="0" fontId="0" fillId="0" borderId="82" xfId="0" applyFont="1" applyBorder="1" applyAlignment="1">
      <alignment wrapText="1"/>
    </xf>
    <xf numFmtId="1" fontId="0" fillId="0" borderId="82" xfId="0" applyNumberFormat="1" applyFont="1" applyBorder="1"/>
    <xf numFmtId="0" fontId="0" fillId="73" borderId="83" xfId="0" applyFont="1" applyFill="1" applyBorder="1" applyAlignment="1">
      <alignment horizontal="center" vertical="center" wrapText="1"/>
    </xf>
    <xf numFmtId="0" fontId="0" fillId="0" borderId="82" xfId="0" applyFont="1" applyBorder="1" applyAlignment="1">
      <alignment horizontal="center"/>
    </xf>
    <xf numFmtId="0" fontId="0" fillId="0" borderId="81" xfId="0" applyFont="1" applyBorder="1"/>
    <xf numFmtId="0" fontId="171" fillId="78" borderId="99" xfId="0" applyFont="1" applyFill="1" applyBorder="1" applyAlignment="1">
      <alignment wrapText="1"/>
    </xf>
    <xf numFmtId="37" fontId="0" fillId="0" borderId="0" xfId="0" applyNumberFormat="1" applyFont="1" applyBorder="1"/>
    <xf numFmtId="0" fontId="0" fillId="0" borderId="85" xfId="0" applyNumberFormat="1" applyFont="1" applyBorder="1" applyAlignment="1">
      <alignment horizontal="center" wrapText="1"/>
    </xf>
    <xf numFmtId="10" fontId="0" fillId="0" borderId="82" xfId="0" applyNumberFormat="1" applyFont="1" applyBorder="1"/>
    <xf numFmtId="0" fontId="0" fillId="78" borderId="84" xfId="0" applyFont="1" applyFill="1" applyBorder="1"/>
    <xf numFmtId="0" fontId="0" fillId="78" borderId="84" xfId="0" applyFont="1" applyFill="1" applyBorder="1" applyAlignment="1">
      <alignment horizontal="center" wrapText="1"/>
    </xf>
    <xf numFmtId="0" fontId="0" fillId="78" borderId="84" xfId="0" applyFont="1" applyFill="1" applyBorder="1" applyAlignment="1">
      <alignment wrapText="1"/>
    </xf>
    <xf numFmtId="0" fontId="0" fillId="78" borderId="96" xfId="0" applyFont="1" applyFill="1" applyBorder="1" applyAlignment="1">
      <alignment horizontal="center" wrapText="1"/>
    </xf>
    <xf numFmtId="0" fontId="0" fillId="78" borderId="96" xfId="0" applyFont="1" applyFill="1" applyBorder="1"/>
    <xf numFmtId="2" fontId="0" fillId="0" borderId="82" xfId="0" applyNumberFormat="1" applyFont="1" applyBorder="1"/>
    <xf numFmtId="168" fontId="0" fillId="0" borderId="82" xfId="0" applyNumberFormat="1" applyFont="1" applyBorder="1"/>
    <xf numFmtId="2" fontId="0" fillId="80" borderId="86" xfId="0" applyNumberFormat="1" applyFont="1" applyFill="1" applyBorder="1"/>
    <xf numFmtId="0" fontId="0" fillId="78" borderId="91" xfId="0" applyFont="1" applyFill="1" applyBorder="1" applyAlignment="1">
      <alignment horizontal="center" wrapText="1"/>
    </xf>
    <xf numFmtId="0" fontId="0" fillId="78" borderId="91" xfId="0" applyFont="1" applyFill="1" applyBorder="1"/>
    <xf numFmtId="0" fontId="0" fillId="78" borderId="92" xfId="0" applyFont="1" applyFill="1" applyBorder="1"/>
    <xf numFmtId="39" fontId="0" fillId="0" borderId="82" xfId="0" applyNumberFormat="1" applyFont="1" applyBorder="1"/>
    <xf numFmtId="2" fontId="0" fillId="0" borderId="85" xfId="0" applyNumberFormat="1" applyFont="1" applyFill="1" applyBorder="1" applyAlignment="1">
      <alignment horizontal="center"/>
    </xf>
    <xf numFmtId="0" fontId="0" fillId="78" borderId="87" xfId="0" applyFont="1" applyFill="1" applyBorder="1"/>
    <xf numFmtId="0" fontId="0" fillId="78" borderId="87" xfId="0" applyFont="1" applyFill="1" applyBorder="1" applyAlignment="1">
      <alignment horizontal="center" wrapText="1"/>
    </xf>
    <xf numFmtId="0" fontId="0" fillId="78" borderId="87" xfId="0" applyFont="1" applyFill="1" applyBorder="1" applyAlignment="1">
      <alignment wrapText="1"/>
    </xf>
    <xf numFmtId="0" fontId="0" fillId="0" borderId="10" xfId="0" applyFont="1" applyFill="1" applyBorder="1"/>
    <xf numFmtId="0" fontId="0" fillId="0" borderId="10" xfId="0" applyFont="1" applyFill="1" applyBorder="1" applyProtection="1">
      <protection locked="0"/>
    </xf>
    <xf numFmtId="0" fontId="0" fillId="78" borderId="10" xfId="0" applyFont="1" applyFill="1" applyBorder="1" applyAlignment="1">
      <alignment wrapText="1"/>
    </xf>
    <xf numFmtId="0" fontId="0" fillId="78" borderId="104" xfId="0" applyFont="1" applyFill="1" applyBorder="1"/>
    <xf numFmtId="0" fontId="0" fillId="78" borderId="10" xfId="0" quotePrefix="1" applyFont="1" applyFill="1" applyBorder="1" applyAlignment="1">
      <alignment horizontal="center" wrapText="1"/>
    </xf>
    <xf numFmtId="0" fontId="0" fillId="0" borderId="97" xfId="0" applyFont="1" applyFill="1" applyBorder="1" applyProtection="1">
      <protection locked="0"/>
    </xf>
    <xf numFmtId="0" fontId="0" fillId="78" borderId="10" xfId="0" applyNumberFormat="1" applyFont="1" applyFill="1" applyBorder="1" applyAlignment="1">
      <alignment horizontal="center" wrapText="1"/>
    </xf>
    <xf numFmtId="0" fontId="0" fillId="0" borderId="0" xfId="0" applyNumberFormat="1" applyFont="1" applyBorder="1" applyAlignment="1">
      <alignment horizontal="center" wrapText="1"/>
    </xf>
    <xf numFmtId="0" fontId="0" fillId="78" borderId="102" xfId="0" applyFont="1" applyFill="1" applyBorder="1" applyAlignment="1">
      <alignment wrapText="1"/>
    </xf>
    <xf numFmtId="0" fontId="0" fillId="0" borderId="98" xfId="0" applyFont="1" applyFill="1" applyBorder="1" applyProtection="1">
      <protection locked="0"/>
    </xf>
    <xf numFmtId="2" fontId="0" fillId="0" borderId="10" xfId="0" applyNumberFormat="1" applyFont="1" applyFill="1" applyBorder="1" applyAlignment="1">
      <alignment horizontal="center"/>
    </xf>
    <xf numFmtId="0" fontId="0" fillId="78" borderId="10" xfId="0" applyFont="1" applyFill="1" applyBorder="1" applyAlignment="1">
      <alignment horizontal="center" vertical="center" wrapText="1"/>
    </xf>
    <xf numFmtId="0" fontId="0" fillId="78" borderId="10" xfId="0" applyFont="1" applyFill="1" applyBorder="1" applyAlignment="1">
      <alignment vertical="center" wrapText="1"/>
    </xf>
    <xf numFmtId="167" fontId="0" fillId="0" borderId="10" xfId="0" applyNumberFormat="1" applyFont="1" applyFill="1" applyBorder="1" applyAlignment="1">
      <alignment horizontal="center"/>
    </xf>
    <xf numFmtId="37" fontId="0" fillId="0" borderId="10" xfId="0" applyNumberFormat="1" applyFont="1" applyFill="1" applyBorder="1" applyAlignment="1">
      <alignment horizontal="center"/>
    </xf>
    <xf numFmtId="0" fontId="0" fillId="78" borderId="102" xfId="0" applyFont="1" applyFill="1" applyBorder="1" applyAlignment="1">
      <alignment vertical="center" wrapText="1"/>
    </xf>
    <xf numFmtId="0" fontId="0" fillId="78" borderId="0" xfId="0" applyFont="1" applyFill="1" applyBorder="1" applyAlignment="1">
      <alignment horizontal="center" wrapText="1"/>
    </xf>
    <xf numFmtId="10" fontId="0" fillId="78" borderId="0" xfId="0" applyNumberFormat="1" applyFont="1" applyFill="1" applyBorder="1" applyAlignment="1">
      <alignment horizontal="center"/>
    </xf>
    <xf numFmtId="0" fontId="0" fillId="78" borderId="0" xfId="0" applyFont="1" applyFill="1" applyBorder="1" applyAlignment="1">
      <alignment wrapText="1"/>
    </xf>
    <xf numFmtId="0" fontId="39" fillId="0" borderId="78" xfId="0" applyFont="1" applyBorder="1" applyAlignment="1">
      <alignment vertical="center"/>
    </xf>
    <xf numFmtId="0" fontId="171" fillId="78" borderId="103" xfId="0" applyFont="1" applyFill="1" applyBorder="1" applyAlignment="1">
      <alignment wrapText="1"/>
    </xf>
    <xf numFmtId="0" fontId="39" fillId="0" borderId="90" xfId="0" applyFont="1" applyBorder="1" applyAlignment="1">
      <alignment vertical="center"/>
    </xf>
    <xf numFmtId="9" fontId="39" fillId="0" borderId="0" xfId="4688" applyFont="1" applyBorder="1" applyAlignment="1">
      <alignment horizontal="center" wrapText="1"/>
    </xf>
    <xf numFmtId="0" fontId="39" fillId="0" borderId="84" xfId="0" applyFont="1" applyBorder="1" applyAlignment="1">
      <alignment vertical="center"/>
    </xf>
    <xf numFmtId="0" fontId="39" fillId="0" borderId="0" xfId="0" applyFont="1" applyFill="1" applyBorder="1" applyAlignment="1">
      <alignment vertical="center"/>
    </xf>
    <xf numFmtId="0" fontId="39" fillId="0" borderId="87" xfId="0" applyFont="1" applyBorder="1" applyAlignment="1">
      <alignment vertical="center"/>
    </xf>
    <xf numFmtId="0" fontId="39" fillId="0" borderId="82" xfId="0" applyFont="1" applyBorder="1" applyAlignment="1">
      <alignment vertical="center"/>
    </xf>
    <xf numFmtId="0" fontId="161" fillId="73" borderId="92" xfId="0" applyFont="1" applyFill="1" applyBorder="1" applyAlignment="1">
      <alignment horizontal="center" vertical="center" wrapText="1"/>
    </xf>
    <xf numFmtId="0" fontId="39" fillId="78" borderId="12" xfId="0" applyFont="1" applyFill="1" applyBorder="1"/>
    <xf numFmtId="0" fontId="171" fillId="78" borderId="109" xfId="0" applyFont="1" applyFill="1" applyBorder="1" applyAlignment="1">
      <alignment wrapText="1"/>
    </xf>
    <xf numFmtId="0" fontId="39" fillId="78" borderId="12" xfId="0" applyFont="1" applyFill="1" applyBorder="1" applyAlignment="1">
      <alignment horizontal="center"/>
    </xf>
    <xf numFmtId="0" fontId="39" fillId="78" borderId="12" xfId="0" applyFont="1" applyFill="1" applyBorder="1" applyAlignment="1">
      <alignment horizontal="center" wrapText="1"/>
    </xf>
    <xf numFmtId="0" fontId="0" fillId="78" borderId="110" xfId="0" applyFont="1" applyFill="1" applyBorder="1"/>
    <xf numFmtId="0" fontId="0" fillId="78" borderId="10" xfId="0" applyFont="1" applyFill="1" applyBorder="1"/>
    <xf numFmtId="0" fontId="39" fillId="78" borderId="10" xfId="0" applyFont="1" applyFill="1" applyBorder="1" applyAlignment="1">
      <alignment horizontal="center"/>
    </xf>
    <xf numFmtId="0" fontId="39" fillId="78" borderId="10" xfId="0" applyFont="1" applyFill="1" applyBorder="1" applyAlignment="1">
      <alignment horizontal="center" wrapText="1"/>
    </xf>
    <xf numFmtId="0" fontId="161" fillId="78" borderId="10" xfId="0" applyFont="1" applyFill="1" applyBorder="1" applyAlignment="1">
      <alignment horizontal="center" vertical="center" wrapText="1"/>
    </xf>
    <xf numFmtId="39" fontId="0" fillId="0" borderId="0" xfId="0" applyNumberFormat="1" applyFont="1" applyProtection="1"/>
    <xf numFmtId="0" fontId="0" fillId="22" borderId="0" xfId="0" applyFont="1" applyFill="1" applyBorder="1" applyProtection="1"/>
    <xf numFmtId="0" fontId="0" fillId="23" borderId="0" xfId="0" applyFont="1" applyFill="1" applyProtection="1"/>
    <xf numFmtId="0" fontId="0" fillId="0" borderId="0" xfId="0" applyFont="1" applyFill="1" applyAlignment="1" applyProtection="1">
      <alignment horizontal="center" vertical="center"/>
    </xf>
    <xf numFmtId="0" fontId="0" fillId="21" borderId="10" xfId="0" applyFont="1" applyFill="1" applyBorder="1" applyAlignment="1" applyProtection="1">
      <alignment horizontal="center" vertical="center" wrapText="1"/>
    </xf>
    <xf numFmtId="0" fontId="58" fillId="21" borderId="10" xfId="0" applyFont="1" applyFill="1" applyBorder="1" applyAlignment="1" applyProtection="1">
      <alignment horizontal="center" vertical="center" wrapText="1"/>
    </xf>
    <xf numFmtId="0" fontId="0" fillId="22" borderId="0" xfId="0" applyFont="1" applyFill="1" applyAlignment="1" applyProtection="1">
      <alignment horizontal="center" vertical="center"/>
    </xf>
    <xf numFmtId="164" fontId="0" fillId="22" borderId="0" xfId="439" applyNumberFormat="1" applyFont="1" applyFill="1" applyProtection="1"/>
    <xf numFmtId="0" fontId="0" fillId="21" borderId="0" xfId="0" applyFont="1" applyFill="1" applyBorder="1" applyAlignment="1" applyProtection="1">
      <alignment horizontal="center" vertical="center" wrapText="1"/>
    </xf>
    <xf numFmtId="0" fontId="58" fillId="21" borderId="0" xfId="0" applyFont="1" applyFill="1" applyBorder="1" applyAlignment="1" applyProtection="1">
      <alignment horizontal="center" vertical="center" wrapText="1"/>
    </xf>
    <xf numFmtId="3" fontId="0" fillId="0" borderId="0" xfId="0" applyNumberFormat="1" applyFont="1" applyProtection="1"/>
    <xf numFmtId="0" fontId="0" fillId="0" borderId="26" xfId="0" applyNumberFormat="1" applyFont="1" applyFill="1" applyBorder="1" applyAlignment="1" applyProtection="1">
      <alignment horizontal="left" vertical="center" wrapText="1"/>
    </xf>
    <xf numFmtId="0" fontId="0" fillId="0" borderId="31" xfId="0" applyNumberFormat="1" applyFont="1" applyFill="1" applyBorder="1" applyAlignment="1" applyProtection="1">
      <alignment horizontal="left" vertical="center" wrapText="1"/>
    </xf>
    <xf numFmtId="37" fontId="0" fillId="0" borderId="29" xfId="439" applyNumberFormat="1" applyFont="1" applyBorder="1" applyAlignment="1" applyProtection="1">
      <alignment vertical="center"/>
    </xf>
    <xf numFmtId="37" fontId="0" fillId="32" borderId="29" xfId="439" applyNumberFormat="1" applyFont="1" applyFill="1" applyBorder="1" applyAlignment="1" applyProtection="1">
      <alignment vertical="center"/>
    </xf>
    <xf numFmtId="0" fontId="0" fillId="0" borderId="30" xfId="0" applyNumberFormat="1" applyFont="1" applyFill="1" applyBorder="1" applyAlignment="1" applyProtection="1">
      <alignment horizontal="left" vertical="center" wrapText="1"/>
    </xf>
    <xf numFmtId="37" fontId="0" fillId="0" borderId="45" xfId="439" applyNumberFormat="1" applyFont="1" applyFill="1" applyBorder="1" applyAlignment="1" applyProtection="1">
      <alignment vertical="center"/>
    </xf>
    <xf numFmtId="0" fontId="0" fillId="0" borderId="45" xfId="0" applyFont="1" applyFill="1" applyBorder="1" applyProtection="1"/>
    <xf numFmtId="0" fontId="0" fillId="0" borderId="45" xfId="0" applyFont="1" applyFill="1" applyBorder="1" applyAlignment="1" applyProtection="1">
      <alignment horizontal="center" vertical="center"/>
    </xf>
    <xf numFmtId="3" fontId="0" fillId="0" borderId="0" xfId="0" applyNumberFormat="1" applyFont="1" applyFill="1" applyProtection="1"/>
    <xf numFmtId="37" fontId="0" fillId="0" borderId="29" xfId="439" applyNumberFormat="1" applyFont="1" applyFill="1" applyBorder="1" applyAlignment="1" applyProtection="1">
      <alignment vertical="center"/>
    </xf>
    <xf numFmtId="38" fontId="0" fillId="0" borderId="0" xfId="0" applyNumberFormat="1" applyFont="1" applyProtection="1"/>
    <xf numFmtId="164" fontId="0" fillId="0" borderId="0" xfId="0" applyNumberFormat="1" applyFont="1" applyProtection="1"/>
    <xf numFmtId="0" fontId="0" fillId="23" borderId="23" xfId="0" applyNumberFormat="1" applyFont="1" applyFill="1" applyBorder="1" applyAlignment="1" applyProtection="1">
      <alignment horizontal="left" vertical="center" wrapText="1"/>
    </xf>
    <xf numFmtId="37" fontId="0" fillId="23" borderId="28" xfId="439" applyNumberFormat="1" applyFont="1" applyFill="1" applyBorder="1" applyAlignment="1" applyProtection="1">
      <alignment vertical="center"/>
    </xf>
    <xf numFmtId="0" fontId="0" fillId="0" borderId="24" xfId="0" applyNumberFormat="1" applyFont="1" applyFill="1" applyBorder="1" applyAlignment="1" applyProtection="1">
      <alignment horizontal="left" vertical="center" wrapText="1"/>
    </xf>
    <xf numFmtId="0" fontId="0" fillId="22" borderId="45" xfId="0" applyFont="1" applyFill="1" applyBorder="1" applyAlignment="1" applyProtection="1">
      <alignment vertical="center"/>
    </xf>
    <xf numFmtId="37" fontId="0" fillId="0" borderId="27" xfId="439" applyNumberFormat="1" applyFont="1" applyFill="1" applyBorder="1" applyAlignment="1" applyProtection="1">
      <alignment vertical="center"/>
    </xf>
    <xf numFmtId="0" fontId="0" fillId="23" borderId="31" xfId="0" applyNumberFormat="1" applyFont="1" applyFill="1" applyBorder="1" applyAlignment="1" applyProtection="1">
      <alignment horizontal="left" vertical="center" wrapText="1"/>
    </xf>
    <xf numFmtId="0" fontId="0" fillId="34" borderId="25" xfId="0" applyNumberFormat="1" applyFont="1" applyFill="1" applyBorder="1" applyAlignment="1" applyProtection="1">
      <alignment horizontal="left" vertical="center" wrapText="1"/>
    </xf>
    <xf numFmtId="0" fontId="0" fillId="34" borderId="23" xfId="0" applyNumberFormat="1" applyFont="1" applyFill="1" applyBorder="1" applyAlignment="1" applyProtection="1">
      <alignment horizontal="left" vertical="center" wrapText="1"/>
    </xf>
    <xf numFmtId="37" fontId="0" fillId="34" borderId="29" xfId="439" applyNumberFormat="1" applyFont="1" applyFill="1" applyBorder="1" applyAlignment="1" applyProtection="1">
      <alignment vertical="center"/>
    </xf>
    <xf numFmtId="3" fontId="45" fillId="0" borderId="23" xfId="1540" applyFont="1" applyFill="1" applyBorder="1" applyAlignment="1" applyProtection="1">
      <alignment vertical="center" wrapText="1"/>
    </xf>
    <xf numFmtId="38" fontId="0" fillId="0" borderId="45" xfId="0" applyNumberFormat="1" applyFont="1" applyFill="1" applyBorder="1" applyProtection="1"/>
    <xf numFmtId="0" fontId="0" fillId="0" borderId="0" xfId="0" applyFont="1" applyFill="1" applyBorder="1" applyProtection="1"/>
    <xf numFmtId="38" fontId="0" fillId="0" borderId="0" xfId="0" applyNumberFormat="1" applyFont="1" applyFill="1" applyBorder="1" applyProtection="1"/>
    <xf numFmtId="0" fontId="0" fillId="0" borderId="0" xfId="0" applyFont="1" applyFill="1" applyBorder="1" applyAlignment="1" applyProtection="1">
      <alignment horizontal="center" vertical="center"/>
    </xf>
    <xf numFmtId="0" fontId="0" fillId="0" borderId="0" xfId="0" applyFont="1" applyAlignment="1" applyProtection="1">
      <alignment wrapText="1"/>
    </xf>
    <xf numFmtId="0" fontId="0" fillId="0" borderId="34" xfId="0" applyNumberFormat="1" applyFont="1" applyFill="1" applyBorder="1" applyAlignment="1" applyProtection="1">
      <alignment horizontal="left" vertical="center" wrapText="1"/>
    </xf>
    <xf numFmtId="37" fontId="0" fillId="0" borderId="28" xfId="439" applyNumberFormat="1" applyFont="1" applyFill="1" applyBorder="1" applyAlignment="1" applyProtection="1">
      <alignment vertical="center"/>
    </xf>
    <xf numFmtId="0" fontId="0" fillId="34" borderId="0" xfId="0" applyFont="1" applyFill="1" applyAlignment="1" applyProtection="1">
      <alignment vertical="center" wrapText="1"/>
      <protection locked="0"/>
    </xf>
    <xf numFmtId="0" fontId="0" fillId="0" borderId="0" xfId="0" applyFont="1" applyFill="1" applyBorder="1" applyAlignment="1" applyProtection="1">
      <alignment vertical="center" wrapText="1"/>
      <protection locked="0"/>
    </xf>
    <xf numFmtId="0" fontId="0" fillId="0" borderId="35" xfId="0" applyNumberFormat="1" applyFont="1" applyFill="1" applyBorder="1" applyAlignment="1" applyProtection="1">
      <alignment horizontal="left" vertical="center" wrapText="1"/>
    </xf>
    <xf numFmtId="0" fontId="0" fillId="0" borderId="0" xfId="0" applyFont="1" applyBorder="1" applyProtection="1"/>
    <xf numFmtId="0" fontId="0" fillId="0" borderId="25" xfId="0" applyFont="1" applyFill="1" applyBorder="1" applyAlignment="1">
      <alignment horizontal="center" vertical="center" wrapText="1"/>
    </xf>
    <xf numFmtId="0" fontId="0" fillId="35" borderId="0" xfId="0" applyFont="1" applyFill="1" applyAlignment="1" applyProtection="1">
      <alignment horizontal="center" vertical="center"/>
    </xf>
    <xf numFmtId="0" fontId="0" fillId="0" borderId="0" xfId="0" applyFont="1" applyFill="1" applyAlignment="1">
      <alignment horizontal="left" vertical="center" wrapText="1"/>
    </xf>
    <xf numFmtId="37" fontId="0" fillId="0" borderId="28" xfId="439" applyNumberFormat="1" applyFont="1" applyFill="1" applyBorder="1" applyAlignment="1" applyProtection="1">
      <alignment horizontal="center" vertical="center" wrapText="1"/>
    </xf>
    <xf numFmtId="0" fontId="0" fillId="0" borderId="23" xfId="0" applyFont="1" applyFill="1" applyBorder="1" applyAlignment="1">
      <alignment vertical="center" wrapText="1"/>
    </xf>
    <xf numFmtId="39" fontId="172" fillId="76" borderId="62" xfId="1562" applyNumberFormat="1" applyFont="1" applyFill="1" applyBorder="1" applyAlignment="1">
      <alignment horizontal="center" vertical="center" wrapText="1"/>
    </xf>
    <xf numFmtId="174" fontId="0" fillId="0" borderId="28" xfId="439" applyNumberFormat="1" applyFont="1" applyFill="1" applyBorder="1" applyAlignment="1" applyProtection="1">
      <alignment vertical="center"/>
    </xf>
    <xf numFmtId="0" fontId="0" fillId="23" borderId="25" xfId="0" applyNumberFormat="1" applyFont="1" applyFill="1" applyBorder="1" applyAlignment="1" applyProtection="1">
      <alignment horizontal="left" vertical="center" wrapText="1"/>
    </xf>
    <xf numFmtId="3" fontId="45" fillId="0" borderId="0" xfId="1540" applyFont="1" applyFill="1" applyAlignment="1" applyProtection="1">
      <alignment vertical="center" wrapText="1"/>
    </xf>
    <xf numFmtId="39" fontId="0" fillId="0" borderId="29" xfId="439" applyNumberFormat="1" applyFont="1" applyBorder="1" applyAlignment="1" applyProtection="1">
      <alignment vertical="center"/>
    </xf>
    <xf numFmtId="181" fontId="0" fillId="75" borderId="28" xfId="439" applyNumberFormat="1" applyFont="1" applyFill="1" applyBorder="1" applyAlignment="1" applyProtection="1">
      <alignment vertical="center"/>
    </xf>
    <xf numFmtId="0" fontId="0" fillId="0" borderId="0" xfId="0" applyFont="1" applyAlignment="1">
      <alignment wrapText="1"/>
    </xf>
    <xf numFmtId="175" fontId="0" fillId="0" borderId="29" xfId="439" applyNumberFormat="1" applyFont="1" applyBorder="1" applyAlignment="1" applyProtection="1">
      <alignment vertical="center"/>
    </xf>
    <xf numFmtId="0" fontId="0" fillId="78" borderId="25" xfId="0" applyNumberFormat="1" applyFont="1" applyFill="1" applyBorder="1" applyAlignment="1" applyProtection="1">
      <alignment horizontal="left" vertical="center" wrapText="1"/>
    </xf>
    <xf numFmtId="0" fontId="172" fillId="78" borderId="0" xfId="0" applyFont="1" applyFill="1" applyAlignment="1" applyProtection="1">
      <alignment horizontal="left" vertical="center" wrapText="1"/>
    </xf>
    <xf numFmtId="164" fontId="0" fillId="78" borderId="23" xfId="439" applyNumberFormat="1" applyFont="1" applyFill="1" applyBorder="1" applyAlignment="1" applyProtection="1">
      <alignment horizontal="center" vertical="center" wrapText="1"/>
    </xf>
    <xf numFmtId="0" fontId="0" fillId="78" borderId="24" xfId="0" quotePrefix="1" applyNumberFormat="1" applyFont="1" applyFill="1" applyBorder="1" applyAlignment="1" applyProtection="1">
      <alignment horizontal="center" vertical="center" wrapText="1"/>
    </xf>
    <xf numFmtId="0" fontId="0" fillId="78" borderId="23" xfId="0" applyFont="1" applyFill="1" applyBorder="1" applyAlignment="1">
      <alignment vertical="center" wrapText="1"/>
    </xf>
    <xf numFmtId="37" fontId="0" fillId="78" borderId="29" xfId="439" applyNumberFormat="1" applyFont="1" applyFill="1" applyBorder="1" applyAlignment="1" applyProtection="1">
      <alignment vertical="center"/>
    </xf>
    <xf numFmtId="0" fontId="0" fillId="78" borderId="0" xfId="0" applyFont="1" applyFill="1" applyProtection="1"/>
    <xf numFmtId="0" fontId="58" fillId="78" borderId="0" xfId="0" applyFont="1" applyFill="1" applyAlignment="1" applyProtection="1">
      <alignment horizontal="left" vertical="center" wrapText="1"/>
    </xf>
    <xf numFmtId="0" fontId="0" fillId="78" borderId="0" xfId="0" quotePrefix="1" applyFont="1" applyFill="1" applyAlignment="1" applyProtection="1">
      <alignment horizontal="center"/>
    </xf>
    <xf numFmtId="0" fontId="56" fillId="78" borderId="0" xfId="0" applyFont="1" applyFill="1" applyAlignment="1" applyProtection="1">
      <alignment horizontal="left" vertical="center" wrapText="1"/>
    </xf>
    <xf numFmtId="0" fontId="0" fillId="22" borderId="25" xfId="0" applyNumberFormat="1" applyFont="1" applyFill="1" applyBorder="1" applyAlignment="1" applyProtection="1">
      <alignment horizontal="left" vertical="center" wrapText="1"/>
    </xf>
    <xf numFmtId="0" fontId="0" fillId="22" borderId="23" xfId="0" applyNumberFormat="1" applyFont="1" applyFill="1" applyBorder="1" applyAlignment="1" applyProtection="1">
      <alignment horizontal="left" vertical="center" wrapText="1"/>
    </xf>
    <xf numFmtId="37" fontId="0" fillId="78" borderId="28" xfId="439" applyNumberFormat="1" applyFont="1" applyFill="1" applyBorder="1" applyAlignment="1" applyProtection="1">
      <alignment vertical="center"/>
    </xf>
    <xf numFmtId="0" fontId="0" fillId="22" borderId="23" xfId="0" applyFont="1" applyFill="1" applyBorder="1" applyAlignment="1" applyProtection="1">
      <alignment vertical="center"/>
      <protection locked="0"/>
    </xf>
    <xf numFmtId="0" fontId="0" fillId="22" borderId="30" xfId="0" applyFont="1" applyFill="1" applyBorder="1" applyAlignment="1" applyProtection="1">
      <alignment vertical="center"/>
    </xf>
    <xf numFmtId="0" fontId="0" fillId="22" borderId="23" xfId="0" applyFont="1" applyFill="1" applyBorder="1" applyAlignment="1" applyProtection="1">
      <alignment vertical="center"/>
    </xf>
    <xf numFmtId="39" fontId="0" fillId="22" borderId="28" xfId="0" applyNumberFormat="1" applyFont="1" applyFill="1" applyBorder="1" applyAlignment="1" applyProtection="1">
      <alignment vertical="center"/>
    </xf>
    <xf numFmtId="0" fontId="0" fillId="22" borderId="28" xfId="0" applyFont="1" applyFill="1" applyBorder="1" applyAlignment="1" applyProtection="1">
      <alignment vertical="center"/>
    </xf>
    <xf numFmtId="39" fontId="0" fillId="78" borderId="28" xfId="439" applyNumberFormat="1" applyFont="1" applyFill="1" applyBorder="1" applyAlignment="1" applyProtection="1">
      <alignment vertical="center"/>
    </xf>
    <xf numFmtId="4" fontId="0" fillId="0" borderId="0" xfId="0" applyNumberFormat="1" applyFont="1" applyProtection="1"/>
    <xf numFmtId="0" fontId="0" fillId="22" borderId="29" xfId="0" applyFont="1" applyFill="1" applyBorder="1" applyAlignment="1" applyProtection="1">
      <alignment vertical="center"/>
    </xf>
    <xf numFmtId="0" fontId="0" fillId="0" borderId="0" xfId="0" applyFont="1" applyAlignment="1">
      <alignment vertical="center" wrapText="1"/>
    </xf>
    <xf numFmtId="0" fontId="0" fillId="0" borderId="0" xfId="0" applyFont="1" applyFill="1" applyAlignment="1" applyProtection="1">
      <alignment wrapText="1"/>
    </xf>
    <xf numFmtId="0" fontId="0" fillId="0" borderId="45" xfId="0" applyFont="1" applyFill="1" applyBorder="1" applyAlignment="1">
      <alignment vertical="center" wrapText="1"/>
    </xf>
    <xf numFmtId="37" fontId="0" fillId="0" borderId="64" xfId="439" applyNumberFormat="1" applyFont="1" applyFill="1" applyBorder="1" applyAlignment="1" applyProtection="1">
      <alignment vertical="center"/>
    </xf>
    <xf numFmtId="0" fontId="0" fillId="0" borderId="45" xfId="0" applyFont="1" applyFill="1" applyBorder="1" applyAlignment="1" applyProtection="1">
      <alignment vertical="center" wrapText="1"/>
      <protection locked="0"/>
    </xf>
    <xf numFmtId="0" fontId="0" fillId="22" borderId="0" xfId="0" applyFont="1" applyFill="1" applyAlignment="1" applyProtection="1">
      <alignment vertical="center" wrapText="1"/>
      <protection locked="0"/>
    </xf>
    <xf numFmtId="164" fontId="0" fillId="22" borderId="28" xfId="439" applyNumberFormat="1" applyFont="1" applyFill="1" applyBorder="1" applyAlignment="1" applyProtection="1">
      <alignment vertical="center"/>
    </xf>
    <xf numFmtId="0" fontId="0" fillId="74" borderId="23" xfId="0" applyNumberFormat="1" applyFont="1" applyFill="1" applyBorder="1" applyAlignment="1" applyProtection="1">
      <alignment horizontal="left" vertical="center" wrapText="1"/>
    </xf>
    <xf numFmtId="49" fontId="0" fillId="74" borderId="64" xfId="439" applyNumberFormat="1" applyFont="1" applyFill="1" applyBorder="1" applyAlignment="1" applyProtection="1">
      <alignment horizontal="center" vertical="center"/>
    </xf>
    <xf numFmtId="49" fontId="0" fillId="0" borderId="0" xfId="0" applyNumberFormat="1" applyFont="1" applyAlignment="1">
      <alignment horizontal="center" vertical="center"/>
    </xf>
    <xf numFmtId="14" fontId="0" fillId="74" borderId="64" xfId="439" applyNumberFormat="1" applyFont="1" applyFill="1" applyBorder="1" applyAlignment="1" applyProtection="1">
      <alignment horizontal="center" vertical="center"/>
    </xf>
    <xf numFmtId="49" fontId="0" fillId="74" borderId="63" xfId="439" applyNumberFormat="1" applyFont="1" applyFill="1" applyBorder="1" applyAlignment="1" applyProtection="1">
      <alignment horizontal="center" vertical="center"/>
    </xf>
    <xf numFmtId="0" fontId="0" fillId="31" borderId="65" xfId="0" applyFont="1" applyFill="1" applyBorder="1"/>
    <xf numFmtId="49" fontId="0" fillId="31" borderId="0" xfId="0" applyNumberFormat="1" applyFont="1" applyFill="1" applyAlignment="1" applyProtection="1">
      <alignment horizontal="center"/>
    </xf>
    <xf numFmtId="41" fontId="0" fillId="0" borderId="65" xfId="0" applyNumberFormat="1" applyFont="1" applyFill="1" applyBorder="1" applyAlignment="1">
      <alignment horizontal="center" vertical="center" wrapText="1"/>
    </xf>
    <xf numFmtId="0" fontId="0" fillId="31" borderId="23" xfId="0" applyNumberFormat="1" applyFont="1" applyFill="1" applyBorder="1" applyAlignment="1" applyProtection="1">
      <alignment horizontal="left" vertical="center" wrapText="1"/>
    </xf>
    <xf numFmtId="49" fontId="0" fillId="31" borderId="63" xfId="439" applyNumberFormat="1" applyFont="1" applyFill="1" applyBorder="1" applyAlignment="1" applyProtection="1">
      <alignment horizontal="center" vertical="center"/>
    </xf>
    <xf numFmtId="14" fontId="0" fillId="31" borderId="0" xfId="0" applyNumberFormat="1" applyFont="1" applyFill="1" applyAlignment="1" applyProtection="1">
      <alignment horizontal="center"/>
    </xf>
    <xf numFmtId="14" fontId="0" fillId="31" borderId="63" xfId="439" applyNumberFormat="1" applyFont="1" applyFill="1" applyBorder="1" applyAlignment="1" applyProtection="1">
      <alignment horizontal="center" vertical="center"/>
    </xf>
    <xf numFmtId="0" fontId="0" fillId="78" borderId="0" xfId="0" applyFont="1" applyFill="1" applyBorder="1"/>
    <xf numFmtId="14" fontId="0" fillId="78" borderId="0" xfId="0" applyNumberFormat="1" applyFont="1" applyFill="1" applyAlignment="1" applyProtection="1">
      <alignment horizontal="center"/>
    </xf>
    <xf numFmtId="41" fontId="0" fillId="78" borderId="0" xfId="0" applyNumberFormat="1" applyFont="1" applyFill="1" applyBorder="1" applyAlignment="1">
      <alignment horizontal="center" vertical="center" wrapText="1"/>
    </xf>
    <xf numFmtId="14" fontId="0" fillId="78" borderId="63" xfId="439" applyNumberFormat="1" applyFont="1" applyFill="1" applyBorder="1" applyAlignment="1" applyProtection="1">
      <alignment horizontal="center" vertical="center"/>
    </xf>
    <xf numFmtId="169" fontId="0" fillId="74" borderId="64" xfId="439" applyNumberFormat="1" applyFont="1" applyFill="1" applyBorder="1" applyAlignment="1" applyProtection="1">
      <alignment vertical="center"/>
    </xf>
    <xf numFmtId="0" fontId="0" fillId="78" borderId="0" xfId="0" applyFont="1" applyFill="1" applyAlignment="1" applyProtection="1">
      <alignment wrapText="1"/>
    </xf>
    <xf numFmtId="0" fontId="0" fillId="0" borderId="0" xfId="0" applyFont="1" applyAlignment="1" applyProtection="1">
      <alignment vertical="center" wrapText="1"/>
    </xf>
    <xf numFmtId="0" fontId="0" fillId="0" borderId="0" xfId="0" applyFont="1" applyAlignment="1" applyProtection="1">
      <alignment vertical="center"/>
      <protection locked="0"/>
    </xf>
    <xf numFmtId="0" fontId="0" fillId="0" borderId="0" xfId="0" applyFont="1" applyAlignment="1" applyProtection="1">
      <alignment vertical="center"/>
    </xf>
    <xf numFmtId="39" fontId="0" fillId="0" borderId="0" xfId="0" applyNumberFormat="1" applyFont="1" applyAlignment="1" applyProtection="1">
      <alignment vertical="center"/>
    </xf>
    <xf numFmtId="0" fontId="0" fillId="0" borderId="0" xfId="0" applyFont="1" applyFill="1" applyBorder="1" applyAlignment="1" applyProtection="1">
      <alignment vertical="center"/>
    </xf>
    <xf numFmtId="164" fontId="0" fillId="0" borderId="28" xfId="439" applyNumberFormat="1" applyFont="1" applyFill="1" applyBorder="1" applyAlignment="1" applyProtection="1">
      <alignment vertical="center"/>
    </xf>
    <xf numFmtId="164" fontId="0" fillId="0" borderId="0" xfId="439" applyNumberFormat="1" applyFont="1" applyAlignment="1" applyProtection="1">
      <alignment vertical="center"/>
    </xf>
    <xf numFmtId="0" fontId="58" fillId="0" borderId="0" xfId="0" applyFont="1" applyAlignment="1" applyProtection="1">
      <alignment horizontal="center" vertical="center"/>
    </xf>
    <xf numFmtId="164" fontId="0" fillId="0" borderId="0" xfId="439" applyNumberFormat="1" applyFont="1" applyProtection="1"/>
    <xf numFmtId="0" fontId="0" fillId="0" borderId="0" xfId="0" applyFont="1" applyFill="1" applyAlignment="1" applyProtection="1">
      <alignment vertical="center" wrapText="1"/>
    </xf>
    <xf numFmtId="38" fontId="45" fillId="0" borderId="0" xfId="439" applyNumberFormat="1" applyFont="1" applyFill="1" applyAlignment="1" applyProtection="1">
      <alignment horizontal="center" vertical="center" wrapText="1"/>
    </xf>
    <xf numFmtId="0" fontId="0" fillId="0" borderId="0" xfId="0" applyNumberFormat="1" applyFont="1" applyFill="1" applyAlignment="1" applyProtection="1">
      <alignment wrapText="1"/>
    </xf>
    <xf numFmtId="0" fontId="0" fillId="0" borderId="0" xfId="0" applyFont="1" applyFill="1" applyAlignment="1" applyProtection="1">
      <alignment horizontal="center" vertical="center" wrapText="1"/>
    </xf>
    <xf numFmtId="0" fontId="0" fillId="0" borderId="0" xfId="0" applyNumberFormat="1" applyFont="1" applyFill="1" applyBorder="1" applyAlignment="1" applyProtection="1">
      <alignment horizontal="center" vertical="center" wrapText="1"/>
    </xf>
    <xf numFmtId="164" fontId="45" fillId="0" borderId="0" xfId="439" applyNumberFormat="1" applyFont="1" applyFill="1" applyProtection="1"/>
    <xf numFmtId="38" fontId="45" fillId="0" borderId="45" xfId="439" applyNumberFormat="1" applyFont="1" applyFill="1" applyBorder="1" applyAlignment="1" applyProtection="1">
      <alignment horizontal="center" vertical="center" wrapText="1"/>
    </xf>
    <xf numFmtId="0" fontId="39" fillId="0" borderId="59" xfId="0" applyFont="1" applyFill="1" applyBorder="1" applyAlignment="1">
      <alignment vertical="center"/>
    </xf>
    <xf numFmtId="174" fontId="39" fillId="28" borderId="0" xfId="439" applyNumberFormat="1" applyFont="1" applyFill="1" applyAlignment="1" applyProtection="1">
      <alignment horizontal="center" vertical="center"/>
      <protection locked="0"/>
    </xf>
    <xf numFmtId="181" fontId="158" fillId="82" borderId="0" xfId="30099" applyNumberFormat="1" applyFont="1" applyFill="1" applyAlignment="1">
      <alignment horizontal="right" vertical="top" indent="1" shrinkToFit="1"/>
    </xf>
    <xf numFmtId="0" fontId="45" fillId="0" borderId="0" xfId="30099" applyFont="1" applyAlignment="1">
      <alignment horizontal="left" vertical="top" wrapText="1" indent="1"/>
    </xf>
    <xf numFmtId="1" fontId="158" fillId="0" borderId="0" xfId="30099" applyNumberFormat="1" applyFont="1" applyAlignment="1">
      <alignment horizontal="center" vertical="top" shrinkToFit="1"/>
    </xf>
    <xf numFmtId="0" fontId="45" fillId="0" borderId="0" xfId="0" applyNumberFormat="1" applyFont="1" applyFill="1" applyAlignment="1" applyProtection="1">
      <alignment horizontal="left" vertical="center" wrapText="1"/>
    </xf>
    <xf numFmtId="181" fontId="158" fillId="0" borderId="0" xfId="30099" applyNumberFormat="1" applyFont="1" applyFill="1" applyAlignment="1">
      <alignment horizontal="right" vertical="top" indent="1" shrinkToFit="1"/>
    </xf>
    <xf numFmtId="1" fontId="158" fillId="82" borderId="0" xfId="30099" applyNumberFormat="1" applyFont="1" applyFill="1" applyAlignment="1">
      <alignment horizontal="left" vertical="top" indent="3" shrinkToFit="1"/>
    </xf>
    <xf numFmtId="181" fontId="158" fillId="0" borderId="0" xfId="30099" applyNumberFormat="1" applyFont="1" applyAlignment="1">
      <alignment horizontal="right" vertical="top" indent="1" shrinkToFit="1"/>
    </xf>
    <xf numFmtId="1" fontId="158" fillId="0" borderId="0" xfId="30099" applyNumberFormat="1" applyFont="1" applyFill="1" applyAlignment="1">
      <alignment horizontal="left" vertical="top" indent="3" shrinkToFit="1"/>
    </xf>
    <xf numFmtId="0" fontId="45" fillId="0" borderId="0" xfId="30099" applyFont="1" applyFill="1" applyAlignment="1">
      <alignment horizontal="left" vertical="top" wrapText="1"/>
    </xf>
    <xf numFmtId="164" fontId="33" fillId="0" borderId="0" xfId="439" applyNumberFormat="1" applyFont="1"/>
    <xf numFmtId="0" fontId="45" fillId="0" borderId="0" xfId="30099" applyFont="1" applyAlignment="1">
      <alignment horizontal="left" vertical="top" wrapText="1" indent="2"/>
    </xf>
    <xf numFmtId="0" fontId="54" fillId="0" borderId="0" xfId="0" applyFont="1" applyFill="1" applyAlignment="1" applyProtection="1">
      <alignment horizontal="left" vertical="center" wrapText="1"/>
    </xf>
    <xf numFmtId="164" fontId="33" fillId="0" borderId="0" xfId="439" applyNumberFormat="1" applyFont="1" applyAlignment="1">
      <alignment horizontal="center" vertical="center" wrapText="1"/>
    </xf>
    <xf numFmtId="0" fontId="33" fillId="0" borderId="0" xfId="439" applyNumberFormat="1" applyFont="1" applyAlignment="1">
      <alignment horizontal="center" vertical="center"/>
    </xf>
    <xf numFmtId="0" fontId="0" fillId="0" borderId="32" xfId="0" applyFont="1" applyFill="1" applyBorder="1" applyAlignment="1">
      <alignment horizontal="center" wrapText="1"/>
    </xf>
    <xf numFmtId="1" fontId="158" fillId="0" borderId="0" xfId="30099" applyNumberFormat="1" applyFont="1" applyFill="1" applyAlignment="1">
      <alignment horizontal="center" vertical="top" shrinkToFit="1"/>
    </xf>
    <xf numFmtId="0" fontId="45" fillId="0" borderId="0" xfId="0" applyFont="1" applyFill="1" applyAlignment="1" applyProtection="1">
      <alignment horizontal="left" vertical="center" wrapText="1"/>
      <protection hidden="1"/>
    </xf>
    <xf numFmtId="0" fontId="45" fillId="0" borderId="0" xfId="30099" applyFont="1" applyAlignment="1">
      <alignment horizontal="left" vertical="top" wrapText="1"/>
    </xf>
    <xf numFmtId="0" fontId="45" fillId="0" borderId="61" xfId="0" applyFont="1" applyFill="1" applyBorder="1" applyAlignment="1">
      <alignment vertical="center" wrapText="1"/>
    </xf>
    <xf numFmtId="1" fontId="158" fillId="82" borderId="0" xfId="30099" applyNumberFormat="1" applyFont="1" applyFill="1" applyAlignment="1">
      <alignment horizontal="center" vertical="top" shrinkToFit="1"/>
    </xf>
    <xf numFmtId="1" fontId="158" fillId="0" borderId="0" xfId="30099" applyNumberFormat="1" applyFont="1" applyAlignment="1">
      <alignment horizontal="left" vertical="top" indent="3" shrinkToFit="1"/>
    </xf>
    <xf numFmtId="0" fontId="45" fillId="0" borderId="0" xfId="30099" applyFont="1" applyAlignment="1">
      <alignment horizontal="center" vertical="top" wrapText="1"/>
    </xf>
    <xf numFmtId="0" fontId="158" fillId="0" borderId="0" xfId="30099" applyFont="1" applyAlignment="1">
      <alignment horizontal="left" wrapText="1"/>
    </xf>
    <xf numFmtId="0" fontId="45" fillId="82" borderId="0" xfId="30099" applyFont="1" applyFill="1" applyAlignment="1">
      <alignment horizontal="left" vertical="top" wrapText="1" indent="1"/>
    </xf>
    <xf numFmtId="0" fontId="45" fillId="82" borderId="0" xfId="30099" applyFont="1" applyFill="1" applyAlignment="1">
      <alignment horizontal="left" vertical="top" wrapText="1" indent="2"/>
    </xf>
    <xf numFmtId="0" fontId="0" fillId="0" borderId="0" xfId="0" applyFont="1" applyAlignment="1">
      <alignment horizontal="center" vertical="center" wrapText="1"/>
    </xf>
    <xf numFmtId="0" fontId="71" fillId="0" borderId="45" xfId="0" applyNumberFormat="1" applyFont="1" applyFill="1" applyBorder="1" applyAlignment="1" applyProtection="1">
      <alignment horizontal="left" vertical="center" wrapText="1"/>
    </xf>
    <xf numFmtId="0" fontId="63" fillId="0" borderId="61" xfId="0" applyFont="1" applyFill="1" applyBorder="1" applyAlignment="1">
      <alignment vertical="center" wrapText="1"/>
    </xf>
    <xf numFmtId="0" fontId="0" fillId="0" borderId="0" xfId="0" applyFont="1" applyProtection="1"/>
    <xf numFmtId="0" fontId="0" fillId="0" borderId="23" xfId="0" applyFont="1" applyFill="1" applyBorder="1" applyAlignment="1" applyProtection="1">
      <alignment vertical="center" wrapText="1"/>
    </xf>
    <xf numFmtId="0" fontId="0" fillId="22" borderId="0" xfId="0" applyFont="1" applyFill="1" applyBorder="1" applyAlignment="1" applyProtection="1">
      <alignment vertical="center"/>
    </xf>
    <xf numFmtId="0" fontId="0" fillId="0" borderId="0" xfId="0" applyNumberFormat="1" applyFont="1" applyFill="1" applyAlignment="1" applyProtection="1">
      <alignment horizontal="left" vertical="center" wrapText="1"/>
    </xf>
    <xf numFmtId="0" fontId="0" fillId="0" borderId="0" xfId="0" applyFont="1" applyProtection="1"/>
    <xf numFmtId="0" fontId="0" fillId="0" borderId="36" xfId="0" applyFont="1" applyFill="1" applyBorder="1" applyAlignment="1" applyProtection="1">
      <alignment vertical="center" wrapText="1"/>
    </xf>
    <xf numFmtId="0" fontId="0" fillId="22" borderId="0" xfId="0" applyFont="1" applyFill="1" applyBorder="1" applyAlignment="1" applyProtection="1">
      <alignment vertical="center"/>
    </xf>
    <xf numFmtId="0" fontId="39" fillId="0" borderId="0" xfId="0" applyFont="1" applyFill="1" applyAlignment="1" applyProtection="1">
      <alignment horizontal="right"/>
    </xf>
    <xf numFmtId="0" fontId="39" fillId="0" borderId="0" xfId="0" applyFont="1" applyFill="1" applyBorder="1" applyAlignment="1" applyProtection="1">
      <alignment horizontal="center"/>
    </xf>
    <xf numFmtId="0" fontId="0" fillId="34" borderId="0" xfId="0" applyFont="1" applyFill="1" applyAlignment="1" applyProtection="1">
      <alignment wrapText="1"/>
    </xf>
    <xf numFmtId="0" fontId="0" fillId="34" borderId="0" xfId="0" applyFont="1" applyFill="1" applyProtection="1"/>
    <xf numFmtId="14" fontId="0" fillId="0" borderId="0" xfId="0" applyNumberFormat="1" applyFont="1" applyFill="1" applyProtection="1"/>
    <xf numFmtId="164" fontId="39" fillId="29" borderId="16" xfId="439" applyNumberFormat="1" applyFont="1" applyFill="1" applyBorder="1" applyAlignment="1" applyProtection="1">
      <alignment horizontal="center" wrapText="1"/>
      <protection locked="0"/>
    </xf>
    <xf numFmtId="0" fontId="0" fillId="21" borderId="0" xfId="0" applyFont="1" applyFill="1" applyAlignment="1" applyProtection="1">
      <alignment wrapText="1"/>
    </xf>
    <xf numFmtId="0" fontId="0" fillId="21" borderId="16" xfId="0" applyNumberFormat="1" applyFont="1" applyFill="1" applyBorder="1" applyAlignment="1" applyProtection="1">
      <alignment horizontal="center"/>
    </xf>
    <xf numFmtId="0" fontId="0" fillId="21" borderId="0" xfId="0" applyFont="1" applyFill="1" applyProtection="1"/>
    <xf numFmtId="41" fontId="0" fillId="21" borderId="11" xfId="0" applyNumberFormat="1" applyFont="1" applyFill="1" applyBorder="1" applyAlignment="1" applyProtection="1">
      <alignment wrapText="1"/>
    </xf>
    <xf numFmtId="0" fontId="0" fillId="21" borderId="0" xfId="0" applyFont="1" applyFill="1" applyBorder="1" applyProtection="1"/>
    <xf numFmtId="40" fontId="45" fillId="21" borderId="16" xfId="0" applyNumberFormat="1" applyFont="1" applyFill="1" applyBorder="1" applyProtection="1"/>
    <xf numFmtId="41" fontId="0" fillId="21" borderId="12" xfId="0" applyNumberFormat="1" applyFont="1" applyFill="1" applyBorder="1" applyAlignment="1" applyProtection="1">
      <alignment wrapText="1"/>
    </xf>
    <xf numFmtId="0" fontId="39" fillId="21" borderId="10" xfId="0" applyFont="1" applyFill="1" applyBorder="1" applyAlignment="1" applyProtection="1">
      <alignment horizontal="center" wrapText="1"/>
    </xf>
    <xf numFmtId="0" fontId="39" fillId="21" borderId="0" xfId="0" applyFont="1" applyFill="1" applyBorder="1" applyAlignment="1" applyProtection="1">
      <alignment horizontal="center"/>
    </xf>
    <xf numFmtId="164" fontId="71" fillId="21" borderId="12" xfId="439" applyNumberFormat="1" applyFont="1" applyFill="1" applyBorder="1" applyAlignment="1" applyProtection="1">
      <alignment horizontal="center" wrapText="1"/>
    </xf>
    <xf numFmtId="0" fontId="39" fillId="21" borderId="22" xfId="0" applyFont="1" applyFill="1" applyBorder="1" applyAlignment="1" applyProtection="1">
      <alignment horizontal="center" wrapText="1"/>
    </xf>
    <xf numFmtId="41" fontId="70" fillId="28" borderId="0" xfId="439" applyNumberFormat="1" applyFont="1" applyFill="1" applyAlignment="1" applyProtection="1">
      <alignment wrapText="1"/>
    </xf>
    <xf numFmtId="41" fontId="71" fillId="0" borderId="0" xfId="0" applyNumberFormat="1" applyFont="1" applyFill="1" applyAlignment="1" applyProtection="1">
      <alignment wrapText="1"/>
    </xf>
    <xf numFmtId="0" fontId="0" fillId="0" borderId="0" xfId="0" applyFont="1" applyFill="1" applyAlignment="1" applyProtection="1">
      <alignment wrapText="1"/>
      <protection locked="0"/>
    </xf>
    <xf numFmtId="0" fontId="0" fillId="0" borderId="0" xfId="0" applyFont="1" applyFill="1" applyProtection="1">
      <protection locked="0"/>
    </xf>
    <xf numFmtId="164" fontId="0" fillId="0" borderId="0" xfId="0" applyNumberFormat="1" applyFont="1" applyFill="1" applyAlignment="1" applyProtection="1">
      <alignment wrapText="1"/>
      <protection locked="0"/>
    </xf>
    <xf numFmtId="0" fontId="70" fillId="0" borderId="0" xfId="0" applyFont="1" applyFill="1" applyAlignment="1" applyProtection="1">
      <alignment wrapText="1"/>
      <protection locked="0"/>
    </xf>
    <xf numFmtId="0" fontId="0" fillId="0" borderId="45" xfId="0" applyFont="1" applyFill="1" applyBorder="1" applyAlignment="1" applyProtection="1">
      <alignment wrapText="1"/>
      <protection locked="0"/>
    </xf>
    <xf numFmtId="41" fontId="70" fillId="0" borderId="0" xfId="439" applyNumberFormat="1" applyFont="1" applyFill="1" applyAlignment="1" applyProtection="1">
      <alignment wrapText="1"/>
    </xf>
    <xf numFmtId="38" fontId="0" fillId="0" borderId="0" xfId="0" applyNumberFormat="1" applyFont="1" applyFill="1" applyAlignment="1" applyProtection="1">
      <alignment wrapText="1"/>
      <protection locked="0"/>
    </xf>
    <xf numFmtId="37" fontId="0" fillId="29" borderId="0" xfId="439" applyNumberFormat="1" applyFont="1" applyFill="1" applyAlignment="1" applyProtection="1">
      <alignment horizontal="center" vertical="center"/>
      <protection locked="0"/>
    </xf>
    <xf numFmtId="0" fontId="0" fillId="34" borderId="0" xfId="0" applyNumberFormat="1" applyFont="1" applyFill="1" applyAlignment="1" applyProtection="1">
      <alignment horizontal="left" vertical="center" wrapText="1"/>
    </xf>
    <xf numFmtId="41" fontId="70" fillId="0" borderId="0" xfId="0" applyNumberFormat="1" applyFont="1" applyFill="1" applyAlignment="1" applyProtection="1">
      <alignment wrapText="1"/>
    </xf>
    <xf numFmtId="0" fontId="70" fillId="0" borderId="0" xfId="0" applyFont="1" applyFill="1" applyProtection="1"/>
    <xf numFmtId="0" fontId="71" fillId="0" borderId="0" xfId="0" applyFont="1" applyFill="1" applyAlignment="1" applyProtection="1">
      <alignment wrapText="1"/>
    </xf>
    <xf numFmtId="0" fontId="39" fillId="0" borderId="0" xfId="0" applyFont="1" applyFill="1" applyAlignment="1" applyProtection="1">
      <alignment horizontal="center" vertical="center" wrapText="1"/>
    </xf>
    <xf numFmtId="0" fontId="71" fillId="0" borderId="0" xfId="0" applyFont="1" applyFill="1" applyAlignment="1" applyProtection="1">
      <alignment horizontal="left" wrapText="1" indent="2"/>
    </xf>
    <xf numFmtId="41" fontId="71" fillId="0" borderId="45" xfId="0" applyNumberFormat="1" applyFont="1" applyFill="1" applyBorder="1" applyAlignment="1" applyProtection="1">
      <alignment wrapText="1"/>
    </xf>
    <xf numFmtId="41" fontId="71" fillId="0" borderId="45" xfId="0" applyNumberFormat="1" applyFont="1" applyBorder="1" applyAlignment="1">
      <alignment wrapText="1"/>
    </xf>
    <xf numFmtId="41" fontId="71" fillId="0" borderId="0" xfId="0" applyNumberFormat="1" applyFont="1" applyFill="1" applyAlignment="1">
      <alignment wrapText="1"/>
    </xf>
    <xf numFmtId="41" fontId="71" fillId="0" borderId="0" xfId="0" applyNumberFormat="1" applyFont="1" applyAlignment="1">
      <alignment wrapText="1"/>
    </xf>
    <xf numFmtId="3" fontId="0" fillId="28" borderId="0" xfId="439" applyNumberFormat="1" applyFont="1" applyFill="1" applyAlignment="1" applyProtection="1">
      <alignment horizontal="center" vertical="center"/>
      <protection locked="0"/>
    </xf>
    <xf numFmtId="0" fontId="0" fillId="0" borderId="45" xfId="0" applyNumberFormat="1" applyFont="1" applyFill="1" applyBorder="1" applyAlignment="1" applyProtection="1">
      <alignment vertical="center" wrapText="1"/>
    </xf>
    <xf numFmtId="0" fontId="39" fillId="0" borderId="0" xfId="0" applyNumberFormat="1" applyFont="1" applyFill="1" applyAlignment="1" applyProtection="1">
      <alignment wrapText="1"/>
    </xf>
    <xf numFmtId="0" fontId="0" fillId="34" borderId="0" xfId="0" applyNumberFormat="1" applyFont="1" applyFill="1" applyAlignment="1" applyProtection="1">
      <alignment vertical="center" wrapText="1"/>
    </xf>
    <xf numFmtId="41" fontId="71" fillId="0" borderId="0" xfId="0" applyNumberFormat="1" applyFont="1" applyFill="1" applyAlignment="1" applyProtection="1">
      <alignment horizontal="center" wrapText="1"/>
    </xf>
    <xf numFmtId="0" fontId="39" fillId="0" borderId="0" xfId="0" applyNumberFormat="1" applyFont="1" applyFill="1" applyAlignment="1" applyProtection="1">
      <alignment vertical="center" wrapText="1"/>
    </xf>
    <xf numFmtId="0" fontId="0" fillId="0" borderId="0" xfId="0" applyNumberFormat="1" applyFont="1" applyFill="1" applyAlignment="1" applyProtection="1">
      <alignment horizontal="left" vertical="center" wrapText="1" indent="3"/>
    </xf>
    <xf numFmtId="3" fontId="0" fillId="0" borderId="0" xfId="0" applyNumberFormat="1" applyFont="1" applyAlignment="1" applyProtection="1">
      <alignment horizontal="center" vertical="center"/>
    </xf>
    <xf numFmtId="0" fontId="0" fillId="0" borderId="14" xfId="0" applyNumberFormat="1" applyFont="1" applyFill="1" applyBorder="1" applyAlignment="1" applyProtection="1">
      <alignment vertical="center" wrapText="1"/>
    </xf>
    <xf numFmtId="0" fontId="0" fillId="0" borderId="14" xfId="0" applyNumberFormat="1" applyFont="1" applyFill="1" applyBorder="1" applyAlignment="1" applyProtection="1">
      <alignment horizontal="left" vertical="center" wrapText="1" indent="3"/>
    </xf>
    <xf numFmtId="3" fontId="0" fillId="0" borderId="0" xfId="0" applyNumberFormat="1" applyFont="1" applyFill="1" applyAlignment="1" applyProtection="1">
      <alignment horizontal="center" vertical="center" wrapText="1"/>
    </xf>
    <xf numFmtId="0" fontId="0" fillId="0" borderId="14" xfId="0" applyNumberFormat="1" applyFont="1" applyFill="1" applyBorder="1" applyAlignment="1" applyProtection="1">
      <alignment horizontal="left" vertical="center" wrapText="1" indent="6"/>
    </xf>
    <xf numFmtId="0" fontId="0" fillId="0" borderId="0" xfId="0" applyFont="1" applyAlignment="1" applyProtection="1">
      <protection locked="0"/>
    </xf>
    <xf numFmtId="39" fontId="0" fillId="0" borderId="0" xfId="439" applyNumberFormat="1" applyFont="1" applyFill="1" applyBorder="1" applyAlignment="1" applyProtection="1">
      <alignment horizontal="center" vertical="center" wrapText="1"/>
    </xf>
    <xf numFmtId="164" fontId="0" fillId="28" borderId="0" xfId="439" applyNumberFormat="1" applyFont="1" applyFill="1" applyProtection="1"/>
    <xf numFmtId="0" fontId="0" fillId="32" borderId="0" xfId="0" applyFont="1" applyFill="1" applyProtection="1"/>
    <xf numFmtId="164" fontId="0" fillId="0" borderId="23" xfId="439" applyNumberFormat="1" applyFont="1" applyFill="1" applyBorder="1" applyAlignment="1" applyProtection="1">
      <alignment horizontal="center" vertical="center" wrapText="1"/>
      <protection locked="0"/>
    </xf>
    <xf numFmtId="3" fontId="0" fillId="28" borderId="0" xfId="439" applyNumberFormat="1" applyFont="1" applyFill="1" applyAlignment="1" applyProtection="1">
      <alignment horizontal="center" vertical="center"/>
    </xf>
    <xf numFmtId="41" fontId="70" fillId="0" borderId="0" xfId="439" applyNumberFormat="1" applyFont="1" applyFill="1" applyAlignment="1" applyProtection="1">
      <alignment vertical="center" wrapText="1"/>
    </xf>
    <xf numFmtId="39" fontId="70" fillId="0" borderId="0" xfId="439" applyNumberFormat="1" applyFont="1" applyFill="1" applyBorder="1" applyAlignment="1" applyProtection="1">
      <alignment horizontal="center" vertical="center" wrapText="1"/>
    </xf>
    <xf numFmtId="168" fontId="0" fillId="0" borderId="0" xfId="0" applyNumberFormat="1" applyFont="1" applyFill="1" applyAlignment="1" applyProtection="1">
      <alignment wrapText="1"/>
    </xf>
    <xf numFmtId="168" fontId="0" fillId="0" borderId="0" xfId="0" applyNumberFormat="1" applyFont="1" applyProtection="1"/>
    <xf numFmtId="0" fontId="0" fillId="0" borderId="0" xfId="0" applyFont="1" applyFill="1" applyAlignment="1" applyProtection="1">
      <alignment horizontal="center" wrapText="1"/>
      <protection locked="0"/>
    </xf>
    <xf numFmtId="0" fontId="39" fillId="0" borderId="0" xfId="0" applyFont="1" applyAlignment="1" applyProtection="1">
      <alignment wrapText="1"/>
      <protection locked="0"/>
    </xf>
    <xf numFmtId="2" fontId="0" fillId="0" borderId="0" xfId="0" applyNumberFormat="1" applyFont="1" applyFill="1" applyProtection="1"/>
    <xf numFmtId="2" fontId="0" fillId="0" borderId="0" xfId="0" applyNumberFormat="1" applyFont="1" applyAlignment="1" applyProtection="1">
      <alignment wrapText="1"/>
      <protection locked="0"/>
    </xf>
    <xf numFmtId="0" fontId="0" fillId="34" borderId="0" xfId="0" applyFont="1" applyFill="1" applyAlignment="1">
      <alignment vertical="center" wrapText="1"/>
    </xf>
    <xf numFmtId="0" fontId="39" fillId="0" borderId="0" xfId="0" applyFont="1" applyAlignment="1" applyProtection="1">
      <alignment horizontal="center" wrapText="1"/>
      <protection locked="0"/>
    </xf>
    <xf numFmtId="49" fontId="0" fillId="29" borderId="0" xfId="0" applyNumberFormat="1" applyFont="1" applyFill="1" applyProtection="1">
      <protection locked="0"/>
    </xf>
    <xf numFmtId="0" fontId="0" fillId="34" borderId="45" xfId="0" applyNumberFormat="1" applyFont="1" applyFill="1" applyBorder="1" applyAlignment="1" applyProtection="1">
      <alignment vertical="center" wrapText="1"/>
    </xf>
    <xf numFmtId="14" fontId="0" fillId="29" borderId="0" xfId="439" applyNumberFormat="1" applyFont="1" applyFill="1" applyAlignment="1" applyProtection="1">
      <alignment horizontal="left" vertical="center" wrapText="1"/>
      <protection locked="0"/>
    </xf>
    <xf numFmtId="14" fontId="0" fillId="0" borderId="0" xfId="0" applyNumberFormat="1" applyFont="1"/>
    <xf numFmtId="0" fontId="0" fillId="0" borderId="22" xfId="0" applyFont="1" applyFill="1" applyBorder="1"/>
    <xf numFmtId="0" fontId="0" fillId="0" borderId="0" xfId="0" applyFont="1" applyBorder="1"/>
    <xf numFmtId="0" fontId="0" fillId="0" borderId="56" xfId="0" applyFont="1" applyBorder="1"/>
    <xf numFmtId="0" fontId="0" fillId="26" borderId="16" xfId="0" applyFont="1" applyFill="1" applyBorder="1" applyAlignment="1" applyProtection="1">
      <alignment horizontal="center"/>
    </xf>
    <xf numFmtId="0" fontId="0" fillId="0" borderId="11" xfId="0" applyFont="1" applyFill="1" applyBorder="1" applyAlignment="1" applyProtection="1">
      <alignment horizontal="center"/>
    </xf>
    <xf numFmtId="41" fontId="70" fillId="0" borderId="0" xfId="439" applyNumberFormat="1" applyFont="1" applyFill="1" applyAlignment="1" applyProtection="1">
      <alignment vertical="center" wrapText="1"/>
      <protection locked="0"/>
    </xf>
    <xf numFmtId="0" fontId="39" fillId="31" borderId="37" xfId="0" applyFont="1" applyFill="1" applyBorder="1" applyAlignment="1">
      <alignment horizontal="center" vertical="center" wrapText="1"/>
    </xf>
    <xf numFmtId="0" fontId="39" fillId="31" borderId="39" xfId="0" applyFont="1" applyFill="1" applyBorder="1" applyAlignment="1">
      <alignment horizontal="center" vertical="center" wrapText="1"/>
    </xf>
    <xf numFmtId="41" fontId="70" fillId="0" borderId="0" xfId="439" applyNumberFormat="1" applyFont="1" applyAlignment="1">
      <alignment vertical="center" wrapText="1"/>
    </xf>
    <xf numFmtId="49" fontId="0" fillId="31" borderId="13" xfId="0" applyNumberFormat="1" applyFont="1" applyFill="1" applyBorder="1" applyAlignment="1" applyProtection="1">
      <alignment horizontal="center"/>
      <protection locked="0"/>
    </xf>
    <xf numFmtId="14" fontId="0" fillId="31" borderId="13" xfId="0" applyNumberFormat="1" applyFont="1" applyFill="1" applyBorder="1" applyAlignment="1" applyProtection="1">
      <alignment horizontal="center"/>
      <protection locked="0"/>
    </xf>
    <xf numFmtId="49" fontId="35" fillId="31" borderId="13" xfId="611" applyNumberFormat="1" applyFont="1" applyFill="1" applyBorder="1" applyAlignment="1" applyProtection="1">
      <alignment horizontal="center"/>
      <protection locked="0"/>
    </xf>
    <xf numFmtId="41" fontId="0" fillId="0" borderId="0" xfId="439" applyNumberFormat="1" applyFont="1" applyFill="1" applyAlignment="1" applyProtection="1">
      <alignment vertical="center" wrapText="1"/>
    </xf>
    <xf numFmtId="0" fontId="0" fillId="0" borderId="0" xfId="0" applyFont="1" applyFill="1" applyAlignment="1" applyProtection="1">
      <alignment horizontal="center"/>
    </xf>
    <xf numFmtId="41" fontId="0" fillId="0" borderId="0" xfId="0" applyNumberFormat="1" applyFont="1" applyFill="1" applyAlignment="1" applyProtection="1">
      <alignment wrapText="1"/>
    </xf>
    <xf numFmtId="0" fontId="0" fillId="0" borderId="0" xfId="0" applyFont="1" applyFill="1" applyBorder="1" applyAlignment="1" applyProtection="1">
      <alignment horizontal="center"/>
    </xf>
    <xf numFmtId="41" fontId="0" fillId="0" borderId="0" xfId="0" applyNumberFormat="1" applyFont="1" applyAlignment="1" applyProtection="1">
      <alignment wrapText="1"/>
    </xf>
    <xf numFmtId="176" fontId="0" fillId="0" borderId="0" xfId="0" applyNumberFormat="1" applyFont="1" applyAlignment="1" applyProtection="1">
      <alignment wrapText="1"/>
    </xf>
    <xf numFmtId="0" fontId="39" fillId="0" borderId="0" xfId="0" applyFont="1" applyFill="1" applyBorder="1" applyAlignment="1" applyProtection="1">
      <alignment horizontal="left" vertical="center"/>
    </xf>
    <xf numFmtId="0" fontId="0" fillId="21" borderId="13" xfId="0" applyFont="1" applyFill="1" applyBorder="1" applyAlignment="1" applyProtection="1">
      <alignment horizontal="left" vertical="center"/>
    </xf>
    <xf numFmtId="0" fontId="0" fillId="21" borderId="16" xfId="0" applyFont="1" applyFill="1" applyBorder="1" applyAlignment="1" applyProtection="1">
      <alignment horizontal="left" vertical="center"/>
    </xf>
    <xf numFmtId="0" fontId="0" fillId="21" borderId="15" xfId="0" applyFont="1" applyFill="1" applyBorder="1" applyAlignment="1" applyProtection="1">
      <alignment horizontal="left" vertical="center"/>
    </xf>
    <xf numFmtId="0" fontId="0" fillId="21" borderId="0" xfId="0" applyFont="1" applyFill="1" applyBorder="1" applyAlignment="1" applyProtection="1">
      <alignment horizontal="left" vertical="center"/>
    </xf>
    <xf numFmtId="0" fontId="179" fillId="0" borderId="0" xfId="0" applyNumberFormat="1" applyFont="1" applyFill="1" applyAlignment="1" applyProtection="1">
      <alignment horizontal="left" vertical="center" wrapText="1"/>
    </xf>
    <xf numFmtId="0" fontId="0" fillId="0" borderId="45" xfId="0" applyFont="1" applyFill="1" applyBorder="1" applyAlignment="1" applyProtection="1">
      <alignment wrapText="1"/>
    </xf>
    <xf numFmtId="0" fontId="45" fillId="0" borderId="45" xfId="0" applyFont="1" applyFill="1" applyBorder="1" applyAlignment="1" applyProtection="1">
      <alignment wrapText="1"/>
    </xf>
    <xf numFmtId="0" fontId="179" fillId="0" borderId="0" xfId="0" applyFont="1" applyFill="1" applyAlignment="1" applyProtection="1">
      <alignment horizontal="left" vertical="center" wrapText="1"/>
    </xf>
    <xf numFmtId="0" fontId="63" fillId="0" borderId="36" xfId="0" applyNumberFormat="1" applyFont="1" applyFill="1" applyBorder="1" applyAlignment="1" applyProtection="1">
      <alignment horizontal="left" vertical="center" wrapText="1"/>
    </xf>
    <xf numFmtId="0" fontId="45" fillId="0" borderId="0" xfId="0" applyFont="1" applyFill="1" applyAlignment="1" applyProtection="1">
      <alignment wrapText="1"/>
    </xf>
    <xf numFmtId="0" fontId="39" fillId="0" borderId="0" xfId="0" applyFont="1" applyFill="1" applyAlignment="1" applyProtection="1">
      <alignment horizontal="left" vertical="center" wrapText="1"/>
    </xf>
    <xf numFmtId="0" fontId="45" fillId="0" borderId="0" xfId="0" applyFont="1" applyFill="1" applyAlignment="1" applyProtection="1">
      <alignment horizontal="center" vertical="center" wrapText="1"/>
    </xf>
    <xf numFmtId="0" fontId="0" fillId="0" borderId="45" xfId="0" applyFont="1" applyFill="1" applyBorder="1" applyAlignment="1" applyProtection="1">
      <alignment horizontal="center" vertical="center" wrapText="1"/>
    </xf>
    <xf numFmtId="0" fontId="39" fillId="28" borderId="0" xfId="0" applyFont="1" applyFill="1" applyAlignment="1" applyProtection="1">
      <alignment horizontal="left" vertical="center"/>
    </xf>
    <xf numFmtId="0" fontId="0" fillId="28" borderId="0" xfId="0" applyFont="1" applyFill="1" applyAlignment="1" applyProtection="1">
      <alignment horizontal="left" vertical="center"/>
    </xf>
    <xf numFmtId="0" fontId="0" fillId="34" borderId="0" xfId="0" applyFont="1" applyFill="1" applyAlignment="1" applyProtection="1">
      <alignment horizontal="center" vertical="center" wrapText="1"/>
    </xf>
    <xf numFmtId="0" fontId="39" fillId="0" borderId="0" xfId="0" applyFont="1" applyAlignment="1" applyProtection="1">
      <alignment horizontal="center" vertical="center" wrapText="1"/>
    </xf>
    <xf numFmtId="0" fontId="0" fillId="0" borderId="14" xfId="0" applyFont="1" applyFill="1" applyBorder="1" applyAlignment="1" applyProtection="1">
      <alignment horizontal="center" vertical="center"/>
    </xf>
    <xf numFmtId="0" fontId="45" fillId="34" borderId="0" xfId="0" applyFont="1" applyFill="1" applyAlignment="1" applyProtection="1">
      <alignment horizontal="center" vertical="center" wrapText="1"/>
    </xf>
    <xf numFmtId="0" fontId="63" fillId="0" borderId="0" xfId="0" applyFont="1" applyFill="1" applyAlignment="1" applyProtection="1">
      <alignment horizontal="center" vertical="center" wrapText="1"/>
    </xf>
    <xf numFmtId="3" fontId="186" fillId="0" borderId="0" xfId="1540" applyFont="1" applyFill="1" applyAlignment="1" applyProtection="1">
      <alignment vertical="center" wrapText="1"/>
    </xf>
    <xf numFmtId="0" fontId="59" fillId="0" borderId="0" xfId="30099" applyFont="1" applyFill="1" applyAlignment="1">
      <alignment horizontal="left" vertical="top" wrapText="1"/>
    </xf>
    <xf numFmtId="0" fontId="59" fillId="0" borderId="0" xfId="0" applyFont="1" applyFill="1" applyAlignment="1" applyProtection="1">
      <alignment vertical="center" wrapText="1"/>
    </xf>
    <xf numFmtId="0" fontId="0" fillId="34" borderId="45" xfId="0" applyFont="1" applyFill="1" applyBorder="1" applyAlignment="1" applyProtection="1">
      <alignment horizontal="center" vertical="center" wrapText="1"/>
    </xf>
    <xf numFmtId="0" fontId="39" fillId="0" borderId="0" xfId="0" applyFont="1" applyFill="1" applyAlignment="1" applyProtection="1">
      <alignment horizontal="center" vertical="center"/>
    </xf>
    <xf numFmtId="0" fontId="39" fillId="74" borderId="0" xfId="0" applyFont="1" applyFill="1" applyAlignment="1" applyProtection="1">
      <alignment horizontal="left" vertical="center" wrapText="1"/>
    </xf>
    <xf numFmtId="0" fontId="39" fillId="74" borderId="0" xfId="0" applyFont="1" applyFill="1" applyAlignment="1" applyProtection="1">
      <alignment vertical="center" wrapText="1"/>
    </xf>
    <xf numFmtId="0" fontId="39" fillId="74" borderId="0" xfId="0" applyFont="1" applyFill="1" applyAlignment="1" applyProtection="1">
      <alignment vertical="center"/>
    </xf>
    <xf numFmtId="0" fontId="39" fillId="74" borderId="0" xfId="0" applyFont="1" applyFill="1" applyAlignment="1" applyProtection="1"/>
    <xf numFmtId="0" fontId="0" fillId="74" borderId="0" xfId="0" applyFont="1" applyFill="1" applyAlignment="1" applyProtection="1"/>
    <xf numFmtId="0" fontId="39" fillId="74" borderId="0" xfId="0" applyFont="1" applyFill="1" applyAlignment="1" applyProtection="1">
      <alignment wrapText="1"/>
    </xf>
    <xf numFmtId="2" fontId="39" fillId="74" borderId="0" xfId="0" applyNumberFormat="1" applyFont="1" applyFill="1" applyAlignment="1" applyProtection="1">
      <alignment horizontal="center" vertical="center" wrapText="1"/>
      <protection locked="0"/>
    </xf>
    <xf numFmtId="0" fontId="71" fillId="74" borderId="0" xfId="0" applyFont="1" applyFill="1" applyAlignment="1" applyProtection="1">
      <alignment wrapText="1"/>
    </xf>
    <xf numFmtId="0" fontId="0" fillId="74" borderId="0" xfId="0" applyNumberFormat="1" applyFont="1" applyFill="1" applyAlignment="1" applyProtection="1">
      <alignment horizontal="left" vertical="center" wrapText="1"/>
    </xf>
    <xf numFmtId="164" fontId="0" fillId="74" borderId="0" xfId="439" applyNumberFormat="1" applyFont="1" applyFill="1" applyAlignment="1" applyProtection="1">
      <alignment vertical="center"/>
    </xf>
    <xf numFmtId="37" fontId="0" fillId="74" borderId="0" xfId="439" applyNumberFormat="1" applyFont="1" applyFill="1" applyAlignment="1" applyProtection="1">
      <alignment horizontal="center" vertical="center"/>
      <protection locked="0"/>
    </xf>
    <xf numFmtId="41" fontId="70" fillId="74" borderId="0" xfId="439" applyNumberFormat="1" applyFont="1" applyFill="1" applyAlignment="1" applyProtection="1">
      <alignment wrapText="1"/>
    </xf>
    <xf numFmtId="0" fontId="39" fillId="74" borderId="0" xfId="0" applyNumberFormat="1" applyFont="1" applyFill="1" applyAlignment="1" applyProtection="1">
      <alignment horizontal="left" vertical="center" wrapText="1"/>
    </xf>
    <xf numFmtId="164" fontId="0" fillId="74" borderId="0" xfId="439" applyNumberFormat="1" applyFont="1" applyFill="1" applyAlignment="1" applyProtection="1">
      <alignment horizontal="center" vertical="center"/>
      <protection locked="0"/>
    </xf>
    <xf numFmtId="41" fontId="71" fillId="74" borderId="0" xfId="439" applyNumberFormat="1" applyFont="1" applyFill="1" applyAlignment="1" applyProtection="1">
      <alignment wrapText="1"/>
    </xf>
    <xf numFmtId="0" fontId="59" fillId="74" borderId="0" xfId="0" applyFont="1" applyFill="1" applyAlignment="1" applyProtection="1">
      <alignment horizontal="left" vertical="center"/>
    </xf>
    <xf numFmtId="0" fontId="45" fillId="74" borderId="0" xfId="0" applyFont="1" applyFill="1" applyAlignment="1" applyProtection="1">
      <alignment horizontal="left" vertical="center"/>
    </xf>
    <xf numFmtId="0" fontId="0" fillId="74" borderId="0" xfId="0" applyNumberFormat="1" applyFont="1" applyFill="1" applyAlignment="1" applyProtection="1">
      <alignment wrapText="1"/>
    </xf>
    <xf numFmtId="0" fontId="0" fillId="74" borderId="0" xfId="0" applyFont="1" applyFill="1" applyAlignment="1" applyProtection="1">
      <alignment vertical="center"/>
    </xf>
    <xf numFmtId="164" fontId="0" fillId="74" borderId="0" xfId="0" applyNumberFormat="1" applyFont="1" applyFill="1" applyAlignment="1" applyProtection="1">
      <alignment vertical="center"/>
    </xf>
    <xf numFmtId="164" fontId="39" fillId="74" borderId="0" xfId="439" applyNumberFormat="1" applyFont="1" applyFill="1" applyAlignment="1" applyProtection="1">
      <alignment horizontal="center" vertical="center"/>
      <protection locked="0"/>
    </xf>
    <xf numFmtId="41" fontId="71" fillId="74" borderId="0" xfId="0" applyNumberFormat="1" applyFont="1" applyFill="1" applyAlignment="1" applyProtection="1">
      <alignment wrapText="1"/>
    </xf>
    <xf numFmtId="0" fontId="39" fillId="74" borderId="0" xfId="0" applyFont="1" applyFill="1" applyAlignment="1" applyProtection="1">
      <alignment horizontal="center" vertical="center"/>
      <protection locked="0"/>
    </xf>
    <xf numFmtId="0" fontId="71" fillId="74" borderId="0" xfId="0" applyFont="1" applyFill="1" applyAlignment="1" applyProtection="1"/>
    <xf numFmtId="0" fontId="39" fillId="74" borderId="0" xfId="0" applyFont="1" applyFill="1" applyAlignment="1" applyProtection="1">
      <alignment horizontal="center" vertical="center" wrapText="1"/>
      <protection locked="0"/>
    </xf>
    <xf numFmtId="0" fontId="71" fillId="74" borderId="0" xfId="0" applyFont="1" applyFill="1" applyAlignment="1" applyProtection="1">
      <alignment horizontal="left" wrapText="1" indent="2"/>
    </xf>
    <xf numFmtId="0" fontId="39" fillId="74" borderId="0" xfId="0" applyFont="1" applyFill="1" applyAlignment="1" applyProtection="1">
      <alignment horizontal="left" vertical="center"/>
    </xf>
    <xf numFmtId="0" fontId="0" fillId="74" borderId="0" xfId="0" applyFont="1" applyFill="1" applyAlignment="1" applyProtection="1">
      <alignment horizontal="left" vertical="center"/>
    </xf>
    <xf numFmtId="0" fontId="39" fillId="74" borderId="0" xfId="0" applyNumberFormat="1" applyFont="1" applyFill="1" applyAlignment="1" applyProtection="1">
      <alignment vertical="center" wrapText="1"/>
    </xf>
    <xf numFmtId="0" fontId="0" fillId="74" borderId="0" xfId="0" applyNumberFormat="1" applyFont="1" applyFill="1" applyAlignment="1" applyProtection="1">
      <alignment vertical="center" wrapText="1"/>
    </xf>
    <xf numFmtId="3" fontId="39" fillId="74" borderId="0" xfId="0" applyNumberFormat="1" applyFont="1" applyFill="1" applyAlignment="1" applyProtection="1">
      <alignment horizontal="center" vertical="center"/>
      <protection locked="0"/>
    </xf>
    <xf numFmtId="3" fontId="39" fillId="74" borderId="0" xfId="0" applyNumberFormat="1" applyFont="1" applyFill="1" applyAlignment="1" applyProtection="1">
      <alignment horizontal="center" vertical="center" wrapText="1"/>
      <protection locked="0"/>
    </xf>
    <xf numFmtId="0" fontId="71" fillId="74" borderId="0" xfId="0" applyFont="1" applyFill="1" applyAlignment="1" applyProtection="1">
      <alignment vertical="center"/>
    </xf>
    <xf numFmtId="3" fontId="39" fillId="74" borderId="0" xfId="439" applyNumberFormat="1" applyFont="1" applyFill="1" applyAlignment="1" applyProtection="1">
      <alignment horizontal="center" vertical="center"/>
      <protection locked="0"/>
    </xf>
    <xf numFmtId="38" fontId="45" fillId="74" borderId="0" xfId="439" applyNumberFormat="1" applyFont="1" applyFill="1" applyAlignment="1" applyProtection="1">
      <alignment horizontal="center" vertical="center" wrapText="1"/>
    </xf>
    <xf numFmtId="0" fontId="0" fillId="74" borderId="0" xfId="0" applyFont="1" applyFill="1" applyAlignment="1" applyProtection="1">
      <alignment horizontal="center" vertical="center"/>
    </xf>
    <xf numFmtId="0" fontId="39" fillId="74" borderId="0" xfId="0" applyNumberFormat="1" applyFont="1" applyFill="1" applyAlignment="1" applyProtection="1">
      <alignment wrapText="1"/>
    </xf>
    <xf numFmtId="164" fontId="39" fillId="74" borderId="0" xfId="439" applyNumberFormat="1" applyFont="1" applyFill="1" applyAlignment="1" applyProtection="1">
      <alignment horizontal="center" wrapText="1"/>
    </xf>
    <xf numFmtId="3" fontId="39" fillId="74" borderId="0" xfId="439" applyNumberFormat="1" applyFont="1" applyFill="1" applyAlignment="1" applyProtection="1">
      <alignment horizontal="center" vertical="center" wrapText="1"/>
    </xf>
    <xf numFmtId="41" fontId="70" fillId="74" borderId="0" xfId="0" applyNumberFormat="1" applyFont="1" applyFill="1" applyAlignment="1" applyProtection="1">
      <alignment wrapText="1"/>
    </xf>
    <xf numFmtId="3" fontId="39" fillId="74" borderId="0" xfId="0" applyNumberFormat="1" applyFont="1" applyFill="1" applyAlignment="1" applyProtection="1">
      <alignment horizontal="center" vertical="center"/>
    </xf>
    <xf numFmtId="164" fontId="0" fillId="74" borderId="0" xfId="439" applyNumberFormat="1" applyFont="1" applyFill="1" applyProtection="1"/>
    <xf numFmtId="164" fontId="0" fillId="74" borderId="0" xfId="439" applyNumberFormat="1" applyFont="1" applyFill="1" applyAlignment="1" applyProtection="1">
      <alignment horizontal="center" vertical="center"/>
    </xf>
    <xf numFmtId="38" fontId="45" fillId="74" borderId="0" xfId="439" applyNumberFormat="1" applyFont="1" applyFill="1" applyProtection="1"/>
    <xf numFmtId="0" fontId="187" fillId="74" borderId="0" xfId="0" applyFont="1" applyFill="1" applyAlignment="1" applyProtection="1">
      <alignment horizontal="left" vertical="center"/>
    </xf>
    <xf numFmtId="37" fontId="0" fillId="74" borderId="0" xfId="439" applyNumberFormat="1" applyFont="1" applyFill="1" applyAlignment="1" applyProtection="1">
      <alignment horizontal="center" vertical="center"/>
    </xf>
    <xf numFmtId="38" fontId="39" fillId="74" borderId="0" xfId="0" applyNumberFormat="1" applyFont="1" applyFill="1" applyAlignment="1" applyProtection="1">
      <alignment horizontal="left" vertical="center"/>
    </xf>
    <xf numFmtId="0" fontId="71" fillId="74" borderId="0" xfId="0" applyFont="1" applyFill="1" applyAlignment="1" applyProtection="1">
      <alignment horizontal="left" vertical="center"/>
    </xf>
    <xf numFmtId="0" fontId="0" fillId="74" borderId="0" xfId="0" applyFont="1" applyFill="1" applyProtection="1"/>
    <xf numFmtId="0" fontId="0" fillId="74" borderId="0" xfId="0" applyFont="1" applyFill="1" applyAlignment="1" applyProtection="1">
      <alignment horizontal="center" vertical="center" wrapText="1"/>
    </xf>
    <xf numFmtId="0" fontId="39" fillId="74" borderId="0" xfId="0" applyFont="1" applyFill="1" applyAlignment="1" applyProtection="1">
      <alignment horizontal="center" vertical="center" wrapText="1"/>
    </xf>
    <xf numFmtId="41" fontId="0" fillId="74" borderId="0" xfId="439" applyNumberFormat="1" applyFont="1" applyFill="1" applyAlignment="1" applyProtection="1">
      <alignment vertical="center" wrapText="1"/>
      <protection locked="0"/>
    </xf>
    <xf numFmtId="41" fontId="0" fillId="74" borderId="0" xfId="439" applyNumberFormat="1" applyFont="1" applyFill="1" applyAlignment="1" applyProtection="1">
      <alignment vertical="center" wrapText="1"/>
    </xf>
    <xf numFmtId="0" fontId="0" fillId="74" borderId="0" xfId="0" applyFont="1" applyFill="1" applyAlignment="1" applyProtection="1">
      <alignment wrapText="1"/>
      <protection locked="0"/>
    </xf>
    <xf numFmtId="0" fontId="188" fillId="74" borderId="0" xfId="0" applyFont="1" applyFill="1" applyAlignment="1" applyProtection="1">
      <alignment horizontal="left" vertical="center"/>
    </xf>
    <xf numFmtId="0" fontId="83" fillId="74" borderId="0" xfId="0" applyFont="1" applyFill="1" applyAlignment="1" applyProtection="1">
      <alignment vertical="center"/>
    </xf>
    <xf numFmtId="0" fontId="189" fillId="74" borderId="0" xfId="0" applyFont="1" applyFill="1" applyAlignment="1" applyProtection="1">
      <alignment vertical="center"/>
      <protection locked="0"/>
    </xf>
    <xf numFmtId="0" fontId="63" fillId="74" borderId="36" xfId="0" applyNumberFormat="1" applyFont="1" applyFill="1" applyBorder="1" applyAlignment="1" applyProtection="1">
      <alignment horizontal="left" vertical="center" wrapText="1"/>
    </xf>
    <xf numFmtId="0" fontId="54" fillId="74" borderId="0" xfId="0" applyNumberFormat="1" applyFont="1" applyFill="1" applyAlignment="1" applyProtection="1">
      <alignment horizontal="left" vertical="center" wrapText="1"/>
    </xf>
    <xf numFmtId="168" fontId="39" fillId="29" borderId="0" xfId="439" applyNumberFormat="1" applyFont="1" applyFill="1" applyAlignment="1" applyProtection="1">
      <alignment horizontal="center" vertical="center"/>
      <protection locked="0"/>
    </xf>
    <xf numFmtId="0" fontId="59" fillId="74" borderId="0" xfId="0" applyFont="1" applyFill="1" applyAlignment="1">
      <alignment vertical="center" wrapText="1"/>
    </xf>
    <xf numFmtId="41" fontId="71" fillId="36" borderId="112" xfId="439" applyNumberFormat="1" applyFont="1" applyFill="1" applyBorder="1" applyAlignment="1">
      <alignment vertical="center" wrapText="1"/>
    </xf>
    <xf numFmtId="41" fontId="71" fillId="36" borderId="0" xfId="439" applyNumberFormat="1" applyFont="1" applyFill="1" applyAlignment="1">
      <alignment vertical="center" wrapText="1"/>
    </xf>
    <xf numFmtId="41" fontId="71" fillId="36" borderId="113" xfId="439" applyNumberFormat="1" applyFont="1" applyFill="1" applyBorder="1" applyAlignment="1">
      <alignment vertical="center" wrapText="1"/>
    </xf>
    <xf numFmtId="41" fontId="190" fillId="0" borderId="0" xfId="0" applyNumberFormat="1" applyFont="1" applyFill="1" applyAlignment="1" applyProtection="1">
      <alignment wrapText="1"/>
    </xf>
    <xf numFmtId="0" fontId="59" fillId="74" borderId="0" xfId="0" applyFont="1" applyFill="1" applyAlignment="1" applyProtection="1">
      <alignment vertical="center"/>
    </xf>
    <xf numFmtId="174" fontId="0" fillId="0" borderId="29" xfId="439" applyNumberFormat="1" applyFont="1" applyBorder="1" applyAlignment="1" applyProtection="1">
      <alignment vertical="center"/>
    </xf>
    <xf numFmtId="38" fontId="45" fillId="22" borderId="0" xfId="439" applyNumberFormat="1" applyFont="1" applyFill="1" applyAlignment="1" applyProtection="1">
      <alignment horizontal="center" vertical="center" wrapText="1"/>
    </xf>
    <xf numFmtId="167" fontId="0" fillId="80" borderId="86" xfId="545" applyNumberFormat="1" applyFont="1" applyFill="1" applyBorder="1"/>
    <xf numFmtId="37" fontId="0" fillId="0" borderId="102" xfId="0" applyNumberFormat="1" applyFont="1" applyFill="1" applyBorder="1" applyAlignment="1">
      <alignment horizontal="center" wrapText="1"/>
    </xf>
    <xf numFmtId="37" fontId="83" fillId="0" borderId="102" xfId="0" applyNumberFormat="1" applyFont="1" applyFill="1" applyBorder="1" applyAlignment="1">
      <alignment horizontal="center" wrapText="1"/>
    </xf>
    <xf numFmtId="41" fontId="71" fillId="0" borderId="0" xfId="0" applyNumberFormat="1" applyFont="1" applyFill="1" applyAlignment="1" applyProtection="1">
      <alignment vertical="center" wrapText="1"/>
    </xf>
    <xf numFmtId="0" fontId="0" fillId="78" borderId="10" xfId="0" applyFont="1" applyFill="1" applyBorder="1" applyAlignment="1">
      <alignment horizontal="left" vertical="center" wrapText="1"/>
    </xf>
    <xf numFmtId="0" fontId="161" fillId="73" borderId="57" xfId="0" applyFont="1" applyFill="1" applyBorder="1" applyAlignment="1">
      <alignment vertical="center" wrapText="1"/>
    </xf>
    <xf numFmtId="166" fontId="0" fillId="21" borderId="16" xfId="0" applyNumberFormat="1" applyFont="1" applyFill="1" applyBorder="1" applyProtection="1"/>
    <xf numFmtId="2" fontId="0" fillId="0" borderId="10" xfId="0" applyNumberFormat="1" applyFont="1" applyFill="1" applyBorder="1" applyAlignment="1">
      <alignment horizontal="center" wrapText="1"/>
    </xf>
    <xf numFmtId="37" fontId="0" fillId="0" borderId="10" xfId="0" applyNumberFormat="1" applyFont="1" applyFill="1" applyBorder="1" applyAlignment="1">
      <alignment horizontal="center" wrapText="1"/>
    </xf>
    <xf numFmtId="2" fontId="0" fillId="0" borderId="85" xfId="0" applyNumberFormat="1" applyFont="1" applyFill="1" applyBorder="1" applyAlignment="1">
      <alignment horizontal="center" wrapText="1"/>
    </xf>
    <xf numFmtId="37" fontId="0" fillId="0" borderId="88" xfId="0" applyNumberFormat="1" applyFont="1" applyFill="1" applyBorder="1" applyAlignment="1">
      <alignment horizontal="center" wrapText="1"/>
    </xf>
    <xf numFmtId="10" fontId="0" fillId="0" borderId="94" xfId="0" applyNumberFormat="1" applyFont="1" applyFill="1" applyBorder="1" applyAlignment="1">
      <alignment horizontal="center" wrapText="1"/>
    </xf>
    <xf numFmtId="0" fontId="39" fillId="78" borderId="10" xfId="0" applyFont="1" applyFill="1" applyBorder="1" applyAlignment="1">
      <alignment wrapText="1"/>
    </xf>
    <xf numFmtId="0" fontId="39" fillId="78" borderId="114" xfId="0" applyFont="1" applyFill="1" applyBorder="1" applyAlignment="1">
      <alignment wrapText="1"/>
    </xf>
    <xf numFmtId="10" fontId="0" fillId="0" borderId="83" xfId="4688" applyNumberFormat="1" applyFont="1" applyFill="1" applyBorder="1"/>
    <xf numFmtId="10" fontId="0" fillId="0" borderId="83" xfId="0" applyNumberFormat="1" applyFont="1" applyFill="1" applyBorder="1" applyAlignment="1">
      <alignment horizontal="center" wrapText="1"/>
    </xf>
    <xf numFmtId="0" fontId="0" fillId="0" borderId="115" xfId="0" applyFont="1" applyFill="1" applyBorder="1" applyProtection="1">
      <protection locked="0"/>
    </xf>
    <xf numFmtId="37" fontId="0" fillId="0" borderId="10" xfId="0" applyNumberFormat="1" applyFont="1" applyFill="1" applyBorder="1"/>
    <xf numFmtId="0" fontId="0" fillId="78" borderId="10" xfId="0" applyFont="1" applyFill="1" applyBorder="1" applyAlignment="1">
      <alignment horizontal="center" wrapText="1"/>
    </xf>
    <xf numFmtId="3" fontId="45" fillId="0" borderId="0" xfId="439" applyNumberFormat="1" applyFont="1" applyFill="1" applyAlignment="1" applyProtection="1">
      <alignment horizontal="center" vertical="center" wrapText="1"/>
    </xf>
    <xf numFmtId="0" fontId="0" fillId="78" borderId="85" xfId="0" applyFont="1" applyFill="1" applyBorder="1" applyAlignment="1">
      <alignment vertical="center" wrapText="1"/>
    </xf>
    <xf numFmtId="0" fontId="0" fillId="78" borderId="95" xfId="0" applyFont="1" applyFill="1" applyBorder="1" applyAlignment="1">
      <alignment vertical="center" wrapText="1"/>
    </xf>
    <xf numFmtId="0" fontId="0" fillId="78" borderId="101" xfId="0" applyFont="1" applyFill="1" applyBorder="1" applyAlignment="1">
      <alignment vertical="center" wrapText="1"/>
    </xf>
    <xf numFmtId="0" fontId="0" fillId="78" borderId="94" xfId="0" applyFont="1" applyFill="1" applyBorder="1" applyAlignment="1">
      <alignment vertical="center" wrapText="1"/>
    </xf>
    <xf numFmtId="0" fontId="0" fillId="78" borderId="10" xfId="0" quotePrefix="1" applyFont="1" applyFill="1" applyBorder="1" applyAlignment="1">
      <alignment horizontal="center" vertical="center" wrapText="1"/>
    </xf>
    <xf numFmtId="0" fontId="0" fillId="78" borderId="83" xfId="0" quotePrefix="1" applyFont="1" applyFill="1" applyBorder="1" applyAlignment="1">
      <alignment horizontal="center" vertical="center" wrapText="1"/>
    </xf>
    <xf numFmtId="0" fontId="0" fillId="78" borderId="83" xfId="0" applyFont="1" applyFill="1" applyBorder="1" applyAlignment="1">
      <alignment vertical="center" wrapText="1"/>
    </xf>
    <xf numFmtId="164" fontId="45" fillId="0" borderId="10" xfId="439" applyNumberFormat="1" applyFont="1" applyFill="1" applyBorder="1" applyAlignment="1">
      <alignment horizontal="center"/>
    </xf>
    <xf numFmtId="0" fontId="0" fillId="78" borderId="0" xfId="0" applyFont="1" applyFill="1" applyBorder="1" applyProtection="1">
      <protection locked="0"/>
    </xf>
    <xf numFmtId="0" fontId="171" fillId="78" borderId="116" xfId="0" applyFont="1" applyFill="1" applyBorder="1" applyAlignment="1">
      <alignment wrapText="1"/>
    </xf>
    <xf numFmtId="9" fontId="0" fillId="78" borderId="83" xfId="4688" applyFont="1" applyFill="1" applyBorder="1" applyAlignment="1">
      <alignment horizontal="center" wrapText="1"/>
    </xf>
    <xf numFmtId="0" fontId="0" fillId="78" borderId="94" xfId="0" applyFont="1" applyFill="1" applyBorder="1" applyAlignment="1">
      <alignment horizontal="center" vertical="center" wrapText="1"/>
    </xf>
    <xf numFmtId="37" fontId="0" fillId="78" borderId="102" xfId="0" applyNumberFormat="1" applyFont="1" applyFill="1" applyBorder="1" applyAlignment="1">
      <alignment horizontal="center" wrapText="1"/>
    </xf>
    <xf numFmtId="0" fontId="0" fillId="78" borderId="97" xfId="0" applyFont="1" applyFill="1" applyBorder="1" applyProtection="1">
      <protection locked="0"/>
    </xf>
    <xf numFmtId="43" fontId="0" fillId="0" borderId="10" xfId="439" applyNumberFormat="1" applyFont="1" applyFill="1" applyBorder="1" applyAlignment="1">
      <alignment horizontal="center"/>
    </xf>
    <xf numFmtId="43" fontId="45" fillId="0" borderId="10" xfId="439" applyNumberFormat="1" applyFont="1" applyFill="1" applyBorder="1" applyAlignment="1">
      <alignment horizontal="center"/>
    </xf>
    <xf numFmtId="0" fontId="133" fillId="78" borderId="15" xfId="30099" applyFont="1" applyFill="1" applyBorder="1" applyAlignment="1">
      <alignment horizontal="left" wrapText="1"/>
    </xf>
    <xf numFmtId="0" fontId="133" fillId="78" borderId="0" xfId="30099" applyFont="1" applyFill="1" applyAlignment="1">
      <alignment horizontal="left" wrapText="1"/>
    </xf>
    <xf numFmtId="0" fontId="133" fillId="78" borderId="60" xfId="30099" applyFont="1" applyFill="1" applyBorder="1" applyAlignment="1">
      <alignment horizontal="left" wrapText="1"/>
    </xf>
    <xf numFmtId="0" fontId="0" fillId="0" borderId="0" xfId="0" applyAlignment="1">
      <alignment wrapText="1"/>
    </xf>
    <xf numFmtId="0" fontId="0" fillId="0" borderId="0" xfId="0" applyAlignment="1">
      <alignment horizontal="left"/>
    </xf>
    <xf numFmtId="0" fontId="0" fillId="0" borderId="117" xfId="0" applyBorder="1"/>
    <xf numFmtId="0" fontId="0" fillId="0" borderId="81" xfId="0" applyBorder="1"/>
    <xf numFmtId="0" fontId="0" fillId="0" borderId="82" xfId="0" applyBorder="1"/>
    <xf numFmtId="0" fontId="0" fillId="0" borderId="119" xfId="0" applyBorder="1"/>
    <xf numFmtId="0" fontId="194" fillId="0" borderId="10" xfId="0" applyFont="1" applyBorder="1" applyAlignment="1">
      <alignment horizontal="center" vertical="center" wrapText="1"/>
    </xf>
    <xf numFmtId="0" fontId="0" fillId="0" borderId="74" xfId="0" applyBorder="1" applyAlignment="1">
      <alignment horizontal="center" wrapText="1"/>
    </xf>
    <xf numFmtId="1" fontId="0" fillId="0" borderId="0" xfId="0" applyNumberFormat="1"/>
    <xf numFmtId="0" fontId="194" fillId="0" borderId="83" xfId="0" applyFont="1" applyBorder="1" applyAlignment="1">
      <alignment horizontal="center" vertical="center" wrapText="1"/>
    </xf>
    <xf numFmtId="0" fontId="0" fillId="0" borderId="0" xfId="0" applyAlignment="1">
      <alignment horizontal="center" wrapText="1"/>
    </xf>
    <xf numFmtId="37" fontId="0" fillId="0" borderId="0" xfId="0" applyNumberFormat="1"/>
    <xf numFmtId="0" fontId="0" fillId="78" borderId="120" xfId="0" applyFill="1" applyBorder="1" applyAlignment="1">
      <alignment horizontal="left" vertical="center" wrapText="1"/>
    </xf>
    <xf numFmtId="0" fontId="50" fillId="78" borderId="57" xfId="0" applyFont="1" applyFill="1" applyBorder="1" applyAlignment="1">
      <alignment horizontal="center" wrapText="1"/>
    </xf>
    <xf numFmtId="0" fontId="0" fillId="78" borderId="11" xfId="0" quotePrefix="1" applyFill="1" applyBorder="1" applyAlignment="1">
      <alignment horizontal="center" wrapText="1"/>
    </xf>
    <xf numFmtId="0" fontId="0" fillId="78" borderId="72" xfId="0" applyFill="1" applyBorder="1" applyAlignment="1">
      <alignment horizontal="left" vertical="center" wrapText="1"/>
    </xf>
    <xf numFmtId="10" fontId="0" fillId="0" borderId="0" xfId="0" applyNumberFormat="1"/>
    <xf numFmtId="9" fontId="0" fillId="0" borderId="0" xfId="4688" applyFont="1" applyFill="1" applyBorder="1"/>
    <xf numFmtId="10" fontId="0" fillId="0" borderId="81" xfId="0" applyNumberFormat="1" applyBorder="1"/>
    <xf numFmtId="0" fontId="0" fillId="0" borderId="57" xfId="0" applyBorder="1" applyAlignment="1">
      <alignment horizontal="center" vertical="center" wrapText="1"/>
    </xf>
    <xf numFmtId="10" fontId="0" fillId="0" borderId="57" xfId="0" applyNumberFormat="1" applyBorder="1" applyAlignment="1">
      <alignment horizontal="center" vertical="center" wrapText="1"/>
    </xf>
    <xf numFmtId="0" fontId="0" fillId="78" borderId="16" xfId="0" quotePrefix="1" applyFill="1" applyBorder="1" applyAlignment="1">
      <alignment horizontal="center" wrapText="1"/>
    </xf>
    <xf numFmtId="0" fontId="0" fillId="78" borderId="57" xfId="0" applyFill="1" applyBorder="1" applyAlignment="1">
      <alignment vertical="center" wrapText="1"/>
    </xf>
    <xf numFmtId="2" fontId="0" fillId="0" borderId="0" xfId="0" applyNumberFormat="1"/>
    <xf numFmtId="0" fontId="0" fillId="0" borderId="57" xfId="0" applyBorder="1" applyAlignment="1">
      <alignment horizontal="center" wrapText="1"/>
    </xf>
    <xf numFmtId="0" fontId="0" fillId="78" borderId="57" xfId="0" applyFill="1" applyBorder="1" applyAlignment="1">
      <alignment wrapText="1"/>
    </xf>
    <xf numFmtId="37" fontId="0" fillId="0" borderId="57" xfId="0" applyNumberFormat="1" applyBorder="1" applyAlignment="1">
      <alignment horizontal="center" wrapText="1"/>
    </xf>
    <xf numFmtId="0" fontId="0" fillId="78" borderId="57" xfId="0" applyFill="1" applyBorder="1" applyAlignment="1">
      <alignment horizontal="left" vertical="center" wrapText="1"/>
    </xf>
    <xf numFmtId="0" fontId="39" fillId="0" borderId="121" xfId="0" applyFont="1" applyBorder="1" applyAlignment="1">
      <alignment wrapText="1"/>
    </xf>
    <xf numFmtId="0" fontId="0" fillId="0" borderId="122" xfId="0" applyBorder="1"/>
    <xf numFmtId="0" fontId="0" fillId="0" borderId="122" xfId="0" applyBorder="1" applyAlignment="1">
      <alignment horizontal="center" wrapText="1"/>
    </xf>
    <xf numFmtId="0" fontId="0" fillId="0" borderId="122" xfId="0" applyBorder="1" applyAlignment="1">
      <alignment wrapText="1"/>
    </xf>
    <xf numFmtId="0" fontId="0" fillId="78" borderId="84" xfId="0" applyFill="1" applyBorder="1"/>
    <xf numFmtId="0" fontId="39" fillId="78" borderId="89" xfId="0" applyFont="1" applyFill="1" applyBorder="1" applyAlignment="1">
      <alignment horizontal="center" wrapText="1"/>
    </xf>
    <xf numFmtId="0" fontId="39" fillId="78" borderId="70" xfId="0" applyFont="1" applyFill="1" applyBorder="1" applyAlignment="1">
      <alignment horizontal="center"/>
    </xf>
    <xf numFmtId="37" fontId="0" fillId="0" borderId="57" xfId="0" applyNumberFormat="1" applyBorder="1" applyAlignment="1">
      <alignment horizontal="center"/>
    </xf>
    <xf numFmtId="0" fontId="39" fillId="78" borderId="11" xfId="0" applyFont="1" applyFill="1" applyBorder="1" applyAlignment="1">
      <alignment horizontal="center" wrapText="1"/>
    </xf>
    <xf numFmtId="0" fontId="39" fillId="78" borderId="57" xfId="0" applyFont="1" applyFill="1" applyBorder="1" applyAlignment="1">
      <alignment horizontal="center"/>
    </xf>
    <xf numFmtId="0" fontId="0" fillId="78" borderId="57" xfId="0" applyFill="1" applyBorder="1"/>
    <xf numFmtId="9" fontId="0" fillId="0" borderId="57" xfId="4688" applyFont="1" applyFill="1" applyBorder="1" applyAlignment="1">
      <alignment horizontal="center"/>
    </xf>
    <xf numFmtId="9" fontId="39" fillId="0" borderId="57" xfId="0" applyNumberFormat="1" applyFont="1" applyBorder="1" applyAlignment="1">
      <alignment horizontal="center"/>
    </xf>
    <xf numFmtId="0" fontId="0" fillId="0" borderId="124" xfId="0" applyBorder="1"/>
    <xf numFmtId="0" fontId="39" fillId="0" borderId="0" xfId="0" applyFont="1" applyAlignment="1">
      <alignment wrapText="1"/>
    </xf>
    <xf numFmtId="0" fontId="0" fillId="0" borderId="118" xfId="0" applyBorder="1"/>
    <xf numFmtId="0" fontId="39" fillId="0" borderId="57" xfId="0" applyFont="1" applyBorder="1" applyAlignment="1">
      <alignment horizontal="center" wrapText="1"/>
    </xf>
    <xf numFmtId="0" fontId="0" fillId="0" borderId="57" xfId="0" applyBorder="1" applyAlignment="1">
      <alignment horizontal="center"/>
    </xf>
    <xf numFmtId="0" fontId="0" fillId="78" borderId="57" xfId="0" applyFill="1" applyBorder="1" applyAlignment="1">
      <alignment horizontal="center"/>
    </xf>
    <xf numFmtId="0" fontId="45" fillId="85" borderId="57" xfId="0" applyFont="1" applyFill="1" applyBorder="1" applyAlignment="1">
      <alignment horizontal="center" wrapText="1"/>
    </xf>
    <xf numFmtId="0" fontId="0" fillId="85" borderId="57" xfId="0" applyFill="1" applyBorder="1" applyAlignment="1">
      <alignment horizontal="center" wrapText="1"/>
    </xf>
    <xf numFmtId="37" fontId="45" fillId="0" borderId="57" xfId="0" applyNumberFormat="1" applyFont="1" applyBorder="1" applyAlignment="1">
      <alignment horizontal="center"/>
    </xf>
    <xf numFmtId="37" fontId="45" fillId="0" borderId="57" xfId="0" applyNumberFormat="1" applyFont="1" applyBorder="1" applyAlignment="1">
      <alignment horizontal="center" wrapText="1"/>
    </xf>
    <xf numFmtId="0" fontId="0" fillId="0" borderId="82" xfId="0" applyBorder="1" applyAlignment="1">
      <alignment wrapText="1"/>
    </xf>
    <xf numFmtId="0" fontId="0" fillId="0" borderId="89" xfId="0" applyBorder="1"/>
    <xf numFmtId="0" fontId="0" fillId="78" borderId="70" xfId="0" applyFill="1" applyBorder="1" applyAlignment="1">
      <alignment horizontal="center" vertical="center" wrapText="1"/>
    </xf>
    <xf numFmtId="0" fontId="37" fillId="78" borderId="57" xfId="0" applyFont="1" applyFill="1" applyBorder="1" applyAlignment="1">
      <alignment vertical="center" wrapText="1"/>
    </xf>
    <xf numFmtId="0" fontId="161" fillId="0" borderId="0" xfId="0" applyFont="1" applyFill="1" applyBorder="1" applyAlignment="1">
      <alignment vertical="center" wrapText="1"/>
    </xf>
    <xf numFmtId="0" fontId="0" fillId="0" borderId="118" xfId="0" applyBorder="1" applyAlignment="1">
      <alignment wrapText="1"/>
    </xf>
    <xf numFmtId="0" fontId="0" fillId="78" borderId="57" xfId="0" applyFill="1" applyBorder="1" applyAlignment="1">
      <alignment vertical="center"/>
    </xf>
    <xf numFmtId="0" fontId="37" fillId="78" borderId="57" xfId="0" applyFont="1" applyFill="1" applyBorder="1" applyAlignment="1">
      <alignment horizontal="left" vertical="center" wrapText="1"/>
    </xf>
    <xf numFmtId="0" fontId="37" fillId="78" borderId="57" xfId="0" applyFont="1" applyFill="1" applyBorder="1" applyAlignment="1">
      <alignment horizontal="justify" vertical="center"/>
    </xf>
    <xf numFmtId="0" fontId="46" fillId="78" borderId="57" xfId="0" quotePrefix="1" applyFont="1" applyFill="1" applyBorder="1" applyAlignment="1">
      <alignment horizontal="center" vertical="center" wrapText="1"/>
    </xf>
    <xf numFmtId="0" fontId="0" fillId="0" borderId="57" xfId="0" applyFill="1" applyBorder="1" applyAlignment="1">
      <alignment vertical="center" wrapText="1"/>
    </xf>
    <xf numFmtId="0" fontId="46" fillId="78" borderId="13" xfId="0" applyFont="1" applyFill="1" applyBorder="1" applyAlignment="1">
      <alignment vertical="center" wrapText="1"/>
    </xf>
    <xf numFmtId="0" fontId="46" fillId="0" borderId="89" xfId="0" applyFont="1" applyFill="1" applyBorder="1" applyAlignment="1">
      <alignment vertical="center"/>
    </xf>
    <xf numFmtId="0" fontId="0" fillId="0" borderId="57" xfId="0" applyFill="1" applyBorder="1" applyAlignment="1">
      <alignment horizontal="justify" vertical="center"/>
    </xf>
    <xf numFmtId="0" fontId="40" fillId="78" borderId="13" xfId="0" applyFont="1" applyFill="1" applyBorder="1" applyAlignment="1">
      <alignment horizontal="center" vertical="center"/>
    </xf>
    <xf numFmtId="0" fontId="46" fillId="78" borderId="13" xfId="0" applyFont="1" applyFill="1" applyBorder="1" applyAlignment="1">
      <alignment vertical="center"/>
    </xf>
    <xf numFmtId="0" fontId="46" fillId="78" borderId="13" xfId="0" applyFont="1" applyFill="1" applyBorder="1" applyAlignment="1">
      <alignment horizontal="left" vertical="center" wrapText="1"/>
    </xf>
    <xf numFmtId="0" fontId="46" fillId="78" borderId="125" xfId="0" applyFont="1" applyFill="1" applyBorder="1" applyAlignment="1">
      <alignment vertical="center" wrapText="1"/>
    </xf>
    <xf numFmtId="0" fontId="0" fillId="78" borderId="120" xfId="0" applyFill="1" applyBorder="1"/>
    <xf numFmtId="10" fontId="0" fillId="0" borderId="0" xfId="0" applyNumberFormat="1" applyAlignment="1">
      <alignment horizontal="center" wrapText="1"/>
    </xf>
    <xf numFmtId="10" fontId="0" fillId="0" borderId="0" xfId="4688" applyNumberFormat="1" applyFont="1" applyAlignment="1">
      <alignment horizontal="center" wrapText="1"/>
    </xf>
    <xf numFmtId="9" fontId="0" fillId="0" borderId="117" xfId="4688" applyNumberFormat="1" applyFont="1" applyBorder="1"/>
    <xf numFmtId="3" fontId="0" fillId="0" borderId="0" xfId="0" applyNumberFormat="1"/>
    <xf numFmtId="4" fontId="0" fillId="0" borderId="0" xfId="0" applyNumberFormat="1"/>
    <xf numFmtId="43" fontId="0" fillId="0" borderId="0" xfId="1562" applyFont="1"/>
    <xf numFmtId="166" fontId="195" fillId="0" borderId="0" xfId="0" applyNumberFormat="1" applyFont="1" applyAlignment="1">
      <alignment horizontal="left" vertical="center" wrapText="1"/>
    </xf>
    <xf numFmtId="166" fontId="0" fillId="0" borderId="0" xfId="0" applyNumberFormat="1"/>
    <xf numFmtId="0" fontId="63" fillId="0" borderId="0" xfId="0" applyFont="1" applyFill="1" applyBorder="1" applyAlignment="1">
      <alignment vertical="center" wrapText="1"/>
    </xf>
    <xf numFmtId="0" fontId="0" fillId="0" borderId="0" xfId="0" applyNumberFormat="1" applyFont="1" applyFill="1" applyBorder="1" applyAlignment="1">
      <alignment horizontal="center"/>
    </xf>
    <xf numFmtId="0" fontId="0" fillId="0" borderId="0" xfId="0"/>
    <xf numFmtId="0" fontId="0" fillId="0" borderId="0" xfId="0" applyAlignment="1">
      <alignment vertical="center" wrapText="1"/>
    </xf>
    <xf numFmtId="0" fontId="0" fillId="0" borderId="0" xfId="0" applyAlignment="1">
      <alignment wrapText="1"/>
    </xf>
    <xf numFmtId="0" fontId="41" fillId="0" borderId="0" xfId="0" applyFont="1"/>
    <xf numFmtId="0" fontId="41" fillId="0" borderId="0" xfId="0" applyFont="1" applyAlignment="1">
      <alignment wrapText="1"/>
    </xf>
    <xf numFmtId="166" fontId="41" fillId="0" borderId="0" xfId="0" applyNumberFormat="1" applyFont="1" applyAlignment="1">
      <alignment horizontal="center" vertical="center" wrapText="1"/>
    </xf>
    <xf numFmtId="166" fontId="0" fillId="0" borderId="0" xfId="0" applyNumberFormat="1"/>
    <xf numFmtId="38" fontId="63" fillId="0" borderId="0" xfId="0" applyNumberFormat="1" applyFont="1"/>
    <xf numFmtId="0" fontId="0" fillId="73" borderId="0" xfId="0" applyFill="1"/>
    <xf numFmtId="0" fontId="60" fillId="0" borderId="0" xfId="720" applyFont="1" applyAlignment="1">
      <alignment horizontal="left" vertical="center" wrapText="1"/>
    </xf>
    <xf numFmtId="0" fontId="0" fillId="73" borderId="0" xfId="0" applyFill="1" applyAlignment="1">
      <alignment wrapText="1"/>
    </xf>
    <xf numFmtId="38" fontId="63" fillId="73" borderId="0" xfId="0" applyNumberFormat="1" applyFont="1" applyFill="1"/>
    <xf numFmtId="0" fontId="196" fillId="0" borderId="0" xfId="31722" applyAlignment="1">
      <alignment horizontal="center"/>
    </xf>
    <xf numFmtId="0" fontId="196" fillId="0" borderId="0" xfId="31722" applyAlignment="1">
      <alignment horizontal="left"/>
    </xf>
    <xf numFmtId="0" fontId="196" fillId="0" borderId="0" xfId="31722" applyAlignment="1">
      <alignment horizontal="left" wrapText="1"/>
    </xf>
    <xf numFmtId="0" fontId="196" fillId="73" borderId="0" xfId="31722" applyFill="1" applyAlignment="1">
      <alignment horizontal="center"/>
    </xf>
    <xf numFmtId="0" fontId="196" fillId="73" borderId="0" xfId="31722" applyFill="1" applyAlignment="1">
      <alignment horizontal="left"/>
    </xf>
    <xf numFmtId="0" fontId="39" fillId="0" borderId="0" xfId="621" applyFont="1" applyAlignment="1">
      <alignment horizontal="center" vertical="center"/>
    </xf>
    <xf numFmtId="0" fontId="33" fillId="0" borderId="0" xfId="621" applyAlignment="1">
      <alignment vertical="center" wrapText="1"/>
    </xf>
    <xf numFmtId="0" fontId="39" fillId="0" borderId="25" xfId="621" applyFont="1" applyBorder="1" applyAlignment="1">
      <alignment horizontal="center" vertical="center"/>
    </xf>
    <xf numFmtId="0" fontId="0" fillId="0" borderId="23" xfId="0" applyBorder="1" applyAlignment="1">
      <alignment wrapText="1"/>
    </xf>
    <xf numFmtId="0" fontId="33" fillId="0" borderId="23" xfId="621" applyBorder="1" applyAlignment="1">
      <alignment vertical="center" wrapText="1"/>
    </xf>
    <xf numFmtId="0" fontId="39" fillId="0" borderId="26" xfId="621" applyFont="1" applyBorder="1" applyAlignment="1">
      <alignment horizontal="center" vertical="center"/>
    </xf>
    <xf numFmtId="0" fontId="33" fillId="0" borderId="31" xfId="621" applyBorder="1" applyAlignment="1">
      <alignment vertical="center" wrapText="1"/>
    </xf>
    <xf numFmtId="40" fontId="63" fillId="0" borderId="0" xfId="0" applyNumberFormat="1" applyFont="1"/>
    <xf numFmtId="0" fontId="3" fillId="34" borderId="0" xfId="678" applyFont="1" applyFill="1" applyAlignment="1">
      <alignment horizontal="center" vertical="center"/>
    </xf>
    <xf numFmtId="0" fontId="33" fillId="34" borderId="0" xfId="678" applyFill="1" applyAlignment="1">
      <alignment vertical="center" wrapText="1"/>
    </xf>
    <xf numFmtId="0" fontId="0" fillId="34" borderId="0" xfId="0" applyFill="1"/>
    <xf numFmtId="0" fontId="0" fillId="34" borderId="0" xfId="0" applyFill="1" applyAlignment="1">
      <alignment wrapText="1"/>
    </xf>
    <xf numFmtId="0" fontId="0" fillId="34" borderId="126" xfId="0" applyFill="1" applyBorder="1"/>
    <xf numFmtId="0" fontId="0" fillId="34" borderId="127" xfId="0" applyFill="1" applyBorder="1" applyAlignment="1">
      <alignment wrapText="1"/>
    </xf>
    <xf numFmtId="40" fontId="0" fillId="0" borderId="0" xfId="0" applyNumberFormat="1"/>
    <xf numFmtId="38" fontId="0" fillId="0" borderId="0" xfId="0" applyNumberFormat="1"/>
    <xf numFmtId="40" fontId="0" fillId="0" borderId="0" xfId="0" applyNumberFormat="1" applyAlignment="1">
      <alignment wrapText="1"/>
    </xf>
    <xf numFmtId="9" fontId="0" fillId="0" borderId="0" xfId="0" applyNumberFormat="1"/>
    <xf numFmtId="10" fontId="0" fillId="0" borderId="0" xfId="0" applyNumberFormat="1"/>
    <xf numFmtId="4" fontId="0" fillId="0" borderId="0" xfId="0" applyNumberFormat="1"/>
    <xf numFmtId="40" fontId="84" fillId="50" borderId="0" xfId="0" applyNumberFormat="1" applyFont="1" applyFill="1" applyAlignment="1">
      <alignment horizontal="right"/>
    </xf>
    <xf numFmtId="0" fontId="0" fillId="0" borderId="65" xfId="0" applyBorder="1" applyAlignment="1">
      <alignment vertical="center" wrapText="1"/>
    </xf>
    <xf numFmtId="0" fontId="44" fillId="0" borderId="65" xfId="0" applyFont="1" applyBorder="1" applyAlignment="1" applyProtection="1">
      <alignment vertical="center" wrapText="1"/>
      <protection locked="0"/>
    </xf>
    <xf numFmtId="10" fontId="0" fillId="0" borderId="0" xfId="4688" applyNumberFormat="1" applyFont="1"/>
    <xf numFmtId="0" fontId="0" fillId="36" borderId="0" xfId="0" applyFill="1"/>
    <xf numFmtId="0" fontId="0" fillId="36" borderId="0" xfId="0" applyFill="1" applyAlignment="1">
      <alignment wrapText="1"/>
    </xf>
    <xf numFmtId="10" fontId="0" fillId="36" borderId="83" xfId="4688" applyNumberFormat="1" applyFont="1" applyFill="1" applyBorder="1"/>
    <xf numFmtId="164" fontId="45" fillId="22" borderId="0" xfId="439" applyNumberFormat="1" applyFont="1" applyFill="1" applyAlignment="1" applyProtection="1">
      <alignment horizontal="center" vertical="center" wrapText="1"/>
    </xf>
    <xf numFmtId="0" fontId="128" fillId="26" borderId="0" xfId="30099" applyFont="1" applyFill="1" applyAlignment="1">
      <alignment horizontal="left" vertical="top" wrapText="1"/>
    </xf>
    <xf numFmtId="0" fontId="134" fillId="26" borderId="0" xfId="30099" applyFont="1" applyFill="1" applyAlignment="1">
      <alignment horizontal="left" wrapText="1"/>
    </xf>
    <xf numFmtId="0" fontId="39" fillId="0" borderId="0" xfId="0" applyFont="1" applyAlignment="1" applyProtection="1">
      <alignment wrapText="1"/>
    </xf>
    <xf numFmtId="0" fontId="39" fillId="0" borderId="0" xfId="0" applyNumberFormat="1" applyFont="1" applyFill="1" applyAlignment="1" applyProtection="1">
      <alignment horizontal="left" vertical="center" wrapText="1"/>
    </xf>
    <xf numFmtId="38" fontId="59" fillId="0" borderId="0" xfId="439" applyNumberFormat="1" applyFont="1" applyFill="1" applyAlignment="1" applyProtection="1">
      <alignment horizontal="center" vertical="center" wrapText="1"/>
    </xf>
    <xf numFmtId="164" fontId="39" fillId="0" borderId="0" xfId="0" applyNumberFormat="1" applyFont="1" applyFill="1" applyAlignment="1" applyProtection="1">
      <alignment wrapText="1"/>
      <protection locked="0"/>
    </xf>
    <xf numFmtId="0" fontId="39" fillId="0" borderId="0" xfId="0" applyFont="1" applyProtection="1">
      <protection locked="0"/>
    </xf>
    <xf numFmtId="0" fontId="39" fillId="0" borderId="0" xfId="0" applyFont="1" applyFill="1" applyProtection="1"/>
    <xf numFmtId="0" fontId="60" fillId="0" borderId="61" xfId="0" applyFont="1" applyFill="1" applyBorder="1" applyAlignment="1">
      <alignment vertical="center" wrapText="1"/>
    </xf>
    <xf numFmtId="0" fontId="39" fillId="0" borderId="0" xfId="0" applyFont="1"/>
    <xf numFmtId="0" fontId="39" fillId="0" borderId="0" xfId="0" applyNumberFormat="1" applyFont="1" applyFill="1" applyAlignment="1" applyProtection="1">
      <alignment horizontal="center" vertical="center"/>
    </xf>
    <xf numFmtId="0" fontId="39" fillId="0" borderId="0" xfId="0" applyFont="1" applyProtection="1"/>
    <xf numFmtId="0" fontId="60" fillId="0" borderId="0" xfId="0" applyFont="1" applyAlignment="1">
      <alignment wrapText="1"/>
    </xf>
    <xf numFmtId="0" fontId="39" fillId="0" borderId="0" xfId="0" applyFont="1" applyFill="1" applyAlignment="1" applyProtection="1">
      <alignment wrapText="1"/>
    </xf>
    <xf numFmtId="0" fontId="59" fillId="0" borderId="45" xfId="0" applyFont="1" applyFill="1" applyBorder="1" applyAlignment="1" applyProtection="1">
      <alignment wrapText="1"/>
    </xf>
    <xf numFmtId="0" fontId="39" fillId="0" borderId="45" xfId="0" applyFont="1" applyFill="1" applyBorder="1" applyAlignment="1" applyProtection="1">
      <alignment wrapText="1"/>
    </xf>
    <xf numFmtId="0" fontId="39" fillId="0" borderId="45" xfId="0" applyNumberFormat="1" applyFont="1" applyFill="1" applyBorder="1" applyAlignment="1" applyProtection="1">
      <alignment horizontal="left" vertical="center" wrapText="1"/>
    </xf>
    <xf numFmtId="164" fontId="39" fillId="0" borderId="45" xfId="0" applyNumberFormat="1" applyFont="1" applyFill="1" applyBorder="1" applyAlignment="1" applyProtection="1">
      <alignment wrapText="1"/>
      <protection locked="0"/>
    </xf>
    <xf numFmtId="38" fontId="59" fillId="29" borderId="0" xfId="439" applyNumberFormat="1" applyFont="1" applyFill="1" applyAlignment="1" applyProtection="1">
      <alignment horizontal="center" vertical="center" wrapText="1"/>
      <protection locked="0"/>
    </xf>
    <xf numFmtId="3" fontId="39" fillId="0" borderId="0" xfId="0" applyNumberFormat="1" applyFont="1" applyFill="1" applyProtection="1"/>
    <xf numFmtId="0" fontId="59" fillId="0" borderId="45" xfId="0" applyFont="1" applyBorder="1" applyAlignment="1">
      <alignment horizontal="center" vertical="center" wrapText="1"/>
    </xf>
    <xf numFmtId="0" fontId="39" fillId="0" borderId="0" xfId="0" applyFont="1" applyFill="1" applyAlignment="1" applyProtection="1">
      <alignment vertical="center" wrapText="1"/>
    </xf>
    <xf numFmtId="0" fontId="39" fillId="0" borderId="25" xfId="0" applyFont="1" applyFill="1" applyBorder="1" applyAlignment="1">
      <alignment horizontal="center" vertical="center" wrapText="1"/>
    </xf>
    <xf numFmtId="0" fontId="39" fillId="0" borderId="23" xfId="0" applyFont="1" applyBorder="1" applyAlignment="1">
      <alignment horizontal="left" vertical="center" wrapText="1"/>
    </xf>
    <xf numFmtId="0" fontId="39" fillId="0" borderId="25" xfId="0" applyFont="1" applyFill="1" applyBorder="1" applyAlignment="1">
      <alignment horizontal="left" vertical="center" wrapText="1"/>
    </xf>
    <xf numFmtId="0" fontId="39" fillId="0" borderId="0" xfId="0" applyFont="1" applyBorder="1" applyAlignment="1">
      <alignment horizontal="left" vertical="center" wrapText="1"/>
    </xf>
    <xf numFmtId="0" fontId="39" fillId="0" borderId="0" xfId="0" applyFont="1" applyAlignment="1" applyProtection="1">
      <alignment vertical="center" wrapText="1"/>
    </xf>
    <xf numFmtId="0" fontId="39" fillId="0" borderId="0" xfId="0" applyFont="1" applyFill="1" applyAlignment="1" applyProtection="1">
      <alignment horizontal="center"/>
    </xf>
    <xf numFmtId="0" fontId="39" fillId="0" borderId="0" xfId="0" applyFont="1" applyAlignment="1" applyProtection="1">
      <alignment horizontal="center" vertical="center"/>
    </xf>
    <xf numFmtId="41" fontId="39" fillId="0" borderId="0" xfId="0" applyNumberFormat="1" applyFont="1" applyAlignment="1" applyProtection="1">
      <alignment wrapText="1"/>
    </xf>
    <xf numFmtId="0" fontId="39" fillId="0" borderId="0" xfId="0" applyFont="1" applyFill="1" applyAlignment="1" applyProtection="1">
      <alignment vertical="center"/>
    </xf>
    <xf numFmtId="0" fontId="39" fillId="0" borderId="0" xfId="0" applyFont="1" applyBorder="1" applyAlignment="1" applyProtection="1">
      <alignment wrapText="1"/>
    </xf>
    <xf numFmtId="0" fontId="59" fillId="0" borderId="0" xfId="0" applyFont="1" applyFill="1" applyAlignment="1" applyProtection="1">
      <alignment horizontal="center" vertical="center" wrapText="1"/>
    </xf>
    <xf numFmtId="0" fontId="59" fillId="0" borderId="0" xfId="0" applyNumberFormat="1" applyFont="1" applyFill="1" applyAlignment="1" applyProtection="1">
      <alignment vertical="center" wrapText="1"/>
    </xf>
    <xf numFmtId="0" fontId="39" fillId="0" borderId="0" xfId="0" applyFont="1" applyFill="1" applyAlignment="1" applyProtection="1">
      <alignment wrapText="1"/>
      <protection locked="0"/>
    </xf>
    <xf numFmtId="0" fontId="198" fillId="0" borderId="0" xfId="0" applyNumberFormat="1" applyFont="1" applyFill="1" applyAlignment="1" applyProtection="1">
      <alignment vertical="center" wrapText="1"/>
    </xf>
    <xf numFmtId="0" fontId="39" fillId="0" borderId="45" xfId="0" applyFont="1" applyFill="1" applyBorder="1" applyAlignment="1" applyProtection="1">
      <alignment horizontal="center" vertical="center" wrapText="1"/>
    </xf>
    <xf numFmtId="0" fontId="60" fillId="0" borderId="45" xfId="0" applyNumberFormat="1" applyFont="1" applyFill="1" applyBorder="1" applyAlignment="1" applyProtection="1">
      <alignment horizontal="left" vertical="center" wrapText="1"/>
    </xf>
    <xf numFmtId="0" fontId="39" fillId="0" borderId="45" xfId="0" applyFont="1" applyFill="1" applyBorder="1" applyAlignment="1" applyProtection="1">
      <alignment vertical="center" wrapText="1"/>
    </xf>
    <xf numFmtId="0" fontId="198" fillId="0" borderId="0" xfId="0" applyFont="1" applyFill="1" applyAlignment="1" applyProtection="1">
      <alignment vertical="center" wrapText="1"/>
    </xf>
    <xf numFmtId="0" fontId="39" fillId="0" borderId="0" xfId="0" applyFont="1" applyFill="1" applyProtection="1">
      <protection locked="0"/>
    </xf>
    <xf numFmtId="0" fontId="39" fillId="0" borderId="45" xfId="0" applyNumberFormat="1" applyFont="1" applyFill="1" applyBorder="1" applyAlignment="1" applyProtection="1">
      <alignment horizontal="center" vertical="center" wrapText="1"/>
    </xf>
    <xf numFmtId="37" fontId="39" fillId="0" borderId="45" xfId="0" applyNumberFormat="1" applyFont="1" applyFill="1" applyBorder="1" applyAlignment="1" applyProtection="1">
      <alignment wrapText="1"/>
      <protection locked="0"/>
    </xf>
    <xf numFmtId="0" fontId="39" fillId="0" borderId="45" xfId="0" applyFont="1" applyFill="1" applyBorder="1" applyAlignment="1" applyProtection="1">
      <alignment wrapText="1"/>
      <protection locked="0"/>
    </xf>
    <xf numFmtId="0" fontId="59" fillId="0" borderId="45" xfId="0" applyFont="1" applyFill="1" applyBorder="1" applyAlignment="1" applyProtection="1">
      <alignment horizontal="center" vertical="center" wrapText="1"/>
    </xf>
    <xf numFmtId="37" fontId="39" fillId="0" borderId="0" xfId="0" applyNumberFormat="1" applyFont="1" applyAlignment="1" applyProtection="1">
      <alignment wrapText="1"/>
      <protection locked="0"/>
    </xf>
    <xf numFmtId="0" fontId="198" fillId="0" borderId="0" xfId="0" applyNumberFormat="1" applyFont="1" applyFill="1" applyAlignment="1" applyProtection="1">
      <alignment horizontal="left" vertical="center" wrapText="1"/>
    </xf>
    <xf numFmtId="164" fontId="39" fillId="0" borderId="0" xfId="0" applyNumberFormat="1" applyFont="1" applyAlignment="1" applyProtection="1">
      <alignment wrapText="1"/>
      <protection locked="0"/>
    </xf>
    <xf numFmtId="0" fontId="198" fillId="0" borderId="0" xfId="0" applyNumberFormat="1" applyFont="1" applyFill="1" applyBorder="1" applyAlignment="1" applyProtection="1">
      <alignment vertical="center" wrapText="1"/>
    </xf>
    <xf numFmtId="164" fontId="39" fillId="74" borderId="0" xfId="439" applyNumberFormat="1" applyFont="1" applyFill="1" applyAlignment="1" applyProtection="1">
      <alignment vertical="center"/>
    </xf>
    <xf numFmtId="0" fontId="39" fillId="34" borderId="0" xfId="0" applyFont="1" applyFill="1" applyAlignment="1" applyProtection="1">
      <alignment horizontal="center" vertical="center" wrapText="1"/>
    </xf>
    <xf numFmtId="0" fontId="198" fillId="34" borderId="0" xfId="0" applyNumberFormat="1" applyFont="1" applyFill="1" applyAlignment="1" applyProtection="1">
      <alignment vertical="center" wrapText="1"/>
    </xf>
    <xf numFmtId="0" fontId="59" fillId="0" borderId="0" xfId="439" applyNumberFormat="1" applyFont="1" applyFill="1" applyAlignment="1" applyProtection="1">
      <alignment horizontal="center" vertical="center" wrapText="1"/>
    </xf>
    <xf numFmtId="0" fontId="60" fillId="74" borderId="0" xfId="0" applyFont="1" applyFill="1" applyAlignment="1" applyProtection="1">
      <alignment horizontal="left" vertical="center"/>
    </xf>
    <xf numFmtId="0" fontId="134" fillId="26" borderId="0" xfId="30099" applyFont="1" applyFill="1" applyAlignment="1">
      <alignment horizontal="left" wrapText="1"/>
    </xf>
    <xf numFmtId="0" fontId="128" fillId="26" borderId="0" xfId="30099" applyFont="1" applyFill="1" applyAlignment="1">
      <alignment horizontal="left" vertical="top" wrapText="1"/>
    </xf>
    <xf numFmtId="0" fontId="200" fillId="77" borderId="57" xfId="0" applyFont="1" applyFill="1" applyBorder="1" applyAlignment="1">
      <alignment horizontal="center" vertical="center" wrapText="1"/>
    </xf>
    <xf numFmtId="0" fontId="192" fillId="0" borderId="0" xfId="0" applyFont="1"/>
    <xf numFmtId="0" fontId="201" fillId="73" borderId="0" xfId="0" applyFont="1" applyFill="1" applyAlignment="1">
      <alignment horizontal="justify" vertical="center"/>
    </xf>
    <xf numFmtId="0" fontId="201" fillId="73" borderId="0" xfId="0" applyFont="1" applyFill="1" applyAlignment="1">
      <alignment vertical="center"/>
    </xf>
    <xf numFmtId="0" fontId="201" fillId="73" borderId="0" xfId="0" applyFont="1" applyFill="1" applyAlignment="1">
      <alignment vertical="center" wrapText="1"/>
    </xf>
    <xf numFmtId="0" fontId="205" fillId="73" borderId="0" xfId="611" applyFont="1" applyFill="1" applyAlignment="1">
      <alignment vertical="center"/>
    </xf>
    <xf numFmtId="0" fontId="206" fillId="73" borderId="0" xfId="0" applyFont="1" applyFill="1" applyAlignment="1">
      <alignment vertical="center"/>
    </xf>
    <xf numFmtId="0" fontId="207" fillId="73" borderId="0" xfId="611" applyFont="1" applyFill="1" applyAlignment="1" applyProtection="1">
      <alignment vertical="center"/>
      <protection locked="0"/>
    </xf>
    <xf numFmtId="0" fontId="206" fillId="73" borderId="0" xfId="0" applyFont="1" applyFill="1"/>
    <xf numFmtId="0" fontId="207" fillId="73" borderId="0" xfId="611" applyFont="1" applyFill="1" applyProtection="1">
      <protection locked="0"/>
    </xf>
    <xf numFmtId="0" fontId="120" fillId="73" borderId="0" xfId="30098" applyFont="1" applyFill="1" applyAlignment="1">
      <alignment horizontal="left" vertical="center" wrapText="1" indent="1"/>
    </xf>
    <xf numFmtId="0" fontId="120" fillId="73" borderId="0" xfId="30098" quotePrefix="1" applyFont="1" applyFill="1" applyAlignment="1">
      <alignment horizontal="left" vertical="center" wrapText="1" indent="1"/>
    </xf>
    <xf numFmtId="0" fontId="210" fillId="73" borderId="0" xfId="30098" applyFont="1" applyFill="1" applyAlignment="1">
      <alignment vertical="center" wrapText="1"/>
    </xf>
    <xf numFmtId="0" fontId="201" fillId="73" borderId="0" xfId="30098" applyFont="1" applyFill="1" applyAlignment="1">
      <alignment vertical="center" wrapText="1"/>
    </xf>
    <xf numFmtId="0" fontId="207" fillId="73" borderId="0" xfId="611" applyFont="1" applyFill="1" applyAlignment="1">
      <alignment vertical="center"/>
    </xf>
    <xf numFmtId="0" fontId="132" fillId="78" borderId="37" xfId="30099" applyFont="1" applyFill="1" applyBorder="1" applyAlignment="1">
      <alignment vertical="top"/>
    </xf>
    <xf numFmtId="0" fontId="132" fillId="78" borderId="38" xfId="30099" applyFont="1" applyFill="1" applyBorder="1" applyAlignment="1">
      <alignment vertical="top"/>
    </xf>
    <xf numFmtId="0" fontId="132" fillId="78" borderId="39" xfId="30099" applyFont="1" applyFill="1" applyBorder="1" applyAlignment="1">
      <alignment vertical="top"/>
    </xf>
    <xf numFmtId="0" fontId="39" fillId="78" borderId="84" xfId="0" applyFont="1" applyFill="1" applyBorder="1" applyAlignment="1">
      <alignment horizontal="left"/>
    </xf>
    <xf numFmtId="0" fontId="0" fillId="78" borderId="128" xfId="0" applyFill="1" applyBorder="1"/>
    <xf numFmtId="14" fontId="0" fillId="0" borderId="0" xfId="0" applyNumberFormat="1" applyFont="1" applyProtection="1"/>
    <xf numFmtId="38" fontId="0" fillId="34" borderId="0" xfId="0" applyNumberFormat="1" applyFill="1" applyAlignment="1" applyProtection="1">
      <alignment vertical="center" wrapText="1"/>
      <protection locked="0"/>
    </xf>
    <xf numFmtId="164" fontId="58" fillId="34" borderId="29" xfId="439" applyNumberFormat="1" applyFont="1" applyFill="1" applyBorder="1" applyAlignment="1" applyProtection="1">
      <alignment horizontal="center" vertical="center" wrapText="1"/>
    </xf>
    <xf numFmtId="0" fontId="0" fillId="34" borderId="25" xfId="0" applyNumberFormat="1" applyFont="1" applyFill="1" applyBorder="1" applyAlignment="1" applyProtection="1">
      <alignment horizontal="center" vertical="center" wrapText="1"/>
    </xf>
    <xf numFmtId="0" fontId="145" fillId="26" borderId="0" xfId="30099" applyFont="1" applyFill="1" applyAlignment="1">
      <alignment horizontal="right" vertical="center" wrapText="1"/>
    </xf>
    <xf numFmtId="0" fontId="0" fillId="0" borderId="0" xfId="0" applyAlignment="1">
      <alignment vertical="center"/>
    </xf>
    <xf numFmtId="0" fontId="35" fillId="0" borderId="0" xfId="611"/>
    <xf numFmtId="0" fontId="150" fillId="26" borderId="0" xfId="30099" applyFont="1" applyFill="1" applyAlignment="1">
      <alignment vertical="center" wrapText="1"/>
    </xf>
    <xf numFmtId="0" fontId="154" fillId="26" borderId="0" xfId="30099" applyFont="1" applyFill="1" applyAlignment="1">
      <alignment horizontal="left" vertical="center" wrapText="1"/>
    </xf>
    <xf numFmtId="0" fontId="0" fillId="27" borderId="16" xfId="0" applyFont="1" applyFill="1" applyBorder="1" applyAlignment="1" applyProtection="1">
      <alignment horizontal="center" wrapText="1"/>
      <protection locked="0"/>
    </xf>
    <xf numFmtId="0" fontId="0" fillId="27" borderId="11" xfId="0" applyFont="1" applyFill="1" applyBorder="1" applyAlignment="1" applyProtection="1">
      <alignment horizontal="center" wrapText="1"/>
      <protection locked="0"/>
    </xf>
    <xf numFmtId="0" fontId="0" fillId="21" borderId="13" xfId="0" applyFont="1" applyFill="1" applyBorder="1" applyAlignment="1" applyProtection="1">
      <alignment horizontal="left" vertical="center" wrapText="1"/>
    </xf>
    <xf numFmtId="0" fontId="0" fillId="21" borderId="16" xfId="0" applyFont="1" applyFill="1" applyBorder="1" applyAlignment="1" applyProtection="1">
      <alignment horizontal="left" vertical="center" wrapText="1"/>
    </xf>
    <xf numFmtId="0" fontId="39" fillId="74" borderId="0" xfId="0" applyFont="1" applyFill="1" applyAlignment="1" applyProtection="1">
      <alignment horizontal="left" vertical="center" wrapText="1"/>
    </xf>
    <xf numFmtId="0" fontId="39" fillId="0" borderId="13" xfId="0" applyFont="1" applyBorder="1" applyAlignment="1">
      <alignment horizontal="center"/>
    </xf>
    <xf numFmtId="0" fontId="39" fillId="0" borderId="16" xfId="0" applyFont="1" applyBorder="1" applyAlignment="1">
      <alignment horizontal="center"/>
    </xf>
    <xf numFmtId="0" fontId="39" fillId="0" borderId="11" xfId="0" applyFont="1" applyBorder="1" applyAlignment="1">
      <alignment horizontal="center"/>
    </xf>
    <xf numFmtId="0" fontId="59" fillId="74" borderId="111" xfId="0" applyFont="1" applyFill="1" applyBorder="1" applyAlignment="1">
      <alignment horizontal="center" vertical="center" wrapText="1"/>
    </xf>
    <xf numFmtId="0" fontId="0" fillId="0" borderId="38" xfId="0" applyFont="1" applyBorder="1" applyAlignment="1">
      <alignment horizontal="left" wrapText="1"/>
    </xf>
    <xf numFmtId="0" fontId="0" fillId="0" borderId="13" xfId="0" applyFont="1" applyBorder="1" applyAlignment="1">
      <alignment horizontal="left" wrapText="1"/>
    </xf>
    <xf numFmtId="0" fontId="0" fillId="0" borderId="16" xfId="0" applyFont="1" applyBorder="1" applyAlignment="1">
      <alignment horizontal="left" wrapText="1"/>
    </xf>
    <xf numFmtId="0" fontId="0" fillId="0" borderId="13" xfId="0" applyFont="1" applyBorder="1" applyAlignment="1">
      <alignment horizontal="left"/>
    </xf>
    <xf numFmtId="0" fontId="0" fillId="0" borderId="16" xfId="0" applyFont="1" applyBorder="1" applyAlignment="1">
      <alignment horizontal="left"/>
    </xf>
    <xf numFmtId="0" fontId="0" fillId="0" borderId="13" xfId="0" applyFont="1" applyFill="1" applyBorder="1" applyAlignment="1">
      <alignment horizontal="left" wrapText="1"/>
    </xf>
    <xf numFmtId="0" fontId="0" fillId="0" borderId="16" xfId="0" applyFont="1" applyFill="1" applyBorder="1" applyAlignment="1">
      <alignment horizontal="left" wrapText="1"/>
    </xf>
    <xf numFmtId="0" fontId="128" fillId="26" borderId="0" xfId="30099" applyFont="1" applyFill="1" applyAlignment="1">
      <alignment horizontal="left" vertical="center" wrapText="1"/>
    </xf>
    <xf numFmtId="0" fontId="128" fillId="26" borderId="60" xfId="30099" applyFont="1" applyFill="1" applyBorder="1" applyAlignment="1">
      <alignment horizontal="left" vertical="center" wrapText="1"/>
    </xf>
    <xf numFmtId="0" fontId="128" fillId="0" borderId="66" xfId="30099" applyFont="1" applyBorder="1" applyAlignment="1" applyProtection="1">
      <alignment horizontal="left" vertical="center"/>
      <protection locked="0"/>
    </xf>
    <xf numFmtId="0" fontId="128" fillId="0" borderId="67" xfId="30099" applyFont="1" applyBorder="1" applyAlignment="1" applyProtection="1">
      <alignment horizontal="left" vertical="center"/>
      <protection locked="0"/>
    </xf>
    <xf numFmtId="0" fontId="128" fillId="0" borderId="68" xfId="30099" applyFont="1" applyBorder="1" applyAlignment="1" applyProtection="1">
      <alignment horizontal="left" vertical="center"/>
      <protection locked="0"/>
    </xf>
    <xf numFmtId="0" fontId="148" fillId="26" borderId="0" xfId="30099" applyFont="1" applyFill="1" applyAlignment="1">
      <alignment horizontal="right" vertical="center" wrapText="1"/>
    </xf>
    <xf numFmtId="0" fontId="134" fillId="26" borderId="0" xfId="30099" applyFont="1" applyFill="1" applyAlignment="1">
      <alignment horizontal="left" wrapText="1"/>
    </xf>
    <xf numFmtId="0" fontId="134" fillId="26" borderId="60" xfId="30099" applyFont="1" applyFill="1" applyBorder="1" applyAlignment="1">
      <alignment horizontal="left" wrapText="1"/>
    </xf>
    <xf numFmtId="0" fontId="134" fillId="26" borderId="0" xfId="30099" applyFont="1" applyFill="1" applyBorder="1" applyAlignment="1">
      <alignment horizontal="left" wrapText="1"/>
    </xf>
    <xf numFmtId="0" fontId="140" fillId="26" borderId="0" xfId="30099" applyFont="1" applyFill="1" applyAlignment="1">
      <alignment horizontal="left" vertical="center" wrapText="1"/>
    </xf>
    <xf numFmtId="0" fontId="128" fillId="26" borderId="0" xfId="30099" applyFont="1" applyFill="1" applyAlignment="1">
      <alignment horizontal="left" vertical="top" wrapText="1"/>
    </xf>
    <xf numFmtId="0" fontId="128" fillId="26" borderId="71" xfId="30099" applyFont="1" applyFill="1" applyBorder="1" applyAlignment="1">
      <alignment horizontal="left" vertical="center" wrapText="1"/>
    </xf>
    <xf numFmtId="0" fontId="144" fillId="26" borderId="41" xfId="30099" applyFont="1" applyFill="1" applyBorder="1" applyAlignment="1">
      <alignment horizontal="center" vertical="center" wrapText="1"/>
    </xf>
    <xf numFmtId="164" fontId="135" fillId="79" borderId="13" xfId="30100" applyNumberFormat="1" applyFont="1" applyFill="1" applyBorder="1" applyAlignment="1">
      <alignment horizontal="center" vertical="center" wrapText="1"/>
    </xf>
    <xf numFmtId="164" fontId="135" fillId="79" borderId="16" xfId="30100" applyNumberFormat="1" applyFont="1" applyFill="1" applyBorder="1" applyAlignment="1">
      <alignment horizontal="center" vertical="center" wrapText="1"/>
    </xf>
    <xf numFmtId="164" fontId="135" fillId="79" borderId="11" xfId="30100" applyNumberFormat="1" applyFont="1" applyFill="1" applyBorder="1" applyAlignment="1">
      <alignment horizontal="center" vertical="center" wrapText="1"/>
    </xf>
    <xf numFmtId="0" fontId="145" fillId="0" borderId="66" xfId="30099" applyFont="1" applyBorder="1" applyAlignment="1" applyProtection="1">
      <alignment horizontal="left" vertical="center"/>
      <protection locked="0"/>
    </xf>
    <xf numFmtId="0" fontId="145" fillId="0" borderId="67" xfId="30099" applyFont="1" applyBorder="1" applyAlignment="1" applyProtection="1">
      <alignment horizontal="left" vertical="center"/>
      <protection locked="0"/>
    </xf>
    <xf numFmtId="0" fontId="145" fillId="0" borderId="68" xfId="30099" applyFont="1" applyBorder="1" applyAlignment="1" applyProtection="1">
      <alignment horizontal="left" vertical="center"/>
      <protection locked="0"/>
    </xf>
    <xf numFmtId="0" fontId="142" fillId="26" borderId="0" xfId="30099" applyFont="1" applyFill="1" applyAlignment="1">
      <alignment horizontal="left" vertical="center" wrapText="1"/>
    </xf>
    <xf numFmtId="0" fontId="118" fillId="0" borderId="66" xfId="29597" applyFill="1" applyBorder="1" applyAlignment="1" applyProtection="1">
      <alignment horizontal="left" vertical="center"/>
      <protection locked="0"/>
    </xf>
    <xf numFmtId="0" fontId="128" fillId="0" borderId="13" xfId="30099" applyFont="1" applyBorder="1" applyAlignment="1" applyProtection="1">
      <alignment horizontal="left" vertical="center"/>
      <protection locked="0"/>
    </xf>
    <xf numFmtId="0" fontId="128" fillId="0" borderId="11" xfId="30099" applyFont="1" applyBorder="1" applyAlignment="1" applyProtection="1">
      <alignment horizontal="left" vertical="center"/>
      <protection locked="0"/>
    </xf>
    <xf numFmtId="0" fontId="144" fillId="26" borderId="0" xfId="30099" applyFont="1" applyFill="1" applyAlignment="1">
      <alignment horizontal="center" vertical="center" wrapText="1"/>
    </xf>
    <xf numFmtId="0" fontId="140" fillId="26" borderId="15" xfId="30099" applyFont="1" applyFill="1" applyBorder="1" applyAlignment="1">
      <alignment horizontal="center" vertical="top"/>
    </xf>
    <xf numFmtId="0" fontId="140" fillId="26" borderId="0" xfId="30099" applyFont="1" applyFill="1" applyAlignment="1">
      <alignment horizontal="center" vertical="top"/>
    </xf>
    <xf numFmtId="0" fontId="140" fillId="26" borderId="0" xfId="30099" applyFont="1" applyFill="1" applyAlignment="1">
      <alignment horizontal="center" vertical="top" wrapText="1"/>
    </xf>
    <xf numFmtId="0" fontId="128" fillId="26" borderId="0" xfId="30099" applyFont="1" applyFill="1" applyAlignment="1">
      <alignment horizontal="left" wrapText="1"/>
    </xf>
    <xf numFmtId="0" fontId="128" fillId="26" borderId="71" xfId="30099" applyFont="1" applyFill="1" applyBorder="1" applyAlignment="1">
      <alignment horizontal="left" wrapText="1"/>
    </xf>
    <xf numFmtId="0" fontId="129" fillId="78" borderId="13" xfId="30099" applyFont="1" applyFill="1" applyBorder="1" applyAlignment="1">
      <alignment horizontal="center" vertical="center" wrapText="1"/>
    </xf>
    <xf numFmtId="0" fontId="129" fillId="78" borderId="16" xfId="30099" applyFont="1" applyFill="1" applyBorder="1" applyAlignment="1">
      <alignment horizontal="center" vertical="center" wrapText="1"/>
    </xf>
    <xf numFmtId="0" fontId="129" fillId="78" borderId="11" xfId="30099" applyFont="1" applyFill="1" applyBorder="1" applyAlignment="1">
      <alignment horizontal="center" vertical="center" wrapText="1"/>
    </xf>
    <xf numFmtId="0" fontId="129" fillId="78" borderId="13" xfId="30099" applyFont="1" applyFill="1" applyBorder="1" applyAlignment="1">
      <alignment horizontal="center" vertical="top" wrapText="1"/>
    </xf>
    <xf numFmtId="0" fontId="129" fillId="78" borderId="16" xfId="30099" applyFont="1" applyFill="1" applyBorder="1" applyAlignment="1">
      <alignment horizontal="center" vertical="top" wrapText="1"/>
    </xf>
    <xf numFmtId="0" fontId="129" fillId="78" borderId="11" xfId="30099" applyFont="1" applyFill="1" applyBorder="1" applyAlignment="1">
      <alignment horizontal="center" vertical="top" wrapText="1"/>
    </xf>
    <xf numFmtId="164" fontId="131" fillId="79" borderId="13" xfId="30100" applyNumberFormat="1" applyFont="1" applyFill="1" applyBorder="1" applyAlignment="1">
      <alignment horizontal="center" vertical="center"/>
    </xf>
    <xf numFmtId="164" fontId="131" fillId="79" borderId="16" xfId="30100" applyNumberFormat="1" applyFont="1" applyFill="1" applyBorder="1" applyAlignment="1">
      <alignment horizontal="center" vertical="center"/>
    </xf>
    <xf numFmtId="164" fontId="131" fillId="79" borderId="11" xfId="30100" applyNumberFormat="1" applyFont="1" applyFill="1" applyBorder="1" applyAlignment="1">
      <alignment horizontal="center" vertical="center"/>
    </xf>
    <xf numFmtId="0" fontId="133" fillId="78" borderId="40" xfId="30099" applyFont="1" applyFill="1" applyBorder="1" applyAlignment="1">
      <alignment horizontal="left" wrapText="1"/>
    </xf>
    <xf numFmtId="0" fontId="133" fillId="78" borderId="41" xfId="30099" applyFont="1" applyFill="1" applyBorder="1" applyAlignment="1">
      <alignment horizontal="left" wrapText="1"/>
    </xf>
    <xf numFmtId="0" fontId="133" fillId="78" borderId="42" xfId="30099" applyFont="1" applyFill="1" applyBorder="1" applyAlignment="1">
      <alignment horizontal="left" wrapText="1"/>
    </xf>
    <xf numFmtId="0" fontId="133" fillId="78" borderId="15" xfId="30099" applyFont="1" applyFill="1" applyBorder="1" applyAlignment="1">
      <alignment horizontal="left" wrapText="1"/>
    </xf>
    <xf numFmtId="0" fontId="133" fillId="78" borderId="0" xfId="30099" applyFont="1" applyFill="1" applyAlignment="1">
      <alignment horizontal="left" wrapText="1"/>
    </xf>
    <xf numFmtId="0" fontId="133" fillId="78" borderId="60" xfId="30099" applyFont="1" applyFill="1" applyBorder="1" applyAlignment="1">
      <alignment horizontal="left" wrapText="1"/>
    </xf>
    <xf numFmtId="0" fontId="0" fillId="78" borderId="129" xfId="0" applyFill="1" applyBorder="1" applyAlignment="1">
      <alignment horizontal="center"/>
    </xf>
    <xf numFmtId="0" fontId="0" fillId="78" borderId="17" xfId="0" applyFill="1" applyBorder="1" applyAlignment="1">
      <alignment horizontal="center"/>
    </xf>
    <xf numFmtId="0" fontId="49" fillId="0" borderId="10" xfId="0" applyFont="1" applyBorder="1" applyAlignment="1">
      <alignment horizontal="center" vertical="center" wrapText="1"/>
    </xf>
    <xf numFmtId="0" fontId="39" fillId="0" borderId="22" xfId="0" applyFont="1" applyBorder="1" applyAlignment="1">
      <alignment horizontal="center" vertical="center"/>
    </xf>
    <xf numFmtId="0" fontId="39" fillId="0" borderId="0" xfId="0" applyFont="1" applyAlignment="1">
      <alignment horizontal="center" vertical="center"/>
    </xf>
    <xf numFmtId="0" fontId="39" fillId="0" borderId="83" xfId="0" applyFont="1" applyBorder="1" applyAlignment="1">
      <alignment horizontal="center" vertical="center"/>
    </xf>
    <xf numFmtId="0" fontId="39" fillId="0" borderId="130" xfId="0" applyFont="1" applyBorder="1" applyAlignment="1">
      <alignment horizontal="center" vertical="center"/>
    </xf>
    <xf numFmtId="0" fontId="49" fillId="0" borderId="83" xfId="0" applyFont="1" applyBorder="1" applyAlignment="1">
      <alignment horizontal="center" vertical="center"/>
    </xf>
    <xf numFmtId="0" fontId="39" fillId="78" borderId="13" xfId="0" applyFont="1" applyFill="1" applyBorder="1" applyAlignment="1">
      <alignment horizontal="center" wrapText="1"/>
    </xf>
    <xf numFmtId="0" fontId="39" fillId="78" borderId="16" xfId="0" applyFont="1" applyFill="1" applyBorder="1" applyAlignment="1">
      <alignment horizontal="center" wrapText="1"/>
    </xf>
    <xf numFmtId="0" fontId="39" fillId="78" borderId="11" xfId="0" applyFont="1" applyFill="1" applyBorder="1" applyAlignment="1">
      <alignment horizontal="center" wrapText="1"/>
    </xf>
    <xf numFmtId="0" fontId="39" fillId="78" borderId="13" xfId="0" applyFont="1" applyFill="1" applyBorder="1" applyAlignment="1">
      <alignment horizontal="left" wrapText="1"/>
    </xf>
    <xf numFmtId="0" fontId="39" fillId="78" borderId="16" xfId="0" applyFont="1" applyFill="1" applyBorder="1" applyAlignment="1">
      <alignment horizontal="left" wrapText="1"/>
    </xf>
    <xf numFmtId="0" fontId="39" fillId="78" borderId="11" xfId="0" applyFont="1" applyFill="1" applyBorder="1" applyAlignment="1">
      <alignment horizontal="left" wrapText="1"/>
    </xf>
    <xf numFmtId="0" fontId="193" fillId="0" borderId="40" xfId="0" applyFont="1" applyBorder="1" applyAlignment="1">
      <alignment horizontal="center" vertical="center"/>
    </xf>
    <xf numFmtId="0" fontId="193" fillId="0" borderId="41" xfId="0" applyFont="1" applyBorder="1" applyAlignment="1">
      <alignment horizontal="center" vertical="center"/>
    </xf>
    <xf numFmtId="0" fontId="161" fillId="73" borderId="70" xfId="0" applyFont="1" applyFill="1" applyBorder="1" applyAlignment="1">
      <alignment horizontal="center" vertical="center" wrapText="1"/>
    </xf>
    <xf numFmtId="0" fontId="161" fillId="73" borderId="120" xfId="0" applyFont="1" applyFill="1" applyBorder="1" applyAlignment="1">
      <alignment horizontal="center" vertical="center" wrapText="1"/>
    </xf>
    <xf numFmtId="0" fontId="161" fillId="73" borderId="60" xfId="0" applyFont="1" applyFill="1" applyBorder="1" applyAlignment="1">
      <alignment horizontal="center" vertical="center" wrapText="1"/>
    </xf>
    <xf numFmtId="0" fontId="161" fillId="73" borderId="42" xfId="0" applyFont="1" applyFill="1" applyBorder="1" applyAlignment="1">
      <alignment horizontal="center" vertical="center" wrapText="1"/>
    </xf>
    <xf numFmtId="0" fontId="39" fillId="78" borderId="70" xfId="0" applyFont="1" applyFill="1" applyBorder="1" applyAlignment="1">
      <alignment horizontal="center" vertical="center" wrapText="1"/>
    </xf>
    <xf numFmtId="0" fontId="39" fillId="78" borderId="120" xfId="0" applyFont="1" applyFill="1" applyBorder="1" applyAlignment="1">
      <alignment horizontal="center" vertical="center" wrapText="1"/>
    </xf>
    <xf numFmtId="0" fontId="39" fillId="78" borderId="72" xfId="0" applyFont="1" applyFill="1" applyBorder="1" applyAlignment="1">
      <alignment horizontal="center" vertical="center" wrapText="1"/>
    </xf>
    <xf numFmtId="0" fontId="0" fillId="0" borderId="70" xfId="0" applyFill="1" applyBorder="1" applyAlignment="1">
      <alignment horizontal="center" vertical="center" wrapText="1"/>
    </xf>
    <xf numFmtId="0" fontId="0" fillId="0" borderId="120" xfId="0" applyFill="1" applyBorder="1" applyAlignment="1">
      <alignment horizontal="center" vertical="center" wrapText="1"/>
    </xf>
    <xf numFmtId="0" fontId="0" fillId="0" borderId="72" xfId="0" applyFill="1" applyBorder="1" applyAlignment="1">
      <alignment horizontal="center" vertical="center" wrapText="1"/>
    </xf>
    <xf numFmtId="0" fontId="39" fillId="78" borderId="57" xfId="0" applyFont="1" applyFill="1" applyBorder="1" applyAlignment="1">
      <alignment horizontal="left" wrapText="1"/>
    </xf>
    <xf numFmtId="0" fontId="59" fillId="0" borderId="37" xfId="0" applyFont="1" applyBorder="1" applyAlignment="1">
      <alignment horizontal="center" wrapText="1"/>
    </xf>
    <xf numFmtId="0" fontId="59" fillId="0" borderId="38" xfId="0" applyFont="1" applyBorder="1" applyAlignment="1">
      <alignment horizontal="center" wrapText="1"/>
    </xf>
    <xf numFmtId="0" fontId="59" fillId="0" borderId="39" xfId="0" applyFont="1" applyBorder="1" applyAlignment="1">
      <alignment horizontal="center" wrapText="1"/>
    </xf>
    <xf numFmtId="0" fontId="59" fillId="0" borderId="15" xfId="0" applyFont="1" applyBorder="1" applyAlignment="1">
      <alignment horizontal="center" wrapText="1"/>
    </xf>
    <xf numFmtId="0" fontId="59" fillId="0" borderId="0" xfId="0" applyFont="1" applyAlignment="1">
      <alignment horizontal="center" wrapText="1"/>
    </xf>
    <xf numFmtId="0" fontId="59" fillId="0" borderId="60" xfId="0" applyFont="1" applyBorder="1" applyAlignment="1">
      <alignment horizontal="center" wrapText="1"/>
    </xf>
    <xf numFmtId="0" fontId="37" fillId="78" borderId="70" xfId="0" applyFont="1" applyFill="1" applyBorder="1" applyAlignment="1">
      <alignment horizontal="left" vertical="center" wrapText="1"/>
    </xf>
    <xf numFmtId="0" fontId="37" fillId="78" borderId="120" xfId="0" applyFont="1" applyFill="1" applyBorder="1" applyAlignment="1">
      <alignment horizontal="left" vertical="center" wrapText="1"/>
    </xf>
    <xf numFmtId="0" fontId="37" fillId="78" borderId="72" xfId="0" applyFont="1" applyFill="1" applyBorder="1" applyAlignment="1">
      <alignment horizontal="left" vertical="center" wrapText="1"/>
    </xf>
    <xf numFmtId="0" fontId="59" fillId="78" borderId="57" xfId="0" applyFont="1" applyFill="1" applyBorder="1" applyAlignment="1">
      <alignment horizontal="left" wrapText="1"/>
    </xf>
    <xf numFmtId="0" fontId="39" fillId="0" borderId="13" xfId="0" applyFont="1" applyBorder="1" applyAlignment="1">
      <alignment horizontal="left" wrapText="1"/>
    </xf>
    <xf numFmtId="0" fontId="39" fillId="0" borderId="16" xfId="0" applyFont="1" applyBorder="1" applyAlignment="1">
      <alignment horizontal="left" wrapText="1"/>
    </xf>
    <xf numFmtId="0" fontId="39" fillId="0" borderId="11" xfId="0" applyFont="1" applyBorder="1" applyAlignment="1">
      <alignment horizontal="left" wrapText="1"/>
    </xf>
    <xf numFmtId="0" fontId="59" fillId="78" borderId="13" xfId="0" applyFont="1" applyFill="1" applyBorder="1" applyAlignment="1">
      <alignment horizontal="left" wrapText="1"/>
    </xf>
    <xf numFmtId="0" fontId="59" fillId="78" borderId="16" xfId="0" applyFont="1" applyFill="1" applyBorder="1" applyAlignment="1">
      <alignment horizontal="left" wrapText="1"/>
    </xf>
    <xf numFmtId="0" fontId="59" fillId="78" borderId="123" xfId="0" applyFont="1" applyFill="1" applyBorder="1" applyAlignment="1">
      <alignment horizontal="left" wrapText="1"/>
    </xf>
    <xf numFmtId="0" fontId="193" fillId="0" borderId="13" xfId="0" applyFont="1" applyBorder="1" applyAlignment="1">
      <alignment horizontal="center" vertical="center"/>
    </xf>
    <xf numFmtId="0" fontId="193" fillId="0" borderId="16" xfId="0" applyFont="1" applyBorder="1" applyAlignment="1">
      <alignment horizontal="center" vertical="center"/>
    </xf>
    <xf numFmtId="0" fontId="193" fillId="0" borderId="11" xfId="0" applyFont="1" applyBorder="1" applyAlignment="1">
      <alignment horizontal="center" vertical="center"/>
    </xf>
    <xf numFmtId="0" fontId="59" fillId="34" borderId="13" xfId="0" applyFont="1" applyFill="1" applyBorder="1" applyAlignment="1">
      <alignment horizontal="center" vertical="center" wrapText="1"/>
    </xf>
    <xf numFmtId="0" fontId="59" fillId="34" borderId="16" xfId="0" applyFont="1" applyFill="1" applyBorder="1" applyAlignment="1">
      <alignment horizontal="center" vertical="center" wrapText="1"/>
    </xf>
    <xf numFmtId="0" fontId="59" fillId="34" borderId="11" xfId="0" applyFont="1" applyFill="1" applyBorder="1" applyAlignment="1">
      <alignment horizontal="center" vertical="center" wrapText="1"/>
    </xf>
    <xf numFmtId="0" fontId="39" fillId="78" borderId="57" xfId="0" applyFont="1" applyFill="1" applyBorder="1" applyAlignment="1">
      <alignment horizontal="left" vertical="center" wrapText="1"/>
    </xf>
    <xf numFmtId="0" fontId="59" fillId="78" borderId="11" xfId="0" applyFont="1" applyFill="1" applyBorder="1" applyAlignment="1">
      <alignment horizontal="left" wrapText="1"/>
    </xf>
    <xf numFmtId="0" fontId="39" fillId="78" borderId="106" xfId="0" applyFont="1" applyFill="1" applyBorder="1" applyAlignment="1">
      <alignment horizontal="left" wrapText="1"/>
    </xf>
    <xf numFmtId="0" fontId="39" fillId="78" borderId="102" xfId="0" applyFont="1" applyFill="1" applyBorder="1" applyAlignment="1">
      <alignment horizontal="left" wrapText="1"/>
    </xf>
    <xf numFmtId="0" fontId="0" fillId="78" borderId="79" xfId="0" applyFont="1" applyFill="1" applyBorder="1" applyAlignment="1">
      <alignment horizontal="center"/>
    </xf>
    <xf numFmtId="0" fontId="0" fillId="78" borderId="80" xfId="0" applyFont="1" applyFill="1" applyBorder="1" applyAlignment="1">
      <alignment horizontal="center"/>
    </xf>
    <xf numFmtId="0" fontId="49" fillId="73" borderId="10" xfId="0" applyFont="1" applyFill="1" applyBorder="1" applyAlignment="1">
      <alignment horizontal="center" vertical="center" wrapText="1"/>
    </xf>
    <xf numFmtId="0" fontId="46" fillId="73" borderId="10" xfId="0" applyFont="1" applyFill="1" applyBorder="1" applyAlignment="1">
      <alignment horizontal="center" vertical="center" wrapText="1"/>
    </xf>
    <xf numFmtId="0" fontId="46" fillId="73" borderId="83" xfId="0" applyFont="1" applyFill="1" applyBorder="1" applyAlignment="1">
      <alignment horizontal="center" vertical="center" wrapText="1"/>
    </xf>
    <xf numFmtId="0" fontId="0" fillId="73" borderId="10" xfId="0" applyFont="1" applyFill="1" applyBorder="1" applyAlignment="1">
      <alignment horizontal="center" vertical="center"/>
    </xf>
    <xf numFmtId="0" fontId="161" fillId="73" borderId="74" xfId="0" applyFont="1" applyFill="1" applyBorder="1" applyAlignment="1">
      <alignment horizontal="center" vertical="center" wrapText="1"/>
    </xf>
    <xf numFmtId="0" fontId="161" fillId="73" borderId="0" xfId="0" applyFont="1" applyFill="1" applyBorder="1" applyAlignment="1">
      <alignment horizontal="center" vertical="center" wrapText="1"/>
    </xf>
    <xf numFmtId="0" fontId="162" fillId="73" borderId="107" xfId="0" applyFont="1" applyFill="1" applyBorder="1" applyAlignment="1">
      <alignment horizontal="center" vertical="center" wrapText="1"/>
    </xf>
    <xf numFmtId="0" fontId="162" fillId="73" borderId="108" xfId="0" applyFont="1" applyFill="1" applyBorder="1" applyAlignment="1">
      <alignment horizontal="center" vertical="center" wrapText="1"/>
    </xf>
    <xf numFmtId="0" fontId="53" fillId="0" borderId="0" xfId="682" applyFont="1" applyAlignment="1">
      <alignment horizontal="left" wrapText="1"/>
    </xf>
    <xf numFmtId="0" fontId="170" fillId="27" borderId="0" xfId="682" applyFont="1" applyFill="1" applyAlignment="1">
      <alignment horizontal="left" vertical="center" wrapText="1"/>
    </xf>
    <xf numFmtId="0" fontId="167" fillId="0" borderId="0" xfId="682" applyFont="1" applyAlignment="1">
      <alignment horizontal="center" vertical="center"/>
    </xf>
    <xf numFmtId="0" fontId="39" fillId="27" borderId="0" xfId="682" applyFont="1" applyFill="1" applyAlignment="1">
      <alignment horizontal="left" wrapText="1"/>
    </xf>
    <xf numFmtId="0" fontId="45" fillId="0" borderId="0" xfId="30099" applyFont="1" applyAlignment="1">
      <alignment horizontal="left" vertical="top" wrapText="1" indent="1"/>
    </xf>
    <xf numFmtId="0" fontId="45" fillId="0" borderId="0" xfId="30099" applyFont="1" applyAlignment="1">
      <alignment horizontal="left" vertical="top" wrapText="1" indent="5"/>
    </xf>
    <xf numFmtId="0" fontId="45" fillId="0" borderId="0" xfId="30099" applyFont="1" applyAlignment="1">
      <alignment horizontal="center" vertical="top" wrapText="1"/>
    </xf>
    <xf numFmtId="0" fontId="45" fillId="0" borderId="0" xfId="30099" applyFont="1" applyAlignment="1">
      <alignment horizontal="left" vertical="top" wrapText="1" indent="4"/>
    </xf>
    <xf numFmtId="0" fontId="45" fillId="0" borderId="0" xfId="30099" applyFont="1" applyAlignment="1">
      <alignment horizontal="left" vertical="top" wrapText="1" indent="8"/>
    </xf>
    <xf numFmtId="0" fontId="45" fillId="0" borderId="0" xfId="30099" applyFont="1" applyAlignment="1">
      <alignment horizontal="left" vertical="center" wrapText="1" indent="1"/>
    </xf>
    <xf numFmtId="0" fontId="45" fillId="0" borderId="37" xfId="26000" applyFont="1" applyBorder="1" applyAlignment="1" applyProtection="1">
      <alignment horizontal="left" vertical="top" wrapText="1"/>
    </xf>
    <xf numFmtId="0" fontId="45" fillId="0" borderId="38" xfId="26000" applyFont="1" applyBorder="1" applyAlignment="1" applyProtection="1">
      <alignment horizontal="left" vertical="top" wrapText="1"/>
    </xf>
    <xf numFmtId="0" fontId="45" fillId="0" borderId="39" xfId="26000" applyFont="1" applyBorder="1" applyAlignment="1" applyProtection="1">
      <alignment horizontal="left" vertical="top" wrapText="1"/>
    </xf>
    <xf numFmtId="0" fontId="45" fillId="0" borderId="15" xfId="26000" applyFont="1" applyBorder="1" applyAlignment="1" applyProtection="1">
      <alignment horizontal="left" vertical="top" wrapText="1"/>
    </xf>
    <xf numFmtId="0" fontId="45" fillId="0" borderId="0" xfId="26000" applyFont="1" applyAlignment="1" applyProtection="1">
      <alignment horizontal="left" vertical="top" wrapText="1"/>
    </xf>
    <xf numFmtId="0" fontId="45" fillId="0" borderId="60" xfId="26000" applyFont="1" applyBorder="1" applyAlignment="1" applyProtection="1">
      <alignment horizontal="left" vertical="top" wrapText="1"/>
    </xf>
    <xf numFmtId="0" fontId="45" fillId="0" borderId="40" xfId="26000" applyFont="1" applyBorder="1" applyAlignment="1" applyProtection="1">
      <alignment horizontal="left" vertical="top" wrapText="1"/>
    </xf>
    <xf numFmtId="0" fontId="45" fillId="0" borderId="41" xfId="26000" applyFont="1" applyBorder="1" applyAlignment="1" applyProtection="1">
      <alignment horizontal="left" vertical="top" wrapText="1"/>
    </xf>
    <xf numFmtId="0" fontId="45" fillId="0" borderId="42" xfId="26000" applyFont="1" applyBorder="1" applyAlignment="1" applyProtection="1">
      <alignment horizontal="left" vertical="top" wrapText="1"/>
    </xf>
    <xf numFmtId="0" fontId="59" fillId="0" borderId="0" xfId="26000" applyFont="1" applyAlignment="1" applyProtection="1">
      <alignment horizontal="center" vertical="top"/>
    </xf>
    <xf numFmtId="0" fontId="59" fillId="0" borderId="0" xfId="26000" applyFont="1" applyAlignment="1" applyProtection="1">
      <alignment horizontal="center" vertical="top" wrapText="1"/>
    </xf>
    <xf numFmtId="0" fontId="164" fillId="0" borderId="73" xfId="26000" applyFont="1" applyBorder="1" applyAlignment="1" applyProtection="1">
      <alignment horizontal="left" vertical="top" wrapText="1"/>
    </xf>
    <xf numFmtId="0" fontId="164" fillId="0" borderId="74" xfId="26000" applyFont="1" applyBorder="1" applyAlignment="1" applyProtection="1">
      <alignment horizontal="left" vertical="top" wrapText="1"/>
    </xf>
    <xf numFmtId="0" fontId="164" fillId="0" borderId="75" xfId="26000" applyFont="1" applyBorder="1" applyAlignment="1" applyProtection="1">
      <alignment horizontal="left" vertical="top" wrapText="1"/>
    </xf>
    <xf numFmtId="0" fontId="164" fillId="0" borderId="22" xfId="26000" applyFont="1" applyBorder="1" applyAlignment="1" applyProtection="1">
      <alignment horizontal="left" vertical="top" wrapText="1"/>
    </xf>
    <xf numFmtId="0" fontId="164" fillId="0" borderId="0" xfId="26000" applyFont="1" applyAlignment="1" applyProtection="1">
      <alignment horizontal="left" vertical="top" wrapText="1"/>
    </xf>
    <xf numFmtId="0" fontId="164" fillId="0" borderId="56" xfId="26000" applyFont="1" applyBorder="1" applyAlignment="1" applyProtection="1">
      <alignment horizontal="left" vertical="top" wrapText="1"/>
    </xf>
    <xf numFmtId="0" fontId="164" fillId="0" borderId="76" xfId="26000" applyFont="1" applyBorder="1" applyAlignment="1" applyProtection="1">
      <alignment horizontal="left" vertical="top" wrapText="1"/>
    </xf>
    <xf numFmtId="0" fontId="164" fillId="0" borderId="17" xfId="26000" applyFont="1" applyBorder="1" applyAlignment="1" applyProtection="1">
      <alignment horizontal="left" vertical="top" wrapText="1"/>
    </xf>
    <xf numFmtId="0" fontId="164" fillId="0" borderId="77" xfId="26000" applyFont="1" applyBorder="1" applyAlignment="1" applyProtection="1">
      <alignment horizontal="left" vertical="top" wrapText="1"/>
    </xf>
    <xf numFmtId="0" fontId="59" fillId="0" borderId="41" xfId="26000" applyFont="1" applyBorder="1" applyAlignment="1" applyProtection="1">
      <alignment horizontal="left"/>
    </xf>
  </cellXfs>
  <cellStyles count="31723">
    <cellStyle name="20% - Accent1" xfId="29487" builtinId="30" customBuiltin="1"/>
    <cellStyle name="20% - Accent1 2" xfId="29499" xr:uid="{B4D97588-4E6D-4F66-9660-485579464908}"/>
    <cellStyle name="20% - Accent2" xfId="29489" builtinId="34" customBuiltin="1"/>
    <cellStyle name="20% - Accent2 2" xfId="29500" xr:uid="{35B0F212-66A1-472C-9A01-199A3F0DF76E}"/>
    <cellStyle name="20% - Accent3" xfId="29491" builtinId="38" customBuiltin="1"/>
    <cellStyle name="20% - Accent3 2" xfId="29501" xr:uid="{96A9D8D9-2163-4871-AD2A-E6FAD8327E91}"/>
    <cellStyle name="20% - Accent4" xfId="29493" builtinId="42" customBuiltin="1"/>
    <cellStyle name="20% - Accent4 2" xfId="29502" xr:uid="{85AD3608-5EC0-473E-ABF2-FE57FA5CFC47}"/>
    <cellStyle name="20% - Accent5" xfId="29495" builtinId="46" customBuiltin="1"/>
    <cellStyle name="20% - Accent5 2" xfId="29503" xr:uid="{2FAF7B59-7AF2-4277-AFB8-4CED4BCD4AA4}"/>
    <cellStyle name="20% - Accent6" xfId="29497" builtinId="50" customBuiltin="1"/>
    <cellStyle name="20% - Accent6 2" xfId="29504" xr:uid="{FD542BF9-873D-4C28-BB47-353BB6433DA7}"/>
    <cellStyle name="40% - Accent1" xfId="29488" builtinId="31" customBuiltin="1"/>
    <cellStyle name="40% - Accent1 2" xfId="29505" xr:uid="{0AA31246-28F2-4031-B39E-24F57F4DDC66}"/>
    <cellStyle name="40% - Accent2" xfId="29490" builtinId="35" customBuiltin="1"/>
    <cellStyle name="40% - Accent2 2" xfId="29506" xr:uid="{0339A947-B4EF-413F-9CAB-D0CABA162D0E}"/>
    <cellStyle name="40% - Accent3" xfId="29492" builtinId="39" customBuiltin="1"/>
    <cellStyle name="40% - Accent3 2" xfId="29507" xr:uid="{CE323443-EBFB-44AC-8BFD-1096489AD057}"/>
    <cellStyle name="40% - Accent4" xfId="29494" builtinId="43" customBuiltin="1"/>
    <cellStyle name="40% - Accent4 2" xfId="29508" xr:uid="{1DDF968D-ECA9-419B-B4EF-BD60D065FFB9}"/>
    <cellStyle name="40% - Accent5" xfId="29496" builtinId="47" customBuiltin="1"/>
    <cellStyle name="40% - Accent5 2" xfId="29509" xr:uid="{02D52EC3-9136-44C4-ABDC-79A2B992ECE6}"/>
    <cellStyle name="40% - Accent6" xfId="29498" builtinId="51" customBuiltin="1"/>
    <cellStyle name="40% - Accent6 2" xfId="29510" xr:uid="{7AB5FB25-D096-4925-8629-B2984C52A4A8}"/>
    <cellStyle name="60% - Accent1 2" xfId="29512" xr:uid="{7BFD2628-E072-4C2E-A30D-99A65338F113}"/>
    <cellStyle name="60% - Accent1 3" xfId="29511" xr:uid="{BA6653BC-E10F-49F1-922C-B37BD20BEE19}"/>
    <cellStyle name="60% - Accent2 2" xfId="29514" xr:uid="{B882DD0F-CF38-4110-A0B9-6D557E839E6F}"/>
    <cellStyle name="60% - Accent2 3" xfId="29513" xr:uid="{DBBEE3D1-BAA2-420D-AAD0-54977FAFD7AB}"/>
    <cellStyle name="60% - Accent3 2" xfId="29516" xr:uid="{B675D886-1249-408E-9624-ACBD29CE5E3B}"/>
    <cellStyle name="60% - Accent3 3" xfId="29515" xr:uid="{FFB5D201-005A-462D-82FC-535C7CE075BC}"/>
    <cellStyle name="60% - Accent4 2" xfId="29518" xr:uid="{CED353FE-23B8-41C5-8DF6-5B6EF71C5850}"/>
    <cellStyle name="60% - Accent4 3" xfId="29517" xr:uid="{70AF2E1E-CEC4-4808-B667-18848E7B237D}"/>
    <cellStyle name="60% - Accent5 2" xfId="29520" xr:uid="{24EFBFA3-A241-4B03-9CF7-1D6C9FDB8D68}"/>
    <cellStyle name="60% - Accent5 3" xfId="29519" xr:uid="{2FF37EA9-BACD-426F-A9D1-CB53E08211DE}"/>
    <cellStyle name="60% - Accent6 2" xfId="29522" xr:uid="{9E87C1BF-4265-43A7-B9CC-CEB53C8178E0}"/>
    <cellStyle name="60% - Accent6 3" xfId="29521" xr:uid="{ADE31EA4-598F-40AE-8C52-523F301B9003}"/>
    <cellStyle name="Accent1" xfId="4840" builtinId="29" customBuiltin="1"/>
    <cellStyle name="Accent1 - 20%" xfId="1" xr:uid="{00000000-0005-0000-0000-000000000000}"/>
    <cellStyle name="Accent1 - 20% 2" xfId="2" xr:uid="{00000000-0005-0000-0000-000001000000}"/>
    <cellStyle name="Accent1 - 40%" xfId="3" xr:uid="{00000000-0005-0000-0000-000002000000}"/>
    <cellStyle name="Accent1 - 40% 2" xfId="4" xr:uid="{00000000-0005-0000-0000-000003000000}"/>
    <cellStyle name="Accent1 - 60%" xfId="5" xr:uid="{00000000-0005-0000-0000-000004000000}"/>
    <cellStyle name="Accent1 10" xfId="6" xr:uid="{00000000-0005-0000-0000-000005000000}"/>
    <cellStyle name="Accent1 11" xfId="7" xr:uid="{00000000-0005-0000-0000-000006000000}"/>
    <cellStyle name="Accent1 12" xfId="8" xr:uid="{00000000-0005-0000-0000-000007000000}"/>
    <cellStyle name="Accent1 13" xfId="9" xr:uid="{00000000-0005-0000-0000-000008000000}"/>
    <cellStyle name="Accent1 14" xfId="10" xr:uid="{00000000-0005-0000-0000-000009000000}"/>
    <cellStyle name="Accent1 15" xfId="11" xr:uid="{00000000-0005-0000-0000-00000A000000}"/>
    <cellStyle name="Accent1 16" xfId="12" xr:uid="{00000000-0005-0000-0000-00000B000000}"/>
    <cellStyle name="Accent1 17" xfId="13" xr:uid="{00000000-0005-0000-0000-00000C000000}"/>
    <cellStyle name="Accent1 18" xfId="14" xr:uid="{00000000-0005-0000-0000-00000D000000}"/>
    <cellStyle name="Accent1 19" xfId="15" xr:uid="{00000000-0005-0000-0000-00000E000000}"/>
    <cellStyle name="Accent1 2" xfId="16" xr:uid="{00000000-0005-0000-0000-00000F000000}"/>
    <cellStyle name="Accent1 20" xfId="17" xr:uid="{00000000-0005-0000-0000-000010000000}"/>
    <cellStyle name="Accent1 21" xfId="18" xr:uid="{00000000-0005-0000-0000-000011000000}"/>
    <cellStyle name="Accent1 22" xfId="19" xr:uid="{00000000-0005-0000-0000-000012000000}"/>
    <cellStyle name="Accent1 23" xfId="20" xr:uid="{00000000-0005-0000-0000-000013000000}"/>
    <cellStyle name="Accent1 24" xfId="21" xr:uid="{00000000-0005-0000-0000-000014000000}"/>
    <cellStyle name="Accent1 25" xfId="22" xr:uid="{00000000-0005-0000-0000-000015000000}"/>
    <cellStyle name="Accent1 26" xfId="23" xr:uid="{00000000-0005-0000-0000-000016000000}"/>
    <cellStyle name="Accent1 27" xfId="24" xr:uid="{00000000-0005-0000-0000-000017000000}"/>
    <cellStyle name="Accent1 28" xfId="25" xr:uid="{00000000-0005-0000-0000-000018000000}"/>
    <cellStyle name="Accent1 29" xfId="26" xr:uid="{00000000-0005-0000-0000-000019000000}"/>
    <cellStyle name="Accent1 3" xfId="27" xr:uid="{00000000-0005-0000-0000-00001A000000}"/>
    <cellStyle name="Accent1 30" xfId="28" xr:uid="{00000000-0005-0000-0000-00001B000000}"/>
    <cellStyle name="Accent1 31" xfId="29" xr:uid="{00000000-0005-0000-0000-00001C000000}"/>
    <cellStyle name="Accent1 32" xfId="30" xr:uid="{00000000-0005-0000-0000-00001D000000}"/>
    <cellStyle name="Accent1 33" xfId="31" xr:uid="{00000000-0005-0000-0000-00001E000000}"/>
    <cellStyle name="Accent1 34" xfId="32" xr:uid="{00000000-0005-0000-0000-00001F000000}"/>
    <cellStyle name="Accent1 35" xfId="33" xr:uid="{00000000-0005-0000-0000-000020000000}"/>
    <cellStyle name="Accent1 35 2" xfId="29523" xr:uid="{9FFF7FF5-1157-4607-AB6B-BA41FCEAE106}"/>
    <cellStyle name="Accent1 36" xfId="34" xr:uid="{00000000-0005-0000-0000-000021000000}"/>
    <cellStyle name="Accent1 36 2" xfId="29524" xr:uid="{E3B298BA-9708-4B04-A4D8-5CCF3FB056F4}"/>
    <cellStyle name="Accent1 37" xfId="35" xr:uid="{00000000-0005-0000-0000-000022000000}"/>
    <cellStyle name="Accent1 38" xfId="36" xr:uid="{00000000-0005-0000-0000-000023000000}"/>
    <cellStyle name="Accent1 39" xfId="37" xr:uid="{00000000-0005-0000-0000-000024000000}"/>
    <cellStyle name="Accent1 4" xfId="38" xr:uid="{00000000-0005-0000-0000-000025000000}"/>
    <cellStyle name="Accent1 40" xfId="39" xr:uid="{00000000-0005-0000-0000-000026000000}"/>
    <cellStyle name="Accent1 41" xfId="40" xr:uid="{00000000-0005-0000-0000-000027000000}"/>
    <cellStyle name="Accent1 42" xfId="41" xr:uid="{00000000-0005-0000-0000-000028000000}"/>
    <cellStyle name="Accent1 43" xfId="42" xr:uid="{00000000-0005-0000-0000-000029000000}"/>
    <cellStyle name="Accent1 44" xfId="43" xr:uid="{00000000-0005-0000-0000-00002A000000}"/>
    <cellStyle name="Accent1 45" xfId="44" xr:uid="{00000000-0005-0000-0000-00002B000000}"/>
    <cellStyle name="Accent1 46" xfId="45" xr:uid="{00000000-0005-0000-0000-00002C000000}"/>
    <cellStyle name="Accent1 47" xfId="46" xr:uid="{00000000-0005-0000-0000-00002D000000}"/>
    <cellStyle name="Accent1 48" xfId="47" xr:uid="{00000000-0005-0000-0000-00002E000000}"/>
    <cellStyle name="Accent1 49" xfId="48" xr:uid="{00000000-0005-0000-0000-00002F000000}"/>
    <cellStyle name="Accent1 5" xfId="49" xr:uid="{00000000-0005-0000-0000-000030000000}"/>
    <cellStyle name="Accent1 50" xfId="50" xr:uid="{00000000-0005-0000-0000-000031000000}"/>
    <cellStyle name="Accent1 51" xfId="51" xr:uid="{00000000-0005-0000-0000-000032000000}"/>
    <cellStyle name="Accent1 52" xfId="52" xr:uid="{00000000-0005-0000-0000-000033000000}"/>
    <cellStyle name="Accent1 53" xfId="53" xr:uid="{00000000-0005-0000-0000-000034000000}"/>
    <cellStyle name="Accent1 54" xfId="54" xr:uid="{00000000-0005-0000-0000-000035000000}"/>
    <cellStyle name="Accent1 55" xfId="55" xr:uid="{00000000-0005-0000-0000-000036000000}"/>
    <cellStyle name="Accent1 56" xfId="56" xr:uid="{00000000-0005-0000-0000-000037000000}"/>
    <cellStyle name="Accent1 57" xfId="57" xr:uid="{00000000-0005-0000-0000-000038000000}"/>
    <cellStyle name="Accent1 58" xfId="58" xr:uid="{00000000-0005-0000-0000-000039000000}"/>
    <cellStyle name="Accent1 59" xfId="59" xr:uid="{00000000-0005-0000-0000-00003A000000}"/>
    <cellStyle name="Accent1 6" xfId="60" xr:uid="{00000000-0005-0000-0000-00003B000000}"/>
    <cellStyle name="Accent1 60" xfId="61" xr:uid="{00000000-0005-0000-0000-00003C000000}"/>
    <cellStyle name="Accent1 61" xfId="62" xr:uid="{00000000-0005-0000-0000-00003D000000}"/>
    <cellStyle name="Accent1 62" xfId="63" xr:uid="{00000000-0005-0000-0000-00003E000000}"/>
    <cellStyle name="Accent1 63" xfId="64" xr:uid="{00000000-0005-0000-0000-00003F000000}"/>
    <cellStyle name="Accent1 64" xfId="65" xr:uid="{00000000-0005-0000-0000-000040000000}"/>
    <cellStyle name="Accent1 65" xfId="66" xr:uid="{00000000-0005-0000-0000-000041000000}"/>
    <cellStyle name="Accent1 66" xfId="67" xr:uid="{00000000-0005-0000-0000-000042000000}"/>
    <cellStyle name="Accent1 67" xfId="68" xr:uid="{00000000-0005-0000-0000-000043000000}"/>
    <cellStyle name="Accent1 68" xfId="69" xr:uid="{00000000-0005-0000-0000-000044000000}"/>
    <cellStyle name="Accent1 69" xfId="22642" xr:uid="{081EF534-E64F-4523-85C5-C52D0496B0C3}"/>
    <cellStyle name="Accent1 7" xfId="70" xr:uid="{00000000-0005-0000-0000-000045000000}"/>
    <cellStyle name="Accent1 70" xfId="22942" xr:uid="{4DC46A14-6FD5-4703-B964-ECA4F0B990BA}"/>
    <cellStyle name="Accent1 71" xfId="23987" xr:uid="{88B3CE1F-60C4-438B-A98E-5663565F73D8}"/>
    <cellStyle name="Accent1 8" xfId="71" xr:uid="{00000000-0005-0000-0000-000046000000}"/>
    <cellStyle name="Accent1 9" xfId="72" xr:uid="{00000000-0005-0000-0000-000047000000}"/>
    <cellStyle name="Accent2" xfId="4841" builtinId="33" customBuiltin="1"/>
    <cellStyle name="Accent2 - 20%" xfId="73" xr:uid="{00000000-0005-0000-0000-000048000000}"/>
    <cellStyle name="Accent2 - 20% 2" xfId="74" xr:uid="{00000000-0005-0000-0000-000049000000}"/>
    <cellStyle name="Accent2 - 40%" xfId="75" xr:uid="{00000000-0005-0000-0000-00004A000000}"/>
    <cellStyle name="Accent2 - 40% 2" xfId="76" xr:uid="{00000000-0005-0000-0000-00004B000000}"/>
    <cellStyle name="Accent2 - 60%" xfId="77" xr:uid="{00000000-0005-0000-0000-00004C000000}"/>
    <cellStyle name="Accent2 10" xfId="78" xr:uid="{00000000-0005-0000-0000-00004D000000}"/>
    <cellStyle name="Accent2 11" xfId="79" xr:uid="{00000000-0005-0000-0000-00004E000000}"/>
    <cellStyle name="Accent2 12" xfId="80" xr:uid="{00000000-0005-0000-0000-00004F000000}"/>
    <cellStyle name="Accent2 13" xfId="81" xr:uid="{00000000-0005-0000-0000-000050000000}"/>
    <cellStyle name="Accent2 14" xfId="82" xr:uid="{00000000-0005-0000-0000-000051000000}"/>
    <cellStyle name="Accent2 15" xfId="83" xr:uid="{00000000-0005-0000-0000-000052000000}"/>
    <cellStyle name="Accent2 16" xfId="84" xr:uid="{00000000-0005-0000-0000-000053000000}"/>
    <cellStyle name="Accent2 17" xfId="85" xr:uid="{00000000-0005-0000-0000-000054000000}"/>
    <cellStyle name="Accent2 18" xfId="86" xr:uid="{00000000-0005-0000-0000-000055000000}"/>
    <cellStyle name="Accent2 19" xfId="87" xr:uid="{00000000-0005-0000-0000-000056000000}"/>
    <cellStyle name="Accent2 2" xfId="88" xr:uid="{00000000-0005-0000-0000-000057000000}"/>
    <cellStyle name="Accent2 20" xfId="89" xr:uid="{00000000-0005-0000-0000-000058000000}"/>
    <cellStyle name="Accent2 21" xfId="90" xr:uid="{00000000-0005-0000-0000-000059000000}"/>
    <cellStyle name="Accent2 22" xfId="91" xr:uid="{00000000-0005-0000-0000-00005A000000}"/>
    <cellStyle name="Accent2 23" xfId="92" xr:uid="{00000000-0005-0000-0000-00005B000000}"/>
    <cellStyle name="Accent2 24" xfId="93" xr:uid="{00000000-0005-0000-0000-00005C000000}"/>
    <cellStyle name="Accent2 25" xfId="94" xr:uid="{00000000-0005-0000-0000-00005D000000}"/>
    <cellStyle name="Accent2 26" xfId="95" xr:uid="{00000000-0005-0000-0000-00005E000000}"/>
    <cellStyle name="Accent2 27" xfId="96" xr:uid="{00000000-0005-0000-0000-00005F000000}"/>
    <cellStyle name="Accent2 28" xfId="97" xr:uid="{00000000-0005-0000-0000-000060000000}"/>
    <cellStyle name="Accent2 29" xfId="98" xr:uid="{00000000-0005-0000-0000-000061000000}"/>
    <cellStyle name="Accent2 3" xfId="99" xr:uid="{00000000-0005-0000-0000-000062000000}"/>
    <cellStyle name="Accent2 30" xfId="100" xr:uid="{00000000-0005-0000-0000-000063000000}"/>
    <cellStyle name="Accent2 31" xfId="101" xr:uid="{00000000-0005-0000-0000-000064000000}"/>
    <cellStyle name="Accent2 32" xfId="102" xr:uid="{00000000-0005-0000-0000-000065000000}"/>
    <cellStyle name="Accent2 33" xfId="103" xr:uid="{00000000-0005-0000-0000-000066000000}"/>
    <cellStyle name="Accent2 34" xfId="104" xr:uid="{00000000-0005-0000-0000-000067000000}"/>
    <cellStyle name="Accent2 35" xfId="105" xr:uid="{00000000-0005-0000-0000-000068000000}"/>
    <cellStyle name="Accent2 35 2" xfId="29525" xr:uid="{FA96348D-F8A4-4421-AC84-88F50463AE41}"/>
    <cellStyle name="Accent2 36" xfId="106" xr:uid="{00000000-0005-0000-0000-000069000000}"/>
    <cellStyle name="Accent2 36 2" xfId="29526" xr:uid="{86BE4F65-B181-4698-8143-0D4DAD8B01A3}"/>
    <cellStyle name="Accent2 37" xfId="107" xr:uid="{00000000-0005-0000-0000-00006A000000}"/>
    <cellStyle name="Accent2 38" xfId="108" xr:uid="{00000000-0005-0000-0000-00006B000000}"/>
    <cellStyle name="Accent2 39" xfId="109" xr:uid="{00000000-0005-0000-0000-00006C000000}"/>
    <cellStyle name="Accent2 4" xfId="110" xr:uid="{00000000-0005-0000-0000-00006D000000}"/>
    <cellStyle name="Accent2 40" xfId="111" xr:uid="{00000000-0005-0000-0000-00006E000000}"/>
    <cellStyle name="Accent2 41" xfId="112" xr:uid="{00000000-0005-0000-0000-00006F000000}"/>
    <cellStyle name="Accent2 42" xfId="113" xr:uid="{00000000-0005-0000-0000-000070000000}"/>
    <cellStyle name="Accent2 43" xfId="114" xr:uid="{00000000-0005-0000-0000-000071000000}"/>
    <cellStyle name="Accent2 44" xfId="115" xr:uid="{00000000-0005-0000-0000-000072000000}"/>
    <cellStyle name="Accent2 45" xfId="116" xr:uid="{00000000-0005-0000-0000-000073000000}"/>
    <cellStyle name="Accent2 46" xfId="117" xr:uid="{00000000-0005-0000-0000-000074000000}"/>
    <cellStyle name="Accent2 47" xfId="118" xr:uid="{00000000-0005-0000-0000-000075000000}"/>
    <cellStyle name="Accent2 48" xfId="119" xr:uid="{00000000-0005-0000-0000-000076000000}"/>
    <cellStyle name="Accent2 49" xfId="120" xr:uid="{00000000-0005-0000-0000-000077000000}"/>
    <cellStyle name="Accent2 5" xfId="121" xr:uid="{00000000-0005-0000-0000-000078000000}"/>
    <cellStyle name="Accent2 50" xfId="122" xr:uid="{00000000-0005-0000-0000-000079000000}"/>
    <cellStyle name="Accent2 51" xfId="123" xr:uid="{00000000-0005-0000-0000-00007A000000}"/>
    <cellStyle name="Accent2 52" xfId="124" xr:uid="{00000000-0005-0000-0000-00007B000000}"/>
    <cellStyle name="Accent2 53" xfId="125" xr:uid="{00000000-0005-0000-0000-00007C000000}"/>
    <cellStyle name="Accent2 54" xfId="126" xr:uid="{00000000-0005-0000-0000-00007D000000}"/>
    <cellStyle name="Accent2 55" xfId="127" xr:uid="{00000000-0005-0000-0000-00007E000000}"/>
    <cellStyle name="Accent2 56" xfId="128" xr:uid="{00000000-0005-0000-0000-00007F000000}"/>
    <cellStyle name="Accent2 57" xfId="129" xr:uid="{00000000-0005-0000-0000-000080000000}"/>
    <cellStyle name="Accent2 58" xfId="130" xr:uid="{00000000-0005-0000-0000-000081000000}"/>
    <cellStyle name="Accent2 59" xfId="131" xr:uid="{00000000-0005-0000-0000-000082000000}"/>
    <cellStyle name="Accent2 6" xfId="132" xr:uid="{00000000-0005-0000-0000-000083000000}"/>
    <cellStyle name="Accent2 60" xfId="133" xr:uid="{00000000-0005-0000-0000-000084000000}"/>
    <cellStyle name="Accent2 61" xfId="134" xr:uid="{00000000-0005-0000-0000-000085000000}"/>
    <cellStyle name="Accent2 62" xfId="135" xr:uid="{00000000-0005-0000-0000-000086000000}"/>
    <cellStyle name="Accent2 63" xfId="136" xr:uid="{00000000-0005-0000-0000-000087000000}"/>
    <cellStyle name="Accent2 64" xfId="137" xr:uid="{00000000-0005-0000-0000-000088000000}"/>
    <cellStyle name="Accent2 65" xfId="138" xr:uid="{00000000-0005-0000-0000-000089000000}"/>
    <cellStyle name="Accent2 66" xfId="139" xr:uid="{00000000-0005-0000-0000-00008A000000}"/>
    <cellStyle name="Accent2 67" xfId="140" xr:uid="{00000000-0005-0000-0000-00008B000000}"/>
    <cellStyle name="Accent2 68" xfId="141" xr:uid="{00000000-0005-0000-0000-00008C000000}"/>
    <cellStyle name="Accent2 69" xfId="24846" xr:uid="{5182FF0B-24DC-49CB-A283-39402094CB39}"/>
    <cellStyle name="Accent2 7" xfId="142" xr:uid="{00000000-0005-0000-0000-00008D000000}"/>
    <cellStyle name="Accent2 70" xfId="25154" xr:uid="{DB859796-D498-4E56-A125-E2DCDE4C795B}"/>
    <cellStyle name="Accent2 71" xfId="23714" xr:uid="{83A61C3E-87A1-4F6A-8122-B7A001AB4311}"/>
    <cellStyle name="Accent2 8" xfId="143" xr:uid="{00000000-0005-0000-0000-00008E000000}"/>
    <cellStyle name="Accent2 9" xfId="144" xr:uid="{00000000-0005-0000-0000-00008F000000}"/>
    <cellStyle name="Accent3" xfId="4842" builtinId="37" customBuiltin="1"/>
    <cellStyle name="Accent3 - 20%" xfId="145" xr:uid="{00000000-0005-0000-0000-000090000000}"/>
    <cellStyle name="Accent3 - 20% 2" xfId="146" xr:uid="{00000000-0005-0000-0000-000091000000}"/>
    <cellStyle name="Accent3 - 40%" xfId="147" xr:uid="{00000000-0005-0000-0000-000092000000}"/>
    <cellStyle name="Accent3 - 40% 2" xfId="148" xr:uid="{00000000-0005-0000-0000-000093000000}"/>
    <cellStyle name="Accent3 - 60%" xfId="149" xr:uid="{00000000-0005-0000-0000-000094000000}"/>
    <cellStyle name="Accent3 10" xfId="150" xr:uid="{00000000-0005-0000-0000-000095000000}"/>
    <cellStyle name="Accent3 11" xfId="151" xr:uid="{00000000-0005-0000-0000-000096000000}"/>
    <cellStyle name="Accent3 12" xfId="152" xr:uid="{00000000-0005-0000-0000-000097000000}"/>
    <cellStyle name="Accent3 13" xfId="153" xr:uid="{00000000-0005-0000-0000-000098000000}"/>
    <cellStyle name="Accent3 14" xfId="154" xr:uid="{00000000-0005-0000-0000-000099000000}"/>
    <cellStyle name="Accent3 15" xfId="155" xr:uid="{00000000-0005-0000-0000-00009A000000}"/>
    <cellStyle name="Accent3 16" xfId="156" xr:uid="{00000000-0005-0000-0000-00009B000000}"/>
    <cellStyle name="Accent3 17" xfId="157" xr:uid="{00000000-0005-0000-0000-00009C000000}"/>
    <cellStyle name="Accent3 18" xfId="158" xr:uid="{00000000-0005-0000-0000-00009D000000}"/>
    <cellStyle name="Accent3 19" xfId="159" xr:uid="{00000000-0005-0000-0000-00009E000000}"/>
    <cellStyle name="Accent3 2" xfId="160" xr:uid="{00000000-0005-0000-0000-00009F000000}"/>
    <cellStyle name="Accent3 20" xfId="161" xr:uid="{00000000-0005-0000-0000-0000A0000000}"/>
    <cellStyle name="Accent3 21" xfId="162" xr:uid="{00000000-0005-0000-0000-0000A1000000}"/>
    <cellStyle name="Accent3 22" xfId="163" xr:uid="{00000000-0005-0000-0000-0000A2000000}"/>
    <cellStyle name="Accent3 23" xfId="164" xr:uid="{00000000-0005-0000-0000-0000A3000000}"/>
    <cellStyle name="Accent3 24" xfId="165" xr:uid="{00000000-0005-0000-0000-0000A4000000}"/>
    <cellStyle name="Accent3 25" xfId="166" xr:uid="{00000000-0005-0000-0000-0000A5000000}"/>
    <cellStyle name="Accent3 26" xfId="167" xr:uid="{00000000-0005-0000-0000-0000A6000000}"/>
    <cellStyle name="Accent3 27" xfId="168" xr:uid="{00000000-0005-0000-0000-0000A7000000}"/>
    <cellStyle name="Accent3 28" xfId="169" xr:uid="{00000000-0005-0000-0000-0000A8000000}"/>
    <cellStyle name="Accent3 29" xfId="170" xr:uid="{00000000-0005-0000-0000-0000A9000000}"/>
    <cellStyle name="Accent3 3" xfId="171" xr:uid="{00000000-0005-0000-0000-0000AA000000}"/>
    <cellStyle name="Accent3 30" xfId="172" xr:uid="{00000000-0005-0000-0000-0000AB000000}"/>
    <cellStyle name="Accent3 31" xfId="173" xr:uid="{00000000-0005-0000-0000-0000AC000000}"/>
    <cellStyle name="Accent3 32" xfId="174" xr:uid="{00000000-0005-0000-0000-0000AD000000}"/>
    <cellStyle name="Accent3 33" xfId="175" xr:uid="{00000000-0005-0000-0000-0000AE000000}"/>
    <cellStyle name="Accent3 34" xfId="176" xr:uid="{00000000-0005-0000-0000-0000AF000000}"/>
    <cellStyle name="Accent3 35" xfId="177" xr:uid="{00000000-0005-0000-0000-0000B0000000}"/>
    <cellStyle name="Accent3 35 2" xfId="29527" xr:uid="{6D42C670-79BA-41D0-B5D2-B979219AF29B}"/>
    <cellStyle name="Accent3 36" xfId="178" xr:uid="{00000000-0005-0000-0000-0000B1000000}"/>
    <cellStyle name="Accent3 36 2" xfId="29528" xr:uid="{A5BB00BC-45FA-42BC-B4A9-6B9EE11739A5}"/>
    <cellStyle name="Accent3 37" xfId="179" xr:uid="{00000000-0005-0000-0000-0000B2000000}"/>
    <cellStyle name="Accent3 38" xfId="180" xr:uid="{00000000-0005-0000-0000-0000B3000000}"/>
    <cellStyle name="Accent3 39" xfId="181" xr:uid="{00000000-0005-0000-0000-0000B4000000}"/>
    <cellStyle name="Accent3 4" xfId="182" xr:uid="{00000000-0005-0000-0000-0000B5000000}"/>
    <cellStyle name="Accent3 40" xfId="183" xr:uid="{00000000-0005-0000-0000-0000B6000000}"/>
    <cellStyle name="Accent3 41" xfId="184" xr:uid="{00000000-0005-0000-0000-0000B7000000}"/>
    <cellStyle name="Accent3 42" xfId="185" xr:uid="{00000000-0005-0000-0000-0000B8000000}"/>
    <cellStyle name="Accent3 43" xfId="186" xr:uid="{00000000-0005-0000-0000-0000B9000000}"/>
    <cellStyle name="Accent3 44" xfId="187" xr:uid="{00000000-0005-0000-0000-0000BA000000}"/>
    <cellStyle name="Accent3 45" xfId="188" xr:uid="{00000000-0005-0000-0000-0000BB000000}"/>
    <cellStyle name="Accent3 46" xfId="189" xr:uid="{00000000-0005-0000-0000-0000BC000000}"/>
    <cellStyle name="Accent3 47" xfId="190" xr:uid="{00000000-0005-0000-0000-0000BD000000}"/>
    <cellStyle name="Accent3 48" xfId="191" xr:uid="{00000000-0005-0000-0000-0000BE000000}"/>
    <cellStyle name="Accent3 49" xfId="192" xr:uid="{00000000-0005-0000-0000-0000BF000000}"/>
    <cellStyle name="Accent3 5" xfId="193" xr:uid="{00000000-0005-0000-0000-0000C0000000}"/>
    <cellStyle name="Accent3 50" xfId="194" xr:uid="{00000000-0005-0000-0000-0000C1000000}"/>
    <cellStyle name="Accent3 51" xfId="195" xr:uid="{00000000-0005-0000-0000-0000C2000000}"/>
    <cellStyle name="Accent3 52" xfId="196" xr:uid="{00000000-0005-0000-0000-0000C3000000}"/>
    <cellStyle name="Accent3 53" xfId="197" xr:uid="{00000000-0005-0000-0000-0000C4000000}"/>
    <cellStyle name="Accent3 54" xfId="198" xr:uid="{00000000-0005-0000-0000-0000C5000000}"/>
    <cellStyle name="Accent3 55" xfId="199" xr:uid="{00000000-0005-0000-0000-0000C6000000}"/>
    <cellStyle name="Accent3 56" xfId="200" xr:uid="{00000000-0005-0000-0000-0000C7000000}"/>
    <cellStyle name="Accent3 57" xfId="201" xr:uid="{00000000-0005-0000-0000-0000C8000000}"/>
    <cellStyle name="Accent3 58" xfId="202" xr:uid="{00000000-0005-0000-0000-0000C9000000}"/>
    <cellStyle name="Accent3 59" xfId="203" xr:uid="{00000000-0005-0000-0000-0000CA000000}"/>
    <cellStyle name="Accent3 6" xfId="204" xr:uid="{00000000-0005-0000-0000-0000CB000000}"/>
    <cellStyle name="Accent3 60" xfId="205" xr:uid="{00000000-0005-0000-0000-0000CC000000}"/>
    <cellStyle name="Accent3 61" xfId="206" xr:uid="{00000000-0005-0000-0000-0000CD000000}"/>
    <cellStyle name="Accent3 62" xfId="207" xr:uid="{00000000-0005-0000-0000-0000CE000000}"/>
    <cellStyle name="Accent3 63" xfId="208" xr:uid="{00000000-0005-0000-0000-0000CF000000}"/>
    <cellStyle name="Accent3 64" xfId="209" xr:uid="{00000000-0005-0000-0000-0000D0000000}"/>
    <cellStyle name="Accent3 65" xfId="210" xr:uid="{00000000-0005-0000-0000-0000D1000000}"/>
    <cellStyle name="Accent3 66" xfId="211" xr:uid="{00000000-0005-0000-0000-0000D2000000}"/>
    <cellStyle name="Accent3 67" xfId="212" xr:uid="{00000000-0005-0000-0000-0000D3000000}"/>
    <cellStyle name="Accent3 68" xfId="213" xr:uid="{00000000-0005-0000-0000-0000D4000000}"/>
    <cellStyle name="Accent3 69" xfId="23406" xr:uid="{0A5F0C95-5616-4611-AF28-AA89E0277EF1}"/>
    <cellStyle name="Accent3 7" xfId="214" xr:uid="{00000000-0005-0000-0000-0000D5000000}"/>
    <cellStyle name="Accent3 70" xfId="25649" xr:uid="{E970874A-57B0-4CBC-9DC1-7D50C0AD51C2}"/>
    <cellStyle name="Accent3 71" xfId="25595" xr:uid="{AF994C2C-841D-49C9-8721-FA9396879B33}"/>
    <cellStyle name="Accent3 8" xfId="215" xr:uid="{00000000-0005-0000-0000-0000D6000000}"/>
    <cellStyle name="Accent3 9" xfId="216" xr:uid="{00000000-0005-0000-0000-0000D7000000}"/>
    <cellStyle name="Accent4" xfId="4843" builtinId="41" customBuiltin="1"/>
    <cellStyle name="Accent4 - 20%" xfId="217" xr:uid="{00000000-0005-0000-0000-0000D8000000}"/>
    <cellStyle name="Accent4 - 20% 2" xfId="218" xr:uid="{00000000-0005-0000-0000-0000D9000000}"/>
    <cellStyle name="Accent4 - 40%" xfId="219" xr:uid="{00000000-0005-0000-0000-0000DA000000}"/>
    <cellStyle name="Accent4 - 40% 2" xfId="220" xr:uid="{00000000-0005-0000-0000-0000DB000000}"/>
    <cellStyle name="Accent4 - 60%" xfId="221" xr:uid="{00000000-0005-0000-0000-0000DC000000}"/>
    <cellStyle name="Accent4 10" xfId="222" xr:uid="{00000000-0005-0000-0000-0000DD000000}"/>
    <cellStyle name="Accent4 11" xfId="223" xr:uid="{00000000-0005-0000-0000-0000DE000000}"/>
    <cellStyle name="Accent4 12" xfId="224" xr:uid="{00000000-0005-0000-0000-0000DF000000}"/>
    <cellStyle name="Accent4 13" xfId="225" xr:uid="{00000000-0005-0000-0000-0000E0000000}"/>
    <cellStyle name="Accent4 14" xfId="226" xr:uid="{00000000-0005-0000-0000-0000E1000000}"/>
    <cellStyle name="Accent4 15" xfId="227" xr:uid="{00000000-0005-0000-0000-0000E2000000}"/>
    <cellStyle name="Accent4 16" xfId="228" xr:uid="{00000000-0005-0000-0000-0000E3000000}"/>
    <cellStyle name="Accent4 17" xfId="229" xr:uid="{00000000-0005-0000-0000-0000E4000000}"/>
    <cellStyle name="Accent4 18" xfId="230" xr:uid="{00000000-0005-0000-0000-0000E5000000}"/>
    <cellStyle name="Accent4 19" xfId="231" xr:uid="{00000000-0005-0000-0000-0000E6000000}"/>
    <cellStyle name="Accent4 2" xfId="232" xr:uid="{00000000-0005-0000-0000-0000E7000000}"/>
    <cellStyle name="Accent4 20" xfId="233" xr:uid="{00000000-0005-0000-0000-0000E8000000}"/>
    <cellStyle name="Accent4 21" xfId="234" xr:uid="{00000000-0005-0000-0000-0000E9000000}"/>
    <cellStyle name="Accent4 22" xfId="235" xr:uid="{00000000-0005-0000-0000-0000EA000000}"/>
    <cellStyle name="Accent4 23" xfId="236" xr:uid="{00000000-0005-0000-0000-0000EB000000}"/>
    <cellStyle name="Accent4 24" xfId="237" xr:uid="{00000000-0005-0000-0000-0000EC000000}"/>
    <cellStyle name="Accent4 25" xfId="238" xr:uid="{00000000-0005-0000-0000-0000ED000000}"/>
    <cellStyle name="Accent4 26" xfId="239" xr:uid="{00000000-0005-0000-0000-0000EE000000}"/>
    <cellStyle name="Accent4 27" xfId="240" xr:uid="{00000000-0005-0000-0000-0000EF000000}"/>
    <cellStyle name="Accent4 28" xfId="241" xr:uid="{00000000-0005-0000-0000-0000F0000000}"/>
    <cellStyle name="Accent4 29" xfId="242" xr:uid="{00000000-0005-0000-0000-0000F1000000}"/>
    <cellStyle name="Accent4 3" xfId="243" xr:uid="{00000000-0005-0000-0000-0000F2000000}"/>
    <cellStyle name="Accent4 30" xfId="244" xr:uid="{00000000-0005-0000-0000-0000F3000000}"/>
    <cellStyle name="Accent4 31" xfId="245" xr:uid="{00000000-0005-0000-0000-0000F4000000}"/>
    <cellStyle name="Accent4 32" xfId="246" xr:uid="{00000000-0005-0000-0000-0000F5000000}"/>
    <cellStyle name="Accent4 33" xfId="247" xr:uid="{00000000-0005-0000-0000-0000F6000000}"/>
    <cellStyle name="Accent4 34" xfId="248" xr:uid="{00000000-0005-0000-0000-0000F7000000}"/>
    <cellStyle name="Accent4 35" xfId="249" xr:uid="{00000000-0005-0000-0000-0000F8000000}"/>
    <cellStyle name="Accent4 35 2" xfId="29529" xr:uid="{10BFA22F-D3BD-4505-8E2E-CD3D2ED897CC}"/>
    <cellStyle name="Accent4 36" xfId="250" xr:uid="{00000000-0005-0000-0000-0000F9000000}"/>
    <cellStyle name="Accent4 36 2" xfId="29530" xr:uid="{FABADF66-F8DE-4249-834D-B7AD889A11AF}"/>
    <cellStyle name="Accent4 37" xfId="251" xr:uid="{00000000-0005-0000-0000-0000FA000000}"/>
    <cellStyle name="Accent4 38" xfId="252" xr:uid="{00000000-0005-0000-0000-0000FB000000}"/>
    <cellStyle name="Accent4 39" xfId="253" xr:uid="{00000000-0005-0000-0000-0000FC000000}"/>
    <cellStyle name="Accent4 4" xfId="254" xr:uid="{00000000-0005-0000-0000-0000FD000000}"/>
    <cellStyle name="Accent4 40" xfId="255" xr:uid="{00000000-0005-0000-0000-0000FE000000}"/>
    <cellStyle name="Accent4 41" xfId="256" xr:uid="{00000000-0005-0000-0000-0000FF000000}"/>
    <cellStyle name="Accent4 42" xfId="257" xr:uid="{00000000-0005-0000-0000-000000010000}"/>
    <cellStyle name="Accent4 43" xfId="258" xr:uid="{00000000-0005-0000-0000-000001010000}"/>
    <cellStyle name="Accent4 44" xfId="259" xr:uid="{00000000-0005-0000-0000-000002010000}"/>
    <cellStyle name="Accent4 45" xfId="260" xr:uid="{00000000-0005-0000-0000-000003010000}"/>
    <cellStyle name="Accent4 46" xfId="261" xr:uid="{00000000-0005-0000-0000-000004010000}"/>
    <cellStyle name="Accent4 47" xfId="262" xr:uid="{00000000-0005-0000-0000-000005010000}"/>
    <cellStyle name="Accent4 48" xfId="263" xr:uid="{00000000-0005-0000-0000-000006010000}"/>
    <cellStyle name="Accent4 49" xfId="264" xr:uid="{00000000-0005-0000-0000-000007010000}"/>
    <cellStyle name="Accent4 5" xfId="265" xr:uid="{00000000-0005-0000-0000-000008010000}"/>
    <cellStyle name="Accent4 50" xfId="266" xr:uid="{00000000-0005-0000-0000-000009010000}"/>
    <cellStyle name="Accent4 51" xfId="267" xr:uid="{00000000-0005-0000-0000-00000A010000}"/>
    <cellStyle name="Accent4 52" xfId="268" xr:uid="{00000000-0005-0000-0000-00000B010000}"/>
    <cellStyle name="Accent4 53" xfId="269" xr:uid="{00000000-0005-0000-0000-00000C010000}"/>
    <cellStyle name="Accent4 54" xfId="270" xr:uid="{00000000-0005-0000-0000-00000D010000}"/>
    <cellStyle name="Accent4 55" xfId="271" xr:uid="{00000000-0005-0000-0000-00000E010000}"/>
    <cellStyle name="Accent4 56" xfId="272" xr:uid="{00000000-0005-0000-0000-00000F010000}"/>
    <cellStyle name="Accent4 57" xfId="273" xr:uid="{00000000-0005-0000-0000-000010010000}"/>
    <cellStyle name="Accent4 58" xfId="274" xr:uid="{00000000-0005-0000-0000-000011010000}"/>
    <cellStyle name="Accent4 59" xfId="275" xr:uid="{00000000-0005-0000-0000-000012010000}"/>
    <cellStyle name="Accent4 6" xfId="276" xr:uid="{00000000-0005-0000-0000-000013010000}"/>
    <cellStyle name="Accent4 60" xfId="277" xr:uid="{00000000-0005-0000-0000-000014010000}"/>
    <cellStyle name="Accent4 61" xfId="278" xr:uid="{00000000-0005-0000-0000-000015010000}"/>
    <cellStyle name="Accent4 62" xfId="279" xr:uid="{00000000-0005-0000-0000-000016010000}"/>
    <cellStyle name="Accent4 63" xfId="280" xr:uid="{00000000-0005-0000-0000-000017010000}"/>
    <cellStyle name="Accent4 64" xfId="281" xr:uid="{00000000-0005-0000-0000-000018010000}"/>
    <cellStyle name="Accent4 65" xfId="282" xr:uid="{00000000-0005-0000-0000-000019010000}"/>
    <cellStyle name="Accent4 66" xfId="283" xr:uid="{00000000-0005-0000-0000-00001A010000}"/>
    <cellStyle name="Accent4 67" xfId="284" xr:uid="{00000000-0005-0000-0000-00001B010000}"/>
    <cellStyle name="Accent4 68" xfId="285" xr:uid="{00000000-0005-0000-0000-00001C010000}"/>
    <cellStyle name="Accent4 69" xfId="23034" xr:uid="{AED4E30E-FB92-4A5C-BCC6-8ADCF62D9D7B}"/>
    <cellStyle name="Accent4 7" xfId="286" xr:uid="{00000000-0005-0000-0000-00001D010000}"/>
    <cellStyle name="Accent4 70" xfId="25088" xr:uid="{F41DF068-013E-42BF-8021-6272E34725E0}"/>
    <cellStyle name="Accent4 71" xfId="23848" xr:uid="{5FC22722-3052-4868-94D9-E5570379FEF4}"/>
    <cellStyle name="Accent4 8" xfId="287" xr:uid="{00000000-0005-0000-0000-00001E010000}"/>
    <cellStyle name="Accent4 9" xfId="288" xr:uid="{00000000-0005-0000-0000-00001F010000}"/>
    <cellStyle name="Accent5" xfId="4844" builtinId="45" customBuiltin="1"/>
    <cellStyle name="Accent5 - 20%" xfId="289" xr:uid="{00000000-0005-0000-0000-000020010000}"/>
    <cellStyle name="Accent5 - 20% 2" xfId="290" xr:uid="{00000000-0005-0000-0000-000021010000}"/>
    <cellStyle name="Accent5 - 40%" xfId="291" xr:uid="{00000000-0005-0000-0000-000022010000}"/>
    <cellStyle name="Accent5 - 40% 2" xfId="292" xr:uid="{00000000-0005-0000-0000-000023010000}"/>
    <cellStyle name="Accent5 - 60%" xfId="293" xr:uid="{00000000-0005-0000-0000-000024010000}"/>
    <cellStyle name="Accent5 10" xfId="294" xr:uid="{00000000-0005-0000-0000-000025010000}"/>
    <cellStyle name="Accent5 11" xfId="295" xr:uid="{00000000-0005-0000-0000-000026010000}"/>
    <cellStyle name="Accent5 12" xfId="296" xr:uid="{00000000-0005-0000-0000-000027010000}"/>
    <cellStyle name="Accent5 13" xfId="297" xr:uid="{00000000-0005-0000-0000-000028010000}"/>
    <cellStyle name="Accent5 14" xfId="298" xr:uid="{00000000-0005-0000-0000-000029010000}"/>
    <cellStyle name="Accent5 15" xfId="299" xr:uid="{00000000-0005-0000-0000-00002A010000}"/>
    <cellStyle name="Accent5 16" xfId="300" xr:uid="{00000000-0005-0000-0000-00002B010000}"/>
    <cellStyle name="Accent5 17" xfId="301" xr:uid="{00000000-0005-0000-0000-00002C010000}"/>
    <cellStyle name="Accent5 18" xfId="302" xr:uid="{00000000-0005-0000-0000-00002D010000}"/>
    <cellStyle name="Accent5 19" xfId="303" xr:uid="{00000000-0005-0000-0000-00002E010000}"/>
    <cellStyle name="Accent5 2" xfId="304" xr:uid="{00000000-0005-0000-0000-00002F010000}"/>
    <cellStyle name="Accent5 20" xfId="305" xr:uid="{00000000-0005-0000-0000-000030010000}"/>
    <cellStyle name="Accent5 21" xfId="306" xr:uid="{00000000-0005-0000-0000-000031010000}"/>
    <cellStyle name="Accent5 22" xfId="307" xr:uid="{00000000-0005-0000-0000-000032010000}"/>
    <cellStyle name="Accent5 23" xfId="308" xr:uid="{00000000-0005-0000-0000-000033010000}"/>
    <cellStyle name="Accent5 24" xfId="309" xr:uid="{00000000-0005-0000-0000-000034010000}"/>
    <cellStyle name="Accent5 25" xfId="310" xr:uid="{00000000-0005-0000-0000-000035010000}"/>
    <cellStyle name="Accent5 26" xfId="311" xr:uid="{00000000-0005-0000-0000-000036010000}"/>
    <cellStyle name="Accent5 27" xfId="312" xr:uid="{00000000-0005-0000-0000-000037010000}"/>
    <cellStyle name="Accent5 28" xfId="313" xr:uid="{00000000-0005-0000-0000-000038010000}"/>
    <cellStyle name="Accent5 29" xfId="314" xr:uid="{00000000-0005-0000-0000-000039010000}"/>
    <cellStyle name="Accent5 3" xfId="315" xr:uid="{00000000-0005-0000-0000-00003A010000}"/>
    <cellStyle name="Accent5 30" xfId="316" xr:uid="{00000000-0005-0000-0000-00003B010000}"/>
    <cellStyle name="Accent5 31" xfId="317" xr:uid="{00000000-0005-0000-0000-00003C010000}"/>
    <cellStyle name="Accent5 32" xfId="318" xr:uid="{00000000-0005-0000-0000-00003D010000}"/>
    <cellStyle name="Accent5 33" xfId="319" xr:uid="{00000000-0005-0000-0000-00003E010000}"/>
    <cellStyle name="Accent5 34" xfId="320" xr:uid="{00000000-0005-0000-0000-00003F010000}"/>
    <cellStyle name="Accent5 35" xfId="321" xr:uid="{00000000-0005-0000-0000-000040010000}"/>
    <cellStyle name="Accent5 35 2" xfId="29531" xr:uid="{458CA2AC-D926-4059-8065-048300B70009}"/>
    <cellStyle name="Accent5 36" xfId="322" xr:uid="{00000000-0005-0000-0000-000041010000}"/>
    <cellStyle name="Accent5 36 2" xfId="29532" xr:uid="{A6EDE9CD-F022-4472-B8FD-B7A2E5B13543}"/>
    <cellStyle name="Accent5 37" xfId="323" xr:uid="{00000000-0005-0000-0000-000042010000}"/>
    <cellStyle name="Accent5 38" xfId="324" xr:uid="{00000000-0005-0000-0000-000043010000}"/>
    <cellStyle name="Accent5 39" xfId="325" xr:uid="{00000000-0005-0000-0000-000044010000}"/>
    <cellStyle name="Accent5 4" xfId="326" xr:uid="{00000000-0005-0000-0000-000045010000}"/>
    <cellStyle name="Accent5 40" xfId="327" xr:uid="{00000000-0005-0000-0000-000046010000}"/>
    <cellStyle name="Accent5 41" xfId="328" xr:uid="{00000000-0005-0000-0000-000047010000}"/>
    <cellStyle name="Accent5 42" xfId="329" xr:uid="{00000000-0005-0000-0000-000048010000}"/>
    <cellStyle name="Accent5 43" xfId="330" xr:uid="{00000000-0005-0000-0000-000049010000}"/>
    <cellStyle name="Accent5 44" xfId="331" xr:uid="{00000000-0005-0000-0000-00004A010000}"/>
    <cellStyle name="Accent5 45" xfId="332" xr:uid="{00000000-0005-0000-0000-00004B010000}"/>
    <cellStyle name="Accent5 46" xfId="333" xr:uid="{00000000-0005-0000-0000-00004C010000}"/>
    <cellStyle name="Accent5 47" xfId="334" xr:uid="{00000000-0005-0000-0000-00004D010000}"/>
    <cellStyle name="Accent5 48" xfId="335" xr:uid="{00000000-0005-0000-0000-00004E010000}"/>
    <cellStyle name="Accent5 49" xfId="336" xr:uid="{00000000-0005-0000-0000-00004F010000}"/>
    <cellStyle name="Accent5 5" xfId="337" xr:uid="{00000000-0005-0000-0000-000050010000}"/>
    <cellStyle name="Accent5 50" xfId="338" xr:uid="{00000000-0005-0000-0000-000051010000}"/>
    <cellStyle name="Accent5 51" xfId="339" xr:uid="{00000000-0005-0000-0000-000052010000}"/>
    <cellStyle name="Accent5 52" xfId="340" xr:uid="{00000000-0005-0000-0000-000053010000}"/>
    <cellStyle name="Accent5 53" xfId="341" xr:uid="{00000000-0005-0000-0000-000054010000}"/>
    <cellStyle name="Accent5 54" xfId="342" xr:uid="{00000000-0005-0000-0000-000055010000}"/>
    <cellStyle name="Accent5 55" xfId="343" xr:uid="{00000000-0005-0000-0000-000056010000}"/>
    <cellStyle name="Accent5 56" xfId="344" xr:uid="{00000000-0005-0000-0000-000057010000}"/>
    <cellStyle name="Accent5 57" xfId="345" xr:uid="{00000000-0005-0000-0000-000058010000}"/>
    <cellStyle name="Accent5 58" xfId="346" xr:uid="{00000000-0005-0000-0000-000059010000}"/>
    <cellStyle name="Accent5 59" xfId="347" xr:uid="{00000000-0005-0000-0000-00005A010000}"/>
    <cellStyle name="Accent5 6" xfId="348" xr:uid="{00000000-0005-0000-0000-00005B010000}"/>
    <cellStyle name="Accent5 60" xfId="349" xr:uid="{00000000-0005-0000-0000-00005C010000}"/>
    <cellStyle name="Accent5 61" xfId="350" xr:uid="{00000000-0005-0000-0000-00005D010000}"/>
    <cellStyle name="Accent5 62" xfId="351" xr:uid="{00000000-0005-0000-0000-00005E010000}"/>
    <cellStyle name="Accent5 63" xfId="352" xr:uid="{00000000-0005-0000-0000-00005F010000}"/>
    <cellStyle name="Accent5 64" xfId="353" xr:uid="{00000000-0005-0000-0000-000060010000}"/>
    <cellStyle name="Accent5 65" xfId="354" xr:uid="{00000000-0005-0000-0000-000061010000}"/>
    <cellStyle name="Accent5 66" xfId="355" xr:uid="{00000000-0005-0000-0000-000062010000}"/>
    <cellStyle name="Accent5 67" xfId="356" xr:uid="{00000000-0005-0000-0000-000063010000}"/>
    <cellStyle name="Accent5 68" xfId="357" xr:uid="{00000000-0005-0000-0000-000064010000}"/>
    <cellStyle name="Accent5 69" xfId="22937" xr:uid="{26B30322-1C89-49D0-BA3E-F8658C186C8B}"/>
    <cellStyle name="Accent5 7" xfId="358" xr:uid="{00000000-0005-0000-0000-000065010000}"/>
    <cellStyle name="Accent5 70" xfId="25597" xr:uid="{07476C96-5AF1-4461-9D78-20043F9CC41D}"/>
    <cellStyle name="Accent5 71" xfId="23797" xr:uid="{A5A9B84C-234B-4744-B883-15586B3D4CBC}"/>
    <cellStyle name="Accent5 8" xfId="359" xr:uid="{00000000-0005-0000-0000-000066010000}"/>
    <cellStyle name="Accent5 9" xfId="360" xr:uid="{00000000-0005-0000-0000-000067010000}"/>
    <cellStyle name="Accent6" xfId="4845" builtinId="49" customBuiltin="1"/>
    <cellStyle name="Accent6 - 20%" xfId="361" xr:uid="{00000000-0005-0000-0000-000068010000}"/>
    <cellStyle name="Accent6 - 20% 2" xfId="362" xr:uid="{00000000-0005-0000-0000-000069010000}"/>
    <cellStyle name="Accent6 - 40%" xfId="363" xr:uid="{00000000-0005-0000-0000-00006A010000}"/>
    <cellStyle name="Accent6 - 40% 2" xfId="364" xr:uid="{00000000-0005-0000-0000-00006B010000}"/>
    <cellStyle name="Accent6 - 60%" xfId="365" xr:uid="{00000000-0005-0000-0000-00006C010000}"/>
    <cellStyle name="Accent6 10" xfId="366" xr:uid="{00000000-0005-0000-0000-00006D010000}"/>
    <cellStyle name="Accent6 11" xfId="367" xr:uid="{00000000-0005-0000-0000-00006E010000}"/>
    <cellStyle name="Accent6 12" xfId="368" xr:uid="{00000000-0005-0000-0000-00006F010000}"/>
    <cellStyle name="Accent6 13" xfId="369" xr:uid="{00000000-0005-0000-0000-000070010000}"/>
    <cellStyle name="Accent6 14" xfId="370" xr:uid="{00000000-0005-0000-0000-000071010000}"/>
    <cellStyle name="Accent6 15" xfId="371" xr:uid="{00000000-0005-0000-0000-000072010000}"/>
    <cellStyle name="Accent6 16" xfId="372" xr:uid="{00000000-0005-0000-0000-000073010000}"/>
    <cellStyle name="Accent6 17" xfId="373" xr:uid="{00000000-0005-0000-0000-000074010000}"/>
    <cellStyle name="Accent6 18" xfId="374" xr:uid="{00000000-0005-0000-0000-000075010000}"/>
    <cellStyle name="Accent6 19" xfId="375" xr:uid="{00000000-0005-0000-0000-000076010000}"/>
    <cellStyle name="Accent6 2" xfId="376" xr:uid="{00000000-0005-0000-0000-000077010000}"/>
    <cellStyle name="Accent6 20" xfId="377" xr:uid="{00000000-0005-0000-0000-000078010000}"/>
    <cellStyle name="Accent6 21" xfId="378" xr:uid="{00000000-0005-0000-0000-000079010000}"/>
    <cellStyle name="Accent6 22" xfId="379" xr:uid="{00000000-0005-0000-0000-00007A010000}"/>
    <cellStyle name="Accent6 23" xfId="380" xr:uid="{00000000-0005-0000-0000-00007B010000}"/>
    <cellStyle name="Accent6 24" xfId="381" xr:uid="{00000000-0005-0000-0000-00007C010000}"/>
    <cellStyle name="Accent6 25" xfId="382" xr:uid="{00000000-0005-0000-0000-00007D010000}"/>
    <cellStyle name="Accent6 26" xfId="383" xr:uid="{00000000-0005-0000-0000-00007E010000}"/>
    <cellStyle name="Accent6 27" xfId="384" xr:uid="{00000000-0005-0000-0000-00007F010000}"/>
    <cellStyle name="Accent6 28" xfId="385" xr:uid="{00000000-0005-0000-0000-000080010000}"/>
    <cellStyle name="Accent6 29" xfId="386" xr:uid="{00000000-0005-0000-0000-000081010000}"/>
    <cellStyle name="Accent6 3" xfId="387" xr:uid="{00000000-0005-0000-0000-000082010000}"/>
    <cellStyle name="Accent6 30" xfId="388" xr:uid="{00000000-0005-0000-0000-000083010000}"/>
    <cellStyle name="Accent6 31" xfId="389" xr:uid="{00000000-0005-0000-0000-000084010000}"/>
    <cellStyle name="Accent6 32" xfId="390" xr:uid="{00000000-0005-0000-0000-000085010000}"/>
    <cellStyle name="Accent6 33" xfId="391" xr:uid="{00000000-0005-0000-0000-000086010000}"/>
    <cellStyle name="Accent6 34" xfId="392" xr:uid="{00000000-0005-0000-0000-000087010000}"/>
    <cellStyle name="Accent6 35" xfId="393" xr:uid="{00000000-0005-0000-0000-000088010000}"/>
    <cellStyle name="Accent6 35 2" xfId="29533" xr:uid="{DF070521-6078-474F-9C65-EEACD7551C73}"/>
    <cellStyle name="Accent6 36" xfId="394" xr:uid="{00000000-0005-0000-0000-000089010000}"/>
    <cellStyle name="Accent6 36 2" xfId="29534" xr:uid="{6A8607BF-C02D-43C5-B5AD-66DF91CD1797}"/>
    <cellStyle name="Accent6 37" xfId="395" xr:uid="{00000000-0005-0000-0000-00008A010000}"/>
    <cellStyle name="Accent6 38" xfId="396" xr:uid="{00000000-0005-0000-0000-00008B010000}"/>
    <cellStyle name="Accent6 39" xfId="397" xr:uid="{00000000-0005-0000-0000-00008C010000}"/>
    <cellStyle name="Accent6 4" xfId="398" xr:uid="{00000000-0005-0000-0000-00008D010000}"/>
    <cellStyle name="Accent6 40" xfId="399" xr:uid="{00000000-0005-0000-0000-00008E010000}"/>
    <cellStyle name="Accent6 41" xfId="400" xr:uid="{00000000-0005-0000-0000-00008F010000}"/>
    <cellStyle name="Accent6 42" xfId="401" xr:uid="{00000000-0005-0000-0000-000090010000}"/>
    <cellStyle name="Accent6 43" xfId="402" xr:uid="{00000000-0005-0000-0000-000091010000}"/>
    <cellStyle name="Accent6 44" xfId="403" xr:uid="{00000000-0005-0000-0000-000092010000}"/>
    <cellStyle name="Accent6 45" xfId="404" xr:uid="{00000000-0005-0000-0000-000093010000}"/>
    <cellStyle name="Accent6 46" xfId="405" xr:uid="{00000000-0005-0000-0000-000094010000}"/>
    <cellStyle name="Accent6 47" xfId="406" xr:uid="{00000000-0005-0000-0000-000095010000}"/>
    <cellStyle name="Accent6 48" xfId="407" xr:uid="{00000000-0005-0000-0000-000096010000}"/>
    <cellStyle name="Accent6 49" xfId="408" xr:uid="{00000000-0005-0000-0000-000097010000}"/>
    <cellStyle name="Accent6 5" xfId="409" xr:uid="{00000000-0005-0000-0000-000098010000}"/>
    <cellStyle name="Accent6 50" xfId="410" xr:uid="{00000000-0005-0000-0000-000099010000}"/>
    <cellStyle name="Accent6 51" xfId="411" xr:uid="{00000000-0005-0000-0000-00009A010000}"/>
    <cellStyle name="Accent6 52" xfId="412" xr:uid="{00000000-0005-0000-0000-00009B010000}"/>
    <cellStyle name="Accent6 53" xfId="413" xr:uid="{00000000-0005-0000-0000-00009C010000}"/>
    <cellStyle name="Accent6 54" xfId="414" xr:uid="{00000000-0005-0000-0000-00009D010000}"/>
    <cellStyle name="Accent6 55" xfId="415" xr:uid="{00000000-0005-0000-0000-00009E010000}"/>
    <cellStyle name="Accent6 56" xfId="416" xr:uid="{00000000-0005-0000-0000-00009F010000}"/>
    <cellStyle name="Accent6 57" xfId="417" xr:uid="{00000000-0005-0000-0000-0000A0010000}"/>
    <cellStyle name="Accent6 58" xfId="418" xr:uid="{00000000-0005-0000-0000-0000A1010000}"/>
    <cellStyle name="Accent6 59" xfId="419" xr:uid="{00000000-0005-0000-0000-0000A2010000}"/>
    <cellStyle name="Accent6 6" xfId="420" xr:uid="{00000000-0005-0000-0000-0000A3010000}"/>
    <cellStyle name="Accent6 60" xfId="421" xr:uid="{00000000-0005-0000-0000-0000A4010000}"/>
    <cellStyle name="Accent6 61" xfId="422" xr:uid="{00000000-0005-0000-0000-0000A5010000}"/>
    <cellStyle name="Accent6 62" xfId="423" xr:uid="{00000000-0005-0000-0000-0000A6010000}"/>
    <cellStyle name="Accent6 63" xfId="424" xr:uid="{00000000-0005-0000-0000-0000A7010000}"/>
    <cellStyle name="Accent6 64" xfId="425" xr:uid="{00000000-0005-0000-0000-0000A8010000}"/>
    <cellStyle name="Accent6 65" xfId="426" xr:uid="{00000000-0005-0000-0000-0000A9010000}"/>
    <cellStyle name="Accent6 66" xfId="427" xr:uid="{00000000-0005-0000-0000-0000AA010000}"/>
    <cellStyle name="Accent6 67" xfId="428" xr:uid="{00000000-0005-0000-0000-0000AB010000}"/>
    <cellStyle name="Accent6 68" xfId="429" xr:uid="{00000000-0005-0000-0000-0000AC010000}"/>
    <cellStyle name="Accent6 69" xfId="24003" xr:uid="{893BB9CA-356D-471A-AD5F-9495431F0EFC}"/>
    <cellStyle name="Accent6 7" xfId="430" xr:uid="{00000000-0005-0000-0000-0000AD010000}"/>
    <cellStyle name="Accent6 70" xfId="23392" xr:uid="{600A1D35-8915-4E4F-910E-44B8813D2433}"/>
    <cellStyle name="Accent6 71" xfId="24895" xr:uid="{E9DA2F1C-4737-4689-9B35-D336BD388C4B}"/>
    <cellStyle name="Accent6 8" xfId="431" xr:uid="{00000000-0005-0000-0000-0000AE010000}"/>
    <cellStyle name="Accent6 9" xfId="432" xr:uid="{00000000-0005-0000-0000-0000AF010000}"/>
    <cellStyle name="AccountClassificationTotalRowBalanceCol" xfId="12256" xr:uid="{EC67F07D-7951-469F-8170-F5D0EECEF2B9}"/>
    <cellStyle name="AccountClassificationTotalRowDescCol" xfId="12257" xr:uid="{58C315D6-5F7A-4069-8511-56264FEB55D8}"/>
    <cellStyle name="AccountClassificationTotalRowJERefCol" xfId="12258" xr:uid="{A31CFF99-3CB9-4CA9-96B5-9617F3D74581}"/>
    <cellStyle name="AccountClassificationTotalRowNameCol" xfId="12259" xr:uid="{D8403E05-910B-416C-84D7-F4A4937E4F4E}"/>
    <cellStyle name="AccountClassificationTotalRowVarPectCol" xfId="12260" xr:uid="{0BE0B926-9C35-48BC-B042-7CE47D3A1851}"/>
    <cellStyle name="AccountClassificationTotalRowWPRefCol" xfId="12261" xr:uid="{925C4963-1C84-45C3-8947-534838B1E866}"/>
    <cellStyle name="AccountDetailRowBalanceCol" xfId="12262" xr:uid="{77667C83-8EFE-4812-AE3D-73F088645F26}"/>
    <cellStyle name="AccountDetailRowDescCol" xfId="12263" xr:uid="{F920A0ED-4A8B-4F46-8AB2-76F71763D448}"/>
    <cellStyle name="AccountDetailRowJERefCol" xfId="12264" xr:uid="{9813E5D3-12DB-437B-B303-16516C42BCDD}"/>
    <cellStyle name="AccountDetailRowNameCol" xfId="12265" xr:uid="{426F538C-E9A9-467F-B29B-D74FFDD9B789}"/>
    <cellStyle name="AccountDetailRowVarPectCol" xfId="12266" xr:uid="{07328471-F285-4FE4-A039-12C2FC29E23C}"/>
    <cellStyle name="AccountDetailRowWPRefCol" xfId="12267" xr:uid="{63D4C9A4-BEB1-48C5-9B6B-F97E2C59B285}"/>
    <cellStyle name="AccountNetIncomeLossRowBalanceCol" xfId="12268" xr:uid="{F448CEAA-67FF-4FC0-96A1-6BAFFBD6B911}"/>
    <cellStyle name="AccountNetIncomeLossRowDescCol" xfId="12269" xr:uid="{907304E3-D678-4386-80CB-0AE41803742B}"/>
    <cellStyle name="AccountNetIncomeLossRowJERefCol" xfId="12270" xr:uid="{4AD86227-B1E6-42D5-AC15-93DF6FB098AE}"/>
    <cellStyle name="AccountNetIncomeLossRowNameCol" xfId="12271" xr:uid="{6F1446DA-34A4-4BAF-AE61-E09B1700FDA3}"/>
    <cellStyle name="AccountNetIncomeLossRowWPRefCol" xfId="12272" xr:uid="{FB9B068C-3426-4FEC-9BCE-53BA3852EC52}"/>
    <cellStyle name="AccountTotalBalanceCol" xfId="12273" xr:uid="{62D17BB6-FF13-418C-9803-BAB02AACCA66}"/>
    <cellStyle name="AccountTotalDescCol" xfId="12274" xr:uid="{8B64D827-7F09-462E-AD85-47BFF4D4EC5F}"/>
    <cellStyle name="AccountTotalDetailRowBalanceCol" xfId="12275" xr:uid="{02C688DB-A53F-4634-A6D5-064A9432EEEE}"/>
    <cellStyle name="AccountTotalDetailRowDescCol" xfId="12276" xr:uid="{25B3EB54-7A7F-4CD3-885F-515F18EF8361}"/>
    <cellStyle name="AccountTotalDetailRowJERefCol" xfId="12277" xr:uid="{A63BC09C-87DF-40A4-B111-508D606087AE}"/>
    <cellStyle name="AccountTotalDetailRowNameCol" xfId="12278" xr:uid="{C8A154E5-6A0E-4713-A17B-7221D101338A}"/>
    <cellStyle name="AccountTotalDetailRowVarPectCol" xfId="12279" xr:uid="{84F7299E-C6F5-432C-BFBD-4CB12B0F8443}"/>
    <cellStyle name="AccountTotalDetailRowWPRefCol" xfId="12280" xr:uid="{3D152E01-12CD-4572-9BD1-848122C74E29}"/>
    <cellStyle name="AccountTotalJERefCol" xfId="12281" xr:uid="{D4B3EF14-29B4-479B-8ECA-AB86C6F7F9A7}"/>
    <cellStyle name="AccountTotalNameCol" xfId="12282" xr:uid="{2F9ADDFE-9B68-4482-9348-CA077A3EDE31}"/>
    <cellStyle name="AccountTotalVarPectCol" xfId="12283" xr:uid="{2442709C-27F3-4DDE-9EB7-6134EC287E40}"/>
    <cellStyle name="AccountTotalWPRefCol" xfId="12284" xr:uid="{7BE54512-808B-4A68-AD7A-9125B24E1990}"/>
    <cellStyle name="AccountTypeTotalRowBalanceCol" xfId="12285" xr:uid="{0BE8223E-693B-4C56-8A0A-753CB23F8E77}"/>
    <cellStyle name="AccountTypeTotalRowDescCol" xfId="12286" xr:uid="{E58BB922-D13D-408F-9FA2-B8C0E81CB2A6}"/>
    <cellStyle name="AccountTypeTotalRowJERefCol" xfId="12287" xr:uid="{E085CEA1-A898-4643-8859-2EC469AADDC6}"/>
    <cellStyle name="AccountTypeTotalRowNameCol" xfId="12288" xr:uid="{08BD6057-9984-4D2B-8FE3-BE14D7F0A517}"/>
    <cellStyle name="AccountTypeTotalRowVarPectCol" xfId="12289" xr:uid="{61376634-7F9D-4EE6-9142-386C6055B159}"/>
    <cellStyle name="AccountTypeTotalRowWPRefCol" xfId="12290" xr:uid="{48EB2C52-C95F-433B-AFFA-186036549B8C}"/>
    <cellStyle name="Bad" xfId="4832" builtinId="27" customBuiltin="1"/>
    <cellStyle name="Bad 2" xfId="433" xr:uid="{00000000-0005-0000-0000-0000B0010000}"/>
    <cellStyle name="Bad 3" xfId="434" xr:uid="{00000000-0005-0000-0000-0000B1010000}"/>
    <cellStyle name="Bad 4" xfId="29535" xr:uid="{9B249360-0FC1-414C-A036-E5117C73CAB0}"/>
    <cellStyle name="BlankRow" xfId="12291" xr:uid="{4121281A-F746-4EB3-9299-49886C4F50B5}"/>
    <cellStyle name="BlankRowJERefCol" xfId="12292" xr:uid="{4A2DC9E7-D0E0-4E32-854E-FD699096895D}"/>
    <cellStyle name="Calculation" xfId="4835" builtinId="22" customBuiltin="1"/>
    <cellStyle name="Calculation 2" xfId="435" xr:uid="{00000000-0005-0000-0000-0000B2010000}"/>
    <cellStyle name="Calculation 3" xfId="436" xr:uid="{00000000-0005-0000-0000-0000B3010000}"/>
    <cellStyle name="Calculation 4" xfId="29536" xr:uid="{69B00D0E-0C4F-4265-91AD-F9F8D74D5F25}"/>
    <cellStyle name="Check Cell" xfId="4837" builtinId="23" customBuiltin="1"/>
    <cellStyle name="Check Cell 2" xfId="437" xr:uid="{00000000-0005-0000-0000-0000B4010000}"/>
    <cellStyle name="Check Cell 3" xfId="438" xr:uid="{00000000-0005-0000-0000-0000B5010000}"/>
    <cellStyle name="Check Cell 4" xfId="29537" xr:uid="{6A797CFE-E1DB-4032-9CC3-6FDB2D608719}"/>
    <cellStyle name="ClassifiedGroupTotalRowBalanceCol" xfId="12293" xr:uid="{405D37AD-B4DC-4C92-8C46-7F7CFC07CBA4}"/>
    <cellStyle name="ClassifiedGroupTotalRowDescCol" xfId="12294" xr:uid="{E7D38FB1-798D-4C3C-98C6-838D02791D3A}"/>
    <cellStyle name="ClassifiedGroupTotalRowJERefCol" xfId="12295" xr:uid="{831BE3B0-EE1F-454E-B64E-69F4567A1AA3}"/>
    <cellStyle name="ClassifiedGroupTotalRowNameCol" xfId="12296" xr:uid="{C1AEECDB-0357-45C3-952A-630997EAB411}"/>
    <cellStyle name="ClassifiedGroupTotalRowVarPectCol" xfId="12297" xr:uid="{583C6BED-AEC6-4E68-A275-BAA2A7E3AB58}"/>
    <cellStyle name="ClassifiedGroupTotalRowWPRefCol" xfId="12298" xr:uid="{8A9A7AF6-C911-4BCB-89E3-3FDD97F991BE}"/>
    <cellStyle name="ColumnHeaderRowBalanceCol" xfId="12299" xr:uid="{7C7DE4C8-68BF-44E9-A73B-4EBD6CB0FF08}"/>
    <cellStyle name="ColumnHeaderRowBlankCol" xfId="12300" xr:uid="{2A222394-1C2F-4DA9-8F07-F4AD3EEF3074}"/>
    <cellStyle name="ColumnHeaderRowCreditCol" xfId="12301" xr:uid="{AB01A784-B20C-4530-8AB5-58C870EDC31F}"/>
    <cellStyle name="ColumnHeaderRowDebitCol" xfId="12302" xr:uid="{AA9769CB-8B00-4E2B-BB96-3990F105FE8C}"/>
    <cellStyle name="ColumnHeaderRowDescCol" xfId="12303" xr:uid="{068AC2D8-5FEE-4BA6-B901-D215B616B4D4}"/>
    <cellStyle name="ColumnHeaderRowJERefCol" xfId="12304" xr:uid="{C7181AB7-6507-49C6-928A-F0C56630FBFB}"/>
    <cellStyle name="ColumnHeaderRowNameCol" xfId="12305" xr:uid="{612FAA23-FF0B-4E7C-B59D-3FEBA5E19728}"/>
    <cellStyle name="ColumnHeaderRowVarPectCol" xfId="12306" xr:uid="{DEF1BC8B-0512-4843-AEB1-DB90351FCA08}"/>
    <cellStyle name="ColumnHeaderRowWPRefCol" xfId="12307" xr:uid="{FFAAEFC1-DBE6-4623-B0DF-2317B9F4CA0B}"/>
    <cellStyle name="ColumnMetadataRowBalanceCol" xfId="12308" xr:uid="{04DA5B81-7D03-4BE8-99F1-0766EFD488E2}"/>
    <cellStyle name="ColumnMetadataRowDescCol" xfId="12309" xr:uid="{13DB7B1F-19D8-432A-9D4E-1D5AF44731B8}"/>
    <cellStyle name="ColumnMetadataRowJERefCol" xfId="12310" xr:uid="{DBDAF870-853B-4BCC-BD1D-94D1E72596D5}"/>
    <cellStyle name="ColumnMetadataRowNameCol" xfId="12311" xr:uid="{40E06265-6E66-4B92-B6E2-3B3B201B073D}"/>
    <cellStyle name="ColumnMetadataRowVarPectCol" xfId="12312" xr:uid="{DDEC6B24-578F-4BEC-8F1B-38AD75381ACE}"/>
    <cellStyle name="ColumnMetadataRowWPRefCol" xfId="12313" xr:uid="{D32F0F8B-6E9B-454B-A50A-8D99187F6004}"/>
    <cellStyle name="Comma" xfId="439" builtinId="3"/>
    <cellStyle name="Comma 10" xfId="440" xr:uid="{00000000-0005-0000-0000-0000B7010000}"/>
    <cellStyle name="Comma 10 10" xfId="12490" xr:uid="{29AC07E5-A76C-458E-B700-07D379D9F7B0}"/>
    <cellStyle name="Comma 10 2" xfId="441" xr:uid="{00000000-0005-0000-0000-0000B8010000}"/>
    <cellStyle name="Comma 10 2 2" xfId="442" xr:uid="{00000000-0005-0000-0000-0000B9010000}"/>
    <cellStyle name="Comma 10 2 2 2" xfId="1562" xr:uid="{00000000-0005-0000-0000-0000BA010000}"/>
    <cellStyle name="Comma 10 2 2 2 2" xfId="23258" xr:uid="{D9BB79B8-EC73-46E8-8D77-2E16F508B2FE}"/>
    <cellStyle name="Comma 10 2 2 2 2 2" xfId="29794" xr:uid="{F4742CAB-EE8A-4F65-A5A1-A8EA60CAE710}"/>
    <cellStyle name="Comma 10 2 2 2 3" xfId="24673" xr:uid="{DDF8ACA5-2AFD-4024-B635-F103D987427D}"/>
    <cellStyle name="Comma 10 2 2 2 4" xfId="30048" xr:uid="{3022D834-5AD4-4789-AA9A-422519C0A007}"/>
    <cellStyle name="Comma 10 2 2 3" xfId="4848" xr:uid="{8F94D0E0-B6FC-4A5A-96EA-540CD9CE6C5C}"/>
    <cellStyle name="Comma 10 2 2 3 2" xfId="28026" xr:uid="{9E108CF4-A88E-4CA8-B7DD-2946C5BBAD03}"/>
    <cellStyle name="Comma 10 2 2 3 2 2" xfId="31200" xr:uid="{B8614D68-E4D5-449A-AC4B-CDF4ED1EE035}"/>
    <cellStyle name="Comma 10 2 2 3 2 3" xfId="30641" xr:uid="{DFF08651-449D-4396-9E32-8C7D875A6813}"/>
    <cellStyle name="Comma 10 2 2 3 3" xfId="27612" xr:uid="{6FAB1EFE-AC33-4147-AFD2-28C5CB62D791}"/>
    <cellStyle name="Comma 10 2 2 3 4" xfId="14136" xr:uid="{F3B714C7-5286-4F66-BD1E-FB5924FE93A4}"/>
    <cellStyle name="Comma 10 2 2 4" xfId="6589" xr:uid="{9056E6DA-5EE2-4826-8E91-19EEF6F31924}"/>
    <cellStyle name="Comma 10 2 2 4 2" xfId="16969" xr:uid="{DDBF2E34-1085-47E9-99D9-AA0D68F84FEB}"/>
    <cellStyle name="Comma 10 2 2 5" xfId="9422" xr:uid="{2BD3351E-5285-4068-A1CD-BDB9D3138106}"/>
    <cellStyle name="Comma 10 2 2 5 2" xfId="19802" xr:uid="{61E9841B-2269-452F-80E0-AFED4E54080A}"/>
    <cellStyle name="Comma 10 2 2 6" xfId="24958" xr:uid="{A4F3E5C3-5BA0-421D-8D09-1134D3D9172B}"/>
    <cellStyle name="Comma 10 2 2 7" xfId="13511" xr:uid="{CB1A8726-DCC6-4716-969A-F4081216B883}"/>
    <cellStyle name="Comma 10 2 3" xfId="1563" xr:uid="{00000000-0005-0000-0000-0000BB010000}"/>
    <cellStyle name="Comma 10 2 3 2" xfId="2663" xr:uid="{00000000-0005-0000-0000-000078010000}"/>
    <cellStyle name="Comma 10 2 3 2 2" xfId="7787" xr:uid="{5F8EE468-F6B4-4573-B120-25BA1906DD12}"/>
    <cellStyle name="Comma 10 2 3 2 2 2" xfId="18167" xr:uid="{176782E4-13ED-4672-B2E4-6297AD0C978B}"/>
    <cellStyle name="Comma 10 2 3 2 3" xfId="10620" xr:uid="{6A628ADD-E2E1-48FC-8D32-29571B3F0AC6}"/>
    <cellStyle name="Comma 10 2 3 2 3 2" xfId="21000" xr:uid="{DBA562FE-9BE1-4D99-B41E-9E56D35F26A8}"/>
    <cellStyle name="Comma 10 2 3 2 4" xfId="28610" xr:uid="{35C489F4-22D2-407C-B5BF-F853F4F9D7A3}"/>
    <cellStyle name="Comma 10 2 3 2 5" xfId="27160" xr:uid="{74CEBE64-5A54-4301-858A-2278E6D1CEE1}"/>
    <cellStyle name="Comma 10 2 3 2 6" xfId="15334" xr:uid="{59487802-4CB8-4A0C-A2FD-39623F13DE8E}"/>
    <cellStyle name="Comma 10 2 3 3" xfId="3641" xr:uid="{00000000-0005-0000-0000-0000BB010000}"/>
    <cellStyle name="Comma 10 2 3 4" xfId="5535" xr:uid="{2DF98002-6EFF-4F85-A30A-8AA3CBFF876D}"/>
    <cellStyle name="Comma 10 2 3 4 2" xfId="29749" xr:uid="{CF5D2640-E526-43E0-BA56-AD4FA4FBFC5A}"/>
    <cellStyle name="Comma 10 2 3 5" xfId="23967" xr:uid="{872D2A5E-2248-4DBD-A4C8-F9817C8FE0C9}"/>
    <cellStyle name="Comma 10 2 3 5 2" xfId="29840" xr:uid="{53EBA3A0-8A8E-41BA-BEEA-5C5EFEDBB1D3}"/>
    <cellStyle name="Comma 10 2 3 6" xfId="25642" xr:uid="{37760901-87CF-4549-AF24-A8609D3586EE}"/>
    <cellStyle name="Comma 10 2 3 7" xfId="13064" xr:uid="{11E1BAD5-65BA-4AE4-965F-56AA1D657AA5}"/>
    <cellStyle name="Comma 10 2 4" xfId="1561" xr:uid="{00000000-0005-0000-0000-0000BC010000}"/>
    <cellStyle name="Comma 10 2 4 2" xfId="4675" xr:uid="{76A30654-04E8-43F3-9BD2-5D61777624B5}"/>
    <cellStyle name="Comma 10 2 4 3" xfId="24996" xr:uid="{BCC21D0C-6164-4C0C-BE9D-19D73485CCD6}"/>
    <cellStyle name="Comma 10 2 4 3 2" xfId="29891" xr:uid="{3C345DA9-232A-4A53-AA10-55EDA166162A}"/>
    <cellStyle name="Comma 10 2 4 4" xfId="24681" xr:uid="{6007113F-9924-4D05-9E4A-D2077AEB8462}"/>
    <cellStyle name="Comma 10 2 4 5" xfId="26743" xr:uid="{77397AB9-4755-44AE-AC6E-A2E289AE7EE8}"/>
    <cellStyle name="Comma 10 2 5" xfId="3811" xr:uid="{A83598A2-AE72-45A7-B601-A55EF01150CB}"/>
    <cellStyle name="Comma 10 2 5 2" xfId="25194" xr:uid="{207B08F6-F371-4D90-A4E2-3906049E9723}"/>
    <cellStyle name="Comma 10 2 5 2 2" xfId="29675" xr:uid="{910931E2-DB10-4C31-A77B-FB04EFA1DED8}"/>
    <cellStyle name="Comma 10 2 5 2 2 2" xfId="31157" xr:uid="{21B53B7A-B52F-4990-BABE-5580191787F7}"/>
    <cellStyle name="Comma 10 2 5 2 3" xfId="30640" xr:uid="{7EC80DBB-6F40-40B4-9324-B9E60C405E46}"/>
    <cellStyle name="Comma 10 2 5 3" xfId="25744" xr:uid="{0CB8BCFE-C336-455F-AB49-F3C7B1BC9CDD}"/>
    <cellStyle name="Comma 10 2 5 4" xfId="26726" xr:uid="{E10D12CB-9FC4-43DF-9506-CC26BADEEDA0}"/>
    <cellStyle name="Comma 10 2 6" xfId="22924" xr:uid="{6875A78D-7D82-435D-82A6-AE342806D5C5}"/>
    <cellStyle name="Comma 10 2 6 2" xfId="29717" xr:uid="{75234A64-AAA0-42BA-A9EA-3C0DB2735BB4}"/>
    <cellStyle name="Comma 10 2 7" xfId="28538" xr:uid="{DC7A2659-338F-45FE-B0DB-9DBBE3311BDD}"/>
    <cellStyle name="Comma 10 2 7 2" xfId="29672" xr:uid="{C346A8C2-3DB3-42DB-A377-6D31684099AA}"/>
    <cellStyle name="Comma 10 2 7 2 2" xfId="31209" xr:uid="{3241FD88-2E3A-4A7F-91A8-62B6F4940F71}"/>
    <cellStyle name="Comma 10 2 8" xfId="29838" xr:uid="{40B22064-AAF7-4863-8F25-65D531C30E59}"/>
    <cellStyle name="Comma 10 2 9" xfId="29983" xr:uid="{E9094487-74F6-4A84-A11B-7F3935258FB1}"/>
    <cellStyle name="Comma 10 3" xfId="443" xr:uid="{00000000-0005-0000-0000-0000BD010000}"/>
    <cellStyle name="Comma 10 3 2" xfId="1564" xr:uid="{00000000-0005-0000-0000-0000BE010000}"/>
    <cellStyle name="Comma 10 3 2 2" xfId="2662" xr:uid="{00000000-0005-0000-0000-000079010000}"/>
    <cellStyle name="Comma 10 3 2 2 2" xfId="26600" xr:uid="{8D6FBC3B-4AE4-4914-9366-0DFD7FECC23F}"/>
    <cellStyle name="Comma 10 3 2 2 3" xfId="26096" xr:uid="{327F2421-D34A-4BF2-8FAF-3BEE61ADE475}"/>
    <cellStyle name="Comma 10 3 2 3" xfId="2056" xr:uid="{00000000-0005-0000-0000-0000BE010000}"/>
    <cellStyle name="Comma 10 3 2 4" xfId="23889" xr:uid="{AAA2E3EE-1A35-4B5E-8F80-42D80BD38AF3}"/>
    <cellStyle name="Comma 10 3 3" xfId="3710" xr:uid="{00000000-0005-0000-0000-0000BD010000}"/>
    <cellStyle name="Comma 10 3 3 2" xfId="8613" xr:uid="{2A78C46A-E05F-438C-BA51-FBD76F44447E}"/>
    <cellStyle name="Comma 10 3 3 2 2" xfId="18993" xr:uid="{010FD0E0-CF72-419E-8CF2-96500DC79564}"/>
    <cellStyle name="Comma 10 3 3 3" xfId="11446" xr:uid="{63F0ACF9-6F3B-49A6-8C71-695A93F58B79}"/>
    <cellStyle name="Comma 10 3 3 3 2" xfId="21826" xr:uid="{784215F6-1FD0-4B50-B45F-E127D94D8A4B}"/>
    <cellStyle name="Comma 10 3 3 4" xfId="28012" xr:uid="{2DC75837-1CB4-452D-A541-699F806A60CA}"/>
    <cellStyle name="Comma 10 3 3 5" xfId="26711" xr:uid="{7ED3D6DD-A23C-49A8-BB74-986A9754EE9B}"/>
    <cellStyle name="Comma 10 3 3 6" xfId="16160" xr:uid="{36F2651F-7F03-4479-9E44-CF2351D6B5C7}"/>
    <cellStyle name="Comma 10 3 4" xfId="3807" xr:uid="{EAE0A1BB-398B-4B0E-97CB-A6B937EE0D30}"/>
    <cellStyle name="Comma 10 3 4 2" xfId="8643" xr:uid="{B77E9739-E0B6-4CB6-A8E3-908742B6A29E}"/>
    <cellStyle name="Comma 10 3 4 2 2" xfId="19023" xr:uid="{EA9B0E7B-2A96-4591-9E19-673D8E0FF155}"/>
    <cellStyle name="Comma 10 3 4 2 3" xfId="31002" xr:uid="{E590BC16-15EE-4924-8848-778D3E4A89CE}"/>
    <cellStyle name="Comma 10 3 4 2 4" xfId="30642" xr:uid="{4DFC3DE0-3B6C-4F74-9DAC-4286A1C1DC94}"/>
    <cellStyle name="Comma 10 3 4 3" xfId="11476" xr:uid="{DD48EF75-8BB0-47E0-81A4-D35EC994FA2A}"/>
    <cellStyle name="Comma 10 3 4 3 2" xfId="21856" xr:uid="{B57C2FB3-340F-48A5-A7EF-B586DF7D40CF}"/>
    <cellStyle name="Comma 10 3 4 4" xfId="27990" xr:uid="{7D85175A-C573-446F-ACB0-0B75D0B2CB77}"/>
    <cellStyle name="Comma 10 3 4 5" xfId="26389" xr:uid="{A7958FA7-1C14-404A-B491-C01E167E4EDE}"/>
    <cellStyle name="Comma 10 3 4 6" xfId="16190" xr:uid="{A48C4FDC-3452-4999-A7E2-7585CD56C584}"/>
    <cellStyle name="Comma 10 3 5" xfId="4849" xr:uid="{A822458D-70D9-4B97-A615-B507EC140565}"/>
    <cellStyle name="Comma 10 3 5 2" xfId="14137" xr:uid="{73B791F9-DE67-4FFD-8BCD-ED93836E3ECA}"/>
    <cellStyle name="Comma 10 3 6" xfId="6590" xr:uid="{71392CA9-A50D-40B1-8EC0-5A00FF867C5C}"/>
    <cellStyle name="Comma 10 3 6 2" xfId="16970" xr:uid="{A3E61896-2352-411B-81DF-5E56AC748DE4}"/>
    <cellStyle name="Comma 10 3 7" xfId="9423" xr:uid="{9C025ABB-A3AD-49D7-B597-25A86D774F06}"/>
    <cellStyle name="Comma 10 3 7 2" xfId="19803" xr:uid="{45E9E58C-247D-4648-BCB9-2A448034C4E9}"/>
    <cellStyle name="Comma 10 3 8" xfId="26872" xr:uid="{DF5E808F-39A0-46CE-975A-3BD5A16775B2}"/>
    <cellStyle name="Comma 10 4" xfId="1565" xr:uid="{00000000-0005-0000-0000-0000BF010000}"/>
    <cellStyle name="Comma 10 4 2" xfId="3009" xr:uid="{00000000-0005-0000-0000-00007A010000}"/>
    <cellStyle name="Comma 10 4 2 2" xfId="8089" xr:uid="{6B599C17-3F10-44EB-ACDF-6655006877DD}"/>
    <cellStyle name="Comma 10 4 2 2 2" xfId="28776" xr:uid="{18929A66-F6E2-4BC7-8032-BFA3FDC7C4E0}"/>
    <cellStyle name="Comma 10 4 2 2 2 2" xfId="31214" xr:uid="{C5898CD3-95E5-4E55-97B3-E7DFF2EDE9B8}"/>
    <cellStyle name="Comma 10 4 2 2 2 3" xfId="30644" xr:uid="{15F7C382-4917-4D01-9DFB-DA9009983639}"/>
    <cellStyle name="Comma 10 4 2 2 3" xfId="27978" xr:uid="{EFE62449-1A0E-4B62-8359-06E7D869BAD5}"/>
    <cellStyle name="Comma 10 4 2 2 4" xfId="18469" xr:uid="{25D77FA2-7C98-4FC0-A588-80542FA22A9C}"/>
    <cellStyle name="Comma 10 4 2 3" xfId="10922" xr:uid="{3FF7D1D0-68C6-450B-8AEA-D136634A982B}"/>
    <cellStyle name="Comma 10 4 2 3 2" xfId="21302" xr:uid="{74F8CD23-12B9-4D52-9DD7-0188402C3A27}"/>
    <cellStyle name="Comma 10 4 2 4" xfId="23349" xr:uid="{0701B39B-16D4-4865-88AD-B061959F9C6E}"/>
    <cellStyle name="Comma 10 4 2 5" xfId="15636" xr:uid="{E41A848A-7876-4931-BCCB-1E3B4ADCEA7E}"/>
    <cellStyle name="Comma 10 4 3" xfId="3562" xr:uid="{00000000-0005-0000-0000-0000BF010000}"/>
    <cellStyle name="Comma 10 4 4" xfId="4391" xr:uid="{7996377A-9016-4AC6-B865-6A69B11B069A}"/>
    <cellStyle name="Comma 10 4 4 2" xfId="9163" xr:uid="{6CB582D5-41FF-4944-A280-0C4FE6078316}"/>
    <cellStyle name="Comma 10 4 4 2 2" xfId="19543" xr:uid="{27CC5494-322D-423C-BB28-E0A60C6110ED}"/>
    <cellStyle name="Comma 10 4 4 2 3" xfId="31057" xr:uid="{5579DD09-2BFB-4FE1-912C-2BC187101C35}"/>
    <cellStyle name="Comma 10 4 4 2 4" xfId="30643" xr:uid="{18A4DFC5-33A3-47FD-833B-2AE056D5805F}"/>
    <cellStyle name="Comma 10 4 4 3" xfId="11996" xr:uid="{09335994-8589-48E4-BFD4-26A50FF5AEA9}"/>
    <cellStyle name="Comma 10 4 4 3 2" xfId="22376" xr:uid="{4E488CB3-397C-426B-8403-440D39849D2B}"/>
    <cellStyle name="Comma 10 4 4 4" xfId="16710" xr:uid="{EA03CA2C-0671-499D-9482-3DE8228D1A5C}"/>
    <cellStyle name="Comma 10 4 5" xfId="5536" xr:uid="{1D2D61F4-F238-4E1D-88C6-0799050F2FDF}"/>
    <cellStyle name="Comma 10 4 5 2" xfId="29930" xr:uid="{2A9D8251-9F42-44B6-AE30-1987BF1D4A0C}"/>
    <cellStyle name="Comma 10 4 5 2 2" xfId="30955" xr:uid="{E9011422-05E3-4560-AAC8-5B0377BA6E5B}"/>
    <cellStyle name="Comma 10 4 6" xfId="23440" xr:uid="{1F415D9E-3343-4E70-B374-BF0C57340358}"/>
    <cellStyle name="Comma 10 4 7" xfId="13512" xr:uid="{93743F2C-543A-4E49-962E-7031F9E8B708}"/>
    <cellStyle name="Comma 10 5" xfId="1560" xr:uid="{00000000-0005-0000-0000-0000C0010000}"/>
    <cellStyle name="Comma 10 5 2" xfId="2653" xr:uid="{00000000-0005-0000-0000-00007B010000}"/>
    <cellStyle name="Comma 10 5 2 2" xfId="7778" xr:uid="{3DDBC7BE-A901-4188-A6BB-7D69CE764B7E}"/>
    <cellStyle name="Comma 10 5 2 2 2" xfId="18158" xr:uid="{3ED9956B-D763-45F4-8810-5149FC019E26}"/>
    <cellStyle name="Comma 10 5 2 3" xfId="10611" xr:uid="{26CDDB55-8FA7-4025-BB81-275208F0AB70}"/>
    <cellStyle name="Comma 10 5 2 3 2" xfId="20991" xr:uid="{1E7F1251-82E9-4624-8768-E0561EC9A6DC}"/>
    <cellStyle name="Comma 10 5 2 4" xfId="26074" xr:uid="{6532C758-C682-48C3-80A1-115C9B6CE70D}"/>
    <cellStyle name="Comma 10 5 2 5" xfId="26036" xr:uid="{851D1FE5-262F-47BB-AD32-6D95B7DB359F}"/>
    <cellStyle name="Comma 10 5 2 6" xfId="15325" xr:uid="{FCD4C034-6120-4AD9-ACB0-C0939607C6F5}"/>
    <cellStyle name="Comma 10 5 3" xfId="3591" xr:uid="{00000000-0005-0000-0000-0000C0010000}"/>
    <cellStyle name="Comma 10 5 4" xfId="5534" xr:uid="{3F9AD292-BB2B-40F9-81C9-C3017D3D9A9A}"/>
    <cellStyle name="Comma 10 5 4 2" xfId="29888" xr:uid="{6D06C6E3-D0AD-422D-A9DE-E301F61D463B}"/>
    <cellStyle name="Comma 10 5 5" xfId="23510" xr:uid="{F5391CC6-5F30-4E97-9853-0F67AF53CB19}"/>
    <cellStyle name="Comma 10 5 6" xfId="13055" xr:uid="{1711E3F4-ACE1-48FA-B5A8-3DBD139B8694}"/>
    <cellStyle name="Comma 10 6" xfId="2258" xr:uid="{00000000-0005-0000-0000-000075010000}"/>
    <cellStyle name="Comma 10 6 2" xfId="7385" xr:uid="{15130742-8A67-4621-8C40-0F3D4163C394}"/>
    <cellStyle name="Comma 10 6 2 2" xfId="26687" xr:uid="{79E726A4-9DA0-4DB0-B8E9-51BBC7EE02CC}"/>
    <cellStyle name="Comma 10 6 2 3" xfId="27825" xr:uid="{6FB07B07-2819-4851-9DF7-BD0DC7F568D1}"/>
    <cellStyle name="Comma 10 6 2 4" xfId="17765" xr:uid="{BB4334E2-C445-431B-8CDB-15B1B429D13F}"/>
    <cellStyle name="Comma 10 6 3" xfId="10218" xr:uid="{409859B8-66F3-45FA-80D9-F842B6ED1FC4}"/>
    <cellStyle name="Comma 10 6 3 2" xfId="20598" xr:uid="{CA42B181-1791-4D7F-BF63-367EF25451CB}"/>
    <cellStyle name="Comma 10 6 4" xfId="24019" xr:uid="{0581061B-923C-4723-8DC5-744752E54B59}"/>
    <cellStyle name="Comma 10 6 5" xfId="14932" xr:uid="{21E70192-B4A2-4CBD-B626-EC891C8A1715}"/>
    <cellStyle name="Comma 10 6 6" xfId="31267" xr:uid="{A4D5031B-2004-4538-BF8C-B4A048DF0DB4}"/>
    <cellStyle name="Comma 10 7" xfId="24295" xr:uid="{344DCAF3-DA96-45E3-9F88-C607554C61E4}"/>
    <cellStyle name="Comma 10 7 2" xfId="27814" xr:uid="{1067AA7F-8FEA-4C90-923A-936739E57666}"/>
    <cellStyle name="Comma 10 7 3" xfId="31152" xr:uid="{C5496218-A9DD-47F3-8C2E-81E3ADC8FD5D}"/>
    <cellStyle name="Comma 10 8" xfId="28005" xr:uid="{E7712595-FDE1-4527-8110-F08C9BD2B4D5}"/>
    <cellStyle name="Comma 10 9" xfId="26457" xr:uid="{34BF2C5E-A5C7-4A84-AB73-BFB00FFDC39F}"/>
    <cellStyle name="Comma 10 9 2" xfId="30398" xr:uid="{36D04115-A232-4017-8499-A0543DF30744}"/>
    <cellStyle name="Comma 11" xfId="444" xr:uid="{00000000-0005-0000-0000-0000C1010000}"/>
    <cellStyle name="Comma 11 10" xfId="13063" xr:uid="{8E0C7017-8DEA-40FD-985D-56991F403A78}"/>
    <cellStyle name="Comma 11 2" xfId="1567" xr:uid="{00000000-0005-0000-0000-0000C2010000}"/>
    <cellStyle name="Comma 11 2 2" xfId="3010" xr:uid="{00000000-0005-0000-0000-00007D010000}"/>
    <cellStyle name="Comma 11 2 2 2" xfId="8090" xr:uid="{5E38C6F0-92BC-4BB2-8A3E-EF11FEAFB91D}"/>
    <cellStyle name="Comma 11 2 2 2 2" xfId="18470" xr:uid="{FE827749-6B5E-41A8-9133-64CB55FDF8C5}"/>
    <cellStyle name="Comma 11 2 2 3" xfId="10923" xr:uid="{9525CB18-BD40-411F-A372-A378C8366764}"/>
    <cellStyle name="Comma 11 2 2 3 2" xfId="21303" xr:uid="{F204682C-033C-4E07-8752-E0A3AEBC9438}"/>
    <cellStyle name="Comma 11 2 2 4" xfId="23813" xr:uid="{6A8EB896-DA9B-42D5-92D6-733F06FBEA09}"/>
    <cellStyle name="Comma 11 2 2 4 2" xfId="30079" xr:uid="{1277A8FD-6083-436E-99F1-F49C951033A8}"/>
    <cellStyle name="Comma 11 2 2 5" xfId="27885" xr:uid="{B1387E97-B750-4462-BB42-E88FFD7D461E}"/>
    <cellStyle name="Comma 11 2 2 6" xfId="15637" xr:uid="{E2FD8341-04B0-40C5-A8B9-54B1723D69C1}"/>
    <cellStyle name="Comma 11 2 3" xfId="3634" xr:uid="{00000000-0005-0000-0000-0000C2010000}"/>
    <cellStyle name="Comma 11 2 3 2" xfId="27537" xr:uid="{9BF0D002-54D6-4672-940C-F391892866FB}"/>
    <cellStyle name="Comma 11 2 3 3" xfId="26789" xr:uid="{A21B1388-6E7D-4F54-BDEC-8951FFA22EF9}"/>
    <cellStyle name="Comma 11 2 4" xfId="5537" xr:uid="{85BC976A-D6DF-449B-8068-72E3AB781163}"/>
    <cellStyle name="Comma 11 2 4 2" xfId="29773" xr:uid="{687E3D0F-93F6-41FC-A263-BC359B09D7DC}"/>
    <cellStyle name="Comma 11 2 5" xfId="22658" xr:uid="{DF261529-5CBF-48FF-B11A-E4B73E8CE065}"/>
    <cellStyle name="Comma 11 2 5 2" xfId="27551" xr:uid="{19A3B2B9-8360-426E-920F-84472F4A25EE}"/>
    <cellStyle name="Comma 11 2 6" xfId="26591" xr:uid="{3DB6BBCB-30C4-456B-A531-F9B69381489D}"/>
    <cellStyle name="Comma 11 2 7" xfId="13513" xr:uid="{DFAE0D5A-3432-47A7-A8E2-7C9EDC2E8E11}"/>
    <cellStyle name="Comma 11 3" xfId="1568" xr:uid="{00000000-0005-0000-0000-0000C3010000}"/>
    <cellStyle name="Comma 11 3 2" xfId="2661" xr:uid="{00000000-0005-0000-0000-00007C010000}"/>
    <cellStyle name="Comma 11 3 2 2" xfId="7786" xr:uid="{B14EA288-52E0-47EB-9BA0-0823C2B83AE7}"/>
    <cellStyle name="Comma 11 3 2 2 2" xfId="18166" xr:uid="{0560D247-EB78-4545-81F1-4CAC6A923728}"/>
    <cellStyle name="Comma 11 3 2 3" xfId="10619" xr:uid="{8C430740-2DF2-47C0-ACE1-E0BCCC781C97}"/>
    <cellStyle name="Comma 11 3 2 3 2" xfId="20999" xr:uid="{391174CF-9412-4F8D-83DA-B4AE726E63DD}"/>
    <cellStyle name="Comma 11 3 2 4" xfId="15333" xr:uid="{C7E7A183-9066-4D98-BC1A-4F0C03C272B4}"/>
    <cellStyle name="Comma 11 3 2 5" xfId="30422" xr:uid="{9C10034A-DB87-4E31-9765-1BF6E5A23CE8}"/>
    <cellStyle name="Comma 11 3 3" xfId="3625" xr:uid="{00000000-0005-0000-0000-0000C3010000}"/>
    <cellStyle name="Comma 11 3 4" xfId="24017" xr:uid="{14E1B29C-AAA1-44F5-AD07-8E4FC697E6A9}"/>
    <cellStyle name="Comma 11 3 4 2" xfId="29748" xr:uid="{0055F465-A603-4D53-9DBD-2C902049CB61}"/>
    <cellStyle name="Comma 11 3 5" xfId="29890" xr:uid="{CCF74651-5B1C-4DDE-B115-CAD74F391071}"/>
    <cellStyle name="Comma 11 3 6" xfId="30008" xr:uid="{30856FF1-EAAD-4839-AAFB-735735686948}"/>
    <cellStyle name="Comma 11 4" xfId="1566" xr:uid="{00000000-0005-0000-0000-0000C4010000}"/>
    <cellStyle name="Comma 11 4 2" xfId="25795" xr:uid="{0F4819E6-8400-47DB-97BA-E4B83CC33474}"/>
    <cellStyle name="Comma 11 4 3" xfId="25826" xr:uid="{DEC04C91-C7FF-4AB4-AC6A-E34F8FE67955}"/>
    <cellStyle name="Comma 11 5" xfId="3857" xr:uid="{7F0E7226-DA02-4733-8EBF-63018CAE8A3E}"/>
    <cellStyle name="Comma 11 5 2" xfId="8689" xr:uid="{5F3D2954-FB8A-439F-9177-4FD20B4F2B0A}"/>
    <cellStyle name="Comma 11 5 2 2" xfId="28962" xr:uid="{4C38B510-AA8A-403A-83C8-5A36A526E45D}"/>
    <cellStyle name="Comma 11 5 2 3" xfId="26833" xr:uid="{3CC9D476-57D4-4B26-AE9D-90E08D6CEE9E}"/>
    <cellStyle name="Comma 11 5 2 4" xfId="19069" xr:uid="{0AAF2DCD-0D2C-4985-8C76-77EFB4A5B856}"/>
    <cellStyle name="Comma 11 5 2 5" xfId="31004" xr:uid="{E7EFB901-FFE8-4FD5-A500-07B63BEEACD2}"/>
    <cellStyle name="Comma 11 5 3" xfId="11522" xr:uid="{47F4E3D0-6E38-41CF-9E68-F0F1D2FCCC94}"/>
    <cellStyle name="Comma 11 5 3 2" xfId="21902" xr:uid="{2979FF1F-472C-4BE4-BBDB-9AE771FC2A2C}"/>
    <cellStyle name="Comma 11 5 4" xfId="25594" xr:uid="{8D907E07-DE0C-4EDB-A0C7-6D9DE2F35032}"/>
    <cellStyle name="Comma 11 5 5" xfId="16236" xr:uid="{58573940-3348-4AB4-BBD9-129E6CEA779B}"/>
    <cellStyle name="Comma 11 6" xfId="4850" xr:uid="{30A0D8D8-AAC0-467E-9791-B3C455F4C1A4}"/>
    <cellStyle name="Comma 11 6 2" xfId="28273" xr:uid="{6562DD5C-4E16-4F3E-BC7C-66B493874D9A}"/>
    <cellStyle name="Comma 11 6 3" xfId="26929" xr:uid="{D855C903-C8BC-4A7D-9D46-3B23F79B168B}"/>
    <cellStyle name="Comma 11 6 4" xfId="14138" xr:uid="{5A976A06-FC93-43F2-8D4C-DDDEFB6F70A4}"/>
    <cellStyle name="Comma 11 7" xfId="6591" xr:uid="{08C67E51-6066-46B6-8950-5C0747CE3E4F}"/>
    <cellStyle name="Comma 11 7 2" xfId="28655" xr:uid="{307FD33C-7482-47CA-958F-8E6E6255834A}"/>
    <cellStyle name="Comma 11 7 3" xfId="26370" xr:uid="{22241822-40B9-4C5F-BAA0-B4CEAA37248D}"/>
    <cellStyle name="Comma 11 7 4" xfId="16971" xr:uid="{6B3ADD83-2086-461E-A828-27C6E15B426B}"/>
    <cellStyle name="Comma 11 8" xfId="9424" xr:uid="{5BB44A02-409B-4D3D-9AF2-34F5E446AAE9}"/>
    <cellStyle name="Comma 11 8 2" xfId="19804" xr:uid="{8B3A9F9A-552F-4463-A641-D012EF865F7E}"/>
    <cellStyle name="Comma 11 9" xfId="23916" xr:uid="{E9B33E42-C20B-4F5B-97F7-8246E8E5F0E7}"/>
    <cellStyle name="Comma 12" xfId="1569" xr:uid="{00000000-0005-0000-0000-0000C5010000}"/>
    <cellStyle name="Comma 12 2" xfId="2428" xr:uid="{00000000-0005-0000-0000-00007E010000}"/>
    <cellStyle name="Comma 12 2 2" xfId="28671" xr:uid="{A187235A-CD3F-4FC3-B4B6-59B86A837F9C}"/>
    <cellStyle name="Comma 12 2 2 2" xfId="29787" xr:uid="{62F9D09B-9FF7-422B-A32D-3D37D1704DEF}"/>
    <cellStyle name="Comma 12 2 2 2 2" xfId="30646" xr:uid="{BACC46BC-C29D-4BF8-8F5B-BCC14C871348}"/>
    <cellStyle name="Comma 12 2 3" xfId="29656" xr:uid="{B47812A9-F555-454A-8F3F-946EFB179A34}"/>
    <cellStyle name="Comma 12 2 4" xfId="30096" xr:uid="{F83BC86D-1566-4D14-ACFD-F33C31141344}"/>
    <cellStyle name="Comma 12 3" xfId="3626" xr:uid="{00000000-0005-0000-0000-0000C5010000}"/>
    <cellStyle name="Comma 12 3 2" xfId="29788" xr:uid="{33AA548C-D797-4568-9126-E3D501F4FDC8}"/>
    <cellStyle name="Comma 12 3 3" xfId="29658" xr:uid="{11D32195-315E-49FB-ABE2-A5A93DFF4A4E}"/>
    <cellStyle name="Comma 12 4" xfId="5538" xr:uid="{A85C391B-D1F2-4216-9318-8F0D3F6AE60C}"/>
    <cellStyle name="Comma 12 4 2" xfId="29742" xr:uid="{8C58184A-BAEB-4E53-8424-41182C888A46}"/>
    <cellStyle name="Comma 12 4 2 2" xfId="30645" xr:uid="{EDF49783-1110-4297-BDA9-D7B8F2510818}"/>
    <cellStyle name="Comma 12 4 3" xfId="30561" xr:uid="{BD86C246-5046-425B-9AA5-444941F4BC54}"/>
    <cellStyle name="Comma 12 5" xfId="23517" xr:uid="{07A7475F-DD9D-4311-BCE3-CDFB929ABEC3}"/>
    <cellStyle name="Comma 12 5 2" xfId="24228" xr:uid="{737B9A1D-50A5-487A-9FD7-3644CCD4DE49}"/>
    <cellStyle name="Comma 12 6" xfId="29839" xr:uid="{6E14ACA3-AD72-4CFF-AC57-1A7106AAB474}"/>
    <cellStyle name="Comma 12 7" xfId="29984" xr:uid="{7B26457B-B100-45C9-AEF8-717D44DFD419}"/>
    <cellStyle name="Comma 12 8" xfId="29657" xr:uid="{018DB76F-8040-473C-9051-83E285BBCC78}"/>
    <cellStyle name="Comma 13" xfId="4847" xr:uid="{98FB8AE3-8A74-4A04-B00D-D9411690E8F8}"/>
    <cellStyle name="Comma 13 2" xfId="23769" xr:uid="{8137F544-9DC0-4A1D-A743-03E39E4E26C7}"/>
    <cellStyle name="Comma 13 3" xfId="27979" xr:uid="{280881A1-6BC3-460B-B930-F17C044447D4}"/>
    <cellStyle name="Comma 13 3 2" xfId="29987" xr:uid="{450A7152-C174-465E-A145-7A65D7CDF750}"/>
    <cellStyle name="Comma 13 4" xfId="14135" xr:uid="{B486616B-8B26-4DA6-8C53-0516518C48A3}"/>
    <cellStyle name="Comma 13 5" xfId="29615" xr:uid="{5F5E5C0E-EC18-477B-9B73-CD31B3561E61}"/>
    <cellStyle name="Comma 13 6" xfId="29590" xr:uid="{FB89F83E-E37C-4FFC-BA48-F04575448186}"/>
    <cellStyle name="Comma 13 6 2" xfId="30105" xr:uid="{74667268-208E-4EAB-8D25-919982D3AA46}"/>
    <cellStyle name="Comma 13 7" xfId="31694" xr:uid="{2B7125CE-691E-46A9-A75B-A95548906904}"/>
    <cellStyle name="Comma 14" xfId="6588" xr:uid="{086E4094-57BE-4FBE-A027-7BD0633E7C70}"/>
    <cellStyle name="Comma 14 2" xfId="16968" xr:uid="{1C47D78A-B6CF-4848-A816-4A799DD1F553}"/>
    <cellStyle name="Comma 15" xfId="9421" xr:uid="{A0D8A4E9-D361-4A4A-8D75-1F990BAA461F}"/>
    <cellStyle name="Comma 15 2" xfId="19801" xr:uid="{FFB068F8-D4CF-4B27-B252-D1FE2AC55C26}"/>
    <cellStyle name="Comma 16" xfId="12385" xr:uid="{2F36D744-A70D-4E96-A859-6F4569883850}"/>
    <cellStyle name="Comma 17" xfId="30100" xr:uid="{30B0F030-09BF-4437-91FA-9ED25A3FEA9F}"/>
    <cellStyle name="Comma 2" xfId="445" xr:uid="{00000000-0005-0000-0000-0000C6010000}"/>
    <cellStyle name="Comma 2 2" xfId="446" xr:uid="{00000000-0005-0000-0000-0000C7010000}"/>
    <cellStyle name="Comma 2 3" xfId="29539" xr:uid="{FF87FE22-8FF9-4CB2-B9A9-1CAE3BE8240A}"/>
    <cellStyle name="Comma 2 3 2" xfId="29627" xr:uid="{2FF2A936-0949-457A-B26A-E82D4DE91561}"/>
    <cellStyle name="Comma 2 3 3" xfId="29593" xr:uid="{9BDAE080-E5CC-418E-BF83-F4564BF71D85}"/>
    <cellStyle name="Comma 2 4" xfId="29540" xr:uid="{0E168A37-ECE3-4667-8B8B-59B3E1739C89}"/>
    <cellStyle name="Comma 2 5" xfId="29538" xr:uid="{9ACEBE5C-D959-4C0C-A362-D59AF18CF135}"/>
    <cellStyle name="Comma 3" xfId="447" xr:uid="{00000000-0005-0000-0000-0000C8010000}"/>
    <cellStyle name="Comma 3 2" xfId="448" xr:uid="{00000000-0005-0000-0000-0000C9010000}"/>
    <cellStyle name="Comma 3 2 2" xfId="29543" xr:uid="{84078DAF-EDCF-43CD-A64E-B780C7ADCCE3}"/>
    <cellStyle name="Comma 3 2 3" xfId="29542" xr:uid="{DDC3946A-F2B9-4B36-9F41-40F85EB2CBF2}"/>
    <cellStyle name="Comma 3 3" xfId="29544" xr:uid="{726CE31D-47C0-45A4-96F4-B60799298749}"/>
    <cellStyle name="Comma 3 3 2" xfId="29545" xr:uid="{C47C2F46-260D-4FDA-B2BD-10D1DFFEADB2}"/>
    <cellStyle name="Comma 3 3 3" xfId="29628" xr:uid="{CD3D052F-7127-4DEA-B161-3FEA76DFD702}"/>
    <cellStyle name="Comma 3 3 4" xfId="29594" xr:uid="{FABAFEB5-8032-4CAD-A462-DBE7A0863887}"/>
    <cellStyle name="Comma 3 4" xfId="29546" xr:uid="{EDEB217D-7C84-460A-8AD2-0CDC04253245}"/>
    <cellStyle name="Comma 3 5" xfId="29541" xr:uid="{B6A315B6-6A4C-4F1E-B295-BC34428F9581}"/>
    <cellStyle name="Comma 4" xfId="449" xr:uid="{00000000-0005-0000-0000-0000CA010000}"/>
    <cellStyle name="Comma 4 2" xfId="450" xr:uid="{00000000-0005-0000-0000-0000CB010000}"/>
    <cellStyle name="Comma 4 2 2" xfId="1571" xr:uid="{00000000-0005-0000-0000-0000CC010000}"/>
    <cellStyle name="Comma 4 2 2 2" xfId="25800" xr:uid="{6C936276-319B-4783-84AB-EFE78A676F45}"/>
    <cellStyle name="Comma 4 2 2 2 2" xfId="29827" xr:uid="{DE635B18-0487-4AE6-BFE3-D3C44E388539}"/>
    <cellStyle name="Comma 4 2 2 3" xfId="23122" xr:uid="{ECBCBC83-1276-4F3B-90ED-6EB6B5E3BEE4}"/>
    <cellStyle name="Comma 4 2 3" xfId="1572" xr:uid="{00000000-0005-0000-0000-0000CD010000}"/>
    <cellStyle name="Comma 4 2 3 2" xfId="31306" xr:uid="{49A9EC71-F7ED-4673-8683-2A4474D511C9}"/>
    <cellStyle name="Comma 4 2 3 3" xfId="31259" xr:uid="{23FD20D2-6052-4A6D-AD0A-35FA86F58AFB}"/>
    <cellStyle name="Comma 4 2 4" xfId="1570" xr:uid="{00000000-0005-0000-0000-0000CE010000}"/>
    <cellStyle name="Comma 4 2 5" xfId="30400" xr:uid="{5DA86F6A-D3C0-4A5F-9842-2E156ABF6968}"/>
    <cellStyle name="Comma 4 2 5 2" xfId="30423" xr:uid="{9B6E160E-E0CE-4CCE-BEB0-650117FAFF0C}"/>
    <cellStyle name="Comma 4 3" xfId="451" xr:uid="{00000000-0005-0000-0000-0000CF010000}"/>
    <cellStyle name="Comma 4 4" xfId="452" xr:uid="{00000000-0005-0000-0000-0000D0010000}"/>
    <cellStyle name="Comma 4 4 10" xfId="28449" xr:uid="{A9DC37B0-8CFA-4310-AAFD-BCD159EA3EDD}"/>
    <cellStyle name="Comma 4 4 11" xfId="14139" xr:uid="{8250F2EE-509B-49F5-8FBF-2BD44CC06118}"/>
    <cellStyle name="Comma 4 4 2" xfId="453" xr:uid="{00000000-0005-0000-0000-0000D1010000}"/>
    <cellStyle name="Comma 4 4 2 2" xfId="1575" xr:uid="{00000000-0005-0000-0000-0000D2010000}"/>
    <cellStyle name="Comma 4 4 2 3" xfId="1576" xr:uid="{00000000-0005-0000-0000-0000D3010000}"/>
    <cellStyle name="Comma 4 4 2 4" xfId="1574" xr:uid="{00000000-0005-0000-0000-0000D4010000}"/>
    <cellStyle name="Comma 4 4 2 5" xfId="6593" xr:uid="{610E9AB1-2307-4BBC-B77C-E877CA94AFC9}"/>
    <cellStyle name="Comma 4 4 2 5 2" xfId="16973" xr:uid="{0E82BE4F-B5B2-4C44-AEA4-E1860FE489C9}"/>
    <cellStyle name="Comma 4 4 2 6" xfId="9426" xr:uid="{C6BC21DB-B339-438F-A7ED-DD39A84D8F20}"/>
    <cellStyle name="Comma 4 4 2 6 2" xfId="19806" xr:uid="{860E20B2-5597-4943-816C-C02653EE99BB}"/>
    <cellStyle name="Comma 4 4 2 7" xfId="23638" xr:uid="{F00C2900-4C79-4650-9AB3-12D69A75DB55}"/>
    <cellStyle name="Comma 4 4 2 8" xfId="14140" xr:uid="{B456A1BF-4F23-4795-94B8-D827D09E4DA1}"/>
    <cellStyle name="Comma 4 4 3" xfId="1577" xr:uid="{00000000-0005-0000-0000-0000D5010000}"/>
    <cellStyle name="Comma 4 4 3 2" xfId="31307" xr:uid="{562EDFC7-98B1-48F5-955F-063537062A1F}"/>
    <cellStyle name="Comma 4 4 3 3" xfId="31270" xr:uid="{16BF9C11-0CAE-4CE6-9869-9C95A116E155}"/>
    <cellStyle name="Comma 4 4 4" xfId="1578" xr:uid="{00000000-0005-0000-0000-0000D6010000}"/>
    <cellStyle name="Comma 4 4 5" xfId="1573" xr:uid="{00000000-0005-0000-0000-0000D7010000}"/>
    <cellStyle name="Comma 4 4 6" xfId="6592" xr:uid="{0A8D3A67-A64F-4F53-AF0B-B594D2086FBC}"/>
    <cellStyle name="Comma 4 4 6 2" xfId="16972" xr:uid="{7B67508C-5F76-4FE1-BF6B-9F15A2B0DB00}"/>
    <cellStyle name="Comma 4 4 6 3" xfId="29822" xr:uid="{74EDB160-7CBA-4494-B188-F170C704F614}"/>
    <cellStyle name="Comma 4 4 7" xfId="9425" xr:uid="{566C6727-3490-4DCA-972B-8B31A47A8CF6}"/>
    <cellStyle name="Comma 4 4 7 2" xfId="19805" xr:uid="{6359102D-085E-4127-BB07-F596F983F298}"/>
    <cellStyle name="Comma 4 4 8" xfId="25495" xr:uid="{6D6D912C-EA9B-4831-9BCB-63F7FB0B1EA0}"/>
    <cellStyle name="Comma 4 4 9" xfId="23347" xr:uid="{088E0EFF-890F-451E-B14F-29F2F5D0498C}"/>
    <cellStyle name="Comma 4 5" xfId="454" xr:uid="{00000000-0005-0000-0000-0000D8010000}"/>
    <cellStyle name="Comma 4 5 2" xfId="1580" xr:uid="{00000000-0005-0000-0000-0000D9010000}"/>
    <cellStyle name="Comma 4 5 3" xfId="1581" xr:uid="{00000000-0005-0000-0000-0000DA010000}"/>
    <cellStyle name="Comma 4 5 4" xfId="1579" xr:uid="{00000000-0005-0000-0000-0000DB010000}"/>
    <cellStyle name="Comma 4 5 5" xfId="6594" xr:uid="{8A35B263-6F7A-49AC-8E7A-20930DCA1217}"/>
    <cellStyle name="Comma 4 5 5 2" xfId="16974" xr:uid="{9E7A9994-646C-4A7E-83E3-D82D76F3A78D}"/>
    <cellStyle name="Comma 4 5 6" xfId="9427" xr:uid="{1531D1A5-9674-41AD-95ED-44F3749628F4}"/>
    <cellStyle name="Comma 4 5 6 2" xfId="19807" xr:uid="{249AEF1A-76CC-48B8-9873-7EEABD898AE0}"/>
    <cellStyle name="Comma 4 5 7" xfId="25515" xr:uid="{0DEAA704-F95C-4E87-9110-9FD463A997C0}"/>
    <cellStyle name="Comma 4 5 8" xfId="14141" xr:uid="{A3A65910-F8AA-4619-B243-F249B19835F3}"/>
    <cellStyle name="Comma 4 6" xfId="1582" xr:uid="{00000000-0005-0000-0000-0000DC010000}"/>
    <cellStyle name="Comma 4 6 2" xfId="31308" xr:uid="{3EE936EE-7448-454D-8369-0075FED3742F}"/>
    <cellStyle name="Comma 4 6 3" xfId="31258" xr:uid="{AFF60B54-71D9-4F5E-95FC-6C8E9DA513F1}"/>
    <cellStyle name="Comma 4 7" xfId="29547" xr:uid="{B78349B5-AC35-4642-873C-F8F50234A6AC}"/>
    <cellStyle name="Comma 4 7 2" xfId="30399" xr:uid="{D7B37039-F76C-4235-9170-2C1DDBE8BEAC}"/>
    <cellStyle name="Comma 5" xfId="455" xr:uid="{00000000-0005-0000-0000-0000DD010000}"/>
    <cellStyle name="Comma 5 10" xfId="456" xr:uid="{00000000-0005-0000-0000-0000DE010000}"/>
    <cellStyle name="Comma 5 10 10" xfId="12503" xr:uid="{A85F005E-B09D-4C3C-B6DC-D559A6ED639C}"/>
    <cellStyle name="Comma 5 10 2" xfId="1584" xr:uid="{00000000-0005-0000-0000-0000DF010000}"/>
    <cellStyle name="Comma 5 10 2 2" xfId="3011" xr:uid="{00000000-0005-0000-0000-000088010000}"/>
    <cellStyle name="Comma 5 10 2 2 2" xfId="8091" xr:uid="{F1C70A20-B2B4-48DD-B456-14BC0DB6DEE9}"/>
    <cellStyle name="Comma 5 10 2 2 2 2" xfId="18471" xr:uid="{D65F5C81-3178-4486-8000-FCF3BEE00980}"/>
    <cellStyle name="Comma 5 10 2 2 2 2 2" xfId="31141" xr:uid="{BC4DE43E-54B6-47AE-8D8D-5E090F90402D}"/>
    <cellStyle name="Comma 5 10 2 2 2 2 3" xfId="30648" xr:uid="{780AA264-0FC4-467A-BD71-C14BFA2B4099}"/>
    <cellStyle name="Comma 5 10 2 2 3" xfId="10924" xr:uid="{B5528361-C365-4949-B220-3DC910C95B2B}"/>
    <cellStyle name="Comma 5 10 2 2 3 2" xfId="21304" xr:uid="{03F24B28-9B30-484A-95F2-76CD18C333A5}"/>
    <cellStyle name="Comma 5 10 2 2 4" xfId="23027" xr:uid="{6ED6C659-6C8B-4E98-AD16-21CAEAAA3990}"/>
    <cellStyle name="Comma 5 10 2 2 4 2" xfId="30078" xr:uid="{5D480D1D-8388-4F62-9CF4-9DBF9FA54D95}"/>
    <cellStyle name="Comma 5 10 2 2 5" xfId="28262" xr:uid="{0E89BC2C-AAC0-4BAF-90DA-612E91064FF9}"/>
    <cellStyle name="Comma 5 10 2 2 6" xfId="15638" xr:uid="{3D955D92-2834-48F1-81DE-3F0910DB23C3}"/>
    <cellStyle name="Comma 5 10 2 3" xfId="3683" xr:uid="{00000000-0005-0000-0000-0000DF010000}"/>
    <cellStyle name="Comma 5 10 2 3 2" xfId="27096" xr:uid="{A08B0E6B-8819-4B03-BF4E-42DDA3B90808}"/>
    <cellStyle name="Comma 5 10 2 3 3" xfId="26278" xr:uid="{D8061839-6EED-4DBC-8891-D026AE25DEC1}"/>
    <cellStyle name="Comma 5 10 2 4" xfId="5539" xr:uid="{6282514B-C4EC-426C-83CA-45A820F60EA8}"/>
    <cellStyle name="Comma 5 10 2 4 2" xfId="29774" xr:uid="{1FDA87F3-3FD6-448E-9F67-39316B95EE76}"/>
    <cellStyle name="Comma 5 10 2 4 2 2" xfId="31493" xr:uid="{1199F9C1-2C32-4C48-9889-51EEF7A981C2}"/>
    <cellStyle name="Comma 5 10 2 5" xfId="23292" xr:uid="{0EAE3213-47AE-4FC6-89F7-5549C8EC9759}"/>
    <cellStyle name="Comma 5 10 2 5 2" xfId="25832" xr:uid="{C3EB4B5C-4375-4089-99BE-C914117611CD}"/>
    <cellStyle name="Comma 5 10 2 6" xfId="26814" xr:uid="{5CB19104-F3F2-4DE7-808E-E41D689C1F77}"/>
    <cellStyle name="Comma 5 10 2 7" xfId="13514" xr:uid="{4AFFE940-20D3-42F6-9C7D-82F9186E7D63}"/>
    <cellStyle name="Comma 5 10 3" xfId="1585" xr:uid="{00000000-0005-0000-0000-0000E0010000}"/>
    <cellStyle name="Comma 5 10 3 2" xfId="2664" xr:uid="{00000000-0005-0000-0000-000089010000}"/>
    <cellStyle name="Comma 5 10 3 2 2" xfId="7788" xr:uid="{D863A7D1-FDB3-4B9D-BAAD-9D7D509DDC5B}"/>
    <cellStyle name="Comma 5 10 3 2 2 2" xfId="18168" xr:uid="{2A823F66-1FDA-4DB6-90BA-52A796C69F02}"/>
    <cellStyle name="Comma 5 10 3 2 2 2 2" xfId="31134" xr:uid="{D66B271E-31C5-428C-ACF2-9245CA7B6F3D}"/>
    <cellStyle name="Comma 5 10 3 2 2 2 3" xfId="30649" xr:uid="{5209E49B-98EE-4AAE-8B20-56D727995719}"/>
    <cellStyle name="Comma 5 10 3 2 3" xfId="10621" xr:uid="{B59C76FD-A4E9-4866-9F1E-6518BC0C5396}"/>
    <cellStyle name="Comma 5 10 3 2 3 2" xfId="21001" xr:uid="{47E7FFC6-63B5-4650-B36B-84C80C2755B8}"/>
    <cellStyle name="Comma 5 10 3 2 4" xfId="15335" xr:uid="{62DDD7AA-A1D8-420F-846E-73F0CBC3D630}"/>
    <cellStyle name="Comma 5 10 3 2 5" xfId="30424" xr:uid="{0D3BEB3D-D227-4EB9-9B37-EBD8C7DD146B}"/>
    <cellStyle name="Comma 5 10 3 3" xfId="3623" xr:uid="{00000000-0005-0000-0000-0000E0010000}"/>
    <cellStyle name="Comma 5 10 3 4" xfId="5540" xr:uid="{2F4176BB-1147-4705-9BF5-3478E814BF1F}"/>
    <cellStyle name="Comma 5 10 3 4 2" xfId="29750" xr:uid="{C0AE8EE6-7BBE-424E-806D-886FC26B0A0A}"/>
    <cellStyle name="Comma 5 10 3 5" xfId="24425" xr:uid="{440A3D29-60C1-4AFD-B777-DEDEC2F90CDC}"/>
    <cellStyle name="Comma 5 10 3 6" xfId="13065" xr:uid="{4A179273-1E94-4440-A91B-D0CE1562A50D}"/>
    <cellStyle name="Comma 5 10 4" xfId="1583" xr:uid="{00000000-0005-0000-0000-0000E1010000}"/>
    <cellStyle name="Comma 5 10 4 2" xfId="2271" xr:uid="{00000000-0005-0000-0000-000087010000}"/>
    <cellStyle name="Comma 5 10 4 2 2" xfId="7398" xr:uid="{2C0DCA8C-6BD6-4848-A250-23AB56676728}"/>
    <cellStyle name="Comma 5 10 4 2 2 2" xfId="17778" xr:uid="{B21D7D75-3244-4F26-B490-5EC2650D1448}"/>
    <cellStyle name="Comma 5 10 4 2 3" xfId="10231" xr:uid="{6B2CC225-FDF3-4BE5-9315-88A728D24FD6}"/>
    <cellStyle name="Comma 5 10 4 2 3 2" xfId="20611" xr:uid="{6E6A4E4B-61FB-458D-A4B9-C9CB4689F4FD}"/>
    <cellStyle name="Comma 5 10 4 2 4" xfId="28324" xr:uid="{7695E883-6177-431C-8532-EA8870BB0990}"/>
    <cellStyle name="Comma 5 10 4 2 5" xfId="28329" xr:uid="{FC723014-751A-4A40-BE67-D3567892532F}"/>
    <cellStyle name="Comma 5 10 4 2 6" xfId="14945" xr:uid="{352031EF-2D57-4537-BD5B-0BDF6743C8E4}"/>
    <cellStyle name="Comma 5 10 4 3" xfId="3577" xr:uid="{00000000-0005-0000-0000-0000E1010000}"/>
    <cellStyle name="Comma 5 10 4 4" xfId="23912" xr:uid="{A0E22693-D6AA-4593-989F-35C45B43184B}"/>
    <cellStyle name="Comma 5 10 5" xfId="3859" xr:uid="{F8C8D734-DCC5-4C88-B842-664E1299CBF0}"/>
    <cellStyle name="Comma 5 10 5 2" xfId="8691" xr:uid="{5E5913C1-036C-42F6-8350-C4BD4BAE9EF4}"/>
    <cellStyle name="Comma 5 10 5 2 2" xfId="28963" xr:uid="{7ED6E5D1-F2F9-47D7-B3B9-B23DAC9DEA56}"/>
    <cellStyle name="Comma 5 10 5 2 2 2" xfId="31241" xr:uid="{A60BA2E9-5E09-4F2A-9DB6-B3FEE45D40DC}"/>
    <cellStyle name="Comma 5 10 5 2 2 3" xfId="30647" xr:uid="{10006A27-5DF4-43B7-AE9F-0CE667495F20}"/>
    <cellStyle name="Comma 5 10 5 2 3" xfId="26070" xr:uid="{0A54DC91-F591-42A2-BA5E-7276541616CC}"/>
    <cellStyle name="Comma 5 10 5 2 4" xfId="19071" xr:uid="{273ED19A-6305-4A08-8B50-05B302DCC7A3}"/>
    <cellStyle name="Comma 5 10 5 3" xfId="11524" xr:uid="{0C78AAE6-034A-4A1B-8A3F-C1AD74B711C7}"/>
    <cellStyle name="Comma 5 10 5 3 2" xfId="21904" xr:uid="{3ACF1F89-59B6-459B-A2BF-64F748857E3F}"/>
    <cellStyle name="Comma 5 10 5 4" xfId="25303" xr:uid="{C0390E66-4C52-4772-BEDB-6D55E1EA2350}"/>
    <cellStyle name="Comma 5 10 5 5" xfId="16238" xr:uid="{7AC3AC5A-1212-49EF-A828-8E7C20DAFED6}"/>
    <cellStyle name="Comma 5 10 6" xfId="4852" xr:uid="{B5AA8CEF-C25B-4DA3-B914-31CD98DD93BF}"/>
    <cellStyle name="Comma 5 10 6 2" xfId="28046" xr:uid="{FD1B2980-5F21-4760-88F9-92CC3E105641}"/>
    <cellStyle name="Comma 5 10 6 3" xfId="26553" xr:uid="{EF223D4E-E1BC-4881-ABF4-3BBB515CECFC}"/>
    <cellStyle name="Comma 5 10 6 4" xfId="14143" xr:uid="{140302DF-BE3B-4369-92CC-B67CEE834879}"/>
    <cellStyle name="Comma 5 10 7" xfId="6596" xr:uid="{C3AD3989-BC4A-4AAA-AEC2-B08705FCE9B0}"/>
    <cellStyle name="Comma 5 10 7 2" xfId="28029" xr:uid="{B837468C-BEBF-4CEC-ADE2-12B1FCAED4F9}"/>
    <cellStyle name="Comma 5 10 7 3" xfId="27371" xr:uid="{8EED9F44-3498-430B-BC6B-CC256C591A9F}"/>
    <cellStyle name="Comma 5 10 7 4" xfId="16976" xr:uid="{75EEF300-26D6-4B14-B5AF-ECB65CBCCB05}"/>
    <cellStyle name="Comma 5 10 8" xfId="9429" xr:uid="{5484C410-9246-4841-A9A7-890E6C7CA77F}"/>
    <cellStyle name="Comma 5 10 8 2" xfId="19809" xr:uid="{FC6C34CB-2ADD-4980-9E17-6E4E388A755C}"/>
    <cellStyle name="Comma 5 10 9" xfId="23859" xr:uid="{2F610054-85E4-42A4-90E0-D52A865C355A}"/>
    <cellStyle name="Comma 5 11" xfId="457" xr:uid="{00000000-0005-0000-0000-0000E2010000}"/>
    <cellStyle name="Comma 5 11 10" xfId="12661" xr:uid="{1966AA8B-6911-4191-8EF9-D4B44BA16B12}"/>
    <cellStyle name="Comma 5 11 2" xfId="1587" xr:uid="{00000000-0005-0000-0000-0000E3010000}"/>
    <cellStyle name="Comma 5 11 2 2" xfId="3012" xr:uid="{00000000-0005-0000-0000-00008B010000}"/>
    <cellStyle name="Comma 5 11 2 2 2" xfId="8092" xr:uid="{A686F410-99C8-4E53-A4B9-F200FED0F5FE}"/>
    <cellStyle name="Comma 5 11 2 2 2 2" xfId="18472" xr:uid="{5B5E9A11-8327-49C7-852B-1B0EC750B7F4}"/>
    <cellStyle name="Comma 5 11 2 2 2 2 2" xfId="31142" xr:uid="{BEACBA90-14BE-4F92-B5E7-3C26563FBC82}"/>
    <cellStyle name="Comma 5 11 2 2 2 2 3" xfId="30650" xr:uid="{EE401E08-5210-4185-B9F9-C2D3DC80A78B}"/>
    <cellStyle name="Comma 5 11 2 2 2 3" xfId="30081" xr:uid="{E6661E45-819E-42CB-8A7D-43A8E81FC579}"/>
    <cellStyle name="Comma 5 11 2 2 3" xfId="10925" xr:uid="{8C6A2058-F80A-4732-A1AD-C675F255A21E}"/>
    <cellStyle name="Comma 5 11 2 2 3 2" xfId="21305" xr:uid="{9A7CB507-8DF3-4257-9E46-9E278E1B8C79}"/>
    <cellStyle name="Comma 5 11 2 2 4" xfId="26965" xr:uid="{CDD14B4E-3B05-4D91-99DD-069BE67AF33A}"/>
    <cellStyle name="Comma 5 11 2 2 5" xfId="27153" xr:uid="{DB84D4BF-7756-42ED-91FF-484D48E26118}"/>
    <cellStyle name="Comma 5 11 2 2 6" xfId="15639" xr:uid="{246F413A-E2AF-4FA9-B3F2-1839EB858537}"/>
    <cellStyle name="Comma 5 11 2 3" xfId="3667" xr:uid="{00000000-0005-0000-0000-0000E3010000}"/>
    <cellStyle name="Comma 5 11 2 4" xfId="5541" xr:uid="{4A98B1E2-1852-47FD-B8E3-2DAC983AEE30}"/>
    <cellStyle name="Comma 5 11 2 4 2" xfId="29775" xr:uid="{5B89B83B-E1C6-40C5-AF29-1ADC272529C9}"/>
    <cellStyle name="Comma 5 11 2 5" xfId="22728" xr:uid="{8D9ECDAE-292F-46A0-BFD2-DA9957370FAD}"/>
    <cellStyle name="Comma 5 11 2 6" xfId="13515" xr:uid="{39ABB685-FAC4-4C1E-B36A-85BFF7734362}"/>
    <cellStyle name="Comma 5 11 2 7" xfId="29988" xr:uid="{A3343EC1-8F20-4E29-86BB-E29B03AAC49D}"/>
    <cellStyle name="Comma 5 11 3" xfId="1588" xr:uid="{00000000-0005-0000-0000-0000E4010000}"/>
    <cellStyle name="Comma 5 11 3 2" xfId="23724" xr:uid="{DE4AAC3D-5400-4129-ACD2-D8964E8AE622}"/>
    <cellStyle name="Comma 5 11 3 2 2" xfId="29678" xr:uid="{9474F383-D5BD-41F9-8619-741081722E0E}"/>
    <cellStyle name="Comma 5 11 3 2 2 2" xfId="30651" xr:uid="{14E09C75-6A48-4605-B0CF-75A08A9D1184}"/>
    <cellStyle name="Comma 5 11 3 3" xfId="25078" xr:uid="{C5B7A41E-9D71-47D2-9EF7-127D9DBA2D47}"/>
    <cellStyle name="Comma 5 11 3 3 2" xfId="30089" xr:uid="{234EB7E4-AF97-4EA4-B207-EBADEEC79F40}"/>
    <cellStyle name="Comma 5 11 3 3 3" xfId="29790" xr:uid="{93461E03-FAE1-47C5-BE60-8136A914F2E8}"/>
    <cellStyle name="Comma 5 11 3 4" xfId="29931" xr:uid="{ED92591A-7C8B-4C2B-9824-630241CBB16F}"/>
    <cellStyle name="Comma 5 11 3 5" xfId="30049" xr:uid="{A605A163-DF82-49C7-BA28-2842EBC3D630}"/>
    <cellStyle name="Comma 5 11 3 6" xfId="29659" xr:uid="{88614ECA-9FAA-44D9-8706-EB4957BA3CF1}"/>
    <cellStyle name="Comma 5 11 4" xfId="1586" xr:uid="{00000000-0005-0000-0000-0000E5010000}"/>
    <cellStyle name="Comma 5 11 4 2" xfId="25781" xr:uid="{DBEBD298-D49E-492E-82DD-D45AE9C70099}"/>
    <cellStyle name="Comma 5 11 4 2 2" xfId="29791" xr:uid="{6E3F2F72-313F-4976-A168-08F65B495545}"/>
    <cellStyle name="Comma 5 11 4 2 2 2" xfId="30652" xr:uid="{DD9EEB0E-77BF-4E10-96B5-564B49FC67E2}"/>
    <cellStyle name="Comma 5 11 4 3" xfId="25812" xr:uid="{3DDE5F0F-E80C-49A7-A2F9-760F7B731187}"/>
    <cellStyle name="Comma 5 11 5" xfId="4118" xr:uid="{326795D2-3CE4-4B44-9613-7463CD743D12}"/>
    <cellStyle name="Comma 5 11 5 2" xfId="8890" xr:uid="{ECCB6D7E-C429-4896-A166-281E63951623}"/>
    <cellStyle name="Comma 5 11 5 2 2" xfId="19270" xr:uid="{C44CDE0A-5662-497E-A88C-E6558F00915E}"/>
    <cellStyle name="Comma 5 11 5 3" xfId="11723" xr:uid="{9AAE4BD8-E8D5-4F67-964B-77E7561EB31F}"/>
    <cellStyle name="Comma 5 11 5 3 2" xfId="22103" xr:uid="{C0BEB642-CEF7-49CD-A5E0-AF132CFA3016}"/>
    <cellStyle name="Comma 5 11 5 4" xfId="26947" xr:uid="{8FCFEBD1-9C61-417C-9361-BA6BACD9EE18}"/>
    <cellStyle name="Comma 5 11 5 5" xfId="26068" xr:uid="{A550E6A6-0D23-4FF4-817E-3EF3384416BB}"/>
    <cellStyle name="Comma 5 11 5 6" xfId="16437" xr:uid="{C1A61E72-5B41-4C1D-93D9-C0FF857E260F}"/>
    <cellStyle name="Comma 5 11 6" xfId="4853" xr:uid="{7F35F456-CEA9-47F3-ACCB-BB64D045948A}"/>
    <cellStyle name="Comma 5 11 6 2" xfId="27442" xr:uid="{1ACF7B3B-8BF9-4617-AFD7-425DDFC57C66}"/>
    <cellStyle name="Comma 5 11 6 3" xfId="27439" xr:uid="{FDE17731-3386-4AC0-A1F8-63BB2D8DAC43}"/>
    <cellStyle name="Comma 5 11 6 4" xfId="14144" xr:uid="{4AD93818-DB36-44F7-BA3F-4C514E4885F1}"/>
    <cellStyle name="Comma 5 11 7" xfId="6597" xr:uid="{E603367D-691C-488F-8700-9B7F21B923E4}"/>
    <cellStyle name="Comma 5 11 7 2" xfId="16977" xr:uid="{F038355B-C278-4949-A2DC-F6D04B005AFA}"/>
    <cellStyle name="Comma 5 11 8" xfId="9430" xr:uid="{43960141-1975-43C7-BB87-1966EFE5FC2B}"/>
    <cellStyle name="Comma 5 11 8 2" xfId="19810" xr:uid="{0AFB9F97-FB29-46DD-B839-C554FF6E03EE}"/>
    <cellStyle name="Comma 5 11 9" xfId="25325" xr:uid="{D9CE3968-1E51-41A1-A7DC-42C9DD7789D6}"/>
    <cellStyle name="Comma 5 12" xfId="458" xr:uid="{00000000-0005-0000-0000-0000E6010000}"/>
    <cellStyle name="Comma 5 12 2" xfId="1590" xr:uid="{00000000-0005-0000-0000-0000E7010000}"/>
    <cellStyle name="Comma 5 12 2 2" xfId="23644" xr:uid="{EF680471-4A71-491B-8847-27ACE345D225}"/>
    <cellStyle name="Comma 5 12 2 2 2" xfId="29803" xr:uid="{28069167-96F1-4760-B171-26C9359F893A}"/>
    <cellStyle name="Comma 5 12 2 2 2 2" xfId="30654" xr:uid="{1C15ADE8-9C6B-4E22-ABDB-1CDE3C1EAEF3}"/>
    <cellStyle name="Comma 5 12 2 3" xfId="25392" xr:uid="{743C3469-6FF5-41E6-ABC2-03AE1A3F0028}"/>
    <cellStyle name="Comma 5 12 2 3 2" xfId="30095" xr:uid="{8FDA08CE-536E-4BFE-98F8-7C70F6A1D15C}"/>
    <cellStyle name="Comma 5 12 2 3 3" xfId="29789" xr:uid="{4BBFA82A-C001-427F-A921-B1CB7AFDA3A9}"/>
    <cellStyle name="Comma 5 12 2 4" xfId="29920" xr:uid="{004245DF-BDE0-4333-8AC4-755018D8E4AD}"/>
    <cellStyle name="Comma 5 12 2 5" xfId="30034" xr:uid="{0ACE1595-6482-489E-B630-577F27B231A3}"/>
    <cellStyle name="Comma 5 12 2 6" xfId="29654" xr:uid="{2C57DB15-B736-4E88-AEC9-323F5ACFBD95}"/>
    <cellStyle name="Comma 5 12 3" xfId="1591" xr:uid="{00000000-0005-0000-0000-0000E8010000}"/>
    <cellStyle name="Comma 5 12 3 2" xfId="23256" xr:uid="{6D57B10A-6741-4069-93BF-29EFDF4F6C0B}"/>
    <cellStyle name="Comma 5 12 3 3" xfId="24384" xr:uid="{F61EDBCB-4E7F-4373-BBB6-91316B7F1263}"/>
    <cellStyle name="Comma 5 12 4" xfId="1589" xr:uid="{00000000-0005-0000-0000-0000E9010000}"/>
    <cellStyle name="Comma 5 12 5" xfId="4854" xr:uid="{F159FDFA-5E1D-4A42-9FB3-8400939452AE}"/>
    <cellStyle name="Comma 5 12 5 2" xfId="14145" xr:uid="{6CAB6457-CDF0-43E9-8573-01A4850CBF99}"/>
    <cellStyle name="Comma 5 12 5 2 2" xfId="31113" xr:uid="{C0AE9176-2E0B-4399-B7EF-13AFE3E0D51C}"/>
    <cellStyle name="Comma 5 12 5 2 3" xfId="30653" xr:uid="{540D4B2D-5839-41C4-BB67-C634993101F7}"/>
    <cellStyle name="Comma 5 12 6" xfId="6598" xr:uid="{3A255307-572F-4096-BE3B-A84D759EBA98}"/>
    <cellStyle name="Comma 5 12 6 2" xfId="16978" xr:uid="{C2E33B45-1448-434C-98E9-36181F6C14F8}"/>
    <cellStyle name="Comma 5 12 7" xfId="9431" xr:uid="{DE176410-6284-42C9-B0CF-A8C658E03F46}"/>
    <cellStyle name="Comma 5 12 7 2" xfId="19811" xr:uid="{DB459E27-E6F7-4C87-A63E-D5F7A6CC076E}"/>
    <cellStyle name="Comma 5 12 8" xfId="24809" xr:uid="{90958A69-207E-4B87-B4BE-8D883B54759B}"/>
    <cellStyle name="Comma 5 12 9" xfId="13359" xr:uid="{19A90194-FA7E-440E-AF4A-92CD549DEC9F}"/>
    <cellStyle name="Comma 5 13" xfId="1592" xr:uid="{00000000-0005-0000-0000-0000EA010000}"/>
    <cellStyle name="Comma 5 13 2" xfId="2429" xr:uid="{00000000-0005-0000-0000-00008D010000}"/>
    <cellStyle name="Comma 5 13 2 2" xfId="7554" xr:uid="{B91CD4AA-AFD9-47AC-B12D-1B567D59EEF3}"/>
    <cellStyle name="Comma 5 13 2 2 2" xfId="17934" xr:uid="{E8437ED8-2295-4E8E-BDF0-609A90FEDE0F}"/>
    <cellStyle name="Comma 5 13 2 2 2 2" xfId="31131" xr:uid="{449A2E8F-2AC7-47DC-B478-E5E05118B3AB}"/>
    <cellStyle name="Comma 5 13 2 2 2 3" xfId="30655" xr:uid="{9E013BF8-2A6D-4407-97E0-37CC1EB70273}"/>
    <cellStyle name="Comma 5 13 2 3" xfId="10387" xr:uid="{BFE02990-9404-4EE5-99FB-5B33B4DA9EDF}"/>
    <cellStyle name="Comma 5 13 2 3 2" xfId="20767" xr:uid="{2A4646E5-E7C9-419B-BD7A-C79F73C315A2}"/>
    <cellStyle name="Comma 5 13 2 4" xfId="27801" xr:uid="{5006A1E1-AA79-4A0C-B7B1-2FEC3203E50F}"/>
    <cellStyle name="Comma 5 13 2 5" xfId="26644" xr:uid="{B9000EF6-D70E-4F90-9CE9-E75B119014F2}"/>
    <cellStyle name="Comma 5 13 2 6" xfId="15101" xr:uid="{508A87DE-C77E-4F26-8878-27C69F773A5A}"/>
    <cellStyle name="Comma 5 13 3" xfId="3576" xr:uid="{00000000-0005-0000-0000-0000EA010000}"/>
    <cellStyle name="Comma 5 13 4" xfId="5542" xr:uid="{EA1DAE49-7147-4C06-8D39-0EAFAC4C7544}"/>
    <cellStyle name="Comma 5 13 4 2" xfId="29743" xr:uid="{83290D88-98BF-4B31-878D-137425176835}"/>
    <cellStyle name="Comma 5 13 5" xfId="25275" xr:uid="{25255301-425F-471E-91E5-8CA85BD8C643}"/>
    <cellStyle name="Comma 5 13 6" xfId="12814" xr:uid="{04EED2F0-E263-4E01-BB71-1A5052885D35}"/>
    <cellStyle name="Comma 5 14" xfId="2156" xr:uid="{00000000-0005-0000-0000-000086010000}"/>
    <cellStyle name="Comma 5 14 2" xfId="7283" xr:uid="{822762EF-D3DA-4F0E-A147-996E17AEA36E}"/>
    <cellStyle name="Comma 5 14 2 2" xfId="27689" xr:uid="{0256D1D7-ED9F-4C82-97E0-9170310A5329}"/>
    <cellStyle name="Comma 5 14 2 2 2" xfId="31195" xr:uid="{A859EBA4-C66C-49BD-9DEA-1AB3109F716F}"/>
    <cellStyle name="Comma 5 14 2 2 3" xfId="30656" xr:uid="{BEC1FD1F-B5EC-4F1A-BCDF-25B7ACE13F58}"/>
    <cellStyle name="Comma 5 14 2 3" xfId="28280" xr:uid="{3C9C4E2E-B9DF-4364-90C5-E2FDD470EA95}"/>
    <cellStyle name="Comma 5 14 2 4" xfId="17663" xr:uid="{3738291B-0565-419F-B166-FACBBDEE0D75}"/>
    <cellStyle name="Comma 5 14 3" xfId="10116" xr:uid="{65636AD0-40EA-4BAF-9ABF-40BCE104B2C9}"/>
    <cellStyle name="Comma 5 14 3 2" xfId="20496" xr:uid="{6F491D37-1CB8-413E-A52B-4D7C95D189A8}"/>
    <cellStyle name="Comma 5 14 4" xfId="24735" xr:uid="{C9CBED3C-72E0-4E12-887C-B3DEBF97CEC8}"/>
    <cellStyle name="Comma 5 14 5" xfId="14830" xr:uid="{9DAB25E0-335E-450D-B4EF-01133EEBCC53}"/>
    <cellStyle name="Comma 5 15" xfId="3777" xr:uid="{027FE1B2-BC1A-461C-BAA0-62514BD1464F}"/>
    <cellStyle name="Comma 5 15 2" xfId="8618" xr:uid="{F937F0BE-13DB-4336-9B90-88F49A5B7AED}"/>
    <cellStyle name="Comma 5 15 2 2" xfId="18998" xr:uid="{406AA88D-B0B1-4594-932D-2CCB31970E22}"/>
    <cellStyle name="Comma 5 15 3" xfId="11451" xr:uid="{61CAAD24-E5D7-4864-B98A-9508BBD6E09F}"/>
    <cellStyle name="Comma 5 15 3 2" xfId="21831" xr:uid="{6D8E4531-45E2-4E20-86E7-0D1E6B5CA0F6}"/>
    <cellStyle name="Comma 5 15 4" xfId="23604" xr:uid="{EF87A7D9-884A-4F64-B1B7-C8CC7C6997AF}"/>
    <cellStyle name="Comma 5 15 5" xfId="27458" xr:uid="{89903692-C0B4-4F40-89C4-C75A817A2DC4}"/>
    <cellStyle name="Comma 5 15 6" xfId="16165" xr:uid="{4DDC0FBF-B94A-4F81-BE4B-8A9FFDB8C8BD}"/>
    <cellStyle name="Comma 5 16" xfId="4851" xr:uid="{AAA3F902-D68A-45E2-99C8-03FE656262D7}"/>
    <cellStyle name="Comma 5 16 2" xfId="14142" xr:uid="{D008B574-2BA2-43A2-880B-6754BDBFEAFF}"/>
    <cellStyle name="Comma 5 17" xfId="6595" xr:uid="{EE2E808B-4607-4A07-9806-599DB57C2243}"/>
    <cellStyle name="Comma 5 17 2" xfId="16975" xr:uid="{B081372B-6E11-43A4-9C57-E86647752419}"/>
    <cellStyle name="Comma 5 18" xfId="9428" xr:uid="{D1DEE1ED-E00D-45EE-88AE-80066179EB47}"/>
    <cellStyle name="Comma 5 18 2" xfId="19808" xr:uid="{957E1A22-9D68-491A-BBAD-B4FA4FDEB1B3}"/>
    <cellStyle name="Comma 5 19" xfId="24648" xr:uid="{9055C8F1-409E-4A3A-8DD3-7D0245A6EEF9}"/>
    <cellStyle name="Comma 5 2" xfId="459" xr:uid="{00000000-0005-0000-0000-0000EB010000}"/>
    <cellStyle name="Comma 5 2 10" xfId="30621" xr:uid="{6CBFC4BF-7DDA-4C8A-94A9-9E3C38E62A4B}"/>
    <cellStyle name="Comma 5 2 11" xfId="30919" xr:uid="{8F444BA6-836C-451D-A598-AB3984741623}"/>
    <cellStyle name="Comma 5 2 2" xfId="460" xr:uid="{00000000-0005-0000-0000-0000EC010000}"/>
    <cellStyle name="Comma 5 2 2 2" xfId="1594" xr:uid="{00000000-0005-0000-0000-0000ED010000}"/>
    <cellStyle name="Comma 5 2 2 2 2" xfId="30598" xr:uid="{F2BDA96F-A29A-44D4-96C7-93F474199524}"/>
    <cellStyle name="Comma 5 2 2 2 2 2" xfId="30658" xr:uid="{7828C1F8-5535-4B0E-A3F8-9190370F23A7}"/>
    <cellStyle name="Comma 5 2 2 2 3" xfId="30562" xr:uid="{FE94402B-6C78-43D2-9887-F6959E6CC981}"/>
    <cellStyle name="Comma 5 2 2 2 4" xfId="30927" xr:uid="{3089C8D7-EDC7-49C2-98BE-A8D0DB944D04}"/>
    <cellStyle name="Comma 5 2 2 3" xfId="1595" xr:uid="{00000000-0005-0000-0000-0000EE010000}"/>
    <cellStyle name="Comma 5 2 2 3 2" xfId="30614" xr:uid="{8A82B498-C017-42E6-9D27-435A4DAFCF79}"/>
    <cellStyle name="Comma 5 2 2 3 2 2" xfId="30659" xr:uid="{84E2DE58-A4C0-4259-9280-0F10CD7AD0EB}"/>
    <cellStyle name="Comma 5 2 2 3 3" xfId="30575" xr:uid="{08126CC7-7B32-4987-B56B-3E8A92004100}"/>
    <cellStyle name="Comma 5 2 2 3 4" xfId="30941" xr:uid="{85BC386F-6704-42BC-B35B-A909453864AD}"/>
    <cellStyle name="Comma 5 2 2 4" xfId="1593" xr:uid="{00000000-0005-0000-0000-0000EF010000}"/>
    <cellStyle name="Comma 5 2 2 4 2" xfId="30550" xr:uid="{2B6B9656-2890-4C76-9E86-2F9A400B5207}"/>
    <cellStyle name="Comma 5 2 2 4 2 2" xfId="30660" xr:uid="{ABCDE278-9ADF-4B7C-B51D-6A70B9BEFAB0}"/>
    <cellStyle name="Comma 5 2 2 5" xfId="6599" xr:uid="{273D3645-09BF-4A18-A4AB-EDE25B05A3A6}"/>
    <cellStyle name="Comma 5 2 2 5 2" xfId="16979" xr:uid="{2C95035C-ACBA-47B5-BDB7-B687EB0B1702}"/>
    <cellStyle name="Comma 5 2 2 5 2 2" xfId="30657" xr:uid="{E4E4FE59-056E-41F0-8A6A-EBAEB1C31ADE}"/>
    <cellStyle name="Comma 5 2 2 5 3" xfId="30425" xr:uid="{81309697-6C75-42F8-A5FC-85A5EDEE9FEF}"/>
    <cellStyle name="Comma 5 2 2 6" xfId="9432" xr:uid="{FAAC16A9-4153-4AFD-B1F8-20E8F3A87C8C}"/>
    <cellStyle name="Comma 5 2 2 6 2" xfId="19812" xr:uid="{145F7030-0050-4EBD-8D41-3709A9B0904C}"/>
    <cellStyle name="Comma 5 2 2 7" xfId="25027" xr:uid="{DE75B844-EBEC-4A64-A7E9-57FF65839502}"/>
    <cellStyle name="Comma 5 2 2 8" xfId="14146" xr:uid="{58BAEC72-D61F-4682-9993-3944940B8945}"/>
    <cellStyle name="Comma 5 2 2 9" xfId="29549" xr:uid="{D4CDF6AA-3C1C-45DB-BF23-683A3F5A2E8F}"/>
    <cellStyle name="Comma 5 2 3" xfId="29550" xr:uid="{FF57FBA9-0AC5-4F16-B51E-CE304EC6B7FE}"/>
    <cellStyle name="Comma 5 2 3 2" xfId="31243" xr:uid="{794021D0-B7E1-43D6-8B4B-606F025E00C3}"/>
    <cellStyle name="Comma 5 2 3 3" xfId="30410" xr:uid="{8B4B4793-C486-440B-BCBB-9B72DFB4032F}"/>
    <cellStyle name="Comma 5 2 4" xfId="29548" xr:uid="{508F08B6-13CA-453B-BC60-59F1E4465DDC}"/>
    <cellStyle name="Comma 5 2 4 2" xfId="30426" xr:uid="{30BD32B9-0394-4F1A-8237-D6AC5BD7AB92}"/>
    <cellStyle name="Comma 5 2 4 2 2" xfId="30599" xr:uid="{7C326B72-A0A1-4BC5-AB91-EEAB81161F94}"/>
    <cellStyle name="Comma 5 2 4 2 2 2" xfId="30661" xr:uid="{ED5AF7EF-0B78-407A-864D-EEEBE05E98FC}"/>
    <cellStyle name="Comma 5 2 4 2 3" xfId="30563" xr:uid="{92CD2FD6-65B4-444B-9BD4-8BD03B652048}"/>
    <cellStyle name="Comma 5 2 4 2 4" xfId="30928" xr:uid="{9F33CA11-07C6-481C-A78E-213CF504BA88}"/>
    <cellStyle name="Comma 5 2 4 3" xfId="30551" xr:uid="{0F4C2308-2688-446C-A27E-BFCE11140C68}"/>
    <cellStyle name="Comma 5 2 4 3 2" xfId="30633" xr:uid="{CFB4CA51-42B2-4BF5-9AF9-673F00BD5CFD}"/>
    <cellStyle name="Comma 5 2 4 3 3" xfId="30943" xr:uid="{35CEEE63-7BB2-4EEA-83CF-5333A9F63EF4}"/>
    <cellStyle name="Comma 5 2 4 4" xfId="30581" xr:uid="{79C2FE9C-BC47-45D3-81C7-55923423D801}"/>
    <cellStyle name="Comma 5 2 4 5" xfId="30622" xr:uid="{2D2FE097-3E58-4E43-B405-32F2F658B65A}"/>
    <cellStyle name="Comma 5 2 4 6" xfId="30920" xr:uid="{FFFC894D-F0FF-4CEA-9DAF-F49F3E52EACB}"/>
    <cellStyle name="Comma 5 2 4 7" xfId="31242" xr:uid="{2E5D930F-8B70-4941-B7AD-A1A539EE389A}"/>
    <cellStyle name="Comma 5 2 4 8" xfId="30411" xr:uid="{2F788AFF-2365-4173-9AD4-9EB5EE2CD90F}"/>
    <cellStyle name="Comma 5 2 5" xfId="30412" xr:uid="{1B854D74-2C11-4B25-A896-E9F8E6D4D71C}"/>
    <cellStyle name="Comma 5 2 5 2" xfId="30427" xr:uid="{C24CF4A1-604C-4A78-A752-E05C845168E9}"/>
    <cellStyle name="Comma 5 2 5 2 2" xfId="30600" xr:uid="{10A672CB-2ACF-4A8A-BC8B-83FA20866661}"/>
    <cellStyle name="Comma 5 2 5 2 2 2" xfId="30662" xr:uid="{96AF56BC-6E91-454F-A913-1B5EF260B524}"/>
    <cellStyle name="Comma 5 2 5 2 3" xfId="30564" xr:uid="{EB087388-5735-47DA-A778-C37D3BA09F7B}"/>
    <cellStyle name="Comma 5 2 5 2 4" xfId="30929" xr:uid="{9C5FD4B9-51E1-40C8-A1C0-B9DA63A12820}"/>
    <cellStyle name="Comma 5 2 5 3" xfId="30582" xr:uid="{594004CE-4C85-49C3-98D5-50D24316BFB4}"/>
    <cellStyle name="Comma 5 2 5 3 2" xfId="30634" xr:uid="{5DF27414-0425-4CEA-9FF2-B029A5DDBF7D}"/>
    <cellStyle name="Comma 5 2 5 3 3" xfId="30944" xr:uid="{7FF4A0CA-6FEC-4011-9105-1F245F102EA7}"/>
    <cellStyle name="Comma 5 2 5 4" xfId="30623" xr:uid="{8D5CFC01-28FD-48B9-B5AE-BF61C0025B69}"/>
    <cellStyle name="Comma 5 2 5 5" xfId="30921" xr:uid="{8B4C09D8-9DF0-4BAC-A0B6-095950680402}"/>
    <cellStyle name="Comma 5 2 6" xfId="30549" xr:uid="{5C64EDE1-D10D-405A-BEBE-498A5BCE0F98}"/>
    <cellStyle name="Comma 5 2 7" xfId="30572" xr:uid="{02BF2878-498D-48D7-8F68-577919C83D6F}"/>
    <cellStyle name="Comma 5 2 7 2" xfId="30611" xr:uid="{C0CD91E5-D6C5-434A-96EB-1B3A036C6BBA}"/>
    <cellStyle name="Comma 5 2 7 3" xfId="30630" xr:uid="{F8EDEA31-A8F6-431F-BA36-CFAAABCD185E}"/>
    <cellStyle name="Comma 5 2 7 4" xfId="30937" xr:uid="{47F7B796-4D4E-4909-966E-3439D41D5605}"/>
    <cellStyle name="Comma 5 2 8" xfId="30547" xr:uid="{B1DF5FDB-1841-4554-815D-7CDC6C437CC6}"/>
    <cellStyle name="Comma 5 2 9" xfId="30579" xr:uid="{A369C976-3FD5-4322-AB61-3F6F862BE607}"/>
    <cellStyle name="Comma 5 20" xfId="12386" xr:uid="{302159E2-6CC0-46FF-9364-3A8433ED91B2}"/>
    <cellStyle name="Comma 5 3" xfId="461" xr:uid="{00000000-0005-0000-0000-0000F0010000}"/>
    <cellStyle name="Comma 5 3 10" xfId="4855" xr:uid="{2846F87B-F3CD-4BF8-9488-62CC1D0AA1F2}"/>
    <cellStyle name="Comma 5 3 10 2" xfId="14147" xr:uid="{50684423-3D64-4A82-B41B-9419936B23DE}"/>
    <cellStyle name="Comma 5 3 11" xfId="6600" xr:uid="{693DB301-C91E-4232-BB0E-39CDBBE5076F}"/>
    <cellStyle name="Comma 5 3 11 2" xfId="16980" xr:uid="{3AE9192F-FC94-46DB-A683-7733A5EFF8B5}"/>
    <cellStyle name="Comma 5 3 12" xfId="9433" xr:uid="{34D918AF-B59B-4DA7-96F7-480CE83D0911}"/>
    <cellStyle name="Comma 5 3 12 2" xfId="19813" xr:uid="{1F161FA1-6088-47C1-BDE8-F54460BB08FE}"/>
    <cellStyle name="Comma 5 3 13" xfId="25309" xr:uid="{D7859DD7-1B89-4767-A0D2-196C4B8D2D83}"/>
    <cellStyle name="Comma 5 3 14" xfId="12412" xr:uid="{9909FE86-2089-41F8-9D0E-7276470C2221}"/>
    <cellStyle name="Comma 5 3 2" xfId="462" xr:uid="{00000000-0005-0000-0000-0000F1010000}"/>
    <cellStyle name="Comma 5 3 2 10" xfId="6601" xr:uid="{82695B62-7D76-42AB-BEFC-75E567F2A3C5}"/>
    <cellStyle name="Comma 5 3 2 10 2" xfId="16981" xr:uid="{9AD20C4B-E731-46C2-8BEC-0FFD687EC178}"/>
    <cellStyle name="Comma 5 3 2 11" xfId="9434" xr:uid="{AED80BCA-D092-4C6C-971E-3050E72CFF57}"/>
    <cellStyle name="Comma 5 3 2 11 2" xfId="19814" xr:uid="{987CAEBC-5AB8-49B8-B758-D587955279AF}"/>
    <cellStyle name="Comma 5 3 2 12" xfId="23920" xr:uid="{56197C97-EB7B-40EC-AFA2-7AEAB10C8886}"/>
    <cellStyle name="Comma 5 3 2 13" xfId="12472" xr:uid="{EFBC7B92-3047-49CF-805D-2C6A6223921F}"/>
    <cellStyle name="Comma 5 3 2 2" xfId="463" xr:uid="{00000000-0005-0000-0000-0000F2010000}"/>
    <cellStyle name="Comma 5 3 2 2 10" xfId="13037" xr:uid="{86B57A63-967D-49F1-9028-3928CA4FAF65}"/>
    <cellStyle name="Comma 5 3 2 2 2" xfId="1599" xr:uid="{00000000-0005-0000-0000-0000F3010000}"/>
    <cellStyle name="Comma 5 3 2 2 2 2" xfId="3015" xr:uid="{00000000-0005-0000-0000-000093010000}"/>
    <cellStyle name="Comma 5 3 2 2 2 2 2" xfId="6158" xr:uid="{4ACBE935-4C4A-4B58-AA67-CBC1AD567848}"/>
    <cellStyle name="Comma 5 3 2 2 2 2 2 2" xfId="25952" xr:uid="{A03F8AD1-6D73-462F-AC3F-273225650954}"/>
    <cellStyle name="Comma 5 3 2 2 2 2 2 3" xfId="25885" xr:uid="{4BB2DC81-1E90-4372-9987-27A20831971A}"/>
    <cellStyle name="Comma 5 3 2 2 2 2 2 4" xfId="15642" xr:uid="{4AF74E66-2D4F-40C8-B6A6-07DB4000C240}"/>
    <cellStyle name="Comma 5 3 2 2 2 2 3" xfId="8095" xr:uid="{9E795528-EFE8-49EC-A3CC-54ADBF1342DE}"/>
    <cellStyle name="Comma 5 3 2 2 2 2 3 2" xfId="28777" xr:uid="{0CBF15F0-D411-4526-93F7-EFED3C06D888}"/>
    <cellStyle name="Comma 5 3 2 2 2 2 3 3" xfId="27265" xr:uid="{4C183DF4-8D04-46F2-A7C1-5EE37A5A7CDB}"/>
    <cellStyle name="Comma 5 3 2 2 2 2 3 4" xfId="18475" xr:uid="{18E6D797-2AE3-43E1-A6BE-04E5FC2EB0F6}"/>
    <cellStyle name="Comma 5 3 2 2 2 2 4" xfId="10928" xr:uid="{AFB79152-8464-4800-9AF1-921E7BAF005A}"/>
    <cellStyle name="Comma 5 3 2 2 2 2 4 2" xfId="21308" xr:uid="{39BF4066-2DEB-466C-B501-D053D1037734}"/>
    <cellStyle name="Comma 5 3 2 2 2 2 5" xfId="24319" xr:uid="{E61FFCE0-15C8-4B0D-A412-90E5D4DF8AD6}"/>
    <cellStyle name="Comma 5 3 2 2 2 2 6" xfId="13518" xr:uid="{4E597990-8807-4D77-97E7-E28E02E3D3DD}"/>
    <cellStyle name="Comma 5 3 2 2 2 3" xfId="2667" xr:uid="{00000000-0005-0000-0000-000092010000}"/>
    <cellStyle name="Comma 5 3 2 2 2 3 2" xfId="7791" xr:uid="{A991F633-EC7B-4AE2-AF36-3AFF910B0ED8}"/>
    <cellStyle name="Comma 5 3 2 2 2 3 2 2" xfId="27575" xr:uid="{55463535-088B-4D65-8D51-0F8E527C73E6}"/>
    <cellStyle name="Comma 5 3 2 2 2 3 2 3" xfId="27858" xr:uid="{520E163C-1648-451D-9381-D1B444BA6975}"/>
    <cellStyle name="Comma 5 3 2 2 2 3 2 4" xfId="18171" xr:uid="{D8D0AAD4-15A0-4209-9D40-CC4375AD633E}"/>
    <cellStyle name="Comma 5 3 2 2 2 3 3" xfId="10624" xr:uid="{23424A55-1186-4AE1-8B15-D60B73FB2413}"/>
    <cellStyle name="Comma 5 3 2 2 2 3 3 2" xfId="21004" xr:uid="{D45E85F7-0528-446F-8AEF-F2444471BE38}"/>
    <cellStyle name="Comma 5 3 2 2 2 3 4" xfId="24773" xr:uid="{F6C426D8-D850-4C02-A12E-6C68D7A11502}"/>
    <cellStyle name="Comma 5 3 2 2 2 3 5" xfId="15338" xr:uid="{16A4BAA9-88C4-414D-BFF5-062C8FED3C61}"/>
    <cellStyle name="Comma 5 3 2 2 2 4" xfId="3630" xr:uid="{00000000-0005-0000-0000-0000F3010000}"/>
    <cellStyle name="Comma 5 3 2 2 2 5" xfId="4252" xr:uid="{9B0E90D9-C0F7-49FF-A548-FF90C88E6C49}"/>
    <cellStyle name="Comma 5 3 2 2 2 5 2" xfId="9024" xr:uid="{DB214821-C42B-4F8D-9BBF-71FC6C4AEED3}"/>
    <cellStyle name="Comma 5 3 2 2 2 5 2 2" xfId="19404" xr:uid="{3CCFE505-B22F-4BE5-BFD5-27F625009463}"/>
    <cellStyle name="Comma 5 3 2 2 2 5 2 3" xfId="31028" xr:uid="{D5BC14E3-2A5D-4C04-A1B3-FB7278D938D5}"/>
    <cellStyle name="Comma 5 3 2 2 2 5 2 4" xfId="30663" xr:uid="{88978C8C-DE0D-41D5-B666-4404FA6D88AC}"/>
    <cellStyle name="Comma 5 3 2 2 2 5 3" xfId="11857" xr:uid="{879F1394-5F75-4E90-ACCF-2DB416637DF2}"/>
    <cellStyle name="Comma 5 3 2 2 2 5 3 2" xfId="22237" xr:uid="{A8BFC29A-4346-4751-A9D7-8EBC270E9334}"/>
    <cellStyle name="Comma 5 3 2 2 2 5 4" xfId="16571" xr:uid="{3BACECC7-6A25-4BBD-A5D0-C82353F7F629}"/>
    <cellStyle name="Comma 5 3 2 2 2 6" xfId="5546" xr:uid="{4AA9B774-4921-4980-9DB7-0CEF866568F6}"/>
    <cellStyle name="Comma 5 3 2 2 2 6 2" xfId="29893" xr:uid="{9C519322-6E9C-4E0B-84A2-5A544F46923B}"/>
    <cellStyle name="Comma 5 3 2 2 2 6 2 2" xfId="30956" xr:uid="{405A5DEB-8EC3-4ABC-8B7D-3B894A42504F}"/>
    <cellStyle name="Comma 5 3 2 2 2 7" xfId="23725" xr:uid="{8A8F9509-66DC-46AC-A9A7-817B49144E49}"/>
    <cellStyle name="Comma 5 3 2 2 2 8" xfId="13068" xr:uid="{B50D4B53-697A-42B9-9F93-70A744787325}"/>
    <cellStyle name="Comma 5 3 2 2 3" xfId="1600" xr:uid="{00000000-0005-0000-0000-0000F4010000}"/>
    <cellStyle name="Comma 5 3 2 2 3 2" xfId="3016" xr:uid="{00000000-0005-0000-0000-000094010000}"/>
    <cellStyle name="Comma 5 3 2 2 3 2 2" xfId="8096" xr:uid="{7BF9BB9B-26F6-4A7B-B741-6401840D44C4}"/>
    <cellStyle name="Comma 5 3 2 2 3 2 2 2" xfId="28778" xr:uid="{97F5D130-40E9-49C6-BF88-F44C1C5917AA}"/>
    <cellStyle name="Comma 5 3 2 2 3 2 2 3" xfId="27874" xr:uid="{1C2254A3-A181-4089-A9AD-37492C817900}"/>
    <cellStyle name="Comma 5 3 2 2 3 2 2 4" xfId="18476" xr:uid="{EF665B60-996B-4090-9883-5AF6CE2B9F40}"/>
    <cellStyle name="Comma 5 3 2 2 3 2 3" xfId="10929" xr:uid="{F7202109-0539-401A-8DA8-FE6FE6E715B4}"/>
    <cellStyle name="Comma 5 3 2 2 3 2 3 2" xfId="21309" xr:uid="{7E1FA1D7-80F6-4007-BA48-786A08D6E488}"/>
    <cellStyle name="Comma 5 3 2 2 3 2 4" xfId="23283" xr:uid="{E29E3FB4-1142-46D5-B9BC-FBCC0D3E4AF6}"/>
    <cellStyle name="Comma 5 3 2 2 3 2 5" xfId="15643" xr:uid="{F739DFD7-5A02-4961-B2FF-23F1CB84962A}"/>
    <cellStyle name="Comma 5 3 2 2 3 3" xfId="2083" xr:uid="{00000000-0005-0000-0000-0000F4010000}"/>
    <cellStyle name="Comma 5 3 2 2 3 4" xfId="4392" xr:uid="{933C8226-C46F-4342-AB1B-1DC1B1F37B70}"/>
    <cellStyle name="Comma 5 3 2 2 3 4 2" xfId="9164" xr:uid="{08B4E032-80CB-4825-8075-E7E720E1D674}"/>
    <cellStyle name="Comma 5 3 2 2 3 4 2 2" xfId="19544" xr:uid="{5E6B521C-CC61-48D2-A240-A3DE4FF65289}"/>
    <cellStyle name="Comma 5 3 2 2 3 4 2 3" xfId="31058" xr:uid="{7B903B43-0C6D-49A6-9727-D8D888B7F2E1}"/>
    <cellStyle name="Comma 5 3 2 2 3 4 2 4" xfId="30664" xr:uid="{041D7F03-0160-44D8-BDD1-0265CDA0BADC}"/>
    <cellStyle name="Comma 5 3 2 2 3 4 3" xfId="11997" xr:uid="{86F94323-154D-4FD7-B637-754FD397809D}"/>
    <cellStyle name="Comma 5 3 2 2 3 4 3 2" xfId="22377" xr:uid="{6E1276EF-499F-4B69-A23D-99DCD957C31B}"/>
    <cellStyle name="Comma 5 3 2 2 3 4 4" xfId="16711" xr:uid="{BFA2BFEE-AA3F-48EB-B522-19E3AA60155E}"/>
    <cellStyle name="Comma 5 3 2 2 3 5" xfId="5547" xr:uid="{87BB5A44-0A84-4354-8A20-3DE740BDB9D5}"/>
    <cellStyle name="Comma 5 3 2 2 3 5 2" xfId="29934" xr:uid="{494685AF-0887-4B2F-B673-AAA2D6A71859}"/>
    <cellStyle name="Comma 5 3 2 2 3 6" xfId="25168" xr:uid="{35E2B19E-F3CF-4FCD-A416-6AA019C43B9E}"/>
    <cellStyle name="Comma 5 3 2 2 3 7" xfId="13519" xr:uid="{81206A3F-C747-4698-B559-B3F885CD8D9A}"/>
    <cellStyle name="Comma 5 3 2 2 4" xfId="1598" xr:uid="{00000000-0005-0000-0000-0000F5010000}"/>
    <cellStyle name="Comma 5 3 2 2 4 2" xfId="3014" xr:uid="{00000000-0005-0000-0000-000095010000}"/>
    <cellStyle name="Comma 5 3 2 2 4 2 2" xfId="8094" xr:uid="{E89D21E1-B455-4D7D-9B2F-B8E34618380A}"/>
    <cellStyle name="Comma 5 3 2 2 4 2 2 2" xfId="18474" xr:uid="{F97B71C0-7501-4349-B040-6C9E49273439}"/>
    <cellStyle name="Comma 5 3 2 2 4 2 3" xfId="10927" xr:uid="{080E1EBD-51A9-4D41-8C45-D42D6FC9F519}"/>
    <cellStyle name="Comma 5 3 2 2 4 2 3 2" xfId="21307" xr:uid="{113E7A58-A99D-4BCF-A0FB-13EB1CE0409A}"/>
    <cellStyle name="Comma 5 3 2 2 4 2 4" xfId="28675" xr:uid="{8DE688C5-537B-47A8-AE3F-35341CEE66EF}"/>
    <cellStyle name="Comma 5 3 2 2 4 2 5" xfId="25944" xr:uid="{AAFF93DB-5388-405A-A1AD-12F8FD651DE5}"/>
    <cellStyle name="Comma 5 3 2 2 4 2 6" xfId="15641" xr:uid="{FDB837A0-16E1-4F02-98AD-01678890DB27}"/>
    <cellStyle name="Comma 5 3 2 2 4 3" xfId="3652" xr:uid="{00000000-0005-0000-0000-0000F5010000}"/>
    <cellStyle name="Comma 5 3 2 2 4 4" xfId="5545" xr:uid="{A02B8927-C6C9-4981-8371-BC5F4FFB90CF}"/>
    <cellStyle name="Comma 5 3 2 2 4 4 2" xfId="29933" xr:uid="{9B2CC529-1177-42F3-BD02-4244CA3CA83A}"/>
    <cellStyle name="Comma 5 3 2 2 4 5" xfId="24206" xr:uid="{EA34B4EF-3E9F-4C0B-9FF3-F638CFE397CA}"/>
    <cellStyle name="Comma 5 3 2 2 4 6" xfId="13517" xr:uid="{970BC1FE-57FD-4E25-9E11-06B96A5F0C91}"/>
    <cellStyle name="Comma 5 3 2 2 5" xfId="4238" xr:uid="{8B6E58F7-0192-48F8-B6FC-70C1E0C133D5}"/>
    <cellStyle name="Comma 5 3 2 2 5 2" xfId="9010" xr:uid="{55FBEF45-EC69-4E11-8A17-A2E69465326C}"/>
    <cellStyle name="Comma 5 3 2 2 5 2 2" xfId="29081" xr:uid="{2407A847-EA3F-4F61-90DC-C97610FFA662}"/>
    <cellStyle name="Comma 5 3 2 2 5 2 3" xfId="28458" xr:uid="{B7915A89-7465-4B46-84A0-1E8D8551BF38}"/>
    <cellStyle name="Comma 5 3 2 2 5 2 4" xfId="19390" xr:uid="{3D06A3B1-A1DD-475F-9DD4-C89790FEBBE5}"/>
    <cellStyle name="Comma 5 3 2 2 5 2 5" xfId="31026" xr:uid="{5C44E956-2742-49E9-8428-22740D671C8D}"/>
    <cellStyle name="Comma 5 3 2 2 5 3" xfId="11843" xr:uid="{E403C161-1D3D-4082-B650-A1F1DFC3CB8D}"/>
    <cellStyle name="Comma 5 3 2 2 5 3 2" xfId="22223" xr:uid="{1AA8CE2E-465D-43DC-B1AC-5FDDB5246458}"/>
    <cellStyle name="Comma 5 3 2 2 5 4" xfId="22671" xr:uid="{3AD68E01-C7E2-4706-BA90-4956E1ADB08D}"/>
    <cellStyle name="Comma 5 3 2 2 5 5" xfId="16557" xr:uid="{EE68A2B4-8AF6-4162-878E-A65980BC098E}"/>
    <cellStyle name="Comma 5 3 2 2 6" xfId="4857" xr:uid="{708195BE-D60E-45FC-849B-1AAC97801F00}"/>
    <cellStyle name="Comma 5 3 2 2 6 2" xfId="28559" xr:uid="{BD568B2A-F9B1-4D17-B640-3623EE7CAC30}"/>
    <cellStyle name="Comma 5 3 2 2 6 3" xfId="26166" xr:uid="{27C47F0C-B9F6-4597-822F-2C5F7C5FB64F}"/>
    <cellStyle name="Comma 5 3 2 2 6 4" xfId="14149" xr:uid="{63953720-10EC-4643-9AEE-69438185FB2A}"/>
    <cellStyle name="Comma 5 3 2 2 7" xfId="6602" xr:uid="{98B5AC0E-D832-4D8B-A0D5-351EC6061F08}"/>
    <cellStyle name="Comma 5 3 2 2 7 2" xfId="28195" xr:uid="{263BDD9F-C289-4B89-BC07-2907BA8F8736}"/>
    <cellStyle name="Comma 5 3 2 2 7 3" xfId="26026" xr:uid="{1E22E622-71C9-4916-8A9F-4FB5D10C03E0}"/>
    <cellStyle name="Comma 5 3 2 2 7 4" xfId="16982" xr:uid="{F96EF380-ECEA-4B8A-B4D9-F0425A7C9CFC}"/>
    <cellStyle name="Comma 5 3 2 2 8" xfId="9435" xr:uid="{112738C0-1CC2-44AE-AF8B-F23ECC39055F}"/>
    <cellStyle name="Comma 5 3 2 2 8 2" xfId="19815" xr:uid="{49B65756-72B0-4442-A8AC-48CA29401AB9}"/>
    <cellStyle name="Comma 5 3 2 2 9" xfId="23279" xr:uid="{EA252DCF-1D4A-43F0-A927-AF12D7AE13F8}"/>
    <cellStyle name="Comma 5 3 2 3" xfId="1601" xr:uid="{00000000-0005-0000-0000-0000F6010000}"/>
    <cellStyle name="Comma 5 3 2 3 2" xfId="3017" xr:uid="{00000000-0005-0000-0000-000097010000}"/>
    <cellStyle name="Comma 5 3 2 3 2 2" xfId="6159" xr:uid="{61D413E5-DB6E-492C-8B47-02BFADD98E21}"/>
    <cellStyle name="Comma 5 3 2 3 2 2 2" xfId="25667" xr:uid="{ECD3007B-AB55-4924-8E44-EED1B3DC4895}"/>
    <cellStyle name="Comma 5 3 2 3 2 2 2 2" xfId="26049" xr:uid="{36AB2384-EEB9-48E6-9997-4A4F24685914}"/>
    <cellStyle name="Comma 5 3 2 3 2 2 2 3" xfId="31162" xr:uid="{6B1BD7C4-2E44-416A-8483-EDEB32572E10}"/>
    <cellStyle name="Comma 5 3 2 3 2 2 3" xfId="28228" xr:uid="{63A53D60-5E09-4E12-ACDB-9B7AC43BF2CD}"/>
    <cellStyle name="Comma 5 3 2 3 2 2 4" xfId="15644" xr:uid="{EFA7C0C6-9201-495A-A865-995833A44D24}"/>
    <cellStyle name="Comma 5 3 2 3 2 3" xfId="8097" xr:uid="{B86FB38A-9BC1-4484-8EA8-4961DCEEA2B6}"/>
    <cellStyle name="Comma 5 3 2 3 2 3 2" xfId="28779" xr:uid="{8E8F1AE3-0968-4CC5-8846-550B57BF6B4B}"/>
    <cellStyle name="Comma 5 3 2 3 2 3 3" xfId="26722" xr:uid="{0D322364-39A8-470B-B24C-D568B9D2FEC7}"/>
    <cellStyle name="Comma 5 3 2 3 2 3 4" xfId="18477" xr:uid="{E0830030-E6EA-49BD-9317-AC595E66A444}"/>
    <cellStyle name="Comma 5 3 2 3 2 4" xfId="10930" xr:uid="{FE919D4E-E0F3-474A-AE0E-73AD100D68B2}"/>
    <cellStyle name="Comma 5 3 2 3 2 4 2" xfId="21310" xr:uid="{40EFF97C-5646-4488-A410-46C0045165E4}"/>
    <cellStyle name="Comma 5 3 2 3 2 5" xfId="24028" xr:uid="{CD10D5B4-473A-4837-9D31-ADDEF8B2B89E}"/>
    <cellStyle name="Comma 5 3 2 3 2 6" xfId="13520" xr:uid="{F2D4A119-DAE8-4320-9336-1EC7D87368E9}"/>
    <cellStyle name="Comma 5 3 2 3 3" xfId="2666" xr:uid="{00000000-0005-0000-0000-000096010000}"/>
    <cellStyle name="Comma 5 3 2 3 3 2" xfId="7790" xr:uid="{9AACB940-3DD7-460F-BF72-CB1198BE3E42}"/>
    <cellStyle name="Comma 5 3 2 3 3 2 2" xfId="28428" xr:uid="{1023DED4-034C-46C0-85AC-E55C64504142}"/>
    <cellStyle name="Comma 5 3 2 3 3 2 3" xfId="27883" xr:uid="{0134A244-51A5-4514-91B5-7BF4B14291DF}"/>
    <cellStyle name="Comma 5 3 2 3 3 2 4" xfId="18170" xr:uid="{CD83C855-375E-42AB-82A6-EC06AC3537AF}"/>
    <cellStyle name="Comma 5 3 2 3 3 3" xfId="10623" xr:uid="{7D0E0F47-584A-4397-86E5-2949A996BB3E}"/>
    <cellStyle name="Comma 5 3 2 3 3 3 2" xfId="21003" xr:uid="{ADF39D8E-AE79-4AB7-AD70-FF8655E0AFED}"/>
    <cellStyle name="Comma 5 3 2 3 3 4" xfId="25383" xr:uid="{D656B3E5-9EF2-4DD3-BA23-B63C217627B7}"/>
    <cellStyle name="Comma 5 3 2 3 3 5" xfId="15337" xr:uid="{893B97A2-BE70-498A-8C77-CAFC1444F47C}"/>
    <cellStyle name="Comma 5 3 2 3 4" xfId="3611" xr:uid="{00000000-0005-0000-0000-0000F6010000}"/>
    <cellStyle name="Comma 5 3 2 3 5" xfId="4251" xr:uid="{44E3EAE7-C7AC-466B-AE28-FC315EF010FC}"/>
    <cellStyle name="Comma 5 3 2 3 5 2" xfId="9023" xr:uid="{889AFE3D-6BB3-4C48-92E0-0E45863380EE}"/>
    <cellStyle name="Comma 5 3 2 3 5 2 2" xfId="19403" xr:uid="{E5D4D153-2C86-4B7D-9F94-8A5AD69EF39D}"/>
    <cellStyle name="Comma 5 3 2 3 5 2 3" xfId="31027" xr:uid="{DE62BA68-8C4C-4A75-84AA-7F79DFE185D2}"/>
    <cellStyle name="Comma 5 3 2 3 5 2 4" xfId="30665" xr:uid="{40E91CE9-FAE0-4A4A-BB16-C0782A9D60D7}"/>
    <cellStyle name="Comma 5 3 2 3 5 3" xfId="11856" xr:uid="{DADCD709-37B4-4618-B5FD-4AE2F0C1050E}"/>
    <cellStyle name="Comma 5 3 2 3 5 3 2" xfId="22236" xr:uid="{CB66ED33-56C5-423C-9D31-29B86F28C6AA}"/>
    <cellStyle name="Comma 5 3 2 3 5 4" xfId="16570" xr:uid="{C5B36E00-2B2E-4003-81E3-B89E0D229188}"/>
    <cellStyle name="Comma 5 3 2 3 6" xfId="5548" xr:uid="{B675D260-A30F-4DB2-8CCD-E217F8346325}"/>
    <cellStyle name="Comma 5 3 2 3 6 2" xfId="29718" xr:uid="{E2CF8A21-A49D-4062-A218-0B7CB0D745A6}"/>
    <cellStyle name="Comma 5 3 2 3 6 2 2" xfId="30957" xr:uid="{8F8C2ECC-CE5A-415D-A9CD-A9A3EDB1C7F9}"/>
    <cellStyle name="Comma 5 3 2 3 7" xfId="25269" xr:uid="{3CB50019-DC2C-4BE2-BB7E-167334EBA095}"/>
    <cellStyle name="Comma 5 3 2 3 8" xfId="13067" xr:uid="{C7A9DA37-CC33-48B6-8AFD-0CC48BE10F24}"/>
    <cellStyle name="Comma 5 3 2 4" xfId="1602" xr:uid="{00000000-0005-0000-0000-0000F7010000}"/>
    <cellStyle name="Comma 5 3 2 4 2" xfId="3018" xr:uid="{00000000-0005-0000-0000-000098010000}"/>
    <cellStyle name="Comma 5 3 2 4 2 2" xfId="8098" xr:uid="{C7649695-9281-40EA-BB91-55CC922A7359}"/>
    <cellStyle name="Comma 5 3 2 4 2 2 2" xfId="28780" xr:uid="{73990E74-1063-4255-A950-145D40281FFC}"/>
    <cellStyle name="Comma 5 3 2 4 2 2 2 2" xfId="31215" xr:uid="{C3151A16-BBA8-47F1-A872-2F3F10860F06}"/>
    <cellStyle name="Comma 5 3 2 4 2 2 2 3" xfId="30667" xr:uid="{1B5DB8C6-AAB9-479C-98EA-E8DAB47A0D09}"/>
    <cellStyle name="Comma 5 3 2 4 2 2 3" xfId="28348" xr:uid="{6684CE6F-2062-42C8-A041-7C5C9ADAC89D}"/>
    <cellStyle name="Comma 5 3 2 4 2 2 4" xfId="18478" xr:uid="{A58B8445-4EA5-4F14-B674-E98BB3523479}"/>
    <cellStyle name="Comma 5 3 2 4 2 3" xfId="10931" xr:uid="{170AFC33-D754-4BB6-ADAD-71308ACC902B}"/>
    <cellStyle name="Comma 5 3 2 4 2 3 2" xfId="21311" xr:uid="{382608E5-F476-4240-AC66-B91D74DE86B0}"/>
    <cellStyle name="Comma 5 3 2 4 2 4" xfId="25771" xr:uid="{732E71AD-9C09-4D82-AB83-AE567D70BE03}"/>
    <cellStyle name="Comma 5 3 2 4 2 5" xfId="15645" xr:uid="{CDBE3585-32BB-4492-839A-0E8CFA0B33E5}"/>
    <cellStyle name="Comma 5 3 2 4 3" xfId="2155" xr:uid="{00000000-0005-0000-0000-0000F7010000}"/>
    <cellStyle name="Comma 5 3 2 4 4" xfId="4393" xr:uid="{A11BE978-7C2A-4394-B26B-C7F4156424D0}"/>
    <cellStyle name="Comma 5 3 2 4 4 2" xfId="9165" xr:uid="{ABCD93B8-6116-4838-BC4E-BD3F86BD9464}"/>
    <cellStyle name="Comma 5 3 2 4 4 2 2" xfId="19545" xr:uid="{7303CAFF-93EF-4D28-99B6-A7799A67C027}"/>
    <cellStyle name="Comma 5 3 2 4 4 2 3" xfId="31059" xr:uid="{266785F0-BEB9-43B7-A016-7C4C3192ADB9}"/>
    <cellStyle name="Comma 5 3 2 4 4 2 4" xfId="30666" xr:uid="{3AD4EE4D-9551-418A-A0B9-356D5465EE87}"/>
    <cellStyle name="Comma 5 3 2 4 4 3" xfId="11998" xr:uid="{F2C5D82A-3446-44EE-ADA2-622A64BC7972}"/>
    <cellStyle name="Comma 5 3 2 4 4 3 2" xfId="22378" xr:uid="{D3A438AE-22B9-4BF7-9A7E-B7A500B209C5}"/>
    <cellStyle name="Comma 5 3 2 4 4 4" xfId="16712" xr:uid="{688E38BA-6390-4979-8098-4A0E3F26AF46}"/>
    <cellStyle name="Comma 5 3 2 4 5" xfId="5549" xr:uid="{24FE49EC-6989-4913-AFE3-094A4DA83C58}"/>
    <cellStyle name="Comma 5 3 2 4 5 2" xfId="29935" xr:uid="{33DA0D6C-2126-4F0E-A5AD-154CF23F8B14}"/>
    <cellStyle name="Comma 5 3 2 4 5 2 2" xfId="30958" xr:uid="{B6288167-F3EF-48C0-9EAE-9F49B165C7FC}"/>
    <cellStyle name="Comma 5 3 2 4 6" xfId="23774" xr:uid="{CCFD7A9C-E3C1-4C88-93AF-DC3BE8DD6499}"/>
    <cellStyle name="Comma 5 3 2 4 7" xfId="13521" xr:uid="{2C9F4BCD-5F48-4543-A7F2-D47531FE48C9}"/>
    <cellStyle name="Comma 5 3 2 5" xfId="1597" xr:uid="{00000000-0005-0000-0000-0000F8010000}"/>
    <cellStyle name="Comma 5 3 2 5 2" xfId="3013" xr:uid="{00000000-0005-0000-0000-000099010000}"/>
    <cellStyle name="Comma 5 3 2 5 2 2" xfId="8093" xr:uid="{C79E0C8B-DE33-4890-BAA4-05C189D1E714}"/>
    <cellStyle name="Comma 5 3 2 5 2 2 2" xfId="18473" xr:uid="{7EF0285E-B82D-4ADC-AE91-8D0851496857}"/>
    <cellStyle name="Comma 5 3 2 5 2 3" xfId="10926" xr:uid="{A9FFAA07-10E2-4625-9206-79875381F6C4}"/>
    <cellStyle name="Comma 5 3 2 5 2 3 2" xfId="21306" xr:uid="{3ABF3A2F-5123-4D62-A035-B10E9ECD90ED}"/>
    <cellStyle name="Comma 5 3 2 5 2 4" xfId="28563" xr:uid="{0471347A-EF47-40DE-B68E-DDD0854A5373}"/>
    <cellStyle name="Comma 5 3 2 5 2 5" xfId="27095" xr:uid="{58216308-30EB-43DB-A323-330DCF8340DF}"/>
    <cellStyle name="Comma 5 3 2 5 2 6" xfId="15640" xr:uid="{A31B7C43-EE6B-4F45-9CDF-31D1101A763E}"/>
    <cellStyle name="Comma 5 3 2 5 3" xfId="3629" xr:uid="{00000000-0005-0000-0000-0000F8010000}"/>
    <cellStyle name="Comma 5 3 2 5 4" xfId="5544" xr:uid="{FAF9A496-4265-4C3D-953B-05827F327311}"/>
    <cellStyle name="Comma 5 3 2 5 4 2" xfId="29932" xr:uid="{25AF1F10-0E1C-4936-BC83-2F9C841885FC}"/>
    <cellStyle name="Comma 5 3 2 5 5" xfId="24469" xr:uid="{AFB6647A-227D-41B4-B74F-6277070C58F5}"/>
    <cellStyle name="Comma 5 3 2 5 6" xfId="13516" xr:uid="{8580C680-8BC7-47F0-9872-44A355965C65}"/>
    <cellStyle name="Comma 5 3 2 6" xfId="2546" xr:uid="{00000000-0005-0000-0000-00009A010000}"/>
    <cellStyle name="Comma 5 3 2 6 2" xfId="5818" xr:uid="{B42CD3E3-B5A0-4D7F-8ED6-F0A83CF718C6}"/>
    <cellStyle name="Comma 5 3 2 6 2 2" xfId="28226" xr:uid="{A3F780B0-638F-4FD6-864E-68C5B39D6DCA}"/>
    <cellStyle name="Comma 5 3 2 6 2 2 2" xfId="31204" xr:uid="{53FEDC8F-7233-40C0-B6A8-00E9C84B4D91}"/>
    <cellStyle name="Comma 5 3 2 6 2 2 3" xfId="30668" xr:uid="{55A9D467-3BFB-4E0E-9EC3-17611FFA3CE0}"/>
    <cellStyle name="Comma 5 3 2 6 2 3" xfId="26315" xr:uid="{B534AB36-6FE0-4D08-B9F6-3B18A67C9BC7}"/>
    <cellStyle name="Comma 5 3 2 6 2 4" xfId="15218" xr:uid="{19F8B05B-7B1B-413C-8AEF-99A00CA1990A}"/>
    <cellStyle name="Comma 5 3 2 6 3" xfId="7671" xr:uid="{B119D217-FEE9-4F39-9C46-B07449B1D556}"/>
    <cellStyle name="Comma 5 3 2 6 3 2" xfId="18051" xr:uid="{8137A127-67FA-4FC0-9A4B-CF57A49A2EA3}"/>
    <cellStyle name="Comma 5 3 2 6 4" xfId="10504" xr:uid="{AFE80641-2117-4BB7-8F7D-9121896F10AB}"/>
    <cellStyle name="Comma 5 3 2 6 4 2" xfId="20884" xr:uid="{2522E95E-9C3D-499A-8E4E-9A06D5634F9F}"/>
    <cellStyle name="Comma 5 3 2 6 5" xfId="22987" xr:uid="{49B7F587-D701-4986-A250-A409BE3237B0}"/>
    <cellStyle name="Comma 5 3 2 6 6" xfId="12934" xr:uid="{5B135D3C-09AD-4E30-BB6B-60138CF8FFB5}"/>
    <cellStyle name="Comma 5 3 2 7" xfId="2240" xr:uid="{00000000-0005-0000-0000-000090010000}"/>
    <cellStyle name="Comma 5 3 2 7 2" xfId="7367" xr:uid="{EBB7595B-8065-4FFE-912A-3A960CFAF648}"/>
    <cellStyle name="Comma 5 3 2 7 2 2" xfId="17747" xr:uid="{F4A253BF-AA6D-44B8-88D2-5771908DBA10}"/>
    <cellStyle name="Comma 5 3 2 7 3" xfId="10200" xr:uid="{08E08A14-B7D5-4DC3-8546-79A2B7CA1538}"/>
    <cellStyle name="Comma 5 3 2 7 3 2" xfId="20580" xr:uid="{19789572-D886-48F5-AF6F-5C39143B76A0}"/>
    <cellStyle name="Comma 5 3 2 7 4" xfId="25551" xr:uid="{3905059D-883A-43CF-8FD1-2A2577249EE8}"/>
    <cellStyle name="Comma 5 3 2 7 5" xfId="27770" xr:uid="{5536DCEE-0E1D-4E26-B20B-64C6BD9A4356}"/>
    <cellStyle name="Comma 5 3 2 7 6" xfId="14914" xr:uid="{39D80824-8F21-4CB3-9694-DB4CEDD343F5}"/>
    <cellStyle name="Comma 5 3 2 8" xfId="3793" xr:uid="{819F03ED-7C8B-456D-823F-A9502DAE0057}"/>
    <cellStyle name="Comma 5 3 2 8 2" xfId="8629" xr:uid="{E4B0903F-6E6F-4A8E-B1B9-EE2A8455EE72}"/>
    <cellStyle name="Comma 5 3 2 8 2 2" xfId="19009" xr:uid="{8DB4F203-1121-416C-B01F-9F2B947A4396}"/>
    <cellStyle name="Comma 5 3 2 8 3" xfId="11462" xr:uid="{A35D6D00-4B8A-4B1E-8343-7C9D122B4970}"/>
    <cellStyle name="Comma 5 3 2 8 3 2" xfId="21842" xr:uid="{7A10F71C-48B8-4D48-B76C-C08E02C7E26E}"/>
    <cellStyle name="Comma 5 3 2 8 4" xfId="26924" xr:uid="{81ED6D7E-DED7-4A6D-950B-948283FEF26C}"/>
    <cellStyle name="Comma 5 3 2 8 5" xfId="27135" xr:uid="{FA637432-DA40-4BB9-A677-FFE8F7735C16}"/>
    <cellStyle name="Comma 5 3 2 8 6" xfId="16176" xr:uid="{22A43F48-9D88-40D3-91A0-EBEB420A8735}"/>
    <cellStyle name="Comma 5 3 2 9" xfId="4856" xr:uid="{D5470E20-D035-4D15-BFDA-251B57D6DBDA}"/>
    <cellStyle name="Comma 5 3 2 9 2" xfId="14148" xr:uid="{3FA9249D-3FC7-4517-AC59-94301A61B933}"/>
    <cellStyle name="Comma 5 3 3" xfId="464" xr:uid="{00000000-0005-0000-0000-0000F9010000}"/>
    <cellStyle name="Comma 5 3 3 10" xfId="9436" xr:uid="{21C97C8C-6484-4207-9292-8BAD5BA7D5B0}"/>
    <cellStyle name="Comma 5 3 3 10 2" xfId="19816" xr:uid="{DC75FED8-810B-4248-890D-5DD7BA087CF4}"/>
    <cellStyle name="Comma 5 3 3 11" xfId="22999" xr:uid="{EF9388E6-D73B-48FD-8E97-5A2B90364689}"/>
    <cellStyle name="Comma 5 3 3 12" xfId="12505" xr:uid="{69B7EA0F-CE62-4329-AF05-BA99CE648FEA}"/>
    <cellStyle name="Comma 5 3 3 2" xfId="1604" xr:uid="{00000000-0005-0000-0000-0000FA010000}"/>
    <cellStyle name="Comma 5 3 3 2 2" xfId="3020" xr:uid="{00000000-0005-0000-0000-00009D010000}"/>
    <cellStyle name="Comma 5 3 3 2 2 2" xfId="6160" xr:uid="{F0378657-A031-41C3-8F41-6A3B1C9D7262}"/>
    <cellStyle name="Comma 5 3 3 2 2 2 2" xfId="24487" xr:uid="{83A5BCE7-FA93-4046-B93F-7DBF3B6AB5B0}"/>
    <cellStyle name="Comma 5 3 3 2 2 2 2 2" xfId="28429" xr:uid="{736DE6AB-161D-4636-A9C4-28D443D12817}"/>
    <cellStyle name="Comma 5 3 3 2 2 2 2 3" xfId="31153" xr:uid="{E1BB7096-EC90-4029-B5A7-0FAD42F4C98A}"/>
    <cellStyle name="Comma 5 3 3 2 2 2 3" xfId="25862" xr:uid="{EF41CB2E-81DC-4902-9327-C9A51BC071F7}"/>
    <cellStyle name="Comma 5 3 3 2 2 2 4" xfId="15647" xr:uid="{C0FB2A2C-4C20-4F64-9D84-D761A735928E}"/>
    <cellStyle name="Comma 5 3 3 2 2 3" xfId="8100" xr:uid="{B2675BE1-25A0-44ED-A687-FABA010D7052}"/>
    <cellStyle name="Comma 5 3 3 2 2 3 2" xfId="28782" xr:uid="{CD187FE2-8FC9-4015-BA37-C9208C8B8BCD}"/>
    <cellStyle name="Comma 5 3 3 2 2 3 3" xfId="27515" xr:uid="{A9561C34-DD72-4C66-8DF2-57C9CBED73B7}"/>
    <cellStyle name="Comma 5 3 3 2 2 3 4" xfId="18480" xr:uid="{79D6A84A-3C44-4127-B3BE-F560C8722588}"/>
    <cellStyle name="Comma 5 3 3 2 2 4" xfId="10933" xr:uid="{FC1448B2-004C-4E12-9A63-CEFA1F59C4C9}"/>
    <cellStyle name="Comma 5 3 3 2 2 4 2" xfId="21313" xr:uid="{7117E778-8A37-419F-9809-286168CEAAF0}"/>
    <cellStyle name="Comma 5 3 3 2 2 5" xfId="24861" xr:uid="{B51606ED-93C3-4546-96D3-BF8C0BF40DBF}"/>
    <cellStyle name="Comma 5 3 3 2 2 6" xfId="13523" xr:uid="{D52808DA-9BA2-40FA-B25F-1CE8A6D6144A}"/>
    <cellStyle name="Comma 5 3 3 2 3" xfId="2668" xr:uid="{00000000-0005-0000-0000-00009C010000}"/>
    <cellStyle name="Comma 5 3 3 2 3 2" xfId="7792" xr:uid="{BA0259BC-20EC-4EC6-A19B-378E2BF4E5BD}"/>
    <cellStyle name="Comma 5 3 3 2 3 2 2" xfId="26041" xr:uid="{6782B069-944B-4921-902D-DAC3C150A5C8}"/>
    <cellStyle name="Comma 5 3 3 2 3 2 3" xfId="27403" xr:uid="{AB192F4A-9390-4A16-84D9-2950F8504D98}"/>
    <cellStyle name="Comma 5 3 3 2 3 2 4" xfId="18172" xr:uid="{D16734CC-6C0E-4BC9-A5A0-189B1E08715C}"/>
    <cellStyle name="Comma 5 3 3 2 3 3" xfId="10625" xr:uid="{32D673C7-F16B-40F9-AC5C-B8145FC66C24}"/>
    <cellStyle name="Comma 5 3 3 2 3 3 2" xfId="21005" xr:uid="{B3228333-204B-4211-857B-61CFE09A4DD0}"/>
    <cellStyle name="Comma 5 3 3 2 3 4" xfId="24832" xr:uid="{E9D5CFD3-D44C-4075-AD3A-C62EE31B5ADB}"/>
    <cellStyle name="Comma 5 3 3 2 3 5" xfId="15339" xr:uid="{2B66F20E-EAA4-4812-8730-8E1672063F27}"/>
    <cellStyle name="Comma 5 3 3 2 4" xfId="3581" xr:uid="{00000000-0005-0000-0000-0000FA010000}"/>
    <cellStyle name="Comma 5 3 3 2 5" xfId="4253" xr:uid="{A5CF6D28-9ECD-4973-BC14-8B113A41CBB2}"/>
    <cellStyle name="Comma 5 3 3 2 5 2" xfId="9025" xr:uid="{81DA8887-A952-4CB5-B5A0-720526160502}"/>
    <cellStyle name="Comma 5 3 3 2 5 2 2" xfId="19405" xr:uid="{9F87F3FB-8163-420F-AF07-B1B25D8E6B97}"/>
    <cellStyle name="Comma 5 3 3 2 5 2 3" xfId="31029" xr:uid="{C0D2D35F-E7B3-441D-B8A9-807C30CBF4A0}"/>
    <cellStyle name="Comma 5 3 3 2 5 2 4" xfId="30670" xr:uid="{17AF4E78-0E6D-4FCF-AFAC-0D2D6FE5164D}"/>
    <cellStyle name="Comma 5 3 3 2 5 3" xfId="11858" xr:uid="{39BC5741-8C7C-4596-95A7-4B99CB39F1EF}"/>
    <cellStyle name="Comma 5 3 3 2 5 3 2" xfId="22238" xr:uid="{02B4F7AC-9C43-4DF6-B35E-A78401953B0E}"/>
    <cellStyle name="Comma 5 3 3 2 5 4" xfId="26577" xr:uid="{715E5C5C-3872-4D4B-8066-80917DA2B00F}"/>
    <cellStyle name="Comma 5 3 3 2 5 5" xfId="26522" xr:uid="{DD64C3BF-EB63-4953-9816-A8B3F2938B93}"/>
    <cellStyle name="Comma 5 3 3 2 5 6" xfId="16572" xr:uid="{C7F6F558-EB37-4FA6-8D0D-9C76D89D3C31}"/>
    <cellStyle name="Comma 5 3 3 2 6" xfId="5551" xr:uid="{4187F2AE-FC25-459C-94F0-C08F8C49EAB6}"/>
    <cellStyle name="Comma 5 3 3 2 6 2" xfId="29719" xr:uid="{96A1D024-8268-4E76-B2EC-700DAF216034}"/>
    <cellStyle name="Comma 5 3 3 2 6 2 2" xfId="30959" xr:uid="{DAE0FF1E-EF08-43F3-A73C-BAA7B7306C91}"/>
    <cellStyle name="Comma 5 3 3 2 7" xfId="23667" xr:uid="{91BF73DA-EC0B-44F2-A377-D678D1D931C6}"/>
    <cellStyle name="Comma 5 3 3 2 8" xfId="13069" xr:uid="{5A1B561C-420F-4222-BE17-44FB8D23587F}"/>
    <cellStyle name="Comma 5 3 3 3" xfId="1605" xr:uid="{00000000-0005-0000-0000-0000FB010000}"/>
    <cellStyle name="Comma 5 3 3 3 2" xfId="3021" xr:uid="{00000000-0005-0000-0000-00009E010000}"/>
    <cellStyle name="Comma 5 3 3 3 2 2" xfId="8101" xr:uid="{71351A0E-9600-4E72-9840-11F6678BBA7E}"/>
    <cellStyle name="Comma 5 3 3 3 2 2 2" xfId="28783" xr:uid="{9AF95032-FDC7-426E-9FA5-3DDF7531EC3F}"/>
    <cellStyle name="Comma 5 3 3 3 2 2 3" xfId="27359" xr:uid="{AF8FC180-40A7-4467-8461-0F02DD4D3C6E}"/>
    <cellStyle name="Comma 5 3 3 3 2 2 4" xfId="18481" xr:uid="{BAF314CE-CF4C-437D-A00F-570FFE58EC30}"/>
    <cellStyle name="Comma 5 3 3 3 2 3" xfId="10934" xr:uid="{9B76D318-B1E9-436A-B992-2D64252C7AAD}"/>
    <cellStyle name="Comma 5 3 3 3 2 3 2" xfId="21314" xr:uid="{AE67A613-5087-430B-B428-D0B0FF8BF451}"/>
    <cellStyle name="Comma 5 3 3 3 2 4" xfId="25807" xr:uid="{2996B49C-510E-4B6E-8C70-DF8541473783}"/>
    <cellStyle name="Comma 5 3 3 3 2 5" xfId="15648" xr:uid="{439D8AF1-C819-4298-9444-E5ED4AB96272}"/>
    <cellStyle name="Comma 5 3 3 3 3" xfId="2055" xr:uid="{00000000-0005-0000-0000-0000FB010000}"/>
    <cellStyle name="Comma 5 3 3 3 4" xfId="4394" xr:uid="{E89B999B-B3E7-4A73-B66A-50781482C73F}"/>
    <cellStyle name="Comma 5 3 3 3 4 2" xfId="9166" xr:uid="{0A5DB9DD-14BB-4F28-A06E-2A646C46ABCE}"/>
    <cellStyle name="Comma 5 3 3 3 4 2 2" xfId="19546" xr:uid="{581AD4F7-33A4-49D4-A773-0A7A76E058D0}"/>
    <cellStyle name="Comma 5 3 3 3 4 2 3" xfId="31060" xr:uid="{4C1E76E2-FBC7-4E4E-BC49-BD83C1CFD7C0}"/>
    <cellStyle name="Comma 5 3 3 3 4 2 4" xfId="30671" xr:uid="{8927AF79-460F-4196-92BC-16D0CE048F72}"/>
    <cellStyle name="Comma 5 3 3 3 4 3" xfId="11999" xr:uid="{ECEED630-A621-4A01-985D-EC78683A2B49}"/>
    <cellStyle name="Comma 5 3 3 3 4 3 2" xfId="22379" xr:uid="{8BB66300-1C6C-4C6D-A151-2182056A2E3F}"/>
    <cellStyle name="Comma 5 3 3 3 4 4" xfId="16713" xr:uid="{F9F95F45-93EF-40F5-AC66-AD859F54452C}"/>
    <cellStyle name="Comma 5 3 3 3 5" xfId="5552" xr:uid="{852AF332-CD15-420F-91F8-CD9F12875AF9}"/>
    <cellStyle name="Comma 5 3 3 3 5 2" xfId="29699" xr:uid="{81B28F9D-8AA9-4910-9A48-4EE65C1022E0}"/>
    <cellStyle name="Comma 5 3 3 3 6" xfId="24382" xr:uid="{6D46F744-F4D0-4A9F-9F98-39B09CFF4FD0}"/>
    <cellStyle name="Comma 5 3 3 3 7" xfId="13524" xr:uid="{40CE92C6-202E-42EA-AB24-0F2B6A178776}"/>
    <cellStyle name="Comma 5 3 3 4" xfId="1603" xr:uid="{00000000-0005-0000-0000-0000FC010000}"/>
    <cellStyle name="Comma 5 3 3 4 2" xfId="3019" xr:uid="{00000000-0005-0000-0000-00009F010000}"/>
    <cellStyle name="Comma 5 3 3 4 2 2" xfId="8099" xr:uid="{544E758B-4173-4486-A0FD-B7C1D5A3EED0}"/>
    <cellStyle name="Comma 5 3 3 4 2 2 2" xfId="28781" xr:uid="{A34ACBBC-9EE0-472C-9E4A-0F0C3102D445}"/>
    <cellStyle name="Comma 5 3 3 4 2 2 3" xfId="26393" xr:uid="{8094F510-7D49-4500-B375-D05024E145D1}"/>
    <cellStyle name="Comma 5 3 3 4 2 2 4" xfId="18479" xr:uid="{DE0004DC-80FC-462D-ADDF-B69BDB1B718B}"/>
    <cellStyle name="Comma 5 3 3 4 2 3" xfId="10932" xr:uid="{B25731BD-804C-4A9E-94AD-51A601972723}"/>
    <cellStyle name="Comma 5 3 3 4 2 3 2" xfId="21312" xr:uid="{63806544-5C9C-47C4-A9F0-C8C812469FC6}"/>
    <cellStyle name="Comma 5 3 3 4 2 4" xfId="24979" xr:uid="{DD48F4C4-F4A9-4991-A28A-CF8D24A7DB4B}"/>
    <cellStyle name="Comma 5 3 3 4 2 5" xfId="15646" xr:uid="{A4823BE1-F88F-4F66-8ABE-6DCF50AEBAD5}"/>
    <cellStyle name="Comma 5 3 3 4 3" xfId="3704" xr:uid="{00000000-0005-0000-0000-0000FC010000}"/>
    <cellStyle name="Comma 5 3 3 4 4" xfId="5550" xr:uid="{5EA18817-182A-4DFF-8D89-0C3B4AD4769E}"/>
    <cellStyle name="Comma 5 3 3 4 4 2" xfId="29936" xr:uid="{F801DD17-8BA2-4F48-B19F-F2110F15120C}"/>
    <cellStyle name="Comma 5 3 3 4 5" xfId="22784" xr:uid="{28BD268A-AF7A-4331-B04E-590DC67114E4}"/>
    <cellStyle name="Comma 5 3 3 4 6" xfId="13522" xr:uid="{D513B4F0-EF6D-4187-B69B-9D767B48BF27}"/>
    <cellStyle name="Comma 5 3 3 5" xfId="2589" xr:uid="{00000000-0005-0000-0000-0000A0010000}"/>
    <cellStyle name="Comma 5 3 3 5 2" xfId="5854" xr:uid="{F93E9B1A-A474-44AD-9395-8F643A337802}"/>
    <cellStyle name="Comma 5 3 3 5 2 2" xfId="28752" xr:uid="{AD7343D1-0323-418F-966B-5DFEE866B907}"/>
    <cellStyle name="Comma 5 3 3 5 2 3" xfId="28710" xr:uid="{DBB1E1D6-6DF3-4BDF-8453-31841EAB8F09}"/>
    <cellStyle name="Comma 5 3 3 5 2 4" xfId="15261" xr:uid="{C78FEB5F-3916-4BD9-B5FF-ADF57A710E6D}"/>
    <cellStyle name="Comma 5 3 3 5 3" xfId="7714" xr:uid="{81760B78-A9B0-4018-A496-74E26CE4CD25}"/>
    <cellStyle name="Comma 5 3 3 5 3 2" xfId="18094" xr:uid="{BCD8DF04-D3F8-4C0A-8D37-D472ED1AA488}"/>
    <cellStyle name="Comma 5 3 3 5 4" xfId="10547" xr:uid="{8670A055-8060-4167-93CD-3AAB90DF24CC}"/>
    <cellStyle name="Comma 5 3 3 5 4 2" xfId="20927" xr:uid="{493FCFEE-0696-4A32-8BAC-C911CA24105A}"/>
    <cellStyle name="Comma 5 3 3 5 5" xfId="25161" xr:uid="{F2723F95-640E-438A-8BEA-F437A339DAA5}"/>
    <cellStyle name="Comma 5 3 3 5 6" xfId="12977" xr:uid="{C6C066F2-0406-4047-A8EC-2FB91660F9AE}"/>
    <cellStyle name="Comma 5 3 3 6" xfId="2273" xr:uid="{00000000-0005-0000-0000-00009B010000}"/>
    <cellStyle name="Comma 5 3 3 6 2" xfId="7400" xr:uid="{FAB0EE96-DD8A-40E2-B692-599100EC51FB}"/>
    <cellStyle name="Comma 5 3 3 6 2 2" xfId="17780" xr:uid="{0F830196-7FD9-443B-B78A-D7133708C2FC}"/>
    <cellStyle name="Comma 5 3 3 6 3" xfId="10233" xr:uid="{67535CCC-4C98-40AE-B35C-FD216819F253}"/>
    <cellStyle name="Comma 5 3 3 6 3 2" xfId="20613" xr:uid="{2D325197-2147-4F08-912E-F2E8AA980477}"/>
    <cellStyle name="Comma 5 3 3 6 4" xfId="23544" xr:uid="{1042610D-7F33-4480-B089-520213FF025D}"/>
    <cellStyle name="Comma 5 3 3 6 5" xfId="27225" xr:uid="{B1BAB9D3-0C62-4C88-849A-8A400AC682EA}"/>
    <cellStyle name="Comma 5 3 3 6 6" xfId="14947" xr:uid="{AB5082DF-CE94-4F51-916D-22419B9D714A}"/>
    <cellStyle name="Comma 5 3 3 7" xfId="3812" xr:uid="{BC3C2040-D90E-4060-AED6-93DE29ED2268}"/>
    <cellStyle name="Comma 5 3 3 7 2" xfId="8646" xr:uid="{71EDDCD3-CC4F-4D95-B169-0A01B59DB261}"/>
    <cellStyle name="Comma 5 3 3 7 2 2" xfId="19026" xr:uid="{175A5B1F-63F3-43FA-9B65-558145EB4872}"/>
    <cellStyle name="Comma 5 3 3 7 2 3" xfId="31003" xr:uid="{5E573AEF-FC93-4A83-AC2B-6937BAD6C83E}"/>
    <cellStyle name="Comma 5 3 3 7 2 4" xfId="30669" xr:uid="{F7EA0D66-97C4-40F3-A931-FCFE523E7601}"/>
    <cellStyle name="Comma 5 3 3 7 3" xfId="11479" xr:uid="{EAD417FE-C5D1-4E96-857A-95331B6CD7F4}"/>
    <cellStyle name="Comma 5 3 3 7 3 2" xfId="21859" xr:uid="{D52723FC-C70A-485A-891B-DE707F47651B}"/>
    <cellStyle name="Comma 5 3 3 7 4" xfId="27876" xr:uid="{8C26BB6C-E7A8-4A15-AC6D-0A61A02A7810}"/>
    <cellStyle name="Comma 5 3 3 7 5" xfId="27704" xr:uid="{2A29C485-21F3-42A8-B796-D0BF79DF086E}"/>
    <cellStyle name="Comma 5 3 3 7 6" xfId="16193" xr:uid="{26DB009D-FA95-4A62-A9AC-DBEF575AF7B8}"/>
    <cellStyle name="Comma 5 3 3 8" xfId="4858" xr:uid="{1DAA2A46-40FE-4552-920E-DD12D41D0ABB}"/>
    <cellStyle name="Comma 5 3 3 8 2" xfId="14150" xr:uid="{0EA1FB59-CBD9-436C-BF4A-2E2AF687C5E1}"/>
    <cellStyle name="Comma 5 3 3 9" xfId="6603" xr:uid="{35DA5AA4-DCFA-4B61-A537-26CFA0B983D5}"/>
    <cellStyle name="Comma 5 3 3 9 2" xfId="16983" xr:uid="{383A706C-65B6-4384-93C8-AEA46C24A694}"/>
    <cellStyle name="Comma 5 3 4" xfId="465" xr:uid="{00000000-0005-0000-0000-0000FD010000}"/>
    <cellStyle name="Comma 5 3 4 10" xfId="12663" xr:uid="{E3A457C5-1DC6-4D31-B493-CEB14676FFE2}"/>
    <cellStyle name="Comma 5 3 4 2" xfId="1607" xr:uid="{00000000-0005-0000-0000-0000FE010000}"/>
    <cellStyle name="Comma 5 3 4 2 2" xfId="3022" xr:uid="{00000000-0005-0000-0000-0000A2010000}"/>
    <cellStyle name="Comma 5 3 4 2 2 2" xfId="8102" xr:uid="{0331F688-59BC-4FE3-B4ED-DBDE87F225FE}"/>
    <cellStyle name="Comma 5 3 4 2 2 2 2" xfId="28784" xr:uid="{6A7DE4A5-9E82-4180-A907-2CFB72549A4D}"/>
    <cellStyle name="Comma 5 3 4 2 2 2 3" xfId="27842" xr:uid="{A8F0501A-D808-4877-8417-EE54528C2650}"/>
    <cellStyle name="Comma 5 3 4 2 2 2 4" xfId="18482" xr:uid="{3BD662D0-16FB-49C2-BF66-E642E1206413}"/>
    <cellStyle name="Comma 5 3 4 2 2 3" xfId="10935" xr:uid="{B20721C7-DD83-4D5E-95AF-810D14072C7F}"/>
    <cellStyle name="Comma 5 3 4 2 2 3 2" xfId="21315" xr:uid="{4C747FC6-9EE2-4CFE-A9AA-C0B508C14E23}"/>
    <cellStyle name="Comma 5 3 4 2 2 4" xfId="22881" xr:uid="{88E6124C-4E8C-4A16-949E-CBE25C6106E4}"/>
    <cellStyle name="Comma 5 3 4 2 2 5" xfId="15649" xr:uid="{D90D7B85-E6F5-4A2B-97FA-EA362F3F6127}"/>
    <cellStyle name="Comma 5 3 4 2 3" xfId="3596" xr:uid="{00000000-0005-0000-0000-0000FE010000}"/>
    <cellStyle name="Comma 5 3 4 2 4" xfId="5553" xr:uid="{35E0FB29-70AE-49EE-AD4C-77EC9E6EEAEA}"/>
    <cellStyle name="Comma 5 3 4 2 4 2" xfId="29937" xr:uid="{F7D8417D-86B8-44F3-8192-B6ED212C1704}"/>
    <cellStyle name="Comma 5 3 4 2 5" xfId="22938" xr:uid="{582C414B-198D-4637-B347-4B42CEFBB74A}"/>
    <cellStyle name="Comma 5 3 4 2 6" xfId="13525" xr:uid="{D84DC151-B278-47F9-B950-3A81B18250F8}"/>
    <cellStyle name="Comma 5 3 4 3" xfId="1608" xr:uid="{00000000-0005-0000-0000-0000FF010000}"/>
    <cellStyle name="Comma 5 3 4 3 2" xfId="2665" xr:uid="{00000000-0005-0000-0000-0000A3010000}"/>
    <cellStyle name="Comma 5 3 4 3 2 2" xfId="7789" xr:uid="{8AA74F61-6495-4F7E-A39B-B89DFF004744}"/>
    <cellStyle name="Comma 5 3 4 3 2 2 2" xfId="18169" xr:uid="{0E429779-8103-4747-B43C-F6EBCB513CD7}"/>
    <cellStyle name="Comma 5 3 4 3 2 3" xfId="10622" xr:uid="{A45B6330-0CC5-40C8-A69D-6E85EF031BC0}"/>
    <cellStyle name="Comma 5 3 4 3 2 3 2" xfId="21002" xr:uid="{2F0E2A0C-09FF-4E44-858C-81BB4579D738}"/>
    <cellStyle name="Comma 5 3 4 3 2 4" xfId="28634" xr:uid="{CE7A6B10-8A87-4297-BEC1-DA9E42555B67}"/>
    <cellStyle name="Comma 5 3 4 3 2 5" xfId="27180" xr:uid="{046E0A85-377B-433E-A7F9-442127F24884}"/>
    <cellStyle name="Comma 5 3 4 3 2 6" xfId="15336" xr:uid="{0FA2FB61-1314-4E5D-8D6A-EFBD4F4D6146}"/>
    <cellStyle name="Comma 5 3 4 3 3" xfId="2864" xr:uid="{00000000-0005-0000-0000-0000FF010000}"/>
    <cellStyle name="Comma 5 3 4 3 4" xfId="5554" xr:uid="{4D8E9BD3-63C9-4A5A-A1CD-7F725C1BEB6C}"/>
    <cellStyle name="Comma 5 3 4 3 4 2" xfId="29892" xr:uid="{28B005BD-8B7C-45F5-88C2-4C22FDFB4F10}"/>
    <cellStyle name="Comma 5 3 4 3 5" xfId="22739" xr:uid="{F2E0233A-5D31-42C9-8526-FBEE444B357C}"/>
    <cellStyle name="Comma 5 3 4 3 6" xfId="13066" xr:uid="{3A9E7DDA-C199-40C1-A7A4-35AB462E9097}"/>
    <cellStyle name="Comma 5 3 4 4" xfId="1606" xr:uid="{00000000-0005-0000-0000-000000020000}"/>
    <cellStyle name="Comma 5 3 4 4 2" xfId="4651" xr:uid="{3114D812-06FF-427C-8717-B5A3AE78D681}"/>
    <cellStyle name="Comma 5 3 4 4 2 2" xfId="9404" xr:uid="{755A4772-9956-4090-86E0-B56777673956}"/>
    <cellStyle name="Comma 5 3 4 4 2 2 2" xfId="19784" xr:uid="{7E46F6B6-485C-498F-B613-E1BEAF63E804}"/>
    <cellStyle name="Comma 5 3 4 4 2 3" xfId="12237" xr:uid="{AF7D70A5-A9E3-4116-AC18-EF98F134E557}"/>
    <cellStyle name="Comma 5 3 4 4 2 3 2" xfId="22617" xr:uid="{684292E3-A794-4384-9C3E-1EE9BE35DE1E}"/>
    <cellStyle name="Comma 5 3 4 4 2 4" xfId="16951" xr:uid="{080785A3-86CC-4292-8712-52952C8DFA39}"/>
    <cellStyle name="Comma 5 3 4 4 3" xfId="23069" xr:uid="{E1AC5A32-0335-49F7-8FAA-551698E3F7C0}"/>
    <cellStyle name="Comma 5 3 4 5" xfId="4120" xr:uid="{50AC6762-96F6-4507-990A-01F8DAFEBCCF}"/>
    <cellStyle name="Comma 5 3 4 5 2" xfId="8892" xr:uid="{568733DA-31B9-473C-B8A9-922D2E52570C}"/>
    <cellStyle name="Comma 5 3 4 5 2 2" xfId="19272" xr:uid="{4A7D6035-9E3D-47C7-8510-0B6ABD285CE8}"/>
    <cellStyle name="Comma 5 3 4 5 2 3" xfId="31006" xr:uid="{652E968E-D3FA-4707-B01D-97094D6B1424}"/>
    <cellStyle name="Comma 5 3 4 5 2 4" xfId="30672" xr:uid="{4E2D6263-25F4-463D-94D3-1CFE66A370DC}"/>
    <cellStyle name="Comma 5 3 4 5 3" xfId="11725" xr:uid="{DBFF6D81-ADC5-48C1-98D0-A780BD9804B3}"/>
    <cellStyle name="Comma 5 3 4 5 3 2" xfId="22105" xr:uid="{DC651E95-936F-4B8A-9A96-1B6E764FEFB6}"/>
    <cellStyle name="Comma 5 3 4 5 4" xfId="26229" xr:uid="{DE9C6979-592B-4537-ABBE-3101AFB3908B}"/>
    <cellStyle name="Comma 5 3 4 5 5" xfId="27930" xr:uid="{A867C619-3AC0-4C8E-BC10-124D5F1A6923}"/>
    <cellStyle name="Comma 5 3 4 5 6" xfId="16439" xr:uid="{65CAFCD8-BCF5-48B5-A2F6-7B51FAB9BE2C}"/>
    <cellStyle name="Comma 5 3 4 6" xfId="4859" xr:uid="{9A11D7C7-2F2C-4554-B860-DA57FB9EC9B5}"/>
    <cellStyle name="Comma 5 3 4 6 2" xfId="14151" xr:uid="{03648C94-FD9A-4DAD-908E-CDC4D8281447}"/>
    <cellStyle name="Comma 5 3 4 7" xfId="6604" xr:uid="{B417F8B8-E539-4FE6-92B7-7D34C566A5B1}"/>
    <cellStyle name="Comma 5 3 4 7 2" xfId="16984" xr:uid="{0B3709B3-08A6-4B88-B474-2A383A7BD0EE}"/>
    <cellStyle name="Comma 5 3 4 8" xfId="9437" xr:uid="{CEA750C3-DF05-411F-9FD7-5AC383E5B8BD}"/>
    <cellStyle name="Comma 5 3 4 8 2" xfId="19817" xr:uid="{56B0C3E0-9D69-47D7-A834-6A8D51E2137E}"/>
    <cellStyle name="Comma 5 3 4 9" xfId="25174" xr:uid="{5AA03A37-5A4A-404D-A0C2-D2A1B9AEEB9F}"/>
    <cellStyle name="Comma 5 3 5" xfId="1609" xr:uid="{00000000-0005-0000-0000-000001020000}"/>
    <cellStyle name="Comma 5 3 5 2" xfId="3023" xr:uid="{00000000-0005-0000-0000-0000A4010000}"/>
    <cellStyle name="Comma 5 3 5 2 2" xfId="8103" xr:uid="{758D0A3D-DAE7-44D0-A070-611359FDD246}"/>
    <cellStyle name="Comma 5 3 5 2 2 2" xfId="28785" xr:uid="{9062B341-5510-4E13-B903-2662C3340177}"/>
    <cellStyle name="Comma 5 3 5 2 2 2 2" xfId="31216" xr:uid="{4560F66A-A4EC-44A6-90F1-5DA7986E04EA}"/>
    <cellStyle name="Comma 5 3 5 2 2 2 3" xfId="30674" xr:uid="{DCC66FAA-4E41-4EFB-9B03-216E82F99718}"/>
    <cellStyle name="Comma 5 3 5 2 2 3" xfId="25941" xr:uid="{FBBCB61A-313E-4E94-8410-0262FF9D8802}"/>
    <cellStyle name="Comma 5 3 5 2 2 4" xfId="18483" xr:uid="{C080EA8A-3A8F-4907-904E-D727E657353D}"/>
    <cellStyle name="Comma 5 3 5 2 3" xfId="10936" xr:uid="{56CC6414-4972-4AFC-A6DD-34C624E1B419}"/>
    <cellStyle name="Comma 5 3 5 2 3 2" xfId="21316" xr:uid="{C2F48BB0-9443-4B3E-AD42-19FA47EAB766}"/>
    <cellStyle name="Comma 5 3 5 2 4" xfId="25664" xr:uid="{11363C39-2A83-45E4-A831-F7C2468C73A4}"/>
    <cellStyle name="Comma 5 3 5 2 5" xfId="15650" xr:uid="{D87C9E01-C85F-4ED0-9A81-B5F7E31832ED}"/>
    <cellStyle name="Comma 5 3 5 3" xfId="3602" xr:uid="{00000000-0005-0000-0000-000001020000}"/>
    <cellStyle name="Comma 5 3 5 4" xfId="4395" xr:uid="{2AAD49C6-F25C-4FEE-BC85-F6DD7FF6AC65}"/>
    <cellStyle name="Comma 5 3 5 4 2" xfId="9167" xr:uid="{8D231905-9E5A-4AD9-8620-5F84B5A7C17C}"/>
    <cellStyle name="Comma 5 3 5 4 2 2" xfId="19547" xr:uid="{5C116791-A505-459C-8E6E-EA12199F8041}"/>
    <cellStyle name="Comma 5 3 5 4 2 3" xfId="31061" xr:uid="{157988F9-5057-414A-B1C6-730F9F4629FF}"/>
    <cellStyle name="Comma 5 3 5 4 2 4" xfId="30673" xr:uid="{BC30637A-9309-45D6-B3EA-4136BB8A9DA2}"/>
    <cellStyle name="Comma 5 3 5 4 3" xfId="12000" xr:uid="{B917A9A5-B207-4ACF-929B-2989CF6C2283}"/>
    <cellStyle name="Comma 5 3 5 4 3 2" xfId="22380" xr:uid="{38E7E0D5-7429-44F4-AFB3-38229BE78DFC}"/>
    <cellStyle name="Comma 5 3 5 4 4" xfId="16714" xr:uid="{175FEC41-7C4F-471D-B879-5DCA32C7206B}"/>
    <cellStyle name="Comma 5 3 5 5" xfId="5555" xr:uid="{C0DE5202-95C0-4D16-83EC-A289F96C16FA}"/>
    <cellStyle name="Comma 5 3 5 5 2" xfId="29688" xr:uid="{F9F675D5-8113-4588-A3AE-224FC6F06B9F}"/>
    <cellStyle name="Comma 5 3 5 5 2 2" xfId="30960" xr:uid="{7875E500-DBEB-4CA4-AF12-2A9373028ADD}"/>
    <cellStyle name="Comma 5 3 5 6" xfId="25007" xr:uid="{6FD117B5-253E-4683-980E-CE6A211B6540}"/>
    <cellStyle name="Comma 5 3 5 7" xfId="13526" xr:uid="{0312A79F-B65F-46C8-9C32-2363B1DFCD16}"/>
    <cellStyle name="Comma 5 3 6" xfId="1610" xr:uid="{00000000-0005-0000-0000-000002020000}"/>
    <cellStyle name="Comma 5 3 6 2" xfId="2868" xr:uid="{00000000-0005-0000-0000-0000A5010000}"/>
    <cellStyle name="Comma 5 3 6 2 2" xfId="7985" xr:uid="{6C75DD22-BAC2-43AF-A1DF-B913CA37946C}"/>
    <cellStyle name="Comma 5 3 6 2 2 2" xfId="27297" xr:uid="{550C79C4-424A-402D-A115-80536B730495}"/>
    <cellStyle name="Comma 5 3 6 2 2 2 2" xfId="31189" xr:uid="{2214C770-FEBD-4FB2-8153-96FA46F9B13C}"/>
    <cellStyle name="Comma 5 3 6 2 2 2 3" xfId="30675" xr:uid="{70A150DB-6F83-42B0-A715-A16026A0644F}"/>
    <cellStyle name="Comma 5 3 6 2 2 3" xfId="26651" xr:uid="{0FA4C828-FE98-48CD-B312-BE8BE8001D66}"/>
    <cellStyle name="Comma 5 3 6 2 2 4" xfId="18365" xr:uid="{D688AB4A-C9EF-46F0-BFAB-28181B29323E}"/>
    <cellStyle name="Comma 5 3 6 2 3" xfId="10818" xr:uid="{5DC9755E-65C5-48DE-8CB9-8D8B044123B9}"/>
    <cellStyle name="Comma 5 3 6 2 3 2" xfId="21198" xr:uid="{E32A3CCE-3D50-4B57-AC37-E959EA59D368}"/>
    <cellStyle name="Comma 5 3 6 2 4" xfId="24165" xr:uid="{98256179-2AFA-4BBD-AF1C-2212B824FFBB}"/>
    <cellStyle name="Comma 5 3 6 2 5" xfId="15532" xr:uid="{8772BB40-D294-4585-963C-C800C2298ABE}"/>
    <cellStyle name="Comma 5 3 6 3" xfId="2057" xr:uid="{00000000-0005-0000-0000-000002020000}"/>
    <cellStyle name="Comma 5 3 6 4" xfId="5556" xr:uid="{C05D109D-6652-4B9A-B615-B29DAFDDCF9C}"/>
    <cellStyle name="Comma 5 3 6 4 2" xfId="29921" xr:uid="{C51E7046-954C-4FA0-81CA-3ABC12CDE141}"/>
    <cellStyle name="Comma 5 3 6 5" xfId="25228" xr:uid="{35AD5475-35E1-4B46-B4D5-98072003B9E3}"/>
    <cellStyle name="Comma 5 3 6 6" xfId="13361" xr:uid="{637BCB59-9FD8-453A-8DE5-CAC6E29F7DE5}"/>
    <cellStyle name="Comma 5 3 7" xfId="1596" xr:uid="{00000000-0005-0000-0000-000003020000}"/>
    <cellStyle name="Comma 5 3 7 2" xfId="2486" xr:uid="{00000000-0005-0000-0000-0000A6010000}"/>
    <cellStyle name="Comma 5 3 7 2 2" xfId="7611" xr:uid="{8429CEE5-936D-468A-822B-C4CC7D55E6F9}"/>
    <cellStyle name="Comma 5 3 7 2 2 2" xfId="17991" xr:uid="{5B549C2E-BFBF-46F3-8BC1-EC8F7DEC457C}"/>
    <cellStyle name="Comma 5 3 7 2 3" xfId="10444" xr:uid="{76E73FD1-063B-40AC-AC21-F2235F1DFC88}"/>
    <cellStyle name="Comma 5 3 7 2 3 2" xfId="20824" xr:uid="{4ECD8354-400C-4E94-BA8D-F1178449204C}"/>
    <cellStyle name="Comma 5 3 7 2 4" xfId="26880" xr:uid="{1CD15196-0267-4571-B546-85F3A9E5E4A2}"/>
    <cellStyle name="Comma 5 3 7 2 5" xfId="26994" xr:uid="{38242EE3-63CD-40FA-A09A-C1D97EB7E08D}"/>
    <cellStyle name="Comma 5 3 7 2 6" xfId="15158" xr:uid="{6AAB141B-DDBB-4B37-83CD-94D3952143BF}"/>
    <cellStyle name="Comma 5 3 7 3" xfId="3610" xr:uid="{00000000-0005-0000-0000-000003020000}"/>
    <cellStyle name="Comma 5 3 7 4" xfId="5543" xr:uid="{FF6B865B-76D6-4913-99E7-9488269AFAE4}"/>
    <cellStyle name="Comma 5 3 7 4 2" xfId="29868" xr:uid="{148AE6C6-3C9E-4E6D-95C0-D85C88EDADA5}"/>
    <cellStyle name="Comma 5 3 7 5" xfId="23169" xr:uid="{F2189D89-1652-4A6C-9C40-0E90C543D6E8}"/>
    <cellStyle name="Comma 5 3 7 6" xfId="12874" xr:uid="{09689B8C-3687-4CBB-AD02-AA18D1CD2591}"/>
    <cellStyle name="Comma 5 3 8" xfId="2180" xr:uid="{00000000-0005-0000-0000-00008F010000}"/>
    <cellStyle name="Comma 5 3 8 2" xfId="7307" xr:uid="{A52BF028-91EB-4672-BDCF-61C1BA0F6877}"/>
    <cellStyle name="Comma 5 3 8 2 2" xfId="17687" xr:uid="{3A25C420-D2EC-4CD9-8BAB-5F879B622CC1}"/>
    <cellStyle name="Comma 5 3 8 2 2 2" xfId="31121" xr:uid="{CF07C3AB-2C4D-472D-BC21-58F5BE798A45}"/>
    <cellStyle name="Comma 5 3 8 2 2 3" xfId="30676" xr:uid="{DD5071D3-B176-4A5E-B3EE-C9BC5649DD83}"/>
    <cellStyle name="Comma 5 3 8 3" xfId="10140" xr:uid="{6B2EA7A1-3C2A-469B-8FBD-27E70E7CA9FE}"/>
    <cellStyle name="Comma 5 3 8 3 2" xfId="20520" xr:uid="{821C99FD-689E-4A20-B7AA-25477B773790}"/>
    <cellStyle name="Comma 5 3 8 4" xfId="22786" xr:uid="{FCA71F4A-E844-45E6-B2A5-C25112314239}"/>
    <cellStyle name="Comma 5 3 8 5" xfId="28213" xr:uid="{6C4B6CBB-763E-4914-B3F5-4DE7E806DCA7}"/>
    <cellStyle name="Comma 5 3 8 6" xfId="14854" xr:uid="{0EFEE67B-54B6-4A44-9DAA-EAEAD63C43FD}"/>
    <cellStyle name="Comma 5 3 9" xfId="3860" xr:uid="{BD759C4A-C152-4D28-9136-4603EA7965D9}"/>
    <cellStyle name="Comma 5 3 9 2" xfId="8692" xr:uid="{2B3ED32A-7A08-4245-9A73-AA5797EFF1F5}"/>
    <cellStyle name="Comma 5 3 9 2 2" xfId="19072" xr:uid="{D8803375-2527-4510-BBD5-2D9A262E6CFC}"/>
    <cellStyle name="Comma 5 3 9 3" xfId="11525" xr:uid="{28CB0750-B495-4B8B-8162-0152EE2FC7D8}"/>
    <cellStyle name="Comma 5 3 9 3 2" xfId="21905" xr:uid="{129315D9-8AD4-42D6-8C58-A3FC0B5BCC16}"/>
    <cellStyle name="Comma 5 3 9 4" xfId="26470" xr:uid="{59683E98-A4F8-461D-8F11-FDDDDAF3320A}"/>
    <cellStyle name="Comma 5 3 9 5" xfId="26002" xr:uid="{8F1D2142-D936-4E2D-8BC4-16790819D8E1}"/>
    <cellStyle name="Comma 5 3 9 6" xfId="16239" xr:uid="{5BA957D4-5450-4E3C-BD98-81AE95564B85}"/>
    <cellStyle name="Comma 5 4" xfId="466" xr:uid="{00000000-0005-0000-0000-000004020000}"/>
    <cellStyle name="Comma 5 4 10" xfId="4860" xr:uid="{1D48C26C-529B-472F-9FD3-5BF62F1AEC33}"/>
    <cellStyle name="Comma 5 4 10 2" xfId="14152" xr:uid="{E3D512D4-630F-41EE-A9BB-E6B82CC22B4C}"/>
    <cellStyle name="Comma 5 4 11" xfId="6605" xr:uid="{A57298B7-5099-4365-B724-03702B5CFDF7}"/>
    <cellStyle name="Comma 5 4 11 2" xfId="16985" xr:uid="{B493B554-1F48-4913-A55F-6DAE801F5DFA}"/>
    <cellStyle name="Comma 5 4 12" xfId="9438" xr:uid="{8F6A6276-7F5B-4793-A0A0-363AB0CF308E}"/>
    <cellStyle name="Comma 5 4 12 2" xfId="19818" xr:uid="{16298050-3149-4BAC-98F6-74F4689F4960}"/>
    <cellStyle name="Comma 5 4 13" xfId="24743" xr:uid="{BC77B1D8-AA73-45EC-B2D0-5CB99A3F84A7}"/>
    <cellStyle name="Comma 5 4 14" xfId="12446" xr:uid="{B6172012-8C99-44AE-8F12-79EBD00E31F0}"/>
    <cellStyle name="Comma 5 4 2" xfId="467" xr:uid="{00000000-0005-0000-0000-000005020000}"/>
    <cellStyle name="Comma 5 4 2 10" xfId="9439" xr:uid="{9179DD7C-FF76-4128-A4F8-FEC06C341DEF}"/>
    <cellStyle name="Comma 5 4 2 10 2" xfId="19819" xr:uid="{B10C79F5-1CE0-4412-B278-2A8BC4FAE3C2}"/>
    <cellStyle name="Comma 5 4 2 11" xfId="23092" xr:uid="{4FE24631-C7D7-4F33-BAC0-3B827083DC9F}"/>
    <cellStyle name="Comma 5 4 2 12" xfId="12506" xr:uid="{2952C624-78DA-4836-AC75-424E492B18E4}"/>
    <cellStyle name="Comma 5 4 2 2" xfId="468" xr:uid="{00000000-0005-0000-0000-000006020000}"/>
    <cellStyle name="Comma 5 4 2 2 10" xfId="13071" xr:uid="{F679514C-B4BA-43DC-83B3-A529B99A07B5}"/>
    <cellStyle name="Comma 5 4 2 2 2" xfId="1614" xr:uid="{00000000-0005-0000-0000-000007020000}"/>
    <cellStyle name="Comma 5 4 2 2 2 2" xfId="3025" xr:uid="{00000000-0005-0000-0000-0000AA010000}"/>
    <cellStyle name="Comma 5 4 2 2 2 2 2" xfId="8105" xr:uid="{EA20ED8E-EC4F-4A46-90AC-980EE3AE3BA5}"/>
    <cellStyle name="Comma 5 4 2 2 2 2 2 2" xfId="28787" xr:uid="{2BBE52B5-D896-4E59-847F-74A30D6B9169}"/>
    <cellStyle name="Comma 5 4 2 2 2 2 2 3" xfId="26232" xr:uid="{FB64F316-FCE4-479A-B3CF-2801908AE5FC}"/>
    <cellStyle name="Comma 5 4 2 2 2 2 2 4" xfId="18485" xr:uid="{F935C9F6-EC71-439E-84C9-0F96AEEE17E2}"/>
    <cellStyle name="Comma 5 4 2 2 2 2 3" xfId="10938" xr:uid="{FE22D365-3292-4297-961D-1F55EABBF6B9}"/>
    <cellStyle name="Comma 5 4 2 2 2 2 3 2" xfId="21318" xr:uid="{C7299ECD-40A9-45CF-9F05-3286C1E437F1}"/>
    <cellStyle name="Comma 5 4 2 2 2 2 4" xfId="25738" xr:uid="{82C15EC4-AA15-4183-B53D-1323C89E1F7D}"/>
    <cellStyle name="Comma 5 4 2 2 2 2 5" xfId="15652" xr:uid="{62961680-01A7-4209-8590-52B26877995D}"/>
    <cellStyle name="Comma 5 4 2 2 2 3" xfId="2043" xr:uid="{00000000-0005-0000-0000-000007020000}"/>
    <cellStyle name="Comma 5 4 2 2 2 4" xfId="5559" xr:uid="{9B0E2C47-CA6A-4D5E-AD71-7458A8ABD26C}"/>
    <cellStyle name="Comma 5 4 2 2 2 4 2" xfId="29939" xr:uid="{E77E4B37-1023-473D-B823-A966092B7334}"/>
    <cellStyle name="Comma 5 4 2 2 2 5" xfId="23454" xr:uid="{6CD4595C-6861-4235-BA54-68DDDAE0C84C}"/>
    <cellStyle name="Comma 5 4 2 2 2 6" xfId="13528" xr:uid="{D0D933B0-ECB4-4725-B67B-EFE6C27B71B3}"/>
    <cellStyle name="Comma 5 4 2 2 3" xfId="1615" xr:uid="{00000000-0005-0000-0000-000008020000}"/>
    <cellStyle name="Comma 5 4 2 2 3 2" xfId="4633" xr:uid="{029813EF-0C19-4030-B37D-0A57A3B96EDC}"/>
    <cellStyle name="Comma 5 4 2 2 3 2 2" xfId="9400" xr:uid="{83FFACF2-BD4E-4875-950A-D929986B00C4}"/>
    <cellStyle name="Comma 5 4 2 2 3 2 2 2" xfId="19780" xr:uid="{7082B909-59D5-4F20-A285-AEA2FBDD5040}"/>
    <cellStyle name="Comma 5 4 2 2 3 2 3" xfId="12233" xr:uid="{19779298-5525-44F8-A001-D7530121B6CB}"/>
    <cellStyle name="Comma 5 4 2 2 3 2 3 2" xfId="22613" xr:uid="{2262B76A-4056-4500-B9E7-4300D0C9C3F4}"/>
    <cellStyle name="Comma 5 4 2 2 3 2 4" xfId="27764" xr:uid="{E7C85F02-B2A7-4DB9-9E73-482C42434E54}"/>
    <cellStyle name="Comma 5 4 2 2 3 2 5" xfId="26258" xr:uid="{D5E448E2-BF3B-40D1-A378-066099C8B329}"/>
    <cellStyle name="Comma 5 4 2 2 3 2 6" xfId="16947" xr:uid="{B4372306-01C5-4D82-9FED-E99CCB459B53}"/>
    <cellStyle name="Comma 5 4 2 2 3 3" xfId="22704" xr:uid="{1D5236FC-9549-4EA0-81BD-CE1B9C468209}"/>
    <cellStyle name="Comma 5 4 2 2 3 3 2" xfId="29895" xr:uid="{F005C7EF-F97C-4135-81B0-7BB5D359B727}"/>
    <cellStyle name="Comma 5 4 2 2 3 4" xfId="30010" xr:uid="{BEF40FD6-867C-4F0E-B7D5-D2A9EEDAE25F}"/>
    <cellStyle name="Comma 5 4 2 2 4" xfId="1613" xr:uid="{00000000-0005-0000-0000-000009020000}"/>
    <cellStyle name="Comma 5 4 2 2 4 2" xfId="26903" xr:uid="{8B3A6ADC-228E-48ED-A885-CFF25D8A396D}"/>
    <cellStyle name="Comma 5 4 2 2 4 3" xfId="26323" xr:uid="{F4B2F6D5-A474-46A9-8F94-8D112600F312}"/>
    <cellStyle name="Comma 5 4 2 2 5" xfId="4255" xr:uid="{94E6B12B-8FC1-4DE0-B083-4FDCE28DDC27}"/>
    <cellStyle name="Comma 5 4 2 2 5 2" xfId="9027" xr:uid="{15CA4CCE-3BB0-40ED-8350-10E15D7F217D}"/>
    <cellStyle name="Comma 5 4 2 2 5 2 2" xfId="19407" xr:uid="{12ADC1E7-AA36-4E16-8615-6B7923E98D5B}"/>
    <cellStyle name="Comma 5 4 2 2 5 2 3" xfId="31031" xr:uid="{B6F58660-A39C-4763-8A43-9C253FD9994C}"/>
    <cellStyle name="Comma 5 4 2 2 5 2 4" xfId="30677" xr:uid="{3DD2E12D-D946-4D8E-BE9E-BC2E33A64C5A}"/>
    <cellStyle name="Comma 5 4 2 2 5 3" xfId="11860" xr:uid="{1E83BF6E-F781-4EA4-9237-AFFDA5387236}"/>
    <cellStyle name="Comma 5 4 2 2 5 3 2" xfId="22240" xr:uid="{92533BAA-0FD6-449E-9104-0CCCCCDB50AE}"/>
    <cellStyle name="Comma 5 4 2 2 5 4" xfId="26563" xr:uid="{C1BA1425-9E76-4A22-B3D6-4072D9002CB3}"/>
    <cellStyle name="Comma 5 4 2 2 5 5" xfId="28269" xr:uid="{388DF011-908B-4433-81A3-9DCA9F6C3536}"/>
    <cellStyle name="Comma 5 4 2 2 5 6" xfId="16574" xr:uid="{209BCF79-AF66-48F7-8274-BD45D9F2383A}"/>
    <cellStyle name="Comma 5 4 2 2 6" xfId="4862" xr:uid="{67D8F83A-0B26-4F7B-AAF7-0C8E2228640D}"/>
    <cellStyle name="Comma 5 4 2 2 6 2" xfId="26183" xr:uid="{A5EC4C71-2369-4370-9963-12B6E20FE564}"/>
    <cellStyle name="Comma 5 4 2 2 6 3" xfId="27952" xr:uid="{D5ADD2F5-6B62-496C-8D67-B4D8D8DC522E}"/>
    <cellStyle name="Comma 5 4 2 2 6 4" xfId="14154" xr:uid="{EFEF7F03-CF64-4C12-9D8E-B48412366F48}"/>
    <cellStyle name="Comma 5 4 2 2 7" xfId="6607" xr:uid="{C1715601-8BE8-41E4-ADDE-C4400BF2EB67}"/>
    <cellStyle name="Comma 5 4 2 2 7 2" xfId="16987" xr:uid="{1226F693-D9D5-4E31-A85E-7784024A14B2}"/>
    <cellStyle name="Comma 5 4 2 2 8" xfId="9440" xr:uid="{A1302C41-E495-4C14-A8F8-16B8C36D8361}"/>
    <cellStyle name="Comma 5 4 2 2 8 2" xfId="19820" xr:uid="{679229E6-8636-4656-A26D-59C01348E6E8}"/>
    <cellStyle name="Comma 5 4 2 2 9" xfId="23422" xr:uid="{0924F89F-6F52-491C-A22E-589ABCC42D44}"/>
    <cellStyle name="Comma 5 4 2 3" xfId="1616" xr:uid="{00000000-0005-0000-0000-00000A020000}"/>
    <cellStyle name="Comma 5 4 2 3 2" xfId="3026" xr:uid="{00000000-0005-0000-0000-0000AB010000}"/>
    <cellStyle name="Comma 5 4 2 3 2 2" xfId="8106" xr:uid="{EED70E13-BE7B-4678-A41B-45C9E7272B29}"/>
    <cellStyle name="Comma 5 4 2 3 2 2 2" xfId="28788" xr:uid="{AB6D42C7-2029-46F9-A52C-A3AD957F5CBD}"/>
    <cellStyle name="Comma 5 4 2 3 2 2 2 2" xfId="31217" xr:uid="{D2B06BC6-FAB0-4DD2-A415-01FA1A682016}"/>
    <cellStyle name="Comma 5 4 2 3 2 2 2 3" xfId="30679" xr:uid="{6F17634A-C656-4BDE-ABDE-631F7F98A05E}"/>
    <cellStyle name="Comma 5 4 2 3 2 2 3" xfId="26815" xr:uid="{E641B174-FC80-447B-982B-FA1085F2F6B7}"/>
    <cellStyle name="Comma 5 4 2 3 2 2 4" xfId="18486" xr:uid="{7F9BCBB4-471B-4EA5-ADB7-A80F22D43026}"/>
    <cellStyle name="Comma 5 4 2 3 2 3" xfId="10939" xr:uid="{236309D7-0030-4FCF-8B49-451F53A7D494}"/>
    <cellStyle name="Comma 5 4 2 3 2 3 2" xfId="21319" xr:uid="{B4F1412B-A567-476F-83CE-DB2ACE05D08D}"/>
    <cellStyle name="Comma 5 4 2 3 2 4" xfId="24432" xr:uid="{EA06F90E-5982-41EE-92F2-0499DA4964BE}"/>
    <cellStyle name="Comma 5 4 2 3 2 5" xfId="15653" xr:uid="{B71C47D4-217C-469B-96C3-F1EB6C84FF9D}"/>
    <cellStyle name="Comma 5 4 2 3 3" xfId="3552" xr:uid="{00000000-0005-0000-0000-00000A020000}"/>
    <cellStyle name="Comma 5 4 2 3 4" xfId="4396" xr:uid="{C0798F50-EF80-4A20-93E0-006CA9D829A0}"/>
    <cellStyle name="Comma 5 4 2 3 4 2" xfId="9168" xr:uid="{43042E25-CB5C-47C2-A2F4-011280BF9103}"/>
    <cellStyle name="Comma 5 4 2 3 4 2 2" xfId="19548" xr:uid="{7DFCC59E-0E17-4AAC-931C-0D01EF511EE0}"/>
    <cellStyle name="Comma 5 4 2 3 4 2 3" xfId="31062" xr:uid="{D3CF83B4-480B-415E-AF73-CCC5FA70C824}"/>
    <cellStyle name="Comma 5 4 2 3 4 2 4" xfId="30678" xr:uid="{10FA5DDB-8E66-4A39-BFBF-D09CDB0960E7}"/>
    <cellStyle name="Comma 5 4 2 3 4 3" xfId="12001" xr:uid="{EC3C3287-2360-484C-92DF-E17AF91AB05A}"/>
    <cellStyle name="Comma 5 4 2 3 4 3 2" xfId="22381" xr:uid="{299460AF-281C-432E-A179-83F2322EFBE0}"/>
    <cellStyle name="Comma 5 4 2 3 4 4" xfId="16715" xr:uid="{7045EF56-7D75-4AB4-8BBA-A5D1B01F2501}"/>
    <cellStyle name="Comma 5 4 2 3 5" xfId="5560" xr:uid="{97604BB0-D113-4C21-BD40-6821A10747B4}"/>
    <cellStyle name="Comma 5 4 2 3 5 2" xfId="29689" xr:uid="{9F3CE6F8-799E-4FBC-A9D4-FAF867C49683}"/>
    <cellStyle name="Comma 5 4 2 3 5 2 2" xfId="30961" xr:uid="{F99190AE-028F-4301-BB9F-1110E074192D}"/>
    <cellStyle name="Comma 5 4 2 3 6" xfId="25082" xr:uid="{760031E4-17F9-4F60-B100-A75C80B388CD}"/>
    <cellStyle name="Comma 5 4 2 3 7" xfId="13529" xr:uid="{8971C047-6B78-4A98-8661-AE1EE4AFAEC6}"/>
    <cellStyle name="Comma 5 4 2 4" xfId="1617" xr:uid="{00000000-0005-0000-0000-00000B020000}"/>
    <cellStyle name="Comma 5 4 2 4 2" xfId="3024" xr:uid="{00000000-0005-0000-0000-0000AC010000}"/>
    <cellStyle name="Comma 5 4 2 4 2 2" xfId="8104" xr:uid="{CD7F43E1-A195-453F-9428-67A5367ED0FC}"/>
    <cellStyle name="Comma 5 4 2 4 2 2 2" xfId="28786" xr:uid="{893EDE12-C789-440E-A5E6-D2E446A43108}"/>
    <cellStyle name="Comma 5 4 2 4 2 2 3" xfId="27938" xr:uid="{D41DA84E-62FD-4DDD-8FE1-59B1FC86080B}"/>
    <cellStyle name="Comma 5 4 2 4 2 2 4" xfId="18484" xr:uid="{969D78BF-FFA2-482B-BE51-E2B15457F2AC}"/>
    <cellStyle name="Comma 5 4 2 4 2 3" xfId="10937" xr:uid="{36D20D32-6922-4DAF-9FFF-D1128DCFE3B0}"/>
    <cellStyle name="Comma 5 4 2 4 2 3 2" xfId="21317" xr:uid="{E6D73F05-1AC7-4415-88AD-F7BFA622E7FD}"/>
    <cellStyle name="Comma 5 4 2 4 2 4" xfId="25402" xr:uid="{D6E0E10F-5AE4-4958-B643-36CC7186385B}"/>
    <cellStyle name="Comma 5 4 2 4 2 5" xfId="15651" xr:uid="{AAD24CF7-75F3-477B-BD9F-FD99901C31B7}"/>
    <cellStyle name="Comma 5 4 2 4 3" xfId="2091" xr:uid="{00000000-0005-0000-0000-00000B020000}"/>
    <cellStyle name="Comma 5 4 2 4 4" xfId="5561" xr:uid="{367EBB3B-9A5D-4E70-8502-526CC8EEFD64}"/>
    <cellStyle name="Comma 5 4 2 4 4 2" xfId="29938" xr:uid="{397CB543-DEA8-462F-98D6-8A7C5CBC8C95}"/>
    <cellStyle name="Comma 5 4 2 4 5" xfId="25452" xr:uid="{A78836C0-9C3F-4A71-9865-3E134F9F9869}"/>
    <cellStyle name="Comma 5 4 2 4 6" xfId="13527" xr:uid="{7C2D413A-7D28-492A-AC1F-190E04F2DCC2}"/>
    <cellStyle name="Comma 5 4 2 5" xfId="1612" xr:uid="{00000000-0005-0000-0000-00000C020000}"/>
    <cellStyle name="Comma 5 4 2 5 2" xfId="2520" xr:uid="{00000000-0005-0000-0000-0000AD010000}"/>
    <cellStyle name="Comma 5 4 2 5 2 2" xfId="7645" xr:uid="{2F7DA5C6-9586-4F5D-AE68-7CD82B7C8997}"/>
    <cellStyle name="Comma 5 4 2 5 2 2 2" xfId="18025" xr:uid="{85BFFD5B-E734-4F36-8344-980DFCA79E2D}"/>
    <cellStyle name="Comma 5 4 2 5 2 3" xfId="10478" xr:uid="{325C1CC2-FAB0-4500-84F1-A6DB5E96C059}"/>
    <cellStyle name="Comma 5 4 2 5 2 3 2" xfId="20858" xr:uid="{DD2A588C-0EB7-4B27-9178-0066A568C1F0}"/>
    <cellStyle name="Comma 5 4 2 5 2 4" xfId="26777" xr:uid="{1DAB286D-B9DE-4006-8FF6-49E8C689EBD6}"/>
    <cellStyle name="Comma 5 4 2 5 2 5" xfId="27374" xr:uid="{6D6C1A46-AAB2-46B8-8580-7B36634F4C63}"/>
    <cellStyle name="Comma 5 4 2 5 2 6" xfId="15192" xr:uid="{87CEDEDA-1153-4083-9E9D-A2B243471068}"/>
    <cellStyle name="Comma 5 4 2 5 3" xfId="2092" xr:uid="{00000000-0005-0000-0000-00000C020000}"/>
    <cellStyle name="Comma 5 4 2 5 4" xfId="5558" xr:uid="{4E922189-714E-4A1D-B143-1B1B37D4BEDB}"/>
    <cellStyle name="Comma 5 4 2 5 4 2" xfId="29874" xr:uid="{B8527FC9-A446-4C93-90A2-78F2ABD5D9FB}"/>
    <cellStyle name="Comma 5 4 2 5 5" xfId="24244" xr:uid="{B9D0E415-8F23-47CF-8A8C-815BC6E447D7}"/>
    <cellStyle name="Comma 5 4 2 5 6" xfId="12908" xr:uid="{04735AAE-C34A-4C98-A551-5D35C81D981F}"/>
    <cellStyle name="Comma 5 4 2 6" xfId="2274" xr:uid="{00000000-0005-0000-0000-0000A8010000}"/>
    <cellStyle name="Comma 5 4 2 6 2" xfId="7401" xr:uid="{C4D29E37-E937-4213-8011-53A649BF8387}"/>
    <cellStyle name="Comma 5 4 2 6 2 2" xfId="17781" xr:uid="{50535CE2-176B-44F6-8F53-18B08078F264}"/>
    <cellStyle name="Comma 5 4 2 6 3" xfId="10234" xr:uid="{C11CD73B-D665-4282-9909-7BEA0E03E343}"/>
    <cellStyle name="Comma 5 4 2 6 3 2" xfId="20614" xr:uid="{3C900819-92F0-4C29-86E1-A90B3F340B79}"/>
    <cellStyle name="Comma 5 4 2 6 4" xfId="23243" xr:uid="{9170021C-F572-4BFC-9E71-0C62EEF9F5A4}"/>
    <cellStyle name="Comma 5 4 2 6 5" xfId="26292" xr:uid="{16576467-156A-4AC5-AACD-FFB47F3651C2}"/>
    <cellStyle name="Comma 5 4 2 6 6" xfId="14948" xr:uid="{A6D5D595-F74E-4986-8614-649D99B447FE}"/>
    <cellStyle name="Comma 5 4 2 7" xfId="3813" xr:uid="{9D313B6A-787D-4B1D-96BC-FC7E8E9C69D9}"/>
    <cellStyle name="Comma 5 4 2 7 2" xfId="8647" xr:uid="{8D8FECC0-9209-4BF6-94DC-38891174D0A1}"/>
    <cellStyle name="Comma 5 4 2 7 2 2" xfId="19027" xr:uid="{FC6A1C3B-4011-4141-98E7-6E7225CF8182}"/>
    <cellStyle name="Comma 5 4 2 7 3" xfId="11480" xr:uid="{6C74612B-7684-473A-A5AD-0C7FDCFC6F51}"/>
    <cellStyle name="Comma 5 4 2 7 3 2" xfId="21860" xr:uid="{61FC8D87-FC3B-4683-A3A1-92B7C9DC0668}"/>
    <cellStyle name="Comma 5 4 2 7 4" xfId="27008" xr:uid="{E0519768-0706-49AF-82A6-D4EF53FEF956}"/>
    <cellStyle name="Comma 5 4 2 7 5" xfId="28337" xr:uid="{A01A049B-33F1-40CC-8F9A-4F140969FBB0}"/>
    <cellStyle name="Comma 5 4 2 7 6" xfId="16194" xr:uid="{5A771593-0D2F-4BAE-A121-4F586A9A6162}"/>
    <cellStyle name="Comma 5 4 2 8" xfId="4861" xr:uid="{07C3C6D5-8D9B-4F87-9BC9-439937FDDCDF}"/>
    <cellStyle name="Comma 5 4 2 8 2" xfId="14153" xr:uid="{A359451D-B9A3-423B-9FC3-F6153889FDAE}"/>
    <cellStyle name="Comma 5 4 2 9" xfId="6606" xr:uid="{A520841F-3B08-4596-BDA9-ED3368ED9B23}"/>
    <cellStyle name="Comma 5 4 2 9 2" xfId="16986" xr:uid="{4AF28F1A-B467-4C04-8415-C91949B57C06}"/>
    <cellStyle name="Comma 5 4 3" xfId="469" xr:uid="{00000000-0005-0000-0000-00000D020000}"/>
    <cellStyle name="Comma 5 4 3 10" xfId="23706" xr:uid="{A54C64E4-FDA8-4148-A401-937C1E7A73AF}"/>
    <cellStyle name="Comma 5 4 3 11" xfId="12664" xr:uid="{B661D04C-5254-4F42-8351-EECE14F478AC}"/>
    <cellStyle name="Comma 5 4 3 2" xfId="1619" xr:uid="{00000000-0005-0000-0000-00000E020000}"/>
    <cellStyle name="Comma 5 4 3 2 2" xfId="3028" xr:uid="{00000000-0005-0000-0000-0000B0010000}"/>
    <cellStyle name="Comma 5 4 3 2 2 2" xfId="6161" xr:uid="{007C8220-9E72-4BAC-B90C-B53B0AE74FAB}"/>
    <cellStyle name="Comma 5 4 3 2 2 2 2" xfId="25450" xr:uid="{97DB1598-8191-4E16-9586-822C9BC3758B}"/>
    <cellStyle name="Comma 5 4 3 2 2 2 2 2" xfId="26125" xr:uid="{DD2A8CEA-F24E-4480-B9E2-C8CD0FCEA4A9}"/>
    <cellStyle name="Comma 5 4 3 2 2 2 2 3" xfId="31159" xr:uid="{E403FF4C-B1E8-42E1-9ECF-5008D27D4796}"/>
    <cellStyle name="Comma 5 4 3 2 2 2 3" xfId="27120" xr:uid="{A67FDF58-D503-44D7-A6C8-5FE8BA41B622}"/>
    <cellStyle name="Comma 5 4 3 2 2 2 4" xfId="15655" xr:uid="{B034BDF8-FC69-46BC-90DE-D9403E18391A}"/>
    <cellStyle name="Comma 5 4 3 2 2 3" xfId="8108" xr:uid="{E598174F-287F-4572-B1A1-FA3FA63DC608}"/>
    <cellStyle name="Comma 5 4 3 2 2 3 2" xfId="28790" xr:uid="{2784C87B-4856-4C8C-A5B1-BD78685B3398}"/>
    <cellStyle name="Comma 5 4 3 2 2 3 3" xfId="26482" xr:uid="{7E6A0C62-E0F7-4E9F-886B-37B8DE9B1EFA}"/>
    <cellStyle name="Comma 5 4 3 2 2 3 4" xfId="18488" xr:uid="{4BAB502A-E8E4-46CC-BADE-EB1E9176D641}"/>
    <cellStyle name="Comma 5 4 3 2 2 4" xfId="10941" xr:uid="{79BECDAC-D215-4AFF-AA74-F202E53545ED}"/>
    <cellStyle name="Comma 5 4 3 2 2 4 2" xfId="21321" xr:uid="{BBF7FD93-6C7E-4339-B1B9-D64E62673328}"/>
    <cellStyle name="Comma 5 4 3 2 2 5" xfId="23995" xr:uid="{1BF88E1E-0E42-4AE9-8589-BC18D54148E2}"/>
    <cellStyle name="Comma 5 4 3 2 2 6" xfId="13531" xr:uid="{2B93960E-C652-4963-9F39-86A958088D1E}"/>
    <cellStyle name="Comma 5 4 3 2 3" xfId="2669" xr:uid="{00000000-0005-0000-0000-0000AF010000}"/>
    <cellStyle name="Comma 5 4 3 2 3 2" xfId="7793" xr:uid="{29C61830-5722-46D3-9DAB-D49707DA8E72}"/>
    <cellStyle name="Comma 5 4 3 2 3 2 2" xfId="26439" xr:uid="{45522648-ECBC-42E6-A492-F2D7056F4061}"/>
    <cellStyle name="Comma 5 4 3 2 3 2 3" xfId="27567" xr:uid="{EC6AD633-0590-464F-B742-4AAD568083A8}"/>
    <cellStyle name="Comma 5 4 3 2 3 2 4" xfId="18173" xr:uid="{94FF7FCC-CA04-44D3-A23D-1AE82DB8DFBD}"/>
    <cellStyle name="Comma 5 4 3 2 3 3" xfId="10626" xr:uid="{588F3232-50E6-4B31-86E2-69B6884A609E}"/>
    <cellStyle name="Comma 5 4 3 2 3 3 2" xfId="21006" xr:uid="{9CA785BF-A464-42FF-AA90-C95EAF49E234}"/>
    <cellStyle name="Comma 5 4 3 2 3 4" xfId="22863" xr:uid="{9D03AB9B-A8BC-4B40-9EB2-1933D4677D5E}"/>
    <cellStyle name="Comma 5 4 3 2 3 5" xfId="15340" xr:uid="{85C94FF9-25F6-4B97-9A38-A6E174A0AFB4}"/>
    <cellStyle name="Comma 5 4 3 2 4" xfId="3633" xr:uid="{00000000-0005-0000-0000-00000E020000}"/>
    <cellStyle name="Comma 5 4 3 2 5" xfId="4256" xr:uid="{7200444E-36DD-40CC-A077-CB29E63090CC}"/>
    <cellStyle name="Comma 5 4 3 2 5 2" xfId="9028" xr:uid="{B7DD77EA-D0F5-44BE-8B7C-41F10A4FB4CA}"/>
    <cellStyle name="Comma 5 4 3 2 5 2 2" xfId="19408" xr:uid="{9CD73D97-72A6-4940-9CEA-CA2ED02A124E}"/>
    <cellStyle name="Comma 5 4 3 2 5 2 3" xfId="31032" xr:uid="{DEF4EEB6-28AB-41BA-BFF2-7A7C61321EAB}"/>
    <cellStyle name="Comma 5 4 3 2 5 2 4" xfId="30681" xr:uid="{4EF6A5C3-375D-4403-9D1B-8D91B43C7AAA}"/>
    <cellStyle name="Comma 5 4 3 2 5 3" xfId="11861" xr:uid="{3BC6F72F-6810-4E85-B279-7CA58D925647}"/>
    <cellStyle name="Comma 5 4 3 2 5 3 2" xfId="22241" xr:uid="{51E916BA-CC2D-459A-B6A1-3506AFEBB662}"/>
    <cellStyle name="Comma 5 4 3 2 5 4" xfId="26038" xr:uid="{D6C4F451-91EA-470B-971B-25737311E52E}"/>
    <cellStyle name="Comma 5 4 3 2 5 5" xfId="26757" xr:uid="{07070A58-2038-4788-B080-E99E8AAB0DB7}"/>
    <cellStyle name="Comma 5 4 3 2 5 6" xfId="16575" xr:uid="{6AB58FED-965A-4A90-89E4-5B8C6C458E1B}"/>
    <cellStyle name="Comma 5 4 3 2 6" xfId="5563" xr:uid="{0FC98FF7-0826-4572-9CD4-63A4F734F6B2}"/>
    <cellStyle name="Comma 5 4 3 2 6 2" xfId="29720" xr:uid="{1A4A5A7C-7351-43D2-B3DF-864B1C97F00E}"/>
    <cellStyle name="Comma 5 4 3 2 6 2 2" xfId="30962" xr:uid="{4E9CD10B-1971-4E18-B1AD-EC7A5CB51431}"/>
    <cellStyle name="Comma 5 4 3 2 7" xfId="25243" xr:uid="{E65C12E8-DC8E-4F43-A6F1-ACB2A325DBD0}"/>
    <cellStyle name="Comma 5 4 3 2 8" xfId="13072" xr:uid="{F5F43466-C211-4776-AF9D-DDE52683B12C}"/>
    <cellStyle name="Comma 5 4 3 3" xfId="1620" xr:uid="{00000000-0005-0000-0000-00000F020000}"/>
    <cellStyle name="Comma 5 4 3 3 2" xfId="3029" xr:uid="{00000000-0005-0000-0000-0000B1010000}"/>
    <cellStyle name="Comma 5 4 3 3 2 2" xfId="8109" xr:uid="{21D221E8-5CDF-42B8-8726-C36E1D13454B}"/>
    <cellStyle name="Comma 5 4 3 3 2 2 2" xfId="28791" xr:uid="{25427AF7-1EF5-4BFD-9C61-49EDAE307D36}"/>
    <cellStyle name="Comma 5 4 3 3 2 2 3" xfId="28649" xr:uid="{25A91A5C-6912-44A7-B87D-0861BA1D38C7}"/>
    <cellStyle name="Comma 5 4 3 3 2 2 4" xfId="18489" xr:uid="{A7005E7D-2924-427E-90C8-632355687328}"/>
    <cellStyle name="Comma 5 4 3 3 2 3" xfId="10942" xr:uid="{12204D70-4E27-44E3-9AFD-18876A76CE59}"/>
    <cellStyle name="Comma 5 4 3 3 2 3 2" xfId="21322" xr:uid="{87642076-E9AC-4641-A3E6-16D8AD8A7BB8}"/>
    <cellStyle name="Comma 5 4 3 3 2 4" xfId="23701" xr:uid="{1033E001-F0E5-4315-B6E7-0A9A4BD607EE}"/>
    <cellStyle name="Comma 5 4 3 3 2 5" xfId="15656" xr:uid="{F1F47C60-F8BF-4361-8E85-E74D26093C21}"/>
    <cellStyle name="Comma 5 4 3 3 3" xfId="2044" xr:uid="{00000000-0005-0000-0000-00000F020000}"/>
    <cellStyle name="Comma 5 4 3 3 4" xfId="4397" xr:uid="{85D2CB15-88A6-4002-AA7C-5761F9B91E5C}"/>
    <cellStyle name="Comma 5 4 3 3 4 2" xfId="9169" xr:uid="{00E7C148-6EDA-4D34-893B-F6DEBC2073FF}"/>
    <cellStyle name="Comma 5 4 3 3 4 2 2" xfId="19549" xr:uid="{DAC92D93-F217-44AA-970E-561D4800668F}"/>
    <cellStyle name="Comma 5 4 3 3 4 2 3" xfId="31063" xr:uid="{4ECFCCE6-377C-43EB-B657-8F00BA251960}"/>
    <cellStyle name="Comma 5 4 3 3 4 2 4" xfId="30682" xr:uid="{3876AF0A-6E4D-4053-9A80-038F6DCD8EF8}"/>
    <cellStyle name="Comma 5 4 3 3 4 3" xfId="12002" xr:uid="{35C058BB-9759-431E-885F-7F98DC2A6C29}"/>
    <cellStyle name="Comma 5 4 3 3 4 3 2" xfId="22382" xr:uid="{E3443B56-0121-40BF-AE68-C899DD11A811}"/>
    <cellStyle name="Comma 5 4 3 3 4 4" xfId="16716" xr:uid="{EDE226BF-9D13-44AC-89AD-E4F29700CB0D}"/>
    <cellStyle name="Comma 5 4 3 3 5" xfId="5564" xr:uid="{CB1F3A00-B75F-4580-BEC4-2FB23FC80572}"/>
    <cellStyle name="Comma 5 4 3 3 5 2" xfId="29705" xr:uid="{B15CE909-C9C3-40A0-8455-FE5E12A46018}"/>
    <cellStyle name="Comma 5 4 3 3 6" xfId="25163" xr:uid="{79F7B079-FFD0-4DA0-8150-C726C678947B}"/>
    <cellStyle name="Comma 5 4 3 3 7" xfId="13532" xr:uid="{59996E9E-78E0-4B64-96DD-3AD884FD1666}"/>
    <cellStyle name="Comma 5 4 3 4" xfId="1618" xr:uid="{00000000-0005-0000-0000-000010020000}"/>
    <cellStyle name="Comma 5 4 3 4 2" xfId="3027" xr:uid="{00000000-0005-0000-0000-0000B2010000}"/>
    <cellStyle name="Comma 5 4 3 4 2 2" xfId="8107" xr:uid="{96D7AE74-E695-404F-81C4-4EA797556071}"/>
    <cellStyle name="Comma 5 4 3 4 2 2 2" xfId="28789" xr:uid="{5960A96B-0473-4B28-AEDC-C7BD3AB868CE}"/>
    <cellStyle name="Comma 5 4 3 4 2 2 3" xfId="26093" xr:uid="{78FA1F45-C57F-4D00-B91D-7A03815D502C}"/>
    <cellStyle name="Comma 5 4 3 4 2 2 4" xfId="18487" xr:uid="{A56470FA-94B7-417E-AEBF-173CE26C4E83}"/>
    <cellStyle name="Comma 5 4 3 4 2 3" xfId="10940" xr:uid="{32FB1CCB-8E0A-481E-B76F-2744A46249AF}"/>
    <cellStyle name="Comma 5 4 3 4 2 3 2" xfId="21320" xr:uid="{613AADE1-7FE2-42F5-8AA4-8D6735553A79}"/>
    <cellStyle name="Comma 5 4 3 4 2 4" xfId="24212" xr:uid="{63573AED-2580-472C-AD90-5EEF2F1FB914}"/>
    <cellStyle name="Comma 5 4 3 4 2 5" xfId="15654" xr:uid="{DC71AA64-C50E-4457-869F-B2627816983D}"/>
    <cellStyle name="Comma 5 4 3 4 3" xfId="3644" xr:uid="{00000000-0005-0000-0000-000010020000}"/>
    <cellStyle name="Comma 5 4 3 4 4" xfId="5562" xr:uid="{7C03D70E-5086-4C6D-89E3-E9DB53357221}"/>
    <cellStyle name="Comma 5 4 3 4 4 2" xfId="29940" xr:uid="{0A80C9F8-3AA4-40ED-9AE4-5B274546AA28}"/>
    <cellStyle name="Comma 5 4 3 4 5" xfId="22996" xr:uid="{109649F7-7F1A-41B7-87D5-89D403649DB1}"/>
    <cellStyle name="Comma 5 4 3 4 6" xfId="13530" xr:uid="{A6EA4EFA-D95C-4307-A04E-A185CBB3D0BA}"/>
    <cellStyle name="Comma 5 4 3 5" xfId="2623" xr:uid="{00000000-0005-0000-0000-0000B3010000}"/>
    <cellStyle name="Comma 5 4 3 5 2" xfId="5885" xr:uid="{1FD7A4FB-A677-461F-AAC8-CBCB299F47FC}"/>
    <cellStyle name="Comma 5 4 3 5 2 2" xfId="27233" xr:uid="{8A40900A-961D-405D-8C1D-225441C3E1AB}"/>
    <cellStyle name="Comma 5 4 3 5 2 3" xfId="28685" xr:uid="{E32526B3-B64F-4931-9F6F-616CDE538A9A}"/>
    <cellStyle name="Comma 5 4 3 5 2 4" xfId="15295" xr:uid="{18158932-8E28-46CD-8ECF-32D906D7477A}"/>
    <cellStyle name="Comma 5 4 3 5 3" xfId="7748" xr:uid="{0C8AE889-C234-4D69-AD0B-CE037DCEF8A3}"/>
    <cellStyle name="Comma 5 4 3 5 3 2" xfId="18128" xr:uid="{EEC08685-7170-4EC5-BA6B-A76101532903}"/>
    <cellStyle name="Comma 5 4 3 5 4" xfId="10581" xr:uid="{31059A43-759B-4EDA-9C5D-880D1C749B48}"/>
    <cellStyle name="Comma 5 4 3 5 4 2" xfId="20961" xr:uid="{9DCA322E-49D9-4DC6-81F2-37AE927F1A29}"/>
    <cellStyle name="Comma 5 4 3 5 5" xfId="23547" xr:uid="{A4636B19-FBD1-43FA-A18C-B4585C90E5FD}"/>
    <cellStyle name="Comma 5 4 3 5 6" xfId="13011" xr:uid="{A5BBE2FB-0D8F-46FA-B94B-EAE035E23A46}"/>
    <cellStyle name="Comma 5 4 3 6" xfId="4121" xr:uid="{B0917393-0791-4B08-93AB-D0505818BC45}"/>
    <cellStyle name="Comma 5 4 3 6 2" xfId="8893" xr:uid="{A913B0F0-37E6-44C2-9608-68BA783E94B4}"/>
    <cellStyle name="Comma 5 4 3 6 2 2" xfId="19273" xr:uid="{E8318EBE-72F5-494C-9577-C99C8D5324E2}"/>
    <cellStyle name="Comma 5 4 3 6 2 3" xfId="31007" xr:uid="{F0229DE4-DA70-4444-888D-FB38F150BD65}"/>
    <cellStyle name="Comma 5 4 3 6 2 4" xfId="30680" xr:uid="{B578D268-E4DF-43C5-9C96-327C24967103}"/>
    <cellStyle name="Comma 5 4 3 6 3" xfId="11726" xr:uid="{681068A9-FB73-4D20-9927-5713336CFBE7}"/>
    <cellStyle name="Comma 5 4 3 6 3 2" xfId="22106" xr:uid="{337B2FBA-E6AB-4444-B7CC-F3B78ED31589}"/>
    <cellStyle name="Comma 5 4 3 6 4" xfId="23915" xr:uid="{6ADD72EB-FF18-46E3-B04C-1BA026AD2C9B}"/>
    <cellStyle name="Comma 5 4 3 6 5" xfId="26615" xr:uid="{84350A5C-096B-4A1F-BA16-7CE280504E2D}"/>
    <cellStyle name="Comma 5 4 3 6 6" xfId="16440" xr:uid="{68110F5E-5FAD-434E-93FD-3B4A47E9ECF5}"/>
    <cellStyle name="Comma 5 4 3 7" xfId="4863" xr:uid="{A240C9B6-55E4-4374-B1DF-9A086F346D6E}"/>
    <cellStyle name="Comma 5 4 3 7 2" xfId="27089" xr:uid="{89D53217-DF21-40B2-AB82-FC0954B7D310}"/>
    <cellStyle name="Comma 5 4 3 7 3" xfId="27731" xr:uid="{86F77ADB-B0E9-422F-9F9A-5CB7BEEBC18E}"/>
    <cellStyle name="Comma 5 4 3 7 4" xfId="14155" xr:uid="{C4B0A41C-5947-45ED-8358-35CE0465EFEB}"/>
    <cellStyle name="Comma 5 4 3 8" xfId="6608" xr:uid="{FC7E9C22-45D7-4533-9861-B9F9C7C7FAFD}"/>
    <cellStyle name="Comma 5 4 3 8 2" xfId="16988" xr:uid="{4898B56F-4FA9-4A9A-89CF-EB1664D1B240}"/>
    <cellStyle name="Comma 5 4 3 9" xfId="9441" xr:uid="{C659FD1A-67C9-44C8-95C6-EFAC335E9A81}"/>
    <cellStyle name="Comma 5 4 3 9 2" xfId="19821" xr:uid="{1BA271D6-C8C5-4E3F-B9C1-5947FC94DD91}"/>
    <cellStyle name="Comma 5 4 4" xfId="470" xr:uid="{00000000-0005-0000-0000-000011020000}"/>
    <cellStyle name="Comma 5 4 4 10" xfId="13070" xr:uid="{EB520593-34BA-4E5E-94BA-C49A73C54C6F}"/>
    <cellStyle name="Comma 5 4 4 2" xfId="1622" xr:uid="{00000000-0005-0000-0000-000012020000}"/>
    <cellStyle name="Comma 5 4 4 2 2" xfId="3030" xr:uid="{00000000-0005-0000-0000-0000B5010000}"/>
    <cellStyle name="Comma 5 4 4 2 2 2" xfId="8110" xr:uid="{290FC8F3-15F3-4BEF-9B10-48879780ECA7}"/>
    <cellStyle name="Comma 5 4 4 2 2 2 2" xfId="28792" xr:uid="{0C03508E-AAB2-4125-B7C0-1A41F0DBF503}"/>
    <cellStyle name="Comma 5 4 4 2 2 2 3" xfId="26279" xr:uid="{19B9AA86-C3EF-40BA-BFBD-CFAE038525C9}"/>
    <cellStyle name="Comma 5 4 4 2 2 2 4" xfId="18490" xr:uid="{5284C830-663D-43D1-A0D0-AAAA32887826}"/>
    <cellStyle name="Comma 5 4 4 2 2 3" xfId="10943" xr:uid="{F9FA5684-0770-45A3-A466-745760E72C89}"/>
    <cellStyle name="Comma 5 4 4 2 2 3 2" xfId="21323" xr:uid="{779D5D81-E695-46AF-A985-5A313B01AFFE}"/>
    <cellStyle name="Comma 5 4 4 2 2 4" xfId="24807" xr:uid="{60A2FF48-03F1-48DD-A1A5-04965444BA76}"/>
    <cellStyle name="Comma 5 4 4 2 2 5" xfId="15657" xr:uid="{6716B62F-D1BA-41B9-BFE9-7657228B1592}"/>
    <cellStyle name="Comma 5 4 4 2 3" xfId="2061" xr:uid="{00000000-0005-0000-0000-000012020000}"/>
    <cellStyle name="Comma 5 4 4 2 4" xfId="5565" xr:uid="{D16A0D10-FBA3-4EA5-8CE1-1E4196985AAF}"/>
    <cellStyle name="Comma 5 4 4 2 4 2" xfId="29941" xr:uid="{F25E46E9-8558-4043-ADCB-9C9C47D7CEFB}"/>
    <cellStyle name="Comma 5 4 4 2 5" xfId="23001" xr:uid="{2BF63B1D-1E5E-43E0-9D3C-3640ADEC249D}"/>
    <cellStyle name="Comma 5 4 4 2 6" xfId="13533" xr:uid="{D8C0D2BF-AC83-44C3-A0AD-982213DAA7E5}"/>
    <cellStyle name="Comma 5 4 4 3" xfId="1623" xr:uid="{00000000-0005-0000-0000-000013020000}"/>
    <cellStyle name="Comma 5 4 4 3 2" xfId="4644" xr:uid="{AA605243-E9A8-42CE-AFF2-C3FB06670C65}"/>
    <cellStyle name="Comma 5 4 4 3 2 2" xfId="9402" xr:uid="{5F7BF688-ADB8-476E-A01C-0694B5EDBD1C}"/>
    <cellStyle name="Comma 5 4 4 3 2 2 2" xfId="19782" xr:uid="{593A7D09-AA36-489A-A4D5-203E0941D4F0}"/>
    <cellStyle name="Comma 5 4 4 3 2 3" xfId="12235" xr:uid="{E8AB7BAB-0100-426A-A9CD-5D95269558B2}"/>
    <cellStyle name="Comma 5 4 4 3 2 3 2" xfId="22615" xr:uid="{9E4CA505-3EE2-42CF-BC54-2A3EA58EBA52}"/>
    <cellStyle name="Comma 5 4 4 3 2 4" xfId="27285" xr:uid="{C261FBD2-0745-4F7C-88BD-83FB3946F1E3}"/>
    <cellStyle name="Comma 5 4 4 3 2 5" xfId="26696" xr:uid="{98D782FF-D647-48EA-89DB-175218B28C99}"/>
    <cellStyle name="Comma 5 4 4 3 2 6" xfId="16949" xr:uid="{0CC32059-AEF4-48E9-B9D7-C4C7B59AA66C}"/>
    <cellStyle name="Comma 5 4 4 3 3" xfId="24396" xr:uid="{383C249C-D118-473B-9C1E-889FE84F2D07}"/>
    <cellStyle name="Comma 5 4 4 3 3 2" xfId="29894" xr:uid="{8D77C375-FDEC-4907-A255-D0B6239AD792}"/>
    <cellStyle name="Comma 5 4 4 3 4" xfId="30009" xr:uid="{CDF06ABB-B7EB-4325-89E0-F9CB296CBBCC}"/>
    <cellStyle name="Comma 5 4 4 4" xfId="1621" xr:uid="{00000000-0005-0000-0000-000014020000}"/>
    <cellStyle name="Comma 5 4 4 5" xfId="4254" xr:uid="{20B90C1C-34CA-4215-8DD8-975AECD84294}"/>
    <cellStyle name="Comma 5 4 4 5 2" xfId="9026" xr:uid="{A812A268-AD3A-4FCD-83AB-6D1D8FE34016}"/>
    <cellStyle name="Comma 5 4 4 5 2 2" xfId="19406" xr:uid="{B2FF5CD4-C747-4981-9DF0-CA1385916856}"/>
    <cellStyle name="Comma 5 4 4 5 2 3" xfId="31030" xr:uid="{DAB37AB3-6C01-4DC1-9197-01E7A80416DE}"/>
    <cellStyle name="Comma 5 4 4 5 2 4" xfId="30683" xr:uid="{1F8F53D2-8B33-42D3-9E60-E867CD366200}"/>
    <cellStyle name="Comma 5 4 4 5 3" xfId="11859" xr:uid="{621705D9-DE19-48F4-82CF-C0A9E1616150}"/>
    <cellStyle name="Comma 5 4 4 5 3 2" xfId="22239" xr:uid="{1A7A7CFB-9B9C-4907-981F-39F7047E6056}"/>
    <cellStyle name="Comma 5 4 4 5 4" xfId="28372" xr:uid="{585164CC-9B2A-4316-925F-EF9B482CDB71}"/>
    <cellStyle name="Comma 5 4 4 5 5" xfId="26146" xr:uid="{307E018B-9018-4695-92A4-8DE0D898F420}"/>
    <cellStyle name="Comma 5 4 4 5 6" xfId="16573" xr:uid="{6CC63D45-A75B-423C-82A7-E72353DFE1E4}"/>
    <cellStyle name="Comma 5 4 4 6" xfId="4864" xr:uid="{40464597-81CF-4B3A-BDBE-A56B8D31FCF5}"/>
    <cellStyle name="Comma 5 4 4 6 2" xfId="14156" xr:uid="{ED84718F-BA5C-47DD-A8B0-7AAB56D3BC03}"/>
    <cellStyle name="Comma 5 4 4 7" xfId="6609" xr:uid="{CC1F996B-D609-457F-9A2E-D7DFA7F4B274}"/>
    <cellStyle name="Comma 5 4 4 7 2" xfId="16989" xr:uid="{718DC36B-78FF-4911-BA8F-30594FD38B51}"/>
    <cellStyle name="Comma 5 4 4 8" xfId="9442" xr:uid="{F9A7B80C-75B2-4BAC-B3C2-4574E940388C}"/>
    <cellStyle name="Comma 5 4 4 8 2" xfId="19822" xr:uid="{D37551E2-3897-4D74-8D80-3C488577C95B}"/>
    <cellStyle name="Comma 5 4 4 9" xfId="23363" xr:uid="{4C0AD912-540B-4296-94BC-BB12EC26B90D}"/>
    <cellStyle name="Comma 5 4 5" xfId="1624" xr:uid="{00000000-0005-0000-0000-000015020000}"/>
    <cellStyle name="Comma 5 4 5 2" xfId="3031" xr:uid="{00000000-0005-0000-0000-0000B6010000}"/>
    <cellStyle name="Comma 5 4 5 2 2" xfId="8111" xr:uid="{CA1995C3-89FB-4891-8F58-E90990A049DF}"/>
    <cellStyle name="Comma 5 4 5 2 2 2" xfId="28793" xr:uid="{C8A76B4C-5A93-4F7F-9EC3-80FE72D4677F}"/>
    <cellStyle name="Comma 5 4 5 2 2 2 2" xfId="31218" xr:uid="{F2BAD945-64C0-4B38-8C09-26DD496487BE}"/>
    <cellStyle name="Comma 5 4 5 2 2 2 3" xfId="30685" xr:uid="{A3310739-5307-4198-8F24-D15B491AA5A8}"/>
    <cellStyle name="Comma 5 4 5 2 2 3" xfId="27732" xr:uid="{A2C6750A-A58B-4E1E-A08F-98C689786567}"/>
    <cellStyle name="Comma 5 4 5 2 2 4" xfId="18491" xr:uid="{4170FDDD-D94A-4BBE-BF71-F250007E7FB9}"/>
    <cellStyle name="Comma 5 4 5 2 3" xfId="10944" xr:uid="{CDF1C62F-6B25-4CFF-982E-25A5F01676E6}"/>
    <cellStyle name="Comma 5 4 5 2 3 2" xfId="21324" xr:uid="{E326CDF0-D07C-4323-8623-BD92212513E8}"/>
    <cellStyle name="Comma 5 4 5 2 4" xfId="23268" xr:uid="{C379944C-8374-42A4-955A-6C718EA081D2}"/>
    <cellStyle name="Comma 5 4 5 2 5" xfId="15658" xr:uid="{50152E7A-E97E-470C-89FA-97C7B34C4030}"/>
    <cellStyle name="Comma 5 4 5 3" xfId="2082" xr:uid="{00000000-0005-0000-0000-000015020000}"/>
    <cellStyle name="Comma 5 4 5 4" xfId="4398" xr:uid="{B00051C5-3A2E-424F-9C46-B4DD74FD8567}"/>
    <cellStyle name="Comma 5 4 5 4 2" xfId="9170" xr:uid="{3351EA1B-65B1-4144-9B49-1360FCB0E530}"/>
    <cellStyle name="Comma 5 4 5 4 2 2" xfId="19550" xr:uid="{55CFBDE5-84A5-4D40-B8A8-6A85D07AD007}"/>
    <cellStyle name="Comma 5 4 5 4 2 3" xfId="31064" xr:uid="{3984102B-822A-450E-A43C-4246090CCDB8}"/>
    <cellStyle name="Comma 5 4 5 4 2 4" xfId="30684" xr:uid="{588785B0-3463-43A7-92E2-9D66925BECD9}"/>
    <cellStyle name="Comma 5 4 5 4 3" xfId="12003" xr:uid="{D9CDB029-0734-47C7-9758-9DB8F9DFEC28}"/>
    <cellStyle name="Comma 5 4 5 4 3 2" xfId="22383" xr:uid="{5F9F1B0A-C1AD-4056-8E63-28913330970F}"/>
    <cellStyle name="Comma 5 4 5 4 4" xfId="16717" xr:uid="{DCCB65D7-1687-4250-A4D9-2A157B3BE969}"/>
    <cellStyle name="Comma 5 4 5 5" xfId="5566" xr:uid="{A128631B-3428-414E-9F25-8FA6699F8D03}"/>
    <cellStyle name="Comma 5 4 5 5 2" xfId="29684" xr:uid="{4487DE43-472A-4A71-9B22-68844F54F5CF}"/>
    <cellStyle name="Comma 5 4 5 5 2 2" xfId="30963" xr:uid="{7EF5E265-F8DD-42D8-916E-4FE670324B78}"/>
    <cellStyle name="Comma 5 4 5 6" xfId="23185" xr:uid="{E54F51E7-4A6B-4E4B-A0BF-F9D227F9A808}"/>
    <cellStyle name="Comma 5 4 5 7" xfId="13534" xr:uid="{4A7D1C38-FFE0-4648-8561-028E3DBF36DB}"/>
    <cellStyle name="Comma 5 4 6" xfId="1625" xr:uid="{00000000-0005-0000-0000-000016020000}"/>
    <cellStyle name="Comma 5 4 6 2" xfId="2869" xr:uid="{00000000-0005-0000-0000-0000B7010000}"/>
    <cellStyle name="Comma 5 4 6 2 2" xfId="7986" xr:uid="{E435F86A-2CC6-49A9-AFBB-303D9970770D}"/>
    <cellStyle name="Comma 5 4 6 2 2 2" xfId="27333" xr:uid="{C14A4527-489D-49CA-8263-A009DCE0942E}"/>
    <cellStyle name="Comma 5 4 6 2 2 2 2" xfId="31190" xr:uid="{65375153-FF84-4309-A5AB-7211D688AF6C}"/>
    <cellStyle name="Comma 5 4 6 2 2 2 3" xfId="30686" xr:uid="{AA82D6A9-E423-4665-BA59-CD8573E965C4}"/>
    <cellStyle name="Comma 5 4 6 2 2 3" xfId="28490" xr:uid="{B7E8DAA1-3088-46D4-8D75-C4437F530D14}"/>
    <cellStyle name="Comma 5 4 6 2 2 4" xfId="18366" xr:uid="{6FCCB180-A23C-4F85-AEF6-C321E54E6834}"/>
    <cellStyle name="Comma 5 4 6 2 3" xfId="10819" xr:uid="{B7D4ED36-7A7D-4D50-9C34-32F1FCEEB96B}"/>
    <cellStyle name="Comma 5 4 6 2 3 2" xfId="21199" xr:uid="{62C2CE69-C784-46E2-914F-274D400EAFA3}"/>
    <cellStyle name="Comma 5 4 6 2 4" xfId="25066" xr:uid="{6BBF8F4F-1CD9-4076-B1A7-09911CA21A3E}"/>
    <cellStyle name="Comma 5 4 6 2 5" xfId="15533" xr:uid="{DE69EAE8-F98B-43F5-8716-641AF55870C8}"/>
    <cellStyle name="Comma 5 4 6 3" xfId="2861" xr:uid="{00000000-0005-0000-0000-000016020000}"/>
    <cellStyle name="Comma 5 4 6 4" xfId="5567" xr:uid="{69214C48-DCEC-47C1-B288-7DDCDBE36611}"/>
    <cellStyle name="Comma 5 4 6 4 2" xfId="29922" xr:uid="{DEBEC20E-7EF6-43C2-8010-087AFB98BA3B}"/>
    <cellStyle name="Comma 5 4 6 5" xfId="23950" xr:uid="{D763EBFC-6C85-47DB-BF46-3F62DBDA0A3A}"/>
    <cellStyle name="Comma 5 4 6 6" xfId="13362" xr:uid="{04BD029C-329B-4756-BEB3-2C4C6D3058CA}"/>
    <cellStyle name="Comma 5 4 7" xfId="1611" xr:uid="{00000000-0005-0000-0000-000017020000}"/>
    <cellStyle name="Comma 5 4 7 2" xfId="2460" xr:uid="{00000000-0005-0000-0000-0000B8010000}"/>
    <cellStyle name="Comma 5 4 7 2 2" xfId="7585" xr:uid="{AF3A6ABC-EA18-499E-8302-4132FA53E347}"/>
    <cellStyle name="Comma 5 4 7 2 2 2" xfId="17965" xr:uid="{5FB56155-C1E5-4258-89D8-7CC001110979}"/>
    <cellStyle name="Comma 5 4 7 2 3" xfId="10418" xr:uid="{DB0901B6-366E-4321-8D44-501B5AC115C6}"/>
    <cellStyle name="Comma 5 4 7 2 3 2" xfId="20798" xr:uid="{E77F0AC0-C7B3-4BBA-AAB4-8B4BB4CFC112}"/>
    <cellStyle name="Comma 5 4 7 2 4" xfId="26839" xr:uid="{CA8A0B08-9241-4228-9AAC-005A8275049B}"/>
    <cellStyle name="Comma 5 4 7 2 5" xfId="28624" xr:uid="{08CA900D-3108-40F0-A0BF-412B4D4CF914}"/>
    <cellStyle name="Comma 5 4 7 2 6" xfId="15132" xr:uid="{49423BB8-D6C1-46B5-96AA-110BAC1F6EA3}"/>
    <cellStyle name="Comma 5 4 7 3" xfId="3571" xr:uid="{00000000-0005-0000-0000-000017020000}"/>
    <cellStyle name="Comma 5 4 7 4" xfId="5557" xr:uid="{C75D7C05-F3B8-47BC-AC18-1C130F1A3B1B}"/>
    <cellStyle name="Comma 5 4 7 4 2" xfId="29862" xr:uid="{81821E37-88CD-41E0-A9C6-01CE1D5393AD}"/>
    <cellStyle name="Comma 5 4 7 5" xfId="24553" xr:uid="{71BFF522-A16F-49DA-837C-7E42E5B76A6E}"/>
    <cellStyle name="Comma 5 4 7 6" xfId="12848" xr:uid="{8E51FA3F-6D37-4105-BEBC-E890E8758154}"/>
    <cellStyle name="Comma 5 4 8" xfId="2214" xr:uid="{00000000-0005-0000-0000-0000A7010000}"/>
    <cellStyle name="Comma 5 4 8 2" xfId="7341" xr:uid="{1A171DF4-532B-47D3-98C5-03A480295C1B}"/>
    <cellStyle name="Comma 5 4 8 2 2" xfId="17721" xr:uid="{7308A606-410B-47CE-99C3-0436B50B8890}"/>
    <cellStyle name="Comma 5 4 8 2 2 2" xfId="31122" xr:uid="{5C2AB8B5-A73F-4FCC-AF90-57C166D98ABC}"/>
    <cellStyle name="Comma 5 4 8 2 2 3" xfId="30687" xr:uid="{E0BA424B-14C3-40B8-BACF-E009F7A5BEF5}"/>
    <cellStyle name="Comma 5 4 8 3" xfId="10174" xr:uid="{126C35F2-D091-47B6-B645-26AFB0694491}"/>
    <cellStyle name="Comma 5 4 8 3 2" xfId="20554" xr:uid="{3D4826B6-0EF4-4003-83B2-EDCF147287E8}"/>
    <cellStyle name="Comma 5 4 8 4" xfId="25150" xr:uid="{AEA9DE12-F05C-49F9-BCF2-0E58271C6F3E}"/>
    <cellStyle name="Comma 5 4 8 5" xfId="26622" xr:uid="{9B2279ED-8D13-41EF-B0F1-FE3DB7938777}"/>
    <cellStyle name="Comma 5 4 8 6" xfId="14888" xr:uid="{8B96C28A-B2B6-409E-9599-4F4859E521CC}"/>
    <cellStyle name="Comma 5 4 9" xfId="3861" xr:uid="{A30A1CB2-A210-4F10-856F-40B6121D2558}"/>
    <cellStyle name="Comma 5 4 9 2" xfId="8693" xr:uid="{1ED45EE7-2EA9-473D-86DE-E17D78E615AF}"/>
    <cellStyle name="Comma 5 4 9 2 2" xfId="19073" xr:uid="{278B5468-A8C2-4D77-B9D9-13FB01429D0E}"/>
    <cellStyle name="Comma 5 4 9 3" xfId="11526" xr:uid="{3D4477C4-5222-4F2D-8032-84C6717135D5}"/>
    <cellStyle name="Comma 5 4 9 3 2" xfId="21906" xr:uid="{81609EBF-B4EB-4152-B331-6F85F557B933}"/>
    <cellStyle name="Comma 5 4 9 4" xfId="27234" xr:uid="{60CC41BC-C2A6-4347-88DB-37769B7CA3D5}"/>
    <cellStyle name="Comma 5 4 9 5" xfId="26868" xr:uid="{DFF90D36-9659-4AAE-BA1B-59A41E577559}"/>
    <cellStyle name="Comma 5 4 9 6" xfId="16240" xr:uid="{F488F3F8-EB13-4588-8975-0230DAE4D758}"/>
    <cellStyle name="Comma 5 5" xfId="471" xr:uid="{00000000-0005-0000-0000-000018020000}"/>
    <cellStyle name="Comma 5 5 10" xfId="6610" xr:uid="{F68913B7-AB9A-423B-9BE1-EFB136CF76FE}"/>
    <cellStyle name="Comma 5 5 10 2" xfId="16990" xr:uid="{8FA09342-F31D-4E3E-9EDE-CFEFF2707D50}"/>
    <cellStyle name="Comma 5 5 11" xfId="9443" xr:uid="{3FF3BF7D-1FC3-4E33-960B-6813663D50E1}"/>
    <cellStyle name="Comma 5 5 11 2" xfId="19823" xr:uid="{C3E9E9FB-8587-4430-9E52-506174192954}"/>
    <cellStyle name="Comma 5 5 12" xfId="23560" xr:uid="{125990ED-B5A7-4AB8-9572-BF563C0E05B1}"/>
    <cellStyle name="Comma 5 5 13" xfId="12429" xr:uid="{022737FE-02B8-4339-8C4F-B93412874188}"/>
    <cellStyle name="Comma 5 5 2" xfId="472" xr:uid="{00000000-0005-0000-0000-000019020000}"/>
    <cellStyle name="Comma 5 5 2 10" xfId="9444" xr:uid="{925AA75C-30CF-4EA6-A444-1464D695D594}"/>
    <cellStyle name="Comma 5 5 2 10 2" xfId="19824" xr:uid="{C068C876-61E0-4591-85E9-E222158C415F}"/>
    <cellStyle name="Comma 5 5 2 11" xfId="23936" xr:uid="{FEA3F40E-8559-4999-954B-23BDB5010D03}"/>
    <cellStyle name="Comma 5 5 2 12" xfId="12507" xr:uid="{B305CE50-276F-4120-9C6D-6EE1DD38937B}"/>
    <cellStyle name="Comma 5 5 2 2" xfId="473" xr:uid="{00000000-0005-0000-0000-00001A020000}"/>
    <cellStyle name="Comma 5 5 2 2 10" xfId="13074" xr:uid="{35FF24D1-3374-49A1-94AB-48660EFC3E29}"/>
    <cellStyle name="Comma 5 5 2 2 2" xfId="1629" xr:uid="{00000000-0005-0000-0000-00001B020000}"/>
    <cellStyle name="Comma 5 5 2 2 2 2" xfId="3033" xr:uid="{00000000-0005-0000-0000-0000BC010000}"/>
    <cellStyle name="Comma 5 5 2 2 2 2 2" xfId="8113" xr:uid="{2AE85520-C8C8-457E-ACA9-529C269B9E3F}"/>
    <cellStyle name="Comma 5 5 2 2 2 2 2 2" xfId="28795" xr:uid="{D7A53197-3458-482B-840E-70A789FC1E24}"/>
    <cellStyle name="Comma 5 5 2 2 2 2 2 3" xfId="28240" xr:uid="{75899C5E-C4FB-419E-8A6B-99C3547D7C46}"/>
    <cellStyle name="Comma 5 5 2 2 2 2 2 4" xfId="18493" xr:uid="{36264E9A-D330-40AA-B391-E41E2315BC41}"/>
    <cellStyle name="Comma 5 5 2 2 2 2 3" xfId="10946" xr:uid="{BBEF4E85-2A45-41F4-AEDE-728924247D1F}"/>
    <cellStyle name="Comma 5 5 2 2 2 2 3 2" xfId="21326" xr:uid="{E9C5795C-00C5-4855-8AF9-5D6C25640AEC}"/>
    <cellStyle name="Comma 5 5 2 2 2 2 4" xfId="24162" xr:uid="{E433F28E-FBD0-461A-A44F-7B9039781C0F}"/>
    <cellStyle name="Comma 5 5 2 2 2 2 5" xfId="15660" xr:uid="{3F5497FD-51CD-4B7C-B9ED-AAA49343CBCE}"/>
    <cellStyle name="Comma 5 5 2 2 2 3" xfId="3547" xr:uid="{00000000-0005-0000-0000-00001B020000}"/>
    <cellStyle name="Comma 5 5 2 2 2 4" xfId="5569" xr:uid="{8149337E-E2F7-4BC3-B2AD-3A48DB4611B4}"/>
    <cellStyle name="Comma 5 5 2 2 2 4 2" xfId="29943" xr:uid="{0D010CB5-5F6A-4720-B93A-F2E76E3D3185}"/>
    <cellStyle name="Comma 5 5 2 2 2 5" xfId="23271" xr:uid="{324F7F2A-F9B4-427B-BAA0-884E742FA9CB}"/>
    <cellStyle name="Comma 5 5 2 2 2 6" xfId="13536" xr:uid="{FA17DD78-577E-4F4A-A4A3-79140DA28301}"/>
    <cellStyle name="Comma 5 5 2 2 3" xfId="1630" xr:uid="{00000000-0005-0000-0000-00001C020000}"/>
    <cellStyle name="Comma 5 5 2 2 3 2" xfId="4662" xr:uid="{B2F37315-6DCC-4AA8-91CB-5196813D8346}"/>
    <cellStyle name="Comma 5 5 2 2 3 2 2" xfId="9411" xr:uid="{E47A1DEC-3551-413C-B44C-FBAAD200C832}"/>
    <cellStyle name="Comma 5 5 2 2 3 2 2 2" xfId="19791" xr:uid="{AD92439A-7503-45C2-BAA6-A5D77D862B3A}"/>
    <cellStyle name="Comma 5 5 2 2 3 2 3" xfId="12244" xr:uid="{EC7FCFC4-452B-4FE3-BBC1-FCE6A21A9DDF}"/>
    <cellStyle name="Comma 5 5 2 2 3 2 3 2" xfId="22624" xr:uid="{62C16D63-B217-422C-A300-74BA0214C757}"/>
    <cellStyle name="Comma 5 5 2 2 3 2 4" xfId="26364" xr:uid="{C2C9F031-3AEA-4B32-94D5-A68C41FAC102}"/>
    <cellStyle name="Comma 5 5 2 2 3 2 5" xfId="25991" xr:uid="{B7C7B693-B722-4F40-ACDA-74BB51F20522}"/>
    <cellStyle name="Comma 5 5 2 2 3 2 6" xfId="16958" xr:uid="{4DE22B44-2151-4B51-9726-162B99792D9D}"/>
    <cellStyle name="Comma 5 5 2 2 3 3" xfId="22715" xr:uid="{92B2D0D1-AC90-443C-9981-82F2B0565022}"/>
    <cellStyle name="Comma 5 5 2 2 3 3 2" xfId="29897" xr:uid="{2E172FD6-8857-4391-B419-ABFDC80BB508}"/>
    <cellStyle name="Comma 5 5 2 2 3 4" xfId="30011" xr:uid="{90B5CBFA-773D-4DCA-9D81-2CAA54A6CBB0}"/>
    <cellStyle name="Comma 5 5 2 2 4" xfId="1628" xr:uid="{00000000-0005-0000-0000-00001D020000}"/>
    <cellStyle name="Comma 5 5 2 2 4 2" xfId="26906" xr:uid="{6F7A2ECF-25AB-4CBD-817C-55807B88D221}"/>
    <cellStyle name="Comma 5 5 2 2 4 3" xfId="26324" xr:uid="{947B228F-946F-4CAA-BA52-7D37CF416252}"/>
    <cellStyle name="Comma 5 5 2 2 5" xfId="4257" xr:uid="{F425CFC7-105B-4CC0-8870-3014D73014C3}"/>
    <cellStyle name="Comma 5 5 2 2 5 2" xfId="9029" xr:uid="{13C3FDE2-5559-4AEB-9363-A03CE57D7938}"/>
    <cellStyle name="Comma 5 5 2 2 5 2 2" xfId="19409" xr:uid="{E5AFDC7D-2E76-478B-A5FE-40C3176D389A}"/>
    <cellStyle name="Comma 5 5 2 2 5 2 3" xfId="31033" xr:uid="{4BA37740-99D8-4CB4-B471-35EA920B8290}"/>
    <cellStyle name="Comma 5 5 2 2 5 2 4" xfId="30688" xr:uid="{AC70B46C-F6DA-4750-B6ED-B64C9D0A9C69}"/>
    <cellStyle name="Comma 5 5 2 2 5 3" xfId="11862" xr:uid="{2A39EEE8-F51A-4BD9-908B-5D918AC6FF8E}"/>
    <cellStyle name="Comma 5 5 2 2 5 3 2" xfId="22242" xr:uid="{89075ACE-3FFD-40C2-9CDA-923A33AE603B}"/>
    <cellStyle name="Comma 5 5 2 2 5 4" xfId="28470" xr:uid="{B2944A0E-2792-4E36-A6CD-5BA38F961C86}"/>
    <cellStyle name="Comma 5 5 2 2 5 5" xfId="27173" xr:uid="{932979F3-F365-4C93-B50C-E510F37D9E15}"/>
    <cellStyle name="Comma 5 5 2 2 5 6" xfId="16576" xr:uid="{E20AC4C6-B379-465A-9BA2-31180D5B832E}"/>
    <cellStyle name="Comma 5 5 2 2 6" xfId="4867" xr:uid="{2C2AF93C-FB36-43A0-A025-409ECF6C1BDB}"/>
    <cellStyle name="Comma 5 5 2 2 6 2" xfId="28232" xr:uid="{9D1E46B6-8E75-4D25-932A-5044949B17DB}"/>
    <cellStyle name="Comma 5 5 2 2 6 3" xfId="27319" xr:uid="{6ECABCF4-B3A6-49C3-A88A-0474DCE8E380}"/>
    <cellStyle name="Comma 5 5 2 2 6 4" xfId="14159" xr:uid="{AE8ED646-516E-47B4-8B48-EF4F052525B9}"/>
    <cellStyle name="Comma 5 5 2 2 7" xfId="6612" xr:uid="{43DD63CF-7129-4C83-8E53-6FBBDEAA6ABB}"/>
    <cellStyle name="Comma 5 5 2 2 7 2" xfId="16992" xr:uid="{EBEC6825-98E7-4C94-BEFF-7A674D1AC88D}"/>
    <cellStyle name="Comma 5 5 2 2 8" xfId="9445" xr:uid="{35DFDB9E-357C-4E4D-BC65-96DC64BA8B9F}"/>
    <cellStyle name="Comma 5 5 2 2 8 2" xfId="19825" xr:uid="{63F93CB6-2331-402A-A896-3CC3EE713676}"/>
    <cellStyle name="Comma 5 5 2 2 9" xfId="24569" xr:uid="{E63E51D1-8FE3-41BB-B561-CB42C3286D6B}"/>
    <cellStyle name="Comma 5 5 2 3" xfId="1631" xr:uid="{00000000-0005-0000-0000-00001E020000}"/>
    <cellStyle name="Comma 5 5 2 3 2" xfId="3034" xr:uid="{00000000-0005-0000-0000-0000BD010000}"/>
    <cellStyle name="Comma 5 5 2 3 2 2" xfId="8114" xr:uid="{81A888E5-0B53-4D56-8867-69F92F7C8E25}"/>
    <cellStyle name="Comma 5 5 2 3 2 2 2" xfId="28796" xr:uid="{13DD1A7F-3F45-4FED-A2A0-862C422EBE30}"/>
    <cellStyle name="Comma 5 5 2 3 2 2 2 2" xfId="31219" xr:uid="{25CDBFA8-B5EF-4E3D-9F68-CCC9EBFB7FA2}"/>
    <cellStyle name="Comma 5 5 2 3 2 2 2 3" xfId="30690" xr:uid="{59C9BFCC-C44C-4B53-BDE8-EA9524F87295}"/>
    <cellStyle name="Comma 5 5 2 3 2 2 3" xfId="27584" xr:uid="{76712071-AC0C-4F27-A46D-F4350A722BE1}"/>
    <cellStyle name="Comma 5 5 2 3 2 2 4" xfId="18494" xr:uid="{F21898EA-35F5-4361-9A5F-73415AB73E23}"/>
    <cellStyle name="Comma 5 5 2 3 2 3" xfId="10947" xr:uid="{780B36F9-F617-4AC3-AAD9-1E6BB2051FF1}"/>
    <cellStyle name="Comma 5 5 2 3 2 3 2" xfId="21327" xr:uid="{840CEE2D-9C0C-4488-B440-5DD48AF1B74B}"/>
    <cellStyle name="Comma 5 5 2 3 2 4" xfId="23437" xr:uid="{0F501286-54E5-483D-ACF4-0264FCD9BB1E}"/>
    <cellStyle name="Comma 5 5 2 3 2 5" xfId="15661" xr:uid="{E9E1ABC4-1CE5-40E4-9EBF-F54843E28052}"/>
    <cellStyle name="Comma 5 5 2 3 3" xfId="3569" xr:uid="{00000000-0005-0000-0000-00001E020000}"/>
    <cellStyle name="Comma 5 5 2 3 4" xfId="4399" xr:uid="{EA2E7E2E-2E7D-462B-A6DA-299801D6D98F}"/>
    <cellStyle name="Comma 5 5 2 3 4 2" xfId="9171" xr:uid="{3A6F7C63-ECFF-4582-83D4-F800D01FB1DE}"/>
    <cellStyle name="Comma 5 5 2 3 4 2 2" xfId="19551" xr:uid="{5F2F7421-CB3C-4C0C-94E1-149CF08D1218}"/>
    <cellStyle name="Comma 5 5 2 3 4 2 3" xfId="31065" xr:uid="{5EB8706E-0031-40A6-9765-3B305E95095B}"/>
    <cellStyle name="Comma 5 5 2 3 4 2 4" xfId="30689" xr:uid="{033FE0DB-75AA-4554-B811-17A0F466E96D}"/>
    <cellStyle name="Comma 5 5 2 3 4 3" xfId="12004" xr:uid="{4E20C26B-F108-4724-AF70-22A9F8145129}"/>
    <cellStyle name="Comma 5 5 2 3 4 3 2" xfId="22384" xr:uid="{F2BB2F88-D0E0-46A0-B0FE-BE3E1067F817}"/>
    <cellStyle name="Comma 5 5 2 3 4 4" xfId="16718" xr:uid="{BBCC3D97-496B-477C-8300-8068167F31C0}"/>
    <cellStyle name="Comma 5 5 2 3 5" xfId="5570" xr:uid="{7CF632E3-4777-4439-BD13-C36956A9A848}"/>
    <cellStyle name="Comma 5 5 2 3 5 2" xfId="29702" xr:uid="{5D2D8791-0CFD-4C9F-850F-A68D1255BD93}"/>
    <cellStyle name="Comma 5 5 2 3 5 2 2" xfId="30964" xr:uid="{A2A588AE-3984-4379-8013-6E0918DDA01D}"/>
    <cellStyle name="Comma 5 5 2 3 6" xfId="24251" xr:uid="{7854BEE0-FF20-4F98-AC86-A079A6833A12}"/>
    <cellStyle name="Comma 5 5 2 3 7" xfId="13537" xr:uid="{A8C823ED-4DEA-421E-8373-07016424A5F0}"/>
    <cellStyle name="Comma 5 5 2 4" xfId="1632" xr:uid="{00000000-0005-0000-0000-00001F020000}"/>
    <cellStyle name="Comma 5 5 2 4 2" xfId="3032" xr:uid="{00000000-0005-0000-0000-0000BE010000}"/>
    <cellStyle name="Comma 5 5 2 4 2 2" xfId="8112" xr:uid="{8B105B21-38BE-4440-B53F-339A3295330A}"/>
    <cellStyle name="Comma 5 5 2 4 2 2 2" xfId="28794" xr:uid="{3E7456B3-67D8-4BF3-A48D-6285E2F25D2F}"/>
    <cellStyle name="Comma 5 5 2 4 2 2 3" xfId="25871" xr:uid="{1DF288C7-35BA-4D3C-A265-6D70B9DA86F9}"/>
    <cellStyle name="Comma 5 5 2 4 2 2 4" xfId="18492" xr:uid="{CE2976AD-3E7B-473B-965A-9DA68EBE92A3}"/>
    <cellStyle name="Comma 5 5 2 4 2 3" xfId="10945" xr:uid="{6E07D054-C5EB-4EAA-9513-8C4E2C0CF1DD}"/>
    <cellStyle name="Comma 5 5 2 4 2 3 2" xfId="21325" xr:uid="{31A1617B-2604-4938-AC05-828CCACCA05F}"/>
    <cellStyle name="Comma 5 5 2 4 2 4" xfId="23470" xr:uid="{7AF72A65-EEAA-4E38-92FE-48D0406D6851}"/>
    <cellStyle name="Comma 5 5 2 4 2 5" xfId="15659" xr:uid="{66C431FE-8B2F-4382-85F1-4C640BDEA1DA}"/>
    <cellStyle name="Comma 5 5 2 4 3" xfId="3639" xr:uid="{00000000-0005-0000-0000-00001F020000}"/>
    <cellStyle name="Comma 5 5 2 4 4" xfId="5571" xr:uid="{A7DC721F-42E5-4C1F-981A-40EAC95C2325}"/>
    <cellStyle name="Comma 5 5 2 4 4 2" xfId="29942" xr:uid="{31D45137-92A6-45CF-83E9-6D020EE1BB31}"/>
    <cellStyle name="Comma 5 5 2 4 5" xfId="23248" xr:uid="{B403172A-62E5-44D4-B009-CA7BFE2860E8}"/>
    <cellStyle name="Comma 5 5 2 4 6" xfId="13535" xr:uid="{6BF3DCE5-8388-4FEB-84E2-0D7EA09FD106}"/>
    <cellStyle name="Comma 5 5 2 5" xfId="1627" xr:uid="{00000000-0005-0000-0000-000020020000}"/>
    <cellStyle name="Comma 5 5 2 5 2" xfId="2606" xr:uid="{00000000-0005-0000-0000-0000BF010000}"/>
    <cellStyle name="Comma 5 5 2 5 2 2" xfId="7731" xr:uid="{56F37DDA-B19E-4AA9-A4F8-DE511DB10BE5}"/>
    <cellStyle name="Comma 5 5 2 5 2 2 2" xfId="18111" xr:uid="{D6606970-6866-4700-B917-902B70B2829F}"/>
    <cellStyle name="Comma 5 5 2 5 2 3" xfId="10564" xr:uid="{03D93D01-874D-4C7E-B6E8-6646DF361B5C}"/>
    <cellStyle name="Comma 5 5 2 5 2 3 2" xfId="20944" xr:uid="{E3A04422-6F5B-4D81-B99D-FEECA48FA414}"/>
    <cellStyle name="Comma 5 5 2 5 2 4" xfId="27997" xr:uid="{24F21F37-5917-4018-9E6C-C7641984E9BA}"/>
    <cellStyle name="Comma 5 5 2 5 2 5" xfId="26253" xr:uid="{80D89265-A39A-4A4D-AA40-3E6C2AF5F497}"/>
    <cellStyle name="Comma 5 5 2 5 2 6" xfId="15278" xr:uid="{63730937-422D-4A27-AD40-BFB4F5596BAE}"/>
    <cellStyle name="Comma 5 5 2 5 3" xfId="3550" xr:uid="{00000000-0005-0000-0000-000020020000}"/>
    <cellStyle name="Comma 5 5 2 5 4" xfId="5568" xr:uid="{EC7E76E4-1CD5-4119-9B58-FCAE4C6C9289}"/>
    <cellStyle name="Comma 5 5 2 5 4 2" xfId="29885" xr:uid="{9981A58F-D7D0-4204-A4F1-535CDEC7F29D}"/>
    <cellStyle name="Comma 5 5 2 5 5" xfId="22663" xr:uid="{F87EE0D8-7605-4BAC-B8D1-1FD6C5DA9D4A}"/>
    <cellStyle name="Comma 5 5 2 5 6" xfId="12994" xr:uid="{9588B1C1-B65E-4EBC-AB1D-043F75641582}"/>
    <cellStyle name="Comma 5 5 2 6" xfId="2275" xr:uid="{00000000-0005-0000-0000-0000BA010000}"/>
    <cellStyle name="Comma 5 5 2 6 2" xfId="7402" xr:uid="{BF98D419-FCB0-41D0-A353-A83259F5C528}"/>
    <cellStyle name="Comma 5 5 2 6 2 2" xfId="17782" xr:uid="{390025A4-9054-43F4-89A9-9036C01644E6}"/>
    <cellStyle name="Comma 5 5 2 6 3" xfId="10235" xr:uid="{FB622232-7D94-4CBB-9F81-C5A85FAA7DA9}"/>
    <cellStyle name="Comma 5 5 2 6 3 2" xfId="20615" xr:uid="{545544AA-0E46-4DF1-9D8F-C74045C244F0}"/>
    <cellStyle name="Comma 5 5 2 6 4" xfId="24119" xr:uid="{48234A69-540E-4466-AF7F-44BCDE98E2A4}"/>
    <cellStyle name="Comma 5 5 2 6 5" xfId="27405" xr:uid="{ABDC0F9F-59FE-4E0C-9BE7-F6D4523E26FE}"/>
    <cellStyle name="Comma 5 5 2 6 6" xfId="14949" xr:uid="{1DE065CC-4608-4C0C-8409-E1C6F2AC946A}"/>
    <cellStyle name="Comma 5 5 2 7" xfId="3814" xr:uid="{A67031BB-4D52-4448-AB9D-D3F77FED678A}"/>
    <cellStyle name="Comma 5 5 2 7 2" xfId="8648" xr:uid="{4D276026-51BE-40B5-8A76-89745AA2C8E2}"/>
    <cellStyle name="Comma 5 5 2 7 2 2" xfId="19028" xr:uid="{A57E13C3-EBCF-453E-AE03-2188BAE1E0FF}"/>
    <cellStyle name="Comma 5 5 2 7 3" xfId="11481" xr:uid="{AC1120BC-EF38-4262-B0D1-BB10C54203BF}"/>
    <cellStyle name="Comma 5 5 2 7 3 2" xfId="21861" xr:uid="{25F3E778-9F05-41FB-B597-A8827EBEAE67}"/>
    <cellStyle name="Comma 5 5 2 7 4" xfId="26802" xr:uid="{FE9D49E4-1E54-4FAA-9138-988B81FAB27A}"/>
    <cellStyle name="Comma 5 5 2 7 5" xfId="28256" xr:uid="{BF69C093-3389-4484-9625-540DA25850F9}"/>
    <cellStyle name="Comma 5 5 2 7 6" xfId="16195" xr:uid="{14093B26-44B4-4D8D-85EC-F686ACA6DA89}"/>
    <cellStyle name="Comma 5 5 2 8" xfId="4866" xr:uid="{3F5F929F-AD2B-4FC4-AE06-B544850F07D3}"/>
    <cellStyle name="Comma 5 5 2 8 2" xfId="14158" xr:uid="{90DC75DC-4445-4B30-87EE-A4B6763538F9}"/>
    <cellStyle name="Comma 5 5 2 9" xfId="6611" xr:uid="{144C1629-C8C1-4821-87C6-162C8052B7EA}"/>
    <cellStyle name="Comma 5 5 2 9 2" xfId="16991" xr:uid="{DC45AB9B-391D-443C-B724-97D3B0C0202B}"/>
    <cellStyle name="Comma 5 5 3" xfId="474" xr:uid="{00000000-0005-0000-0000-000021020000}"/>
    <cellStyle name="Comma 5 5 3 10" xfId="12665" xr:uid="{D68EB013-F254-4863-ACEC-DA60B3543A3D}"/>
    <cellStyle name="Comma 5 5 3 2" xfId="1634" xr:uid="{00000000-0005-0000-0000-000022020000}"/>
    <cellStyle name="Comma 5 5 3 2 2" xfId="3035" xr:uid="{00000000-0005-0000-0000-0000C1010000}"/>
    <cellStyle name="Comma 5 5 3 2 2 2" xfId="8115" xr:uid="{6E923544-D563-4AE9-AE26-D3443DC7A6E3}"/>
    <cellStyle name="Comma 5 5 3 2 2 2 2" xfId="28797" xr:uid="{A55DA19D-13DF-4F01-8DC7-CB9DD8A0BF5D}"/>
    <cellStyle name="Comma 5 5 3 2 2 2 3" xfId="25895" xr:uid="{8077C871-5A3E-4EEB-A4E9-B37044B9AE3E}"/>
    <cellStyle name="Comma 5 5 3 2 2 2 4" xfId="18495" xr:uid="{5E3D5AAD-60D9-4BCC-90B8-A77A41D99312}"/>
    <cellStyle name="Comma 5 5 3 2 2 3" xfId="10948" xr:uid="{BE9B532B-5792-47DA-985D-55AE26C1EA63}"/>
    <cellStyle name="Comma 5 5 3 2 2 3 2" xfId="21328" xr:uid="{41026603-F574-491F-BCF3-37117BEB63D1}"/>
    <cellStyle name="Comma 5 5 3 2 2 4" xfId="25691" xr:uid="{5FA3279B-2654-4CA2-BACD-F90F9D86C517}"/>
    <cellStyle name="Comma 5 5 3 2 2 5" xfId="15662" xr:uid="{EB3C57A3-4285-47DF-B10F-BAA31E0E0EA4}"/>
    <cellStyle name="Comma 5 5 3 2 3" xfId="2084" xr:uid="{00000000-0005-0000-0000-000022020000}"/>
    <cellStyle name="Comma 5 5 3 2 4" xfId="5572" xr:uid="{7F7B9B60-E209-4826-8772-73BB4FDBD1ED}"/>
    <cellStyle name="Comma 5 5 3 2 4 2" xfId="29944" xr:uid="{6B08990C-50CE-496C-AF55-F4679CB10C17}"/>
    <cellStyle name="Comma 5 5 3 2 5" xfId="24166" xr:uid="{E7FDD2E5-1D1F-4CAC-8B51-254CB0BA565F}"/>
    <cellStyle name="Comma 5 5 3 2 6" xfId="13538" xr:uid="{539FD750-BD35-44FD-B4C4-DE5B1C8545BD}"/>
    <cellStyle name="Comma 5 5 3 3" xfId="1635" xr:uid="{00000000-0005-0000-0000-000023020000}"/>
    <cellStyle name="Comma 5 5 3 3 2" xfId="2670" xr:uid="{00000000-0005-0000-0000-0000C2010000}"/>
    <cellStyle name="Comma 5 5 3 3 2 2" xfId="7794" xr:uid="{4A10F71E-744D-4E1A-A1FE-41BDC13EC78E}"/>
    <cellStyle name="Comma 5 5 3 3 2 2 2" xfId="18174" xr:uid="{F479C927-2FBF-456E-962F-2BB26B8B5E78}"/>
    <cellStyle name="Comma 5 5 3 3 2 3" xfId="10627" xr:uid="{614256B1-AE40-4025-9914-9B24BC6C1ECC}"/>
    <cellStyle name="Comma 5 5 3 3 2 3 2" xfId="21007" xr:uid="{02977913-50DA-4A6B-9B82-7FA563FE47D2}"/>
    <cellStyle name="Comma 5 5 3 3 2 4" xfId="15341" xr:uid="{85A9ECBF-14B8-44B5-B486-82C0EDA7446D}"/>
    <cellStyle name="Comma 5 5 3 3 2 5" xfId="30428" xr:uid="{DD045C8D-2616-4424-BD5E-1B33066A33C9}"/>
    <cellStyle name="Comma 5 5 3 3 3" xfId="3632" xr:uid="{00000000-0005-0000-0000-000023020000}"/>
    <cellStyle name="Comma 5 5 3 3 4" xfId="5573" xr:uid="{D0F45DDC-9CDB-4C3E-93A0-24657C4062B9}"/>
    <cellStyle name="Comma 5 5 3 3 4 2" xfId="29896" xr:uid="{531BF005-CF26-4DAC-B1C2-BD66BC46E9D9}"/>
    <cellStyle name="Comma 5 5 3 3 5" xfId="23178" xr:uid="{74BC34BA-9E64-4536-9EB6-4B30CE239A63}"/>
    <cellStyle name="Comma 5 5 3 3 6" xfId="13073" xr:uid="{0E9C5BEA-DDA4-49FE-9724-C62B2409A9EA}"/>
    <cellStyle name="Comma 5 5 3 4" xfId="1633" xr:uid="{00000000-0005-0000-0000-000024020000}"/>
    <cellStyle name="Comma 5 5 3 4 2" xfId="4678" xr:uid="{B9CA75EE-6848-4AA5-B3D9-A7A171A3E051}"/>
    <cellStyle name="Comma 5 5 3 4 2 2" xfId="9416" xr:uid="{087A5C71-72A9-4C8C-8DC8-0B8A6B8E408D}"/>
    <cellStyle name="Comma 5 5 3 4 2 2 2" xfId="19796" xr:uid="{9FFFEBDC-B576-4F5E-8F99-42E4A0658875}"/>
    <cellStyle name="Comma 5 5 3 4 2 3" xfId="12249" xr:uid="{85F2F8A1-E1FC-46CB-B89B-6890C3DA8F52}"/>
    <cellStyle name="Comma 5 5 3 4 2 3 2" xfId="22629" xr:uid="{80D3B82D-12B4-47BF-AF61-83494EAD79A3}"/>
    <cellStyle name="Comma 5 5 3 4 2 4" xfId="28749" xr:uid="{93D84A67-D8DB-4673-83D2-4A6F044EE3BD}"/>
    <cellStyle name="Comma 5 5 3 4 2 5" xfId="27882" xr:uid="{D4E4B022-58AA-4ECF-86C5-24D758213D37}"/>
    <cellStyle name="Comma 5 5 3 4 2 6" xfId="16963" xr:uid="{3D84CB5F-A64D-43EB-A36F-70360BC76100}"/>
    <cellStyle name="Comma 5 5 3 4 3" xfId="24912" xr:uid="{5AB78E44-B5D0-4CFE-B1B8-4AE603F2D5C7}"/>
    <cellStyle name="Comma 5 5 3 5" xfId="4122" xr:uid="{F9973A0F-8A84-4C8A-80C2-6CF63390BF41}"/>
    <cellStyle name="Comma 5 5 3 5 2" xfId="8894" xr:uid="{B4833EEF-FAF9-469A-BCFF-08E2012902FC}"/>
    <cellStyle name="Comma 5 5 3 5 2 2" xfId="29006" xr:uid="{32F70AF6-8302-4259-9DC0-5AD688E9A765}"/>
    <cellStyle name="Comma 5 5 3 5 2 3" xfId="26009" xr:uid="{16F9C4AC-6605-4138-A205-E6C3179E3361}"/>
    <cellStyle name="Comma 5 5 3 5 2 4" xfId="19274" xr:uid="{B1A78896-43A9-4257-9712-3F3BAB8CA8B2}"/>
    <cellStyle name="Comma 5 5 3 5 2 5" xfId="31008" xr:uid="{58E598E3-3590-49F1-B280-EAD888A0713F}"/>
    <cellStyle name="Comma 5 5 3 5 3" xfId="11727" xr:uid="{833A21B9-B28B-48B7-BD91-F8EC505AE039}"/>
    <cellStyle name="Comma 5 5 3 5 3 2" xfId="22107" xr:uid="{6156231B-96D6-4D21-87C3-5B1C08A493DB}"/>
    <cellStyle name="Comma 5 5 3 5 4" xfId="22814" xr:uid="{CD5E9768-2E2D-485A-86C2-AC5CCD484776}"/>
    <cellStyle name="Comma 5 5 3 5 5" xfId="16441" xr:uid="{0BE3CE96-FC58-4E66-9786-5D9089BF5F79}"/>
    <cellStyle name="Comma 5 5 3 6" xfId="4868" xr:uid="{6CDB7086-3F7E-4B8C-83B7-15AF5968925D}"/>
    <cellStyle name="Comma 5 5 3 6 2" xfId="26472" xr:uid="{40C01BE4-3B4B-422B-B13D-EBDE566684C9}"/>
    <cellStyle name="Comma 5 5 3 6 3" xfId="25840" xr:uid="{636C888B-6D95-4AA4-9C85-D683CEE26CB5}"/>
    <cellStyle name="Comma 5 5 3 6 4" xfId="14160" xr:uid="{7AA3EFD5-48D3-4C89-81A7-2C1BBA541F72}"/>
    <cellStyle name="Comma 5 5 3 7" xfId="6613" xr:uid="{0422C13C-3179-47EE-9788-B0849F0D399F}"/>
    <cellStyle name="Comma 5 5 3 7 2" xfId="27334" xr:uid="{BB97225F-869E-462C-90A4-0FE2082968C7}"/>
    <cellStyle name="Comma 5 5 3 7 3" xfId="28383" xr:uid="{3876D861-CFB1-4352-8288-3939E4C2C2C6}"/>
    <cellStyle name="Comma 5 5 3 7 4" xfId="16993" xr:uid="{FD311E95-5931-4C7E-A2D6-4460925E8CF1}"/>
    <cellStyle name="Comma 5 5 3 8" xfId="9446" xr:uid="{D9A5DF78-B22F-4F63-B7FD-1261471BEB62}"/>
    <cellStyle name="Comma 5 5 3 8 2" xfId="19826" xr:uid="{CAEEA5C0-94B0-4D14-97A6-13D067BE12C3}"/>
    <cellStyle name="Comma 5 5 3 9" xfId="24290" xr:uid="{434FB94B-F66A-4EC7-B85E-453360D49FFB}"/>
    <cellStyle name="Comma 5 5 4" xfId="475" xr:uid="{00000000-0005-0000-0000-000025020000}"/>
    <cellStyle name="Comma 5 5 4 10" xfId="13539" xr:uid="{52959F97-844D-4783-8588-821405EEC601}"/>
    <cellStyle name="Comma 5 5 4 2" xfId="1637" xr:uid="{00000000-0005-0000-0000-000026020000}"/>
    <cellStyle name="Comma 5 5 4 2 2" xfId="23668" xr:uid="{BE20CEF4-E54C-4E87-9F90-20E06B4A9C52}"/>
    <cellStyle name="Comma 5 5 4 2 2 2" xfId="29804" xr:uid="{75BDAE03-1549-48B9-83F3-375AF8EEC7A4}"/>
    <cellStyle name="Comma 5 5 4 2 2 2 2" xfId="30692" xr:uid="{AF1A20E1-C8F0-45DD-A69C-428A1597AB3F}"/>
    <cellStyle name="Comma 5 5 4 2 3" xfId="25591" xr:uid="{C5C79797-796D-481F-AAE7-1B994078CEAF}"/>
    <cellStyle name="Comma 5 5 4 2 4" xfId="30050" xr:uid="{4FD2E640-EF0A-4B6E-AE70-83AC36DAACDC}"/>
    <cellStyle name="Comma 5 5 4 3" xfId="1638" xr:uid="{00000000-0005-0000-0000-000027020000}"/>
    <cellStyle name="Comma 5 5 4 4" xfId="1636" xr:uid="{00000000-0005-0000-0000-000028020000}"/>
    <cellStyle name="Comma 5 5 4 5" xfId="4400" xr:uid="{4AD22D2F-7376-4F6D-A8EB-D20D9398390F}"/>
    <cellStyle name="Comma 5 5 4 5 2" xfId="9172" xr:uid="{9CE4E2A7-06F7-4802-860E-3DB1A4C80443}"/>
    <cellStyle name="Comma 5 5 4 5 2 2" xfId="19552" xr:uid="{B4626BF8-4DAE-43DD-97D7-40333803E923}"/>
    <cellStyle name="Comma 5 5 4 5 2 3" xfId="31066" xr:uid="{7DC98981-9C7C-4223-A8C3-16FADEBAB0FA}"/>
    <cellStyle name="Comma 5 5 4 5 2 4" xfId="30691" xr:uid="{20EB5551-7940-4282-AE60-DB9923A87B4E}"/>
    <cellStyle name="Comma 5 5 4 5 3" xfId="12005" xr:uid="{08672713-E368-4414-8B05-B6F4ECCB6DAE}"/>
    <cellStyle name="Comma 5 5 4 5 3 2" xfId="22385" xr:uid="{8ADE4E6C-E077-48DC-AA62-B39F989094CC}"/>
    <cellStyle name="Comma 5 5 4 5 4" xfId="16719" xr:uid="{6F6E83C0-7BA6-4A15-BCFE-388011EE79AD}"/>
    <cellStyle name="Comma 5 5 4 6" xfId="4869" xr:uid="{6E7E2566-A69B-4335-AA59-9A2F4590121A}"/>
    <cellStyle name="Comma 5 5 4 6 2" xfId="14161" xr:uid="{59928C80-8214-4158-8CD6-159958BAF16E}"/>
    <cellStyle name="Comma 5 5 4 7" xfId="6614" xr:uid="{A2CA9998-405C-4801-9A0E-B5BB04470654}"/>
    <cellStyle name="Comma 5 5 4 7 2" xfId="16994" xr:uid="{279A185E-3C1E-475E-8598-F1442AD8668E}"/>
    <cellStyle name="Comma 5 5 4 8" xfId="9447" xr:uid="{979640D8-5E91-465F-815A-815C85C850AB}"/>
    <cellStyle name="Comma 5 5 4 8 2" xfId="19827" xr:uid="{A9F6BBF3-22DA-4DDF-AD3E-974E90743E99}"/>
    <cellStyle name="Comma 5 5 4 9" xfId="24857" xr:uid="{7FB1EF52-225D-4725-95B0-54202D5468A1}"/>
    <cellStyle name="Comma 5 5 5" xfId="1639" xr:uid="{00000000-0005-0000-0000-000029020000}"/>
    <cellStyle name="Comma 5 5 5 2" xfId="2870" xr:uid="{00000000-0005-0000-0000-0000C4010000}"/>
    <cellStyle name="Comma 5 5 5 2 2" xfId="7987" xr:uid="{29A84986-E58A-40F7-9B87-AA807030AA62}"/>
    <cellStyle name="Comma 5 5 5 2 2 2" xfId="25986" xr:uid="{16F92FF8-15CB-49E9-8F0C-FB6B355921A2}"/>
    <cellStyle name="Comma 5 5 5 2 2 2 2" xfId="31170" xr:uid="{3DC96652-2A4E-41B6-B5B5-AF5C41938E4F}"/>
    <cellStyle name="Comma 5 5 5 2 2 2 3" xfId="30693" xr:uid="{727C6657-9979-41CA-8FB2-D04CBFA2548B}"/>
    <cellStyle name="Comma 5 5 5 2 2 3" xfId="27412" xr:uid="{7327C762-DEAA-4740-8A92-318B57A0103E}"/>
    <cellStyle name="Comma 5 5 5 2 2 4" xfId="18367" xr:uid="{B9DAF87E-9808-4299-8F2C-975A54FF0ED6}"/>
    <cellStyle name="Comma 5 5 5 2 3" xfId="10820" xr:uid="{113CAD9F-03B5-4D0F-A2E4-549095C74A3F}"/>
    <cellStyle name="Comma 5 5 5 2 3 2" xfId="21200" xr:uid="{E8ED0350-EDF4-449C-8119-28C3857B0170}"/>
    <cellStyle name="Comma 5 5 5 2 4" xfId="25466" xr:uid="{2EEC30B5-A9EF-42AB-ADED-C066D036447C}"/>
    <cellStyle name="Comma 5 5 5 2 5" xfId="15534" xr:uid="{475D9237-6398-4066-BFFA-E5234E9258FD}"/>
    <cellStyle name="Comma 5 5 5 3" xfId="3613" xr:uid="{00000000-0005-0000-0000-000029020000}"/>
    <cellStyle name="Comma 5 5 5 4" xfId="5574" xr:uid="{4F1CE6FF-AA71-481C-8BF2-B8FC09BA5009}"/>
    <cellStyle name="Comma 5 5 5 4 2" xfId="29841" xr:uid="{232E3991-FF0B-45E7-A910-79D7101065D5}"/>
    <cellStyle name="Comma 5 5 5 5" xfId="23624" xr:uid="{D0C5F40A-D787-4A26-B4CF-4EE64D5B9F34}"/>
    <cellStyle name="Comma 5 5 5 6" xfId="13363" xr:uid="{2E4F9569-2F0D-4B42-B37C-29F96F2C4216}"/>
    <cellStyle name="Comma 5 5 6" xfId="1640" xr:uid="{00000000-0005-0000-0000-00002A020000}"/>
    <cellStyle name="Comma 5 5 6 2" xfId="2443" xr:uid="{00000000-0005-0000-0000-0000C5010000}"/>
    <cellStyle name="Comma 5 5 6 2 2" xfId="7568" xr:uid="{0E384CDF-EC04-4AB2-B167-3E9A5731DB57}"/>
    <cellStyle name="Comma 5 5 6 2 2 2" xfId="17948" xr:uid="{71FA7491-3B38-4BA2-BADD-889276EC9B89}"/>
    <cellStyle name="Comma 5 5 6 2 3" xfId="10401" xr:uid="{AD6131B3-BBA5-46AB-B806-9320D29F340C}"/>
    <cellStyle name="Comma 5 5 6 2 3 2" xfId="20781" xr:uid="{B13600EA-D6DF-4EA7-B63A-BBA19B5A0581}"/>
    <cellStyle name="Comma 5 5 6 2 4" xfId="27108" xr:uid="{AB827138-78E5-4DAF-A0A0-D965DA151480}"/>
    <cellStyle name="Comma 5 5 6 2 5" xfId="26430" xr:uid="{F013FF34-42E7-41E6-B800-2B1CF255EDCF}"/>
    <cellStyle name="Comma 5 5 6 2 6" xfId="15115" xr:uid="{EA2A9E5A-F293-4AFA-AC72-7D67370376C1}"/>
    <cellStyle name="Comma 5 5 6 3" xfId="3694" xr:uid="{00000000-0005-0000-0000-00002A020000}"/>
    <cellStyle name="Comma 5 5 6 4" xfId="5575" xr:uid="{B5BA4AD0-DC02-456E-A640-580BDC9DB8DF}"/>
    <cellStyle name="Comma 5 5 6 4 2" xfId="29859" xr:uid="{57A21993-13B3-4F68-9E76-EAB12ABFCDAB}"/>
    <cellStyle name="Comma 5 5 6 5" xfId="23466" xr:uid="{3EB5FC1B-5E47-47CA-BC98-1616598D5F2B}"/>
    <cellStyle name="Comma 5 5 6 6" xfId="12831" xr:uid="{DA9C056C-3B55-42DB-89ED-804B52FCC034}"/>
    <cellStyle name="Comma 5 5 7" xfId="1626" xr:uid="{00000000-0005-0000-0000-00002B020000}"/>
    <cellStyle name="Comma 5 5 7 2" xfId="2197" xr:uid="{00000000-0005-0000-0000-0000B9010000}"/>
    <cellStyle name="Comma 5 5 7 2 2" xfId="7324" xr:uid="{60A9C9F5-0888-44FB-A61A-088452754AF8}"/>
    <cellStyle name="Comma 5 5 7 2 2 2" xfId="17704" xr:uid="{9DFAE71D-3CF0-41D5-A132-3F367A7B4522}"/>
    <cellStyle name="Comma 5 5 7 2 3" xfId="10157" xr:uid="{902EA43B-AA92-451D-9A23-84C0CFC3C463}"/>
    <cellStyle name="Comma 5 5 7 2 3 2" xfId="20537" xr:uid="{7BB306FB-53BD-4B76-A88C-2E46E6DAF0EF}"/>
    <cellStyle name="Comma 5 5 7 2 4" xfId="27268" xr:uid="{F9A93237-4771-4507-841A-E0028EFD4773}"/>
    <cellStyle name="Comma 5 5 7 2 5" xfId="27538" xr:uid="{A91A1F1E-F001-4F27-81D4-EA59774C3354}"/>
    <cellStyle name="Comma 5 5 7 2 6" xfId="14871" xr:uid="{5C1D607C-DE55-4E8C-BB31-6AE40BC46878}"/>
    <cellStyle name="Comma 5 5 7 3" xfId="2075" xr:uid="{00000000-0005-0000-0000-00002B020000}"/>
    <cellStyle name="Comma 5 5 7 4" xfId="24412" xr:uid="{36ED9414-6024-4C62-872F-AAB37126E048}"/>
    <cellStyle name="Comma 5 5 8" xfId="3862" xr:uid="{BB40D789-347F-4EEE-90F2-9CD69067EE82}"/>
    <cellStyle name="Comma 5 5 8 2" xfId="8694" xr:uid="{9AC2FF51-5884-4416-8AA7-99DEB4C93414}"/>
    <cellStyle name="Comma 5 5 8 2 2" xfId="19074" xr:uid="{D9087CDC-1BF9-44A7-942A-4E4300147E7C}"/>
    <cellStyle name="Comma 5 5 8 3" xfId="11527" xr:uid="{2226F7C8-E552-4431-83FD-43EEB0C89BE2}"/>
    <cellStyle name="Comma 5 5 8 3 2" xfId="21907" xr:uid="{E0D8DC67-387B-47A9-B90F-611BE4F644CB}"/>
    <cellStyle name="Comma 5 5 8 4" xfId="27257" xr:uid="{C3B1FE98-E167-4B42-A1A5-6B0CA8C6C9CC}"/>
    <cellStyle name="Comma 5 5 8 5" xfId="27528" xr:uid="{50DD4C2B-E28F-48EA-93F2-2D2DE77BD327}"/>
    <cellStyle name="Comma 5 5 8 6" xfId="16241" xr:uid="{AD88B16B-0A6C-452A-AD27-7870C55AC2FD}"/>
    <cellStyle name="Comma 5 5 9" xfId="4865" xr:uid="{B96B2491-42C5-4567-9EF8-BEC2D1E7545A}"/>
    <cellStyle name="Comma 5 5 9 2" xfId="26548" xr:uid="{134CF6A7-AB77-467B-8E41-7C60BAEA582B}"/>
    <cellStyle name="Comma 5 5 9 3" xfId="26083" xr:uid="{A12382A4-48B3-4796-98C1-5472E8FD67FF}"/>
    <cellStyle name="Comma 5 5 9 4" xfId="14157" xr:uid="{F3D6CAA8-4E24-4DDA-AA85-AB4D929CC559}"/>
    <cellStyle name="Comma 5 6" xfId="476" xr:uid="{00000000-0005-0000-0000-00002C020000}"/>
    <cellStyle name="Comma 5 6 10" xfId="6615" xr:uid="{4631C7B0-5C00-4CE0-8E11-16DD7869E95A}"/>
    <cellStyle name="Comma 5 6 10 2" xfId="16995" xr:uid="{7A6C54D8-02D6-429F-A42C-8E718AD5DFFE}"/>
    <cellStyle name="Comma 5 6 11" xfId="9448" xr:uid="{0817B479-15F8-4772-92B0-336A3AAC008A}"/>
    <cellStyle name="Comma 5 6 11 2" xfId="19828" xr:uid="{55B5DE64-A888-4BDD-8E24-20AF3620EF38}"/>
    <cellStyle name="Comma 5 6 12" xfId="23252" xr:uid="{5847251C-B219-4630-9A49-4180AEBB92B2}"/>
    <cellStyle name="Comma 5 6 13" xfId="12491" xr:uid="{EB278AF2-1EFC-48A1-BAA3-6917F0523B0C}"/>
    <cellStyle name="Comma 5 6 2" xfId="477" xr:uid="{00000000-0005-0000-0000-00002D020000}"/>
    <cellStyle name="Comma 5 6 2 10" xfId="9449" xr:uid="{E37CCC6A-49F8-4C59-90E3-E68DF5B33094}"/>
    <cellStyle name="Comma 5 6 2 10 2" xfId="19829" xr:uid="{361AB468-D565-4E6D-A09E-0B8E69EE5726}"/>
    <cellStyle name="Comma 5 6 2 11" xfId="24862" xr:uid="{4A5F0AD4-A439-4F36-82D8-67A6150E45A6}"/>
    <cellStyle name="Comma 5 6 2 12" xfId="12508" xr:uid="{1918E5B2-94C3-4D29-A3BC-9F3126EC19AA}"/>
    <cellStyle name="Comma 5 6 2 2" xfId="478" xr:uid="{00000000-0005-0000-0000-00002E020000}"/>
    <cellStyle name="Comma 5 6 2 2 10" xfId="13076" xr:uid="{7F6D88B7-EE84-4B56-87E6-68195EA61EE9}"/>
    <cellStyle name="Comma 5 6 2 2 2" xfId="1644" xr:uid="{00000000-0005-0000-0000-00002F020000}"/>
    <cellStyle name="Comma 5 6 2 2 2 2" xfId="3037" xr:uid="{00000000-0005-0000-0000-0000C9010000}"/>
    <cellStyle name="Comma 5 6 2 2 2 2 2" xfId="8117" xr:uid="{13C664D6-8F08-440D-A9C4-5CC6CDB949F4}"/>
    <cellStyle name="Comma 5 6 2 2 2 2 2 2" xfId="28799" xr:uid="{6BB8A824-ABEF-4125-8742-F9940CAA7413}"/>
    <cellStyle name="Comma 5 6 2 2 2 2 2 3" xfId="26173" xr:uid="{CE3052D4-B364-445E-AFF8-5FBD2024463F}"/>
    <cellStyle name="Comma 5 6 2 2 2 2 2 4" xfId="18497" xr:uid="{12F04B86-DCA1-4EB9-A5D4-F44D51920EFD}"/>
    <cellStyle name="Comma 5 6 2 2 2 2 3" xfId="10950" xr:uid="{0DFBAED6-CE41-4977-AC84-6FF4D775334E}"/>
    <cellStyle name="Comma 5 6 2 2 2 2 3 2" xfId="21330" xr:uid="{5BA0FFA3-55B2-4543-B4AB-6DE34D11799D}"/>
    <cellStyle name="Comma 5 6 2 2 2 2 4" xfId="25213" xr:uid="{39FEBC27-FB7B-46B5-AE79-C04E454412EC}"/>
    <cellStyle name="Comma 5 6 2 2 2 2 5" xfId="15664" xr:uid="{3B247BE5-DA95-4BFE-9265-B2B51170AFF7}"/>
    <cellStyle name="Comma 5 6 2 2 2 3" xfId="3631" xr:uid="{00000000-0005-0000-0000-00002F020000}"/>
    <cellStyle name="Comma 5 6 2 2 2 4" xfId="5577" xr:uid="{6D3BDC34-D827-46F7-88BE-922304634FC0}"/>
    <cellStyle name="Comma 5 6 2 2 2 4 2" xfId="29946" xr:uid="{5B635471-5052-46FB-B146-0AFDD2B36BB8}"/>
    <cellStyle name="Comma 5 6 2 2 2 5" xfId="23107" xr:uid="{9CFBFF4A-AACF-4C42-972E-6670CAEF7B56}"/>
    <cellStyle name="Comma 5 6 2 2 2 6" xfId="13541" xr:uid="{E9C2FC4A-4DB4-45EE-844D-58014A703BCA}"/>
    <cellStyle name="Comma 5 6 2 2 3" xfId="1645" xr:uid="{00000000-0005-0000-0000-000030020000}"/>
    <cellStyle name="Comma 5 6 2 2 3 2" xfId="3774" xr:uid="{52C0A8FE-1672-4A0B-98CC-065396CA1D15}"/>
    <cellStyle name="Comma 5 6 2 2 3 2 2" xfId="8616" xr:uid="{64BD4978-527D-4288-B2AB-FBF9C340B835}"/>
    <cellStyle name="Comma 5 6 2 2 3 2 2 2" xfId="18996" xr:uid="{BE87114A-A879-451A-904F-9B8394E04AD9}"/>
    <cellStyle name="Comma 5 6 2 2 3 2 3" xfId="11449" xr:uid="{484B0271-B7DE-48CC-BC39-BD671855720F}"/>
    <cellStyle name="Comma 5 6 2 2 3 2 3 2" xfId="21829" xr:uid="{A82818FE-8A85-4A83-9105-B98121CD5D49}"/>
    <cellStyle name="Comma 5 6 2 2 3 2 4" xfId="28041" xr:uid="{E8790A02-C6B4-4E08-B93B-1543C39976AC}"/>
    <cellStyle name="Comma 5 6 2 2 3 2 5" xfId="28354" xr:uid="{A5FDD8F2-E7A6-4DFB-92B1-23B2DA4ED5A9}"/>
    <cellStyle name="Comma 5 6 2 2 3 2 6" xfId="16163" xr:uid="{3F8CAF59-7B9A-4C41-A777-B69CB3B25928}"/>
    <cellStyle name="Comma 5 6 2 2 3 3" xfId="23467" xr:uid="{1555F18E-3585-42BA-B21C-3F5224485A58}"/>
    <cellStyle name="Comma 5 6 2 2 3 3 2" xfId="29899" xr:uid="{E6772AFF-F70E-4799-AD63-89E737EDB507}"/>
    <cellStyle name="Comma 5 6 2 2 3 4" xfId="30012" xr:uid="{D420D383-93D8-4BAC-8C64-58B618B5958B}"/>
    <cellStyle name="Comma 5 6 2 2 4" xfId="1643" xr:uid="{00000000-0005-0000-0000-000031020000}"/>
    <cellStyle name="Comma 5 6 2 2 4 2" xfId="26909" xr:uid="{666AAA86-1F0C-4D09-92AE-DEB1BB345679}"/>
    <cellStyle name="Comma 5 6 2 2 4 3" xfId="26326" xr:uid="{BEE176BE-0587-4DAF-B5D8-95DE1ABCEAEC}"/>
    <cellStyle name="Comma 5 6 2 2 5" xfId="4258" xr:uid="{C071F0C2-7FF9-419E-AB53-1A006D8F91B9}"/>
    <cellStyle name="Comma 5 6 2 2 5 2" xfId="9030" xr:uid="{285A04F3-6FB7-4F5B-8BC6-3FCCB88A082D}"/>
    <cellStyle name="Comma 5 6 2 2 5 2 2" xfId="19410" xr:uid="{1D6CE86A-4B28-4E17-B4CA-9401F4858BAC}"/>
    <cellStyle name="Comma 5 6 2 2 5 2 3" xfId="31034" xr:uid="{1EA9922A-E309-408C-BB74-3D1F5E1A14F2}"/>
    <cellStyle name="Comma 5 6 2 2 5 2 4" xfId="30694" xr:uid="{885FB70C-6BB5-4532-A96A-20D44FAFED30}"/>
    <cellStyle name="Comma 5 6 2 2 5 3" xfId="11863" xr:uid="{AA7B603D-CCF5-46C0-805C-CEDE698D7B9D}"/>
    <cellStyle name="Comma 5 6 2 2 5 3 2" xfId="22243" xr:uid="{AFB1E244-0332-4A88-A911-B4D13437BB6F}"/>
    <cellStyle name="Comma 5 6 2 2 5 4" xfId="28691" xr:uid="{0733BD59-3F00-421F-A046-E4A0EDF2EDAF}"/>
    <cellStyle name="Comma 5 6 2 2 5 5" xfId="26458" xr:uid="{3079EAE1-684B-4BD4-876B-9ECEB73EE7D2}"/>
    <cellStyle name="Comma 5 6 2 2 5 6" xfId="16577" xr:uid="{79B256E5-8985-4D8C-848D-75F1C654E724}"/>
    <cellStyle name="Comma 5 6 2 2 6" xfId="4872" xr:uid="{B5D55B10-0881-419C-B732-466306D768E8}"/>
    <cellStyle name="Comma 5 6 2 2 6 2" xfId="28496" xr:uid="{FD4128A6-B85A-433F-BEBA-57CCE7A19CA1}"/>
    <cellStyle name="Comma 5 6 2 2 6 3" xfId="27041" xr:uid="{C2FD6024-063C-4BB6-A319-41F4C7C9715C}"/>
    <cellStyle name="Comma 5 6 2 2 6 4" xfId="14164" xr:uid="{20DE546D-3E6E-442C-A8E9-AB799FE01011}"/>
    <cellStyle name="Comma 5 6 2 2 7" xfId="6617" xr:uid="{CE2FA26B-5BAF-4EA3-A162-02D41BDEF9B8}"/>
    <cellStyle name="Comma 5 6 2 2 7 2" xfId="16997" xr:uid="{8C122B7D-CDA4-4B20-8EE6-B2A18A27E27F}"/>
    <cellStyle name="Comma 5 6 2 2 8" xfId="9450" xr:uid="{493A5F72-E443-4750-8205-310134CA00FC}"/>
    <cellStyle name="Comma 5 6 2 2 8 2" xfId="19830" xr:uid="{FD82A86A-8BB1-4631-B78D-BB6CC76D7B97}"/>
    <cellStyle name="Comma 5 6 2 2 9" xfId="24443" xr:uid="{DBC2662B-0096-4825-97AB-0A53BE0D05F8}"/>
    <cellStyle name="Comma 5 6 2 3" xfId="1646" xr:uid="{00000000-0005-0000-0000-000032020000}"/>
    <cellStyle name="Comma 5 6 2 3 2" xfId="3038" xr:uid="{00000000-0005-0000-0000-0000CA010000}"/>
    <cellStyle name="Comma 5 6 2 3 2 2" xfId="8118" xr:uid="{23E0A0A0-0515-4440-8FC8-CE55588B6DD2}"/>
    <cellStyle name="Comma 5 6 2 3 2 2 2" xfId="28800" xr:uid="{671BDB14-243E-45CA-A23C-8F371B38EA75}"/>
    <cellStyle name="Comma 5 6 2 3 2 2 2 2" xfId="31220" xr:uid="{E754FD69-8023-47E5-8936-45EC17C01A95}"/>
    <cellStyle name="Comma 5 6 2 3 2 2 2 3" xfId="30696" xr:uid="{8B730094-61E6-4360-85C8-E6490B245982}"/>
    <cellStyle name="Comma 5 6 2 3 2 2 3" xfId="26240" xr:uid="{1C759D9A-2B57-4B81-B6D1-6564D25BFE66}"/>
    <cellStyle name="Comma 5 6 2 3 2 2 4" xfId="18498" xr:uid="{AA1167CE-168B-4A15-AC11-7ADE41422C75}"/>
    <cellStyle name="Comma 5 6 2 3 2 3" xfId="10951" xr:uid="{76F3881A-2D5E-4D63-B789-77D4C66CF866}"/>
    <cellStyle name="Comma 5 6 2 3 2 3 2" xfId="21331" xr:uid="{DD20E463-3FD4-42FE-B7B4-D5FC84C459A2}"/>
    <cellStyle name="Comma 5 6 2 3 2 4" xfId="25053" xr:uid="{745800EE-3017-450A-8B34-6DA470EE4EEE}"/>
    <cellStyle name="Comma 5 6 2 3 2 5" xfId="15665" xr:uid="{5090D05D-6DBC-4C7E-B89F-187F563DADDA}"/>
    <cellStyle name="Comma 5 6 2 3 3" xfId="3574" xr:uid="{00000000-0005-0000-0000-000032020000}"/>
    <cellStyle name="Comma 5 6 2 3 4" xfId="4401" xr:uid="{801E30CD-C57C-4AA0-AD44-E472084856B7}"/>
    <cellStyle name="Comma 5 6 2 3 4 2" xfId="9173" xr:uid="{A2245F6E-C818-462B-A577-BFD6A878F55E}"/>
    <cellStyle name="Comma 5 6 2 3 4 2 2" xfId="19553" xr:uid="{14D9B2EC-B766-4595-9CDC-448355EE4724}"/>
    <cellStyle name="Comma 5 6 2 3 4 2 3" xfId="31067" xr:uid="{0BCC3248-510F-4F80-AE31-2C20A5227116}"/>
    <cellStyle name="Comma 5 6 2 3 4 2 4" xfId="30695" xr:uid="{9A1704C5-92D3-4EC2-ABE4-64113981F989}"/>
    <cellStyle name="Comma 5 6 2 3 4 3" xfId="12006" xr:uid="{35882B78-1782-4B44-B952-8D8F152EFB59}"/>
    <cellStyle name="Comma 5 6 2 3 4 3 2" xfId="22386" xr:uid="{FDCEE5D9-8336-48C7-815D-C9B7E8AFD011}"/>
    <cellStyle name="Comma 5 6 2 3 4 4" xfId="16720" xr:uid="{56D238A3-EADF-4C6C-ABC2-259D1B9EC20B}"/>
    <cellStyle name="Comma 5 6 2 3 5" xfId="5578" xr:uid="{7DAFC742-BDFC-41FC-ABDD-C89BACF93A27}"/>
    <cellStyle name="Comma 5 6 2 3 5 2" xfId="29715" xr:uid="{4E272700-95C3-44A0-BF31-07E252DAB136}"/>
    <cellStyle name="Comma 5 6 2 3 5 2 2" xfId="30965" xr:uid="{AF3CA143-BBE9-44FB-93FF-A7145ECBFBE4}"/>
    <cellStyle name="Comma 5 6 2 3 6" xfId="22842" xr:uid="{3FBDAED5-388D-4D26-8D74-FFEB528015CE}"/>
    <cellStyle name="Comma 5 6 2 3 7" xfId="13542" xr:uid="{4651E5BC-44DB-49EC-9E1E-2E263F7FB541}"/>
    <cellStyle name="Comma 5 6 2 4" xfId="1647" xr:uid="{00000000-0005-0000-0000-000033020000}"/>
    <cellStyle name="Comma 5 6 2 4 2" xfId="3036" xr:uid="{00000000-0005-0000-0000-0000CB010000}"/>
    <cellStyle name="Comma 5 6 2 4 2 2" xfId="8116" xr:uid="{5EE1CF64-9D10-4519-BE5F-3CC0CCD2C426}"/>
    <cellStyle name="Comma 5 6 2 4 2 2 2" xfId="28798" xr:uid="{FC49F608-A2B9-4DAE-9F80-E69D118BB65C}"/>
    <cellStyle name="Comma 5 6 2 4 2 2 3" xfId="28251" xr:uid="{F93BFCD3-1F2B-43DD-96BE-336BBD34E889}"/>
    <cellStyle name="Comma 5 6 2 4 2 2 4" xfId="18496" xr:uid="{681A9550-561D-4D2B-8618-A8501797004F}"/>
    <cellStyle name="Comma 5 6 2 4 2 3" xfId="10949" xr:uid="{CE55CC3B-C858-449C-8599-4E031514088A}"/>
    <cellStyle name="Comma 5 6 2 4 2 3 2" xfId="21329" xr:uid="{33E04FD2-637C-43D6-9B1F-5240F7C246D5}"/>
    <cellStyle name="Comma 5 6 2 4 2 4" xfId="23233" xr:uid="{EBC3B05A-7A0A-438A-8E96-15B08D86831D}"/>
    <cellStyle name="Comma 5 6 2 4 2 5" xfId="15663" xr:uid="{9E52C520-ED29-4051-AAED-430610354ED6}"/>
    <cellStyle name="Comma 5 6 2 4 3" xfId="3689" xr:uid="{00000000-0005-0000-0000-000033020000}"/>
    <cellStyle name="Comma 5 6 2 4 4" xfId="5579" xr:uid="{71C6AC17-1809-4613-A9BC-C403E4D7EDC1}"/>
    <cellStyle name="Comma 5 6 2 4 4 2" xfId="29945" xr:uid="{9FB3FC22-56A3-44B5-87A0-EBCF4B7BBF43}"/>
    <cellStyle name="Comma 5 6 2 4 5" xfId="23078" xr:uid="{05CE79C8-0595-4073-995E-F515BE239074}"/>
    <cellStyle name="Comma 5 6 2 4 6" xfId="13540" xr:uid="{123920D6-4E19-4240-B326-B292C9E4F685}"/>
    <cellStyle name="Comma 5 6 2 5" xfId="1642" xr:uid="{00000000-0005-0000-0000-000034020000}"/>
    <cellStyle name="Comma 5 6 2 5 2" xfId="2654" xr:uid="{00000000-0005-0000-0000-0000CC010000}"/>
    <cellStyle name="Comma 5 6 2 5 2 2" xfId="7779" xr:uid="{760C978A-BC3A-4099-B272-60CBCFE1F49B}"/>
    <cellStyle name="Comma 5 6 2 5 2 2 2" xfId="18159" xr:uid="{2B4F0818-04F1-4A3E-90AA-FE9F67CABD12}"/>
    <cellStyle name="Comma 5 6 2 5 2 3" xfId="10612" xr:uid="{7AA3840D-60B5-4811-AB3A-C2D763B540B5}"/>
    <cellStyle name="Comma 5 6 2 5 2 3 2" xfId="20992" xr:uid="{C3848658-C243-4766-91B7-F43B4247BE32}"/>
    <cellStyle name="Comma 5 6 2 5 2 4" xfId="27023" xr:uid="{14B37001-6DB6-47D9-8135-F7341B2B6043}"/>
    <cellStyle name="Comma 5 6 2 5 2 5" xfId="28049" xr:uid="{FC30BF35-A10F-4B9E-A7FB-BF166BA75823}"/>
    <cellStyle name="Comma 5 6 2 5 2 6" xfId="15326" xr:uid="{8D630E77-B1F3-4F87-9EBE-468BD74161CE}"/>
    <cellStyle name="Comma 5 6 2 5 3" xfId="3570" xr:uid="{00000000-0005-0000-0000-000034020000}"/>
    <cellStyle name="Comma 5 6 2 5 4" xfId="5576" xr:uid="{15CA7CF0-8774-44B8-89C4-66779EB5AB03}"/>
    <cellStyle name="Comma 5 6 2 5 4 2" xfId="29889" xr:uid="{BA1CDCF9-FD46-4D60-8CA7-A7079119BBF5}"/>
    <cellStyle name="Comma 5 6 2 5 5" xfId="23183" xr:uid="{B695C334-6D1D-4BA0-B65E-4327AA00C741}"/>
    <cellStyle name="Comma 5 6 2 5 6" xfId="13056" xr:uid="{3F962ED6-CBA7-4F78-907C-74062DC5C426}"/>
    <cellStyle name="Comma 5 6 2 6" xfId="2276" xr:uid="{00000000-0005-0000-0000-0000C7010000}"/>
    <cellStyle name="Comma 5 6 2 6 2" xfId="7403" xr:uid="{55AA8196-864E-4FAA-8F38-8D933D4F67BF}"/>
    <cellStyle name="Comma 5 6 2 6 2 2" xfId="17783" xr:uid="{C063C035-9AC4-4188-9411-57900EC33309}"/>
    <cellStyle name="Comma 5 6 2 6 3" xfId="10236" xr:uid="{E5CAEABC-95FB-49C6-B95D-77795AB6341F}"/>
    <cellStyle name="Comma 5 6 2 6 3 2" xfId="20616" xr:uid="{B66BB9E8-0F84-4162-915D-02AB7DEBA8AA}"/>
    <cellStyle name="Comma 5 6 2 6 4" xfId="22976" xr:uid="{703D8A09-5AB2-4384-B084-DFBDDF5134A9}"/>
    <cellStyle name="Comma 5 6 2 6 5" xfId="26451" xr:uid="{33747A0D-B40C-45E9-9527-F5B33B70402A}"/>
    <cellStyle name="Comma 5 6 2 6 6" xfId="14950" xr:uid="{1F7EDEBB-CF6F-429D-A222-FF76750F2126}"/>
    <cellStyle name="Comma 5 6 2 7" xfId="3817" xr:uid="{B4AAABA5-2912-46C4-A8A7-5D7C242BB3E0}"/>
    <cellStyle name="Comma 5 6 2 7 2" xfId="8651" xr:uid="{505361DD-BC03-414D-B75F-B325FF6A087B}"/>
    <cellStyle name="Comma 5 6 2 7 2 2" xfId="19031" xr:uid="{B5825790-102F-4786-BFC8-CA5B7795FBB2}"/>
    <cellStyle name="Comma 5 6 2 7 3" xfId="11484" xr:uid="{291CBEEB-96E2-4CE2-92F5-992FFCAAB487}"/>
    <cellStyle name="Comma 5 6 2 7 3 2" xfId="21864" xr:uid="{2ADB1291-B0DB-4F88-9875-C60D450EDD3C}"/>
    <cellStyle name="Comma 5 6 2 7 4" xfId="26446" xr:uid="{A599851F-1443-4C53-AD67-76E79E60D3E9}"/>
    <cellStyle name="Comma 5 6 2 7 5" xfId="26374" xr:uid="{1A9D8B69-476D-44F6-966C-060DEC326322}"/>
    <cellStyle name="Comma 5 6 2 7 6" xfId="16198" xr:uid="{0561A9D7-E3C0-4658-9A12-427315DCB20E}"/>
    <cellStyle name="Comma 5 6 2 8" xfId="4871" xr:uid="{3E8F4A8B-934A-488E-B0D8-9CDBF3BAF43D}"/>
    <cellStyle name="Comma 5 6 2 8 2" xfId="14163" xr:uid="{6135CAAB-BC69-4100-9762-167B1382FD8C}"/>
    <cellStyle name="Comma 5 6 2 9" xfId="6616" xr:uid="{F76A3232-5316-48AB-B1C1-521032568CB1}"/>
    <cellStyle name="Comma 5 6 2 9 2" xfId="16996" xr:uid="{8E3E216E-86EF-454F-91CB-3A0F6E6FCD17}"/>
    <cellStyle name="Comma 5 6 3" xfId="479" xr:uid="{00000000-0005-0000-0000-000035020000}"/>
    <cellStyle name="Comma 5 6 3 10" xfId="12666" xr:uid="{9A4BCD8E-F5B8-42BC-A351-057634D261C4}"/>
    <cellStyle name="Comma 5 6 3 2" xfId="1649" xr:uid="{00000000-0005-0000-0000-000036020000}"/>
    <cellStyle name="Comma 5 6 3 2 2" xfId="3039" xr:uid="{00000000-0005-0000-0000-0000CE010000}"/>
    <cellStyle name="Comma 5 6 3 2 2 2" xfId="8119" xr:uid="{2988140F-C9BB-4F35-BE88-8B632235552C}"/>
    <cellStyle name="Comma 5 6 3 2 2 2 2" xfId="28801" xr:uid="{15CF8EA8-D872-4A1A-BBD9-2FBA5C11DD5A}"/>
    <cellStyle name="Comma 5 6 3 2 2 2 3" xfId="26473" xr:uid="{514830B1-160E-4F8B-9AB5-3550D757909B}"/>
    <cellStyle name="Comma 5 6 3 2 2 2 4" xfId="18499" xr:uid="{AAC7EE76-4F4E-4C78-BEAC-B2E459246B53}"/>
    <cellStyle name="Comma 5 6 3 2 2 3" xfId="10952" xr:uid="{6651C9F7-8EE7-4D75-AC11-54ED3950982A}"/>
    <cellStyle name="Comma 5 6 3 2 2 3 2" xfId="21332" xr:uid="{6EE81B4D-AED8-464B-BF44-6E2802D87D53}"/>
    <cellStyle name="Comma 5 6 3 2 2 4" xfId="25811" xr:uid="{56264640-B7B6-4259-88CF-94ABC0784962}"/>
    <cellStyle name="Comma 5 6 3 2 2 5" xfId="15666" xr:uid="{51AFB86B-CB9C-4C17-A951-DCC2815DA1FB}"/>
    <cellStyle name="Comma 5 6 3 2 3" xfId="3538" xr:uid="{00000000-0005-0000-0000-000036020000}"/>
    <cellStyle name="Comma 5 6 3 2 4" xfId="5580" xr:uid="{8D6F4F08-AEE7-4E1C-9695-7E8F22B5E68C}"/>
    <cellStyle name="Comma 5 6 3 2 4 2" xfId="29947" xr:uid="{8B1B28A8-133C-4516-A9F3-7FE36BF04379}"/>
    <cellStyle name="Comma 5 6 3 2 5" xfId="24536" xr:uid="{3605F36D-2DA4-4E1E-B5B2-7275CC3D770B}"/>
    <cellStyle name="Comma 5 6 3 2 6" xfId="13543" xr:uid="{10618A8C-FF4F-43A9-8C44-8968BE992A4F}"/>
    <cellStyle name="Comma 5 6 3 3" xfId="1650" xr:uid="{00000000-0005-0000-0000-000037020000}"/>
    <cellStyle name="Comma 5 6 3 3 2" xfId="2671" xr:uid="{00000000-0005-0000-0000-0000CF010000}"/>
    <cellStyle name="Comma 5 6 3 3 2 2" xfId="7795" xr:uid="{FC4E818E-86CA-4871-A53F-6AE683E00537}"/>
    <cellStyle name="Comma 5 6 3 3 2 2 2" xfId="18175" xr:uid="{A6F7B1FA-D58C-4E72-B7F5-1DA4608A0506}"/>
    <cellStyle name="Comma 5 6 3 3 2 3" xfId="10628" xr:uid="{466915EA-A5DE-480D-873A-773BC4A7C5B4}"/>
    <cellStyle name="Comma 5 6 3 3 2 3 2" xfId="21008" xr:uid="{58DD9EC1-7FAE-451B-B84B-7FF34BA949B1}"/>
    <cellStyle name="Comma 5 6 3 3 2 4" xfId="15342" xr:uid="{CBFC83F7-B5FD-47E9-9402-9883DBB0922C}"/>
    <cellStyle name="Comma 5 6 3 3 2 5" xfId="30429" xr:uid="{ED4880D0-7E90-4301-AA4F-4731D701629B}"/>
    <cellStyle name="Comma 5 6 3 3 3" xfId="3540" xr:uid="{00000000-0005-0000-0000-000037020000}"/>
    <cellStyle name="Comma 5 6 3 3 4" xfId="5581" xr:uid="{761EBF54-5B24-4AA9-86E2-6BDAAF962FA7}"/>
    <cellStyle name="Comma 5 6 3 3 4 2" xfId="29898" xr:uid="{AB4FD6CD-0861-47AC-BFF8-0942381BE83B}"/>
    <cellStyle name="Comma 5 6 3 3 5" xfId="22821" xr:uid="{414F5BD6-9601-4501-97FD-1B91957F007A}"/>
    <cellStyle name="Comma 5 6 3 3 6" xfId="13075" xr:uid="{EFA9F08E-5102-40A7-B488-32F84DE311D1}"/>
    <cellStyle name="Comma 5 6 3 4" xfId="1648" xr:uid="{00000000-0005-0000-0000-000038020000}"/>
    <cellStyle name="Comma 5 6 3 4 2" xfId="4656" xr:uid="{96B839EE-44EA-4FBB-9175-77FE529D3877}"/>
    <cellStyle name="Comma 5 6 3 4 2 2" xfId="9408" xr:uid="{630F016D-D656-47E0-9F46-225F3907DBA3}"/>
    <cellStyle name="Comma 5 6 3 4 2 2 2" xfId="19788" xr:uid="{96E2F542-CA8D-4ECC-9D80-96C38592BB84}"/>
    <cellStyle name="Comma 5 6 3 4 2 3" xfId="12241" xr:uid="{F19B67DB-29E6-4352-AFB8-B111561F27E7}"/>
    <cellStyle name="Comma 5 6 3 4 2 3 2" xfId="22621" xr:uid="{1F87520B-F67C-418A-B875-7FAAFF828D33}"/>
    <cellStyle name="Comma 5 6 3 4 2 4" xfId="28278" xr:uid="{21A54E6A-310D-4239-8B26-446127D07DBF}"/>
    <cellStyle name="Comma 5 6 3 4 2 5" xfId="26648" xr:uid="{1B152A18-1C82-4286-836C-A679DC640C6A}"/>
    <cellStyle name="Comma 5 6 3 4 2 6" xfId="16955" xr:uid="{0487E457-D63A-4098-84BA-4D4BC076AA8F}"/>
    <cellStyle name="Comma 5 6 3 4 3" xfId="24253" xr:uid="{605FDD89-0425-4367-8C3B-784B5D425380}"/>
    <cellStyle name="Comma 5 6 3 5" xfId="4123" xr:uid="{DF63986C-EEEC-420A-A145-91C5AAECDE50}"/>
    <cellStyle name="Comma 5 6 3 5 2" xfId="8895" xr:uid="{5901397A-C167-4D60-9058-B5323971A03C}"/>
    <cellStyle name="Comma 5 6 3 5 2 2" xfId="29007" xr:uid="{E9821182-F511-459C-8200-A6ACE1605CCE}"/>
    <cellStyle name="Comma 5 6 3 5 2 3" xfId="27075" xr:uid="{AA58A71E-A9E2-47FF-A519-0B5400D31F1E}"/>
    <cellStyle name="Comma 5 6 3 5 2 4" xfId="19275" xr:uid="{537EFCF4-5CA5-4F86-8653-BC297AE15835}"/>
    <cellStyle name="Comma 5 6 3 5 2 5" xfId="31009" xr:uid="{B8E6B64A-486D-4071-8DC3-AA330959E8E0}"/>
    <cellStyle name="Comma 5 6 3 5 3" xfId="11728" xr:uid="{31C10FCD-B77E-4316-A776-403BF58FAB36}"/>
    <cellStyle name="Comma 5 6 3 5 3 2" xfId="22108" xr:uid="{E8D6B2DA-D8E8-4FC4-BBC5-E6A7E0071C73}"/>
    <cellStyle name="Comma 5 6 3 5 4" xfId="25652" xr:uid="{978D8406-2F72-4AD1-90F1-6B8A28C381C1}"/>
    <cellStyle name="Comma 5 6 3 5 5" xfId="16442" xr:uid="{C75A4B7E-E15F-49D1-A402-7902E8917AC0}"/>
    <cellStyle name="Comma 5 6 3 6" xfId="4873" xr:uid="{62C1F978-25D8-4CC1-9BA5-9A9C3B52A758}"/>
    <cellStyle name="Comma 5 6 3 6 2" xfId="28689" xr:uid="{7979634E-E2D5-43B6-BABA-61DBAA353967}"/>
    <cellStyle name="Comma 5 6 3 6 3" xfId="26008" xr:uid="{9332BC9F-0C97-4623-974D-D0703A9F521C}"/>
    <cellStyle name="Comma 5 6 3 6 4" xfId="14165" xr:uid="{C4FD2E18-8907-418E-BEFD-599F2FBB4D80}"/>
    <cellStyle name="Comma 5 6 3 7" xfId="6618" xr:uid="{7B8BE26E-8EB7-40A6-8C1F-A5C8F82DD8AB}"/>
    <cellStyle name="Comma 5 6 3 7 2" xfId="26275" xr:uid="{47A7EEA5-49CD-448B-AF24-B40E545AFC4C}"/>
    <cellStyle name="Comma 5 6 3 7 3" xfId="27406" xr:uid="{CC90C86D-535E-4CD2-9515-9AFB75C393D7}"/>
    <cellStyle name="Comma 5 6 3 7 4" xfId="16998" xr:uid="{B82D5362-48A2-4270-B9FB-2ACCDDD72ED1}"/>
    <cellStyle name="Comma 5 6 3 8" xfId="9451" xr:uid="{1A55361D-A709-4349-9372-B9ADC2352EFB}"/>
    <cellStyle name="Comma 5 6 3 8 2" xfId="19831" xr:uid="{918C8C6A-4561-4334-BA22-26C3070BF72F}"/>
    <cellStyle name="Comma 5 6 3 9" xfId="24350" xr:uid="{725B2A9C-E526-44FB-94FB-67F2A605326F}"/>
    <cellStyle name="Comma 5 6 4" xfId="480" xr:uid="{00000000-0005-0000-0000-000039020000}"/>
    <cellStyle name="Comma 5 6 4 10" xfId="13544" xr:uid="{69DFF61A-3937-4D61-A1C6-BCFA084C7E61}"/>
    <cellStyle name="Comma 5 6 4 2" xfId="1652" xr:uid="{00000000-0005-0000-0000-00003A020000}"/>
    <cellStyle name="Comma 5 6 4 2 2" xfId="23232" xr:uid="{631D18D8-9F14-4EF0-8240-8FC074BE2970}"/>
    <cellStyle name="Comma 5 6 4 2 2 2" xfId="29833" xr:uid="{ACAEC5BD-7D04-4A07-8311-C37FECBDA470}"/>
    <cellStyle name="Comma 5 6 4 2 2 2 2" xfId="30698" xr:uid="{6FD28594-8527-46A9-81FF-53A5969F8A03}"/>
    <cellStyle name="Comma 5 6 4 2 3" xfId="23617" xr:uid="{EB20E96A-ABBE-4405-A83A-0C56D225D782}"/>
    <cellStyle name="Comma 5 6 4 2 4" xfId="30051" xr:uid="{55CA51AD-2F4D-46A7-8227-ED4BBA99702B}"/>
    <cellStyle name="Comma 5 6 4 3" xfId="1653" xr:uid="{00000000-0005-0000-0000-00003B020000}"/>
    <cellStyle name="Comma 5 6 4 4" xfId="1651" xr:uid="{00000000-0005-0000-0000-00003C020000}"/>
    <cellStyle name="Comma 5 6 4 5" xfId="4402" xr:uid="{DCD7CC65-2C6B-43C4-8785-9E881C1BCA13}"/>
    <cellStyle name="Comma 5 6 4 5 2" xfId="9174" xr:uid="{29D46A5B-5EF4-4D5F-A22D-461AEE36AEE4}"/>
    <cellStyle name="Comma 5 6 4 5 2 2" xfId="19554" xr:uid="{915B69A5-F130-476E-A455-3362F3718E7A}"/>
    <cellStyle name="Comma 5 6 4 5 2 3" xfId="31068" xr:uid="{F2786672-7DFE-4FB0-BA25-C00762325A99}"/>
    <cellStyle name="Comma 5 6 4 5 2 4" xfId="30697" xr:uid="{4B424C80-EECD-4381-B558-D0681B8D1102}"/>
    <cellStyle name="Comma 5 6 4 5 3" xfId="12007" xr:uid="{F056B21E-8EEC-42D1-A5EC-AC363C419105}"/>
    <cellStyle name="Comma 5 6 4 5 3 2" xfId="22387" xr:uid="{6193C099-469F-4BED-9B2E-5342B05049AB}"/>
    <cellStyle name="Comma 5 6 4 5 4" xfId="16721" xr:uid="{101AE1AE-F90A-41ED-876F-AC99EDFE262D}"/>
    <cellStyle name="Comma 5 6 4 6" xfId="4874" xr:uid="{606B6403-7A80-4C7A-AB8E-023D16F4F682}"/>
    <cellStyle name="Comma 5 6 4 6 2" xfId="14166" xr:uid="{AAE9E0B8-5207-490D-B683-5B8B2029A3E9}"/>
    <cellStyle name="Comma 5 6 4 7" xfId="6619" xr:uid="{D8BDED57-485A-4A5D-A931-A9573409E00D}"/>
    <cellStyle name="Comma 5 6 4 7 2" xfId="16999" xr:uid="{4FDFD70E-F66A-4013-9215-3448C2947268}"/>
    <cellStyle name="Comma 5 6 4 8" xfId="9452" xr:uid="{7331E9E2-6F0D-46C8-9F00-16E1BAED187C}"/>
    <cellStyle name="Comma 5 6 4 8 2" xfId="19832" xr:uid="{982F0F29-74E0-425B-826B-D189FCA037A6}"/>
    <cellStyle name="Comma 5 6 4 9" xfId="24591" xr:uid="{E92AF8D2-F737-4F3F-8E21-3899B629C4BC}"/>
    <cellStyle name="Comma 5 6 5" xfId="1654" xr:uid="{00000000-0005-0000-0000-00003D020000}"/>
    <cellStyle name="Comma 5 6 5 2" xfId="2871" xr:uid="{00000000-0005-0000-0000-0000D1010000}"/>
    <cellStyle name="Comma 5 6 5 2 2" xfId="7988" xr:uid="{A4168C2C-017A-4E86-848B-D43FC33D9E71}"/>
    <cellStyle name="Comma 5 6 5 2 2 2" xfId="28258" xr:uid="{5F5CF18B-E883-4239-80F4-25A57F9ABFF8}"/>
    <cellStyle name="Comma 5 6 5 2 2 2 2" xfId="31205" xr:uid="{7D4C9951-2CC3-4A50-BBC9-67EE0E29863D}"/>
    <cellStyle name="Comma 5 6 5 2 2 2 3" xfId="30699" xr:uid="{776FC7D4-7BCD-4D98-A3F7-74BEEC5CD323}"/>
    <cellStyle name="Comma 5 6 5 2 2 3" xfId="27867" xr:uid="{C54C1D54-1B79-487A-9CB9-DFE7AE2A9CD6}"/>
    <cellStyle name="Comma 5 6 5 2 2 4" xfId="18368" xr:uid="{58248E8F-2F5A-4FBC-BA63-B8901727DC47}"/>
    <cellStyle name="Comma 5 6 5 2 3" xfId="10821" xr:uid="{78AA1DAD-4757-4283-9FE6-DE180516122E}"/>
    <cellStyle name="Comma 5 6 5 2 3 2" xfId="21201" xr:uid="{0F318335-83CE-4969-9344-703F784264E8}"/>
    <cellStyle name="Comma 5 6 5 2 4" xfId="24843" xr:uid="{58FE6BB2-A654-4842-9D03-347B90CB102C}"/>
    <cellStyle name="Comma 5 6 5 2 5" xfId="15535" xr:uid="{90E983AF-E2A7-47E2-8A74-579B8D03F159}"/>
    <cellStyle name="Comma 5 6 5 3" xfId="3541" xr:uid="{00000000-0005-0000-0000-00003D020000}"/>
    <cellStyle name="Comma 5 6 5 4" xfId="5582" xr:uid="{F71FC95D-44D7-4567-A472-4307DC68F426}"/>
    <cellStyle name="Comma 5 6 5 4 2" xfId="29842" xr:uid="{C378B11F-FE1B-4D48-8F76-B07AE9EB0C13}"/>
    <cellStyle name="Comma 5 6 5 5" xfId="22675" xr:uid="{55490A9E-01D7-460C-A9F7-9F91E148E222}"/>
    <cellStyle name="Comma 5 6 5 6" xfId="13364" xr:uid="{EA787D51-6E05-4DA2-BB3C-931FD37A02C3}"/>
    <cellStyle name="Comma 5 6 6" xfId="1655" xr:uid="{00000000-0005-0000-0000-00003E020000}"/>
    <cellStyle name="Comma 5 6 6 2" xfId="2503" xr:uid="{00000000-0005-0000-0000-0000D2010000}"/>
    <cellStyle name="Comma 5 6 6 2 2" xfId="7628" xr:uid="{1BEB08BA-662C-4878-B2D9-0F34C8877877}"/>
    <cellStyle name="Comma 5 6 6 2 2 2" xfId="18008" xr:uid="{BD27081A-33EF-4C77-96E7-2C5D52AB2CB3}"/>
    <cellStyle name="Comma 5 6 6 2 3" xfId="10461" xr:uid="{B1DF0B21-DA5F-41AD-B192-AC41182AEEC6}"/>
    <cellStyle name="Comma 5 6 6 2 3 2" xfId="20841" xr:uid="{BF5CE5FE-3EF1-4520-BDE5-A886A7DBD274}"/>
    <cellStyle name="Comma 5 6 6 2 4" xfId="27700" xr:uid="{ABFDF23C-0423-457C-83B1-A087B20ABBEA}"/>
    <cellStyle name="Comma 5 6 6 2 5" xfId="27363" xr:uid="{F19CC4E9-508D-499B-8F9E-0BA9B4616EF6}"/>
    <cellStyle name="Comma 5 6 6 2 6" xfId="15175" xr:uid="{7FD278A5-F30B-4C06-B250-225256092BE0}"/>
    <cellStyle name="Comma 5 6 6 3" xfId="3543" xr:uid="{00000000-0005-0000-0000-00003E020000}"/>
    <cellStyle name="Comma 5 6 6 4" xfId="5583" xr:uid="{C299B670-1E97-4C26-B434-264A76914A49}"/>
    <cellStyle name="Comma 5 6 6 4 2" xfId="29871" xr:uid="{C06840A9-7BF7-48E8-BD43-5AA0864EF63B}"/>
    <cellStyle name="Comma 5 6 6 5" xfId="23726" xr:uid="{5713D575-9C81-4804-B1A8-F5DE5B0FFABF}"/>
    <cellStyle name="Comma 5 6 6 6" xfId="12891" xr:uid="{FB173E75-DA18-4987-8EEB-D3CA7E70D2C0}"/>
    <cellStyle name="Comma 5 6 7" xfId="1641" xr:uid="{00000000-0005-0000-0000-00003F020000}"/>
    <cellStyle name="Comma 5 6 7 2" xfId="2259" xr:uid="{00000000-0005-0000-0000-0000C6010000}"/>
    <cellStyle name="Comma 5 6 7 2 2" xfId="7386" xr:uid="{B1ADE0B4-0841-4EA0-8361-A573FE98E495}"/>
    <cellStyle name="Comma 5 6 7 2 2 2" xfId="17766" xr:uid="{35FCECEC-1608-4E78-8E5B-E19FCE3F68EB}"/>
    <cellStyle name="Comma 5 6 7 2 3" xfId="10219" xr:uid="{5D91E43A-ED10-41E3-9D74-036AA5B5FE1B}"/>
    <cellStyle name="Comma 5 6 7 2 3 2" xfId="20599" xr:uid="{B2E5C644-A4CF-49A9-AA57-CA35A1AF6478}"/>
    <cellStyle name="Comma 5 6 7 2 4" xfId="28491" xr:uid="{9A66F825-2F8B-4320-A260-883602AAA4D7}"/>
    <cellStyle name="Comma 5 6 7 2 5" xfId="25899" xr:uid="{3DDE40A2-D002-44C3-BB89-D8C7AFCBCEAB}"/>
    <cellStyle name="Comma 5 6 7 2 6" xfId="14933" xr:uid="{9070B726-4E0F-4A72-B935-ED3611F82692}"/>
    <cellStyle name="Comma 5 6 7 3" xfId="3682" xr:uid="{00000000-0005-0000-0000-00003F020000}"/>
    <cellStyle name="Comma 5 6 7 4" xfId="23677" xr:uid="{98C2CE82-9E9A-455F-9994-C8EBEE219C54}"/>
    <cellStyle name="Comma 5 6 8" xfId="3863" xr:uid="{75645FB4-205D-4E97-ABC5-C721ABB9F46B}"/>
    <cellStyle name="Comma 5 6 8 2" xfId="8695" xr:uid="{9C4DAFBF-0377-441E-B8E5-C883A9095C2E}"/>
    <cellStyle name="Comma 5 6 8 2 2" xfId="19075" xr:uid="{B509ABE0-D8C4-4066-83AA-AE80A9FA47F9}"/>
    <cellStyle name="Comma 5 6 8 3" xfId="11528" xr:uid="{8BBD3814-0477-4211-98F9-083CA8A425D3}"/>
    <cellStyle name="Comma 5 6 8 3 2" xfId="21908" xr:uid="{41DAC589-E123-4832-BCB0-093350FF3653}"/>
    <cellStyle name="Comma 5 6 8 4" xfId="26491" xr:uid="{5A3E59E1-46B3-4497-B3B1-54407837B839}"/>
    <cellStyle name="Comma 5 6 8 5" xfId="27287" xr:uid="{C2C9EF68-7E4B-49EF-B522-A266D5396DCF}"/>
    <cellStyle name="Comma 5 6 8 6" xfId="16242" xr:uid="{9E8CB0D6-6B8E-4477-B094-490FBDC1FBC1}"/>
    <cellStyle name="Comma 5 6 9" xfId="4870" xr:uid="{C6A25E47-8C83-4DB5-8384-5642D1F451D1}"/>
    <cellStyle name="Comma 5 6 9 2" xfId="28493" xr:uid="{17BF5DBF-6F50-48C0-B849-55785DDD8055}"/>
    <cellStyle name="Comma 5 6 9 3" xfId="26492" xr:uid="{C62C78BA-C0F0-45C9-8AE1-A73B68B1AD84}"/>
    <cellStyle name="Comma 5 6 9 4" xfId="14162" xr:uid="{B80FD583-A4D1-422C-8EF7-CDF096FE6F6F}"/>
    <cellStyle name="Comma 5 7" xfId="481" xr:uid="{00000000-0005-0000-0000-000040020000}"/>
    <cellStyle name="Comma 5 7 10" xfId="6620" xr:uid="{14EE97B8-3107-4485-AD21-11E6538925C2}"/>
    <cellStyle name="Comma 5 7 10 2" xfId="17000" xr:uid="{5CBD8036-72DA-473D-8A8A-0E93E593676C}"/>
    <cellStyle name="Comma 5 7 11" xfId="9453" xr:uid="{CBC3D018-F339-48CA-809A-9BD129D1579D}"/>
    <cellStyle name="Comma 5 7 11 2" xfId="19833" xr:uid="{6D1C1702-DB26-4213-A813-D47E860EB7BE}"/>
    <cellStyle name="Comma 5 7 12" xfId="24090" xr:uid="{730B1F54-6836-4D9C-81FE-2FB8C980C0BD}"/>
    <cellStyle name="Comma 5 7 13" xfId="12509" xr:uid="{66F9A521-1AD4-4187-BA8A-DB446B7A9868}"/>
    <cellStyle name="Comma 5 7 2" xfId="482" xr:uid="{00000000-0005-0000-0000-000041020000}"/>
    <cellStyle name="Comma 5 7 2 10" xfId="24574" xr:uid="{4F2F782D-5870-4461-A2CB-636E40F9A215}"/>
    <cellStyle name="Comma 5 7 2 11" xfId="12667" xr:uid="{8E6FD8F7-43D2-4EB7-8A0D-38A637E02AD2}"/>
    <cellStyle name="Comma 5 7 2 2" xfId="483" xr:uid="{00000000-0005-0000-0000-000042020000}"/>
    <cellStyle name="Comma 5 7 2 2 2" xfId="1659" xr:uid="{00000000-0005-0000-0000-000043020000}"/>
    <cellStyle name="Comma 5 7 2 2 2 2" xfId="23367" xr:uid="{1634567F-8A14-4929-8EE8-848E60E811A4}"/>
    <cellStyle name="Comma 5 7 2 2 2 2 2" xfId="29735" xr:uid="{FE2222D0-7793-40F0-A436-798F90E6F940}"/>
    <cellStyle name="Comma 5 7 2 2 2 2 2 2" xfId="30701" xr:uid="{9BD97334-2881-445B-A34E-42326F312AE5}"/>
    <cellStyle name="Comma 5 7 2 2 2 3" xfId="25603" xr:uid="{2E4144DF-BA35-444A-B073-CD4ECDA4E41B}"/>
    <cellStyle name="Comma 5 7 2 2 2 4" xfId="30052" xr:uid="{9E34B2C9-B31D-4C5D-8B66-EEB757494DBF}"/>
    <cellStyle name="Comma 5 7 2 2 3" xfId="1660" xr:uid="{00000000-0005-0000-0000-000044020000}"/>
    <cellStyle name="Comma 5 7 2 2 3 2" xfId="26636" xr:uid="{5556106A-FC6B-4A1F-BCE2-D4D23FB55ECF}"/>
    <cellStyle name="Comma 5 7 2 2 3 3" xfId="26991" xr:uid="{79683DFE-2E88-4A76-9341-AE0DCE02312A}"/>
    <cellStyle name="Comma 5 7 2 2 4" xfId="1658" xr:uid="{00000000-0005-0000-0000-000045020000}"/>
    <cellStyle name="Comma 5 7 2 2 5" xfId="4877" xr:uid="{662677CF-EED7-4EE9-A1F4-218A4809BCE7}"/>
    <cellStyle name="Comma 5 7 2 2 5 2" xfId="26537" xr:uid="{2AA00ACA-3F70-4143-882E-9AB90CBCFDA9}"/>
    <cellStyle name="Comma 5 7 2 2 5 2 2" xfId="31179" xr:uid="{0FF2F87E-EA1D-4F08-B923-8F0B3224573A}"/>
    <cellStyle name="Comma 5 7 2 2 5 2 3" xfId="30700" xr:uid="{A84E266A-6C4D-48FB-B0F5-7AE41F9D8B5F}"/>
    <cellStyle name="Comma 5 7 2 2 5 3" xfId="26333" xr:uid="{DC4C886B-FA07-433C-8E3D-E3869D9D293F}"/>
    <cellStyle name="Comma 5 7 2 2 5 4" xfId="14169" xr:uid="{11D3F6A0-2075-4D5B-886A-9165B7D14B04}"/>
    <cellStyle name="Comma 5 7 2 2 6" xfId="6622" xr:uid="{1663967D-20F1-45F3-ACE2-E60A145759CC}"/>
    <cellStyle name="Comma 5 7 2 2 6 2" xfId="17002" xr:uid="{40A5B1FA-4FD8-4C4C-9CCE-C8EF4F188AD0}"/>
    <cellStyle name="Comma 5 7 2 2 7" xfId="9455" xr:uid="{97B3FDC4-0CBD-4885-BFCD-715739C8CD60}"/>
    <cellStyle name="Comma 5 7 2 2 7 2" xfId="19835" xr:uid="{1C7A9CF3-0EA0-4CBB-AB63-A14EBACE1599}"/>
    <cellStyle name="Comma 5 7 2 2 8" xfId="24472" xr:uid="{F8F1E486-2341-40EC-80C1-2B7172C7D86B}"/>
    <cellStyle name="Comma 5 7 2 2 9" xfId="13545" xr:uid="{305B0BF6-F862-44A4-BF42-178CF9A94E26}"/>
    <cellStyle name="Comma 5 7 2 3" xfId="1661" xr:uid="{00000000-0005-0000-0000-000046020000}"/>
    <cellStyle name="Comma 5 7 2 3 2" xfId="2672" xr:uid="{00000000-0005-0000-0000-0000D6010000}"/>
    <cellStyle name="Comma 5 7 2 3 2 2" xfId="7796" xr:uid="{13AA3425-DA08-49E7-8A0E-AF84A7626225}"/>
    <cellStyle name="Comma 5 7 2 3 2 2 2" xfId="18176" xr:uid="{846E0AB7-6954-4E03-AD74-1E9D6DC8BA7D}"/>
    <cellStyle name="Comma 5 7 2 3 2 3" xfId="10629" xr:uid="{BB9D0CC4-E015-488B-9CCE-E31DBCA3579D}"/>
    <cellStyle name="Comma 5 7 2 3 2 3 2" xfId="21009" xr:uid="{68F76178-87A8-4557-8677-E967A2D7086C}"/>
    <cellStyle name="Comma 5 7 2 3 2 4" xfId="15343" xr:uid="{190957A6-4825-4713-AF5A-F13B9F2FAB46}"/>
    <cellStyle name="Comma 5 7 2 3 2 5" xfId="30430" xr:uid="{73CA2C10-218A-4D2A-81E4-A47A78477738}"/>
    <cellStyle name="Comma 5 7 2 3 3" xfId="3542" xr:uid="{00000000-0005-0000-0000-000046020000}"/>
    <cellStyle name="Comma 5 7 2 3 4" xfId="5584" xr:uid="{F1C4E9C9-E7C5-4999-9F4B-6A3BEE167DF3}"/>
    <cellStyle name="Comma 5 7 2 3 4 2" xfId="29751" xr:uid="{9A070076-FD0C-4E69-84C5-AB1037CE374D}"/>
    <cellStyle name="Comma 5 7 2 3 5" xfId="25180" xr:uid="{5683F0CD-3BA8-4FCE-9083-BEF5A0F955FE}"/>
    <cellStyle name="Comma 5 7 2 3 6" xfId="13077" xr:uid="{20152E85-0F02-4F68-B0EF-188D729F7246}"/>
    <cellStyle name="Comma 5 7 2 4" xfId="1662" xr:uid="{00000000-0005-0000-0000-000047020000}"/>
    <cellStyle name="Comma 5 7 2 4 2" xfId="4682" xr:uid="{8FBE2D01-7106-47CC-A850-387B386B4D74}"/>
    <cellStyle name="Comma 5 7 2 4 2 2" xfId="9417" xr:uid="{B2026E21-6175-42C0-A65E-87647A35362B}"/>
    <cellStyle name="Comma 5 7 2 4 2 2 2" xfId="19797" xr:uid="{F0303F0C-183A-45C1-9195-D7000C274528}"/>
    <cellStyle name="Comma 5 7 2 4 2 2 3" xfId="31111" xr:uid="{F57B2301-3A0F-4B61-985A-7206CFD1129C}"/>
    <cellStyle name="Comma 5 7 2 4 2 2 4" xfId="30702" xr:uid="{A568AC5A-EBC6-4C11-987C-AB2234DC4239}"/>
    <cellStyle name="Comma 5 7 2 4 2 3" xfId="12250" xr:uid="{23FBDDE2-9ADE-4BC0-9007-49DEC224EDA3}"/>
    <cellStyle name="Comma 5 7 2 4 2 3 2" xfId="22630" xr:uid="{F0FD67B3-C129-4D8C-9442-46DA1BB55B29}"/>
    <cellStyle name="Comma 5 7 2 4 2 4" xfId="26493" xr:uid="{981C4E56-484D-4484-8BE4-DD13E3CB5DF3}"/>
    <cellStyle name="Comma 5 7 2 4 2 5" xfId="28341" xr:uid="{2FB2A506-78EB-4959-BCD8-892F75D1E3C7}"/>
    <cellStyle name="Comma 5 7 2 4 2 6" xfId="16964" xr:uid="{009B3A7B-75F5-4FB4-ABD6-939E56B02676}"/>
    <cellStyle name="Comma 5 7 2 4 3" xfId="23508" xr:uid="{85B2F1AA-03A0-41BE-B69E-339100CEA82F}"/>
    <cellStyle name="Comma 5 7 2 4 3 2" xfId="29900" xr:uid="{9C01E95A-74BC-47F7-B7A5-8BC1061F59A5}"/>
    <cellStyle name="Comma 5 7 2 4 4" xfId="30013" xr:uid="{106398AA-ED2F-4348-890B-9FBF05EF801E}"/>
    <cellStyle name="Comma 5 7 2 5" xfId="1657" xr:uid="{00000000-0005-0000-0000-000048020000}"/>
    <cellStyle name="Comma 5 7 2 5 2" xfId="25610" xr:uid="{B6E4083F-4A15-4CCF-B5C9-4526FACB1C2F}"/>
    <cellStyle name="Comma 5 7 2 5 3" xfId="25777" xr:uid="{FEC3CEA1-CCC7-4BCE-9945-F426DD63FDF4}"/>
    <cellStyle name="Comma 5 7 2 6" xfId="4124" xr:uid="{8B4C8D43-E0E5-4AA4-896D-89B582FFE9A0}"/>
    <cellStyle name="Comma 5 7 2 6 2" xfId="8896" xr:uid="{62414F10-5354-497E-9F35-D71FE3175349}"/>
    <cellStyle name="Comma 5 7 2 6 2 2" xfId="19276" xr:uid="{7239C4D9-0548-4ECD-A092-E1DF8E4C4DB6}"/>
    <cellStyle name="Comma 5 7 2 6 3" xfId="11729" xr:uid="{49F6E218-397A-4FC8-9A8F-49C9BA16B765}"/>
    <cellStyle name="Comma 5 7 2 6 3 2" xfId="22109" xr:uid="{3E9E1955-D564-42C6-A7B8-8DC94F3EFD2C}"/>
    <cellStyle name="Comma 5 7 2 6 4" xfId="27453" xr:uid="{B4576E0B-D014-4B36-B0DD-0BDA3C01EE80}"/>
    <cellStyle name="Comma 5 7 2 6 5" xfId="26755" xr:uid="{005A14DE-8FA2-49BA-AE9F-6B3B044914EF}"/>
    <cellStyle name="Comma 5 7 2 6 6" xfId="16443" xr:uid="{E0CC5760-C206-4DC8-959C-1204DE4D6DE6}"/>
    <cellStyle name="Comma 5 7 2 7" xfId="4876" xr:uid="{26FF34ED-32CA-4593-8F59-D08580833D08}"/>
    <cellStyle name="Comma 5 7 2 7 2" xfId="28447" xr:uid="{E4551655-4C6A-4234-9FB2-AA0A4072A4B6}"/>
    <cellStyle name="Comma 5 7 2 7 3" xfId="26475" xr:uid="{57B3AF28-A89F-4CFC-8F6D-F0E5AA0A664B}"/>
    <cellStyle name="Comma 5 7 2 7 4" xfId="14168" xr:uid="{5169EB45-ED88-4614-9E7A-6738ED91774B}"/>
    <cellStyle name="Comma 5 7 2 8" xfId="6621" xr:uid="{E2A93D07-4B32-4972-B959-0EF776D3F38D}"/>
    <cellStyle name="Comma 5 7 2 8 2" xfId="17001" xr:uid="{C7C32092-0198-4FBA-8CC3-16465F53900E}"/>
    <cellStyle name="Comma 5 7 2 9" xfId="9454" xr:uid="{78968388-FF15-4048-A1C5-0A2045233C55}"/>
    <cellStyle name="Comma 5 7 2 9 2" xfId="19834" xr:uid="{319B5FCB-59F1-49DD-985E-DEAA88C6C8A2}"/>
    <cellStyle name="Comma 5 7 3" xfId="484" xr:uid="{00000000-0005-0000-0000-000049020000}"/>
    <cellStyle name="Comma 5 7 3 10" xfId="13546" xr:uid="{D15422AB-BBBC-4DF0-9758-B4A5EE187C6E}"/>
    <cellStyle name="Comma 5 7 3 2" xfId="1664" xr:uid="{00000000-0005-0000-0000-00004A020000}"/>
    <cellStyle name="Comma 5 7 3 2 2" xfId="24169" xr:uid="{7614F62F-C149-4F7B-BB0D-0F5F3513A3E3}"/>
    <cellStyle name="Comma 5 7 3 2 2 2" xfId="29677" xr:uid="{2D743BA9-5D74-41FF-8A56-E6FF48540754}"/>
    <cellStyle name="Comma 5 7 3 2 2 2 2" xfId="30704" xr:uid="{F8B265D7-D215-4C1F-B255-1B417890B3FC}"/>
    <cellStyle name="Comma 5 7 3 2 3" xfId="24036" xr:uid="{A956536C-0D0C-4B64-AB6C-3D32B84691CB}"/>
    <cellStyle name="Comma 5 7 3 2 3 2" xfId="27246" xr:uid="{2D391E2F-17BF-40F3-AC9B-F935480D75C5}"/>
    <cellStyle name="Comma 5 7 3 2 4" xfId="30053" xr:uid="{7D739D2D-6EFB-4DC1-9CEE-49DF4959E175}"/>
    <cellStyle name="Comma 5 7 3 3" xfId="1665" xr:uid="{00000000-0005-0000-0000-00004B020000}"/>
    <cellStyle name="Comma 5 7 3 4" xfId="1663" xr:uid="{00000000-0005-0000-0000-00004C020000}"/>
    <cellStyle name="Comma 5 7 3 4 2" xfId="27493" xr:uid="{255A2A1F-FD39-4D43-951D-12CE0A0F4BA0}"/>
    <cellStyle name="Comma 5 7 3 4 3" xfId="27822" xr:uid="{27574CA1-AC0A-41F4-AA4C-8BF3E9895FE7}"/>
    <cellStyle name="Comma 5 7 3 5" xfId="4403" xr:uid="{4DD17AB7-B1D9-46CC-BF1C-EB5BCE74B406}"/>
    <cellStyle name="Comma 5 7 3 5 2" xfId="9175" xr:uid="{4D4C7758-87C3-4B4E-8E9C-C9B199390E7A}"/>
    <cellStyle name="Comma 5 7 3 5 2 2" xfId="19555" xr:uid="{3B6289B8-4D36-4925-82A9-3737B8F64823}"/>
    <cellStyle name="Comma 5 7 3 5 2 3" xfId="31069" xr:uid="{4F35AD9B-147C-403E-AC2A-4005FB889638}"/>
    <cellStyle name="Comma 5 7 3 5 2 4" xfId="30703" xr:uid="{2CF44F40-820F-4CCA-B82A-E11E5C240E31}"/>
    <cellStyle name="Comma 5 7 3 5 3" xfId="12008" xr:uid="{559DC158-2D14-4ABB-AC79-7AAA8E5548A3}"/>
    <cellStyle name="Comma 5 7 3 5 3 2" xfId="22388" xr:uid="{3F42002C-0E4F-47D5-BBD6-1EEC7BAE73C5}"/>
    <cellStyle name="Comma 5 7 3 5 4" xfId="28130" xr:uid="{D1033E38-680C-4A2B-B69A-7E4E343DB956}"/>
    <cellStyle name="Comma 5 7 3 5 5" xfId="26098" xr:uid="{6849C713-679B-445F-AF71-4C1F1D6E6B36}"/>
    <cellStyle name="Comma 5 7 3 5 6" xfId="16722" xr:uid="{410E88C8-AC3B-421E-A629-73B44050E3B6}"/>
    <cellStyle name="Comma 5 7 3 6" xfId="4878" xr:uid="{1876B2D4-FC16-4C19-AC17-48842C3BA5C3}"/>
    <cellStyle name="Comma 5 7 3 6 2" xfId="26357" xr:uid="{0C0228FA-0A20-403D-B2B7-730C2183EAD4}"/>
    <cellStyle name="Comma 5 7 3 6 3" xfId="27313" xr:uid="{E5C09990-3CDE-48AF-8C5B-2501A3A2AF89}"/>
    <cellStyle name="Comma 5 7 3 6 4" xfId="14170" xr:uid="{B41F4920-B677-4008-8D4D-4C97D33518E5}"/>
    <cellStyle name="Comma 5 7 3 7" xfId="6623" xr:uid="{2238A681-9B22-49F9-A64A-5EA4AB96A8CD}"/>
    <cellStyle name="Comma 5 7 3 7 2" xfId="17003" xr:uid="{345BFF67-6D65-4053-B41A-B181030CAC76}"/>
    <cellStyle name="Comma 5 7 3 8" xfId="9456" xr:uid="{B1DC7DC7-1B68-4A50-AC4D-163FEEDE3729}"/>
    <cellStyle name="Comma 5 7 3 8 2" xfId="19836" xr:uid="{75625703-E2A7-4A13-8668-CA64BE646442}"/>
    <cellStyle name="Comma 5 7 3 9" xfId="23407" xr:uid="{900D5B1C-1589-4E23-9FE1-E88EEF3CCA25}"/>
    <cellStyle name="Comma 5 7 4" xfId="485" xr:uid="{00000000-0005-0000-0000-00004D020000}"/>
    <cellStyle name="Comma 5 7 4 2" xfId="1667" xr:uid="{00000000-0005-0000-0000-00004E020000}"/>
    <cellStyle name="Comma 5 7 4 2 2" xfId="23873" xr:uid="{318CB862-A3EC-47AD-A897-C9FDF3F8389C}"/>
    <cellStyle name="Comma 5 7 4 2 2 2" xfId="29830" xr:uid="{F7CD230F-B65A-4593-9417-9FB6AD98AA28}"/>
    <cellStyle name="Comma 5 7 4 2 2 2 2" xfId="30706" xr:uid="{8D9CD661-7477-4CA4-A153-5E6471FBB6CB}"/>
    <cellStyle name="Comma 5 7 4 2 3" xfId="23289" xr:uid="{D45419FA-DEA1-4FF5-944A-3804F3B313AF}"/>
    <cellStyle name="Comma 5 7 4 2 4" xfId="30035" xr:uid="{AC32E726-9F55-4195-96E0-7352BD474D9D}"/>
    <cellStyle name="Comma 5 7 4 3" xfId="1668" xr:uid="{00000000-0005-0000-0000-00004F020000}"/>
    <cellStyle name="Comma 5 7 4 4" xfId="1666" xr:uid="{00000000-0005-0000-0000-000050020000}"/>
    <cellStyle name="Comma 5 7 4 5" xfId="4879" xr:uid="{3D09B3A8-38B2-40D7-B78F-B863AAC63FA9}"/>
    <cellStyle name="Comma 5 7 4 5 2" xfId="14171" xr:uid="{AD591B44-9CC8-430F-9198-2C6296802480}"/>
    <cellStyle name="Comma 5 7 4 5 2 2" xfId="31114" xr:uid="{FF2EE620-52C5-4E38-901B-D8EC7D6F936B}"/>
    <cellStyle name="Comma 5 7 4 5 2 3" xfId="30705" xr:uid="{1BAA88F6-1BCE-4EA7-8A2A-713DC40B742F}"/>
    <cellStyle name="Comma 5 7 4 6" xfId="6624" xr:uid="{894ABF0A-6BA8-48AA-8DFF-AC94D6126965}"/>
    <cellStyle name="Comma 5 7 4 6 2" xfId="17004" xr:uid="{6A00D9E2-AA70-4FB1-84BE-F4DDC6A9E149}"/>
    <cellStyle name="Comma 5 7 4 7" xfId="9457" xr:uid="{B2F99BCC-99DB-48BC-B179-3BE0EBE58D9C}"/>
    <cellStyle name="Comma 5 7 4 7 2" xfId="19837" xr:uid="{DADE28A0-C82D-46F6-9BA7-9602FC15CA84}"/>
    <cellStyle name="Comma 5 7 4 8" xfId="25328" xr:uid="{BF51AFBA-C3EF-4A49-AF89-92329EABBD92}"/>
    <cellStyle name="Comma 5 7 4 9" xfId="13365" xr:uid="{48C609D4-FB79-4C2B-8D6D-7E9A662F329E}"/>
    <cellStyle name="Comma 5 7 5" xfId="1669" xr:uid="{00000000-0005-0000-0000-000051020000}"/>
    <cellStyle name="Comma 5 7 5 2" xfId="2563" xr:uid="{00000000-0005-0000-0000-0000D9010000}"/>
    <cellStyle name="Comma 5 7 5 2 2" xfId="7688" xr:uid="{81DA16CF-D215-46C7-B658-9ECDB619D97F}"/>
    <cellStyle name="Comma 5 7 5 2 2 2" xfId="18068" xr:uid="{2726BB12-E6AC-481B-9208-5B10A5F45B41}"/>
    <cellStyle name="Comma 5 7 5 2 3" xfId="10521" xr:uid="{DABF3BF7-D668-403B-A2AE-D3063CA6539E}"/>
    <cellStyle name="Comma 5 7 5 2 3 2" xfId="20901" xr:uid="{E5785C61-46FE-4A81-9423-D6AB3976B8C6}"/>
    <cellStyle name="Comma 5 7 5 2 4" xfId="15235" xr:uid="{FC16F968-3DF9-4BFB-B7B1-D95C3D6F7201}"/>
    <cellStyle name="Comma 5 7 5 2 5" xfId="30431" xr:uid="{0C859140-1E98-42C7-9ADC-47E8A5D1F2C8}"/>
    <cellStyle name="Comma 5 7 5 3" xfId="3708" xr:uid="{00000000-0005-0000-0000-000051020000}"/>
    <cellStyle name="Comma 5 7 5 4" xfId="5585" xr:uid="{445FBE4B-D100-4012-9843-6726F1C23419}"/>
    <cellStyle name="Comma 5 7 5 4 2" xfId="29843" xr:uid="{04BAC53C-0E86-4839-945D-6630D920F403}"/>
    <cellStyle name="Comma 5 7 5 5" xfId="23019" xr:uid="{36FEE959-41F0-4AD2-ACE4-7B3C0AB91829}"/>
    <cellStyle name="Comma 5 7 5 6" xfId="12951" xr:uid="{AD226341-77D4-472E-947F-DD3D504A66EE}"/>
    <cellStyle name="Comma 5 7 6" xfId="1670" xr:uid="{00000000-0005-0000-0000-000052020000}"/>
    <cellStyle name="Comma 5 7 6 2" xfId="2277" xr:uid="{00000000-0005-0000-0000-0000D3010000}"/>
    <cellStyle name="Comma 5 7 6 2 2" xfId="7404" xr:uid="{3226EB56-C19C-4DBE-9045-9998AD6D10C3}"/>
    <cellStyle name="Comma 5 7 6 2 2 2" xfId="17784" xr:uid="{7675AAEB-FC53-4CB7-B026-3B64B3F06C49}"/>
    <cellStyle name="Comma 5 7 6 2 3" xfId="10237" xr:uid="{92857883-0D6F-453D-9F27-EA6BC1F109FE}"/>
    <cellStyle name="Comma 5 7 6 2 3 2" xfId="20617" xr:uid="{F6F49F5D-3C06-4B15-8741-620B84013F91}"/>
    <cellStyle name="Comma 5 7 6 2 4" xfId="28558" xr:uid="{11E3C67F-D49E-4BF1-9903-523A4EE179B5}"/>
    <cellStyle name="Comma 5 7 6 2 5" xfId="28427" xr:uid="{28E3BD14-F77D-4EF8-8E21-6A639D6701CD}"/>
    <cellStyle name="Comma 5 7 6 2 6" xfId="14951" xr:uid="{0A31539B-6983-42F9-B3F7-A5F5AC1A26E7}"/>
    <cellStyle name="Comma 5 7 6 3" xfId="2065" xr:uid="{00000000-0005-0000-0000-000052020000}"/>
    <cellStyle name="Comma 5 7 6 4" xfId="23610" xr:uid="{D63C9F0C-4833-4AA3-880E-89DB790C2360}"/>
    <cellStyle name="Comma 5 7 6 4 2" xfId="29882" xr:uid="{46A80738-32FD-4F61-83A7-D4444073205A}"/>
    <cellStyle name="Comma 5 7 6 5" xfId="30004" xr:uid="{9E45B833-AA3E-4C42-86BA-FF11565FD327}"/>
    <cellStyle name="Comma 5 7 7" xfId="1656" xr:uid="{00000000-0005-0000-0000-000053020000}"/>
    <cellStyle name="Comma 5 7 7 2" xfId="27467" xr:uid="{F7E8B45B-C5F3-45F3-8652-1B25E60F4742}"/>
    <cellStyle name="Comma 5 7 7 3" xfId="28401" xr:uid="{94908BF2-0398-46D6-996F-F460030C3D64}"/>
    <cellStyle name="Comma 5 7 8" xfId="3864" xr:uid="{4D8E6C94-8977-4B3D-8541-5736DE38FB0C}"/>
    <cellStyle name="Comma 5 7 8 2" xfId="8696" xr:uid="{40566834-5CF1-4919-ABA6-CD259060D39C}"/>
    <cellStyle name="Comma 5 7 8 2 2" xfId="19076" xr:uid="{7FBF4413-9D43-4675-86AB-DC0EECC16F3B}"/>
    <cellStyle name="Comma 5 7 8 3" xfId="11529" xr:uid="{6BA6E460-B37A-4259-936B-5A7951C58242}"/>
    <cellStyle name="Comma 5 7 8 3 2" xfId="21909" xr:uid="{4E395C52-F27A-4799-8125-21C56070155B}"/>
    <cellStyle name="Comma 5 7 8 4" xfId="27982" xr:uid="{A1830401-4BE9-4047-8037-B582661AD80D}"/>
    <cellStyle name="Comma 5 7 8 5" xfId="27393" xr:uid="{A15B847E-0BCF-49BD-8467-CBB5224689F1}"/>
    <cellStyle name="Comma 5 7 8 6" xfId="16243" xr:uid="{FEEF5453-E726-4908-8A0B-7BD9DE73FA2F}"/>
    <cellStyle name="Comma 5 7 9" xfId="4875" xr:uid="{03CC9048-C24C-410E-B772-7E39F372F37F}"/>
    <cellStyle name="Comma 5 7 9 2" xfId="25915" xr:uid="{AD33B97C-D782-4AFC-9027-B6A080A83C9D}"/>
    <cellStyle name="Comma 5 7 9 3" xfId="27496" xr:uid="{82106660-3FC9-438C-BE38-76FC4CF091A9}"/>
    <cellStyle name="Comma 5 7 9 4" xfId="14167" xr:uid="{EF4ABBE1-E4DF-499A-A6CF-1C49A7ED091F}"/>
    <cellStyle name="Comma 5 8" xfId="486" xr:uid="{00000000-0005-0000-0000-000054020000}"/>
    <cellStyle name="Comma 5 8 10" xfId="9458" xr:uid="{3C0A6B10-AD79-48DD-AD99-93B446F10170}"/>
    <cellStyle name="Comma 5 8 10 2" xfId="19838" xr:uid="{F1C8E9F7-1193-43B8-8AB8-F02488840E21}"/>
    <cellStyle name="Comma 5 8 11" xfId="25156" xr:uid="{75EAFF25-E7F3-4723-A770-3674B2E75CAB}"/>
    <cellStyle name="Comma 5 8 12" xfId="12510" xr:uid="{A942E7ED-6000-4D8F-BC51-BE1BC90B00D9}"/>
    <cellStyle name="Comma 5 8 2" xfId="487" xr:uid="{00000000-0005-0000-0000-000055020000}"/>
    <cellStyle name="Comma 5 8 2 10" xfId="12668" xr:uid="{2D2060DC-65AE-4C74-A3D9-8EB52DE8C408}"/>
    <cellStyle name="Comma 5 8 2 2" xfId="1673" xr:uid="{00000000-0005-0000-0000-000056020000}"/>
    <cellStyle name="Comma 5 8 2 2 2" xfId="3040" xr:uid="{00000000-0005-0000-0000-0000DC010000}"/>
    <cellStyle name="Comma 5 8 2 2 2 2" xfId="8120" xr:uid="{2FF0FD7F-E2DD-4DD8-9A96-350194FBC0BA}"/>
    <cellStyle name="Comma 5 8 2 2 2 2 2" xfId="18500" xr:uid="{6CBA26F6-B2A4-410D-8EE9-DD2208A3DA39}"/>
    <cellStyle name="Comma 5 8 2 2 2 2 2 2" xfId="31143" xr:uid="{45C30206-3A93-4FA0-9F4F-E970C6555ABA}"/>
    <cellStyle name="Comma 5 8 2 2 2 2 2 3" xfId="30707" xr:uid="{40931A3F-EFB0-4B78-8C96-34DE658927E1}"/>
    <cellStyle name="Comma 5 8 2 2 2 3" xfId="10953" xr:uid="{B67D79DF-839B-42F2-A78D-28B2A1C986A8}"/>
    <cellStyle name="Comma 5 8 2 2 2 3 2" xfId="21333" xr:uid="{3AB97040-58F8-431F-9EC8-19760859A498}"/>
    <cellStyle name="Comma 5 8 2 2 2 4" xfId="27339" xr:uid="{D41D5792-1986-4C04-A298-742DBF272AAF}"/>
    <cellStyle name="Comma 5 8 2 2 2 5" xfId="26731" xr:uid="{27B648EF-2FFF-427C-A176-666178209CC9}"/>
    <cellStyle name="Comma 5 8 2 2 2 6" xfId="15667" xr:uid="{2608C0D8-305F-419E-951B-D34D60039A78}"/>
    <cellStyle name="Comma 5 8 2 2 3" xfId="2080" xr:uid="{00000000-0005-0000-0000-000056020000}"/>
    <cellStyle name="Comma 5 8 2 2 4" xfId="5586" xr:uid="{D7CC4C04-6A8E-45ED-B093-5C53AC1FD03A}"/>
    <cellStyle name="Comma 5 8 2 2 4 2" xfId="29776" xr:uid="{06F5E240-6626-40DD-94FD-891798718C4E}"/>
    <cellStyle name="Comma 5 8 2 2 5" xfId="24966" xr:uid="{48F91E01-18C6-4DBA-9EA4-A83AD4E1DC50}"/>
    <cellStyle name="Comma 5 8 2 2 6" xfId="13547" xr:uid="{108AFC75-5EEA-45DD-B81D-0BD1DFE89DC5}"/>
    <cellStyle name="Comma 5 8 2 3" xfId="1674" xr:uid="{00000000-0005-0000-0000-000057020000}"/>
    <cellStyle name="Comma 5 8 2 3 2" xfId="24077" xr:uid="{3CCF6D1F-E1E6-4134-8808-CE7380243E72}"/>
    <cellStyle name="Comma 5 8 2 3 2 2" xfId="30708" xr:uid="{33BA462E-2DD6-45C4-9B64-D122CEE1605E}"/>
    <cellStyle name="Comma 5 8 2 3 2 3" xfId="30552" xr:uid="{B6513C23-9EE7-4413-9D8F-CAD62F9FD3DE}"/>
    <cellStyle name="Comma 5 8 2 3 3" xfId="23017" xr:uid="{DB6EE825-2DCD-429A-9F59-4AC7F43A2769}"/>
    <cellStyle name="Comma 5 8 2 3 4" xfId="30054" xr:uid="{978411B6-56DD-4C90-89F4-2121420A39C1}"/>
    <cellStyle name="Comma 5 8 2 3 5" xfId="29660" xr:uid="{A80A5DC5-EADA-408A-9E37-AA5872793871}"/>
    <cellStyle name="Comma 5 8 2 4" xfId="1672" xr:uid="{00000000-0005-0000-0000-000058020000}"/>
    <cellStyle name="Comma 5 8 2 4 2" xfId="28519" xr:uid="{DB5287D2-A3BC-4D9D-A5AD-D97C9934A7A4}"/>
    <cellStyle name="Comma 5 8 2 4 2 2" xfId="30709" xr:uid="{A3272CAB-83C9-416E-A5D9-D0B05295D51B}"/>
    <cellStyle name="Comma 5 8 2 4 2 3" xfId="30584" xr:uid="{E0F084EF-22C3-46D5-95E2-A0541AFFE25C}"/>
    <cellStyle name="Comma 5 8 2 4 3" xfId="26172" xr:uid="{7E618281-1C5F-460A-94D7-A8DF3AFFB69C}"/>
    <cellStyle name="Comma 5 8 2 5" xfId="4125" xr:uid="{1C3F77AF-A7C8-4533-B6B1-C8D28CB13A7B}"/>
    <cellStyle name="Comma 5 8 2 5 2" xfId="8897" xr:uid="{C3FF4CD3-EA9C-4318-B21E-3EA018511DCC}"/>
    <cellStyle name="Comma 5 8 2 5 2 2" xfId="19277" xr:uid="{3E624E4B-E89E-4968-9CC0-EAE8815D9589}"/>
    <cellStyle name="Comma 5 8 2 5 3" xfId="11730" xr:uid="{8895AA23-CF82-461B-8E31-DD794132AE9D}"/>
    <cellStyle name="Comma 5 8 2 5 3 2" xfId="22110" xr:uid="{B7E67C1F-B7FD-434C-9B87-E2B23FFE9A5A}"/>
    <cellStyle name="Comma 5 8 2 5 4" xfId="28140" xr:uid="{0F13D4FA-A56D-4B66-9D52-CC35EC6B2EEF}"/>
    <cellStyle name="Comma 5 8 2 5 5" xfId="28678" xr:uid="{D048A341-189D-403E-9C40-F13CE9BE81D0}"/>
    <cellStyle name="Comma 5 8 2 5 6" xfId="16444" xr:uid="{33935AFE-4F51-43AC-A6CB-9FDF190C92D7}"/>
    <cellStyle name="Comma 5 8 2 6" xfId="4881" xr:uid="{21AB6E75-CF3F-4863-AC61-3207B7577E91}"/>
    <cellStyle name="Comma 5 8 2 6 2" xfId="27389" xr:uid="{098BB1CA-BEA7-42F8-BF5F-85FEFB2D0AC9}"/>
    <cellStyle name="Comma 5 8 2 6 3" xfId="26884" xr:uid="{9E4D90C0-1C17-4307-ACEB-2359B2B61208}"/>
    <cellStyle name="Comma 5 8 2 6 4" xfId="14173" xr:uid="{C4778CE6-4BAC-44F1-9E41-1C8635F87209}"/>
    <cellStyle name="Comma 5 8 2 7" xfId="6626" xr:uid="{D3EAA14D-1E0B-4538-8E65-683FE1BE0297}"/>
    <cellStyle name="Comma 5 8 2 7 2" xfId="17006" xr:uid="{93B3EE8D-DDDC-4809-8B2B-5B5C7070BE70}"/>
    <cellStyle name="Comma 5 8 2 8" xfId="9459" xr:uid="{808E7EFB-896F-4927-AB71-638EC05A045F}"/>
    <cellStyle name="Comma 5 8 2 8 2" xfId="19839" xr:uid="{1A77B867-59F3-4355-915F-8AB538248483}"/>
    <cellStyle name="Comma 5 8 2 9" xfId="23448" xr:uid="{18C3C4C3-B3EA-4314-BF62-9AB647559B8D}"/>
    <cellStyle name="Comma 5 8 3" xfId="488" xr:uid="{00000000-0005-0000-0000-000059020000}"/>
    <cellStyle name="Comma 5 8 3 2" xfId="1676" xr:uid="{00000000-0005-0000-0000-00005A020000}"/>
    <cellStyle name="Comma 5 8 3 2 2" xfId="25618" xr:uid="{53D484A8-05DA-4B3D-8DBA-5F4A6B0638B9}"/>
    <cellStyle name="Comma 5 8 3 2 2 2" xfId="29808" xr:uid="{A16796A0-C536-46DB-8E0E-8CC66009832A}"/>
    <cellStyle name="Comma 5 8 3 2 2 2 2" xfId="30711" xr:uid="{F658FE12-6F3E-4B0A-B54E-A7FF09FDADE0}"/>
    <cellStyle name="Comma 5 8 3 2 3" xfId="25444" xr:uid="{8F83E9BD-D752-4670-83D0-42D787B89054}"/>
    <cellStyle name="Comma 5 8 3 2 3 2" xfId="27841" xr:uid="{3EDC9502-0DFD-4975-83D4-00C65AD487AD}"/>
    <cellStyle name="Comma 5 8 3 2 4" xfId="30036" xr:uid="{D3FD3568-0D74-4E96-85CC-D3A48B10523B}"/>
    <cellStyle name="Comma 5 8 3 3" xfId="1677" xr:uid="{00000000-0005-0000-0000-00005B020000}"/>
    <cellStyle name="Comma 5 8 3 4" xfId="1675" xr:uid="{00000000-0005-0000-0000-00005C020000}"/>
    <cellStyle name="Comma 5 8 3 4 2" xfId="28745" xr:uid="{CF49AA05-3FBE-48B3-9169-779FBD244A47}"/>
    <cellStyle name="Comma 5 8 3 4 3" xfId="26131" xr:uid="{29D4BED2-56B6-46AE-9E4F-1972B40BC537}"/>
    <cellStyle name="Comma 5 8 3 5" xfId="4882" xr:uid="{E6C69C7E-ECF0-471C-B3AB-6AF66D256BD8}"/>
    <cellStyle name="Comma 5 8 3 5 2" xfId="26284" xr:uid="{F9068B74-A36E-44C0-939A-8D82B5973B25}"/>
    <cellStyle name="Comma 5 8 3 5 2 2" xfId="31172" xr:uid="{842693BC-CC20-404C-8856-79558A6CD263}"/>
    <cellStyle name="Comma 5 8 3 5 2 3" xfId="30710" xr:uid="{813779E3-886C-4293-B28F-F0E9872B5AA5}"/>
    <cellStyle name="Comma 5 8 3 5 3" xfId="26318" xr:uid="{1F5EA9DF-30F0-424B-AA92-67EE89D7FD61}"/>
    <cellStyle name="Comma 5 8 3 5 4" xfId="14174" xr:uid="{053831D1-E6B8-4D4A-B53A-F0EA227B0C6B}"/>
    <cellStyle name="Comma 5 8 3 6" xfId="6627" xr:uid="{302D9AAF-4033-4F4A-9333-B2DAF1AC72E0}"/>
    <cellStyle name="Comma 5 8 3 6 2" xfId="26392" xr:uid="{EA4E0055-C778-4480-AF6D-C956F19B9F0C}"/>
    <cellStyle name="Comma 5 8 3 6 3" xfId="28168" xr:uid="{D160F3C5-B249-4A1B-8E65-E9A7B655F03E}"/>
    <cellStyle name="Comma 5 8 3 6 4" xfId="17007" xr:uid="{5B3EE229-9EF7-412C-9A14-4B62794194FD}"/>
    <cellStyle name="Comma 5 8 3 7" xfId="9460" xr:uid="{0F73EF67-2D55-4AA3-878F-7FA988FAA07A}"/>
    <cellStyle name="Comma 5 8 3 7 2" xfId="19840" xr:uid="{E87BF8B2-8F07-4B67-9777-D74549380BEF}"/>
    <cellStyle name="Comma 5 8 3 8" xfId="24643" xr:uid="{90466407-5C59-4679-A0DF-9465241FFE2E}"/>
    <cellStyle name="Comma 5 8 3 9" xfId="13366" xr:uid="{68C72232-8F8D-4BCD-95DB-452386CA181A}"/>
    <cellStyle name="Comma 5 8 4" xfId="1678" xr:uid="{00000000-0005-0000-0000-00005D020000}"/>
    <cellStyle name="Comma 5 8 4 2" xfId="2673" xr:uid="{00000000-0005-0000-0000-0000DE010000}"/>
    <cellStyle name="Comma 5 8 4 2 2" xfId="7797" xr:uid="{F638EECE-0E71-4D65-AB7A-5EC3D2DA2DE2}"/>
    <cellStyle name="Comma 5 8 4 2 2 2" xfId="18177" xr:uid="{29AD6800-71EF-4AC6-A5C0-235188E8DC06}"/>
    <cellStyle name="Comma 5 8 4 2 2 2 2" xfId="31135" xr:uid="{62D238FC-6347-4192-97CE-39DC26771B37}"/>
    <cellStyle name="Comma 5 8 4 2 2 2 3" xfId="30712" xr:uid="{CA877F40-44FB-4FD0-BE13-08310BD6406D}"/>
    <cellStyle name="Comma 5 8 4 2 3" xfId="10630" xr:uid="{A662D3E5-5529-433E-9F38-0E72E24892E7}"/>
    <cellStyle name="Comma 5 8 4 2 3 2" xfId="21010" xr:uid="{156F5CEB-62E7-4B15-BA2E-009B2D4A8D0C}"/>
    <cellStyle name="Comma 5 8 4 2 4" xfId="26594" xr:uid="{A98F3AEB-51B2-45FA-8234-BBC221C42CF9}"/>
    <cellStyle name="Comma 5 8 4 2 5" xfId="27639" xr:uid="{73969B14-80A1-422D-9678-64C5F63C541B}"/>
    <cellStyle name="Comma 5 8 4 2 6" xfId="15344" xr:uid="{1793C24A-20F7-42CB-8755-0ECC50167B23}"/>
    <cellStyle name="Comma 5 8 4 3" xfId="3592" xr:uid="{00000000-0005-0000-0000-00005D020000}"/>
    <cellStyle name="Comma 5 8 4 4" xfId="5587" xr:uid="{61B5B5BD-8CAB-4FD9-954C-4983326E849B}"/>
    <cellStyle name="Comma 5 8 4 4 2" xfId="29752" xr:uid="{B23374D4-9EA4-47D3-8221-B7DC4E11F6B5}"/>
    <cellStyle name="Comma 5 8 4 5" xfId="24623" xr:uid="{96C61288-71E4-410D-9E9C-8A084F7F738F}"/>
    <cellStyle name="Comma 5 8 4 6" xfId="13078" xr:uid="{93829F7F-8524-4FFE-ACB1-9DD87786DFD4}"/>
    <cellStyle name="Comma 5 8 5" xfId="1679" xr:uid="{00000000-0005-0000-0000-00005E020000}"/>
    <cellStyle name="Comma 5 8 5 2" xfId="2278" xr:uid="{00000000-0005-0000-0000-0000DA010000}"/>
    <cellStyle name="Comma 5 8 5 2 2" xfId="7405" xr:uid="{4CC94E42-2A69-4288-91E6-0A0CDB39740A}"/>
    <cellStyle name="Comma 5 8 5 2 2 2" xfId="17785" xr:uid="{EA5B116C-180F-42F3-A88C-9CF1C6EA4E88}"/>
    <cellStyle name="Comma 5 8 5 2 3" xfId="10238" xr:uid="{F37603B7-020C-4446-94E9-26E402843D14}"/>
    <cellStyle name="Comma 5 8 5 2 3 2" xfId="20618" xr:uid="{60368DDF-8376-4547-8F84-A1CE8660B8E2}"/>
    <cellStyle name="Comma 5 8 5 2 4" xfId="14952" xr:uid="{FE4C11F4-8B91-4C78-8892-97B10F08CBF2}"/>
    <cellStyle name="Comma 5 8 5 2 5" xfId="30432" xr:uid="{3EAE95C7-3CF1-49BF-B334-23DF8958441E}"/>
    <cellStyle name="Comma 5 8 5 3" xfId="2086" xr:uid="{00000000-0005-0000-0000-00005E020000}"/>
    <cellStyle name="Comma 5 8 5 4" xfId="24921" xr:uid="{73CD0007-7AA6-4C23-BE0B-E3F5295A5FA9}"/>
    <cellStyle name="Comma 5 8 5 4 2" xfId="29901" xr:uid="{5F75C6C7-0D1C-4F31-BA20-114360A40F9E}"/>
    <cellStyle name="Comma 5 8 5 5" xfId="30014" xr:uid="{C09199D8-A0F8-4F00-B4B1-D5B29F949D0F}"/>
    <cellStyle name="Comma 5 8 6" xfId="1671" xr:uid="{00000000-0005-0000-0000-00005F020000}"/>
    <cellStyle name="Comma 5 8 6 2" xfId="26586" xr:uid="{422903AC-287E-4EC3-BB8E-0A504F69CB1D}"/>
    <cellStyle name="Comma 5 8 6 2 2" xfId="30713" xr:uid="{3462D339-733B-4AEB-9A0A-A3A3A15B2E2A}"/>
    <cellStyle name="Comma 5 8 6 2 3" xfId="30583" xr:uid="{646BD82D-6032-48CF-BAD3-144F8987CF64}"/>
    <cellStyle name="Comma 5 8 6 3" xfId="27534" xr:uid="{6FB8E0C2-84CE-424A-9E5E-DE1608CF9682}"/>
    <cellStyle name="Comma 5 8 7" xfId="3865" xr:uid="{4309ED3C-13B3-40DD-AFCB-1964E1D79399}"/>
    <cellStyle name="Comma 5 8 7 2" xfId="8697" xr:uid="{6D792B25-135D-4B16-8980-F3F2F50FD3A9}"/>
    <cellStyle name="Comma 5 8 7 2 2" xfId="28964" xr:uid="{12EFBB26-22AB-4525-8B73-9E6EE6188A84}"/>
    <cellStyle name="Comma 5 8 7 2 3" xfId="28215" xr:uid="{BDEFF1D8-EA45-4FD4-AD6E-90DC9E7A8A92}"/>
    <cellStyle name="Comma 5 8 7 2 4" xfId="19077" xr:uid="{F4A6846B-B33F-431E-B946-D5A1090DE87E}"/>
    <cellStyle name="Comma 5 8 7 3" xfId="11530" xr:uid="{70E5CEA8-78E3-404C-87F4-D8594ADBD2E1}"/>
    <cellStyle name="Comma 5 8 7 3 2" xfId="21910" xr:uid="{03ABB417-6320-4C4B-B47B-E5281074FC3B}"/>
    <cellStyle name="Comma 5 8 7 4" xfId="27713" xr:uid="{43C01292-8563-4C2D-9596-CA4514F06ED5}"/>
    <cellStyle name="Comma 5 8 7 5" xfId="16244" xr:uid="{027DC86C-6CC5-41FE-B7A8-5ECB900FB562}"/>
    <cellStyle name="Comma 5 8 8" xfId="4880" xr:uid="{3975A4B3-1503-41FB-ABCA-1D4006BBF9BA}"/>
    <cellStyle name="Comma 5 8 8 2" xfId="28466" xr:uid="{B669142D-2D0E-4CC0-AC1B-4C10E42362FA}"/>
    <cellStyle name="Comma 5 8 8 3" xfId="26047" xr:uid="{E58D5665-27FE-4987-AD95-0A055250DE0C}"/>
    <cellStyle name="Comma 5 8 8 4" xfId="14172" xr:uid="{CAF53E0B-9FD1-474B-8289-846C9B226674}"/>
    <cellStyle name="Comma 5 8 9" xfId="6625" xr:uid="{3050AF58-F09A-4D88-B8F2-C44941E3F062}"/>
    <cellStyle name="Comma 5 8 9 2" xfId="28476" xr:uid="{52B97D21-9AEC-4805-8592-FA8E249EE80F}"/>
    <cellStyle name="Comma 5 8 9 3" xfId="26201" xr:uid="{F48E14F4-8D95-44D5-907B-4EE1B8C5C414}"/>
    <cellStyle name="Comma 5 8 9 4" xfId="17005" xr:uid="{4C160034-B13B-49E5-B4D1-8B6F80BB1E65}"/>
    <cellStyle name="Comma 5 9" xfId="489" xr:uid="{00000000-0005-0000-0000-000060020000}"/>
    <cellStyle name="Comma 5 9 10" xfId="9461" xr:uid="{577F916E-DE24-46FE-A2E8-3876BCD7E17C}"/>
    <cellStyle name="Comma 5 9 10 2" xfId="19841" xr:uid="{3787D89A-519B-42FB-85C6-20D76F758C0F}"/>
    <cellStyle name="Comma 5 9 11" xfId="22710" xr:uid="{921E912D-4404-49CE-A58D-AFF85BABD250}"/>
    <cellStyle name="Comma 5 9 12" xfId="12511" xr:uid="{CE530E1C-0287-4676-9926-5BA63910A349}"/>
    <cellStyle name="Comma 5 9 2" xfId="490" xr:uid="{00000000-0005-0000-0000-000061020000}"/>
    <cellStyle name="Comma 5 9 2 2" xfId="1682" xr:uid="{00000000-0005-0000-0000-000062020000}"/>
    <cellStyle name="Comma 5 9 2 2 2" xfId="2872" xr:uid="{00000000-0005-0000-0000-0000E1010000}"/>
    <cellStyle name="Comma 5 9 2 2 2 2" xfId="7989" xr:uid="{DD600399-F264-4A5C-A259-2FD82D633A78}"/>
    <cellStyle name="Comma 5 9 2 2 2 2 2" xfId="18369" xr:uid="{293B0666-BA43-442C-A608-F87E97D4D469}"/>
    <cellStyle name="Comma 5 9 2 2 2 2 2 2" xfId="31136" xr:uid="{6BE75A01-8681-4A86-852E-5CA96578CD07}"/>
    <cellStyle name="Comma 5 9 2 2 2 2 2 3" xfId="30714" xr:uid="{4CB97A7A-50B9-47D4-B501-400C9AC937B3}"/>
    <cellStyle name="Comma 5 9 2 2 2 3" xfId="10822" xr:uid="{3DDC180D-A0D2-4408-B3F8-BD3A718A8D50}"/>
    <cellStyle name="Comma 5 9 2 2 2 3 2" xfId="21202" xr:uid="{BA03261A-B2A9-4611-A71A-6EC3BE0B938E}"/>
    <cellStyle name="Comma 5 9 2 2 2 4" xfId="26496" xr:uid="{1A82B4E7-142C-46F5-BEB3-F201FD231155}"/>
    <cellStyle name="Comma 5 9 2 2 2 5" xfId="26785" xr:uid="{35D6FCB8-6D81-4D29-8AAF-EA0F5D40EC9C}"/>
    <cellStyle name="Comma 5 9 2 2 2 6" xfId="15536" xr:uid="{7EA2C2D2-2C27-4270-9D44-D926BB025009}"/>
    <cellStyle name="Comma 5 9 2 2 3" xfId="3688" xr:uid="{00000000-0005-0000-0000-000062020000}"/>
    <cellStyle name="Comma 5 9 2 2 4" xfId="5588" xr:uid="{5DEDC809-A58D-4915-8292-CB2064C3F8DA}"/>
    <cellStyle name="Comma 5 9 2 2 4 2" xfId="29764" xr:uid="{5A5A3821-4E20-4ABC-8E69-75E4640375B8}"/>
    <cellStyle name="Comma 5 9 2 2 5" xfId="23354" xr:uid="{2FD97EFD-1F02-49AF-B9C5-4ADE3EC81F0C}"/>
    <cellStyle name="Comma 5 9 2 2 6" xfId="13367" xr:uid="{C41E76B2-0C39-41CB-BB65-50AA0681065C}"/>
    <cellStyle name="Comma 5 9 2 3" xfId="1683" xr:uid="{00000000-0005-0000-0000-000063020000}"/>
    <cellStyle name="Comma 5 9 2 3 2" xfId="24903" xr:uid="{F6A819E7-49AD-4347-96EC-10C8648C30A8}"/>
    <cellStyle name="Comma 5 9 2 3 2 2" xfId="30715" xr:uid="{47DB5FD4-96FA-4173-8E53-6DA4234BEA2D}"/>
    <cellStyle name="Comma 5 9 2 3 2 3" xfId="30553" xr:uid="{F5088134-8CE5-4A2C-9753-895A284CAC6E}"/>
    <cellStyle name="Comma 5 9 2 3 3" xfId="22956" xr:uid="{1221D88C-6031-4EEF-9013-D90C6923BB63}"/>
    <cellStyle name="Comma 5 9 2 3 4" xfId="30037" xr:uid="{8E6C886B-4461-492D-A2D3-77A7DD14FA89}"/>
    <cellStyle name="Comma 5 9 2 3 5" xfId="29661" xr:uid="{5C83A64C-738C-4B76-A536-451C4CDAEBDA}"/>
    <cellStyle name="Comma 5 9 2 4" xfId="1681" xr:uid="{00000000-0005-0000-0000-000064020000}"/>
    <cellStyle name="Comma 5 9 2 4 2" xfId="26144" xr:uid="{11F3DDB7-F030-4752-8665-FF4829009ADA}"/>
    <cellStyle name="Comma 5 9 2 4 2 2" xfId="30716" xr:uid="{BD8F26DD-5947-436A-8E4A-F7C8D3342C18}"/>
    <cellStyle name="Comma 5 9 2 4 2 3" xfId="30586" xr:uid="{A1610AE6-DFB3-4902-854F-8CE0CA56D516}"/>
    <cellStyle name="Comma 5 9 2 4 3" xfId="28646" xr:uid="{83F077EA-14EA-49D6-9313-1E9410A6F85D}"/>
    <cellStyle name="Comma 5 9 2 5" xfId="4884" xr:uid="{EB3A30E8-3647-49C2-A1DA-99DCDC29C0ED}"/>
    <cellStyle name="Comma 5 9 2 5 2" xfId="26685" xr:uid="{0EA01B93-8071-4C3D-B4C1-26E4128E262C}"/>
    <cellStyle name="Comma 5 9 2 5 3" xfId="28234" xr:uid="{AB8BE62E-19B6-423D-8338-0BEE8D7165AA}"/>
    <cellStyle name="Comma 5 9 2 5 4" xfId="14176" xr:uid="{5E14F82E-952A-47F6-A880-3BF07391B1FC}"/>
    <cellStyle name="Comma 5 9 2 5 5" xfId="30617" xr:uid="{06850C7D-2AAC-4475-AD05-17DE7A9F5617}"/>
    <cellStyle name="Comma 5 9 2 6" xfId="6629" xr:uid="{36AC8BC2-135C-4F0E-B9F4-4BE70C750E75}"/>
    <cellStyle name="Comma 5 9 2 6 2" xfId="27702" xr:uid="{AFECA7B3-832F-448B-8E3C-E62DF09C48C7}"/>
    <cellStyle name="Comma 5 9 2 6 3" xfId="26781" xr:uid="{0F87FA41-FC1E-4FCF-BDF8-53C40C3C032A}"/>
    <cellStyle name="Comma 5 9 2 6 4" xfId="17009" xr:uid="{B4200961-E2C0-4BC1-94EE-3A85E626AA74}"/>
    <cellStyle name="Comma 5 9 2 7" xfId="9462" xr:uid="{6886AE68-520F-4832-BF74-5FAF0008B37D}"/>
    <cellStyle name="Comma 5 9 2 7 2" xfId="19842" xr:uid="{1C8C4465-DEA0-4CB4-A309-8A836052CF50}"/>
    <cellStyle name="Comma 5 9 2 8" xfId="23186" xr:uid="{158B3261-B414-4969-87FD-E8CE88BB4099}"/>
    <cellStyle name="Comma 5 9 2 9" xfId="12669" xr:uid="{CB2B0EDD-44CF-4098-A63F-95E232219291}"/>
    <cellStyle name="Comma 5 9 3" xfId="491" xr:uid="{00000000-0005-0000-0000-000065020000}"/>
    <cellStyle name="Comma 5 9 3 2" xfId="1685" xr:uid="{00000000-0005-0000-0000-000066020000}"/>
    <cellStyle name="Comma 5 9 3 2 2" xfId="28582" xr:uid="{24970741-0E29-4246-A189-27E01992A00F}"/>
    <cellStyle name="Comma 5 9 3 2 2 2" xfId="30718" xr:uid="{B0C70532-9092-4845-BAD0-1BA2E82A1E86}"/>
    <cellStyle name="Comma 5 9 3 2 2 3" xfId="30601" xr:uid="{431458AB-C9BA-4E59-BFC7-8AC4B17F7501}"/>
    <cellStyle name="Comma 5 9 3 2 3" xfId="27020" xr:uid="{E598149C-FE07-4DC5-86B7-E13C07F268AF}"/>
    <cellStyle name="Comma 5 9 3 3" xfId="1686" xr:uid="{00000000-0005-0000-0000-000067020000}"/>
    <cellStyle name="Comma 5 9 3 4" xfId="1684" xr:uid="{00000000-0005-0000-0000-000068020000}"/>
    <cellStyle name="Comma 5 9 3 5" xfId="4885" xr:uid="{672D1938-E8B9-4EE4-A404-E4869E3DF097}"/>
    <cellStyle name="Comma 5 9 3 5 2" xfId="27916" xr:uid="{2CCA1919-C0E3-437A-AEA4-A7FE9B7E2006}"/>
    <cellStyle name="Comma 5 9 3 5 2 2" xfId="31198" xr:uid="{0301959F-F531-44B8-B593-826B6FD4315E}"/>
    <cellStyle name="Comma 5 9 3 5 2 3" xfId="30717" xr:uid="{84D65F06-96BE-4435-B794-A50A7ACD6ECD}"/>
    <cellStyle name="Comma 5 9 3 5 3" xfId="25882" xr:uid="{246E0EAC-A073-4023-BCDF-D485F4AAD117}"/>
    <cellStyle name="Comma 5 9 3 5 4" xfId="14177" xr:uid="{A3B19FAE-253A-4C9F-A824-7995242F9A40}"/>
    <cellStyle name="Comma 5 9 3 6" xfId="6630" xr:uid="{BCFE293F-552A-4FD1-843B-79E4089F5F29}"/>
    <cellStyle name="Comma 5 9 3 6 2" xfId="17010" xr:uid="{998E47F5-BD2A-4263-B6E7-BA0F6615FD09}"/>
    <cellStyle name="Comma 5 9 3 7" xfId="9463" xr:uid="{93F546B0-E630-48A1-A3A2-E60736345D88}"/>
    <cellStyle name="Comma 5 9 3 7 2" xfId="19843" xr:uid="{D384727D-B11B-4ACD-80DE-E21FB1AA851B}"/>
    <cellStyle name="Comma 5 9 3 8" xfId="23365" xr:uid="{A42F84E4-61A4-4AB1-B8D4-24F3C88470B4}"/>
    <cellStyle name="Comma 5 9 3 9" xfId="13079" xr:uid="{58B4F309-4F73-4AC0-9E82-9AB850A0C1EB}"/>
    <cellStyle name="Comma 5 9 4" xfId="1687" xr:uid="{00000000-0005-0000-0000-000069020000}"/>
    <cellStyle name="Comma 5 9 4 2" xfId="2279" xr:uid="{00000000-0005-0000-0000-0000DF010000}"/>
    <cellStyle name="Comma 5 9 4 2 2" xfId="7406" xr:uid="{1E1556D7-8993-43B8-B4DC-ADC5347F2892}"/>
    <cellStyle name="Comma 5 9 4 2 2 2" xfId="17786" xr:uid="{FC874948-C6B9-476A-9918-1FD3D1FDA1DC}"/>
    <cellStyle name="Comma 5 9 4 2 2 2 2" xfId="31126" xr:uid="{0B51279B-2A5B-4395-ADC6-689D69249167}"/>
    <cellStyle name="Comma 5 9 4 2 2 2 3" xfId="30719" xr:uid="{2B2AC912-036D-468D-8CF3-4AA2B8F5290D}"/>
    <cellStyle name="Comma 5 9 4 2 3" xfId="10239" xr:uid="{9E45737F-46A4-4824-9796-8F7DC6D1045A}"/>
    <cellStyle name="Comma 5 9 4 2 3 2" xfId="20619" xr:uid="{553028C3-EAAC-4756-93F3-35A270C1AD70}"/>
    <cellStyle name="Comma 5 9 4 2 4" xfId="28236" xr:uid="{A4F5614C-A5DF-4D87-88B0-071B9BC4EA7E}"/>
    <cellStyle name="Comma 5 9 4 2 5" xfId="26400" xr:uid="{9FE368F8-BEEE-4267-9DC6-5222CA95E77A}"/>
    <cellStyle name="Comma 5 9 4 2 6" xfId="14953" xr:uid="{A57EE24B-4604-4638-8EF3-39D2D495CEA9}"/>
    <cellStyle name="Comma 5 9 4 3" xfId="2058" xr:uid="{00000000-0005-0000-0000-000069020000}"/>
    <cellStyle name="Comma 5 9 4 4" xfId="22689" xr:uid="{10E129FC-ED19-4FA8-991C-0D82ED6B82C1}"/>
    <cellStyle name="Comma 5 9 4 4 2" xfId="29737" xr:uid="{23982877-3765-4743-AD98-45F4A9C681B2}"/>
    <cellStyle name="Comma 5 9 4 5" xfId="29844" xr:uid="{45E3FC05-22F4-4882-A2EE-6AE2BB9EB86D}"/>
    <cellStyle name="Comma 5 9 4 6" xfId="29989" xr:uid="{6B05C73D-E431-4BD3-A0E9-D68B75A751E3}"/>
    <cellStyle name="Comma 5 9 5" xfId="1688" xr:uid="{00000000-0005-0000-0000-00006A020000}"/>
    <cellStyle name="Comma 5 9 5 2" xfId="24215" xr:uid="{4EF621CF-F50D-4230-AF83-2E870655BDA3}"/>
    <cellStyle name="Comma 5 9 5 2 2" xfId="29798" xr:uid="{AC7AD2D9-EE19-437C-B1CB-74F8FC52A265}"/>
    <cellStyle name="Comma 5 9 5 2 2 2" xfId="30720" xr:uid="{B026E2CA-F479-4414-B3BC-598E63AD2D30}"/>
    <cellStyle name="Comma 5 9 5 3" xfId="24967" xr:uid="{569BA925-3A3B-4717-B1B9-3D852F1BB19D}"/>
    <cellStyle name="Comma 5 9 5 4" xfId="30015" xr:uid="{0A634316-065C-4E51-B319-E58017A9EF5E}"/>
    <cellStyle name="Comma 5 9 6" xfId="1680" xr:uid="{00000000-0005-0000-0000-00006B020000}"/>
    <cellStyle name="Comma 5 9 6 2" xfId="27178" xr:uid="{14EF25F5-D9BE-45D5-9005-4E60957A0203}"/>
    <cellStyle name="Comma 5 9 6 2 2" xfId="30721" xr:uid="{FDE5ECE4-C2F4-4D3A-A86F-4B131C787202}"/>
    <cellStyle name="Comma 5 9 6 2 3" xfId="30585" xr:uid="{A40CFB98-27E5-4F51-8348-E9CA033F2552}"/>
    <cellStyle name="Comma 5 9 6 3" xfId="26360" xr:uid="{33843480-E46E-46E8-A098-789A42CAEACB}"/>
    <cellStyle name="Comma 5 9 7" xfId="3866" xr:uid="{B9DE1D30-4F88-4738-9237-DC4A3CFC8DA9}"/>
    <cellStyle name="Comma 5 9 7 2" xfId="8698" xr:uid="{217EDCE2-9B0E-4A25-BC3B-8C29294786F7}"/>
    <cellStyle name="Comma 5 9 7 2 2" xfId="28965" xr:uid="{40DF6CCF-C7EB-4E2F-8943-4010C4F20435}"/>
    <cellStyle name="Comma 5 9 7 2 3" xfId="27299" xr:uid="{F77F18D5-5BCA-4F28-938A-BCE11258A9A2}"/>
    <cellStyle name="Comma 5 9 7 2 4" xfId="19078" xr:uid="{96203E88-F519-4C89-86D3-CA0BFFC30A7C}"/>
    <cellStyle name="Comma 5 9 7 3" xfId="11531" xr:uid="{29D5A212-8ECB-4895-AE43-EE1FA4977D49}"/>
    <cellStyle name="Comma 5 9 7 3 2" xfId="21911" xr:uid="{4E2A553C-24C0-40AA-A554-9E1ED5799483}"/>
    <cellStyle name="Comma 5 9 7 4" xfId="26984" xr:uid="{3E732908-041F-46A5-A79F-0CF9D6D2313D}"/>
    <cellStyle name="Comma 5 9 7 5" xfId="16245" xr:uid="{5D36E793-C1E0-440E-8E25-0EACBB5C7075}"/>
    <cellStyle name="Comma 5 9 8" xfId="4883" xr:uid="{19062C3A-3DA8-4519-BE2C-EB4890D3976C}"/>
    <cellStyle name="Comma 5 9 8 2" xfId="28602" xr:uid="{43816189-9755-4F5B-9F31-479975E420E6}"/>
    <cellStyle name="Comma 5 9 8 3" xfId="26588" xr:uid="{8B938DC1-312A-41D7-8860-4BA13CAE14F7}"/>
    <cellStyle name="Comma 5 9 8 4" xfId="14175" xr:uid="{6230BFD7-AEE5-43EB-8885-BB2F9158B86E}"/>
    <cellStyle name="Comma 5 9 9" xfId="6628" xr:uid="{E289BBFE-C525-4650-8B0E-5AD183962837}"/>
    <cellStyle name="Comma 5 9 9 2" xfId="28564" xr:uid="{F1666656-BD91-4BFD-8C97-C71A38433776}"/>
    <cellStyle name="Comma 5 9 9 3" xfId="28025" xr:uid="{DB2661FD-D525-4319-94EB-088EB495F608}"/>
    <cellStyle name="Comma 5 9 9 4" xfId="17008" xr:uid="{162481D7-E839-4A30-AA59-A36CDC6481BA}"/>
    <cellStyle name="Comma 6" xfId="492" xr:uid="{00000000-0005-0000-0000-00006C020000}"/>
    <cellStyle name="Comma 6 2" xfId="493" xr:uid="{00000000-0005-0000-0000-00006D020000}"/>
    <cellStyle name="Comma 6 3" xfId="494" xr:uid="{00000000-0005-0000-0000-00006E020000}"/>
    <cellStyle name="Comma 6 3 2" xfId="1690" xr:uid="{00000000-0005-0000-0000-00006F020000}"/>
    <cellStyle name="Comma 6 3 2 2" xfId="25265" xr:uid="{8A7DAFD7-2CA3-48AB-8998-82D5CBA4FD5D}"/>
    <cellStyle name="Comma 6 3 2 2 2" xfId="29824" xr:uid="{993FD6BC-13E5-4F0C-A1CB-0B9266626B05}"/>
    <cellStyle name="Comma 6 3 2 3" xfId="24576" xr:uid="{A28E2AF0-11DC-454F-8523-E8CC9FF3477F}"/>
    <cellStyle name="Comma 6 3 3" xfId="1691" xr:uid="{00000000-0005-0000-0000-000070020000}"/>
    <cellStyle name="Comma 6 3 3 2" xfId="31309" xr:uid="{B892DCB0-225F-4A82-BF1C-F3D3857F7969}"/>
    <cellStyle name="Comma 6 3 3 3" xfId="31268" xr:uid="{6EC989E8-EEBE-4E56-B842-6FAA8089D686}"/>
    <cellStyle name="Comma 6 3 4" xfId="1689" xr:uid="{00000000-0005-0000-0000-000071020000}"/>
    <cellStyle name="Comma 6 3 5" xfId="30402" xr:uid="{826A58AB-2EF0-437D-8B25-98E5B40781A9}"/>
    <cellStyle name="Comma 6 3 5 2" xfId="30433" xr:uid="{C80FF380-C62E-48FE-B3CF-F41618084E64}"/>
    <cellStyle name="Comma 6 4" xfId="495" xr:uid="{00000000-0005-0000-0000-000072020000}"/>
    <cellStyle name="Comma 6 4 10" xfId="4886" xr:uid="{590EB0C8-22E1-4978-891E-C4F933D87663}"/>
    <cellStyle name="Comma 6 4 10 2" xfId="14178" xr:uid="{D116F717-0813-48E8-85B0-A4EAB548CEE8}"/>
    <cellStyle name="Comma 6 4 11" xfId="6631" xr:uid="{C7EE9BD2-A05B-4FE7-B3BA-FA91B2818E1F}"/>
    <cellStyle name="Comma 6 4 11 2" xfId="17011" xr:uid="{B8DB3F00-9E9D-409B-8728-AFBA1086C4B3}"/>
    <cellStyle name="Comma 6 4 12" xfId="9464" xr:uid="{9FF30183-B51D-4652-85E9-61D6B4505CEA}"/>
    <cellStyle name="Comma 6 4 12 2" xfId="19844" xr:uid="{43B3ED84-FCF3-429C-B5C8-F790869B9743}"/>
    <cellStyle name="Comma 6 4 13" xfId="24565" xr:uid="{ECE51940-59D9-4508-834B-EE611846C330}"/>
    <cellStyle name="Comma 6 4 14" xfId="12454" xr:uid="{CD5DDB80-C41A-4879-9C53-6EC2F07C554B}"/>
    <cellStyle name="Comma 6 4 2" xfId="496" xr:uid="{00000000-0005-0000-0000-000073020000}"/>
    <cellStyle name="Comma 6 4 2 10" xfId="9465" xr:uid="{D5BF1811-2803-4948-A0EE-3FF96738624E}"/>
    <cellStyle name="Comma 6 4 2 10 2" xfId="19845" xr:uid="{3F5543A8-A093-4FBE-974F-9BCDC3B3402A}"/>
    <cellStyle name="Comma 6 4 2 11" xfId="25404" xr:uid="{29A5D357-8B2B-46F0-A662-77123053171A}"/>
    <cellStyle name="Comma 6 4 2 12" xfId="12512" xr:uid="{D05CF195-F9B5-4A45-AE3D-41A5E0351F83}"/>
    <cellStyle name="Comma 6 4 2 2" xfId="497" xr:uid="{00000000-0005-0000-0000-000074020000}"/>
    <cellStyle name="Comma 6 4 2 2 10" xfId="13081" xr:uid="{9036A2BC-18BE-4FB3-B52B-3678CFDC02B6}"/>
    <cellStyle name="Comma 6 4 2 2 2" xfId="1695" xr:uid="{00000000-0005-0000-0000-000075020000}"/>
    <cellStyle name="Comma 6 4 2 2 2 2" xfId="3042" xr:uid="{00000000-0005-0000-0000-0000E9010000}"/>
    <cellStyle name="Comma 6 4 2 2 2 2 2" xfId="8122" xr:uid="{CC6411F4-1CBE-4402-84DA-435DBF322A64}"/>
    <cellStyle name="Comma 6 4 2 2 2 2 2 2" xfId="28803" xr:uid="{7F89C405-4E7B-4D58-BF46-41EB446A6018}"/>
    <cellStyle name="Comma 6 4 2 2 2 2 2 3" xfId="26832" xr:uid="{668C4A35-0F7A-4120-9061-A68B9CC43049}"/>
    <cellStyle name="Comma 6 4 2 2 2 2 2 4" xfId="18502" xr:uid="{0D6186E5-DE10-4652-AD63-5E412EF765C3}"/>
    <cellStyle name="Comma 6 4 2 2 2 2 3" xfId="10955" xr:uid="{4EFEE2EA-4567-467B-89A0-B0256E14CC5D}"/>
    <cellStyle name="Comma 6 4 2 2 2 2 3 2" xfId="21335" xr:uid="{6EE04AED-26C1-47DD-9F9D-12E30109AB5F}"/>
    <cellStyle name="Comma 6 4 2 2 2 2 4" xfId="25682" xr:uid="{EF41D050-0AE8-4E89-BB9E-051DF5630730}"/>
    <cellStyle name="Comma 6 4 2 2 2 2 5" xfId="15669" xr:uid="{F2560B0F-AD65-4450-AD2A-D2B82D41C930}"/>
    <cellStyle name="Comma 6 4 2 2 2 3" xfId="3575" xr:uid="{00000000-0005-0000-0000-000075020000}"/>
    <cellStyle name="Comma 6 4 2 2 2 4" xfId="5591" xr:uid="{8BF347F7-3DE4-4C27-A5DD-8CA2A1920DC5}"/>
    <cellStyle name="Comma 6 4 2 2 2 4 2" xfId="29949" xr:uid="{233E463F-54C2-4C29-870A-0D49BFA16A91}"/>
    <cellStyle name="Comma 6 4 2 2 2 5" xfId="23721" xr:uid="{ADD3F041-ED7E-4808-8804-F82B1C69DADD}"/>
    <cellStyle name="Comma 6 4 2 2 2 6" xfId="13549" xr:uid="{5B965AB5-811C-4C8F-9776-A7E6E46FEFB1}"/>
    <cellStyle name="Comma 6 4 2 2 3" xfId="1696" xr:uid="{00000000-0005-0000-0000-000076020000}"/>
    <cellStyle name="Comma 6 4 2 2 3 2" xfId="4647" xr:uid="{187D3BBC-2F30-4E54-BF60-6686AA852718}"/>
    <cellStyle name="Comma 6 4 2 2 3 2 2" xfId="9403" xr:uid="{ACAD8495-9410-477A-A199-35531A3A5934}"/>
    <cellStyle name="Comma 6 4 2 2 3 2 2 2" xfId="19783" xr:uid="{93C5B541-0741-49C6-BEF0-3FE0CDC50F93}"/>
    <cellStyle name="Comma 6 4 2 2 3 2 3" xfId="12236" xr:uid="{8A4C0AE4-CA6B-43CE-A304-C1A77EFC9CE7}"/>
    <cellStyle name="Comma 6 4 2 2 3 2 3 2" xfId="22616" xr:uid="{351A7092-E753-446E-A119-ADEAA0D954FF}"/>
    <cellStyle name="Comma 6 4 2 2 3 2 4" xfId="27967" xr:uid="{ABD3612A-144F-4974-A4D6-F6C5F0703320}"/>
    <cellStyle name="Comma 6 4 2 2 3 2 5" xfId="28596" xr:uid="{312B778F-60C6-4219-81C0-7FD53D492B70}"/>
    <cellStyle name="Comma 6 4 2 2 3 2 6" xfId="16950" xr:uid="{129F80BC-EC3D-44D7-8C98-01595460F21A}"/>
    <cellStyle name="Comma 6 4 2 2 3 3" xfId="24960" xr:uid="{2283E414-46E5-4049-907A-D24F13EDDB5E}"/>
    <cellStyle name="Comma 6 4 2 2 3 3 2" xfId="29903" xr:uid="{4DA074B1-E9A6-4FB2-9574-AF0CB56E487E}"/>
    <cellStyle name="Comma 6 4 2 2 3 4" xfId="30017" xr:uid="{B0E6ED8B-7F94-4C65-B922-D81312B6C1B9}"/>
    <cellStyle name="Comma 6 4 2 2 4" xfId="1694" xr:uid="{00000000-0005-0000-0000-000077020000}"/>
    <cellStyle name="Comma 6 4 2 2 4 2" xfId="26920" xr:uid="{5EED627A-0015-4E1B-A2B6-EF5D8B44E99E}"/>
    <cellStyle name="Comma 6 4 2 2 4 3" xfId="26329" xr:uid="{A5E211ED-3697-47AE-AFB7-DC4A9AEBCE66}"/>
    <cellStyle name="Comma 6 4 2 2 5" xfId="4260" xr:uid="{57211779-9320-44C5-9837-0748906E7A4C}"/>
    <cellStyle name="Comma 6 4 2 2 5 2" xfId="9032" xr:uid="{3A1E14F9-50A9-4BC3-9B23-12F98A7CD057}"/>
    <cellStyle name="Comma 6 4 2 2 5 2 2" xfId="19412" xr:uid="{5B746D22-E62E-4BCC-B5AB-8BE294689550}"/>
    <cellStyle name="Comma 6 4 2 2 5 2 3" xfId="31036" xr:uid="{E5D61C2A-5E38-417B-8489-A5D1DF3FC18F}"/>
    <cellStyle name="Comma 6 4 2 2 5 2 4" xfId="30722" xr:uid="{0FF41AB0-D970-4E31-9E8E-8298D6AF25BD}"/>
    <cellStyle name="Comma 6 4 2 2 5 3" xfId="11865" xr:uid="{000755D5-7700-4754-B967-5ED980124053}"/>
    <cellStyle name="Comma 6 4 2 2 5 3 2" xfId="22245" xr:uid="{901EA211-D1BA-4DDB-BF1A-DE2745178C81}"/>
    <cellStyle name="Comma 6 4 2 2 5 4" xfId="27949" xr:uid="{7A21C380-1C3B-405E-8007-F7F0A2667C6A}"/>
    <cellStyle name="Comma 6 4 2 2 5 5" xfId="26355" xr:uid="{BF873D68-89B9-4165-9916-E524D274416D}"/>
    <cellStyle name="Comma 6 4 2 2 5 6" xfId="16579" xr:uid="{DD76C47B-4BEF-4E5F-8149-569D6F982A01}"/>
    <cellStyle name="Comma 6 4 2 2 6" xfId="4888" xr:uid="{EA5D0D92-CCEF-4853-BE03-D86DFD2ECEDF}"/>
    <cellStyle name="Comma 6 4 2 2 6 2" xfId="28018" xr:uid="{8DB2376A-D7D2-4A96-83ED-7EFE0D22FA4E}"/>
    <cellStyle name="Comma 6 4 2 2 6 3" xfId="27154" xr:uid="{88855DC0-CDE1-4E14-A52B-9DE3A3E64F10}"/>
    <cellStyle name="Comma 6 4 2 2 6 4" xfId="14180" xr:uid="{D4053323-D138-435E-B09B-2D06BF1F3177}"/>
    <cellStyle name="Comma 6 4 2 2 7" xfId="6633" xr:uid="{A8C3E90C-E98A-4A69-BCCD-D65AB4659552}"/>
    <cellStyle name="Comma 6 4 2 2 7 2" xfId="17013" xr:uid="{35E27ADC-64E2-48C3-B047-3B99EA26CD8E}"/>
    <cellStyle name="Comma 6 4 2 2 8" xfId="9466" xr:uid="{1DE1E175-6029-46A6-8D6A-130CCE65B77A}"/>
    <cellStyle name="Comma 6 4 2 2 8 2" xfId="19846" xr:uid="{D0522DD5-F40C-4C3E-B363-511EC1C0075F}"/>
    <cellStyle name="Comma 6 4 2 2 9" xfId="24421" xr:uid="{8074B458-5983-4302-BBAA-E98DEE0AEFCE}"/>
    <cellStyle name="Comma 6 4 2 3" xfId="1697" xr:uid="{00000000-0005-0000-0000-000078020000}"/>
    <cellStyle name="Comma 6 4 2 3 2" xfId="3043" xr:uid="{00000000-0005-0000-0000-0000EA010000}"/>
    <cellStyle name="Comma 6 4 2 3 2 2" xfId="8123" xr:uid="{0384A77A-4C50-4A21-9871-8CEEE901F830}"/>
    <cellStyle name="Comma 6 4 2 3 2 2 2" xfId="28804" xr:uid="{AC14E83F-D38E-4E39-AEB7-0CD9C098D261}"/>
    <cellStyle name="Comma 6 4 2 3 2 2 2 2" xfId="31221" xr:uid="{020E94C7-3C33-4C62-9CE1-8B3A7270B784}"/>
    <cellStyle name="Comma 6 4 2 3 2 2 2 3" xfId="30724" xr:uid="{F335279E-1B9E-4D18-8CA1-66BD0EDC3A2A}"/>
    <cellStyle name="Comma 6 4 2 3 2 2 3" xfId="26800" xr:uid="{ABDB6786-F739-47A6-AB97-7ACED774675F}"/>
    <cellStyle name="Comma 6 4 2 3 2 2 4" xfId="18503" xr:uid="{8B0BF2DE-017B-40C1-987A-4EA279A1DDD3}"/>
    <cellStyle name="Comma 6 4 2 3 2 3" xfId="10956" xr:uid="{F5D47024-2265-4130-A6B8-E2481033798A}"/>
    <cellStyle name="Comma 6 4 2 3 2 3 2" xfId="21336" xr:uid="{5CC7CCD4-B9FD-41AF-86B6-CBA8245B1A71}"/>
    <cellStyle name="Comma 6 4 2 3 2 4" xfId="25447" xr:uid="{1DEB5072-6A52-41B8-B09E-A4269DE1A5FD}"/>
    <cellStyle name="Comma 6 4 2 3 2 5" xfId="15670" xr:uid="{AFFB747D-8F23-4C0B-A899-0DC021FEA89B}"/>
    <cellStyle name="Comma 6 4 2 3 3" xfId="2081" xr:uid="{00000000-0005-0000-0000-000078020000}"/>
    <cellStyle name="Comma 6 4 2 3 4" xfId="4404" xr:uid="{1FB2328B-4382-487E-A902-9BD441BC9913}"/>
    <cellStyle name="Comma 6 4 2 3 4 2" xfId="9176" xr:uid="{8F66199E-1B28-43E3-A19F-CFC291178D6D}"/>
    <cellStyle name="Comma 6 4 2 3 4 2 2" xfId="19556" xr:uid="{D5DEDE6B-E6E5-4EAD-AA05-81693599A82E}"/>
    <cellStyle name="Comma 6 4 2 3 4 2 3" xfId="31070" xr:uid="{55898A08-20A6-4893-81F2-362535D71995}"/>
    <cellStyle name="Comma 6 4 2 3 4 2 4" xfId="30723" xr:uid="{991663E5-093A-4C82-AB81-8EF79A9D4B8B}"/>
    <cellStyle name="Comma 6 4 2 3 4 3" xfId="12009" xr:uid="{D49E91B3-9301-482A-B4BF-5C9AEB14AC53}"/>
    <cellStyle name="Comma 6 4 2 3 4 3 2" xfId="22389" xr:uid="{17A37291-6571-4D15-B536-039ED25AA43D}"/>
    <cellStyle name="Comma 6 4 2 3 4 4" xfId="16723" xr:uid="{0E1BB8D7-1061-41AD-9946-F1642322DE7C}"/>
    <cellStyle name="Comma 6 4 2 3 5" xfId="5592" xr:uid="{B77D97DF-34AC-4B61-94AB-5E81CC907204}"/>
    <cellStyle name="Comma 6 4 2 3 5 2" xfId="29690" xr:uid="{63269818-A85D-49A6-B8ED-4F376BDFFA23}"/>
    <cellStyle name="Comma 6 4 2 3 5 2 2" xfId="30966" xr:uid="{7D70C7BF-EF85-401A-AD86-BF5235BE5695}"/>
    <cellStyle name="Comma 6 4 2 3 6" xfId="23432" xr:uid="{44806F47-1906-4B34-89B1-7A5705E499F2}"/>
    <cellStyle name="Comma 6 4 2 3 7" xfId="13550" xr:uid="{85825A31-9239-462E-B016-0AC77AABAAAB}"/>
    <cellStyle name="Comma 6 4 2 4" xfId="1698" xr:uid="{00000000-0005-0000-0000-000079020000}"/>
    <cellStyle name="Comma 6 4 2 4 2" xfId="3041" xr:uid="{00000000-0005-0000-0000-0000EB010000}"/>
    <cellStyle name="Comma 6 4 2 4 2 2" xfId="8121" xr:uid="{ADF22222-811F-4F84-B720-222185DDB4A1}"/>
    <cellStyle name="Comma 6 4 2 4 2 2 2" xfId="28802" xr:uid="{922D86D4-CE5F-49B6-BB93-8FE1C4D72254}"/>
    <cellStyle name="Comma 6 4 2 4 2 2 3" xfId="27697" xr:uid="{6FD99DB8-EBD7-49EB-8A7C-1342FBAC3836}"/>
    <cellStyle name="Comma 6 4 2 4 2 2 4" xfId="18501" xr:uid="{1239A679-9578-452E-BA64-7D79A9553E4B}"/>
    <cellStyle name="Comma 6 4 2 4 2 3" xfId="10954" xr:uid="{9CFE8881-6865-452C-A880-B409BA8FC2FB}"/>
    <cellStyle name="Comma 6 4 2 4 2 3 2" xfId="21334" xr:uid="{3FD0A189-72D1-44EF-8586-68EB0ACC380D}"/>
    <cellStyle name="Comma 6 4 2 4 2 4" xfId="24417" xr:uid="{D6823635-BF87-412A-97CD-62CD1E9247DB}"/>
    <cellStyle name="Comma 6 4 2 4 2 5" xfId="15668" xr:uid="{31150317-04E8-41C9-A993-9077679AFEB5}"/>
    <cellStyle name="Comma 6 4 2 4 3" xfId="3671" xr:uid="{00000000-0005-0000-0000-000079020000}"/>
    <cellStyle name="Comma 6 4 2 4 4" xfId="5593" xr:uid="{5E240531-8C52-4B64-996E-6CF2C56EAD6B}"/>
    <cellStyle name="Comma 6 4 2 4 4 2" xfId="29948" xr:uid="{F9D8C378-6662-4A0B-BF57-80CDD28C6729}"/>
    <cellStyle name="Comma 6 4 2 4 5" xfId="23885" xr:uid="{43568BDD-A2A2-40C8-B1D3-E9FAF4B904FE}"/>
    <cellStyle name="Comma 6 4 2 4 6" xfId="13548" xr:uid="{B4E62D67-D4F8-4AEE-A0C8-D1B0BC76898D}"/>
    <cellStyle name="Comma 6 4 2 5" xfId="1693" xr:uid="{00000000-0005-0000-0000-00007A020000}"/>
    <cellStyle name="Comma 6 4 2 5 2" xfId="2528" xr:uid="{00000000-0005-0000-0000-0000EC010000}"/>
    <cellStyle name="Comma 6 4 2 5 2 2" xfId="7653" xr:uid="{31EE074A-1A25-4279-9498-1557E65A9611}"/>
    <cellStyle name="Comma 6 4 2 5 2 2 2" xfId="18033" xr:uid="{2E5103D4-FE6F-4FD3-8CF2-4F6CBE43E536}"/>
    <cellStyle name="Comma 6 4 2 5 2 3" xfId="10486" xr:uid="{47A8CDED-9374-4C4C-9AD1-F9989393134E}"/>
    <cellStyle name="Comma 6 4 2 5 2 3 2" xfId="20866" xr:uid="{894DF4C3-B7A2-4D59-8DF5-E6A4EC275E7C}"/>
    <cellStyle name="Comma 6 4 2 5 2 4" xfId="27791" xr:uid="{E1105289-3713-4AAF-B940-F952224F0EDC}"/>
    <cellStyle name="Comma 6 4 2 5 2 5" xfId="28456" xr:uid="{D273BE61-BBFD-447D-B264-4CFF693C5FDF}"/>
    <cellStyle name="Comma 6 4 2 5 2 6" xfId="15200" xr:uid="{4A290AF2-28F0-47E5-8AC6-D53A411884E3}"/>
    <cellStyle name="Comma 6 4 2 5 3" xfId="3563" xr:uid="{00000000-0005-0000-0000-00007A020000}"/>
    <cellStyle name="Comma 6 4 2 5 4" xfId="5590" xr:uid="{79D951B6-7C6B-413F-B554-86ACD55AFC22}"/>
    <cellStyle name="Comma 6 4 2 5 4 2" xfId="29875" xr:uid="{1F5868CB-B8F6-4FD2-BE45-16F85B1BB38D}"/>
    <cellStyle name="Comma 6 4 2 5 5" xfId="23935" xr:uid="{61B540B9-A018-4E28-B282-83577ECA9D03}"/>
    <cellStyle name="Comma 6 4 2 5 6" xfId="12916" xr:uid="{C6259B45-015A-4F34-84F8-1B874A052B21}"/>
    <cellStyle name="Comma 6 4 2 6" xfId="2280" xr:uid="{00000000-0005-0000-0000-0000E7010000}"/>
    <cellStyle name="Comma 6 4 2 6 2" xfId="7407" xr:uid="{6714873E-F416-44C5-82FA-E05131962C6E}"/>
    <cellStyle name="Comma 6 4 2 6 2 2" xfId="17787" xr:uid="{DAB56B7B-C136-47C5-A747-7B121669E960}"/>
    <cellStyle name="Comma 6 4 2 6 3" xfId="10240" xr:uid="{4C8AE7B1-A4A9-425A-9167-B6967CFE222E}"/>
    <cellStyle name="Comma 6 4 2 6 3 2" xfId="20620" xr:uid="{19177BF8-5573-4BFF-B173-1662A0989156}"/>
    <cellStyle name="Comma 6 4 2 6 4" xfId="23822" xr:uid="{AC9C99D0-AB2A-4CD9-91CC-19279A8AFCB3}"/>
    <cellStyle name="Comma 6 4 2 6 5" xfId="26847" xr:uid="{1A57839F-464C-450B-87F9-255CD7C009FB}"/>
    <cellStyle name="Comma 6 4 2 6 6" xfId="14954" xr:uid="{1E6FD0BC-2500-4D19-B49D-410520A4EE12}"/>
    <cellStyle name="Comma 6 4 2 7" xfId="3819" xr:uid="{92CFE6F2-A1C9-4A93-BBED-550530B8857A}"/>
    <cellStyle name="Comma 6 4 2 7 2" xfId="8652" xr:uid="{6163D877-2216-4038-9EB4-81712A04994C}"/>
    <cellStyle name="Comma 6 4 2 7 2 2" xfId="19032" xr:uid="{03ADF068-45AD-4DAB-8C61-3E6015003565}"/>
    <cellStyle name="Comma 6 4 2 7 3" xfId="11485" xr:uid="{B63E5292-1B5E-45E0-93E5-4A060B62CDFF}"/>
    <cellStyle name="Comma 6 4 2 7 3 2" xfId="21865" xr:uid="{7283CF71-5EE7-47AA-B790-60924D944E8F}"/>
    <cellStyle name="Comma 6 4 2 7 4" xfId="25890" xr:uid="{F39EEEA6-603F-4E58-945E-BB29862672B2}"/>
    <cellStyle name="Comma 6 4 2 7 5" xfId="26507" xr:uid="{C2E764BB-88F9-4C12-9ADA-9E379CE1C073}"/>
    <cellStyle name="Comma 6 4 2 7 6" xfId="16199" xr:uid="{EF1D7535-5DF8-4A8B-938B-FBCFC8BDE855}"/>
    <cellStyle name="Comma 6 4 2 8" xfId="4887" xr:uid="{B9ED5642-C6EF-4D18-85FB-1F3A8F4EEE28}"/>
    <cellStyle name="Comma 6 4 2 8 2" xfId="14179" xr:uid="{ECD191D8-EC14-4B95-862F-94FDC2BBCD9C}"/>
    <cellStyle name="Comma 6 4 2 9" xfId="6632" xr:uid="{D4B262BE-F461-4DC9-89DC-2023215ABCFD}"/>
    <cellStyle name="Comma 6 4 2 9 2" xfId="17012" xr:uid="{6E0271B9-4A40-4868-BD41-DAD782E2C209}"/>
    <cellStyle name="Comma 6 4 3" xfId="498" xr:uid="{00000000-0005-0000-0000-00007B020000}"/>
    <cellStyle name="Comma 6 4 3 10" xfId="25487" xr:uid="{99E9E6DC-A851-4F87-A404-F8E922B22778}"/>
    <cellStyle name="Comma 6 4 3 11" xfId="12670" xr:uid="{5A4B5E9F-8AD8-4DAE-ADCF-C4E4E84DC022}"/>
    <cellStyle name="Comma 6 4 3 2" xfId="1700" xr:uid="{00000000-0005-0000-0000-00007C020000}"/>
    <cellStyle name="Comma 6 4 3 2 2" xfId="3045" xr:uid="{00000000-0005-0000-0000-0000EF010000}"/>
    <cellStyle name="Comma 6 4 3 2 2 2" xfId="6162" xr:uid="{9DE87451-BF29-4F9C-8D44-3C00B4B7AB11}"/>
    <cellStyle name="Comma 6 4 3 2 2 2 2" xfId="25628" xr:uid="{1BE7515C-653A-4F87-876F-63B764521DA0}"/>
    <cellStyle name="Comma 6 4 3 2 2 2 2 2" xfId="28547" xr:uid="{76250F69-99E5-4C87-AA68-28CAC0ABE243}"/>
    <cellStyle name="Comma 6 4 3 2 2 2 2 3" xfId="31161" xr:uid="{B8B7D374-F9E5-4444-AC13-477FC287386D}"/>
    <cellStyle name="Comma 6 4 3 2 2 2 3" xfId="28605" xr:uid="{05D73697-F366-4499-ADE0-47D3DE37ECFB}"/>
    <cellStyle name="Comma 6 4 3 2 2 2 4" xfId="15672" xr:uid="{DAA6396E-5617-4A70-B574-AFCD162D4D30}"/>
    <cellStyle name="Comma 6 4 3 2 2 3" xfId="8125" xr:uid="{6C0A3AD5-AA43-4E8F-AD77-C0019D0A2C78}"/>
    <cellStyle name="Comma 6 4 3 2 2 3 2" xfId="28806" xr:uid="{F2C78387-E4A4-41C7-80DE-D7182430BC82}"/>
    <cellStyle name="Comma 6 4 3 2 2 3 3" xfId="28127" xr:uid="{3D9342C1-D49F-4D43-8AC1-93AE5F56062A}"/>
    <cellStyle name="Comma 6 4 3 2 2 3 4" xfId="18505" xr:uid="{2304C356-D9FF-4CB7-8D43-1928F2D47AFB}"/>
    <cellStyle name="Comma 6 4 3 2 2 4" xfId="10958" xr:uid="{A9FEC1FC-DA92-4D7E-A9BA-4BE6D80C1BBE}"/>
    <cellStyle name="Comma 6 4 3 2 2 4 2" xfId="21338" xr:uid="{A0857218-8F4D-4CD3-B2A0-11E1240D74D4}"/>
    <cellStyle name="Comma 6 4 3 2 2 5" xfId="22939" xr:uid="{F447AA7E-14C2-47CB-8EA8-D414A90848E1}"/>
    <cellStyle name="Comma 6 4 3 2 2 6" xfId="13552" xr:uid="{131ED52A-BDC5-46E9-BF9F-9B7B0B88F1B6}"/>
    <cellStyle name="Comma 6 4 3 2 3" xfId="2674" xr:uid="{00000000-0005-0000-0000-0000EE010000}"/>
    <cellStyle name="Comma 6 4 3 2 3 2" xfId="7798" xr:uid="{0F2D7387-1C2C-43EA-8D1B-DCD8B47814A5}"/>
    <cellStyle name="Comma 6 4 3 2 3 2 2" xfId="27270" xr:uid="{5B830BD1-7260-4C2A-8DB9-D8138AC7079C}"/>
    <cellStyle name="Comma 6 4 3 2 3 2 3" xfId="28438" xr:uid="{21009788-6F5C-4071-A2DC-85665187ADF3}"/>
    <cellStyle name="Comma 6 4 3 2 3 2 4" xfId="18178" xr:uid="{9C68AE63-D3BE-44EC-93A1-10DEC2A2FD8F}"/>
    <cellStyle name="Comma 6 4 3 2 3 3" xfId="10631" xr:uid="{E243FB16-8574-4B4D-9DCC-E703BA2E9B76}"/>
    <cellStyle name="Comma 6 4 3 2 3 3 2" xfId="21011" xr:uid="{73F9FFA3-B985-40BB-8F39-555D2D339E60}"/>
    <cellStyle name="Comma 6 4 3 2 3 4" xfId="25068" xr:uid="{8943FECE-0FE9-448B-8798-C7D4A06BFB9E}"/>
    <cellStyle name="Comma 6 4 3 2 3 5" xfId="15345" xr:uid="{FC4FEB2E-5924-4D22-91C3-E4EA0BEE808D}"/>
    <cellStyle name="Comma 6 4 3 2 4" xfId="3649" xr:uid="{00000000-0005-0000-0000-00007C020000}"/>
    <cellStyle name="Comma 6 4 3 2 5" xfId="4261" xr:uid="{A51EAC08-E66F-40E2-903C-7CC3150401A1}"/>
    <cellStyle name="Comma 6 4 3 2 5 2" xfId="9033" xr:uid="{9CB19842-F4C9-4617-BA4E-C32A4ABED1D6}"/>
    <cellStyle name="Comma 6 4 3 2 5 2 2" xfId="19413" xr:uid="{29A40CE9-1ADF-482C-8C07-4FAB69ECEEE9}"/>
    <cellStyle name="Comma 6 4 3 2 5 2 3" xfId="31037" xr:uid="{48EC53A8-509B-4602-9481-7646B7A295C3}"/>
    <cellStyle name="Comma 6 4 3 2 5 2 4" xfId="30726" xr:uid="{DAB1BA0C-8406-4AF8-9D58-1646B3244154}"/>
    <cellStyle name="Comma 6 4 3 2 5 3" xfId="11866" xr:uid="{23A53419-8BF1-421F-A70F-CACA88D74416}"/>
    <cellStyle name="Comma 6 4 3 2 5 3 2" xfId="22246" xr:uid="{EB58247D-0D07-4A99-B592-41F2A71DB9DA}"/>
    <cellStyle name="Comma 6 4 3 2 5 4" xfId="27782" xr:uid="{70C3B298-AD80-4B7B-B6B7-937B7807FEF0}"/>
    <cellStyle name="Comma 6 4 3 2 5 5" xfId="26942" xr:uid="{0A76B398-CCEB-44F2-A850-E5E77487E760}"/>
    <cellStyle name="Comma 6 4 3 2 5 6" xfId="16580" xr:uid="{2E50FF22-5A32-4A14-A5DC-A900B3753DB5}"/>
    <cellStyle name="Comma 6 4 3 2 6" xfId="5595" xr:uid="{5E2AC345-4328-4BFD-8DA3-5CCEC7838AEA}"/>
    <cellStyle name="Comma 6 4 3 2 6 2" xfId="29721" xr:uid="{B517F1E3-A38C-4F58-A6FD-5D445DFE68EB}"/>
    <cellStyle name="Comma 6 4 3 2 6 2 2" xfId="30967" xr:uid="{68C3F424-D42B-415D-A275-3C3491C69598}"/>
    <cellStyle name="Comma 6 4 3 2 7" xfId="22718" xr:uid="{2381AC7C-D874-457D-824B-CD7134186CFD}"/>
    <cellStyle name="Comma 6 4 3 2 8" xfId="13082" xr:uid="{CB1CC082-7815-46C3-8934-9E81858CC6E3}"/>
    <cellStyle name="Comma 6 4 3 3" xfId="1701" xr:uid="{00000000-0005-0000-0000-00007D020000}"/>
    <cellStyle name="Comma 6 4 3 3 2" xfId="3046" xr:uid="{00000000-0005-0000-0000-0000F0010000}"/>
    <cellStyle name="Comma 6 4 3 3 2 2" xfId="8126" xr:uid="{E1647CBD-57C7-49A5-8AD5-21902424509E}"/>
    <cellStyle name="Comma 6 4 3 3 2 2 2" xfId="28807" xr:uid="{7AF06F04-B747-4D85-A892-73CBA0EA89FC}"/>
    <cellStyle name="Comma 6 4 3 3 2 2 3" xfId="26419" xr:uid="{A4AFFC74-E361-4181-9D14-1A2AA74BA744}"/>
    <cellStyle name="Comma 6 4 3 3 2 2 4" xfId="18506" xr:uid="{80803E80-3592-497A-882C-532D47CAD3F1}"/>
    <cellStyle name="Comma 6 4 3 3 2 3" xfId="10959" xr:uid="{A5CEA30C-A014-4CC8-B570-6C5E75F60085}"/>
    <cellStyle name="Comma 6 4 3 3 2 3 2" xfId="21339" xr:uid="{B2944D65-2E02-4493-94E6-C3ED577A2F5A}"/>
    <cellStyle name="Comma 6 4 3 3 2 4" xfId="24514" xr:uid="{99256903-5A76-4761-8307-3040FBD844E4}"/>
    <cellStyle name="Comma 6 4 3 3 2 5" xfId="15673" xr:uid="{797CFECA-5B3A-425C-8321-CA57176B4E48}"/>
    <cellStyle name="Comma 6 4 3 3 3" xfId="3612" xr:uid="{00000000-0005-0000-0000-00007D020000}"/>
    <cellStyle name="Comma 6 4 3 3 4" xfId="4405" xr:uid="{8749C45E-E41A-4304-B61B-78506631CC99}"/>
    <cellStyle name="Comma 6 4 3 3 4 2" xfId="9177" xr:uid="{58432CAA-B985-4BC9-9656-18D51ACB7F3C}"/>
    <cellStyle name="Comma 6 4 3 3 4 2 2" xfId="19557" xr:uid="{130B0B8D-4585-458D-947D-4883D9BB8669}"/>
    <cellStyle name="Comma 6 4 3 3 4 2 3" xfId="31071" xr:uid="{64CBF01D-BCC0-4E97-A30C-4817D685CDEB}"/>
    <cellStyle name="Comma 6 4 3 3 4 2 4" xfId="30727" xr:uid="{32E7DD8E-8E93-48A0-B22A-199885881375}"/>
    <cellStyle name="Comma 6 4 3 3 4 3" xfId="12010" xr:uid="{88B8CD83-86AD-4EDE-8804-B00361DDCBA9}"/>
    <cellStyle name="Comma 6 4 3 3 4 3 2" xfId="22390" xr:uid="{77E9CE91-FD59-4A3C-8041-0796A6B5D588}"/>
    <cellStyle name="Comma 6 4 3 3 4 4" xfId="16724" xr:uid="{4DCC8238-8690-47E5-AC62-1D9F5187A8AC}"/>
    <cellStyle name="Comma 6 4 3 3 5" xfId="5596" xr:uid="{8CF9A14E-6DB8-411F-9023-F13F2916B13F}"/>
    <cellStyle name="Comma 6 4 3 3 5 2" xfId="29706" xr:uid="{8C47B7A5-55DE-41F0-ABE8-96B67015A584}"/>
    <cellStyle name="Comma 6 4 3 3 6" xfId="24026" xr:uid="{8B39DA3A-C438-4ADA-826C-4F6E92D2FD76}"/>
    <cellStyle name="Comma 6 4 3 3 7" xfId="13553" xr:uid="{B90FC4BC-D5EE-4BFC-97CD-4E73557F868E}"/>
    <cellStyle name="Comma 6 4 3 4" xfId="1699" xr:uid="{00000000-0005-0000-0000-00007E020000}"/>
    <cellStyle name="Comma 6 4 3 4 2" xfId="3044" xr:uid="{00000000-0005-0000-0000-0000F1010000}"/>
    <cellStyle name="Comma 6 4 3 4 2 2" xfId="8124" xr:uid="{3608156F-8EFF-4B12-B2DE-E52AD2437F57}"/>
    <cellStyle name="Comma 6 4 3 4 2 2 2" xfId="28805" xr:uid="{B98C073F-6138-401A-83A0-F369A3A9D6F6}"/>
    <cellStyle name="Comma 6 4 3 4 2 2 3" xfId="27090" xr:uid="{46AB2BEE-3AC9-4711-AFA2-9CF90C02A985}"/>
    <cellStyle name="Comma 6 4 3 4 2 2 4" xfId="18504" xr:uid="{B643F2D4-3235-49CA-A168-457CC3C641F7}"/>
    <cellStyle name="Comma 6 4 3 4 2 3" xfId="10957" xr:uid="{04D550A1-46DD-4932-B220-53E593ED5562}"/>
    <cellStyle name="Comma 6 4 3 4 2 3 2" xfId="21337" xr:uid="{482C49D2-0469-4D42-A938-CE70AC63C0E6}"/>
    <cellStyle name="Comma 6 4 3 4 2 4" xfId="25643" xr:uid="{400FD5B9-741B-4FA3-9B44-D231F7466CE7}"/>
    <cellStyle name="Comma 6 4 3 4 2 5" xfId="15671" xr:uid="{5FD351B0-0009-4143-9224-F9D3B6D1470E}"/>
    <cellStyle name="Comma 6 4 3 4 3" xfId="3697" xr:uid="{00000000-0005-0000-0000-00007E020000}"/>
    <cellStyle name="Comma 6 4 3 4 4" xfId="5594" xr:uid="{597046DC-F5C8-4A2C-9A13-CCBC4373604F}"/>
    <cellStyle name="Comma 6 4 3 4 4 2" xfId="29950" xr:uid="{A9380C1B-14A6-4B53-9630-BB03006EEA3E}"/>
    <cellStyle name="Comma 6 4 3 4 5" xfId="25478" xr:uid="{AEBF6BF0-781B-4251-9C43-BF55D4DC9F58}"/>
    <cellStyle name="Comma 6 4 3 4 6" xfId="13551" xr:uid="{B4199247-567C-4F13-B7D1-F52C7E04729D}"/>
    <cellStyle name="Comma 6 4 3 5" xfId="2631" xr:uid="{00000000-0005-0000-0000-0000F2010000}"/>
    <cellStyle name="Comma 6 4 3 5 2" xfId="5893" xr:uid="{4BECADB6-235B-4CAC-85C0-80D0E27B1737}"/>
    <cellStyle name="Comma 6 4 3 5 2 2" xfId="28302" xr:uid="{1BA41FC7-0065-4D43-BA00-BDEAFE6AEDAD}"/>
    <cellStyle name="Comma 6 4 3 5 2 3" xfId="27214" xr:uid="{BF202D75-2FFE-4931-8BE5-4A175775E00B}"/>
    <cellStyle name="Comma 6 4 3 5 2 4" xfId="15303" xr:uid="{5B87071E-8FCF-43D2-9B8C-50EBB975AD9F}"/>
    <cellStyle name="Comma 6 4 3 5 3" xfId="7756" xr:uid="{5E3F39A1-AB86-48FC-AE39-E9EBF19A365A}"/>
    <cellStyle name="Comma 6 4 3 5 3 2" xfId="18136" xr:uid="{D3B9B875-3C36-4038-A144-7BABB514FC75}"/>
    <cellStyle name="Comma 6 4 3 5 4" xfId="10589" xr:uid="{8F0C5218-4D09-4D7A-964D-0AFC40F6DFEB}"/>
    <cellStyle name="Comma 6 4 3 5 4 2" xfId="20969" xr:uid="{F969427A-56A9-4C66-B48B-5630DFB9516B}"/>
    <cellStyle name="Comma 6 4 3 5 5" xfId="24237" xr:uid="{C18D7421-1938-4614-97DD-D9CCFEB24FF0}"/>
    <cellStyle name="Comma 6 4 3 5 6" xfId="13019" xr:uid="{73E37B0D-96A4-40DD-A58F-BE503DB3A20D}"/>
    <cellStyle name="Comma 6 4 3 6" xfId="4126" xr:uid="{BC11153B-3590-4A4C-9A42-D5B85167EDEC}"/>
    <cellStyle name="Comma 6 4 3 6 2" xfId="8898" xr:uid="{5987FDF2-CD76-4027-8C40-BADE8EB16492}"/>
    <cellStyle name="Comma 6 4 3 6 2 2" xfId="19278" xr:uid="{C77FE529-4055-4AE2-90DD-A660AD868028}"/>
    <cellStyle name="Comma 6 4 3 6 2 3" xfId="31010" xr:uid="{2C79F960-4C49-4A44-BE3E-BA4DD4C9FBB0}"/>
    <cellStyle name="Comma 6 4 3 6 2 4" xfId="30725" xr:uid="{888020BF-966F-45AF-AD87-05FC86173A31}"/>
    <cellStyle name="Comma 6 4 3 6 3" xfId="11731" xr:uid="{C5637927-D691-4E7B-8071-78C18F69F33B}"/>
    <cellStyle name="Comma 6 4 3 6 3 2" xfId="22111" xr:uid="{FF695EF4-4938-421C-B4C1-B1580C099238}"/>
    <cellStyle name="Comma 6 4 3 6 4" xfId="24161" xr:uid="{DA708D23-DBBB-4E21-A69E-2C68CD775D36}"/>
    <cellStyle name="Comma 6 4 3 6 5" xfId="26773" xr:uid="{427B066A-B632-4273-AD4F-6D47319C3D9E}"/>
    <cellStyle name="Comma 6 4 3 6 6" xfId="16445" xr:uid="{74E4A04D-2625-40F8-913E-E71CD7A37B6E}"/>
    <cellStyle name="Comma 6 4 3 7" xfId="4889" xr:uid="{FF7A6E91-B71F-402F-84BE-27BA9A689206}"/>
    <cellStyle name="Comma 6 4 3 7 2" xfId="26955" xr:uid="{E692CFC7-761B-4524-AEF1-ADA4AE5C43EA}"/>
    <cellStyle name="Comma 6 4 3 7 3" xfId="28461" xr:uid="{EF2DDD8E-D26A-4D5D-AC55-67A7CC964379}"/>
    <cellStyle name="Comma 6 4 3 7 4" xfId="14181" xr:uid="{958C6408-2027-4BE6-B6CD-ED8CF2230424}"/>
    <cellStyle name="Comma 6 4 3 8" xfId="6634" xr:uid="{A8484347-CEB4-4D7F-B443-41F73EC9CF28}"/>
    <cellStyle name="Comma 6 4 3 8 2" xfId="17014" xr:uid="{86F2C499-DC60-442F-906F-348F5F5B6154}"/>
    <cellStyle name="Comma 6 4 3 9" xfId="9467" xr:uid="{44DF4BDE-7007-468D-A11A-5B176D57FA95}"/>
    <cellStyle name="Comma 6 4 3 9 2" xfId="19847" xr:uid="{6A3C9AA7-7596-4832-B681-46D68794F167}"/>
    <cellStyle name="Comma 6 4 4" xfId="499" xr:uid="{00000000-0005-0000-0000-00007F020000}"/>
    <cellStyle name="Comma 6 4 4 10" xfId="13080" xr:uid="{161F3D9E-FDAC-4369-8A82-BAFFD660836D}"/>
    <cellStyle name="Comma 6 4 4 2" xfId="1703" xr:uid="{00000000-0005-0000-0000-000080020000}"/>
    <cellStyle name="Comma 6 4 4 2 2" xfId="3047" xr:uid="{00000000-0005-0000-0000-0000F4010000}"/>
    <cellStyle name="Comma 6 4 4 2 2 2" xfId="8127" xr:uid="{144748D8-8110-4C5D-823F-47C3385D852A}"/>
    <cellStyle name="Comma 6 4 4 2 2 2 2" xfId="28808" xr:uid="{6AD90FE4-3CB8-4933-9B68-7C7298C52AE0}"/>
    <cellStyle name="Comma 6 4 4 2 2 2 3" xfId="28243" xr:uid="{238413C4-BC84-456A-A16A-38101E29D3E0}"/>
    <cellStyle name="Comma 6 4 4 2 2 2 4" xfId="18507" xr:uid="{F8F41174-04D6-4C1F-957B-0A4EDEB6160D}"/>
    <cellStyle name="Comma 6 4 4 2 2 3" xfId="10960" xr:uid="{05BA871B-49D9-49A9-BB48-6443A0BBCD06}"/>
    <cellStyle name="Comma 6 4 4 2 2 3 2" xfId="21340" xr:uid="{34C15700-FD27-4498-8393-09C164FCD201}"/>
    <cellStyle name="Comma 6 4 4 2 2 4" xfId="24761" xr:uid="{F1599F21-A582-4D54-8F2B-1F18A24D247D}"/>
    <cellStyle name="Comma 6 4 4 2 2 5" xfId="15674" xr:uid="{A3EA306A-3791-432B-8C4B-EF911D8EF55F}"/>
    <cellStyle name="Comma 6 4 4 2 3" xfId="3640" xr:uid="{00000000-0005-0000-0000-000080020000}"/>
    <cellStyle name="Comma 6 4 4 2 4" xfId="5597" xr:uid="{D7CC43DA-455D-407E-BF01-57D0564EA6B6}"/>
    <cellStyle name="Comma 6 4 4 2 4 2" xfId="29951" xr:uid="{FDB36AFE-899A-4744-9DD8-6E4865CE36DC}"/>
    <cellStyle name="Comma 6 4 4 2 5" xfId="23459" xr:uid="{25976DFB-D12E-44FC-BA6D-3E379ED1878F}"/>
    <cellStyle name="Comma 6 4 4 2 6" xfId="13554" xr:uid="{3DB1E49B-06F4-4933-AD00-0C600988B65B}"/>
    <cellStyle name="Comma 6 4 4 3" xfId="1704" xr:uid="{00000000-0005-0000-0000-000081020000}"/>
    <cellStyle name="Comma 6 4 4 3 2" xfId="4624" xr:uid="{9494D2FE-9603-4520-BB34-B0A7762C3101}"/>
    <cellStyle name="Comma 6 4 4 3 2 2" xfId="9396" xr:uid="{82C1F46B-3AB1-4180-B72C-C27061F6C38D}"/>
    <cellStyle name="Comma 6 4 4 3 2 2 2" xfId="19776" xr:uid="{D912D5B9-435E-47F8-B665-98B3269A7A93}"/>
    <cellStyle name="Comma 6 4 4 3 2 3" xfId="12229" xr:uid="{19AF2720-C897-4870-88B1-1084B759AD28}"/>
    <cellStyle name="Comma 6 4 4 3 2 3 2" xfId="22609" xr:uid="{BA23040E-9D36-43EE-A03D-912871B8A62D}"/>
    <cellStyle name="Comma 6 4 4 3 2 4" xfId="26199" xr:uid="{472BDDCC-6E87-4271-800D-0A670E255469}"/>
    <cellStyle name="Comma 6 4 4 3 2 5" xfId="27936" xr:uid="{C21A1C05-1A22-43CB-B467-F45DFFC42A54}"/>
    <cellStyle name="Comma 6 4 4 3 2 6" xfId="16943" xr:uid="{0B261E0F-2906-43CC-8B78-EF21FAC3E3A4}"/>
    <cellStyle name="Comma 6 4 4 3 3" xfId="25011" xr:uid="{D13AD506-B971-43E8-9263-B2003BB20B7B}"/>
    <cellStyle name="Comma 6 4 4 3 3 2" xfId="29902" xr:uid="{DE18F8CC-9AE1-4F5E-9463-70483CF3EC52}"/>
    <cellStyle name="Comma 6 4 4 3 4" xfId="30016" xr:uid="{54B5A641-CBAA-4C36-9169-160B5E571C1F}"/>
    <cellStyle name="Comma 6 4 4 4" xfId="1702" xr:uid="{00000000-0005-0000-0000-000082020000}"/>
    <cellStyle name="Comma 6 4 4 5" xfId="4259" xr:uid="{F88A1956-BAD7-4D08-9EEC-B2583E75D0DD}"/>
    <cellStyle name="Comma 6 4 4 5 2" xfId="9031" xr:uid="{921BDAC3-0294-4D86-8C5F-754A50525046}"/>
    <cellStyle name="Comma 6 4 4 5 2 2" xfId="19411" xr:uid="{7F2C0D14-E739-477C-A33B-5DDBE2A55F78}"/>
    <cellStyle name="Comma 6 4 4 5 2 3" xfId="31035" xr:uid="{7E47475A-DD01-4834-94C2-1630B8804BB1}"/>
    <cellStyle name="Comma 6 4 4 5 2 4" xfId="30728" xr:uid="{162F962F-579D-4E61-99F1-D903E08A5944}"/>
    <cellStyle name="Comma 6 4 4 5 3" xfId="11864" xr:uid="{CB563B1E-333D-437D-80F1-F1E92395B99F}"/>
    <cellStyle name="Comma 6 4 4 5 3 2" xfId="22244" xr:uid="{DAB37DDA-1810-4257-AF18-71A6F4AEF98C}"/>
    <cellStyle name="Comma 6 4 4 5 4" xfId="25902" xr:uid="{6E4D4D61-4FA4-40F8-B260-4F74A35085BF}"/>
    <cellStyle name="Comma 6 4 4 5 5" xfId="26028" xr:uid="{0AE5C490-7D0B-48C0-B974-61B1DA7B0177}"/>
    <cellStyle name="Comma 6 4 4 5 6" xfId="16578" xr:uid="{C055D660-BCFC-4A7A-8BC6-76732CE75695}"/>
    <cellStyle name="Comma 6 4 4 6" xfId="4890" xr:uid="{C522401C-4DD6-4E1D-99C9-6E3D20EE2307}"/>
    <cellStyle name="Comma 6 4 4 6 2" xfId="14182" xr:uid="{5A0FF2A1-DA42-4A5E-AA72-2558B44A6109}"/>
    <cellStyle name="Comma 6 4 4 7" xfId="6635" xr:uid="{73F23711-DC0F-4F58-BF0D-2FB69ED65B37}"/>
    <cellStyle name="Comma 6 4 4 7 2" xfId="17015" xr:uid="{4087778A-5F0C-451B-A20D-77C3676FFA5F}"/>
    <cellStyle name="Comma 6 4 4 8" xfId="9468" xr:uid="{3B9B1F41-8EAC-4A06-9F83-A42D7AB79BB2}"/>
    <cellStyle name="Comma 6 4 4 8 2" xfId="19848" xr:uid="{689CAA96-C143-47E1-B5AD-C8E73BCD6AA1}"/>
    <cellStyle name="Comma 6 4 4 9" xfId="23863" xr:uid="{7228455F-2DD3-482A-BC3F-C95BE560FE7B}"/>
    <cellStyle name="Comma 6 4 5" xfId="1705" xr:uid="{00000000-0005-0000-0000-000083020000}"/>
    <cellStyle name="Comma 6 4 5 2" xfId="3048" xr:uid="{00000000-0005-0000-0000-0000F5010000}"/>
    <cellStyle name="Comma 6 4 5 2 2" xfId="8128" xr:uid="{54D4C34B-2D2B-447A-B5B4-5775E8620FFC}"/>
    <cellStyle name="Comma 6 4 5 2 2 2" xfId="28809" xr:uid="{B647D0DC-ECE0-42C5-BCA0-0BB0781E8855}"/>
    <cellStyle name="Comma 6 4 5 2 2 2 2" xfId="31222" xr:uid="{691BCCD8-3FCB-46F4-AA19-66BD8B2792E8}"/>
    <cellStyle name="Comma 6 4 5 2 2 2 3" xfId="30730" xr:uid="{787E4866-BDC8-4893-9282-491F88D13FE5}"/>
    <cellStyle name="Comma 6 4 5 2 2 3" xfId="28587" xr:uid="{46477F41-C513-4AA2-B52E-DD5043778A61}"/>
    <cellStyle name="Comma 6 4 5 2 2 4" xfId="18508" xr:uid="{AE896CAB-4E2D-4BC4-A2FB-544C8CDB6C94}"/>
    <cellStyle name="Comma 6 4 5 2 3" xfId="10961" xr:uid="{50637E51-5562-46AD-B882-65EC355770F2}"/>
    <cellStyle name="Comma 6 4 5 2 3 2" xfId="21341" xr:uid="{850D5D37-6DE8-4841-9460-F73B80017985}"/>
    <cellStyle name="Comma 6 4 5 2 4" xfId="23526" xr:uid="{5BC62036-1F54-49D8-99C8-F8F4DB207CE7}"/>
    <cellStyle name="Comma 6 4 5 2 5" xfId="15675" xr:uid="{21144154-8EC4-4BBF-9F05-1059A220AD7A}"/>
    <cellStyle name="Comma 6 4 5 3" xfId="3590" xr:uid="{00000000-0005-0000-0000-000083020000}"/>
    <cellStyle name="Comma 6 4 5 4" xfId="4406" xr:uid="{7541ECBE-E625-46C2-913D-030F44B4E812}"/>
    <cellStyle name="Comma 6 4 5 4 2" xfId="9178" xr:uid="{10C0E120-5A4F-40E2-A73A-0F419D8AFE7D}"/>
    <cellStyle name="Comma 6 4 5 4 2 2" xfId="19558" xr:uid="{42C0B2DC-4602-4CB8-B7DD-A48E64A1A11E}"/>
    <cellStyle name="Comma 6 4 5 4 2 3" xfId="31072" xr:uid="{22979A5B-49A1-42E6-BA89-CCDBEAE37202}"/>
    <cellStyle name="Comma 6 4 5 4 2 4" xfId="30729" xr:uid="{E5F89DE4-F2D2-4C08-B671-36C13540F10E}"/>
    <cellStyle name="Comma 6 4 5 4 3" xfId="12011" xr:uid="{BC30DDE6-6812-430F-A96A-70862DC750C2}"/>
    <cellStyle name="Comma 6 4 5 4 3 2" xfId="22391" xr:uid="{94CCDCB7-721D-4547-9880-5CA7F7110942}"/>
    <cellStyle name="Comma 6 4 5 4 4" xfId="16725" xr:uid="{1A4CDAA2-885C-4A5C-95B3-C6CE07D1A4F9}"/>
    <cellStyle name="Comma 6 4 5 5" xfId="5598" xr:uid="{8F23EDCF-D0A9-4732-B643-145982D71AB9}"/>
    <cellStyle name="Comma 6 4 5 5 2" xfId="29685" xr:uid="{EF3BD0A6-DB09-431F-92E2-3C8D869A5B95}"/>
    <cellStyle name="Comma 6 4 5 5 2 2" xfId="30968" xr:uid="{308557D5-49FB-45ED-B51A-8AA44B8D7B71}"/>
    <cellStyle name="Comma 6 4 5 6" xfId="24375" xr:uid="{91D1EDE4-7110-405F-8750-08A556862BDF}"/>
    <cellStyle name="Comma 6 4 5 7" xfId="13555" xr:uid="{A7F02A6C-6510-4740-9354-BBF236F91E84}"/>
    <cellStyle name="Comma 6 4 6" xfId="1706" xr:uid="{00000000-0005-0000-0000-000084020000}"/>
    <cellStyle name="Comma 6 4 6 2" xfId="2873" xr:uid="{00000000-0005-0000-0000-0000F6010000}"/>
    <cellStyle name="Comma 6 4 6 2 2" xfId="7990" xr:uid="{DFBB432E-3A5A-496E-818E-C55060EC3CBB}"/>
    <cellStyle name="Comma 6 4 6 2 2 2" xfId="26252" xr:uid="{A6D4DEA5-5A3D-446F-9100-76438298D113}"/>
    <cellStyle name="Comma 6 4 6 2 2 2 2" xfId="31171" xr:uid="{9743733B-E35B-44C2-895E-4E9F3FD9AD20}"/>
    <cellStyle name="Comma 6 4 6 2 2 2 3" xfId="30731" xr:uid="{36F4C335-21C6-4B80-A783-6DEE9EA2C7B3}"/>
    <cellStyle name="Comma 6 4 6 2 2 3" xfId="26689" xr:uid="{F4F25F70-E51E-45AB-A23C-17588D0AB7CF}"/>
    <cellStyle name="Comma 6 4 6 2 2 4" xfId="18370" xr:uid="{751CBBBD-02F1-4EC8-A428-B1D92AA0FD74}"/>
    <cellStyle name="Comma 6 4 6 2 3" xfId="10823" xr:uid="{4B0563F5-F4ED-4FF4-B040-CF8FC99765CE}"/>
    <cellStyle name="Comma 6 4 6 2 3 2" xfId="21203" xr:uid="{6A137480-FFB3-476C-8BA5-C9E9950A55B4}"/>
    <cellStyle name="Comma 6 4 6 2 4" xfId="22969" xr:uid="{92746F34-F1DA-4DC9-AA9E-79EFD699D503}"/>
    <cellStyle name="Comma 6 4 6 2 5" xfId="15537" xr:uid="{F1E2F4F3-F31F-4441-8AD3-41AFDF0573C0}"/>
    <cellStyle name="Comma 6 4 6 3" xfId="3685" xr:uid="{00000000-0005-0000-0000-000084020000}"/>
    <cellStyle name="Comma 6 4 6 4" xfId="5599" xr:uid="{A8028302-ED8A-40B8-8A70-7BEFE282F4FC}"/>
    <cellStyle name="Comma 6 4 6 4 2" xfId="29923" xr:uid="{CDA048C9-974C-400A-AA42-F64BD97DF22B}"/>
    <cellStyle name="Comma 6 4 6 5" xfId="23417" xr:uid="{C2BB730C-BD1C-467F-A026-B3DC5A68504F}"/>
    <cellStyle name="Comma 6 4 6 6" xfId="13368" xr:uid="{1AC7631A-FD2B-4EB4-9784-B8AF1011B9CD}"/>
    <cellStyle name="Comma 6 4 7" xfId="1692" xr:uid="{00000000-0005-0000-0000-000085020000}"/>
    <cellStyle name="Comma 6 4 7 2" xfId="2468" xr:uid="{00000000-0005-0000-0000-0000F7010000}"/>
    <cellStyle name="Comma 6 4 7 2 2" xfId="7593" xr:uid="{A65CD5EB-1051-4973-BA95-26C5C049E7B7}"/>
    <cellStyle name="Comma 6 4 7 2 2 2" xfId="17973" xr:uid="{F1AB390C-53D0-4162-83C7-8EA513F983E3}"/>
    <cellStyle name="Comma 6 4 7 2 3" xfId="10426" xr:uid="{11D00CB4-211A-455B-B691-7CC4AD02121C}"/>
    <cellStyle name="Comma 6 4 7 2 3 2" xfId="20806" xr:uid="{7E0350DF-70CE-4B56-A34F-A26805D35A02}"/>
    <cellStyle name="Comma 6 4 7 2 4" xfId="27401" xr:uid="{46B2D801-E2B4-415C-A933-BDBDE9533E7C}"/>
    <cellStyle name="Comma 6 4 7 2 5" xfId="26155" xr:uid="{7CFDDA6D-9A08-4A78-B530-EB2BD8ECFC7B}"/>
    <cellStyle name="Comma 6 4 7 2 6" xfId="15140" xr:uid="{74FD98A7-4C92-4590-AADB-1C3B55717B94}"/>
    <cellStyle name="Comma 6 4 7 3" xfId="3635" xr:uid="{00000000-0005-0000-0000-000085020000}"/>
    <cellStyle name="Comma 6 4 7 4" xfId="5589" xr:uid="{5F3C36C8-D1B5-4C42-9705-CB72C5A4950A}"/>
    <cellStyle name="Comma 6 4 7 4 2" xfId="29863" xr:uid="{C263C62B-DABD-420C-A97D-0F3CE47933DF}"/>
    <cellStyle name="Comma 6 4 7 5" xfId="22831" xr:uid="{80ED073A-316E-4622-8079-102557309958}"/>
    <cellStyle name="Comma 6 4 7 6" xfId="12856" xr:uid="{F1798703-5663-4830-80B6-46478CA449D9}"/>
    <cellStyle name="Comma 6 4 8" xfId="2222" xr:uid="{00000000-0005-0000-0000-0000E6010000}"/>
    <cellStyle name="Comma 6 4 8 2" xfId="7349" xr:uid="{C41CE54C-FD8B-4A42-9930-9155DD2D3E09}"/>
    <cellStyle name="Comma 6 4 8 2 2" xfId="17729" xr:uid="{65DA0D79-1C0A-41F2-9143-825CBCBDD161}"/>
    <cellStyle name="Comma 6 4 8 2 2 2" xfId="31123" xr:uid="{24EFB6D6-DF65-42CC-96F4-F84914B8D4E7}"/>
    <cellStyle name="Comma 6 4 8 2 2 3" xfId="30732" xr:uid="{29EF420D-7071-41EC-A1CD-1C25DE9D0314}"/>
    <cellStyle name="Comma 6 4 8 3" xfId="10182" xr:uid="{908AC10B-86A3-411D-A405-A408A77ECBD5}"/>
    <cellStyle name="Comma 6 4 8 3 2" xfId="20562" xr:uid="{DC3F41D7-DCD9-4D73-9B1B-D3871BC7F286}"/>
    <cellStyle name="Comma 6 4 8 4" xfId="25407" xr:uid="{4359DC52-0CBD-4BDF-8FB2-AFDE5782EC45}"/>
    <cellStyle name="Comma 6 4 8 5" xfId="27614" xr:uid="{7F10D4B5-D9AF-4A09-8572-6652D106B2F7}"/>
    <cellStyle name="Comma 6 4 8 6" xfId="14896" xr:uid="{EB5A04D0-C700-4751-AC83-4883233AC4E1}"/>
    <cellStyle name="Comma 6 4 9" xfId="3867" xr:uid="{44D94F21-4B52-4460-9384-B6B9C6F74F70}"/>
    <cellStyle name="Comma 6 4 9 2" xfId="8699" xr:uid="{8384AADA-23E2-4A6B-A8D3-8EFF809C4492}"/>
    <cellStyle name="Comma 6 4 9 2 2" xfId="19079" xr:uid="{0325ACFA-2711-4CCD-A95E-46F0118EE30F}"/>
    <cellStyle name="Comma 6 4 9 3" xfId="11532" xr:uid="{8ABDBCA1-3D1C-410C-B9B7-FDC8023C9FBC}"/>
    <cellStyle name="Comma 6 4 9 3 2" xfId="21912" xr:uid="{BE857919-D2AA-423B-A68D-C9D2B6CDC4A4}"/>
    <cellStyle name="Comma 6 4 9 4" xfId="27712" xr:uid="{BCF7AB0B-7FF1-4ED6-A2B9-6C5D4BE30012}"/>
    <cellStyle name="Comma 6 4 9 5" xfId="27599" xr:uid="{3E954F38-21E4-424A-870B-3DF4002BE41B}"/>
    <cellStyle name="Comma 6 4 9 6" xfId="16246" xr:uid="{14FEADCD-C5DC-4910-9D9E-9078A2DC52FD}"/>
    <cellStyle name="Comma 6 5" xfId="1707" xr:uid="{00000000-0005-0000-0000-000086020000}"/>
    <cellStyle name="Comma 6 5 10" xfId="25751" xr:uid="{F3893E22-8AFA-4C20-88BE-99F6D0B7836B}"/>
    <cellStyle name="Comma 6 5 10 2" xfId="30005" xr:uid="{9BBA55C4-F717-4123-9745-FD974FD5C92B}"/>
    <cellStyle name="Comma 6 5 11" xfId="12959" xr:uid="{6081739D-F564-4AF8-9D03-600F4BF43A0D}"/>
    <cellStyle name="Comma 6 5 2" xfId="2675" xr:uid="{00000000-0005-0000-0000-0000F9010000}"/>
    <cellStyle name="Comma 6 5 2 2" xfId="3050" xr:uid="{00000000-0005-0000-0000-0000FA010000}"/>
    <cellStyle name="Comma 6 5 2 2 2" xfId="6164" xr:uid="{9072506B-66F6-434E-AF9A-C449954DC0D8}"/>
    <cellStyle name="Comma 6 5 2 2 2 2" xfId="27443" xr:uid="{9BBE47B7-6F11-45B5-8B2A-B0A3C36FE1BB}"/>
    <cellStyle name="Comma 6 5 2 2 2 2 2" xfId="31192" xr:uid="{325C7F89-E089-4071-A4CA-9ADB67FB52F9}"/>
    <cellStyle name="Comma 6 5 2 2 2 2 3" xfId="30734" xr:uid="{16F0985C-0D59-4C77-AE81-D539AE6EC8DC}"/>
    <cellStyle name="Comma 6 5 2 2 2 3" xfId="25995" xr:uid="{29FCB692-FD3E-4D43-8557-D799C388341A}"/>
    <cellStyle name="Comma 6 5 2 2 2 4" xfId="15677" xr:uid="{5CE6BAD9-BA76-4CB5-8800-77D44C849C38}"/>
    <cellStyle name="Comma 6 5 2 2 3" xfId="8130" xr:uid="{CE5D24FA-4D71-4FBE-8ABD-CFAD66472B47}"/>
    <cellStyle name="Comma 6 5 2 2 3 2" xfId="18510" xr:uid="{6069F6D0-7212-44E3-8E25-81661A9D5019}"/>
    <cellStyle name="Comma 6 5 2 2 4" xfId="10963" xr:uid="{7BD62EEE-A729-458D-B4B3-F68E635BB264}"/>
    <cellStyle name="Comma 6 5 2 2 4 2" xfId="21343" xr:uid="{AD7DC9C6-DC5C-44A6-9249-87D4B0A7A7C0}"/>
    <cellStyle name="Comma 6 5 2 2 5" xfId="24527" xr:uid="{7F466391-28BE-411E-B2DE-BE091A55F44A}"/>
    <cellStyle name="Comma 6 5 2 2 6" xfId="13557" xr:uid="{E4BE6815-7EC8-4CD5-9BD7-CBFE59D1CF49}"/>
    <cellStyle name="Comma 6 5 2 3" xfId="4262" xr:uid="{AE78412A-E3FD-4707-9349-D83D4CB2A6DF}"/>
    <cellStyle name="Comma 6 5 2 3 2" xfId="9034" xr:uid="{E04F1C4D-6215-48C9-8273-7D130D5F91D6}"/>
    <cellStyle name="Comma 6 5 2 3 2 2" xfId="29094" xr:uid="{F12DCF9A-CA5B-435F-8783-D7D7A2F6C175}"/>
    <cellStyle name="Comma 6 5 2 3 2 3" xfId="27012" xr:uid="{A7EDC08D-0DD7-4282-A2F4-ACBD8F2E9EE3}"/>
    <cellStyle name="Comma 6 5 2 3 2 4" xfId="19414" xr:uid="{01D3B6AA-65B1-45C6-BE98-8521B2340194}"/>
    <cellStyle name="Comma 6 5 2 3 2 5" xfId="31038" xr:uid="{8012AB0B-EB59-44A7-8DB7-259914660E82}"/>
    <cellStyle name="Comma 6 5 2 3 3" xfId="11867" xr:uid="{35E77887-7461-46CE-8CAC-49FA064BC684}"/>
    <cellStyle name="Comma 6 5 2 3 3 2" xfId="22247" xr:uid="{E16DFC60-DE26-40A4-BB19-DE0AF5BA5E71}"/>
    <cellStyle name="Comma 6 5 2 3 4" xfId="24174" xr:uid="{76B4C1B6-06C5-4A52-9551-5BF59DA735A3}"/>
    <cellStyle name="Comma 6 5 2 3 5" xfId="16581" xr:uid="{F083096D-6C9E-4EF8-BF38-7EAA039A1FF8}"/>
    <cellStyle name="Comma 6 5 2 4" xfId="5921" xr:uid="{D13FD7F3-58AF-4C81-814A-2FEC26EB0EE5}"/>
    <cellStyle name="Comma 6 5 2 4 2" xfId="28656" xr:uid="{90F87C2A-E3B4-4A3B-B5AC-CD9FF1CB3B92}"/>
    <cellStyle name="Comma 6 5 2 4 3" xfId="28053" xr:uid="{2E48367A-9396-43ED-B8EA-3AE7BCCC7C93}"/>
    <cellStyle name="Comma 6 5 2 4 4" xfId="15346" xr:uid="{FE28975C-1120-46E2-AE2B-57AE0ADC5BFD}"/>
    <cellStyle name="Comma 6 5 2 5" xfId="7799" xr:uid="{AEE457D1-6834-4469-9B49-34D97CE5E035}"/>
    <cellStyle name="Comma 6 5 2 5 2" xfId="18179" xr:uid="{78EBEE38-911A-4ADF-A398-2EDF0C44561C}"/>
    <cellStyle name="Comma 6 5 2 6" xfId="10632" xr:uid="{10FDC70E-6C80-42F3-8A52-BE45CC791EDB}"/>
    <cellStyle name="Comma 6 5 2 6 2" xfId="21012" xr:uid="{AE587D83-A7CB-4C01-BCA8-9E11CC2BC835}"/>
    <cellStyle name="Comma 6 5 2 7" xfId="23215" xr:uid="{AB361D29-4081-44C9-A5E9-DB52714463F5}"/>
    <cellStyle name="Comma 6 5 2 8" xfId="13083" xr:uid="{746895FD-FB8C-4EED-9F02-793D42642EFB}"/>
    <cellStyle name="Comma 6 5 3" xfId="3051" xr:uid="{00000000-0005-0000-0000-0000FB010000}"/>
    <cellStyle name="Comma 6 5 3 2" xfId="4407" xr:uid="{C911EB5E-6E7B-4CB3-8496-F6CCE884BF2D}"/>
    <cellStyle name="Comma 6 5 3 2 2" xfId="9179" xr:uid="{C9E444F1-FB04-4EFD-840F-941B5236CEC5}"/>
    <cellStyle name="Comma 6 5 3 2 2 2" xfId="19559" xr:uid="{7354D5C3-C2D3-4006-B5A7-37EEEAA03F4B}"/>
    <cellStyle name="Comma 6 5 3 2 2 3" xfId="31073" xr:uid="{A2A4928A-1757-4797-9AD6-3490D0D71705}"/>
    <cellStyle name="Comma 6 5 3 2 2 4" xfId="30735" xr:uid="{CC9E0DDD-F5C7-4081-BD6A-4AF5E6D9D0A0}"/>
    <cellStyle name="Comma 6 5 3 2 3" xfId="12012" xr:uid="{2BC2BFB9-8556-4E02-8D51-85A9A4066A50}"/>
    <cellStyle name="Comma 6 5 3 2 3 2" xfId="22392" xr:uid="{279F3012-F801-4901-855F-7207F0B8C6F5}"/>
    <cellStyle name="Comma 6 5 3 2 4" xfId="25767" xr:uid="{44B57F59-8D63-44FC-9A5D-4FB2EEAC2070}"/>
    <cellStyle name="Comma 6 5 3 2 5" xfId="26075" xr:uid="{379C5DA0-533C-48B5-B231-ECA27F7A9875}"/>
    <cellStyle name="Comma 6 5 3 2 6" xfId="16726" xr:uid="{56567B78-0819-460B-AB1A-50345959535A}"/>
    <cellStyle name="Comma 6 5 3 3" xfId="6165" xr:uid="{313C14E6-5D0D-4FEF-B7FA-102243C1E0EB}"/>
    <cellStyle name="Comma 6 5 3 3 2" xfId="15678" xr:uid="{99C5C290-A368-4B29-81E7-DE1E02D860C8}"/>
    <cellStyle name="Comma 6 5 3 4" xfId="8131" xr:uid="{EE3672A2-39EC-4801-B591-0EDBF521DB37}"/>
    <cellStyle name="Comma 6 5 3 4 2" xfId="18511" xr:uid="{99C90F8C-3849-42F7-B80E-53394043E507}"/>
    <cellStyle name="Comma 6 5 3 5" xfId="10964" xr:uid="{01B62E8D-BD90-4224-8DED-8A4A6EDD743D}"/>
    <cellStyle name="Comma 6 5 3 5 2" xfId="21344" xr:uid="{A5256953-0374-4D3F-AA09-24C136419803}"/>
    <cellStyle name="Comma 6 5 3 6" xfId="23481" xr:uid="{F7DAA880-D79D-4371-8FCA-5C59A2E1A85A}"/>
    <cellStyle name="Comma 6 5 3 7" xfId="13558" xr:uid="{C16AD644-B941-48BB-91D8-BFBCB2FF5E3B}"/>
    <cellStyle name="Comma 6 5 4" xfId="3049" xr:uid="{00000000-0005-0000-0000-0000FC010000}"/>
    <cellStyle name="Comma 6 5 4 2" xfId="6163" xr:uid="{77B98769-66EB-4F7C-9866-045F948AA391}"/>
    <cellStyle name="Comma 6 5 4 2 2" xfId="26980" xr:uid="{BA006FDD-D230-4740-8F19-385BCA299A85}"/>
    <cellStyle name="Comma 6 5 4 2 3" xfId="26581" xr:uid="{DEDB1051-D14F-42D5-8B77-0FDCFAE8744B}"/>
    <cellStyle name="Comma 6 5 4 2 4" xfId="15676" xr:uid="{95B7EA55-B59A-4C76-8EC3-A54B020BD472}"/>
    <cellStyle name="Comma 6 5 4 3" xfId="8129" xr:uid="{D165B3FE-DDB5-4059-8470-0266FCA7C301}"/>
    <cellStyle name="Comma 6 5 4 3 2" xfId="18509" xr:uid="{F2BECBEB-1EEF-4D21-9D43-F4CF9E187924}"/>
    <cellStyle name="Comma 6 5 4 4" xfId="10962" xr:uid="{0F425BC4-9E16-4EAB-A206-BF50C665721F}"/>
    <cellStyle name="Comma 6 5 4 4 2" xfId="21342" xr:uid="{D8B73855-A798-4565-8F47-F72CFC11BB00}"/>
    <cellStyle name="Comma 6 5 4 5" xfId="23787" xr:uid="{6F86A38B-C99F-4196-9DE4-4DCD766C4FBC}"/>
    <cellStyle name="Comma 6 5 4 6" xfId="13556" xr:uid="{C83477AA-13D9-44E0-83BE-3A04DDE9D026}"/>
    <cellStyle name="Comma 6 5 5" xfId="2571" xr:uid="{00000000-0005-0000-0000-0000F8010000}"/>
    <cellStyle name="Comma 6 5 5 2" xfId="7696" xr:uid="{1990EA53-C1B6-4704-8500-B9E147267AE1}"/>
    <cellStyle name="Comma 6 5 5 2 2" xfId="27344" xr:uid="{5DEC078C-F871-489B-9B9E-0235A93EED85}"/>
    <cellStyle name="Comma 6 5 5 2 3" xfId="26527" xr:uid="{B4880A4E-D7E4-4376-B404-8A288699E25D}"/>
    <cellStyle name="Comma 6 5 5 2 4" xfId="18076" xr:uid="{1F35AC32-3B10-44D6-881C-326D1C4E9F1D}"/>
    <cellStyle name="Comma 6 5 5 3" xfId="10529" xr:uid="{06C3247A-D84D-4960-AECB-588082306406}"/>
    <cellStyle name="Comma 6 5 5 3 2" xfId="20909" xr:uid="{6E2FF123-9FA0-48D1-80D2-5B25702AE77A}"/>
    <cellStyle name="Comma 6 5 5 4" xfId="24741" xr:uid="{5A4C6D9F-8500-4DEE-A02C-2B5DCABC18F9}"/>
    <cellStyle name="Comma 6 5 5 5" xfId="15243" xr:uid="{96001FF9-8FC9-49FC-8D37-C92BC6856A3D}"/>
    <cellStyle name="Comma 6 5 6" xfId="2053" xr:uid="{00000000-0005-0000-0000-000086020000}"/>
    <cellStyle name="Comma 6 5 6 2" xfId="28163" xr:uid="{885D212C-05ED-4BF0-B750-04B03BB0CBF8}"/>
    <cellStyle name="Comma 6 5 6 3" xfId="27110" xr:uid="{2FED39B2-98E6-41CC-AE80-60096B335C8F}"/>
    <cellStyle name="Comma 6 5 7" xfId="4236" xr:uid="{A60E7526-B9F5-49C6-B835-8CDFABECB725}"/>
    <cellStyle name="Comma 6 5 7 2" xfId="9008" xr:uid="{EDF2850F-F3AD-40BD-B91F-77CA8AA4A45F}"/>
    <cellStyle name="Comma 6 5 7 2 2" xfId="19388" xr:uid="{F6329403-3A8F-4848-9D9E-61FE7E399297}"/>
    <cellStyle name="Comma 6 5 7 2 3" xfId="31025" xr:uid="{14ACCE49-649F-4D5B-8F9D-24E42BD4A4E9}"/>
    <cellStyle name="Comma 6 5 7 2 4" xfId="30733" xr:uid="{57466AA1-E89A-486E-89A6-F5D9E03FEBE5}"/>
    <cellStyle name="Comma 6 5 7 3" xfId="11841" xr:uid="{0AF66E20-5078-45F0-926D-0FDF0E6EA049}"/>
    <cellStyle name="Comma 6 5 7 3 2" xfId="22221" xr:uid="{92DBCC9E-D1B5-49F0-8959-39A6EC73FB92}"/>
    <cellStyle name="Comma 6 5 7 4" xfId="16555" xr:uid="{048A871F-099F-4F46-A3BE-98DD42C94166}"/>
    <cellStyle name="Comma 6 5 8" xfId="5600" xr:uid="{F6A32834-0766-4403-BA6E-361E90744A35}"/>
    <cellStyle name="Comma 6 5 8 2" xfId="29825" xr:uid="{FA06CDE3-AD95-4F28-BB21-F621D65E4E87}"/>
    <cellStyle name="Comma 6 5 8 2 2" xfId="30969" xr:uid="{50FCA492-10FD-4CB8-BB65-65A595E6C1EE}"/>
    <cellStyle name="Comma 6 5 8 3" xfId="30627" xr:uid="{D6644BB0-0D0B-41C4-A086-5EB2E7A61544}"/>
    <cellStyle name="Comma 6 5 9" xfId="25485" xr:uid="{A765CB03-C487-41C6-93BE-38026305CF7A}"/>
    <cellStyle name="Comma 6 6" xfId="2162" xr:uid="{00000000-0005-0000-0000-0000E3010000}"/>
    <cellStyle name="Comma 6 6 2" xfId="7289" xr:uid="{E705E142-4DA3-463E-8FAC-F22F05BA6768}"/>
    <cellStyle name="Comma 6 6 2 2" xfId="17669" xr:uid="{4C7CA64C-5E91-4A80-B09D-7D8F8424733A}"/>
    <cellStyle name="Comma 6 6 3" xfId="10122" xr:uid="{340F1EE3-1B83-46E0-8F09-B4C26E25F181}"/>
    <cellStyle name="Comma 6 6 3 2" xfId="20502" xr:uid="{A499D17E-8057-4251-840D-CE412ABC86FB}"/>
    <cellStyle name="Comma 6 6 4" xfId="24886" xr:uid="{E52ED29D-5942-4801-8BAF-D34620EB8958}"/>
    <cellStyle name="Comma 6 6 5" xfId="26208" xr:uid="{4CB53949-7489-45BD-976C-5D2FEB288F44}"/>
    <cellStyle name="Comma 6 6 6" xfId="14836" xr:uid="{321E774C-65C4-4B9A-8C46-85BC07333FD0}"/>
    <cellStyle name="Comma 6 6 7" xfId="30434" xr:uid="{86EF0529-B324-4719-B2B1-2B9231FB2917}"/>
    <cellStyle name="Comma 6 6 8" xfId="31260" xr:uid="{40BDEAA4-3800-4985-8263-4E0A9E3CC9C3}"/>
    <cellStyle name="Comma 6 7" xfId="22762" xr:uid="{37A7E8A0-43E7-41E2-BDB1-D7874A32CC13}"/>
    <cellStyle name="Comma 6 7 2" xfId="30401" xr:uid="{8AB278A9-D60A-4CCF-8FB0-D023A9F7D997}"/>
    <cellStyle name="Comma 6 8" xfId="12394" xr:uid="{6793FA80-0871-42EE-B221-7655EE8126B8}"/>
    <cellStyle name="Comma 6 9" xfId="29551" xr:uid="{0C85103D-D993-4F13-A57F-2F08993A276F}"/>
    <cellStyle name="Comma 7" xfId="500" xr:uid="{00000000-0005-0000-0000-000087020000}"/>
    <cellStyle name="Comma 7 10" xfId="501" xr:uid="{00000000-0005-0000-0000-000088020000}"/>
    <cellStyle name="Comma 7 10 10" xfId="12671" xr:uid="{0304EF0E-9902-4BD9-8F2D-7BEAF7E53FF3}"/>
    <cellStyle name="Comma 7 10 2" xfId="1710" xr:uid="{00000000-0005-0000-0000-000089020000}"/>
    <cellStyle name="Comma 7 10 2 2" xfId="3052" xr:uid="{00000000-0005-0000-0000-0000FF010000}"/>
    <cellStyle name="Comma 7 10 2 2 2" xfId="8132" xr:uid="{4B684DFA-9692-4A26-A730-995AD8A60843}"/>
    <cellStyle name="Comma 7 10 2 2 2 2" xfId="18512" xr:uid="{3DCD4A56-62ED-4907-88B4-B6AFB0CCF392}"/>
    <cellStyle name="Comma 7 10 2 2 3" xfId="10965" xr:uid="{E4EE2813-7992-41A7-9A04-0DE9EDC9A643}"/>
    <cellStyle name="Comma 7 10 2 2 3 2" xfId="21345" xr:uid="{806F9353-B2D5-4B33-85DA-5F3B6E173F4C}"/>
    <cellStyle name="Comma 7 10 2 2 4" xfId="28480" xr:uid="{E9492947-DB35-4A7F-B79F-84ACAED4A8FC}"/>
    <cellStyle name="Comma 7 10 2 2 5" xfId="27970" xr:uid="{CE260D0E-F8CD-44AD-812E-04CD09475421}"/>
    <cellStyle name="Comma 7 10 2 2 6" xfId="15679" xr:uid="{DA46CC74-2100-4BEE-BE49-53DCA1188B55}"/>
    <cellStyle name="Comma 7 10 2 3" xfId="3556" xr:uid="{00000000-0005-0000-0000-000089020000}"/>
    <cellStyle name="Comma 7 10 2 4" xfId="5601" xr:uid="{9A894E3E-F825-4091-BE58-3404C50F46E5}"/>
    <cellStyle name="Comma 7 10 2 4 2" xfId="29777" xr:uid="{69895E25-65E5-4D76-A26D-A63F28A4B978}"/>
    <cellStyle name="Comma 7 10 2 5" xfId="23340" xr:uid="{47768CD9-A1DD-4C6A-931F-A343C911895F}"/>
    <cellStyle name="Comma 7 10 2 6" xfId="13559" xr:uid="{386DBC66-6ED0-48EA-8136-4AB222A7BF8F}"/>
    <cellStyle name="Comma 7 10 3" xfId="1711" xr:uid="{00000000-0005-0000-0000-00008A020000}"/>
    <cellStyle name="Comma 7 10 3 2" xfId="23284" xr:uid="{471F6C94-CC11-4E87-87AE-598C4CE9FAB7}"/>
    <cellStyle name="Comma 7 10 3 3" xfId="25741" xr:uid="{FA0AC2A2-EC53-4D9A-A288-717BCA4D8A2E}"/>
    <cellStyle name="Comma 7 10 3 4" xfId="30055" xr:uid="{82D7F95B-ADDB-4CD3-8CA5-38E26A9A1505}"/>
    <cellStyle name="Comma 7 10 3 5" xfId="29662" xr:uid="{6948ED0E-1928-433B-8896-129390D39D27}"/>
    <cellStyle name="Comma 7 10 4" xfId="1709" xr:uid="{00000000-0005-0000-0000-00008B020000}"/>
    <cellStyle name="Comma 7 10 4 2" xfId="25724" xr:uid="{65959AE7-EB73-4A29-AEDE-5086AD6654D1}"/>
    <cellStyle name="Comma 7 10 4 3" xfId="23897" xr:uid="{A2302EFE-A812-41F1-B7CF-01786DD9FD31}"/>
    <cellStyle name="Comma 7 10 5" xfId="4127" xr:uid="{EBACDF21-4667-4E1B-89A1-775E3F0BDEFB}"/>
    <cellStyle name="Comma 7 10 5 2" xfId="8899" xr:uid="{803B21C8-7816-4590-BDE5-1D23CC6610FF}"/>
    <cellStyle name="Comma 7 10 5 2 2" xfId="19279" xr:uid="{23FE49F9-05A6-4B90-B0F1-AEC2AFF0086A}"/>
    <cellStyle name="Comma 7 10 5 2 3" xfId="31011" xr:uid="{D6C854D8-D37F-4A44-B89C-1C0E594B72EA}"/>
    <cellStyle name="Comma 7 10 5 2 4" xfId="30736" xr:uid="{1539EA9C-5098-413E-9C5B-D0DF900926AD}"/>
    <cellStyle name="Comma 7 10 5 3" xfId="11732" xr:uid="{E7BC460F-C960-4934-8502-7DDBC3D0C3E6}"/>
    <cellStyle name="Comma 7 10 5 3 2" xfId="22112" xr:uid="{40881A6B-4545-4EB1-813A-4E1558B81566}"/>
    <cellStyle name="Comma 7 10 5 4" xfId="26525" xr:uid="{1745E0D8-8A9A-4840-BDB8-0401C09AA039}"/>
    <cellStyle name="Comma 7 10 5 5" xfId="25841" xr:uid="{C11B2212-1E1A-4B71-B465-5670181885CD}"/>
    <cellStyle name="Comma 7 10 5 6" xfId="16446" xr:uid="{E978AE30-B13C-4A2E-90E6-39EA87923D38}"/>
    <cellStyle name="Comma 7 10 6" xfId="4892" xr:uid="{D82BBFC1-9D1D-4AAE-A948-A38D0EF6F03E}"/>
    <cellStyle name="Comma 7 10 6 2" xfId="27644" xr:uid="{F7371CBB-0784-4473-9FC1-85C83B78B35B}"/>
    <cellStyle name="Comma 7 10 6 3" xfId="27261" xr:uid="{B70C7F4C-17C3-43F1-A10A-A7D1DD574EE2}"/>
    <cellStyle name="Comma 7 10 6 4" xfId="14184" xr:uid="{72355FD3-5050-4CF6-9D1E-9B0E83C8FCE6}"/>
    <cellStyle name="Comma 7 10 7" xfId="6637" xr:uid="{1CD37795-67F5-4F29-93F8-992F32C52816}"/>
    <cellStyle name="Comma 7 10 7 2" xfId="17017" xr:uid="{1FCBAEEB-BD9E-40A5-BF83-C0DEA953F239}"/>
    <cellStyle name="Comma 7 10 8" xfId="9470" xr:uid="{572D7F13-2184-45ED-89E4-B39C3263D3EE}"/>
    <cellStyle name="Comma 7 10 8 2" xfId="19850" xr:uid="{7BA8A08F-E23F-4BC4-BFF4-DFC878E4B8CA}"/>
    <cellStyle name="Comma 7 10 9" xfId="22782" xr:uid="{9C9C0777-DD5A-45A2-8B23-CD5FCFC5DE9B}"/>
    <cellStyle name="Comma 7 11" xfId="502" xr:uid="{00000000-0005-0000-0000-00008C020000}"/>
    <cellStyle name="Comma 7 11 10" xfId="31256" xr:uid="{E835B43B-FDA2-4DDE-83E1-FBF9D27ED0DE}"/>
    <cellStyle name="Comma 7 11 2" xfId="1713" xr:uid="{00000000-0005-0000-0000-00008D020000}"/>
    <cellStyle name="Comma 7 11 2 2" xfId="25052" xr:uid="{23ABD4A7-3C9B-4DBA-8948-EF7696DC0549}"/>
    <cellStyle name="Comma 7 11 2 2 2" xfId="29812" xr:uid="{2804BB26-590B-4F9E-8251-636B18D7E4FE}"/>
    <cellStyle name="Comma 7 11 2 2 2 2" xfId="30738" xr:uid="{3DAD6463-AE5B-4A7E-A235-D117BC01C86B}"/>
    <cellStyle name="Comma 7 11 2 3" xfId="25318" xr:uid="{7CB5C089-12DC-4C77-B45B-B4312F852EC0}"/>
    <cellStyle name="Comma 7 11 2 4" xfId="30038" xr:uid="{567DD56B-F8B3-45D4-86C5-0960C07F73C2}"/>
    <cellStyle name="Comma 7 11 3" xfId="1714" xr:uid="{00000000-0005-0000-0000-00008E020000}"/>
    <cellStyle name="Comma 7 11 3 2" xfId="31310" xr:uid="{BF8591BA-BEDC-47CC-8EFA-C694600B8972}"/>
    <cellStyle name="Comma 7 11 3 3" xfId="31272" xr:uid="{2324712B-9FE1-4E85-A8B2-EE1C9063D0B9}"/>
    <cellStyle name="Comma 7 11 4" xfId="1712" xr:uid="{00000000-0005-0000-0000-00008F020000}"/>
    <cellStyle name="Comma 7 11 5" xfId="4893" xr:uid="{4D7EF800-D3FE-4415-997D-80EB71861FD5}"/>
    <cellStyle name="Comma 7 11 5 2" xfId="14185" xr:uid="{237C6960-02C1-47B1-93F9-D85783831FC0}"/>
    <cellStyle name="Comma 7 11 5 2 2" xfId="31115" xr:uid="{F9048556-5930-4AED-AE0A-49345657D6F3}"/>
    <cellStyle name="Comma 7 11 5 2 3" xfId="30737" xr:uid="{1DDC157D-0ED6-4BFF-BF05-1F10AA0C45F1}"/>
    <cellStyle name="Comma 7 11 6" xfId="6638" xr:uid="{776ACA04-D065-4D7A-8E37-056C327E74AC}"/>
    <cellStyle name="Comma 7 11 6 2" xfId="17018" xr:uid="{B58752FC-E070-4A46-8BFC-C4F3908814BC}"/>
    <cellStyle name="Comma 7 11 7" xfId="9471" xr:uid="{CCFEF87C-0523-4F7B-9698-9812E0BED44F}"/>
    <cellStyle name="Comma 7 11 7 2" xfId="19851" xr:uid="{E442148C-3B76-4745-96E8-D6C7291F15EF}"/>
    <cellStyle name="Comma 7 11 8" xfId="24935" xr:uid="{252EC419-ABD7-4E53-918F-20AA1B459C38}"/>
    <cellStyle name="Comma 7 11 9" xfId="13369" xr:uid="{A3FFE9F5-7F4C-4076-BC34-FB113FFB58A6}"/>
    <cellStyle name="Comma 7 12" xfId="1715" xr:uid="{00000000-0005-0000-0000-000090020000}"/>
    <cellStyle name="Comma 7 12 2" xfId="2434" xr:uid="{00000000-0005-0000-0000-000001020000}"/>
    <cellStyle name="Comma 7 12 2 2" xfId="7559" xr:uid="{AB6A31A2-356E-46CD-9976-79E7AD8FCA85}"/>
    <cellStyle name="Comma 7 12 2 2 2" xfId="17939" xr:uid="{C69A7172-DB24-4003-8B22-DB81EE1956A1}"/>
    <cellStyle name="Comma 7 12 2 2 2 2" xfId="31132" xr:uid="{739F47EE-1697-4F75-9A1F-73E308A7FAE6}"/>
    <cellStyle name="Comma 7 12 2 2 2 3" xfId="30739" xr:uid="{79E3D847-09B7-406F-A8CF-8B9C6BA67CC6}"/>
    <cellStyle name="Comma 7 12 2 3" xfId="10392" xr:uid="{1C9A0FA7-3839-49B7-B9C6-489E59242394}"/>
    <cellStyle name="Comma 7 12 2 3 2" xfId="20772" xr:uid="{E2D691C5-6C3C-43B7-8FBD-A5642F6BDFE7}"/>
    <cellStyle name="Comma 7 12 2 4" xfId="15106" xr:uid="{394B16FD-FC1A-4870-BC31-909DEE327F64}"/>
    <cellStyle name="Comma 7 12 2 5" xfId="30435" xr:uid="{E91DB9E4-8773-4A90-836F-853E0ADD18FD}"/>
    <cellStyle name="Comma 7 12 3" xfId="3597" xr:uid="{00000000-0005-0000-0000-000090020000}"/>
    <cellStyle name="Comma 7 12 4" xfId="5602" xr:uid="{CC94EC69-AD3D-4EA5-A1E0-1BACCD539177}"/>
    <cellStyle name="Comma 7 12 4 2" xfId="29744" xr:uid="{E94F5ABB-9BF5-4EDB-9248-CDB704943345}"/>
    <cellStyle name="Comma 7 12 5" xfId="25169" xr:uid="{6BA9F095-9F3A-4460-A1F7-A325C4D59C32}"/>
    <cellStyle name="Comma 7 12 6" xfId="12821" xr:uid="{3CFBD4BE-A3DA-40AF-A535-986B08EC002F}"/>
    <cellStyle name="Comma 7 13" xfId="1716" xr:uid="{00000000-0005-0000-0000-000091020000}"/>
    <cellStyle name="Comma 7 13 2" xfId="2164" xr:uid="{00000000-0005-0000-0000-0000FD010000}"/>
    <cellStyle name="Comma 7 13 2 2" xfId="7291" xr:uid="{99AD7278-2ABB-4875-9167-E25F4A9D15B1}"/>
    <cellStyle name="Comma 7 13 2 2 2" xfId="17671" xr:uid="{10C9ABBA-E04E-44FE-B765-925D5F6F79FA}"/>
    <cellStyle name="Comma 7 13 2 3" xfId="10124" xr:uid="{32999E02-055B-4936-9989-A7D520F08114}"/>
    <cellStyle name="Comma 7 13 2 3 2" xfId="20504" xr:uid="{BDD660AC-D280-40AE-B368-D16E28839034}"/>
    <cellStyle name="Comma 7 13 2 4" xfId="26317" xr:uid="{2AC6C94B-7356-4191-BA37-EB45ACBAC84B}"/>
    <cellStyle name="Comma 7 13 2 5" xfId="26807" xr:uid="{0944EE13-DA40-42AE-8E8C-5FDF7787A62E}"/>
    <cellStyle name="Comma 7 13 2 6" xfId="14838" xr:uid="{61AF3BCA-97D7-42B3-8A16-84395E13F927}"/>
    <cellStyle name="Comma 7 13 3" xfId="3614" xr:uid="{00000000-0005-0000-0000-000091020000}"/>
    <cellStyle name="Comma 7 13 4" xfId="24456" xr:uid="{F36E8AC3-FBF5-44E6-8760-493C50EB9842}"/>
    <cellStyle name="Comma 7 13 4 2" xfId="29857" xr:uid="{8E68E056-46A1-493A-A824-DE927F27CD41}"/>
    <cellStyle name="Comma 7 13 5" xfId="30000" xr:uid="{CDAD209D-5AEE-42B6-A650-1520C83196B3}"/>
    <cellStyle name="Comma 7 14" xfId="1708" xr:uid="{00000000-0005-0000-0000-000092020000}"/>
    <cellStyle name="Comma 7 14 2" xfId="24640" xr:uid="{A6E59767-7C11-40A9-9CB4-E620D76DFBAF}"/>
    <cellStyle name="Comma 7 14 2 2" xfId="30740" xr:uid="{20627FD3-BC5A-44E9-9321-3CFCE969D60D}"/>
    <cellStyle name="Comma 7 14 2 3" xfId="30578" xr:uid="{293AA1E7-D6FF-4E29-9D1A-3B9D5650BE0B}"/>
    <cellStyle name="Comma 7 14 3" xfId="24749" xr:uid="{21C0A86C-9258-4F6E-BBD2-E1ADC08986B9}"/>
    <cellStyle name="Comma 7 14 4" xfId="31257" xr:uid="{60B07CE3-3025-411C-B89F-E948725F8A6F}"/>
    <cellStyle name="Comma 7 15" xfId="3868" xr:uid="{2754256E-6D37-4A11-A975-622EAD65BCC6}"/>
    <cellStyle name="Comma 7 15 2" xfId="8700" xr:uid="{561E47C7-DA6B-465C-BCFC-FFBE685B396A}"/>
    <cellStyle name="Comma 7 15 2 2" xfId="19080" xr:uid="{CD7DE5AC-2835-4783-AF05-48DAEF1013EA}"/>
    <cellStyle name="Comma 7 15 3" xfId="11533" xr:uid="{75D4BBFA-3F86-4BB1-A4FF-2AB004FAD57D}"/>
    <cellStyle name="Comma 7 15 3 2" xfId="21913" xr:uid="{D1267AA1-09CD-4475-946A-C9A7600627F9}"/>
    <cellStyle name="Comma 7 15 4" xfId="25927" xr:uid="{511ED031-4F53-4851-A0F3-433E6C7ACA29}"/>
    <cellStyle name="Comma 7 15 5" xfId="27477" xr:uid="{2750F14A-290C-48FE-A33E-06E873503059}"/>
    <cellStyle name="Comma 7 15 6" xfId="16247" xr:uid="{5037A1B5-3540-484E-A1E0-2D33F2B1EFAA}"/>
    <cellStyle name="Comma 7 16" xfId="4891" xr:uid="{9D938F77-580A-408F-A5DC-B95515C88082}"/>
    <cellStyle name="Comma 7 16 2" xfId="27237" xr:uid="{2485F0D7-865B-4EC4-8D29-E0C09F609170}"/>
    <cellStyle name="Comma 7 16 3" xfId="27763" xr:uid="{77776977-DA0E-4C33-A557-4E3DE9855C53}"/>
    <cellStyle name="Comma 7 16 4" xfId="14183" xr:uid="{77C17A1F-BFCB-4CA4-9C6B-A7566ACEE98A}"/>
    <cellStyle name="Comma 7 17" xfId="6636" xr:uid="{06719287-4D35-48D9-91FA-3AD51EA5C00F}"/>
    <cellStyle name="Comma 7 17 2" xfId="17016" xr:uid="{12C02C92-AA67-4477-A76D-9D24CEFDBBD2}"/>
    <cellStyle name="Comma 7 18" xfId="9469" xr:uid="{037E75E5-4B4F-4359-8342-D07974811F87}"/>
    <cellStyle name="Comma 7 18 2" xfId="19849" xr:uid="{D2D25E2F-5F87-48AA-A0FE-01F18289E9F4}"/>
    <cellStyle name="Comma 7 19" xfId="24159" xr:uid="{0832A5F7-F858-4707-BC50-D6BDDD0BD129}"/>
    <cellStyle name="Comma 7 2" xfId="503" xr:uid="{00000000-0005-0000-0000-000093020000}"/>
    <cellStyle name="Comma 7 2 10" xfId="4894" xr:uid="{530D3ADF-7987-4D49-9EFA-6E30C8D7268F}"/>
    <cellStyle name="Comma 7 2 10 2" xfId="28462" xr:uid="{8B103A8E-4B77-4E5C-967E-03A935C17D56}"/>
    <cellStyle name="Comma 7 2 10 3" xfId="26637" xr:uid="{E2918D60-2ECD-47F3-8CB5-8B5F1C16456C}"/>
    <cellStyle name="Comma 7 2 10 4" xfId="14186" xr:uid="{BEA559D3-4F46-4A46-9835-B79794AFEE15}"/>
    <cellStyle name="Comma 7 2 11" xfId="6639" xr:uid="{64DA45BB-A7AE-4634-A067-9DF72286BE87}"/>
    <cellStyle name="Comma 7 2 11 2" xfId="17019" xr:uid="{3F3E7C21-E791-45BA-9AD9-1278037C3F4A}"/>
    <cellStyle name="Comma 7 2 12" xfId="9472" xr:uid="{1E43E655-7008-47ED-B8BF-B76CC32CB035}"/>
    <cellStyle name="Comma 7 2 12 2" xfId="19852" xr:uid="{66E43558-9B8D-4365-8C0E-E423D63CE3A6}"/>
    <cellStyle name="Comma 7 2 13" xfId="23810" xr:uid="{38008B6B-AC42-4A63-81DE-9B53E575A996}"/>
    <cellStyle name="Comma 7 2 14" xfId="12419" xr:uid="{CC01182E-400A-44C2-81A4-4E2E219A9FD7}"/>
    <cellStyle name="Comma 7 2 2" xfId="504" xr:uid="{00000000-0005-0000-0000-000094020000}"/>
    <cellStyle name="Comma 7 2 2 10" xfId="6640" xr:uid="{2A77DC5C-2D89-42BF-9ACB-3BB32B12513E}"/>
    <cellStyle name="Comma 7 2 2 10 2" xfId="17020" xr:uid="{91EBB2F5-6581-4B2B-B22B-F4DC8ADF4246}"/>
    <cellStyle name="Comma 7 2 2 11" xfId="9473" xr:uid="{3A622BD8-3179-4D35-A2DC-30C705EFC2CB}"/>
    <cellStyle name="Comma 7 2 2 11 2" xfId="19853" xr:uid="{3C30E10B-6DA1-44E3-8E40-56AB8B6A1943}"/>
    <cellStyle name="Comma 7 2 2 12" xfId="23491" xr:uid="{61AF4FDA-D584-44F6-A33F-07705F937BE3}"/>
    <cellStyle name="Comma 7 2 2 13" xfId="12479" xr:uid="{FC9AB89B-5377-4D05-A78A-79E0897D41EF}"/>
    <cellStyle name="Comma 7 2 2 2" xfId="505" xr:uid="{00000000-0005-0000-0000-000095020000}"/>
    <cellStyle name="Comma 7 2 2 2 10" xfId="9474" xr:uid="{90A31626-BEEC-4D9D-BACA-09E34F3203D6}"/>
    <cellStyle name="Comma 7 2 2 2 10 2" xfId="19854" xr:uid="{C324D3E7-87ED-4BD8-B25C-51EA7A3EFE49}"/>
    <cellStyle name="Comma 7 2 2 2 11" xfId="25417" xr:uid="{A0D02D5D-CF22-4DA0-A1B5-160BE6719CAA}"/>
    <cellStyle name="Comma 7 2 2 2 12" xfId="12515" xr:uid="{389983B5-FD9F-4D30-94EC-2254AA61C755}"/>
    <cellStyle name="Comma 7 2 2 2 2" xfId="1720" xr:uid="{00000000-0005-0000-0000-000096020000}"/>
    <cellStyle name="Comma 7 2 2 2 2 2" xfId="3054" xr:uid="{00000000-0005-0000-0000-000006020000}"/>
    <cellStyle name="Comma 7 2 2 2 2 2 2" xfId="6166" xr:uid="{5810BDEF-6759-4914-8816-FDE91F216B89}"/>
    <cellStyle name="Comma 7 2 2 2 2 2 2 2" xfId="28052" xr:uid="{59D2CCE3-8805-483D-8C2E-5911314942B8}"/>
    <cellStyle name="Comma 7 2 2 2 2 2 2 3" xfId="26417" xr:uid="{17455D0D-93DE-4551-A26B-E455D776DC14}"/>
    <cellStyle name="Comma 7 2 2 2 2 2 2 4" xfId="15681" xr:uid="{9EC0D679-EE73-41E6-A0DB-AD4F7D2B8B1B}"/>
    <cellStyle name="Comma 7 2 2 2 2 2 3" xfId="8134" xr:uid="{20880874-07A4-4036-8343-A5B5A6A3C386}"/>
    <cellStyle name="Comma 7 2 2 2 2 2 3 2" xfId="18514" xr:uid="{568E1962-4282-482D-A641-68D61AEF1954}"/>
    <cellStyle name="Comma 7 2 2 2 2 2 4" xfId="10967" xr:uid="{CBCB3D05-4A2B-42AE-8FF9-1022B8F2B4A4}"/>
    <cellStyle name="Comma 7 2 2 2 2 2 4 2" xfId="21347" xr:uid="{F14E3258-264E-47CF-86BB-EBC33C286A10}"/>
    <cellStyle name="Comma 7 2 2 2 2 2 5" xfId="24853" xr:uid="{36461687-085D-4430-AF28-E721DB9D5341}"/>
    <cellStyle name="Comma 7 2 2 2 2 2 6" xfId="27226" xr:uid="{EA29673A-7055-4AC8-855D-CE4FE2CFE294}"/>
    <cellStyle name="Comma 7 2 2 2 2 2 7" xfId="13561" xr:uid="{D8C6F9D7-CFEC-4834-A277-BC3AC52698C8}"/>
    <cellStyle name="Comma 7 2 2 2 2 3" xfId="2679" xr:uid="{00000000-0005-0000-0000-000005020000}"/>
    <cellStyle name="Comma 7 2 2 2 2 3 2" xfId="7803" xr:uid="{AA4E22A2-6F99-48ED-B552-791446EFB463}"/>
    <cellStyle name="Comma 7 2 2 2 2 3 2 2" xfId="28180" xr:uid="{DDA30167-9ABF-4ED0-BD58-69BF5BC2F8D0}"/>
    <cellStyle name="Comma 7 2 2 2 2 3 2 3" xfId="28057" xr:uid="{99CC565F-F977-4551-A138-A5DFAB2A4BEF}"/>
    <cellStyle name="Comma 7 2 2 2 2 3 2 4" xfId="18183" xr:uid="{0DCB8C91-AD8E-4B0F-92F7-F20B3686550D}"/>
    <cellStyle name="Comma 7 2 2 2 2 3 3" xfId="10636" xr:uid="{59E45658-6A65-4DC0-AFDF-EE8EDE339DBC}"/>
    <cellStyle name="Comma 7 2 2 2 2 3 3 2" xfId="21016" xr:uid="{50CC77C9-2C97-4BA4-BA56-D291510D5A4C}"/>
    <cellStyle name="Comma 7 2 2 2 2 3 4" xfId="24654" xr:uid="{43ADA87A-DE25-47E5-AF8E-7A546C7D213A}"/>
    <cellStyle name="Comma 7 2 2 2 2 3 5" xfId="15350" xr:uid="{E02DAF09-C053-4B2A-9C91-91990EE68988}"/>
    <cellStyle name="Comma 7 2 2 2 2 4" xfId="3674" xr:uid="{00000000-0005-0000-0000-000096020000}"/>
    <cellStyle name="Comma 7 2 2 2 2 4 2" xfId="26165" xr:uid="{EE1A87B6-5E5A-437E-A7D8-9561D25E3C72}"/>
    <cellStyle name="Comma 7 2 2 2 2 4 3" xfId="26559" xr:uid="{28E46E9E-8B0C-4098-BBDF-63BBC3B42520}"/>
    <cellStyle name="Comma 7 2 2 2 2 5" xfId="4263" xr:uid="{0243E97E-C926-436B-8727-66DF406738AD}"/>
    <cellStyle name="Comma 7 2 2 2 2 5 2" xfId="9035" xr:uid="{A8E45C93-4B20-4E43-87B3-8C7477A17BD3}"/>
    <cellStyle name="Comma 7 2 2 2 2 5 2 2" xfId="19415" xr:uid="{271900A1-0EFA-4C61-A8F0-FE6B09544BFB}"/>
    <cellStyle name="Comma 7 2 2 2 2 5 2 3" xfId="31039" xr:uid="{AA539B6E-4723-4789-AC85-1CFE67B89BFD}"/>
    <cellStyle name="Comma 7 2 2 2 2 5 2 4" xfId="30741" xr:uid="{9E89B3B5-DBDF-44A9-AA99-6000B493F40F}"/>
    <cellStyle name="Comma 7 2 2 2 2 5 3" xfId="11868" xr:uid="{F5D81B69-13BA-471C-9C12-C510DCAC0DF7}"/>
    <cellStyle name="Comma 7 2 2 2 2 5 3 2" xfId="22248" xr:uid="{CB0AF474-8390-4209-9104-6A8E86D8E350}"/>
    <cellStyle name="Comma 7 2 2 2 2 5 4" xfId="28742" xr:uid="{EA19C7E8-652F-47FF-AC00-1FC49789F6DE}"/>
    <cellStyle name="Comma 7 2 2 2 2 5 5" xfId="27321" xr:uid="{E70C4BDB-2623-4DBB-A3EF-76F0950EDEFF}"/>
    <cellStyle name="Comma 7 2 2 2 2 5 6" xfId="16582" xr:uid="{FA33C490-55B2-411E-9C14-F9FED3675DA5}"/>
    <cellStyle name="Comma 7 2 2 2 2 6" xfId="5605" xr:uid="{B95C3FE5-AEED-4C7E-98FF-7D7759036B02}"/>
    <cellStyle name="Comma 7 2 2 2 2 6 2" xfId="29722" xr:uid="{A9AFC85D-8C0D-4130-B886-7E8359B0A603}"/>
    <cellStyle name="Comma 7 2 2 2 2 6 2 2" xfId="30970" xr:uid="{8CEB5E9E-E0FF-4F20-96AA-69D70D0E860D}"/>
    <cellStyle name="Comma 7 2 2 2 2 7" xfId="23401" xr:uid="{5085FF0F-A10D-47CF-A823-16227AEA7CDF}"/>
    <cellStyle name="Comma 7 2 2 2 2 8" xfId="13087" xr:uid="{9F2FE8E8-CDEC-41BA-AA88-B7120368463F}"/>
    <cellStyle name="Comma 7 2 2 2 3" xfId="1721" xr:uid="{00000000-0005-0000-0000-000097020000}"/>
    <cellStyle name="Comma 7 2 2 2 3 2" xfId="3055" xr:uid="{00000000-0005-0000-0000-000007020000}"/>
    <cellStyle name="Comma 7 2 2 2 3 2 2" xfId="8135" xr:uid="{9DD8EB86-AB9D-4563-98E5-8E6000631C18}"/>
    <cellStyle name="Comma 7 2 2 2 3 2 2 2" xfId="28811" xr:uid="{B385DFB9-B51E-4EB7-B120-DA7AE5FC2B15}"/>
    <cellStyle name="Comma 7 2 2 2 3 2 2 2 2" xfId="31223" xr:uid="{64669DDE-E9DA-4EAC-840F-300D8458696F}"/>
    <cellStyle name="Comma 7 2 2 2 3 2 2 2 3" xfId="30743" xr:uid="{9BE22F56-5609-4E7F-8914-A50524A8AE51}"/>
    <cellStyle name="Comma 7 2 2 2 3 2 2 3" xfId="26429" xr:uid="{0C944FA2-06FD-488E-AACC-A9FABAD68813}"/>
    <cellStyle name="Comma 7 2 2 2 3 2 2 4" xfId="18515" xr:uid="{CD806919-8E08-4504-A736-0D4A4A2901C4}"/>
    <cellStyle name="Comma 7 2 2 2 3 2 3" xfId="10968" xr:uid="{BB3C8586-BB0C-4196-8BB3-1848EEAC36ED}"/>
    <cellStyle name="Comma 7 2 2 2 3 2 3 2" xfId="21348" xr:uid="{E18B5B2D-F19B-44C0-8D63-ACE6C90EA1DB}"/>
    <cellStyle name="Comma 7 2 2 2 3 2 4" xfId="25728" xr:uid="{B5ACEDD6-C652-4A8C-BF3A-4FA86FBB5315}"/>
    <cellStyle name="Comma 7 2 2 2 3 2 5" xfId="15682" xr:uid="{871FA3D3-09D6-4A00-AADD-E64EB377789A}"/>
    <cellStyle name="Comma 7 2 2 2 3 3" xfId="3648" xr:uid="{00000000-0005-0000-0000-000097020000}"/>
    <cellStyle name="Comma 7 2 2 2 3 4" xfId="4408" xr:uid="{2E431FD9-BDF8-4500-8041-84C831D3FB1C}"/>
    <cellStyle name="Comma 7 2 2 2 3 4 2" xfId="9180" xr:uid="{F943D953-EB9B-4C27-86D3-A0F6B8DC61E1}"/>
    <cellStyle name="Comma 7 2 2 2 3 4 2 2" xfId="19560" xr:uid="{B9C0123D-1762-4075-A637-E47C3ABE72BD}"/>
    <cellStyle name="Comma 7 2 2 2 3 4 2 3" xfId="31074" xr:uid="{D38E3B53-D156-4B44-AB59-891FBD40DA19}"/>
    <cellStyle name="Comma 7 2 2 2 3 4 2 4" xfId="30742" xr:uid="{5EC7C62E-B9BD-4D62-B823-6C633004A8F9}"/>
    <cellStyle name="Comma 7 2 2 2 3 4 3" xfId="12013" xr:uid="{09519B91-43A5-4736-9A80-12426DFEF32E}"/>
    <cellStyle name="Comma 7 2 2 2 3 4 3 2" xfId="22393" xr:uid="{C5EADA94-1AF1-4C0D-A8DE-9A0B643DA124}"/>
    <cellStyle name="Comma 7 2 2 2 3 4 4" xfId="16727" xr:uid="{C0CDE725-0551-42E7-9E11-26E086BBA0C0}"/>
    <cellStyle name="Comma 7 2 2 2 3 5" xfId="5606" xr:uid="{EB5E47A5-1D56-4711-A77C-730EE2D92D9D}"/>
    <cellStyle name="Comma 7 2 2 2 3 5 2" xfId="29713" xr:uid="{727D4473-6337-4C2B-993C-B70A69606063}"/>
    <cellStyle name="Comma 7 2 2 2 3 5 2 2" xfId="30971" xr:uid="{0009754D-8DF5-4501-AFC6-1CE7BF8EF82E}"/>
    <cellStyle name="Comma 7 2 2 2 3 6" xfId="23410" xr:uid="{47952A56-731E-4568-8AC9-70821F472697}"/>
    <cellStyle name="Comma 7 2 2 2 3 7" xfId="13562" xr:uid="{A2940E49-EF08-48B9-9AB5-FB9094CB5DF9}"/>
    <cellStyle name="Comma 7 2 2 2 4" xfId="1719" xr:uid="{00000000-0005-0000-0000-000098020000}"/>
    <cellStyle name="Comma 7 2 2 2 4 2" xfId="3053" xr:uid="{00000000-0005-0000-0000-000008020000}"/>
    <cellStyle name="Comma 7 2 2 2 4 2 2" xfId="8133" xr:uid="{AB1CD1AD-1E91-44E1-B630-75F307F482D7}"/>
    <cellStyle name="Comma 7 2 2 2 4 2 2 2" xfId="28810" xr:uid="{3D7BA444-D91E-48BE-ACD3-8C3C6475D6F6}"/>
    <cellStyle name="Comma 7 2 2 2 4 2 2 3" xfId="26043" xr:uid="{2D6EC994-F9D1-4D88-85E3-400361CD3E71}"/>
    <cellStyle name="Comma 7 2 2 2 4 2 2 4" xfId="18513" xr:uid="{5E2290D4-61F6-49AA-959E-BF3F80A80385}"/>
    <cellStyle name="Comma 7 2 2 2 4 2 3" xfId="10966" xr:uid="{E95DFD0E-0FDC-41FB-9F9E-3AA9CC5983E8}"/>
    <cellStyle name="Comma 7 2 2 2 4 2 3 2" xfId="21346" xr:uid="{41DF47FF-D47A-4176-8050-1F40AF0DFBCB}"/>
    <cellStyle name="Comma 7 2 2 2 4 2 4" xfId="27609" xr:uid="{75B40BA1-7099-4CA1-BC3F-36DC47B08B52}"/>
    <cellStyle name="Comma 7 2 2 2 4 2 5" xfId="15680" xr:uid="{C4C561E7-493C-4F4B-95F5-94C5F431824E}"/>
    <cellStyle name="Comma 7 2 2 2 4 3" xfId="3707" xr:uid="{00000000-0005-0000-0000-000098020000}"/>
    <cellStyle name="Comma 7 2 2 2 4 4" xfId="5604" xr:uid="{77DE114E-6658-4730-9B87-A9E53C509435}"/>
    <cellStyle name="Comma 7 2 2 2 4 4 2" xfId="29952" xr:uid="{896A5489-FC9F-470C-A32A-715D7DC9DC2F}"/>
    <cellStyle name="Comma 7 2 2 2 4 5" xfId="25222" xr:uid="{58391C3F-A9C4-4E5F-A8EB-EA62F091FF79}"/>
    <cellStyle name="Comma 7 2 2 2 4 6" xfId="13560" xr:uid="{08E8E22D-05EC-45F3-BFE8-16F150F1890A}"/>
    <cellStyle name="Comma 7 2 2 2 5" xfId="2648" xr:uid="{00000000-0005-0000-0000-000009020000}"/>
    <cellStyle name="Comma 7 2 2 2 5 2" xfId="5910" xr:uid="{3C3E7EC7-2184-4691-9AC4-BDB33C4ED1A8}"/>
    <cellStyle name="Comma 7 2 2 2 5 2 2" xfId="28586" xr:uid="{58418669-99BA-4CC0-89B2-EE7B777B1FC5}"/>
    <cellStyle name="Comma 7 2 2 2 5 2 2 2" xfId="31210" xr:uid="{41DF6F33-8D60-4576-8FB0-D042E3C8EBFB}"/>
    <cellStyle name="Comma 7 2 2 2 5 2 2 3" xfId="30744" xr:uid="{9A76BCD1-2FA8-476D-82A1-5C281FED076E}"/>
    <cellStyle name="Comma 7 2 2 2 5 2 3" xfId="26963" xr:uid="{2E4783B7-30FA-4DF3-A8A8-7F2E7330E9AB}"/>
    <cellStyle name="Comma 7 2 2 2 5 2 4" xfId="15320" xr:uid="{CC3BBC91-880B-4E9A-9856-C6A55F06FCDC}"/>
    <cellStyle name="Comma 7 2 2 2 5 3" xfId="7773" xr:uid="{594F0663-D5C0-4184-AA77-23A98EB4909A}"/>
    <cellStyle name="Comma 7 2 2 2 5 3 2" xfId="18153" xr:uid="{F98244C6-A9C1-4AA5-A5BC-4BB73E16B1FA}"/>
    <cellStyle name="Comma 7 2 2 2 5 4" xfId="10606" xr:uid="{E82D3956-4897-4A18-B09C-1BFA6B770C54}"/>
    <cellStyle name="Comma 7 2 2 2 5 4 2" xfId="20986" xr:uid="{E91407A8-0454-4D32-A5DD-9768137D237E}"/>
    <cellStyle name="Comma 7 2 2 2 5 5" xfId="23603" xr:uid="{FABF15D8-569C-4CFC-8451-848202E878C5}"/>
    <cellStyle name="Comma 7 2 2 2 5 6" xfId="13044" xr:uid="{374EFE4A-1C81-4856-B341-0B602A76181A}"/>
    <cellStyle name="Comma 7 2 2 2 6" xfId="2283" xr:uid="{00000000-0005-0000-0000-000004020000}"/>
    <cellStyle name="Comma 7 2 2 2 6 2" xfId="7410" xr:uid="{168806BB-5577-467B-9EFD-BDB65CE01807}"/>
    <cellStyle name="Comma 7 2 2 2 6 2 2" xfId="17790" xr:uid="{AC04DF24-D782-4A35-B236-16DBE715C972}"/>
    <cellStyle name="Comma 7 2 2 2 6 3" xfId="10243" xr:uid="{60D0F18A-088C-4CCE-A311-90E2133F75F2}"/>
    <cellStyle name="Comma 7 2 2 2 6 3 2" xfId="20623" xr:uid="{7E6022F5-D3A5-49DB-B8BB-23E514AF7075}"/>
    <cellStyle name="Comma 7 2 2 2 6 4" xfId="24265" xr:uid="{1EDF11DD-A7B8-4F1F-96B9-8BF7D019E926}"/>
    <cellStyle name="Comma 7 2 2 2 6 5" xfId="27304" xr:uid="{26D9E928-3AF4-42C9-918B-AE407327BB9B}"/>
    <cellStyle name="Comma 7 2 2 2 6 6" xfId="14957" xr:uid="{973B851B-8A9D-43D2-B41E-1265712A64F2}"/>
    <cellStyle name="Comma 7 2 2 2 7" xfId="3822" xr:uid="{B8F574E2-AA25-4E75-8215-ABE80016DC4D}"/>
    <cellStyle name="Comma 7 2 2 2 7 2" xfId="8655" xr:uid="{4FA3556E-1B0E-4D67-9E2F-008758AE01B9}"/>
    <cellStyle name="Comma 7 2 2 2 7 2 2" xfId="19035" xr:uid="{1DECBD5F-327B-41D5-9E46-9B338D812278}"/>
    <cellStyle name="Comma 7 2 2 2 7 3" xfId="11488" xr:uid="{344B12EC-92A0-40BE-9459-BDC2347AA1F3}"/>
    <cellStyle name="Comma 7 2 2 2 7 3 2" xfId="21868" xr:uid="{595064FF-5F6C-4022-91BC-54F4D3075E0A}"/>
    <cellStyle name="Comma 7 2 2 2 7 4" xfId="26879" xr:uid="{F3A1A5D8-CA04-472B-AD7D-DFF1D62D4585}"/>
    <cellStyle name="Comma 7 2 2 2 7 5" xfId="27213" xr:uid="{B048532B-A1AA-4267-9760-4ACB46AEED3E}"/>
    <cellStyle name="Comma 7 2 2 2 7 6" xfId="16202" xr:uid="{D7811C68-5C55-46D5-8647-4EBADA1BB060}"/>
    <cellStyle name="Comma 7 2 2 2 8" xfId="4896" xr:uid="{A421A44B-2F81-4574-89CF-D30CACCE2996}"/>
    <cellStyle name="Comma 7 2 2 2 8 2" xfId="14188" xr:uid="{11F13325-9DFF-4406-82C5-8E23844CC804}"/>
    <cellStyle name="Comma 7 2 2 2 9" xfId="6641" xr:uid="{C1FD302E-3F56-4D26-903D-69765C369B3D}"/>
    <cellStyle name="Comma 7 2 2 2 9 2" xfId="17021" xr:uid="{4A3111C2-4426-4DC4-9FFA-F6EEDB9D3103}"/>
    <cellStyle name="Comma 7 2 2 3" xfId="506" xr:uid="{00000000-0005-0000-0000-000099020000}"/>
    <cellStyle name="Comma 7 2 2 3 10" xfId="12673" xr:uid="{AD8FCEDE-D8F7-4B20-BDF8-83F9CA2032CA}"/>
    <cellStyle name="Comma 7 2 2 3 2" xfId="1723" xr:uid="{00000000-0005-0000-0000-00009A020000}"/>
    <cellStyle name="Comma 7 2 2 3 2 2" xfId="3056" xr:uid="{00000000-0005-0000-0000-00000B020000}"/>
    <cellStyle name="Comma 7 2 2 3 2 2 2" xfId="8136" xr:uid="{FDC43637-5505-4108-A063-F76F7F5EE2B1}"/>
    <cellStyle name="Comma 7 2 2 3 2 2 2 2" xfId="28812" xr:uid="{49294946-5434-40E0-B5D3-3686A8C5E893}"/>
    <cellStyle name="Comma 7 2 2 3 2 2 2 3" xfId="26251" xr:uid="{21E4736D-B08C-4A8A-B8A0-D12488E99211}"/>
    <cellStyle name="Comma 7 2 2 3 2 2 2 4" xfId="18516" xr:uid="{6459E389-DC17-4864-B565-2999C057BAC4}"/>
    <cellStyle name="Comma 7 2 2 3 2 2 3" xfId="10969" xr:uid="{68428AFE-C195-434D-89F7-C72834FEFBF3}"/>
    <cellStyle name="Comma 7 2 2 3 2 2 3 2" xfId="21349" xr:uid="{48A368FF-CF4B-4883-B34E-5D734DD48F83}"/>
    <cellStyle name="Comma 7 2 2 3 2 2 4" xfId="25758" xr:uid="{4715D39D-6099-4650-A8C8-B4F509D215AD}"/>
    <cellStyle name="Comma 7 2 2 3 2 2 5" xfId="15683" xr:uid="{D877CD2A-4C7F-4C87-9AE9-5ECD43C5D9BF}"/>
    <cellStyle name="Comma 7 2 2 3 2 3" xfId="3661" xr:uid="{00000000-0005-0000-0000-00009A020000}"/>
    <cellStyle name="Comma 7 2 2 3 2 4" xfId="5607" xr:uid="{F2C21B10-845E-4AC6-B077-E2669363A096}"/>
    <cellStyle name="Comma 7 2 2 3 2 4 2" xfId="29953" xr:uid="{D1E25D06-EBB3-4F98-B33B-12157C3439B0}"/>
    <cellStyle name="Comma 7 2 2 3 2 5" xfId="25149" xr:uid="{7D6ACC14-6C55-49B6-8559-C16E994917CA}"/>
    <cellStyle name="Comma 7 2 2 3 2 6" xfId="13563" xr:uid="{16BCFE47-E61A-41F6-8483-69C4078089DB}"/>
    <cellStyle name="Comma 7 2 2 3 3" xfId="1724" xr:uid="{00000000-0005-0000-0000-00009B020000}"/>
    <cellStyle name="Comma 7 2 2 3 3 2" xfId="2678" xr:uid="{00000000-0005-0000-0000-00000C020000}"/>
    <cellStyle name="Comma 7 2 2 3 3 2 2" xfId="7802" xr:uid="{DF6CA789-4DE1-45D0-BDAF-3D8F804FE9FA}"/>
    <cellStyle name="Comma 7 2 2 3 3 2 2 2" xfId="18182" xr:uid="{0AC53ECD-88D9-43D1-B57F-0DA34582FB5C}"/>
    <cellStyle name="Comma 7 2 2 3 3 2 3" xfId="10635" xr:uid="{CA9C5A46-7930-428C-8A09-2292D1634FA8}"/>
    <cellStyle name="Comma 7 2 2 3 3 2 3 2" xfId="21015" xr:uid="{43B5C597-4556-420A-8485-9148A41BC6BF}"/>
    <cellStyle name="Comma 7 2 2 3 3 2 4" xfId="15349" xr:uid="{FF6B8561-0DBC-45D9-8E58-3EF3059F7A44}"/>
    <cellStyle name="Comma 7 2 2 3 3 2 5" xfId="30436" xr:uid="{05238282-1775-49FC-85C1-8ED1502C2358}"/>
    <cellStyle name="Comma 7 2 2 3 3 3" xfId="3609" xr:uid="{00000000-0005-0000-0000-00009B020000}"/>
    <cellStyle name="Comma 7 2 2 3 3 4" xfId="5608" xr:uid="{BC4ED24D-C538-4B6F-951C-1BD6831C47CE}"/>
    <cellStyle name="Comma 7 2 2 3 3 4 2" xfId="29904" xr:uid="{8D00CB34-EEFC-4608-9CEE-C41B70B1020A}"/>
    <cellStyle name="Comma 7 2 2 3 3 5" xfId="23731" xr:uid="{5BC7F251-15BA-4BEA-B372-4A43F049C81F}"/>
    <cellStyle name="Comma 7 2 2 3 3 6" xfId="13086" xr:uid="{65046EA5-B577-4019-B32B-66A9B5D671AC}"/>
    <cellStyle name="Comma 7 2 2 3 4" xfId="1722" xr:uid="{00000000-0005-0000-0000-00009C020000}"/>
    <cellStyle name="Comma 7 2 2 3 4 2" xfId="4654" xr:uid="{5356B861-7AE1-4E33-8A08-0DE134BEFE34}"/>
    <cellStyle name="Comma 7 2 2 3 4 2 2" xfId="9406" xr:uid="{C61F9AEB-2CF2-45AB-8439-B80D44269620}"/>
    <cellStyle name="Comma 7 2 2 3 4 2 2 2" xfId="19786" xr:uid="{3B27F928-8CE1-4D67-AD96-FCB9AC8D097C}"/>
    <cellStyle name="Comma 7 2 2 3 4 2 3" xfId="12239" xr:uid="{B4521F81-AD1D-4AFF-80B3-261CD4D0205C}"/>
    <cellStyle name="Comma 7 2 2 3 4 2 3 2" xfId="22619" xr:uid="{5677930C-C401-4645-830D-A0B77C4C5D24}"/>
    <cellStyle name="Comma 7 2 2 3 4 2 4" xfId="27840" xr:uid="{7241895C-BB31-41E7-8E3B-F88BE0AC858A}"/>
    <cellStyle name="Comma 7 2 2 3 4 2 5" xfId="27522" xr:uid="{B67D4C20-6BD0-4B33-8818-C8EF6F28CD13}"/>
    <cellStyle name="Comma 7 2 2 3 4 2 6" xfId="16953" xr:uid="{B8D7D11B-AD17-4B7D-9F45-79219B68447A}"/>
    <cellStyle name="Comma 7 2 2 3 4 3" xfId="23415" xr:uid="{B3D99E58-3E40-48D6-AE5D-5AA65E3459AF}"/>
    <cellStyle name="Comma 7 2 2 3 5" xfId="4129" xr:uid="{877DD0B7-91C8-4047-8AB6-6A0439980FEB}"/>
    <cellStyle name="Comma 7 2 2 3 5 2" xfId="8901" xr:uid="{508AE782-02EB-43C0-B39B-7479CE7035C5}"/>
    <cellStyle name="Comma 7 2 2 3 5 2 2" xfId="29009" xr:uid="{56E699DF-9D15-4187-925C-C45DA86ACF35}"/>
    <cellStyle name="Comma 7 2 2 3 5 2 3" xfId="27387" xr:uid="{39450833-A300-4B1D-A9D8-61A6D6F6F351}"/>
    <cellStyle name="Comma 7 2 2 3 5 2 4" xfId="19281" xr:uid="{08EEC60C-0099-4E6B-80B6-8C5B3885AA62}"/>
    <cellStyle name="Comma 7 2 2 3 5 2 5" xfId="31013" xr:uid="{E512D330-B569-42B6-B9FD-CEFB02E870B3}"/>
    <cellStyle name="Comma 7 2 2 3 5 3" xfId="11734" xr:uid="{C64CFF5A-B182-4A4F-BA3A-F22E702A79C9}"/>
    <cellStyle name="Comma 7 2 2 3 5 3 2" xfId="22114" xr:uid="{14E9F653-AE5C-4638-A4B3-0B269A475DAB}"/>
    <cellStyle name="Comma 7 2 2 3 5 4" xfId="26890" xr:uid="{B69E732D-8DB3-42AC-96F1-7CDB6781D1AE}"/>
    <cellStyle name="Comma 7 2 2 3 5 5" xfId="16448" xr:uid="{4209CE48-A415-4F6C-8913-F6CCC6C937C6}"/>
    <cellStyle name="Comma 7 2 2 3 6" xfId="4897" xr:uid="{D878CDF5-7139-4AE6-BD55-5F63DCE4E7EC}"/>
    <cellStyle name="Comma 7 2 2 3 6 2" xfId="26020" xr:uid="{A8A868A9-3F59-47A1-AD5E-86D633A124B0}"/>
    <cellStyle name="Comma 7 2 2 3 6 3" xfId="28562" xr:uid="{383A136F-0150-476E-BFCB-F08B3B3269E0}"/>
    <cellStyle name="Comma 7 2 2 3 6 4" xfId="14189" xr:uid="{D18CF7B1-2A7B-4E39-BF5C-0BCE434C80AE}"/>
    <cellStyle name="Comma 7 2 2 3 7" xfId="6642" xr:uid="{D8872408-E6CD-4F1C-BAC2-A1BB6E368BAD}"/>
    <cellStyle name="Comma 7 2 2 3 7 2" xfId="26402" xr:uid="{3942AAA6-0FB2-446F-A804-53E939F1C7FD}"/>
    <cellStyle name="Comma 7 2 2 3 7 3" xfId="25994" xr:uid="{EA0CE032-A618-4632-8989-F8BBC25A4014}"/>
    <cellStyle name="Comma 7 2 2 3 7 4" xfId="17022" xr:uid="{A49136E5-4F8C-4C15-BA3B-8BB7F5B11DF4}"/>
    <cellStyle name="Comma 7 2 2 3 8" xfId="9475" xr:uid="{9720792E-05E4-4E0E-AF59-45DF63CACFC8}"/>
    <cellStyle name="Comma 7 2 2 3 8 2" xfId="19855" xr:uid="{6CA6B623-5B51-4DC1-9D5B-071502C6844E}"/>
    <cellStyle name="Comma 7 2 2 3 9" xfId="24196" xr:uid="{1E1A7BCD-344F-44B6-BD92-656BCA728504}"/>
    <cellStyle name="Comma 7 2 2 4" xfId="1725" xr:uid="{00000000-0005-0000-0000-00009D020000}"/>
    <cellStyle name="Comma 7 2 2 4 2" xfId="3057" xr:uid="{00000000-0005-0000-0000-00000D020000}"/>
    <cellStyle name="Comma 7 2 2 4 2 2" xfId="8137" xr:uid="{79932F5E-9580-48F1-8529-90BCD53E877D}"/>
    <cellStyle name="Comma 7 2 2 4 2 2 2" xfId="28813" xr:uid="{8088152D-8BD2-4879-A03F-A4091A89BE31}"/>
    <cellStyle name="Comma 7 2 2 4 2 2 2 2" xfId="31224" xr:uid="{510942B6-0D2C-405B-ABD3-31DD104B2B1D}"/>
    <cellStyle name="Comma 7 2 2 4 2 2 2 3" xfId="30746" xr:uid="{3CE79F9A-1CEF-4341-8F09-994E691C3E10}"/>
    <cellStyle name="Comma 7 2 2 4 2 2 3" xfId="26528" xr:uid="{5B02E49F-8440-4266-9801-4CAA6E4A26A9}"/>
    <cellStyle name="Comma 7 2 2 4 2 2 4" xfId="18517" xr:uid="{D7CBCCF5-8558-455B-A543-8CE073895AFD}"/>
    <cellStyle name="Comma 7 2 2 4 2 3" xfId="10970" xr:uid="{A2A86666-6078-442D-B35E-F7D351511B16}"/>
    <cellStyle name="Comma 7 2 2 4 2 3 2" xfId="21350" xr:uid="{C2A68EA7-6557-4E95-9A49-BED1CFA33D9A}"/>
    <cellStyle name="Comma 7 2 2 4 2 4" xfId="25663" xr:uid="{9629754C-A6E0-498B-8488-5138591471D4}"/>
    <cellStyle name="Comma 7 2 2 4 2 5" xfId="15684" xr:uid="{7DE48EB4-3A3C-4CF8-AD0F-9988B6357B55}"/>
    <cellStyle name="Comma 7 2 2 4 3" xfId="3680" xr:uid="{00000000-0005-0000-0000-00009D020000}"/>
    <cellStyle name="Comma 7 2 2 4 4" xfId="4409" xr:uid="{2884BD95-8C96-4C48-BFE0-B4B8C01AC220}"/>
    <cellStyle name="Comma 7 2 2 4 4 2" xfId="9181" xr:uid="{51D2ED3C-38AC-433A-8617-49E6706C9BEB}"/>
    <cellStyle name="Comma 7 2 2 4 4 2 2" xfId="19561" xr:uid="{EB9E0A14-A346-4595-B7BB-C9951BF96F16}"/>
    <cellStyle name="Comma 7 2 2 4 4 2 3" xfId="31075" xr:uid="{786407AF-304B-44BB-91C9-41B73DBEF52E}"/>
    <cellStyle name="Comma 7 2 2 4 4 2 4" xfId="30745" xr:uid="{5E54725C-897D-40F1-8695-19F030094CFB}"/>
    <cellStyle name="Comma 7 2 2 4 4 3" xfId="12014" xr:uid="{074143B9-EF08-49BE-8B75-306F0534EF6B}"/>
    <cellStyle name="Comma 7 2 2 4 4 3 2" xfId="22394" xr:uid="{3FECC5C3-10F9-4369-9243-B299ED0F971F}"/>
    <cellStyle name="Comma 7 2 2 4 4 4" xfId="27638" xr:uid="{56D38DD3-ADC5-4B8B-88E4-C6F4CB1740A2}"/>
    <cellStyle name="Comma 7 2 2 4 4 5" xfId="26102" xr:uid="{00EEF17C-FBC2-431A-A330-61A8937C351F}"/>
    <cellStyle name="Comma 7 2 2 4 4 6" xfId="16728" xr:uid="{1EECA979-426B-44BC-8F1B-4D50B564DF24}"/>
    <cellStyle name="Comma 7 2 2 4 5" xfId="5609" xr:uid="{AA8E1380-6EDE-4CFE-9E40-364B1E2958CC}"/>
    <cellStyle name="Comma 7 2 2 4 5 2" xfId="29695" xr:uid="{C51DD962-D486-41B6-AEF9-F352089D8979}"/>
    <cellStyle name="Comma 7 2 2 4 5 2 2" xfId="30972" xr:uid="{B554B0FB-577C-43D4-A599-63A4BA115F07}"/>
    <cellStyle name="Comma 7 2 2 4 6" xfId="23541" xr:uid="{6D5C53B2-FBEB-459F-9948-CB95D208CCAF}"/>
    <cellStyle name="Comma 7 2 2 4 7" xfId="13564" xr:uid="{C2F9C43F-40DF-4C76-97DD-2A17504A1907}"/>
    <cellStyle name="Comma 7 2 2 5" xfId="1726" xr:uid="{00000000-0005-0000-0000-00009E020000}"/>
    <cellStyle name="Comma 7 2 2 5 2" xfId="2875" xr:uid="{00000000-0005-0000-0000-00000E020000}"/>
    <cellStyle name="Comma 7 2 2 5 2 2" xfId="7992" xr:uid="{4F6B9913-684D-4727-8F75-69891E0FA4B4}"/>
    <cellStyle name="Comma 7 2 2 5 2 2 2" xfId="26734" xr:uid="{4DBFEF5A-2872-4625-9421-D24713D43C63}"/>
    <cellStyle name="Comma 7 2 2 5 2 2 2 2" xfId="31184" xr:uid="{FC14198E-000A-4F8E-9452-58AE2CA30190}"/>
    <cellStyle name="Comma 7 2 2 5 2 2 2 3" xfId="30747" xr:uid="{A5AC0F89-1883-4D8B-B375-FC2E34278669}"/>
    <cellStyle name="Comma 7 2 2 5 2 2 3" xfId="26064" xr:uid="{C7FAD55E-F70A-48BB-B368-DD9D077C9848}"/>
    <cellStyle name="Comma 7 2 2 5 2 2 4" xfId="18372" xr:uid="{52C4C18F-CE18-4336-BC90-203CB3284521}"/>
    <cellStyle name="Comma 7 2 2 5 2 3" xfId="10825" xr:uid="{86A97B90-213B-4491-B6A5-A7829C1DC02F}"/>
    <cellStyle name="Comma 7 2 2 5 2 3 2" xfId="21205" xr:uid="{3E5B3E22-8411-48E5-B009-F61566C96075}"/>
    <cellStyle name="Comma 7 2 2 5 2 4" xfId="27969" xr:uid="{D934AE7B-A4F7-45D2-9452-321EA8E1AD95}"/>
    <cellStyle name="Comma 7 2 2 5 2 5" xfId="15539" xr:uid="{99BA62F0-498E-4818-AE98-9AC3BADEA644}"/>
    <cellStyle name="Comma 7 2 2 5 3" xfId="3664" xr:uid="{00000000-0005-0000-0000-00009E020000}"/>
    <cellStyle name="Comma 7 2 2 5 4" xfId="5610" xr:uid="{55EE2DA4-A930-4586-860A-CC8C50FBE5EB}"/>
    <cellStyle name="Comma 7 2 2 5 4 2" xfId="29924" xr:uid="{A6817449-271B-4CF5-A4A3-F87834A3357F}"/>
    <cellStyle name="Comma 7 2 2 5 5" xfId="23494" xr:uid="{344966AD-C75E-4565-9D8C-65B71C58D1D3}"/>
    <cellStyle name="Comma 7 2 2 5 6" xfId="13371" xr:uid="{1239FB64-A269-4C61-9329-8F3A998CEBC3}"/>
    <cellStyle name="Comma 7 2 2 6" xfId="1718" xr:uid="{00000000-0005-0000-0000-00009F020000}"/>
    <cellStyle name="Comma 7 2 2 6 2" xfId="2553" xr:uid="{00000000-0005-0000-0000-00000F020000}"/>
    <cellStyle name="Comma 7 2 2 6 2 2" xfId="7678" xr:uid="{511DF218-10D3-41A3-89B2-F695E6F25ACC}"/>
    <cellStyle name="Comma 7 2 2 6 2 2 2" xfId="18058" xr:uid="{6004069A-33AE-4B86-B581-51C0F7D88F9C}"/>
    <cellStyle name="Comma 7 2 2 6 2 3" xfId="10511" xr:uid="{497BC43F-ABFB-46A9-A07C-8046F2D5D812}"/>
    <cellStyle name="Comma 7 2 2 6 2 3 2" xfId="20891" xr:uid="{5C3335A4-C0FD-452D-B831-470A2861F276}"/>
    <cellStyle name="Comma 7 2 2 6 2 4" xfId="27238" xr:uid="{1F324C63-9201-42AE-903D-289CC68FFA31}"/>
    <cellStyle name="Comma 7 2 2 6 2 5" xfId="26045" xr:uid="{86A3CDEC-0D3A-4062-A12C-B4566F55EDD6}"/>
    <cellStyle name="Comma 7 2 2 6 2 6" xfId="15225" xr:uid="{7DA14D5E-5C09-4907-AA5D-C6ADA3499B16}"/>
    <cellStyle name="Comma 7 2 2 6 3" xfId="2054" xr:uid="{00000000-0005-0000-0000-00009F020000}"/>
    <cellStyle name="Comma 7 2 2 6 4" xfId="5603" xr:uid="{60038AD0-6BE8-4865-B9B6-AD32EB2302CD}"/>
    <cellStyle name="Comma 7 2 2 6 4 2" xfId="29880" xr:uid="{E8ADF7C4-F8D2-4A89-906B-03E3C1A7B97B}"/>
    <cellStyle name="Comma 7 2 2 6 5" xfId="24801" xr:uid="{A5EB4658-B44E-47BD-80EB-AA6F6EDDBABE}"/>
    <cellStyle name="Comma 7 2 2 6 6" xfId="12941" xr:uid="{BE4D7BAC-6445-4734-AC38-348FDA98C210}"/>
    <cellStyle name="Comma 7 2 2 7" xfId="2247" xr:uid="{00000000-0005-0000-0000-000003020000}"/>
    <cellStyle name="Comma 7 2 2 7 2" xfId="7374" xr:uid="{0A111B7A-E81D-424D-93F3-A1B916F6B206}"/>
    <cellStyle name="Comma 7 2 2 7 2 2" xfId="25893" xr:uid="{3D667DB0-D6E6-4A70-BF42-4FBB51E74154}"/>
    <cellStyle name="Comma 7 2 2 7 2 2 2" xfId="31168" xr:uid="{868935A9-795E-4969-B715-257C032BF947}"/>
    <cellStyle name="Comma 7 2 2 7 2 2 3" xfId="30748" xr:uid="{C0A2DEC5-358A-4E0F-873B-906DEBD77BD4}"/>
    <cellStyle name="Comma 7 2 2 7 2 3" xfId="28631" xr:uid="{33470BA6-13F0-4CAA-8D70-DA911E3060B6}"/>
    <cellStyle name="Comma 7 2 2 7 2 4" xfId="17754" xr:uid="{044D9C97-1D62-4CAB-9159-3ACBE2736603}"/>
    <cellStyle name="Comma 7 2 2 7 3" xfId="10207" xr:uid="{1BC0BCFE-BB52-4B67-AA21-6840686D4F59}"/>
    <cellStyle name="Comma 7 2 2 7 3 2" xfId="20587" xr:uid="{8F17904A-0E3E-47D7-A407-A0DF32549C9E}"/>
    <cellStyle name="Comma 7 2 2 7 4" xfId="25080" xr:uid="{7D39C3BA-B1B2-41F6-BD33-4BBF2AF309A4}"/>
    <cellStyle name="Comma 7 2 2 7 5" xfId="14921" xr:uid="{F2893B11-4C57-4B13-910A-C78E21261ED0}"/>
    <cellStyle name="Comma 7 2 2 8" xfId="3870" xr:uid="{3E5C70AC-0E52-4D30-97B8-177BC30558FD}"/>
    <cellStyle name="Comma 7 2 2 8 2" xfId="8702" xr:uid="{1DF26086-E6D6-46BB-B3D5-9CA7B3E1C7BB}"/>
    <cellStyle name="Comma 7 2 2 8 2 2" xfId="19082" xr:uid="{822059CC-170D-49E2-A8CE-24D298477B31}"/>
    <cellStyle name="Comma 7 2 2 8 3" xfId="11535" xr:uid="{F6DFD62A-5711-43E9-8060-0F22CCA3C240}"/>
    <cellStyle name="Comma 7 2 2 8 3 2" xfId="21915" xr:uid="{58C42CCD-D5F7-42B2-9D23-79A52F8A1A51}"/>
    <cellStyle name="Comma 7 2 2 8 4" xfId="28303" xr:uid="{F97E2B0D-F2EA-4A21-8D3C-320537C9CB57}"/>
    <cellStyle name="Comma 7 2 2 8 5" xfId="28031" xr:uid="{9085F826-80DB-438C-B89D-6546D59AF92F}"/>
    <cellStyle name="Comma 7 2 2 8 6" xfId="16249" xr:uid="{D3E7F2A1-878F-4CC9-8BAC-43A374FE8C04}"/>
    <cellStyle name="Comma 7 2 2 9" xfId="4895" xr:uid="{4DFEC7DB-B081-428A-8B77-89C1B1AA1200}"/>
    <cellStyle name="Comma 7 2 2 9 2" xfId="26377" xr:uid="{9BB1FB6C-B00A-4ACE-BB8F-92CA74CD27D6}"/>
    <cellStyle name="Comma 7 2 2 9 3" xfId="28246" xr:uid="{FAF7AA94-202C-4370-BBA3-E9C59EA1FA8A}"/>
    <cellStyle name="Comma 7 2 2 9 4" xfId="14187" xr:uid="{5A687EC5-4251-4604-8602-52EBD6AE30D7}"/>
    <cellStyle name="Comma 7 2 3" xfId="507" xr:uid="{00000000-0005-0000-0000-0000A0020000}"/>
    <cellStyle name="Comma 7 2 3 10" xfId="9476" xr:uid="{9A1EE7D6-C029-4AB9-A969-2BA6818C8415}"/>
    <cellStyle name="Comma 7 2 3 10 2" xfId="19856" xr:uid="{51A573A9-F72F-4EF7-8550-32B5AF735BD6}"/>
    <cellStyle name="Comma 7 2 3 11" xfId="23201" xr:uid="{A3085440-9DAC-41F5-B662-E357843B7000}"/>
    <cellStyle name="Comma 7 2 3 12" xfId="12514" xr:uid="{28831415-CA58-4F90-B505-6EF8E940A66B}"/>
    <cellStyle name="Comma 7 2 3 2" xfId="1728" xr:uid="{00000000-0005-0000-0000-0000A1020000}"/>
    <cellStyle name="Comma 7 2 3 2 2" xfId="3059" xr:uid="{00000000-0005-0000-0000-000012020000}"/>
    <cellStyle name="Comma 7 2 3 2 2 2" xfId="6167" xr:uid="{3D1BB39A-3BE3-4005-9137-0D2C1CF87CF9}"/>
    <cellStyle name="Comma 7 2 3 2 2 2 2" xfId="25762" xr:uid="{316FF5C7-2B37-4870-B6B2-DFE4297A211E}"/>
    <cellStyle name="Comma 7 2 3 2 2 2 2 2" xfId="26440" xr:uid="{0BA1EC53-1CE3-4703-B000-7F9D92004D12}"/>
    <cellStyle name="Comma 7 2 3 2 2 2 2 3" xfId="31164" xr:uid="{C56FF428-67DB-4E35-8FFF-769DCB0D3C42}"/>
    <cellStyle name="Comma 7 2 3 2 2 2 3" xfId="28541" xr:uid="{E85FCAA5-7D0F-4031-91D6-C7896D217910}"/>
    <cellStyle name="Comma 7 2 3 2 2 2 4" xfId="15686" xr:uid="{C1FBB8FC-223C-45A8-99CA-92BA6AF463C5}"/>
    <cellStyle name="Comma 7 2 3 2 2 3" xfId="8139" xr:uid="{2973F88F-A6E1-45E5-B16C-3F4539239A22}"/>
    <cellStyle name="Comma 7 2 3 2 2 3 2" xfId="18519" xr:uid="{D967F906-A1D0-4172-B366-44AF5DDC14C4}"/>
    <cellStyle name="Comma 7 2 3 2 2 4" xfId="10972" xr:uid="{8B31D45B-778C-4090-8F6C-83F37C85A7D2}"/>
    <cellStyle name="Comma 7 2 3 2 2 4 2" xfId="21352" xr:uid="{C7ADC56C-2AE9-4D69-B395-4FDC3C4D1559}"/>
    <cellStyle name="Comma 7 2 3 2 2 5" xfId="23426" xr:uid="{A678EA77-348C-42CF-BBAD-179C4B03D329}"/>
    <cellStyle name="Comma 7 2 3 2 2 5 2" xfId="30072" xr:uid="{CA91868D-1CB6-464E-8CBF-4DCD3DCE018A}"/>
    <cellStyle name="Comma 7 2 3 2 2 6" xfId="28625" xr:uid="{3E47D2C0-5F25-4679-93BB-CCDF18DDD730}"/>
    <cellStyle name="Comma 7 2 3 2 2 7" xfId="13566" xr:uid="{E4A03419-9976-4CDD-BE52-9C868E540586}"/>
    <cellStyle name="Comma 7 2 3 2 3" xfId="2680" xr:uid="{00000000-0005-0000-0000-000011020000}"/>
    <cellStyle name="Comma 7 2 3 2 3 2" xfId="7804" xr:uid="{B0EBD1CB-FB67-4C13-8BE8-49AF77AFAE80}"/>
    <cellStyle name="Comma 7 2 3 2 3 2 2" xfId="26445" xr:uid="{84B21BBA-EEFF-4F82-B9D0-0102C2AA2028}"/>
    <cellStyle name="Comma 7 2 3 2 3 2 3" xfId="28100" xr:uid="{E2998CDD-8A94-4A0D-A7EC-C6F4E022FA6E}"/>
    <cellStyle name="Comma 7 2 3 2 3 2 4" xfId="18184" xr:uid="{5C0C3576-2C95-4198-A4E7-84111A4C940E}"/>
    <cellStyle name="Comma 7 2 3 2 3 3" xfId="10637" xr:uid="{CA16C7B1-DF6A-4EBB-B787-C0D297536080}"/>
    <cellStyle name="Comma 7 2 3 2 3 3 2" xfId="21017" xr:uid="{DE856001-DDF3-41DB-8B31-FF6E1CF1FF49}"/>
    <cellStyle name="Comma 7 2 3 2 3 4" xfId="24726" xr:uid="{3D1B4EA1-45C2-437A-B500-A52569CE8785}"/>
    <cellStyle name="Comma 7 2 3 2 3 5" xfId="15351" xr:uid="{C3C939CB-FB45-4728-982A-733B2CDD9502}"/>
    <cellStyle name="Comma 7 2 3 2 4" xfId="3572" xr:uid="{00000000-0005-0000-0000-0000A1020000}"/>
    <cellStyle name="Comma 7 2 3 2 4 2" xfId="27494" xr:uid="{E74C66D3-BDDD-4527-9E91-499D01B416C2}"/>
    <cellStyle name="Comma 7 2 3 2 4 3" xfId="26596" xr:uid="{6A9E456A-B61A-489A-9460-E446CE99DB04}"/>
    <cellStyle name="Comma 7 2 3 2 5" xfId="4264" xr:uid="{2A99CC70-A246-4DA0-9BEB-785BD96D665B}"/>
    <cellStyle name="Comma 7 2 3 2 5 2" xfId="9036" xr:uid="{A74E6E0D-F160-4EDC-A927-A8D788DDB4A0}"/>
    <cellStyle name="Comma 7 2 3 2 5 2 2" xfId="19416" xr:uid="{BD96A8F4-C2A0-41F4-9E4C-83662DAB7A81}"/>
    <cellStyle name="Comma 7 2 3 2 5 2 3" xfId="31040" xr:uid="{75B026AB-7DD8-43E2-9850-05B56B1C9A25}"/>
    <cellStyle name="Comma 7 2 3 2 5 2 4" xfId="30749" xr:uid="{3152E72E-1085-4AC3-8737-1EDAD6857F17}"/>
    <cellStyle name="Comma 7 2 3 2 5 3" xfId="11869" xr:uid="{176C1908-BD14-480D-8D63-CA0ED9B0AD99}"/>
    <cellStyle name="Comma 7 2 3 2 5 3 2" xfId="22249" xr:uid="{7922417B-368A-4540-B1BF-26A882939E9B}"/>
    <cellStyle name="Comma 7 2 3 2 5 4" xfId="27862" xr:uid="{FC47FD16-5367-4145-BA0C-07B44C4F0EBA}"/>
    <cellStyle name="Comma 7 2 3 2 5 5" xfId="27583" xr:uid="{CCAA9180-D060-4ED8-AF68-4C119E44468E}"/>
    <cellStyle name="Comma 7 2 3 2 5 6" xfId="16583" xr:uid="{D62F26F6-0D44-420C-91AE-75F6FFD9E244}"/>
    <cellStyle name="Comma 7 2 3 2 6" xfId="5612" xr:uid="{86CDC6DC-A307-48F6-9100-257FBDE1EE07}"/>
    <cellStyle name="Comma 7 2 3 2 6 2" xfId="29723" xr:uid="{3978CA91-463F-4FB3-83B5-1A479610C314}"/>
    <cellStyle name="Comma 7 2 3 2 6 2 2" xfId="30973" xr:uid="{FBC6C47D-C56E-4878-A380-938D7859EBA3}"/>
    <cellStyle name="Comma 7 2 3 2 7" xfId="24740" xr:uid="{113CF7D5-3CC3-4C78-AA45-6BB36B301A7F}"/>
    <cellStyle name="Comma 7 2 3 2 8" xfId="13088" xr:uid="{84212721-431A-4A5B-A3B6-C12D2C24C27E}"/>
    <cellStyle name="Comma 7 2 3 2 9" xfId="29990" xr:uid="{E6F54CCC-E5B6-4A92-8CFB-C7AA169FBB12}"/>
    <cellStyle name="Comma 7 2 3 3" xfId="1729" xr:uid="{00000000-0005-0000-0000-0000A2020000}"/>
    <cellStyle name="Comma 7 2 3 3 2" xfId="3060" xr:uid="{00000000-0005-0000-0000-000013020000}"/>
    <cellStyle name="Comma 7 2 3 3 2 2" xfId="8140" xr:uid="{6DAF77EB-FB96-4AC8-BEE8-6FEAC97173DB}"/>
    <cellStyle name="Comma 7 2 3 3 2 2 2" xfId="28815" xr:uid="{72C055C4-39FE-4BAF-9ABB-F310BE8341FA}"/>
    <cellStyle name="Comma 7 2 3 3 2 2 2 2" xfId="31225" xr:uid="{C8EBC6BE-55BB-4085-B6E1-FC370F250ABF}"/>
    <cellStyle name="Comma 7 2 3 3 2 2 2 3" xfId="30751" xr:uid="{D91F4771-FE89-42CC-ACEC-7AC06163A138}"/>
    <cellStyle name="Comma 7 2 3 3 2 2 3" xfId="28221" xr:uid="{708B1898-A359-47D4-B173-0705408D1A01}"/>
    <cellStyle name="Comma 7 2 3 3 2 2 4" xfId="18520" xr:uid="{177D7A2C-5452-4A0F-B0A5-9148CA5FD390}"/>
    <cellStyle name="Comma 7 2 3 3 2 3" xfId="10973" xr:uid="{CF23F9BB-E2C2-467A-AF01-34347383401B}"/>
    <cellStyle name="Comma 7 2 3 3 2 3 2" xfId="21353" xr:uid="{0A5A92A7-0214-4E75-AF35-1495ECB17C0F}"/>
    <cellStyle name="Comma 7 2 3 3 2 4" xfId="23391" xr:uid="{298BF98D-F159-49C5-B22D-BE5AD390A8AC}"/>
    <cellStyle name="Comma 7 2 3 3 2 5" xfId="15687" xr:uid="{9E81E762-4D76-4ADD-BF8D-521D2D21A73D}"/>
    <cellStyle name="Comma 7 2 3 3 3" xfId="3565" xr:uid="{00000000-0005-0000-0000-0000A2020000}"/>
    <cellStyle name="Comma 7 2 3 3 4" xfId="4410" xr:uid="{B4AA6C36-AE1E-44DC-994E-4825DBBD8F35}"/>
    <cellStyle name="Comma 7 2 3 3 4 2" xfId="9182" xr:uid="{85587B4D-CAD4-4032-8AD5-A59B4106C247}"/>
    <cellStyle name="Comma 7 2 3 3 4 2 2" xfId="19562" xr:uid="{7534E3E2-ADF5-4EAE-B6DD-2F9EF213E93F}"/>
    <cellStyle name="Comma 7 2 3 3 4 2 3" xfId="31076" xr:uid="{135B9B38-57A7-4FCB-B543-F2903615F848}"/>
    <cellStyle name="Comma 7 2 3 3 4 2 4" xfId="30750" xr:uid="{C0FDE45D-0A74-4B48-B868-CC3A381D3938}"/>
    <cellStyle name="Comma 7 2 3 3 4 3" xfId="12015" xr:uid="{06A06909-35C8-4873-987F-AACAE88E6A0D}"/>
    <cellStyle name="Comma 7 2 3 3 4 3 2" xfId="22395" xr:uid="{C8309B11-D9E9-4E6B-BE78-44B8F03D00F4}"/>
    <cellStyle name="Comma 7 2 3 3 4 4" xfId="16729" xr:uid="{3FE30A88-23F4-429B-971D-5405FB557D2F}"/>
    <cellStyle name="Comma 7 2 3 3 5" xfId="5613" xr:uid="{0B567FCE-3EAD-430A-ADFC-79476E3F8D8B}"/>
    <cellStyle name="Comma 7 2 3 3 5 2" xfId="29700" xr:uid="{8F0345B5-C42A-4F97-AC9E-5A49983112D6}"/>
    <cellStyle name="Comma 7 2 3 3 5 2 2" xfId="30974" xr:uid="{49AB00ED-D3D7-42C2-B932-B7FA414535C5}"/>
    <cellStyle name="Comma 7 2 3 3 6" xfId="22735" xr:uid="{7F3E24BF-5A0E-4D79-A227-E0F794633307}"/>
    <cellStyle name="Comma 7 2 3 3 7" xfId="13567" xr:uid="{87DECCAD-5422-434D-BCDF-8063B4A346C0}"/>
    <cellStyle name="Comma 7 2 3 4" xfId="1727" xr:uid="{00000000-0005-0000-0000-0000A3020000}"/>
    <cellStyle name="Comma 7 2 3 4 2" xfId="3058" xr:uid="{00000000-0005-0000-0000-000014020000}"/>
    <cellStyle name="Comma 7 2 3 4 2 2" xfId="8138" xr:uid="{A8203D9E-E043-4B8A-BF67-57D3E61E6E7D}"/>
    <cellStyle name="Comma 7 2 3 4 2 2 2" xfId="28814" xr:uid="{F0E91839-7605-4CCB-A5B1-E1A2CC00B1DC}"/>
    <cellStyle name="Comma 7 2 3 4 2 2 3" xfId="26227" xr:uid="{D198E1A3-1E03-417A-9006-F3344715DFEA}"/>
    <cellStyle name="Comma 7 2 3 4 2 2 4" xfId="18518" xr:uid="{57346C15-DEEB-4790-B4C1-7FAB484851C6}"/>
    <cellStyle name="Comma 7 2 3 4 2 3" xfId="10971" xr:uid="{CEFFE88F-6E64-4128-9614-3DE420D09D09}"/>
    <cellStyle name="Comma 7 2 3 4 2 3 2" xfId="21351" xr:uid="{756BA5ED-BEDD-4A1C-ADDC-B0A7EB7277EF}"/>
    <cellStyle name="Comma 7 2 3 4 2 4" xfId="25703" xr:uid="{1F9F094F-723B-46B5-9CA0-C2DD8CF7C7C3}"/>
    <cellStyle name="Comma 7 2 3 4 2 5" xfId="15685" xr:uid="{2A2B50CF-0E31-4926-9228-892F3D69281D}"/>
    <cellStyle name="Comma 7 2 3 4 3" xfId="3601" xr:uid="{00000000-0005-0000-0000-0000A3020000}"/>
    <cellStyle name="Comma 7 2 3 4 4" xfId="5611" xr:uid="{B015D05F-1EF5-4A33-9017-141199658DDE}"/>
    <cellStyle name="Comma 7 2 3 4 4 2" xfId="29954" xr:uid="{6F5E6FF8-BD18-41B0-9298-1562BF4F1B7A}"/>
    <cellStyle name="Comma 7 2 3 4 5" xfId="23295" xr:uid="{A2C967C4-EA4B-4F18-A429-9C1E97BD0EC3}"/>
    <cellStyle name="Comma 7 2 3 4 6" xfId="13565" xr:uid="{260DE583-A7E0-4BE6-BE16-F57B406F1EBB}"/>
    <cellStyle name="Comma 7 2 3 5" xfId="2596" xr:uid="{00000000-0005-0000-0000-000015020000}"/>
    <cellStyle name="Comma 7 2 3 5 2" xfId="5861" xr:uid="{DCA6FFBF-13D6-4EB6-9BC2-24CAD4DEF891}"/>
    <cellStyle name="Comma 7 2 3 5 2 2" xfId="26663" xr:uid="{747733F0-5315-4476-965E-D92D7DE4A8B1}"/>
    <cellStyle name="Comma 7 2 3 5 2 2 2" xfId="31182" xr:uid="{20ACC1DA-DDA0-4DFF-BBE4-E7B9006F30B2}"/>
    <cellStyle name="Comma 7 2 3 5 2 2 3" xfId="30752" xr:uid="{D28CA131-6C32-427C-80B1-1949D54DB141}"/>
    <cellStyle name="Comma 7 2 3 5 2 3" xfId="25962" xr:uid="{D17284AE-DAD2-4375-966B-799D91095B07}"/>
    <cellStyle name="Comma 7 2 3 5 2 4" xfId="15268" xr:uid="{D91D6154-E1B9-4EC6-BBBD-F60F6FD5A178}"/>
    <cellStyle name="Comma 7 2 3 5 3" xfId="7721" xr:uid="{CA472964-12B8-44F9-9DB3-E23253F45684}"/>
    <cellStyle name="Comma 7 2 3 5 3 2" xfId="18101" xr:uid="{F2F47DE1-F74C-4E0E-BE63-BE508F071316}"/>
    <cellStyle name="Comma 7 2 3 5 4" xfId="10554" xr:uid="{F69A24F4-5378-4805-AA93-7CBAAD0869DA}"/>
    <cellStyle name="Comma 7 2 3 5 4 2" xfId="20934" xr:uid="{DF1FA347-EFD0-4A21-99B8-3744DD0E6CBA}"/>
    <cellStyle name="Comma 7 2 3 5 5" xfId="24914" xr:uid="{83E8E163-ACD3-4505-A590-F3D0B6F827E6}"/>
    <cellStyle name="Comma 7 2 3 5 6" xfId="12984" xr:uid="{3A212F0B-0751-4EF9-BCD0-D99948C74859}"/>
    <cellStyle name="Comma 7 2 3 6" xfId="2282" xr:uid="{00000000-0005-0000-0000-000010020000}"/>
    <cellStyle name="Comma 7 2 3 6 2" xfId="7409" xr:uid="{B4A9D789-B2EE-4B47-B9A1-7E513E25A26A}"/>
    <cellStyle name="Comma 7 2 3 6 2 2" xfId="17789" xr:uid="{AC686961-C587-431C-BF82-8F93915F1A31}"/>
    <cellStyle name="Comma 7 2 3 6 3" xfId="10242" xr:uid="{0338E169-2F5F-4093-A5DC-CE942BEFF0F1}"/>
    <cellStyle name="Comma 7 2 3 6 3 2" xfId="20622" xr:uid="{F2E16EE8-6B9C-4324-B188-957791626B0F}"/>
    <cellStyle name="Comma 7 2 3 6 4" xfId="22780" xr:uid="{38695AE0-4EA9-4DC8-957A-0D8720EF8BD4}"/>
    <cellStyle name="Comma 7 2 3 6 5" xfId="25940" xr:uid="{55CE7175-F668-4D91-BF21-F392D9022484}"/>
    <cellStyle name="Comma 7 2 3 6 6" xfId="14956" xr:uid="{532DAA4E-429B-4A50-BD7B-BDEBDF65A81B}"/>
    <cellStyle name="Comma 7 2 3 7" xfId="3821" xr:uid="{7C51F2B8-CC43-45CA-B458-319A66C14278}"/>
    <cellStyle name="Comma 7 2 3 7 2" xfId="8654" xr:uid="{4A191CAA-6F56-4637-B13D-626DFABA59C3}"/>
    <cellStyle name="Comma 7 2 3 7 2 2" xfId="19034" xr:uid="{16DF19C1-C7F4-4AC9-9576-AA1D869283EE}"/>
    <cellStyle name="Comma 7 2 3 7 3" xfId="11487" xr:uid="{CBE1CE50-7D32-47DF-B101-472B84563998}"/>
    <cellStyle name="Comma 7 2 3 7 3 2" xfId="21867" xr:uid="{2A9D3C64-261B-4E3A-8DA7-B7F1014FB2C1}"/>
    <cellStyle name="Comma 7 2 3 7 4" xfId="28412" xr:uid="{DB70D8DA-2F1B-4D63-BF9A-D4AE8CD4D414}"/>
    <cellStyle name="Comma 7 2 3 7 5" xfId="27097" xr:uid="{C9998E32-78FF-4413-85A6-CA6AFF7772DE}"/>
    <cellStyle name="Comma 7 2 3 7 6" xfId="16201" xr:uid="{E4D98F7D-753A-43F1-8912-5551AE6EA406}"/>
    <cellStyle name="Comma 7 2 3 8" xfId="4898" xr:uid="{9A91274E-C3CE-47C3-B40C-A471000DA48E}"/>
    <cellStyle name="Comma 7 2 3 8 2" xfId="14190" xr:uid="{795A9D83-4AB8-4BED-AFF9-FF66176815DE}"/>
    <cellStyle name="Comma 7 2 3 9" xfId="6643" xr:uid="{3813FBD2-3F6E-409D-A87D-F462F655882B}"/>
    <cellStyle name="Comma 7 2 3 9 2" xfId="17023" xr:uid="{C5FDEBD5-83DC-4CFA-A902-FB84FCAA94D2}"/>
    <cellStyle name="Comma 7 2 4" xfId="508" xr:uid="{00000000-0005-0000-0000-0000A4020000}"/>
    <cellStyle name="Comma 7 2 4 10" xfId="12672" xr:uid="{0F75D37F-2AB0-46C8-BB5F-86CCD232BDC9}"/>
    <cellStyle name="Comma 7 2 4 2" xfId="1731" xr:uid="{00000000-0005-0000-0000-0000A5020000}"/>
    <cellStyle name="Comma 7 2 4 2 2" xfId="3061" xr:uid="{00000000-0005-0000-0000-000017020000}"/>
    <cellStyle name="Comma 7 2 4 2 2 2" xfId="8141" xr:uid="{A728D78D-D3BA-44A1-8EAC-AC5DE74B610A}"/>
    <cellStyle name="Comma 7 2 4 2 2 2 2" xfId="28816" xr:uid="{89AF36A5-0852-41A9-BB9C-4EA8DA930051}"/>
    <cellStyle name="Comma 7 2 4 2 2 2 3" xfId="28611" xr:uid="{DA8B76BE-83BD-4F2B-B209-FB3509ED7A52}"/>
    <cellStyle name="Comma 7 2 4 2 2 2 4" xfId="18521" xr:uid="{CE2BBE12-C50C-43BE-B73C-FBF019286217}"/>
    <cellStyle name="Comma 7 2 4 2 2 3" xfId="10974" xr:uid="{AEF5F852-AEC6-488B-BB8B-CB5A68A69607}"/>
    <cellStyle name="Comma 7 2 4 2 2 3 2" xfId="21354" xr:uid="{18923E47-6CA9-486E-9FC3-D0EF8E1044B0}"/>
    <cellStyle name="Comma 7 2 4 2 2 4" xfId="24492" xr:uid="{49EF89CE-2EBF-493D-B300-519FCF13E3FF}"/>
    <cellStyle name="Comma 7 2 4 2 2 5" xfId="15688" xr:uid="{07D45072-101C-4827-B8D1-A00007F60C66}"/>
    <cellStyle name="Comma 7 2 4 2 3" xfId="3578" xr:uid="{00000000-0005-0000-0000-0000A5020000}"/>
    <cellStyle name="Comma 7 2 4 2 4" xfId="5614" xr:uid="{B5F8E063-CC13-48F7-B354-52022C29F059}"/>
    <cellStyle name="Comma 7 2 4 2 4 2" xfId="29778" xr:uid="{717A8B57-F613-4934-A2BA-B4DA41722BE9}"/>
    <cellStyle name="Comma 7 2 4 2 5" xfId="24118" xr:uid="{23CFE5B5-814A-40B4-9D61-E5FD329C9B00}"/>
    <cellStyle name="Comma 7 2 4 2 6" xfId="13568" xr:uid="{A0F3A37A-EBFE-48B6-B3C3-4DFB0EB26A7A}"/>
    <cellStyle name="Comma 7 2 4 3" xfId="1732" xr:uid="{00000000-0005-0000-0000-0000A6020000}"/>
    <cellStyle name="Comma 7 2 4 3 2" xfId="2677" xr:uid="{00000000-0005-0000-0000-000018020000}"/>
    <cellStyle name="Comma 7 2 4 3 2 2" xfId="7801" xr:uid="{C348185F-03C6-41CC-B8E9-D9C1761E344B}"/>
    <cellStyle name="Comma 7 2 4 3 2 2 2" xfId="18181" xr:uid="{DFAC234B-F94F-4626-A62F-A1BB81C64ADB}"/>
    <cellStyle name="Comma 7 2 4 3 2 3" xfId="10634" xr:uid="{828F7050-5423-43A9-94F4-6C4CDEA9DDE5}"/>
    <cellStyle name="Comma 7 2 4 3 2 3 2" xfId="21014" xr:uid="{36910243-03A5-4384-AA37-543A06460B11}"/>
    <cellStyle name="Comma 7 2 4 3 2 4" xfId="15348" xr:uid="{9253CB1D-A89C-49CE-9543-5EEAEF68F735}"/>
    <cellStyle name="Comma 7 2 4 3 2 5" xfId="30437" xr:uid="{DF58A38D-B193-4A6E-8EE2-33862B27ADE5}"/>
    <cellStyle name="Comma 7 2 4 3 3" xfId="3690" xr:uid="{00000000-0005-0000-0000-0000A6020000}"/>
    <cellStyle name="Comma 7 2 4 3 4" xfId="5615" xr:uid="{9A822023-40EF-4024-BA32-71C8DA489B1B}"/>
    <cellStyle name="Comma 7 2 4 3 4 2" xfId="29754" xr:uid="{74AF2044-288C-4259-962B-6890C3AD7521}"/>
    <cellStyle name="Comma 7 2 4 3 5" xfId="25151" xr:uid="{8BA78B38-A904-4BC8-A518-F8221BA04843}"/>
    <cellStyle name="Comma 7 2 4 3 6" xfId="13085" xr:uid="{D69D46B7-6D00-4963-9FAC-B7590A5733C5}"/>
    <cellStyle name="Comma 7 2 4 4" xfId="1730" xr:uid="{00000000-0005-0000-0000-0000A7020000}"/>
    <cellStyle name="Comma 7 2 4 4 2" xfId="4677" xr:uid="{7FF1F726-48C0-4E3C-8436-57B334712BE9}"/>
    <cellStyle name="Comma 7 2 4 4 2 2" xfId="9415" xr:uid="{468889FF-DCE8-4C28-9427-D11CA555BBF5}"/>
    <cellStyle name="Comma 7 2 4 4 2 2 2" xfId="19795" xr:uid="{4B9EAE61-5D7A-433F-9001-56AD026AB1A4}"/>
    <cellStyle name="Comma 7 2 4 4 2 3" xfId="12248" xr:uid="{914BC7BF-38FC-4241-90D1-5043D7C1FF68}"/>
    <cellStyle name="Comma 7 2 4 4 2 3 2" xfId="22628" xr:uid="{E28FA847-DDCB-4995-8906-BCE8094CB064}"/>
    <cellStyle name="Comma 7 2 4 4 2 4" xfId="26498" xr:uid="{94586D6B-A30A-4D76-B5BD-173D1CE0B96C}"/>
    <cellStyle name="Comma 7 2 4 4 2 5" xfId="27248" xr:uid="{E82C3440-ECE4-49EB-9077-40D8BBDA0902}"/>
    <cellStyle name="Comma 7 2 4 4 2 6" xfId="16962" xr:uid="{2B0C225D-4B8D-4735-81B0-BE64B512E9FE}"/>
    <cellStyle name="Comma 7 2 4 4 3" xfId="23754" xr:uid="{7F869A60-CCC8-4E3A-927A-1271C14749AF}"/>
    <cellStyle name="Comma 7 2 4 5" xfId="4128" xr:uid="{BFC5390C-2A59-45AD-B9E0-6FFEDD33AB4A}"/>
    <cellStyle name="Comma 7 2 4 5 2" xfId="8900" xr:uid="{6EBE8FDF-A200-45D7-9A14-36305788F322}"/>
    <cellStyle name="Comma 7 2 4 5 2 2" xfId="29008" xr:uid="{F76C256F-2A0C-43FA-83BA-AC50FA9B536B}"/>
    <cellStyle name="Comma 7 2 4 5 2 3" xfId="28274" xr:uid="{99C088C2-E00F-4872-9DA8-21F1F3CC2BB8}"/>
    <cellStyle name="Comma 7 2 4 5 2 4" xfId="19280" xr:uid="{C81C9A0B-602C-40C2-837B-F986A081BC61}"/>
    <cellStyle name="Comma 7 2 4 5 2 5" xfId="31012" xr:uid="{4DF67780-7E6B-44B0-A3FE-2A2D9262F36F}"/>
    <cellStyle name="Comma 7 2 4 5 3" xfId="11733" xr:uid="{C7BFC475-CBC2-4F71-9CE0-B99840601691}"/>
    <cellStyle name="Comma 7 2 4 5 3 2" xfId="22113" xr:uid="{E2EF3D74-CD16-4679-AA48-2C05745F7341}"/>
    <cellStyle name="Comma 7 2 4 5 4" xfId="24824" xr:uid="{6D9BBF71-CD7F-445E-A2D8-2804763286F0}"/>
    <cellStyle name="Comma 7 2 4 5 5" xfId="16447" xr:uid="{51474418-17BA-4F2F-B2BB-9B832888E53D}"/>
    <cellStyle name="Comma 7 2 4 6" xfId="4899" xr:uid="{162CEDC1-43B7-474C-95C3-A9B92E1CEDD6}"/>
    <cellStyle name="Comma 7 2 4 6 2" xfId="26336" xr:uid="{E3826C55-B617-4C79-9E8E-6D8184763DB6}"/>
    <cellStyle name="Comma 7 2 4 6 3" xfId="27379" xr:uid="{CC5EA816-BCAB-4DD0-9F6F-EA1794A502AC}"/>
    <cellStyle name="Comma 7 2 4 6 4" xfId="14191" xr:uid="{780B2F84-923D-46AF-8682-AD3692052103}"/>
    <cellStyle name="Comma 7 2 4 7" xfId="6644" xr:uid="{5D8DACF2-E277-40ED-A57A-E778E0DD682F}"/>
    <cellStyle name="Comma 7 2 4 7 2" xfId="27844" xr:uid="{7526C40F-C96C-4739-A2A7-4651BE80C5D5}"/>
    <cellStyle name="Comma 7 2 4 7 3" xfId="28600" xr:uid="{9FF9AF63-491D-40E3-AE82-EAAEB0E7E63D}"/>
    <cellStyle name="Comma 7 2 4 7 4" xfId="17024" xr:uid="{531D5670-B963-4C71-9CD4-4A5F6FD23B89}"/>
    <cellStyle name="Comma 7 2 4 8" xfId="9477" xr:uid="{987F5DE1-40AF-4B68-878D-FBEB5AE91EB9}"/>
    <cellStyle name="Comma 7 2 4 8 2" xfId="19857" xr:uid="{CE8EC75E-57B7-41B6-B4F8-8E109E7DF603}"/>
    <cellStyle name="Comma 7 2 4 9" xfId="24524" xr:uid="{3065228A-29D9-417F-9B00-790F2E229799}"/>
    <cellStyle name="Comma 7 2 5" xfId="509" xr:uid="{00000000-0005-0000-0000-0000A8020000}"/>
    <cellStyle name="Comma 7 2 5 10" xfId="13569" xr:uid="{337843CD-D89E-4EB7-B629-1C4D0EFED20D}"/>
    <cellStyle name="Comma 7 2 5 2" xfId="1734" xr:uid="{00000000-0005-0000-0000-0000A9020000}"/>
    <cellStyle name="Comma 7 2 5 2 2" xfId="23807" xr:uid="{0011FB13-E713-469D-B8B6-F6B81812F5A4}"/>
    <cellStyle name="Comma 7 2 5 2 2 2" xfId="29809" xr:uid="{204B9508-2436-4FC6-8C97-CBC6E74FC93F}"/>
    <cellStyle name="Comma 7 2 5 2 2 2 2" xfId="30754" xr:uid="{B5D93598-8236-4471-B3EC-1978D2E1072A}"/>
    <cellStyle name="Comma 7 2 5 2 3" xfId="25638" xr:uid="{B96FBEC1-5BE6-4663-9CFF-AEA34151F77D}"/>
    <cellStyle name="Comma 7 2 5 2 4" xfId="30056" xr:uid="{E4DAD63E-503C-406A-B8BA-9B1C802DB5C2}"/>
    <cellStyle name="Comma 7 2 5 3" xfId="1735" xr:uid="{00000000-0005-0000-0000-0000AA020000}"/>
    <cellStyle name="Comma 7 2 5 4" xfId="1733" xr:uid="{00000000-0005-0000-0000-0000AB020000}"/>
    <cellStyle name="Comma 7 2 5 5" xfId="4411" xr:uid="{D34833F5-5C65-4394-96C8-665306F97C0A}"/>
    <cellStyle name="Comma 7 2 5 5 2" xfId="9183" xr:uid="{D603904B-2825-4865-9103-051FAFA6C453}"/>
    <cellStyle name="Comma 7 2 5 5 2 2" xfId="19563" xr:uid="{D3296877-B1A8-47A5-9690-A769837DC84B}"/>
    <cellStyle name="Comma 7 2 5 5 2 3" xfId="31077" xr:uid="{17B13F84-67BE-4A07-A34F-F4CE611049F3}"/>
    <cellStyle name="Comma 7 2 5 5 2 4" xfId="30753" xr:uid="{E58FD6DF-6DEC-499C-BEC4-86D88EF5CE76}"/>
    <cellStyle name="Comma 7 2 5 5 3" xfId="12016" xr:uid="{AAD37AC4-C259-43CE-8B27-A03F077D66B1}"/>
    <cellStyle name="Comma 7 2 5 5 3 2" xfId="22396" xr:uid="{66AF6FBF-C03C-478F-9ACD-2071155647CC}"/>
    <cellStyle name="Comma 7 2 5 5 4" xfId="16730" xr:uid="{9F2A43D9-3926-454F-8C5B-6E95C650CAF5}"/>
    <cellStyle name="Comma 7 2 5 6" xfId="4900" xr:uid="{2086C670-384E-4A92-8725-F94ECBC97A60}"/>
    <cellStyle name="Comma 7 2 5 6 2" xfId="14192" xr:uid="{BD2F386F-A2BE-48DA-BE1D-C9B81EECDDBF}"/>
    <cellStyle name="Comma 7 2 5 7" xfId="6645" xr:uid="{939BC2C9-8E29-4531-988D-B89560FB1285}"/>
    <cellStyle name="Comma 7 2 5 7 2" xfId="17025" xr:uid="{37FDFB7B-23F4-4F65-BC5E-3A5B70ED6D7D}"/>
    <cellStyle name="Comma 7 2 5 8" xfId="9478" xr:uid="{8A76806C-F58E-40D3-A851-C7AC4990F8DE}"/>
    <cellStyle name="Comma 7 2 5 8 2" xfId="19858" xr:uid="{3E1C9DFF-3370-41FA-8C6F-801B1F54A661}"/>
    <cellStyle name="Comma 7 2 5 9" xfId="23574" xr:uid="{D92270B7-5FE3-43A2-A456-D436178FBE90}"/>
    <cellStyle name="Comma 7 2 6" xfId="1736" xr:uid="{00000000-0005-0000-0000-0000AC020000}"/>
    <cellStyle name="Comma 7 2 6 2" xfId="2874" xr:uid="{00000000-0005-0000-0000-00001A020000}"/>
    <cellStyle name="Comma 7 2 6 2 2" xfId="7991" xr:uid="{CAF66553-0572-4E90-BD60-957055CB2902}"/>
    <cellStyle name="Comma 7 2 6 2 2 2" xfId="26895" xr:uid="{2E105864-F10C-4F08-8B2C-38FC21AD458C}"/>
    <cellStyle name="Comma 7 2 6 2 2 2 2" xfId="31186" xr:uid="{7F1F2059-99DE-446F-8BD0-EAEBA6DBAE22}"/>
    <cellStyle name="Comma 7 2 6 2 2 2 3" xfId="30755" xr:uid="{9590EA42-5241-4666-9BE3-D0CB28A14838}"/>
    <cellStyle name="Comma 7 2 6 2 2 3" xfId="26701" xr:uid="{62984D6B-AFFA-4E38-8D0C-F77826CA4377}"/>
    <cellStyle name="Comma 7 2 6 2 2 4" xfId="18371" xr:uid="{D9AD4E22-EFA7-41FF-AB95-8B9317FB82FA}"/>
    <cellStyle name="Comma 7 2 6 2 3" xfId="10824" xr:uid="{687D5264-DBB5-401E-8719-049F6D660D79}"/>
    <cellStyle name="Comma 7 2 6 2 3 2" xfId="21204" xr:uid="{C30B3E9E-8769-4163-A620-9FB58DC411B4}"/>
    <cellStyle name="Comma 7 2 6 2 4" xfId="23811" xr:uid="{6A46C7BE-7A40-462D-B3C8-8FA28C9418B2}"/>
    <cellStyle name="Comma 7 2 6 2 5" xfId="15538" xr:uid="{C0C0198F-60BD-4BE4-88FF-6EE07FBE8575}"/>
    <cellStyle name="Comma 7 2 6 3" xfId="3684" xr:uid="{00000000-0005-0000-0000-0000AC020000}"/>
    <cellStyle name="Comma 7 2 6 4" xfId="5616" xr:uid="{3CA19EC9-B78E-44DD-B810-207F7AFDAB36}"/>
    <cellStyle name="Comma 7 2 6 4 2" xfId="29765" xr:uid="{F47EEEA3-4F8B-40CC-BF5B-CF0F5EF74B6F}"/>
    <cellStyle name="Comma 7 2 6 5" xfId="23337" xr:uid="{7672C8F0-0900-49FD-9BDB-C9CA4655328B}"/>
    <cellStyle name="Comma 7 2 6 6" xfId="13370" xr:uid="{1DA6054B-09D6-406A-8D73-D01D6062D58D}"/>
    <cellStyle name="Comma 7 2 7" xfId="1737" xr:uid="{00000000-0005-0000-0000-0000AD020000}"/>
    <cellStyle name="Comma 7 2 7 2" xfId="2493" xr:uid="{00000000-0005-0000-0000-00001B020000}"/>
    <cellStyle name="Comma 7 2 7 2 2" xfId="7618" xr:uid="{501F984C-7707-4FD2-9717-F6C36BB50D40}"/>
    <cellStyle name="Comma 7 2 7 2 2 2" xfId="17998" xr:uid="{17693E62-144F-418C-8EA3-1BAD9BD2EFDA}"/>
    <cellStyle name="Comma 7 2 7 2 3" xfId="10451" xr:uid="{BBC2B1C2-49A1-4F8D-AB2B-BED5EB09FE78}"/>
    <cellStyle name="Comma 7 2 7 2 3 2" xfId="20831" xr:uid="{73E5473D-B384-4AEB-A3EB-52E5E907B559}"/>
    <cellStyle name="Comma 7 2 7 2 4" xfId="26073" xr:uid="{FA54937D-2523-4660-83C0-2C2756BFC805}"/>
    <cellStyle name="Comma 7 2 7 2 5" xfId="27413" xr:uid="{0DEBC0B3-7280-4F3A-ACE2-031BBAF90176}"/>
    <cellStyle name="Comma 7 2 7 2 6" xfId="15165" xr:uid="{26738D38-C3C1-4DE0-8B38-D33218B9E0E5}"/>
    <cellStyle name="Comma 7 2 7 3" xfId="3620" xr:uid="{00000000-0005-0000-0000-0000AD020000}"/>
    <cellStyle name="Comma 7 2 7 4" xfId="5617" xr:uid="{76F957A8-F298-4B70-A8C8-199C7FA4444C}"/>
    <cellStyle name="Comma 7 2 7 4 2" xfId="29869" xr:uid="{5E7A83DB-A0C5-4ED1-A233-B36A18D163CB}"/>
    <cellStyle name="Comma 7 2 7 5" xfId="25579" xr:uid="{2DE83F3B-06CE-47B6-BEAB-EDDD427E267E}"/>
    <cellStyle name="Comma 7 2 7 6" xfId="12881" xr:uid="{2B039CD4-3A65-4408-9B2E-D8B7C174E99B}"/>
    <cellStyle name="Comma 7 2 8" xfId="1717" xr:uid="{00000000-0005-0000-0000-0000AE020000}"/>
    <cellStyle name="Comma 7 2 8 2" xfId="2187" xr:uid="{00000000-0005-0000-0000-000002020000}"/>
    <cellStyle name="Comma 7 2 8 2 2" xfId="7314" xr:uid="{305357E2-C639-4C7E-A108-4A34749F8A32}"/>
    <cellStyle name="Comma 7 2 8 2 2 2" xfId="17694" xr:uid="{E7BEED04-BEA2-4880-9ADA-C4114D9E482E}"/>
    <cellStyle name="Comma 7 2 8 2 3" xfId="10147" xr:uid="{75E81427-5C88-4DB7-A436-60DAF55A3CA0}"/>
    <cellStyle name="Comma 7 2 8 2 3 2" xfId="20527" xr:uid="{2FEF4EA1-9E93-42E0-9E2E-911188E08615}"/>
    <cellStyle name="Comma 7 2 8 2 4" xfId="27345" xr:uid="{30D2CEE5-E778-4B6D-91DB-8A903F49B9EB}"/>
    <cellStyle name="Comma 7 2 8 2 5" xfId="28265" xr:uid="{A62F63CD-4029-4B39-95B0-C9C2A94DCB23}"/>
    <cellStyle name="Comma 7 2 8 2 6" xfId="14861" xr:uid="{28C46102-C1E2-4C03-B363-6EB1171E51BE}"/>
    <cellStyle name="Comma 7 2 8 3" xfId="3650" xr:uid="{00000000-0005-0000-0000-0000AE020000}"/>
    <cellStyle name="Comma 7 2 8 4" xfId="24349" xr:uid="{D37F70DB-05AA-47E1-B5F7-2728E2C870A0}"/>
    <cellStyle name="Comma 7 2 9" xfId="3869" xr:uid="{F4D1E9BD-A0FA-4A8D-8E31-D876682FFE4B}"/>
    <cellStyle name="Comma 7 2 9 2" xfId="8701" xr:uid="{8CB8DB38-03CC-41A3-8E7D-CCE0456C8EA4}"/>
    <cellStyle name="Comma 7 2 9 2 2" xfId="19081" xr:uid="{FB4C8D6A-90A4-4CDA-9E2E-5225EC1652DC}"/>
    <cellStyle name="Comma 7 2 9 3" xfId="11534" xr:uid="{5044B8B8-A0B2-45A4-B01F-C0BE711A2698}"/>
    <cellStyle name="Comma 7 2 9 3 2" xfId="21914" xr:uid="{A3D1C56E-4C27-41D2-AF9C-55BCAE5D18B8}"/>
    <cellStyle name="Comma 7 2 9 4" xfId="26500" xr:uid="{125441C2-60E3-40EA-8E2F-2B84B5DE5AE1}"/>
    <cellStyle name="Comma 7 2 9 5" xfId="26350" xr:uid="{43B9A38B-55E7-49F9-9E04-609D5FEEA2C4}"/>
    <cellStyle name="Comma 7 2 9 6" xfId="16248" xr:uid="{78D6CC94-8015-4D6D-89B1-14E112E5F17E}"/>
    <cellStyle name="Comma 7 20" xfId="12396" xr:uid="{F42B3602-9F46-4675-A2BF-201227D87022}"/>
    <cellStyle name="Comma 7 21" xfId="29552" xr:uid="{C7B24164-FE9F-45D3-895E-E967A00C97CC}"/>
    <cellStyle name="Comma 7 3" xfId="510" xr:uid="{00000000-0005-0000-0000-0000AF020000}"/>
    <cellStyle name="Comma 7 3 10" xfId="4901" xr:uid="{0D468BB1-AC9C-4BC3-B782-3D09EF0EB048}"/>
    <cellStyle name="Comma 7 3 10 2" xfId="14193" xr:uid="{478144D2-BDB4-4090-A37E-BAD7E56FE1E8}"/>
    <cellStyle name="Comma 7 3 11" xfId="6646" xr:uid="{43C231E0-DCE5-4583-9F88-DF4521BC36BB}"/>
    <cellStyle name="Comma 7 3 11 2" xfId="17026" xr:uid="{2518C636-5EE9-4BE0-9285-3CEE1C1CA479}"/>
    <cellStyle name="Comma 7 3 12" xfId="9479" xr:uid="{FA7DC2DD-A897-49DF-A04C-CAD2F2B58630}"/>
    <cellStyle name="Comma 7 3 12 2" xfId="19859" xr:uid="{E126D103-F72D-47AB-AD63-1F0C7E11B780}"/>
    <cellStyle name="Comma 7 3 13" xfId="22877" xr:uid="{08A534C2-2A78-4498-B607-6899705451BB}"/>
    <cellStyle name="Comma 7 3 14" xfId="12456" xr:uid="{802E7B73-02F1-4FAD-ADF7-E6FFE78FD74F}"/>
    <cellStyle name="Comma 7 3 2" xfId="511" xr:uid="{00000000-0005-0000-0000-0000B0020000}"/>
    <cellStyle name="Comma 7 3 2 10" xfId="9480" xr:uid="{44C6ED94-6E55-45BC-B8E8-97402F41FA9C}"/>
    <cellStyle name="Comma 7 3 2 10 2" xfId="19860" xr:uid="{C5E5778E-6C31-4DCE-AE34-B55A58F289C1}"/>
    <cellStyle name="Comma 7 3 2 11" xfId="23478" xr:uid="{7D5FB373-D6D4-41C9-BBDF-44A3BCCD4E56}"/>
    <cellStyle name="Comma 7 3 2 12" xfId="12516" xr:uid="{98B905C0-9544-413A-9A3C-B251CFE6B004}"/>
    <cellStyle name="Comma 7 3 2 2" xfId="512" xr:uid="{00000000-0005-0000-0000-0000B1020000}"/>
    <cellStyle name="Comma 7 3 2 2 10" xfId="13090" xr:uid="{314E022B-3F24-45B1-A7D0-81E977900103}"/>
    <cellStyle name="Comma 7 3 2 2 2" xfId="1741" xr:uid="{00000000-0005-0000-0000-0000B2020000}"/>
    <cellStyle name="Comma 7 3 2 2 2 2" xfId="3063" xr:uid="{00000000-0005-0000-0000-00001F020000}"/>
    <cellStyle name="Comma 7 3 2 2 2 2 2" xfId="8143" xr:uid="{9EB58E2A-9628-4E62-B7DB-F1ED9CA45B36}"/>
    <cellStyle name="Comma 7 3 2 2 2 2 2 2" xfId="28818" xr:uid="{F091C59C-15B3-4385-8CD6-D034264F1A15}"/>
    <cellStyle name="Comma 7 3 2 2 2 2 2 3" xfId="27993" xr:uid="{9418F35A-8A7C-40F4-A110-770179FB46B6}"/>
    <cellStyle name="Comma 7 3 2 2 2 2 2 4" xfId="18523" xr:uid="{34EA4903-7091-4F73-860B-EBEBC02E7BEC}"/>
    <cellStyle name="Comma 7 3 2 2 2 2 3" xfId="10976" xr:uid="{5B47F23C-D88F-4522-AF27-CA74BC1778F2}"/>
    <cellStyle name="Comma 7 3 2 2 2 2 3 2" xfId="21356" xr:uid="{F5C5CD3D-8059-479B-87A5-8D444040ECA5}"/>
    <cellStyle name="Comma 7 3 2 2 2 2 4" xfId="25737" xr:uid="{0BD68913-1C0D-4A18-9932-CBE888208981}"/>
    <cellStyle name="Comma 7 3 2 2 2 2 5" xfId="15690" xr:uid="{AB7D13A1-97DD-4AAE-B47E-73DAD8FE81CB}"/>
    <cellStyle name="Comma 7 3 2 2 2 3" xfId="3677" xr:uid="{00000000-0005-0000-0000-0000B2020000}"/>
    <cellStyle name="Comma 7 3 2 2 2 4" xfId="5620" xr:uid="{F8F8D46F-8C1B-40ED-AC69-279F85441D7E}"/>
    <cellStyle name="Comma 7 3 2 2 2 4 2" xfId="29956" xr:uid="{8B3FC41C-7281-4CF2-A98D-63A3095363A9}"/>
    <cellStyle name="Comma 7 3 2 2 2 5" xfId="24595" xr:uid="{E922A290-B943-457D-9DAA-AA591270817C}"/>
    <cellStyle name="Comma 7 3 2 2 2 6" xfId="13571" xr:uid="{C7370AE9-BEDA-4936-9B13-B69FB3350FF3}"/>
    <cellStyle name="Comma 7 3 2 2 3" xfId="1742" xr:uid="{00000000-0005-0000-0000-0000B3020000}"/>
    <cellStyle name="Comma 7 3 2 2 3 2" xfId="4631" xr:uid="{576F16F8-EFE4-4B0A-A5A4-7EEE626B3BDC}"/>
    <cellStyle name="Comma 7 3 2 2 3 2 2" xfId="9398" xr:uid="{99CA9C69-5AD9-4A41-8B72-A5EDCD19BDD1}"/>
    <cellStyle name="Comma 7 3 2 2 3 2 2 2" xfId="19778" xr:uid="{6B755713-890C-4A5E-A9CC-A107DDCC0838}"/>
    <cellStyle name="Comma 7 3 2 2 3 2 3" xfId="12231" xr:uid="{ABFBFCF8-D2A1-43C2-8025-B08A3E571072}"/>
    <cellStyle name="Comma 7 3 2 2 3 2 3 2" xfId="22611" xr:uid="{04BC963B-3C8F-440B-ABC3-86D29417EF50}"/>
    <cellStyle name="Comma 7 3 2 2 3 2 4" xfId="26783" xr:uid="{6BA0A017-502F-40BC-BBAF-E94534540C20}"/>
    <cellStyle name="Comma 7 3 2 2 3 2 5" xfId="28096" xr:uid="{F3B064B6-F93E-42A7-A726-D82A391C3FF3}"/>
    <cellStyle name="Comma 7 3 2 2 3 2 6" xfId="16945" xr:uid="{4846A55E-0158-4755-A3BF-E08F053AA403}"/>
    <cellStyle name="Comma 7 3 2 2 3 3" xfId="25547" xr:uid="{EFC59D73-E1DB-4083-AC6B-5511F1AE4772}"/>
    <cellStyle name="Comma 7 3 2 2 3 3 2" xfId="29906" xr:uid="{93403E33-B739-48C8-B3FF-C5FA96787F9D}"/>
    <cellStyle name="Comma 7 3 2 2 3 4" xfId="30019" xr:uid="{83A93D49-37FF-4080-A033-54F7CB7FA7AE}"/>
    <cellStyle name="Comma 7 3 2 2 4" xfId="1740" xr:uid="{00000000-0005-0000-0000-0000B4020000}"/>
    <cellStyle name="Comma 7 3 2 2 4 2" xfId="26934" xr:uid="{BB2C93DE-0EA2-4180-8F0A-5D7729C94327}"/>
    <cellStyle name="Comma 7 3 2 2 4 3" xfId="26331" xr:uid="{4B7EA0F0-A874-4A7A-AA17-A511659378B1}"/>
    <cellStyle name="Comma 7 3 2 2 5" xfId="4266" xr:uid="{BE4A8A92-9203-46B3-B75D-3A4CB87D4F4D}"/>
    <cellStyle name="Comma 7 3 2 2 5 2" xfId="9038" xr:uid="{C08D1657-5658-4B6B-8203-E95C87A7EE0F}"/>
    <cellStyle name="Comma 7 3 2 2 5 2 2" xfId="19418" xr:uid="{193556DE-658A-4F7A-A754-49E699E99DD2}"/>
    <cellStyle name="Comma 7 3 2 2 5 2 3" xfId="31042" xr:uid="{A4B4FE6B-5C09-45A8-B162-ECE9F59A9D18}"/>
    <cellStyle name="Comma 7 3 2 2 5 2 4" xfId="30756" xr:uid="{F2ABCE9C-BFA0-49C6-A07A-003C2976380F}"/>
    <cellStyle name="Comma 7 3 2 2 5 3" xfId="11871" xr:uid="{65A826F5-8FEE-4850-B3C9-DA934B07DBE8}"/>
    <cellStyle name="Comma 7 3 2 2 5 3 2" xfId="22251" xr:uid="{E2266970-DA3E-4959-8D54-961246D0F065}"/>
    <cellStyle name="Comma 7 3 2 2 5 4" xfId="26679" xr:uid="{472FD8A8-2C5E-4413-8C69-428CD7929C68}"/>
    <cellStyle name="Comma 7 3 2 2 5 5" xfId="26536" xr:uid="{351CB8E7-5286-4BB0-8673-78588533E161}"/>
    <cellStyle name="Comma 7 3 2 2 5 6" xfId="16585" xr:uid="{81230DBA-C8ED-4D42-A9E2-A4D137B251E9}"/>
    <cellStyle name="Comma 7 3 2 2 6" xfId="4903" xr:uid="{7B56B96F-699C-47E9-94EB-3A4B767766E9}"/>
    <cellStyle name="Comma 7 3 2 2 6 2" xfId="26151" xr:uid="{DDD6984B-7B18-4C4B-AB55-6355383E7D09}"/>
    <cellStyle name="Comma 7 3 2 2 6 3" xfId="26129" xr:uid="{5B4B9ED0-FD2E-46B2-8091-38B732BF4709}"/>
    <cellStyle name="Comma 7 3 2 2 6 4" xfId="14195" xr:uid="{BCD3727D-14D3-40FC-A791-A68EA4028E6F}"/>
    <cellStyle name="Comma 7 3 2 2 7" xfId="6648" xr:uid="{29FE4C2C-EEC4-467A-BF12-CE2217AF91BE}"/>
    <cellStyle name="Comma 7 3 2 2 7 2" xfId="17028" xr:uid="{BEF2A5CC-C727-49F5-B650-1B971840249F}"/>
    <cellStyle name="Comma 7 3 2 2 8" xfId="9481" xr:uid="{5D6F5411-B2B2-4E75-87E2-ADCDB1886AD9}"/>
    <cellStyle name="Comma 7 3 2 2 8 2" xfId="19861" xr:uid="{6B762266-62EC-4F54-BA17-62DC45832362}"/>
    <cellStyle name="Comma 7 3 2 2 9" xfId="25000" xr:uid="{CD0FD5A6-656A-4CF3-A237-BEBAC252C9C9}"/>
    <cellStyle name="Comma 7 3 2 3" xfId="1743" xr:uid="{00000000-0005-0000-0000-0000B5020000}"/>
    <cellStyle name="Comma 7 3 2 3 2" xfId="3064" xr:uid="{00000000-0005-0000-0000-000020020000}"/>
    <cellStyle name="Comma 7 3 2 3 2 2" xfId="8144" xr:uid="{ACBA072B-CD7A-46B4-ACF4-B6F5FE59E664}"/>
    <cellStyle name="Comma 7 3 2 3 2 2 2" xfId="28819" xr:uid="{FEB05874-AA96-4C3A-A40E-2F3718A94053}"/>
    <cellStyle name="Comma 7 3 2 3 2 2 2 2" xfId="31226" xr:uid="{A413791A-F936-450E-8898-B28874C3FB8E}"/>
    <cellStyle name="Comma 7 3 2 3 2 2 2 3" xfId="30758" xr:uid="{F6141DB5-1C57-421B-B213-CF6C071CD993}"/>
    <cellStyle name="Comma 7 3 2 3 2 2 3" xfId="26424" xr:uid="{321BC57C-4929-4F2A-AB8B-8BF5596252F8}"/>
    <cellStyle name="Comma 7 3 2 3 2 2 4" xfId="18524" xr:uid="{D3EEF176-327A-408E-9BBB-8C3BDE6169C5}"/>
    <cellStyle name="Comma 7 3 2 3 2 3" xfId="10977" xr:uid="{68A0D4CE-7B5F-4751-AD30-677DD43AEC23}"/>
    <cellStyle name="Comma 7 3 2 3 2 3 2" xfId="21357" xr:uid="{DEE53771-88FE-4FB5-A0AF-18B4F08C6191}"/>
    <cellStyle name="Comma 7 3 2 3 2 4" xfId="24202" xr:uid="{5ACDC300-80F5-4574-AE4B-BA33D74AD79A}"/>
    <cellStyle name="Comma 7 3 2 3 2 5" xfId="15691" xr:uid="{27EAE8BC-0A57-4EFA-AD9A-F5DE29E0748A}"/>
    <cellStyle name="Comma 7 3 2 3 3" xfId="3653" xr:uid="{00000000-0005-0000-0000-0000B5020000}"/>
    <cellStyle name="Comma 7 3 2 3 4" xfId="4412" xr:uid="{5056B530-ACD4-453B-8107-ABB5E9A56790}"/>
    <cellStyle name="Comma 7 3 2 3 4 2" xfId="9184" xr:uid="{C3146450-A1D4-429D-8CC8-A6F95F5248A2}"/>
    <cellStyle name="Comma 7 3 2 3 4 2 2" xfId="19564" xr:uid="{1D5F4487-1D7E-4A76-87B7-7F52D3672BAB}"/>
    <cellStyle name="Comma 7 3 2 3 4 2 3" xfId="31078" xr:uid="{4789A897-290F-4E25-A48E-8AA52182CD7F}"/>
    <cellStyle name="Comma 7 3 2 3 4 2 4" xfId="30757" xr:uid="{117CC0FA-7F90-489F-8F9C-66A69315D0FF}"/>
    <cellStyle name="Comma 7 3 2 3 4 3" xfId="12017" xr:uid="{4B9D60CC-1558-4CF5-85C0-E6BAED389BB9}"/>
    <cellStyle name="Comma 7 3 2 3 4 3 2" xfId="22397" xr:uid="{BC6F709E-E6B6-4751-BD45-053EF2E4C980}"/>
    <cellStyle name="Comma 7 3 2 3 4 4" xfId="16731" xr:uid="{986E52A3-796D-4892-814E-09F7E748C9CE}"/>
    <cellStyle name="Comma 7 3 2 3 5" xfId="5621" xr:uid="{B1F56D63-FE69-44E6-98FB-5F3EF823EE62}"/>
    <cellStyle name="Comma 7 3 2 3 5 2" xfId="29691" xr:uid="{249FB12A-7A27-4B61-879F-A256C0817664}"/>
    <cellStyle name="Comma 7 3 2 3 5 2 2" xfId="30975" xr:uid="{2A7E378A-0FD3-4967-96A4-3E638EC84947}"/>
    <cellStyle name="Comma 7 3 2 3 6" xfId="25216" xr:uid="{154D43D2-A138-420D-A033-02AEFF17C681}"/>
    <cellStyle name="Comma 7 3 2 3 7" xfId="13572" xr:uid="{ED17B5BE-5DC5-41C0-B8EA-E786ED290D87}"/>
    <cellStyle name="Comma 7 3 2 4" xfId="1744" xr:uid="{00000000-0005-0000-0000-0000B6020000}"/>
    <cellStyle name="Comma 7 3 2 4 2" xfId="3062" xr:uid="{00000000-0005-0000-0000-000021020000}"/>
    <cellStyle name="Comma 7 3 2 4 2 2" xfId="8142" xr:uid="{F13E98B3-100B-4B0D-95AB-C4F15D236966}"/>
    <cellStyle name="Comma 7 3 2 4 2 2 2" xfId="28817" xr:uid="{36EB78DD-72C5-4617-8665-328D7D513FE6}"/>
    <cellStyle name="Comma 7 3 2 4 2 2 3" xfId="28599" xr:uid="{A6A52FA0-55DD-4771-97D5-B1F70AAD1644}"/>
    <cellStyle name="Comma 7 3 2 4 2 2 4" xfId="18522" xr:uid="{B93A7AAA-832D-4AB4-8EFB-597F00FF11D4}"/>
    <cellStyle name="Comma 7 3 2 4 2 3" xfId="10975" xr:uid="{17D2B5AD-77A7-4E67-A256-1029155F93D9}"/>
    <cellStyle name="Comma 7 3 2 4 2 3 2" xfId="21355" xr:uid="{7041785A-7A25-413F-A5DB-0CE2C42167D9}"/>
    <cellStyle name="Comma 7 3 2 4 2 4" xfId="25467" xr:uid="{597C771E-BB4A-4233-82D8-4728BD2A2410}"/>
    <cellStyle name="Comma 7 3 2 4 2 5" xfId="15689" xr:uid="{DF33B1DB-3AC8-4F7D-80FA-CD346F7437F2}"/>
    <cellStyle name="Comma 7 3 2 4 3" xfId="3646" xr:uid="{00000000-0005-0000-0000-0000B6020000}"/>
    <cellStyle name="Comma 7 3 2 4 4" xfId="5622" xr:uid="{4CBC5550-7EB1-496E-BF60-43A6D36D04BB}"/>
    <cellStyle name="Comma 7 3 2 4 4 2" xfId="29955" xr:uid="{55B8B43E-4A73-4E99-BCC6-D74B637F3A5B}"/>
    <cellStyle name="Comma 7 3 2 4 5" xfId="23477" xr:uid="{AB89610E-F3F8-48F9-972C-144B7BDA3CA3}"/>
    <cellStyle name="Comma 7 3 2 4 6" xfId="13570" xr:uid="{29B1F7CA-6AF3-4C00-B1CA-F2A4C220A07E}"/>
    <cellStyle name="Comma 7 3 2 5" xfId="1739" xr:uid="{00000000-0005-0000-0000-0000B7020000}"/>
    <cellStyle name="Comma 7 3 2 5 2" xfId="2530" xr:uid="{00000000-0005-0000-0000-000022020000}"/>
    <cellStyle name="Comma 7 3 2 5 2 2" xfId="7655" xr:uid="{A0E9BFAD-9D8A-4AEE-91DE-9322FF827AA5}"/>
    <cellStyle name="Comma 7 3 2 5 2 2 2" xfId="18035" xr:uid="{E5039BBF-2D65-4D40-9E6C-7C636B16957D}"/>
    <cellStyle name="Comma 7 3 2 5 2 3" xfId="10488" xr:uid="{35B5DE7E-91A0-47CA-8BA5-FB1F6C6FF05D}"/>
    <cellStyle name="Comma 7 3 2 5 2 3 2" xfId="20868" xr:uid="{96864E27-D39C-4DBD-8DFF-A6044A4EF7A4}"/>
    <cellStyle name="Comma 7 3 2 5 2 4" xfId="27810" xr:uid="{761487A3-48A8-4ADB-AC6D-7E1BE69C1CC4}"/>
    <cellStyle name="Comma 7 3 2 5 2 5" xfId="26158" xr:uid="{B4B66CE1-B6F2-4F67-8423-F1AADE9D1483}"/>
    <cellStyle name="Comma 7 3 2 5 2 6" xfId="15202" xr:uid="{A8870507-7518-4BCB-9454-327410C422C3}"/>
    <cellStyle name="Comma 7 3 2 5 3" xfId="3605" xr:uid="{00000000-0005-0000-0000-0000B7020000}"/>
    <cellStyle name="Comma 7 3 2 5 4" xfId="5619" xr:uid="{CB2AB5E2-79BE-4286-B19B-C00594332EC1}"/>
    <cellStyle name="Comma 7 3 2 5 4 2" xfId="29876" xr:uid="{4FC4C9B9-B5E7-45D0-B8BB-332448A3B3EC}"/>
    <cellStyle name="Comma 7 3 2 5 5" xfId="24098" xr:uid="{3BFF258C-BC50-4BCC-9B63-6245FE626A5E}"/>
    <cellStyle name="Comma 7 3 2 5 6" xfId="12918" xr:uid="{E6139DF9-D78A-4089-AB4B-9DCD81B11CFB}"/>
    <cellStyle name="Comma 7 3 2 6" xfId="2284" xr:uid="{00000000-0005-0000-0000-00001D020000}"/>
    <cellStyle name="Comma 7 3 2 6 2" xfId="7411" xr:uid="{A7E362AD-5D73-4E3D-B12B-A277A2FDD2F7}"/>
    <cellStyle name="Comma 7 3 2 6 2 2" xfId="17791" xr:uid="{C5AD4C1E-DDD6-4310-B015-606B4FC97896}"/>
    <cellStyle name="Comma 7 3 2 6 3" xfId="10244" xr:uid="{25D427EB-0150-4447-B639-81B1ACDD4E31}"/>
    <cellStyle name="Comma 7 3 2 6 3 2" xfId="20624" xr:uid="{5A66325E-2258-4062-A820-01F53545E615}"/>
    <cellStyle name="Comma 7 3 2 6 4" xfId="24168" xr:uid="{DDFA4CD8-FD8A-4866-B882-62E98133B4D3}"/>
    <cellStyle name="Comma 7 3 2 6 5" xfId="27868" xr:uid="{74DA4B86-DD9C-4196-8B94-6AB9B111BD0A}"/>
    <cellStyle name="Comma 7 3 2 6 6" xfId="14958" xr:uid="{76F9AC0A-5FF2-4D61-A9F9-D36AB4988D8F}"/>
    <cellStyle name="Comma 7 3 2 7" xfId="3823" xr:uid="{03ECEEC2-4353-437D-B316-8B68B00D3AF0}"/>
    <cellStyle name="Comma 7 3 2 7 2" xfId="8656" xr:uid="{FC321E94-E0DF-422E-9D21-379A6AB43E52}"/>
    <cellStyle name="Comma 7 3 2 7 2 2" xfId="19036" xr:uid="{C9377AC6-D02C-42F7-934A-E35C081CB37A}"/>
    <cellStyle name="Comma 7 3 2 7 3" xfId="11489" xr:uid="{7226042D-36BD-4626-9A09-7C3B0CAC6E9D}"/>
    <cellStyle name="Comma 7 3 2 7 3 2" xfId="21869" xr:uid="{56C6763E-4B23-45A2-8980-96AF0AA2DB66}"/>
    <cellStyle name="Comma 7 3 2 7 4" xfId="26014" xr:uid="{95B82187-8DAE-4F1F-9CCC-8243F0699F75}"/>
    <cellStyle name="Comma 7 3 2 7 5" xfId="28239" xr:uid="{D3D7B5F8-DBFA-4AE4-9090-2AF00756E508}"/>
    <cellStyle name="Comma 7 3 2 7 6" xfId="16203" xr:uid="{7340033E-29D4-4F59-9CD9-CD63A94CB483}"/>
    <cellStyle name="Comma 7 3 2 8" xfId="4902" xr:uid="{D494B231-3065-46A7-991F-77B5E1F38C95}"/>
    <cellStyle name="Comma 7 3 2 8 2" xfId="14194" xr:uid="{5D90722A-B20C-4A66-8ED3-5FC56E73A155}"/>
    <cellStyle name="Comma 7 3 2 9" xfId="6647" xr:uid="{53D4C5DF-D7F4-457D-B25E-535083C5157C}"/>
    <cellStyle name="Comma 7 3 2 9 2" xfId="17027" xr:uid="{35C18319-1AA8-4812-83DF-51B3D28E8D33}"/>
    <cellStyle name="Comma 7 3 3" xfId="513" xr:uid="{00000000-0005-0000-0000-0000B8020000}"/>
    <cellStyle name="Comma 7 3 3 10" xfId="24380" xr:uid="{B095ED9A-E6A6-4358-8D41-6CAC37D9ACA2}"/>
    <cellStyle name="Comma 7 3 3 11" xfId="12674" xr:uid="{276D5E48-B257-4623-AE96-58A3FF637E22}"/>
    <cellStyle name="Comma 7 3 3 2" xfId="1746" xr:uid="{00000000-0005-0000-0000-0000B9020000}"/>
    <cellStyle name="Comma 7 3 3 2 2" xfId="3066" xr:uid="{00000000-0005-0000-0000-000025020000}"/>
    <cellStyle name="Comma 7 3 3 2 2 2" xfId="6168" xr:uid="{6D673163-7F25-45B7-9AA1-F6BAB70BA1AD}"/>
    <cellStyle name="Comma 7 3 3 2 2 2 2" xfId="23052" xr:uid="{3960C535-C0D5-4AAD-ACC0-5FE123D84B57}"/>
    <cellStyle name="Comma 7 3 3 2 2 2 2 2" xfId="26322" xr:uid="{4870EA76-F278-4954-BBA8-4B0853FD14F6}"/>
    <cellStyle name="Comma 7 3 3 2 2 2 2 3" xfId="31147" xr:uid="{0F0E9F80-7732-414C-B0DB-5DCE9C6228C8}"/>
    <cellStyle name="Comma 7 3 3 2 2 2 3" xfId="26303" xr:uid="{6B2C95C1-CA89-4886-9BAE-53679966970B}"/>
    <cellStyle name="Comma 7 3 3 2 2 2 4" xfId="15693" xr:uid="{C39F6264-43EB-45C0-998C-85F1B14F8777}"/>
    <cellStyle name="Comma 7 3 3 2 2 3" xfId="8146" xr:uid="{60F0084C-47A1-450C-B35D-E978A9728065}"/>
    <cellStyle name="Comma 7 3 3 2 2 3 2" xfId="28821" xr:uid="{60E0681C-3332-429E-98C5-E11F9FC3CE26}"/>
    <cellStyle name="Comma 7 3 3 2 2 3 3" xfId="27424" xr:uid="{14737B44-BF9A-4743-B7D7-A60C8B86DAF2}"/>
    <cellStyle name="Comma 7 3 3 2 2 3 4" xfId="18526" xr:uid="{7CF3DAF5-3F6F-4D6E-B0B5-15E00C091941}"/>
    <cellStyle name="Comma 7 3 3 2 2 4" xfId="10979" xr:uid="{3FB21C9B-FA96-4101-920C-B027AB8E0F7B}"/>
    <cellStyle name="Comma 7 3 3 2 2 4 2" xfId="21359" xr:uid="{88877E39-FB71-4E1D-891D-DD615B3A7B4E}"/>
    <cellStyle name="Comma 7 3 3 2 2 5" xfId="25259" xr:uid="{583F0785-B153-484B-9205-7C521E7A9F90}"/>
    <cellStyle name="Comma 7 3 3 2 2 6" xfId="13574" xr:uid="{71064039-8554-45CF-B9BA-3AF98EDAA231}"/>
    <cellStyle name="Comma 7 3 3 2 3" xfId="2681" xr:uid="{00000000-0005-0000-0000-000024020000}"/>
    <cellStyle name="Comma 7 3 3 2 3 2" xfId="7805" xr:uid="{8025719D-927B-4FD9-B8D0-B054039F4F04}"/>
    <cellStyle name="Comma 7 3 3 2 3 2 2" xfId="28549" xr:uid="{B29A9760-6D5F-4B66-8E5E-0E6086D21D40}"/>
    <cellStyle name="Comma 7 3 3 2 3 2 3" xfId="27650" xr:uid="{452DB3A7-01EF-48C3-AD82-EBD49103C8CF}"/>
    <cellStyle name="Comma 7 3 3 2 3 2 4" xfId="18185" xr:uid="{ED409F29-2503-4DF3-9088-B6B4336573B3}"/>
    <cellStyle name="Comma 7 3 3 2 3 3" xfId="10638" xr:uid="{334BFA20-B957-4785-8CFD-5C5BF7E0DD1C}"/>
    <cellStyle name="Comma 7 3 3 2 3 3 2" xfId="21018" xr:uid="{6155405E-6973-4929-BC09-07F196DABC0A}"/>
    <cellStyle name="Comma 7 3 3 2 3 4" xfId="24719" xr:uid="{9D9FA5ED-78ED-4CB5-B534-5C3F9B30C509}"/>
    <cellStyle name="Comma 7 3 3 2 3 5" xfId="15352" xr:uid="{A94BBE13-A7CE-4EA9-B51D-41D660B6391A}"/>
    <cellStyle name="Comma 7 3 3 2 4" xfId="2064" xr:uid="{00000000-0005-0000-0000-0000B9020000}"/>
    <cellStyle name="Comma 7 3 3 2 5" xfId="4267" xr:uid="{2D091ED4-EBAB-425A-9D32-765D1829A55C}"/>
    <cellStyle name="Comma 7 3 3 2 5 2" xfId="9039" xr:uid="{60436DBA-7D9B-4783-8D98-40974DC07353}"/>
    <cellStyle name="Comma 7 3 3 2 5 2 2" xfId="19419" xr:uid="{5818C368-9E63-4A42-8663-D5347873C583}"/>
    <cellStyle name="Comma 7 3 3 2 5 2 3" xfId="31043" xr:uid="{63AC0313-CC44-4BAB-B99B-3AFFB46C8671}"/>
    <cellStyle name="Comma 7 3 3 2 5 2 4" xfId="30760" xr:uid="{8E4BCF6B-DBB4-4075-978A-BD1BDD7DB325}"/>
    <cellStyle name="Comma 7 3 3 2 5 3" xfId="11872" xr:uid="{2D763480-9900-4BAF-89BD-548D43463C10}"/>
    <cellStyle name="Comma 7 3 3 2 5 3 2" xfId="22252" xr:uid="{A0785BF4-0595-412C-AC40-3B49CB0B9445}"/>
    <cellStyle name="Comma 7 3 3 2 5 4" xfId="26973" xr:uid="{155FA4AD-2CAE-499D-AD34-4A92FCFAB834}"/>
    <cellStyle name="Comma 7 3 3 2 5 5" xfId="27009" xr:uid="{42CCFA58-44B3-4334-BC5C-52448E92816B}"/>
    <cellStyle name="Comma 7 3 3 2 5 6" xfId="16586" xr:uid="{6EFF85A7-D7C1-484B-B8FA-83F6F12B824F}"/>
    <cellStyle name="Comma 7 3 3 2 6" xfId="5624" xr:uid="{A2D3013C-BE82-4915-92F9-26D6E8EE4189}"/>
    <cellStyle name="Comma 7 3 3 2 6 2" xfId="29724" xr:uid="{3D06F1E3-79B4-4811-B657-F16B4EEA06E8}"/>
    <cellStyle name="Comma 7 3 3 2 6 2 2" xfId="30976" xr:uid="{112E69B3-69F1-44A5-8738-0AA881F3DFDC}"/>
    <cellStyle name="Comma 7 3 3 2 7" xfId="23606" xr:uid="{B41E808F-419D-4112-B57C-FE262ACDB723}"/>
    <cellStyle name="Comma 7 3 3 2 8" xfId="13091" xr:uid="{69C5B4E4-141E-4936-8947-D86E9DB215A7}"/>
    <cellStyle name="Comma 7 3 3 3" xfId="1747" xr:uid="{00000000-0005-0000-0000-0000BA020000}"/>
    <cellStyle name="Comma 7 3 3 3 2" xfId="3067" xr:uid="{00000000-0005-0000-0000-000026020000}"/>
    <cellStyle name="Comma 7 3 3 3 2 2" xfId="8147" xr:uid="{4CEC2DAE-59CC-41E6-9646-DCE43190F6F2}"/>
    <cellStyle name="Comma 7 3 3 3 2 2 2" xfId="28822" xr:uid="{E6AEBC26-2139-41EF-BF0E-6B894FFE6D4B}"/>
    <cellStyle name="Comma 7 3 3 3 2 2 3" xfId="27127" xr:uid="{97775F3B-4113-4C11-BAE6-4697DEEDE1B0}"/>
    <cellStyle name="Comma 7 3 3 3 2 2 4" xfId="18527" xr:uid="{FE9E3587-2DFB-4794-AF77-F275E407F326}"/>
    <cellStyle name="Comma 7 3 3 3 2 3" xfId="10980" xr:uid="{8076B583-2B96-4440-8848-174D54D15947}"/>
    <cellStyle name="Comma 7 3 3 3 2 3 2" xfId="21360" xr:uid="{67EF6649-A77E-4EA8-82A8-3E1ECA01B454}"/>
    <cellStyle name="Comma 7 3 3 3 2 4" xfId="25806" xr:uid="{4C1BCBBD-3DB1-4BFC-8D07-489BC0A36833}"/>
    <cellStyle name="Comma 7 3 3 3 2 5" xfId="15694" xr:uid="{1C54CB16-3831-4652-8659-275E82814D49}"/>
    <cellStyle name="Comma 7 3 3 3 3" xfId="3660" xr:uid="{00000000-0005-0000-0000-0000BA020000}"/>
    <cellStyle name="Comma 7 3 3 3 4" xfId="4413" xr:uid="{C4ADDF44-032A-408C-84C3-86FFFE4E4013}"/>
    <cellStyle name="Comma 7 3 3 3 4 2" xfId="9185" xr:uid="{42AC00F0-9492-4676-BDB2-357D3B18E427}"/>
    <cellStyle name="Comma 7 3 3 3 4 2 2" xfId="19565" xr:uid="{BC7263AB-8221-4FB6-AD8D-910D472E8471}"/>
    <cellStyle name="Comma 7 3 3 3 4 2 3" xfId="31079" xr:uid="{7AD836FD-8CD5-4690-A33A-8DF428ABF448}"/>
    <cellStyle name="Comma 7 3 3 3 4 2 4" xfId="30761" xr:uid="{95AEBBD9-A3AC-4749-8833-DDB070EBC3BF}"/>
    <cellStyle name="Comma 7 3 3 3 4 3" xfId="12018" xr:uid="{8793FEAC-978C-441F-969E-0319CEF0B5C5}"/>
    <cellStyle name="Comma 7 3 3 3 4 3 2" xfId="22398" xr:uid="{6DE8221E-12FE-4309-B6B4-8BE2DE924522}"/>
    <cellStyle name="Comma 7 3 3 3 4 4" xfId="16732" xr:uid="{7FBD3671-E1EF-41B2-87B9-392F9A153064}"/>
    <cellStyle name="Comma 7 3 3 3 5" xfId="5625" xr:uid="{4B07D9D7-1EC9-4371-972C-5A57C883344A}"/>
    <cellStyle name="Comma 7 3 3 3 5 2" xfId="29707" xr:uid="{629F5DA6-01D3-4F91-A6F3-08DAFF81178A}"/>
    <cellStyle name="Comma 7 3 3 3 6" xfId="25367" xr:uid="{85FC2800-D224-481E-B797-ADD3E02151AE}"/>
    <cellStyle name="Comma 7 3 3 3 7" xfId="13575" xr:uid="{7F1783B6-DD95-4E74-AD72-A664F26C4E68}"/>
    <cellStyle name="Comma 7 3 3 4" xfId="1745" xr:uid="{00000000-0005-0000-0000-0000BB020000}"/>
    <cellStyle name="Comma 7 3 3 4 2" xfId="3065" xr:uid="{00000000-0005-0000-0000-000027020000}"/>
    <cellStyle name="Comma 7 3 3 4 2 2" xfId="8145" xr:uid="{4D74363D-0D00-4E7B-897E-59E3B5B44DBC}"/>
    <cellStyle name="Comma 7 3 3 4 2 2 2" xfId="28820" xr:uid="{9F37E984-F48E-4584-AD19-87C55845FBD4}"/>
    <cellStyle name="Comma 7 3 3 4 2 2 3" xfId="26378" xr:uid="{61BE0BF0-831D-405E-B879-9B9756EAFA22}"/>
    <cellStyle name="Comma 7 3 3 4 2 2 4" xfId="18525" xr:uid="{126C449A-9FBD-47E7-AF9C-2B8653641DD4}"/>
    <cellStyle name="Comma 7 3 3 4 2 3" xfId="10978" xr:uid="{BE834253-CA93-4A8C-B698-F251AD5E218A}"/>
    <cellStyle name="Comma 7 3 3 4 2 3 2" xfId="21358" xr:uid="{079D4537-C508-4A8A-916D-10673C4F3264}"/>
    <cellStyle name="Comma 7 3 3 4 2 4" xfId="25823" xr:uid="{1AC7B645-3C68-475E-B23A-FFD3F1E4DC13}"/>
    <cellStyle name="Comma 7 3 3 4 2 5" xfId="15692" xr:uid="{45B48ACC-05C7-4A8D-9343-9C4B23292EA2}"/>
    <cellStyle name="Comma 7 3 3 4 3" xfId="3573" xr:uid="{00000000-0005-0000-0000-0000BB020000}"/>
    <cellStyle name="Comma 7 3 3 4 4" xfId="5623" xr:uid="{2F7F323B-1E99-4199-9FD5-7182F60C697E}"/>
    <cellStyle name="Comma 7 3 3 4 4 2" xfId="29957" xr:uid="{DF3BC11F-BB56-413E-BA58-E5E717506BBC}"/>
    <cellStyle name="Comma 7 3 3 4 5" xfId="23253" xr:uid="{D1618A0B-CB18-46B0-B923-3602E8C2202D}"/>
    <cellStyle name="Comma 7 3 3 4 6" xfId="13573" xr:uid="{2CB183F8-626F-484D-9139-18CA7C95B02A}"/>
    <cellStyle name="Comma 7 3 3 5" xfId="2633" xr:uid="{00000000-0005-0000-0000-000028020000}"/>
    <cellStyle name="Comma 7 3 3 5 2" xfId="5895" xr:uid="{36676AAB-8552-4649-A040-455FB81B4509}"/>
    <cellStyle name="Comma 7 3 3 5 2 2" xfId="28726" xr:uid="{61EA2F39-58EF-4AA1-8414-4464AAC1F37B}"/>
    <cellStyle name="Comma 7 3 3 5 2 3" xfId="27166" xr:uid="{4199FBA4-6D09-484B-8FA6-B61397EA8990}"/>
    <cellStyle name="Comma 7 3 3 5 2 4" xfId="15305" xr:uid="{4EE41382-F934-470E-9BCF-026038F49CA2}"/>
    <cellStyle name="Comma 7 3 3 5 3" xfId="7758" xr:uid="{F84413E1-A4AA-46F3-AA5C-C96CE57F48D3}"/>
    <cellStyle name="Comma 7 3 3 5 3 2" xfId="18138" xr:uid="{D90FC7A3-6858-4F70-8F1E-560A2F4D637F}"/>
    <cellStyle name="Comma 7 3 3 5 4" xfId="10591" xr:uid="{98B11636-9509-4EB7-AE8E-0F7E429A0886}"/>
    <cellStyle name="Comma 7 3 3 5 4 2" xfId="20971" xr:uid="{5F169CDB-BD8C-42AB-A687-B6B96BB97414}"/>
    <cellStyle name="Comma 7 3 3 5 5" xfId="23483" xr:uid="{673B89A2-D9A0-4FB6-829E-981024FA279C}"/>
    <cellStyle name="Comma 7 3 3 5 6" xfId="13021" xr:uid="{98B80837-74CF-4003-800B-FE911047C733}"/>
    <cellStyle name="Comma 7 3 3 6" xfId="4130" xr:uid="{757E601D-C209-4CC5-B656-FFAD7B959A42}"/>
    <cellStyle name="Comma 7 3 3 6 2" xfId="8902" xr:uid="{5B3322E2-9EA7-488B-A54E-4F4A79181686}"/>
    <cellStyle name="Comma 7 3 3 6 2 2" xfId="19282" xr:uid="{EEFD30C4-AED4-4D30-8063-D9B6773E4020}"/>
    <cellStyle name="Comma 7 3 3 6 2 3" xfId="31014" xr:uid="{19B449DC-F951-4406-BBDC-1E361946CBF1}"/>
    <cellStyle name="Comma 7 3 3 6 2 4" xfId="30759" xr:uid="{09060111-3662-4062-98E2-27280CA31DEF}"/>
    <cellStyle name="Comma 7 3 3 6 3" xfId="11735" xr:uid="{E396CB88-FFB8-4CFA-8A42-4E5A7370436D}"/>
    <cellStyle name="Comma 7 3 3 6 3 2" xfId="22115" xr:uid="{304CCAD5-770C-41DC-AAC1-56089804D1CD}"/>
    <cellStyle name="Comma 7 3 3 6 4" xfId="25374" xr:uid="{409B246B-C7BF-4347-9604-D47376DB26DA}"/>
    <cellStyle name="Comma 7 3 3 6 5" xfId="26399" xr:uid="{89FE9C46-DA7B-41BF-BD96-9AE917FBE012}"/>
    <cellStyle name="Comma 7 3 3 6 6" xfId="16449" xr:uid="{EDA4B454-3F8F-45CD-A3A4-D8172BE7DA33}"/>
    <cellStyle name="Comma 7 3 3 7" xfId="4904" xr:uid="{7D2A297D-B50D-4072-9432-83DFC3A3C81C}"/>
    <cellStyle name="Comma 7 3 3 7 2" xfId="28270" xr:uid="{B23DF960-54C1-4930-943A-4B16F930C9D5}"/>
    <cellStyle name="Comma 7 3 3 7 3" xfId="26999" xr:uid="{35F7C694-B2D9-4D6C-92D2-583AC0731BB4}"/>
    <cellStyle name="Comma 7 3 3 7 4" xfId="14196" xr:uid="{43D57C78-9D72-49EA-83EC-86203BB79967}"/>
    <cellStyle name="Comma 7 3 3 8" xfId="6649" xr:uid="{801A5F16-1083-4E87-8B88-1308B3B0DFAB}"/>
    <cellStyle name="Comma 7 3 3 8 2" xfId="17029" xr:uid="{1C7780A4-224B-4B89-BC7E-F3F188E97C49}"/>
    <cellStyle name="Comma 7 3 3 9" xfId="9482" xr:uid="{762E7001-323D-4976-9567-7268E23A04AB}"/>
    <cellStyle name="Comma 7 3 3 9 2" xfId="19862" xr:uid="{F6EACF00-00AA-498A-A183-4F83194EC5F5}"/>
    <cellStyle name="Comma 7 3 4" xfId="514" xr:uid="{00000000-0005-0000-0000-0000BC020000}"/>
    <cellStyle name="Comma 7 3 4 10" xfId="13089" xr:uid="{5D18A68E-661D-476A-94EC-6B141504A13B}"/>
    <cellStyle name="Comma 7 3 4 2" xfId="1749" xr:uid="{00000000-0005-0000-0000-0000BD020000}"/>
    <cellStyle name="Comma 7 3 4 2 2" xfId="3068" xr:uid="{00000000-0005-0000-0000-00002A020000}"/>
    <cellStyle name="Comma 7 3 4 2 2 2" xfId="8148" xr:uid="{F1931F2F-FA1E-4610-B819-B83AC5BC1B32}"/>
    <cellStyle name="Comma 7 3 4 2 2 2 2" xfId="28823" xr:uid="{2B34A51E-562E-47FB-AC6C-A9F13E5A62D8}"/>
    <cellStyle name="Comma 7 3 4 2 2 2 3" xfId="28050" xr:uid="{0AA50304-3480-4DF2-BC26-56196F86B5A1}"/>
    <cellStyle name="Comma 7 3 4 2 2 2 4" xfId="18528" xr:uid="{CFD02403-A5B3-4B34-9D98-25744920ABB0}"/>
    <cellStyle name="Comma 7 3 4 2 2 3" xfId="10981" xr:uid="{E51FA6A8-FAC5-4ECF-97FD-3899F69BAA92}"/>
    <cellStyle name="Comma 7 3 4 2 2 3 2" xfId="21361" xr:uid="{1DB3555B-03E2-42F0-8F73-B9E9BC7E756D}"/>
    <cellStyle name="Comma 7 3 4 2 2 4" xfId="25705" xr:uid="{1B9CE304-0B1C-421A-B852-66ECE11A42FD}"/>
    <cellStyle name="Comma 7 3 4 2 2 5" xfId="15695" xr:uid="{0059FB86-B8E1-47DF-B797-187EC693D0B9}"/>
    <cellStyle name="Comma 7 3 4 2 3" xfId="3567" xr:uid="{00000000-0005-0000-0000-0000BD020000}"/>
    <cellStyle name="Comma 7 3 4 2 4" xfId="5626" xr:uid="{827FF525-FDEF-478D-B14C-FAE5C7BAAA47}"/>
    <cellStyle name="Comma 7 3 4 2 4 2" xfId="29958" xr:uid="{20F9AA12-6498-407B-9E82-41086B0B3BDD}"/>
    <cellStyle name="Comma 7 3 4 2 5" xfId="23641" xr:uid="{26E0B30D-3726-4688-865B-D1F3204AE96E}"/>
    <cellStyle name="Comma 7 3 4 2 6" xfId="13576" xr:uid="{F4BA8690-D0E4-4844-9953-93C10169E306}"/>
    <cellStyle name="Comma 7 3 4 3" xfId="1750" xr:uid="{00000000-0005-0000-0000-0000BE020000}"/>
    <cellStyle name="Comma 7 3 4 3 2" xfId="3815" xr:uid="{ED0A20C0-851C-43CE-A244-08046447CC9F}"/>
    <cellStyle name="Comma 7 3 4 3 2 2" xfId="8649" xr:uid="{5743A404-81A7-4FC8-9A73-2CF43BBDF2C9}"/>
    <cellStyle name="Comma 7 3 4 3 2 2 2" xfId="19029" xr:uid="{F761ADC4-7297-49D4-9817-D82A827C461C}"/>
    <cellStyle name="Comma 7 3 4 3 2 3" xfId="11482" xr:uid="{6934031F-9FD8-49C2-B8A8-B2C64565D36A}"/>
    <cellStyle name="Comma 7 3 4 3 2 3 2" xfId="21862" xr:uid="{76527055-D680-47A1-9723-5EAC8171A51D}"/>
    <cellStyle name="Comma 7 3 4 3 2 4" xfId="28363" xr:uid="{69F5C42D-3BBD-48AB-8E63-2E21149E3188}"/>
    <cellStyle name="Comma 7 3 4 3 2 5" xfId="27960" xr:uid="{92A982AB-DFE7-450D-92F7-1A82914FB061}"/>
    <cellStyle name="Comma 7 3 4 3 2 6" xfId="16196" xr:uid="{D910A9D7-AD9D-4B05-B81B-13E8634ECBD0}"/>
    <cellStyle name="Comma 7 3 4 3 3" xfId="24322" xr:uid="{9A324CB1-B7DA-4131-BD6A-B17EB30DB498}"/>
    <cellStyle name="Comma 7 3 4 3 3 2" xfId="29905" xr:uid="{01103EB1-3290-4D07-BEF6-3D3C9114883A}"/>
    <cellStyle name="Comma 7 3 4 3 4" xfId="30018" xr:uid="{00434217-AB1C-4C6B-A83C-62A5AC08F336}"/>
    <cellStyle name="Comma 7 3 4 4" xfId="1748" xr:uid="{00000000-0005-0000-0000-0000BF020000}"/>
    <cellStyle name="Comma 7 3 4 5" xfId="4265" xr:uid="{6AC4C019-2C26-44B9-9EC3-E3E2D424E32A}"/>
    <cellStyle name="Comma 7 3 4 5 2" xfId="9037" xr:uid="{BA81BD57-2BE5-4DE4-A24B-9A95219BDEBB}"/>
    <cellStyle name="Comma 7 3 4 5 2 2" xfId="19417" xr:uid="{65304B97-A8D6-4B6E-87B2-4B6DC7C72B44}"/>
    <cellStyle name="Comma 7 3 4 5 2 3" xfId="31041" xr:uid="{29E5A903-E367-4DFA-8B14-41FC53E28582}"/>
    <cellStyle name="Comma 7 3 4 5 2 4" xfId="30762" xr:uid="{5C39344B-BBCA-404A-B8F8-90DD4B557283}"/>
    <cellStyle name="Comma 7 3 4 5 3" xfId="11870" xr:uid="{A013C49C-ECA8-41BF-96B3-21AC6B269F3A}"/>
    <cellStyle name="Comma 7 3 4 5 3 2" xfId="22250" xr:uid="{38C1A6FF-C5F3-4E12-BE7A-E04070788C11}"/>
    <cellStyle name="Comma 7 3 4 5 4" xfId="27171" xr:uid="{521A88FC-A998-4017-B759-BC483B8ACAD1}"/>
    <cellStyle name="Comma 7 3 4 5 5" xfId="27645" xr:uid="{9E9C4CCF-96E0-4DBC-B421-7EC98AEB14A6}"/>
    <cellStyle name="Comma 7 3 4 5 6" xfId="16584" xr:uid="{FDCE4580-85C0-4BB6-BD76-D4661603676D}"/>
    <cellStyle name="Comma 7 3 4 6" xfId="4905" xr:uid="{114D2B95-BFD8-40C9-A1CB-957B05832063}"/>
    <cellStyle name="Comma 7 3 4 6 2" xfId="14197" xr:uid="{5BA9B63E-C96B-45DE-8274-2E83DCD2C710}"/>
    <cellStyle name="Comma 7 3 4 7" xfId="6650" xr:uid="{506C9779-95AC-4388-83FE-672925C1B02A}"/>
    <cellStyle name="Comma 7 3 4 7 2" xfId="17030" xr:uid="{EF752B79-A60E-4278-8C80-47B41BB97CC3}"/>
    <cellStyle name="Comma 7 3 4 8" xfId="9483" xr:uid="{6CF38CF9-56BB-4978-954E-7E8E65084293}"/>
    <cellStyle name="Comma 7 3 4 8 2" xfId="19863" xr:uid="{592F35B8-062A-4B9B-B09A-3D462665963C}"/>
    <cellStyle name="Comma 7 3 4 9" xfId="23023" xr:uid="{36677A31-1104-4492-9FE6-428E8689CAF8}"/>
    <cellStyle name="Comma 7 3 5" xfId="1751" xr:uid="{00000000-0005-0000-0000-0000C0020000}"/>
    <cellStyle name="Comma 7 3 5 2" xfId="3069" xr:uid="{00000000-0005-0000-0000-00002B020000}"/>
    <cellStyle name="Comma 7 3 5 2 2" xfId="8149" xr:uid="{2C8E21C5-1468-4AAC-9E90-7A13D1302FAA}"/>
    <cellStyle name="Comma 7 3 5 2 2 2" xfId="28824" xr:uid="{0BD52AC1-38D0-4C37-B305-D192EA862043}"/>
    <cellStyle name="Comma 7 3 5 2 2 2 2" xfId="31227" xr:uid="{B1824CD6-0A45-4DFE-A5DA-1765F10D715A}"/>
    <cellStyle name="Comma 7 3 5 2 2 2 3" xfId="30764" xr:uid="{7B31E587-79F0-4CA4-A017-3FC64EB68955}"/>
    <cellStyle name="Comma 7 3 5 2 2 3" xfId="26547" xr:uid="{8A656009-1284-4B9B-ADF3-ED1BC0BCC3F2}"/>
    <cellStyle name="Comma 7 3 5 2 2 4" xfId="18529" xr:uid="{128F5D68-5A9F-4E36-98C7-8BB7C0E561AD}"/>
    <cellStyle name="Comma 7 3 5 2 3" xfId="10982" xr:uid="{4DD23474-870F-4639-9FE4-AA6A0949A199}"/>
    <cellStyle name="Comma 7 3 5 2 3 2" xfId="21362" xr:uid="{A0882080-46B6-4B65-A5DA-7FD4934AA4B4}"/>
    <cellStyle name="Comma 7 3 5 2 4" xfId="24167" xr:uid="{A8908E9D-CF07-4CC3-93FE-F91D3CCF9DEE}"/>
    <cellStyle name="Comma 7 3 5 2 5" xfId="15696" xr:uid="{148F4EE9-281E-4E13-BB9F-538AA70BEA61}"/>
    <cellStyle name="Comma 7 3 5 3" xfId="3678" xr:uid="{00000000-0005-0000-0000-0000C0020000}"/>
    <cellStyle name="Comma 7 3 5 4" xfId="4414" xr:uid="{39A94735-439D-4714-8C97-340E07D9B1C2}"/>
    <cellStyle name="Comma 7 3 5 4 2" xfId="9186" xr:uid="{F1BC04F7-E54B-48FE-A1A1-A0DB777BD46E}"/>
    <cellStyle name="Comma 7 3 5 4 2 2" xfId="19566" xr:uid="{1394F04B-CC2D-457C-A8E1-742A6790E496}"/>
    <cellStyle name="Comma 7 3 5 4 2 3" xfId="31080" xr:uid="{7E1DD9F1-4C18-4368-A763-2CFDB57D9BB0}"/>
    <cellStyle name="Comma 7 3 5 4 2 4" xfId="30763" xr:uid="{CEB76293-5225-4DF8-B182-6C8C0AFD630E}"/>
    <cellStyle name="Comma 7 3 5 4 3" xfId="12019" xr:uid="{706B6DB9-CD9A-4ED7-B159-DF49DA196DEE}"/>
    <cellStyle name="Comma 7 3 5 4 3 2" xfId="22399" xr:uid="{01A9F026-682A-4472-8503-0CDD994EBD1A}"/>
    <cellStyle name="Comma 7 3 5 4 4" xfId="16733" xr:uid="{C73CAD6C-19D9-4C6A-AF12-4F6E33F0C6C6}"/>
    <cellStyle name="Comma 7 3 5 5" xfId="5627" xr:uid="{2FADE1A1-156D-4770-A59C-1D5D492CFF56}"/>
    <cellStyle name="Comma 7 3 5 5 2" xfId="29686" xr:uid="{DD02D9DC-2EC2-4EBC-A2AB-DA7D0EF6B5A6}"/>
    <cellStyle name="Comma 7 3 5 5 2 2" xfId="30977" xr:uid="{235E9461-30B4-44D8-929B-6F79698976C3}"/>
    <cellStyle name="Comma 7 3 5 6" xfId="24707" xr:uid="{CD0367C6-2874-4187-83D9-9B0301BDED90}"/>
    <cellStyle name="Comma 7 3 5 7" xfId="13577" xr:uid="{31C08D88-46F6-44FC-9FAF-C7DFE5A5340F}"/>
    <cellStyle name="Comma 7 3 6" xfId="1752" xr:uid="{00000000-0005-0000-0000-0000C1020000}"/>
    <cellStyle name="Comma 7 3 6 2" xfId="2876" xr:uid="{00000000-0005-0000-0000-00002C020000}"/>
    <cellStyle name="Comma 7 3 6 2 2" xfId="7993" xr:uid="{18FB670C-B086-4649-A49B-AA84A527E1C5}"/>
    <cellStyle name="Comma 7 3 6 2 2 2" xfId="25914" xr:uid="{247261F7-32DF-4C9F-AFC6-1B08B1D6E65D}"/>
    <cellStyle name="Comma 7 3 6 2 2 2 2" xfId="31169" xr:uid="{00E20836-A709-4D76-A735-95493E287AD1}"/>
    <cellStyle name="Comma 7 3 6 2 2 2 3" xfId="30765" xr:uid="{80F05594-7611-41F2-83FC-870D7DE32EE2}"/>
    <cellStyle name="Comma 7 3 6 2 2 3" xfId="27828" xr:uid="{DAA8CBF8-1F10-450B-9DE8-9200C3163FD1}"/>
    <cellStyle name="Comma 7 3 6 2 2 4" xfId="18373" xr:uid="{DEA785FC-D636-456D-AF50-1B6058F3F876}"/>
    <cellStyle name="Comma 7 3 6 2 3" xfId="10826" xr:uid="{B9BB6D5B-71C6-485F-AB66-710966D0D397}"/>
    <cellStyle name="Comma 7 3 6 2 3 2" xfId="21206" xr:uid="{3CA70379-CF4C-42E4-B4BE-D9DEA86B0B46}"/>
    <cellStyle name="Comma 7 3 6 2 4" xfId="25752" xr:uid="{F1D9F1EE-C37D-4DBC-9EBE-C21ECE231D19}"/>
    <cellStyle name="Comma 7 3 6 2 5" xfId="15540" xr:uid="{08D89368-48C2-4B55-BAE4-2E63BB5C19EB}"/>
    <cellStyle name="Comma 7 3 6 3" xfId="3584" xr:uid="{00000000-0005-0000-0000-0000C1020000}"/>
    <cellStyle name="Comma 7 3 6 4" xfId="5628" xr:uid="{5B76C98F-C0BF-4CF0-91A7-53BE3B77CE07}"/>
    <cellStyle name="Comma 7 3 6 4 2" xfId="29925" xr:uid="{741779F3-8687-413A-BABB-6A7AC4C6DE25}"/>
    <cellStyle name="Comma 7 3 6 5" xfId="25566" xr:uid="{337F0B91-D4CC-4CAA-B6E2-253217A3E564}"/>
    <cellStyle name="Comma 7 3 6 6" xfId="13372" xr:uid="{E5E7021E-60E4-49D3-852D-8B9CBD1B477D}"/>
    <cellStyle name="Comma 7 3 7" xfId="1738" xr:uid="{00000000-0005-0000-0000-0000C2020000}"/>
    <cellStyle name="Comma 7 3 7 2" xfId="2470" xr:uid="{00000000-0005-0000-0000-00002D020000}"/>
    <cellStyle name="Comma 7 3 7 2 2" xfId="7595" xr:uid="{7D845A15-6584-4DF0-BD6D-A91976089349}"/>
    <cellStyle name="Comma 7 3 7 2 2 2" xfId="17975" xr:uid="{3AB9C43A-0755-4D8E-9050-2315D93038AC}"/>
    <cellStyle name="Comma 7 3 7 2 3" xfId="10428" xr:uid="{DD76E025-B3B3-4322-8BD0-B8844AAC6C67}"/>
    <cellStyle name="Comma 7 3 7 2 3 2" xfId="20808" xr:uid="{D23E06C4-78BF-428D-8406-91208AE2099D}"/>
    <cellStyle name="Comma 7 3 7 2 4" xfId="28403" xr:uid="{DC6320A0-6526-4250-87A3-7B1F7EEDCB45}"/>
    <cellStyle name="Comma 7 3 7 2 5" xfId="26971" xr:uid="{A42A7536-2CC4-4B9F-AC77-C927C7495088}"/>
    <cellStyle name="Comma 7 3 7 2 6" xfId="15142" xr:uid="{A8223C2E-A5D3-46BC-8E03-DE32AA84F113}"/>
    <cellStyle name="Comma 7 3 7 3" xfId="3669" xr:uid="{00000000-0005-0000-0000-0000C2020000}"/>
    <cellStyle name="Comma 7 3 7 4" xfId="5618" xr:uid="{354E9452-958D-4758-AD14-FEC309CF6342}"/>
    <cellStyle name="Comma 7 3 7 4 2" xfId="29864" xr:uid="{AF8F967D-6CD8-4490-B648-1B12B79D6ED9}"/>
    <cellStyle name="Comma 7 3 7 5" xfId="22982" xr:uid="{EAAC60EF-B43A-4315-839E-C8B32C50A659}"/>
    <cellStyle name="Comma 7 3 7 6" xfId="12858" xr:uid="{682832E8-95F6-45C8-B43E-58421DD09B80}"/>
    <cellStyle name="Comma 7 3 8" xfId="2224" xr:uid="{00000000-0005-0000-0000-00001C020000}"/>
    <cellStyle name="Comma 7 3 8 2" xfId="7351" xr:uid="{5BC9C21F-183C-4FCE-B8EC-B1B634F9922A}"/>
    <cellStyle name="Comma 7 3 8 2 2" xfId="17731" xr:uid="{1DA734C9-A914-4B89-AFB7-487EBECE364A}"/>
    <cellStyle name="Comma 7 3 8 2 2 2" xfId="31124" xr:uid="{25B90749-E1DC-406F-B88F-4BB77DEB39C9}"/>
    <cellStyle name="Comma 7 3 8 2 2 3" xfId="30766" xr:uid="{2521966B-AD35-4B5A-923F-A6EECC98E499}"/>
    <cellStyle name="Comma 7 3 8 3" xfId="10184" xr:uid="{2FE99FB6-ECE3-41F4-A934-2F4B90A9C4AB}"/>
    <cellStyle name="Comma 7 3 8 3 2" xfId="20564" xr:uid="{92D13FE9-41BC-4343-9B57-06EAC4534CC4}"/>
    <cellStyle name="Comma 7 3 8 4" xfId="24239" xr:uid="{50855620-BD9B-4122-94BD-2F28CAC11815}"/>
    <cellStyle name="Comma 7 3 8 5" xfId="28643" xr:uid="{ED54405B-B91D-40A4-B0B2-45B0F7BED97A}"/>
    <cellStyle name="Comma 7 3 8 6" xfId="14898" xr:uid="{C5B9B326-55FB-47B5-A3D1-FA1DBA274FDB}"/>
    <cellStyle name="Comma 7 3 9" xfId="3871" xr:uid="{C8A0FAA5-9B7E-4CC6-B126-396DBCBEC0DE}"/>
    <cellStyle name="Comma 7 3 9 2" xfId="8703" xr:uid="{B46FEDDD-A828-4163-B92F-2055CBDEAEB4}"/>
    <cellStyle name="Comma 7 3 9 2 2" xfId="19083" xr:uid="{2034E241-4243-4FAB-90CD-B6EA1F0064C3}"/>
    <cellStyle name="Comma 7 3 9 3" xfId="11536" xr:uid="{F2068EFC-51AD-4FB6-BB65-47749DB0186B}"/>
    <cellStyle name="Comma 7 3 9 3 2" xfId="21916" xr:uid="{2E3C1A11-E99F-4D94-AC42-0F11BDE77AC8}"/>
    <cellStyle name="Comma 7 3 9 4" xfId="25930" xr:uid="{209424B9-46B1-4177-B516-31E1C7847AA8}"/>
    <cellStyle name="Comma 7 3 9 5" xfId="27895" xr:uid="{A8450D4A-2A82-46E6-87BC-80C5ECBA7966}"/>
    <cellStyle name="Comma 7 3 9 6" xfId="16250" xr:uid="{B822606C-21C2-4CB7-955C-9119D754E584}"/>
    <cellStyle name="Comma 7 4" xfId="515" xr:uid="{00000000-0005-0000-0000-0000C3020000}"/>
    <cellStyle name="Comma 7 4 10" xfId="6651" xr:uid="{6CCB234B-3732-4180-9295-30246168D0DE}"/>
    <cellStyle name="Comma 7 4 10 2" xfId="17031" xr:uid="{FE944D4D-C8A5-46A0-B01B-C80842D62473}"/>
    <cellStyle name="Comma 7 4 11" xfId="9484" xr:uid="{50ABA6FC-08DB-406C-BB4A-54F32A4226BD}"/>
    <cellStyle name="Comma 7 4 11 2" xfId="19864" xr:uid="{C827654D-43F0-42CF-BC91-375B9C9A2DA5}"/>
    <cellStyle name="Comma 7 4 12" xfId="24802" xr:uid="{00BF0204-9762-4716-A551-48483A31603F}"/>
    <cellStyle name="Comma 7 4 13" xfId="12436" xr:uid="{13856006-9B60-4428-8901-F69F79C25512}"/>
    <cellStyle name="Comma 7 4 2" xfId="516" xr:uid="{00000000-0005-0000-0000-0000C4020000}"/>
    <cellStyle name="Comma 7 4 2 10" xfId="9485" xr:uid="{C45BCE2B-22E5-4A0D-98DA-7CD2B25CFB72}"/>
    <cellStyle name="Comma 7 4 2 10 2" xfId="19865" xr:uid="{6AE756E6-4060-4F0B-9E6A-DA736F705B0C}"/>
    <cellStyle name="Comma 7 4 2 11" xfId="25398" xr:uid="{E25AB078-2481-493F-BF72-67BB374FB035}"/>
    <cellStyle name="Comma 7 4 2 12" xfId="12517" xr:uid="{0BCCFE48-A043-48E7-AAE1-9BD13473BBED}"/>
    <cellStyle name="Comma 7 4 2 2" xfId="517" xr:uid="{00000000-0005-0000-0000-0000C5020000}"/>
    <cellStyle name="Comma 7 4 2 2 10" xfId="13093" xr:uid="{474830D7-07D3-431C-9957-D008D6DEC804}"/>
    <cellStyle name="Comma 7 4 2 2 2" xfId="1756" xr:uid="{00000000-0005-0000-0000-0000C6020000}"/>
    <cellStyle name="Comma 7 4 2 2 2 2" xfId="3071" xr:uid="{00000000-0005-0000-0000-000031020000}"/>
    <cellStyle name="Comma 7 4 2 2 2 2 2" xfId="8151" xr:uid="{EDFBFDE6-C2AC-4A1B-A48A-ECBE9A76C80F}"/>
    <cellStyle name="Comma 7 4 2 2 2 2 2 2" xfId="28826" xr:uid="{FF22AA6C-8848-44FE-817B-E390CFD62415}"/>
    <cellStyle name="Comma 7 4 2 2 2 2 2 3" xfId="27042" xr:uid="{E7DA5C12-4FDD-472B-AC99-F287BADDBA34}"/>
    <cellStyle name="Comma 7 4 2 2 2 2 2 4" xfId="18531" xr:uid="{EF18A9A0-FF4C-496E-B374-2D3F98E342F5}"/>
    <cellStyle name="Comma 7 4 2 2 2 2 3" xfId="10984" xr:uid="{D374B389-DFB7-4077-AD3D-D1414956DDBF}"/>
    <cellStyle name="Comma 7 4 2 2 2 2 3 2" xfId="21364" xr:uid="{921AD211-D54D-4B02-99A0-38D8C20E35FD}"/>
    <cellStyle name="Comma 7 4 2 2 2 2 4" xfId="25726" xr:uid="{A1B5A541-62DD-4F3C-A2B9-76C97AB30F96}"/>
    <cellStyle name="Comma 7 4 2 2 2 2 5" xfId="15698" xr:uid="{A876339B-699C-4347-AB50-4795736B3C8C}"/>
    <cellStyle name="Comma 7 4 2 2 2 3" xfId="2074" xr:uid="{00000000-0005-0000-0000-0000C6020000}"/>
    <cellStyle name="Comma 7 4 2 2 2 4" xfId="5630" xr:uid="{0F96B69B-244A-4F6D-84EA-8F9BE20B728E}"/>
    <cellStyle name="Comma 7 4 2 2 2 4 2" xfId="29960" xr:uid="{C6BDF0EC-6B58-4DBD-A047-E46FD0F0B294}"/>
    <cellStyle name="Comma 7 4 2 2 2 5" xfId="25274" xr:uid="{6F6DFA54-4A86-4350-BCF4-C833337EB687}"/>
    <cellStyle name="Comma 7 4 2 2 2 6" xfId="13579" xr:uid="{BB1AD97E-9E89-47BC-B3DF-F183196AF99C}"/>
    <cellStyle name="Comma 7 4 2 2 3" xfId="1757" xr:uid="{00000000-0005-0000-0000-0000C7020000}"/>
    <cellStyle name="Comma 7 4 2 2 3 2" xfId="4653" xr:uid="{A56AE9E9-514F-441A-BEA0-FFD7772ABB59}"/>
    <cellStyle name="Comma 7 4 2 2 3 2 2" xfId="9405" xr:uid="{55022EEA-4842-4678-B4EA-ED753185182C}"/>
    <cellStyle name="Comma 7 4 2 2 3 2 2 2" xfId="19785" xr:uid="{590F2FAA-4B8B-4C56-8E81-CD92CEC869BF}"/>
    <cellStyle name="Comma 7 4 2 2 3 2 3" xfId="12238" xr:uid="{432E2E00-1A98-484E-A074-FBC06ECE9C3D}"/>
    <cellStyle name="Comma 7 4 2 2 3 2 3 2" xfId="22618" xr:uid="{2A646215-255F-4235-A75F-A8C071AB7686}"/>
    <cellStyle name="Comma 7 4 2 2 3 2 4" xfId="28074" xr:uid="{388ED87A-BF05-48C1-AAA9-C428EEC71682}"/>
    <cellStyle name="Comma 7 4 2 2 3 2 5" xfId="27266" xr:uid="{7058C08C-414A-4B93-8499-40C15D815A26}"/>
    <cellStyle name="Comma 7 4 2 2 3 2 6" xfId="16952" xr:uid="{C310694A-51E1-48CD-82B7-9455B44364C9}"/>
    <cellStyle name="Comma 7 4 2 2 3 3" xfId="23803" xr:uid="{C3AD8123-48D2-4D44-978E-10B47EC021EC}"/>
    <cellStyle name="Comma 7 4 2 2 3 3 2" xfId="29908" xr:uid="{017EC55E-1B0E-4659-9FEC-BE3BA3E8B5C9}"/>
    <cellStyle name="Comma 7 4 2 2 3 4" xfId="30020" xr:uid="{76B366F6-D4B3-4EDF-A05B-E111BAF2E291}"/>
    <cellStyle name="Comma 7 4 2 2 4" xfId="1755" xr:uid="{00000000-0005-0000-0000-0000C8020000}"/>
    <cellStyle name="Comma 7 4 2 2 4 2" xfId="26941" xr:uid="{EACAFCDE-67F4-4E83-A579-0DC3A6628F60}"/>
    <cellStyle name="Comma 7 4 2 2 4 3" xfId="26332" xr:uid="{C333864C-4DD8-4C48-8E8A-BF6D74E07578}"/>
    <cellStyle name="Comma 7 4 2 2 5" xfId="4268" xr:uid="{4C51E4D8-F743-4DB6-846D-6A99EF1E28C9}"/>
    <cellStyle name="Comma 7 4 2 2 5 2" xfId="9040" xr:uid="{FD66BA8B-39FA-421D-ACF0-304D4B252B32}"/>
    <cellStyle name="Comma 7 4 2 2 5 2 2" xfId="19420" xr:uid="{1ADDD720-C7FC-4201-B8B3-B2F16A556C5B}"/>
    <cellStyle name="Comma 7 4 2 2 5 2 3" xfId="31044" xr:uid="{0466D549-57DE-48E9-B876-F7DA4CBAA235}"/>
    <cellStyle name="Comma 7 4 2 2 5 2 4" xfId="30767" xr:uid="{B6266582-5973-4625-BC73-800F26BE8E45}"/>
    <cellStyle name="Comma 7 4 2 2 5 3" xfId="11873" xr:uid="{91611199-EB54-4305-A93B-757A8CCCB962}"/>
    <cellStyle name="Comma 7 4 2 2 5 3 2" xfId="22253" xr:uid="{DC59DBFB-DA34-4F7B-8E76-CC383E74A36A}"/>
    <cellStyle name="Comma 7 4 2 2 5 4" xfId="26660" xr:uid="{7AA1B6D3-94B8-4725-838A-27A287B5A0D0}"/>
    <cellStyle name="Comma 7 4 2 2 5 5" xfId="28413" xr:uid="{781FC03D-2709-4EA3-888D-B585F477CC13}"/>
    <cellStyle name="Comma 7 4 2 2 5 6" xfId="16587" xr:uid="{95E22C73-DEF3-4CF3-8C0C-96AB51B1D510}"/>
    <cellStyle name="Comma 7 4 2 2 6" xfId="4908" xr:uid="{4F05658C-4F8B-4450-8CF2-3C0F842DE943}"/>
    <cellStyle name="Comma 7 4 2 2 6 2" xfId="27809" xr:uid="{3BB74277-8229-4B12-867A-5DDCE5B1C601}"/>
    <cellStyle name="Comma 7 4 2 2 6 3" xfId="26959" xr:uid="{BA5B4B88-4C7E-4D8B-BB9A-4CF57B0987D9}"/>
    <cellStyle name="Comma 7 4 2 2 6 4" xfId="14200" xr:uid="{641BD702-6463-4981-A0CF-AAA51C20EC9B}"/>
    <cellStyle name="Comma 7 4 2 2 7" xfId="6653" xr:uid="{29CFA51F-B91D-472A-A88F-AAFA5013ABB0}"/>
    <cellStyle name="Comma 7 4 2 2 7 2" xfId="17033" xr:uid="{FBA6E820-D212-498D-80FB-8B4FB80C0634}"/>
    <cellStyle name="Comma 7 4 2 2 8" xfId="9486" xr:uid="{8CB5331E-1AEC-455D-AAE1-F89A718D0D5C}"/>
    <cellStyle name="Comma 7 4 2 2 8 2" xfId="19866" xr:uid="{CE9FDB0D-8594-4AE0-B6A4-125E9AFF47E1}"/>
    <cellStyle name="Comma 7 4 2 2 9" xfId="24933" xr:uid="{CCF4802F-B647-45E8-8C90-CC8D4F3B2C96}"/>
    <cellStyle name="Comma 7 4 2 3" xfId="1758" xr:uid="{00000000-0005-0000-0000-0000C9020000}"/>
    <cellStyle name="Comma 7 4 2 3 2" xfId="3072" xr:uid="{00000000-0005-0000-0000-000032020000}"/>
    <cellStyle name="Comma 7 4 2 3 2 2" xfId="8152" xr:uid="{401BA277-190E-4F58-9CDB-792EA14258C3}"/>
    <cellStyle name="Comma 7 4 2 3 2 2 2" xfId="28827" xr:uid="{1BA52ECE-26C0-489B-9DA8-F90D8E7B5CE2}"/>
    <cellStyle name="Comma 7 4 2 3 2 2 2 2" xfId="31228" xr:uid="{5DCE9DDA-5CBE-40F0-BC23-B3C9BE848D80}"/>
    <cellStyle name="Comma 7 4 2 3 2 2 2 3" xfId="30769" xr:uid="{C45D28CF-F3F7-4E67-9E26-B73EEE81ED73}"/>
    <cellStyle name="Comma 7 4 2 3 2 2 3" xfId="26589" xr:uid="{A9A6FA3A-10A1-4B81-9A71-7CB43FE46461}"/>
    <cellStyle name="Comma 7 4 2 3 2 2 4" xfId="18532" xr:uid="{C910133E-F186-4795-B306-35F8DAE47591}"/>
    <cellStyle name="Comma 7 4 2 3 2 3" xfId="10985" xr:uid="{823B96D9-B777-4448-AD31-D8BC2D6D8A43}"/>
    <cellStyle name="Comma 7 4 2 3 2 3 2" xfId="21365" xr:uid="{BEC454D6-21FA-4E5F-8080-F82A664B1815}"/>
    <cellStyle name="Comma 7 4 2 3 2 4" xfId="25569" xr:uid="{CF81D0C3-3EE6-4696-89C5-3B1856A97FDC}"/>
    <cellStyle name="Comma 7 4 2 3 2 5" xfId="15699" xr:uid="{332EB8CD-9113-4FBC-B464-DD354E16ECF1}"/>
    <cellStyle name="Comma 7 4 2 3 3" xfId="3615" xr:uid="{00000000-0005-0000-0000-0000C9020000}"/>
    <cellStyle name="Comma 7 4 2 3 4" xfId="4415" xr:uid="{4B720B26-C75C-4226-9681-0209047D1A81}"/>
    <cellStyle name="Comma 7 4 2 3 4 2" xfId="9187" xr:uid="{E632F89A-5B90-4DF6-B4A8-87869941BBE6}"/>
    <cellStyle name="Comma 7 4 2 3 4 2 2" xfId="19567" xr:uid="{3E0F7026-1F8B-4015-9B9C-9294211715B4}"/>
    <cellStyle name="Comma 7 4 2 3 4 2 3" xfId="31081" xr:uid="{F6B95315-CE84-493B-AAC8-03822C5B8988}"/>
    <cellStyle name="Comma 7 4 2 3 4 2 4" xfId="30768" xr:uid="{622C6861-D115-499C-A407-9F5AA1C65C51}"/>
    <cellStyle name="Comma 7 4 2 3 4 3" xfId="12020" xr:uid="{FA9899FA-E822-41AD-AD85-287577806EBE}"/>
    <cellStyle name="Comma 7 4 2 3 4 3 2" xfId="22400" xr:uid="{8A752706-E6EF-403A-ADAD-CC524FFEA0AD}"/>
    <cellStyle name="Comma 7 4 2 3 4 4" xfId="16734" xr:uid="{05687D9F-3A7B-4E08-8C61-4B266BFF80D4}"/>
    <cellStyle name="Comma 7 4 2 3 5" xfId="5631" xr:uid="{8655C0D7-5098-492F-88C6-7F9808A18537}"/>
    <cellStyle name="Comma 7 4 2 3 5 2" xfId="29703" xr:uid="{2CD370FC-BE89-44C6-B960-89019767396E}"/>
    <cellStyle name="Comma 7 4 2 3 5 2 2" xfId="30978" xr:uid="{AB2A1405-E9B2-4D65-9C63-84C25CAAF278}"/>
    <cellStyle name="Comma 7 4 2 3 6" xfId="24442" xr:uid="{E4AF0C8B-5284-4EFA-BE03-D51C5912C1E1}"/>
    <cellStyle name="Comma 7 4 2 3 7" xfId="13580" xr:uid="{2063385F-3AA0-4A2A-AB6F-AE53FCB5E919}"/>
    <cellStyle name="Comma 7 4 2 4" xfId="1759" xr:uid="{00000000-0005-0000-0000-0000CA020000}"/>
    <cellStyle name="Comma 7 4 2 4 2" xfId="3070" xr:uid="{00000000-0005-0000-0000-000033020000}"/>
    <cellStyle name="Comma 7 4 2 4 2 2" xfId="8150" xr:uid="{67EA87D6-BAC2-4F4C-9F76-DC111D6527C8}"/>
    <cellStyle name="Comma 7 4 2 4 2 2 2" xfId="28825" xr:uid="{81AC2B9C-6945-49EA-9AA8-627AEC46B77A}"/>
    <cellStyle name="Comma 7 4 2 4 2 2 3" xfId="27376" xr:uid="{F9B9B077-BD22-4EA8-822A-C1201A44B9CF}"/>
    <cellStyle name="Comma 7 4 2 4 2 2 4" xfId="18530" xr:uid="{2F5165DE-0F18-4DFA-9E76-C6E360EFF2DE}"/>
    <cellStyle name="Comma 7 4 2 4 2 3" xfId="10983" xr:uid="{4286A93B-BC7B-4C0B-8BA9-376812C755B5}"/>
    <cellStyle name="Comma 7 4 2 4 2 3 2" xfId="21363" xr:uid="{E620A8C8-844D-4CA0-B3E5-A5FB7B8181FD}"/>
    <cellStyle name="Comma 7 4 2 4 2 4" xfId="23864" xr:uid="{7A0B68CE-861E-4016-95DE-F4E04C840222}"/>
    <cellStyle name="Comma 7 4 2 4 2 5" xfId="15697" xr:uid="{F666E2A7-9066-44F5-BC43-15818D545E87}"/>
    <cellStyle name="Comma 7 4 2 4 3" xfId="3638" xr:uid="{00000000-0005-0000-0000-0000CA020000}"/>
    <cellStyle name="Comma 7 4 2 4 4" xfId="5632" xr:uid="{FFE912BB-055C-46DF-8818-DF8382E88359}"/>
    <cellStyle name="Comma 7 4 2 4 4 2" xfId="29959" xr:uid="{89796A6F-5040-434A-BAAD-19672D0CD23D}"/>
    <cellStyle name="Comma 7 4 2 4 5" xfId="23067" xr:uid="{769159F0-5C0D-45AD-A13C-86CDBB62F980}"/>
    <cellStyle name="Comma 7 4 2 4 6" xfId="13578" xr:uid="{9800965C-BD53-4754-868D-E5123D35909F}"/>
    <cellStyle name="Comma 7 4 2 5" xfId="1754" xr:uid="{00000000-0005-0000-0000-0000CB020000}"/>
    <cellStyle name="Comma 7 4 2 5 2" xfId="2613" xr:uid="{00000000-0005-0000-0000-000034020000}"/>
    <cellStyle name="Comma 7 4 2 5 2 2" xfId="7738" xr:uid="{264B3417-CBC5-4D83-B7A8-2F55D07895CD}"/>
    <cellStyle name="Comma 7 4 2 5 2 2 2" xfId="18118" xr:uid="{D7BC6FBF-51A4-4330-B851-3EE9DFCAB1C5}"/>
    <cellStyle name="Comma 7 4 2 5 2 3" xfId="10571" xr:uid="{4D31655A-AF45-4744-B266-007F93F7754D}"/>
    <cellStyle name="Comma 7 4 2 5 2 3 2" xfId="20951" xr:uid="{1049E83E-33B6-444A-A210-330810576F5E}"/>
    <cellStyle name="Comma 7 4 2 5 2 4" xfId="27066" xr:uid="{F1FB34C1-7873-4C6B-8ADA-ADE9CE3881D3}"/>
    <cellStyle name="Comma 7 4 2 5 2 5" xfId="26467" xr:uid="{9481BDCD-342A-4F51-B132-7DAB60CB44A7}"/>
    <cellStyle name="Comma 7 4 2 5 2 6" xfId="15285" xr:uid="{D0D03222-D2B4-4757-AF32-F9756CC6E30E}"/>
    <cellStyle name="Comma 7 4 2 5 3" xfId="3673" xr:uid="{00000000-0005-0000-0000-0000CB020000}"/>
    <cellStyle name="Comma 7 4 2 5 4" xfId="5629" xr:uid="{1C4CAF15-8B85-423C-8049-2DF4B15A9E04}"/>
    <cellStyle name="Comma 7 4 2 5 4 2" xfId="29886" xr:uid="{E23FAD94-262E-486E-AC68-65CF7F67F6ED}"/>
    <cellStyle name="Comma 7 4 2 5 5" xfId="22760" xr:uid="{63A9C5F6-EF77-4C6B-870B-B8420B9A6D50}"/>
    <cellStyle name="Comma 7 4 2 5 6" xfId="13001" xr:uid="{CC3099B8-C7CE-44FA-B70E-D2EAEDDB43B9}"/>
    <cellStyle name="Comma 7 4 2 6" xfId="2285" xr:uid="{00000000-0005-0000-0000-00002F020000}"/>
    <cellStyle name="Comma 7 4 2 6 2" xfId="7412" xr:uid="{E4C36005-5EDC-4729-A3E0-E43290015D95}"/>
    <cellStyle name="Comma 7 4 2 6 2 2" xfId="17792" xr:uid="{178E532A-F0CB-4EAF-AFBB-942C78F28E6D}"/>
    <cellStyle name="Comma 7 4 2 6 3" xfId="10245" xr:uid="{C75A9190-3FC3-47E9-9995-2DF8C9F66013}"/>
    <cellStyle name="Comma 7 4 2 6 3 2" xfId="20625" xr:uid="{54290424-A44E-4F48-B2D1-3C3BA61DA7AA}"/>
    <cellStyle name="Comma 7 4 2 6 4" xfId="22817" xr:uid="{A3D6ACC0-116F-4946-83C3-631641F8A836}"/>
    <cellStyle name="Comma 7 4 2 6 5" xfId="26016" xr:uid="{FE68FD12-9154-4AA7-A0C3-CD68D3A9D720}"/>
    <cellStyle name="Comma 7 4 2 6 6" xfId="14959" xr:uid="{6FA8B3BC-ADED-4CC2-8CC3-FFE0A1B68FE5}"/>
    <cellStyle name="Comma 7 4 2 7" xfId="3824" xr:uid="{B14658B2-FCC4-43CD-A4BC-C6FD30075BC7}"/>
    <cellStyle name="Comma 7 4 2 7 2" xfId="8657" xr:uid="{2C356EDD-54BF-4E47-B774-D6E55FADE4F0}"/>
    <cellStyle name="Comma 7 4 2 7 2 2" xfId="19037" xr:uid="{7811949C-31E2-421D-ADBF-A2352D2AA19E}"/>
    <cellStyle name="Comma 7 4 2 7 3" xfId="11490" xr:uid="{6F3A02B3-9DAA-486E-A01B-91AC2E380B47}"/>
    <cellStyle name="Comma 7 4 2 7 3 2" xfId="21870" xr:uid="{56A9FE8D-D055-4A14-AC81-A7470A84DE3E}"/>
    <cellStyle name="Comma 7 4 2 7 4" xfId="26520" xr:uid="{5FBD1249-0C3E-4921-BE51-79EA2CAC9B29}"/>
    <cellStyle name="Comma 7 4 2 7 5" xfId="27751" xr:uid="{91768008-3678-4E3B-BDC5-DF49DC87299E}"/>
    <cellStyle name="Comma 7 4 2 7 6" xfId="16204" xr:uid="{883239F2-5ACA-48AC-92E0-E80092C3F15F}"/>
    <cellStyle name="Comma 7 4 2 8" xfId="4907" xr:uid="{505D3395-F608-44BD-AEA0-71EDAA867C28}"/>
    <cellStyle name="Comma 7 4 2 8 2" xfId="14199" xr:uid="{3D6D5CD5-AE94-4527-93FF-700D5C6AF69C}"/>
    <cellStyle name="Comma 7 4 2 9" xfId="6652" xr:uid="{0A8693F1-C2C0-478E-B194-10661804C34F}"/>
    <cellStyle name="Comma 7 4 2 9 2" xfId="17032" xr:uid="{38F0DE82-D13B-40DA-9557-A7EDD7239E97}"/>
    <cellStyle name="Comma 7 4 3" xfId="518" xr:uid="{00000000-0005-0000-0000-0000CC020000}"/>
    <cellStyle name="Comma 7 4 3 10" xfId="12675" xr:uid="{E6520FE3-3C5C-4157-946D-CBA5C7996F81}"/>
    <cellStyle name="Comma 7 4 3 2" xfId="1761" xr:uid="{00000000-0005-0000-0000-0000CD020000}"/>
    <cellStyle name="Comma 7 4 3 2 2" xfId="3073" xr:uid="{00000000-0005-0000-0000-000036020000}"/>
    <cellStyle name="Comma 7 4 3 2 2 2" xfId="8153" xr:uid="{BF50235C-D9F5-4BE6-8E57-DA842ACA190A}"/>
    <cellStyle name="Comma 7 4 3 2 2 2 2" xfId="28828" xr:uid="{6BC52DD1-A91F-43FE-B3D1-B5A4132182CA}"/>
    <cellStyle name="Comma 7 4 3 2 2 2 3" xfId="26072" xr:uid="{344878CB-20EA-42C7-8ABE-B293196D2670}"/>
    <cellStyle name="Comma 7 4 3 2 2 2 4" xfId="18533" xr:uid="{D22F1899-2944-4CCB-B36A-5E8A124EFFE5}"/>
    <cellStyle name="Comma 7 4 3 2 2 3" xfId="10986" xr:uid="{9DA86617-6C52-4D0B-BB50-D655114B14BB}"/>
    <cellStyle name="Comma 7 4 3 2 2 3 2" xfId="21366" xr:uid="{0D55057B-18DB-43C2-9C52-2A25422470D3}"/>
    <cellStyle name="Comma 7 4 3 2 2 4" xfId="22743" xr:uid="{F680CB1D-9166-446B-BFD5-A9FF7876BB0F}"/>
    <cellStyle name="Comma 7 4 3 2 2 5" xfId="15700" xr:uid="{03C28C1E-303A-4C32-AADB-57485055AA2F}"/>
    <cellStyle name="Comma 7 4 3 2 3" xfId="3666" xr:uid="{00000000-0005-0000-0000-0000CD020000}"/>
    <cellStyle name="Comma 7 4 3 2 4" xfId="5633" xr:uid="{F42C1CC9-4C1E-4C09-96AA-B1331C9CE94A}"/>
    <cellStyle name="Comma 7 4 3 2 4 2" xfId="29961" xr:uid="{CBFC30DF-918A-4635-9F73-C3728EBCA183}"/>
    <cellStyle name="Comma 7 4 3 2 5" xfId="23228" xr:uid="{3B4E2DE3-9C5B-4543-9F55-002A6D0DBA63}"/>
    <cellStyle name="Comma 7 4 3 2 6" xfId="13581" xr:uid="{16383BDD-3E14-46A2-97B6-8F35987451FD}"/>
    <cellStyle name="Comma 7 4 3 3" xfId="1762" xr:uid="{00000000-0005-0000-0000-0000CE020000}"/>
    <cellStyle name="Comma 7 4 3 3 2" xfId="2682" xr:uid="{00000000-0005-0000-0000-000037020000}"/>
    <cellStyle name="Comma 7 4 3 3 2 2" xfId="7806" xr:uid="{9C8CB75C-6DD5-4A6E-8B48-84A31B9706F3}"/>
    <cellStyle name="Comma 7 4 3 3 2 2 2" xfId="18186" xr:uid="{7FFE0B91-DF7A-4B57-B83F-494585391AC3}"/>
    <cellStyle name="Comma 7 4 3 3 2 3" xfId="10639" xr:uid="{61B0738B-6FC2-483F-8B6D-B8217C9393CF}"/>
    <cellStyle name="Comma 7 4 3 3 2 3 2" xfId="21019" xr:uid="{E9091CA8-E1E0-439B-B93F-92F6CEC7289E}"/>
    <cellStyle name="Comma 7 4 3 3 2 4" xfId="15353" xr:uid="{E470E6FC-CA99-4ED1-8669-6D41E198481E}"/>
    <cellStyle name="Comma 7 4 3 3 2 5" xfId="30438" xr:uid="{B1C8CA97-8768-4B9B-AA25-B2978BD9674C}"/>
    <cellStyle name="Comma 7 4 3 3 3" xfId="3617" xr:uid="{00000000-0005-0000-0000-0000CE020000}"/>
    <cellStyle name="Comma 7 4 3 3 4" xfId="5634" xr:uid="{C0C64253-4544-4979-A07F-7EEC2FA73C74}"/>
    <cellStyle name="Comma 7 4 3 3 4 2" xfId="29907" xr:uid="{7158D19A-9FDF-4D3B-84E8-BAA5FCE634A9}"/>
    <cellStyle name="Comma 7 4 3 3 5" xfId="25522" xr:uid="{6F3732D1-E16A-4301-8E3F-B27761CF0255}"/>
    <cellStyle name="Comma 7 4 3 3 6" xfId="13092" xr:uid="{74843E64-0A04-40DD-9985-1B3D8C252F4E}"/>
    <cellStyle name="Comma 7 4 3 4" xfId="1760" xr:uid="{00000000-0005-0000-0000-0000CF020000}"/>
    <cellStyle name="Comma 7 4 3 4 2" xfId="3816" xr:uid="{D8562F3A-33C0-47DC-9768-B5E4819A23FF}"/>
    <cellStyle name="Comma 7 4 3 4 2 2" xfId="8650" xr:uid="{0C5A08FC-7258-4858-96EB-178F2F1D7D2A}"/>
    <cellStyle name="Comma 7 4 3 4 2 2 2" xfId="19030" xr:uid="{61DE5C44-A3CE-4400-870E-4156CE6AF8D3}"/>
    <cellStyle name="Comma 7 4 3 4 2 3" xfId="11483" xr:uid="{640F1C62-E8E9-475D-A089-FC636808A532}"/>
    <cellStyle name="Comma 7 4 3 4 2 3 2" xfId="21863" xr:uid="{12B6440F-867B-4044-B185-A1865D631395}"/>
    <cellStyle name="Comma 7 4 3 4 2 4" xfId="26145" xr:uid="{552BB63E-C010-4D93-B642-D969AD86307D}"/>
    <cellStyle name="Comma 7 4 3 4 2 5" xfId="28036" xr:uid="{EBF27C3A-2657-4D29-AF37-80CC896DFA93}"/>
    <cellStyle name="Comma 7 4 3 4 2 6" xfId="16197" xr:uid="{2B3F23E8-0972-4367-BA90-49DE4C62D40D}"/>
    <cellStyle name="Comma 7 4 3 4 3" xfId="24369" xr:uid="{6022CDEA-3303-4688-AF3E-2A06F16DFF68}"/>
    <cellStyle name="Comma 7 4 3 5" xfId="4131" xr:uid="{0C3AEDB6-47D3-4532-AD9F-B747C0D3D348}"/>
    <cellStyle name="Comma 7 4 3 5 2" xfId="8903" xr:uid="{A9D57613-0647-4252-A7DE-F96ACE4D2F25}"/>
    <cellStyle name="Comma 7 4 3 5 2 2" xfId="29010" xr:uid="{3223FC18-17D2-4449-8BCE-D3331DED2D0C}"/>
    <cellStyle name="Comma 7 4 3 5 2 3" xfId="28252" xr:uid="{6C9C8208-8D55-4D64-89B3-93B3A9FA53DD}"/>
    <cellStyle name="Comma 7 4 3 5 2 4" xfId="19283" xr:uid="{6A93D2D0-E2DE-4958-873C-7C9307DAE259}"/>
    <cellStyle name="Comma 7 4 3 5 2 5" xfId="31015" xr:uid="{AE91DB1F-9BFA-4E40-ABB4-055D676741C7}"/>
    <cellStyle name="Comma 7 4 3 5 3" xfId="11736" xr:uid="{5DBDEE2F-CB0E-48E9-B894-F3528BA102EF}"/>
    <cellStyle name="Comma 7 4 3 5 3 2" xfId="22116" xr:uid="{E35B95DF-9B87-4BFF-AE1A-40656154C09C}"/>
    <cellStyle name="Comma 7 4 3 5 4" xfId="24381" xr:uid="{64CB99C8-9B2C-4180-A06C-88ADD89B3129}"/>
    <cellStyle name="Comma 7 4 3 5 5" xfId="16450" xr:uid="{6D5896D9-6706-4E56-88C1-BCFB3F2F4844}"/>
    <cellStyle name="Comma 7 4 3 6" xfId="4909" xr:uid="{DA85075F-94FB-48B1-8890-E36FF3FD70B4}"/>
    <cellStyle name="Comma 7 4 3 6 2" xfId="28141" xr:uid="{4CFE3330-324B-4455-BD55-4159D7D6A5AB}"/>
    <cellStyle name="Comma 7 4 3 6 3" xfId="26163" xr:uid="{BF794F05-5DEE-469D-99FD-CB721AD9A86F}"/>
    <cellStyle name="Comma 7 4 3 6 4" xfId="14201" xr:uid="{253B09F4-F27C-4B2A-ABB8-76CC41B86518}"/>
    <cellStyle name="Comma 7 4 3 7" xfId="6654" xr:uid="{EFDA9DAE-3A68-43F3-A939-F094E59796C1}"/>
    <cellStyle name="Comma 7 4 3 7 2" xfId="27057" xr:uid="{FC4F1DFA-571F-4A4A-A501-8420725FAAB2}"/>
    <cellStyle name="Comma 7 4 3 7 3" xfId="26152" xr:uid="{E58BB649-B87C-4009-B139-0A916F21407C}"/>
    <cellStyle name="Comma 7 4 3 7 4" xfId="17034" xr:uid="{128962EE-7DCA-4045-9132-C4B3DF290F4F}"/>
    <cellStyle name="Comma 7 4 3 8" xfId="9487" xr:uid="{51EE6ED6-E2E0-4CED-910B-E529C0164812}"/>
    <cellStyle name="Comma 7 4 3 8 2" xfId="19867" xr:uid="{30253037-7FE3-4B81-8FD0-86D6676B1E60}"/>
    <cellStyle name="Comma 7 4 3 9" xfId="24011" xr:uid="{518B04B8-B99A-4BF2-90A8-E4814A881679}"/>
    <cellStyle name="Comma 7 4 4" xfId="519" xr:uid="{00000000-0005-0000-0000-0000D0020000}"/>
    <cellStyle name="Comma 7 4 4 10" xfId="13582" xr:uid="{8F87A287-EAB1-4464-80D3-D813300FA58E}"/>
    <cellStyle name="Comma 7 4 4 2" xfId="1764" xr:uid="{00000000-0005-0000-0000-0000D1020000}"/>
    <cellStyle name="Comma 7 4 4 2 2" xfId="25673" xr:uid="{87CCBCDE-2E7E-4962-9235-BD2EE4E989AF}"/>
    <cellStyle name="Comma 7 4 4 2 2 2" xfId="29795" xr:uid="{FD56B18F-F2A1-4404-84AA-2710BD5F70E9}"/>
    <cellStyle name="Comma 7 4 4 2 2 2 2" xfId="30771" xr:uid="{319C5315-1AFF-4ADF-8B9D-E9FDD8A5291F}"/>
    <cellStyle name="Comma 7 4 4 2 3" xfId="24977" xr:uid="{BAF6A2DD-6226-43D4-A684-8150AEF97C75}"/>
    <cellStyle name="Comma 7 4 4 2 4" xfId="30057" xr:uid="{75B74586-5889-4F8A-8B94-D1B0980FFA5F}"/>
    <cellStyle name="Comma 7 4 4 3" xfId="1765" xr:uid="{00000000-0005-0000-0000-0000D2020000}"/>
    <cellStyle name="Comma 7 4 4 4" xfId="1763" xr:uid="{00000000-0005-0000-0000-0000D3020000}"/>
    <cellStyle name="Comma 7 4 4 5" xfId="4416" xr:uid="{A79976AD-E645-441A-AD6C-97FE5F3FEE87}"/>
    <cellStyle name="Comma 7 4 4 5 2" xfId="9188" xr:uid="{5CEDBA4A-068F-49F2-8742-EED7FB556728}"/>
    <cellStyle name="Comma 7 4 4 5 2 2" xfId="19568" xr:uid="{C1D73A54-DF06-43E1-B02D-70138DAC0F65}"/>
    <cellStyle name="Comma 7 4 4 5 2 3" xfId="31082" xr:uid="{54FF0A26-6FC3-46E7-B541-2D3D4C7445BB}"/>
    <cellStyle name="Comma 7 4 4 5 2 4" xfId="30770" xr:uid="{9E45CC61-8D14-4306-AE88-07132C06F482}"/>
    <cellStyle name="Comma 7 4 4 5 3" xfId="12021" xr:uid="{F1F12C03-26D3-472A-A199-CA3BBADF4FF8}"/>
    <cellStyle name="Comma 7 4 4 5 3 2" xfId="22401" xr:uid="{D0600EDC-19A8-4DBE-B021-6AD9B46BC449}"/>
    <cellStyle name="Comma 7 4 4 5 4" xfId="16735" xr:uid="{E03EF074-59AE-4958-9A55-F8150CEC62AC}"/>
    <cellStyle name="Comma 7 4 4 6" xfId="4910" xr:uid="{B5894034-0CBE-4849-944D-A2145E2BA423}"/>
    <cellStyle name="Comma 7 4 4 6 2" xfId="14202" xr:uid="{E0144BC8-5106-4878-99BF-3ABA15849A30}"/>
    <cellStyle name="Comma 7 4 4 7" xfId="6655" xr:uid="{1CE7CD24-6A9B-47E4-A2C8-994D2158C902}"/>
    <cellStyle name="Comma 7 4 4 7 2" xfId="17035" xr:uid="{9A7E1A0B-0986-4842-8671-42445014E238}"/>
    <cellStyle name="Comma 7 4 4 8" xfId="9488" xr:uid="{0AFF9412-21A3-490D-997B-AFB0902370A2}"/>
    <cellStyle name="Comma 7 4 4 8 2" xfId="19868" xr:uid="{2A59CC9B-4745-4CEF-9C04-AE114DA413E5}"/>
    <cellStyle name="Comma 7 4 4 9" xfId="25013" xr:uid="{DA3D3D37-93EA-45C0-8D23-6DE1759E4E8B}"/>
    <cellStyle name="Comma 7 4 5" xfId="1766" xr:uid="{00000000-0005-0000-0000-0000D4020000}"/>
    <cellStyle name="Comma 7 4 5 2" xfId="2877" xr:uid="{00000000-0005-0000-0000-000039020000}"/>
    <cellStyle name="Comma 7 4 5 2 2" xfId="7994" xr:uid="{3436F44C-B494-4C12-B062-B05AE390F7DB}"/>
    <cellStyle name="Comma 7 4 5 2 2 2" xfId="28137" xr:uid="{C4C8EBBF-1363-4EDA-8249-8E2FAC6E891D}"/>
    <cellStyle name="Comma 7 4 5 2 2 2 2" xfId="31202" xr:uid="{C4434D6B-27E6-4DB2-B5C6-11D236A9EB9B}"/>
    <cellStyle name="Comma 7 4 5 2 2 2 3" xfId="30772" xr:uid="{5B586058-E49A-4F5A-A031-B1916C57A197}"/>
    <cellStyle name="Comma 7 4 5 2 2 3" xfId="28408" xr:uid="{A8388C42-FB4F-4E71-9665-28D8309C8F99}"/>
    <cellStyle name="Comma 7 4 5 2 2 4" xfId="18374" xr:uid="{010E3599-4041-494C-9E8B-47211047F9C8}"/>
    <cellStyle name="Comma 7 4 5 2 3" xfId="10827" xr:uid="{E234D908-EA01-4B18-A72C-F9A351E71EA5}"/>
    <cellStyle name="Comma 7 4 5 2 3 2" xfId="21207" xr:uid="{92EF256B-DCA1-4DAD-A75D-2632903337D1}"/>
    <cellStyle name="Comma 7 4 5 2 4" xfId="23631" xr:uid="{3DF51C16-BD7D-45E9-821B-7CB0DAC33938}"/>
    <cellStyle name="Comma 7 4 5 2 5" xfId="15541" xr:uid="{39C585DA-A2B8-4368-A749-A353297DF4B4}"/>
    <cellStyle name="Comma 7 4 5 3" xfId="3557" xr:uid="{00000000-0005-0000-0000-0000D4020000}"/>
    <cellStyle name="Comma 7 4 5 4" xfId="5635" xr:uid="{F25F8ABD-E47B-4ED6-8D3F-4A5C88232BBD}"/>
    <cellStyle name="Comma 7 4 5 4 2" xfId="29845" xr:uid="{4B10996F-A14C-46DD-8C2F-249591EC5D98}"/>
    <cellStyle name="Comma 7 4 5 5" xfId="24303" xr:uid="{34F8396F-3D25-4222-B311-5C22B2557EDE}"/>
    <cellStyle name="Comma 7 4 5 6" xfId="13373" xr:uid="{BD057F28-3B5C-4119-8DED-40BF81C07833}"/>
    <cellStyle name="Comma 7 4 6" xfId="1767" xr:uid="{00000000-0005-0000-0000-0000D5020000}"/>
    <cellStyle name="Comma 7 4 6 2" xfId="2450" xr:uid="{00000000-0005-0000-0000-00003A020000}"/>
    <cellStyle name="Comma 7 4 6 2 2" xfId="7575" xr:uid="{0EC8745B-CADC-4E90-A2A4-B929D2A07332}"/>
    <cellStyle name="Comma 7 4 6 2 2 2" xfId="17955" xr:uid="{8DAB496C-B792-4CAD-B564-5C584D52771C}"/>
    <cellStyle name="Comma 7 4 6 2 3" xfId="10408" xr:uid="{E940CE41-6AA0-4542-ADA4-02A6AA67B06A}"/>
    <cellStyle name="Comma 7 4 6 2 3 2" xfId="20788" xr:uid="{FD7A1908-EC3C-4637-BA0B-59DE488C5758}"/>
    <cellStyle name="Comma 7 4 6 2 4" xfId="28250" xr:uid="{97D421FA-B512-4A65-9020-4AD1C995F528}"/>
    <cellStyle name="Comma 7 4 6 2 5" xfId="27195" xr:uid="{0F71882D-9EE9-4AF9-BB8E-5D4AE3A4E7BE}"/>
    <cellStyle name="Comma 7 4 6 2 6" xfId="15122" xr:uid="{284E2CD2-1AE5-4730-B259-FED1EA434687}"/>
    <cellStyle name="Comma 7 4 6 3" xfId="3598" xr:uid="{00000000-0005-0000-0000-0000D5020000}"/>
    <cellStyle name="Comma 7 4 6 4" xfId="5636" xr:uid="{21A9B409-13AB-40F1-85E0-8DA63EC6AEB6}"/>
    <cellStyle name="Comma 7 4 6 4 2" xfId="29860" xr:uid="{805902E2-1874-4F43-B319-8A070BE8AB08}"/>
    <cellStyle name="Comma 7 4 6 5" xfId="25568" xr:uid="{10683595-BF23-4CD4-A616-26D637111E13}"/>
    <cellStyle name="Comma 7 4 6 6" xfId="12838" xr:uid="{0809ABC4-139C-4EA3-B4E0-B861784C5782}"/>
    <cellStyle name="Comma 7 4 7" xfId="1753" xr:uid="{00000000-0005-0000-0000-0000D6020000}"/>
    <cellStyle name="Comma 7 4 7 2" xfId="2204" xr:uid="{00000000-0005-0000-0000-00002E020000}"/>
    <cellStyle name="Comma 7 4 7 2 2" xfId="7331" xr:uid="{31F03D0B-5349-4749-B7D7-0B78895A88A5}"/>
    <cellStyle name="Comma 7 4 7 2 2 2" xfId="17711" xr:uid="{F4B4C7F2-E13A-4989-B108-93D02447DCAB}"/>
    <cellStyle name="Comma 7 4 7 2 3" xfId="10164" xr:uid="{BB85DFE3-E287-438D-B6A4-802C96684C4D}"/>
    <cellStyle name="Comma 7 4 7 2 3 2" xfId="20544" xr:uid="{906FE7D4-FA9C-4C0E-83E2-8D42A9C15F0F}"/>
    <cellStyle name="Comma 7 4 7 2 4" xfId="26243" xr:uid="{339CF1EF-81BC-4493-A9F7-6146948D3329}"/>
    <cellStyle name="Comma 7 4 7 2 5" xfId="27631" xr:uid="{E101F0AA-CAB3-44BF-99B8-EFD37EC09B6D}"/>
    <cellStyle name="Comma 7 4 7 2 6" xfId="14878" xr:uid="{160A4B17-A6AC-42DF-8C9C-AE7E27C74696}"/>
    <cellStyle name="Comma 7 4 7 3" xfId="3586" xr:uid="{00000000-0005-0000-0000-0000D6020000}"/>
    <cellStyle name="Comma 7 4 7 4" xfId="23783" xr:uid="{809982DD-55F7-4340-A2D8-962BFBBD17E2}"/>
    <cellStyle name="Comma 7 4 8" xfId="3872" xr:uid="{6D2C64E3-2EB5-4B5F-AB7C-2CFD353A925B}"/>
    <cellStyle name="Comma 7 4 8 2" xfId="8704" xr:uid="{418BB3BF-3B1D-4B63-9BA4-95B5E7B8F262}"/>
    <cellStyle name="Comma 7 4 8 2 2" xfId="19084" xr:uid="{6EB814DC-1EEE-4F0F-9A34-5AF4EF51B40F}"/>
    <cellStyle name="Comma 7 4 8 3" xfId="11537" xr:uid="{D5273CD8-F233-422C-8111-01D3A8CC2859}"/>
    <cellStyle name="Comma 7 4 8 3 2" xfId="21917" xr:uid="{C4937901-0BE3-44C0-B3B0-3522436B49CC}"/>
    <cellStyle name="Comma 7 4 8 4" xfId="26606" xr:uid="{208E59B3-CE85-479B-9D7C-C1E8DADA5EC0}"/>
    <cellStyle name="Comma 7 4 8 5" xfId="26557" xr:uid="{69AD928B-C453-4838-ACD3-276462F0F02B}"/>
    <cellStyle name="Comma 7 4 8 6" xfId="16251" xr:uid="{02070642-8455-4E33-9387-9A0B89000FF9}"/>
    <cellStyle name="Comma 7 4 9" xfId="4906" xr:uid="{AB73B4F1-1147-49B8-BA9C-978935F8249C}"/>
    <cellStyle name="Comma 7 4 9 2" xfId="26524" xr:uid="{A999B94A-0626-4C4E-9E27-FDD4334FC110}"/>
    <cellStyle name="Comma 7 4 9 3" xfId="26850" xr:uid="{95DD793D-BD7E-4FCF-A213-6E764638978F}"/>
    <cellStyle name="Comma 7 4 9 4" xfId="14198" xr:uid="{5569E507-C9A7-4281-98A1-8AC6F1D59175}"/>
    <cellStyle name="Comma 7 5" xfId="520" xr:uid="{00000000-0005-0000-0000-0000D7020000}"/>
    <cellStyle name="Comma 7 5 10" xfId="6656" xr:uid="{5646055F-E7BE-4976-8537-AD1E59322F6A}"/>
    <cellStyle name="Comma 7 5 10 2" xfId="17036" xr:uid="{CE0E45D4-7EE2-4722-BC34-D70527B4C2C8}"/>
    <cellStyle name="Comma 7 5 11" xfId="9489" xr:uid="{7717B620-F26A-4871-B6F1-33D9316F7E93}"/>
    <cellStyle name="Comma 7 5 11 2" xfId="19869" xr:uid="{D05A5041-035E-485E-94FC-5DD078A197C5}"/>
    <cellStyle name="Comma 7 5 12" xfId="22919" xr:uid="{69324D7E-F973-4021-B3C7-B6AD117E2B83}"/>
    <cellStyle name="Comma 7 5 13" xfId="12518" xr:uid="{37A7B014-FB51-47D1-AB9F-B6D1A1CCDEAE}"/>
    <cellStyle name="Comma 7 5 2" xfId="521" xr:uid="{00000000-0005-0000-0000-0000D8020000}"/>
    <cellStyle name="Comma 7 5 2 10" xfId="23732" xr:uid="{7271B6E7-9EC8-45ED-A39F-6A2EE9205006}"/>
    <cellStyle name="Comma 7 5 2 11" xfId="12676" xr:uid="{E3C414B1-985B-448E-A888-8F93AF525D4B}"/>
    <cellStyle name="Comma 7 5 2 2" xfId="522" xr:uid="{00000000-0005-0000-0000-0000D9020000}"/>
    <cellStyle name="Comma 7 5 2 2 2" xfId="1771" xr:uid="{00000000-0005-0000-0000-0000DA020000}"/>
    <cellStyle name="Comma 7 5 2 2 2 2" xfId="24739" xr:uid="{CE9739E2-0E6C-4012-8352-FEFC55D4E5E8}"/>
    <cellStyle name="Comma 7 5 2 2 2 2 2" xfId="29820" xr:uid="{5C6E918E-4939-45E8-B81B-2BB9443B9369}"/>
    <cellStyle name="Comma 7 5 2 2 2 2 2 2" xfId="30774" xr:uid="{8331577E-3BE0-4863-9249-C2E29EC91883}"/>
    <cellStyle name="Comma 7 5 2 2 2 3" xfId="25615" xr:uid="{E11AB7C8-071A-4B09-83C8-46783A515B04}"/>
    <cellStyle name="Comma 7 5 2 2 2 4" xfId="30058" xr:uid="{EDBA2B5F-6CEF-4901-AC0B-962DF8EC9CB1}"/>
    <cellStyle name="Comma 7 5 2 2 3" xfId="1772" xr:uid="{00000000-0005-0000-0000-0000DB020000}"/>
    <cellStyle name="Comma 7 5 2 2 3 2" xfId="27030" xr:uid="{4FA6F6FF-3998-4705-9D32-C8FCE46C3B75}"/>
    <cellStyle name="Comma 7 5 2 2 3 3" xfId="27386" xr:uid="{6C331F4C-E5CD-4B44-968E-0F45ABC4B5DD}"/>
    <cellStyle name="Comma 7 5 2 2 4" xfId="1770" xr:uid="{00000000-0005-0000-0000-0000DC020000}"/>
    <cellStyle name="Comma 7 5 2 2 5" xfId="4913" xr:uid="{292E7043-3ECC-4B86-8A68-9553D6F91E71}"/>
    <cellStyle name="Comma 7 5 2 2 5 2" xfId="26639" xr:uid="{499C625A-4CCE-4EF2-A8EA-D9B86F988028}"/>
    <cellStyle name="Comma 7 5 2 2 5 2 2" xfId="31180" xr:uid="{87B6A0FC-0A0D-4749-B9C8-431AB1B2B79E}"/>
    <cellStyle name="Comma 7 5 2 2 5 2 3" xfId="30773" xr:uid="{6B021D7B-467E-41E0-86AE-C149D8B144C3}"/>
    <cellStyle name="Comma 7 5 2 2 5 3" xfId="28695" xr:uid="{9658C0DE-99BE-4E79-987E-4296B294C41E}"/>
    <cellStyle name="Comma 7 5 2 2 5 4" xfId="14205" xr:uid="{5B1BE0DE-DB06-4CD0-9D5C-33FEDCF65142}"/>
    <cellStyle name="Comma 7 5 2 2 6" xfId="6658" xr:uid="{D1C9BAC6-1A7E-4DF8-AC19-F1503F2DB7E5}"/>
    <cellStyle name="Comma 7 5 2 2 6 2" xfId="17038" xr:uid="{F5D565DB-66DB-4426-83FE-CA2C1B834E84}"/>
    <cellStyle name="Comma 7 5 2 2 7" xfId="9491" xr:uid="{6A31CE58-6B40-4C65-BC91-7AFB0091B658}"/>
    <cellStyle name="Comma 7 5 2 2 7 2" xfId="19871" xr:uid="{0210F76D-6388-4692-9950-53EF0FA1D003}"/>
    <cellStyle name="Comma 7 5 2 2 8" xfId="23886" xr:uid="{5D62CAE4-9906-433E-88E3-AABC571647DB}"/>
    <cellStyle name="Comma 7 5 2 2 9" xfId="13583" xr:uid="{83868C91-B072-4CE9-B1C4-182C922D8C7E}"/>
    <cellStyle name="Comma 7 5 2 3" xfId="1773" xr:uid="{00000000-0005-0000-0000-0000DD020000}"/>
    <cellStyle name="Comma 7 5 2 3 2" xfId="2683" xr:uid="{00000000-0005-0000-0000-00003E020000}"/>
    <cellStyle name="Comma 7 5 2 3 2 2" xfId="7807" xr:uid="{D680A6ED-2E5B-494C-B20D-A469A372655C}"/>
    <cellStyle name="Comma 7 5 2 3 2 2 2" xfId="18187" xr:uid="{C2A50A2D-2117-475D-8CF9-BB8184BA4D36}"/>
    <cellStyle name="Comma 7 5 2 3 2 3" xfId="10640" xr:uid="{8F13F77B-5886-4B31-9A6B-6F7BBF4680C1}"/>
    <cellStyle name="Comma 7 5 2 3 2 3 2" xfId="21020" xr:uid="{806E31E5-44E7-4543-8EE7-D88714002892}"/>
    <cellStyle name="Comma 7 5 2 3 2 4" xfId="15354" xr:uid="{2B1DDC52-F985-4BDE-9709-0D693B7B1532}"/>
    <cellStyle name="Comma 7 5 2 3 2 5" xfId="30439" xr:uid="{4C69A4F6-066B-4602-A2FB-2507B99DA2D3}"/>
    <cellStyle name="Comma 7 5 2 3 3" xfId="3604" xr:uid="{00000000-0005-0000-0000-0000DD020000}"/>
    <cellStyle name="Comma 7 5 2 3 4" xfId="5637" xr:uid="{22F7C8BC-3E9A-4B2A-806B-9A80343B7F05}"/>
    <cellStyle name="Comma 7 5 2 3 4 2" xfId="29755" xr:uid="{CB335343-DFF7-47C9-BAD2-5555E0887C81}"/>
    <cellStyle name="Comma 7 5 2 3 5" xfId="24910" xr:uid="{F8A8837A-C407-4E3F-923E-3AFB3C58AF5E}"/>
    <cellStyle name="Comma 7 5 2 3 6" xfId="13094" xr:uid="{D1E8E6CF-0015-404D-A40C-C30BA51A8475}"/>
    <cellStyle name="Comma 7 5 2 4" xfId="1774" xr:uid="{00000000-0005-0000-0000-0000DE020000}"/>
    <cellStyle name="Comma 7 5 2 4 2" xfId="4661" xr:uid="{2293452D-99F2-4CAD-A165-3292E92C43D0}"/>
    <cellStyle name="Comma 7 5 2 4 2 2" xfId="9410" xr:uid="{8490B5E4-6184-4B5A-B643-0B3560AA6B22}"/>
    <cellStyle name="Comma 7 5 2 4 2 2 2" xfId="19790" xr:uid="{FCFB48EE-F3DA-40D4-827B-447D467F4461}"/>
    <cellStyle name="Comma 7 5 2 4 2 2 3" xfId="31109" xr:uid="{F6B2EA94-75BA-4FE9-BA97-825E66BAC5CD}"/>
    <cellStyle name="Comma 7 5 2 4 2 2 4" xfId="30775" xr:uid="{9413EA06-846F-4538-A8B6-AC9D9CB1956E}"/>
    <cellStyle name="Comma 7 5 2 4 2 3" xfId="12243" xr:uid="{6AD03675-E70A-43EC-8DE8-396BC8465545}"/>
    <cellStyle name="Comma 7 5 2 4 2 3 2" xfId="22623" xr:uid="{389CCCCB-5BE5-4301-9249-F53BBA9D0DA1}"/>
    <cellStyle name="Comma 7 5 2 4 2 4" xfId="26518" xr:uid="{70ABF6DC-7723-4A8F-99BB-4DB503F16498}"/>
    <cellStyle name="Comma 7 5 2 4 2 5" xfId="28688" xr:uid="{797ADB1F-1EB8-4FFC-B4C7-4F772DF04221}"/>
    <cellStyle name="Comma 7 5 2 4 2 6" xfId="16957" xr:uid="{54EA9394-C352-4F3E-8333-563BD2D23845}"/>
    <cellStyle name="Comma 7 5 2 4 3" xfId="23108" xr:uid="{4651104D-9B11-4DF9-AF50-B53CB8D8197E}"/>
    <cellStyle name="Comma 7 5 2 4 3 2" xfId="29909" xr:uid="{FC352166-CC94-4832-943B-05E380014AC4}"/>
    <cellStyle name="Comma 7 5 2 4 4" xfId="30021" xr:uid="{F9CFF630-ED37-41F2-88D7-D77DA160E269}"/>
    <cellStyle name="Comma 7 5 2 5" xfId="1769" xr:uid="{00000000-0005-0000-0000-0000DF020000}"/>
    <cellStyle name="Comma 7 5 2 5 2" xfId="22841" xr:uid="{D1DB451F-6159-4A74-9B86-700896744C6A}"/>
    <cellStyle name="Comma 7 5 2 5 3" xfId="23334" xr:uid="{93AFDCE7-C4AA-4008-818F-D54818BF790E}"/>
    <cellStyle name="Comma 7 5 2 6" xfId="4132" xr:uid="{6C3FB44E-C3DD-459C-9389-910BF7DB3F9C}"/>
    <cellStyle name="Comma 7 5 2 6 2" xfId="8904" xr:uid="{A90DD8B8-339C-4DFD-9955-5E5A304CC0C4}"/>
    <cellStyle name="Comma 7 5 2 6 2 2" xfId="19284" xr:uid="{B57EC07F-43BA-45E8-95C3-065ABF189734}"/>
    <cellStyle name="Comma 7 5 2 6 3" xfId="11737" xr:uid="{BB3C0E05-D031-4229-ABCD-7D9AF0680012}"/>
    <cellStyle name="Comma 7 5 2 6 3 2" xfId="22117" xr:uid="{EA49C380-52C9-4106-9534-2C5AB97684E3}"/>
    <cellStyle name="Comma 7 5 2 6 4" xfId="26569" xr:uid="{13B4D00C-BF5B-4937-9643-02477EBF71E3}"/>
    <cellStyle name="Comma 7 5 2 6 5" xfId="26506" xr:uid="{AFC1D15D-FE69-4DC5-A4C1-3A148A010EFD}"/>
    <cellStyle name="Comma 7 5 2 6 6" xfId="16451" xr:uid="{1ECDBD2A-CFE2-498B-8B43-F4E11D0599D1}"/>
    <cellStyle name="Comma 7 5 2 7" xfId="4912" xr:uid="{2FF2228D-1314-47F7-A649-B753533FBC8D}"/>
    <cellStyle name="Comma 7 5 2 7 2" xfId="27243" xr:uid="{C4EC5E6E-8F0B-49C6-9EB5-C71C495229DB}"/>
    <cellStyle name="Comma 7 5 2 7 3" xfId="27798" xr:uid="{6DAD2BEF-7EBF-4C6E-A116-18EA70E465FB}"/>
    <cellStyle name="Comma 7 5 2 7 4" xfId="14204" xr:uid="{4BE345BD-8721-4E6B-966D-99DA1638117A}"/>
    <cellStyle name="Comma 7 5 2 8" xfId="6657" xr:uid="{1C3ECEF6-26DB-46B5-BD5A-292C97DA5F61}"/>
    <cellStyle name="Comma 7 5 2 8 2" xfId="17037" xr:uid="{9B548DB4-02BF-4262-AC9A-890BCBFFCE8F}"/>
    <cellStyle name="Comma 7 5 2 9" xfId="9490" xr:uid="{7A9069B7-FCFB-48A7-B514-C0CD8B93DE19}"/>
    <cellStyle name="Comma 7 5 2 9 2" xfId="19870" xr:uid="{C0F14D28-BF11-45A9-8B65-1362B87914A1}"/>
    <cellStyle name="Comma 7 5 3" xfId="523" xr:uid="{00000000-0005-0000-0000-0000E0020000}"/>
    <cellStyle name="Comma 7 5 3 10" xfId="13584" xr:uid="{B1FF3BE9-35A9-4F2E-AB1A-162D9D826A92}"/>
    <cellStyle name="Comma 7 5 3 2" xfId="1776" xr:uid="{00000000-0005-0000-0000-0000E1020000}"/>
    <cellStyle name="Comma 7 5 3 2 2" xfId="22792" xr:uid="{0F83F840-92B1-4135-BB5C-61014B1EB3FA}"/>
    <cellStyle name="Comma 7 5 3 2 2 2" xfId="29799" xr:uid="{E1BC0F88-3013-4A17-86BC-D393EC6A12C2}"/>
    <cellStyle name="Comma 7 5 3 2 2 2 2" xfId="30777" xr:uid="{0405C4BC-9FA5-4E1C-AE2C-0E8E035E6E55}"/>
    <cellStyle name="Comma 7 5 3 2 3" xfId="24071" xr:uid="{8A811A5F-863A-432D-8845-82D7A335A18F}"/>
    <cellStyle name="Comma 7 5 3 2 3 2" xfId="26964" xr:uid="{ACD1A0F0-669A-46F3-822C-B3E39EEFFB34}"/>
    <cellStyle name="Comma 7 5 3 2 4" xfId="30059" xr:uid="{4003CD9E-9CDC-471A-80E3-40C67E7AE6F3}"/>
    <cellStyle name="Comma 7 5 3 3" xfId="1777" xr:uid="{00000000-0005-0000-0000-0000E2020000}"/>
    <cellStyle name="Comma 7 5 3 4" xfId="1775" xr:uid="{00000000-0005-0000-0000-0000E3020000}"/>
    <cellStyle name="Comma 7 5 3 4 2" xfId="25794" xr:uid="{C46FFFC4-5367-43D9-A0F2-883957F7948E}"/>
    <cellStyle name="Comma 7 5 3 4 3" xfId="25050" xr:uid="{B860A217-F0E0-4C8F-8370-1FADC8BB8F47}"/>
    <cellStyle name="Comma 7 5 3 5" xfId="4417" xr:uid="{C9503F72-C980-4EA6-9C7B-463E12EBFCF4}"/>
    <cellStyle name="Comma 7 5 3 5 2" xfId="9189" xr:uid="{5A1C26EA-F208-48EE-86DD-9FFC88BAFD19}"/>
    <cellStyle name="Comma 7 5 3 5 2 2" xfId="19569" xr:uid="{FCD690AC-5AC5-4154-904A-D83197D1328E}"/>
    <cellStyle name="Comma 7 5 3 5 2 3" xfId="31083" xr:uid="{D2DA8AD8-9203-46A4-840D-08F9276927A9}"/>
    <cellStyle name="Comma 7 5 3 5 2 4" xfId="30776" xr:uid="{ADEA8ABE-EF1C-4EE3-B196-098AA0C6560D}"/>
    <cellStyle name="Comma 7 5 3 5 3" xfId="12022" xr:uid="{FE1AF542-490F-455D-B3A3-CBC2CF555370}"/>
    <cellStyle name="Comma 7 5 3 5 3 2" xfId="22402" xr:uid="{00BE9369-0DF0-4924-8996-08D0CF6B80B1}"/>
    <cellStyle name="Comma 7 5 3 5 4" xfId="26390" xr:uid="{6B4CBF57-0C58-4E6E-8425-E119C9F18CE3}"/>
    <cellStyle name="Comma 7 5 3 5 5" xfId="26812" xr:uid="{2D16A3FA-6801-4321-9577-5BCA3F3D3CF6}"/>
    <cellStyle name="Comma 7 5 3 5 6" xfId="16736" xr:uid="{16B91357-5D72-4047-8D44-EA5C0437341A}"/>
    <cellStyle name="Comma 7 5 3 6" xfId="4914" xr:uid="{52DF5D1D-58FF-4F8F-A9B2-66477038F575}"/>
    <cellStyle name="Comma 7 5 3 6 2" xfId="27201" xr:uid="{6326BB40-03C3-4902-9C37-66E177A6EE9F}"/>
    <cellStyle name="Comma 7 5 3 6 3" xfId="26126" xr:uid="{8D6A2465-16E8-4E6F-A741-2AF012D9129F}"/>
    <cellStyle name="Comma 7 5 3 6 4" xfId="14206" xr:uid="{B4665CA3-479F-4BA8-B01A-97C19FE4190B}"/>
    <cellStyle name="Comma 7 5 3 7" xfId="6659" xr:uid="{1AFEB5F0-FB19-4185-86EE-541F27F587A7}"/>
    <cellStyle name="Comma 7 5 3 7 2" xfId="17039" xr:uid="{958F4867-4E4C-4A39-88B9-A6A66A6A68B3}"/>
    <cellStyle name="Comma 7 5 3 8" xfId="9492" xr:uid="{4B8908AE-1128-4C15-8990-7885F7F4F125}"/>
    <cellStyle name="Comma 7 5 3 8 2" xfId="19872" xr:uid="{57CCC8A8-3DAE-4B38-9E91-BA0D903C5B64}"/>
    <cellStyle name="Comma 7 5 3 9" xfId="25476" xr:uid="{07803372-5954-4D9E-9D44-7FB4212F89A6}"/>
    <cellStyle name="Comma 7 5 4" xfId="524" xr:uid="{00000000-0005-0000-0000-0000E4020000}"/>
    <cellStyle name="Comma 7 5 4 2" xfId="1779" xr:uid="{00000000-0005-0000-0000-0000E5020000}"/>
    <cellStyle name="Comma 7 5 4 2 2" xfId="24447" xr:uid="{BF2EC34A-698B-443F-AAE6-00CE8E0BD838}"/>
    <cellStyle name="Comma 7 5 4 2 2 2" xfId="29813" xr:uid="{ACABB38E-F2C3-4AC1-BAE5-A0B7DA0C7293}"/>
    <cellStyle name="Comma 7 5 4 2 2 2 2" xfId="30779" xr:uid="{AF40BC1E-0D28-4ADA-909F-280C9863C3CF}"/>
    <cellStyle name="Comma 7 5 4 2 3" xfId="25559" xr:uid="{57C8C355-B884-4ABB-8802-01C4ABA7B528}"/>
    <cellStyle name="Comma 7 5 4 2 4" xfId="30039" xr:uid="{2590A26D-2BC3-46D2-9CBC-376320D777B3}"/>
    <cellStyle name="Comma 7 5 4 3" xfId="1780" xr:uid="{00000000-0005-0000-0000-0000E6020000}"/>
    <cellStyle name="Comma 7 5 4 4" xfId="1778" xr:uid="{00000000-0005-0000-0000-0000E7020000}"/>
    <cellStyle name="Comma 7 5 4 5" xfId="4915" xr:uid="{DB919833-4F3D-4DD0-92E0-182B07EEBA4A}"/>
    <cellStyle name="Comma 7 5 4 5 2" xfId="14207" xr:uid="{40ACD453-DF55-4FFD-A391-5CE1BDDCA524}"/>
    <cellStyle name="Comma 7 5 4 5 2 2" xfId="31116" xr:uid="{AFD7E339-6562-4166-B7E4-17A96787670E}"/>
    <cellStyle name="Comma 7 5 4 5 2 3" xfId="30778" xr:uid="{171CD150-B758-49E1-ADA7-FED0D3CB3AFB}"/>
    <cellStyle name="Comma 7 5 4 6" xfId="6660" xr:uid="{3A3D3219-E4C3-4D65-9D99-82110F79AA60}"/>
    <cellStyle name="Comma 7 5 4 6 2" xfId="17040" xr:uid="{279B2CF0-A082-4FCF-9AAF-773691DA413F}"/>
    <cellStyle name="Comma 7 5 4 7" xfId="9493" xr:uid="{FCA469A8-8931-48F6-926A-41861DF39F45}"/>
    <cellStyle name="Comma 7 5 4 7 2" xfId="19873" xr:uid="{55A2D2CF-771F-45C4-8325-93696FF6CA25}"/>
    <cellStyle name="Comma 7 5 4 8" xfId="22755" xr:uid="{A900A73F-8391-41AF-A37D-A96D0AAB769A}"/>
    <cellStyle name="Comma 7 5 4 9" xfId="13374" xr:uid="{5991FD6E-E04B-4B1E-8779-90B5E1B3389E}"/>
    <cellStyle name="Comma 7 5 5" xfId="1781" xr:uid="{00000000-0005-0000-0000-0000E8020000}"/>
    <cellStyle name="Comma 7 5 5 2" xfId="2510" xr:uid="{00000000-0005-0000-0000-000041020000}"/>
    <cellStyle name="Comma 7 5 5 2 2" xfId="7635" xr:uid="{8BD04E5F-2AF6-4CAB-B0E4-9422C199D6EF}"/>
    <cellStyle name="Comma 7 5 5 2 2 2" xfId="18015" xr:uid="{1522A619-7A17-43D7-9F68-0A37B7D1ACB6}"/>
    <cellStyle name="Comma 7 5 5 2 3" xfId="10468" xr:uid="{F92458F7-2A4F-44FD-AEF2-734C921800EA}"/>
    <cellStyle name="Comma 7 5 5 2 3 2" xfId="20848" xr:uid="{AC8B4F3C-0517-4D8B-A400-6A262C563C4C}"/>
    <cellStyle name="Comma 7 5 5 2 4" xfId="15182" xr:uid="{C2388372-8FDB-4F2C-93F5-96DE42466C4F}"/>
    <cellStyle name="Comma 7 5 5 2 5" xfId="30440" xr:uid="{03E98A0F-5295-4006-9775-DC44882EA57A}"/>
    <cellStyle name="Comma 7 5 5 3" xfId="3668" xr:uid="{00000000-0005-0000-0000-0000E8020000}"/>
    <cellStyle name="Comma 7 5 5 4" xfId="5638" xr:uid="{549DF708-A440-479B-B2F3-1DB44B4EF640}"/>
    <cellStyle name="Comma 7 5 5 4 2" xfId="29846" xr:uid="{0CCCBC86-3CE8-47B5-9F99-C8ED5F9D97B3}"/>
    <cellStyle name="Comma 7 5 5 5" xfId="23830" xr:uid="{7ABF10FD-54AF-4FCB-A30B-74C19BFAC23C}"/>
    <cellStyle name="Comma 7 5 5 6" xfId="12898" xr:uid="{2299A01D-B91F-4761-845C-904B07E66C70}"/>
    <cellStyle name="Comma 7 5 6" xfId="1782" xr:uid="{00000000-0005-0000-0000-0000E9020000}"/>
    <cellStyle name="Comma 7 5 6 2" xfId="2286" xr:uid="{00000000-0005-0000-0000-00003B020000}"/>
    <cellStyle name="Comma 7 5 6 2 2" xfId="7413" xr:uid="{96301E53-3181-48FB-8AC6-3E2E435B2651}"/>
    <cellStyle name="Comma 7 5 6 2 2 2" xfId="17793" xr:uid="{E5BBB9F5-82C1-44B3-AB90-B6D07CA561EC}"/>
    <cellStyle name="Comma 7 5 6 2 3" xfId="10246" xr:uid="{1C344A61-EF6C-4749-8CC5-F367E86BAEC6}"/>
    <cellStyle name="Comma 7 5 6 2 3 2" xfId="20626" xr:uid="{6F00D7DF-26C0-4026-B970-FCDB35570BB5}"/>
    <cellStyle name="Comma 7 5 6 2 4" xfId="26704" xr:uid="{25367A79-03FE-4E99-A6D9-B39A4C021B71}"/>
    <cellStyle name="Comma 7 5 6 2 5" xfId="28078" xr:uid="{81956DED-55C2-46FF-BA51-2B1FE576EDA6}"/>
    <cellStyle name="Comma 7 5 6 2 6" xfId="14960" xr:uid="{1FC506FA-B02F-4406-BE5D-1A0AB0002CD6}"/>
    <cellStyle name="Comma 7 5 6 3" xfId="3709" xr:uid="{00000000-0005-0000-0000-0000E9020000}"/>
    <cellStyle name="Comma 7 5 6 4" xfId="23749" xr:uid="{28F6DA41-D61A-4D0F-9CA7-CAF5D179111F}"/>
    <cellStyle name="Comma 7 5 6 4 2" xfId="29872" xr:uid="{1E50365E-F381-4A78-9DEE-85DE002A0ED4}"/>
    <cellStyle name="Comma 7 5 6 5" xfId="30002" xr:uid="{2C6228CA-1ACB-48D5-AC98-48ED27FB57CC}"/>
    <cellStyle name="Comma 7 5 7" xfId="1768" xr:uid="{00000000-0005-0000-0000-0000EA020000}"/>
    <cellStyle name="Comma 7 5 7 2" xfId="25768" xr:uid="{F584A0C8-D732-472C-8BC3-DCA82A4452C1}"/>
    <cellStyle name="Comma 7 5 7 3" xfId="24312" xr:uid="{DE1C596D-9290-445D-A960-F019D4EBE472}"/>
    <cellStyle name="Comma 7 5 8" xfId="3873" xr:uid="{48CD740C-5852-4F71-8415-A59533214287}"/>
    <cellStyle name="Comma 7 5 8 2" xfId="8705" xr:uid="{2092291F-6D19-473F-B830-5642A321C9E0}"/>
    <cellStyle name="Comma 7 5 8 2 2" xfId="19085" xr:uid="{3C3C96BC-C15B-42E8-A25D-DFE52D72489C}"/>
    <cellStyle name="Comma 7 5 8 3" xfId="11538" xr:uid="{45226AFF-2E75-4335-B2ED-828ECCDB1B2E}"/>
    <cellStyle name="Comma 7 5 8 3 2" xfId="21918" xr:uid="{3BD3D099-5148-4FEB-9872-FEC1BB64264A}"/>
    <cellStyle name="Comma 7 5 8 4" xfId="27227" xr:uid="{9D9EC285-B6D7-4808-A5A5-F2B84F97DB89}"/>
    <cellStyle name="Comma 7 5 8 5" xfId="26603" xr:uid="{EA04B149-B8A8-46AB-8B5F-D3490B78CF45}"/>
    <cellStyle name="Comma 7 5 8 6" xfId="16252" xr:uid="{0F497EE2-3708-464E-B533-49B9C695DDE7}"/>
    <cellStyle name="Comma 7 5 9" xfId="4911" xr:uid="{EFAE726E-D909-4F3A-A93D-88D212696C5B}"/>
    <cellStyle name="Comma 7 5 9 2" xfId="27480" xr:uid="{5BA3817F-2561-481C-A447-26DAD1F5D2D1}"/>
    <cellStyle name="Comma 7 5 9 3" xfId="28118" xr:uid="{F59C1B3D-7808-45AB-A87E-F0FFD805067B}"/>
    <cellStyle name="Comma 7 5 9 4" xfId="14203" xr:uid="{F41FDCFE-A946-4145-AE37-811A2338AAC6}"/>
    <cellStyle name="Comma 7 6" xfId="525" xr:uid="{00000000-0005-0000-0000-0000EB020000}"/>
    <cellStyle name="Comma 7 6 10" xfId="6661" xr:uid="{3C922A1C-3EDF-4ADB-BCF9-4AAAD0AD9E0B}"/>
    <cellStyle name="Comma 7 6 10 2" xfId="17041" xr:uid="{7F79C41C-4C72-473D-8C7E-2F2111D1976D}"/>
    <cellStyle name="Comma 7 6 11" xfId="9494" xr:uid="{64755B39-2642-4500-B52C-9B7320D95F8E}"/>
    <cellStyle name="Comma 7 6 11 2" xfId="19874" xr:uid="{DFB4B661-D0C2-4C9C-98F4-4E5EC8E5A97B}"/>
    <cellStyle name="Comma 7 6 12" xfId="23727" xr:uid="{5BEAD8CD-3BBE-4F24-849F-DEB87F170612}"/>
    <cellStyle name="Comma 7 6 13" xfId="12519" xr:uid="{30036AA6-4C98-40E0-9CD5-00847A39A7FB}"/>
    <cellStyle name="Comma 7 6 2" xfId="526" xr:uid="{00000000-0005-0000-0000-0000EC020000}"/>
    <cellStyle name="Comma 7 6 2 10" xfId="25115" xr:uid="{814FE15A-4D33-47EF-8D30-EACB30C37661}"/>
    <cellStyle name="Comma 7 6 2 11" xfId="12677" xr:uid="{6724AC7A-9AE5-497A-A10F-2236E9674140}"/>
    <cellStyle name="Comma 7 6 2 2" xfId="527" xr:uid="{00000000-0005-0000-0000-0000ED020000}"/>
    <cellStyle name="Comma 7 6 2 2 2" xfId="1786" xr:uid="{00000000-0005-0000-0000-0000EE020000}"/>
    <cellStyle name="Comma 7 6 2 2 2 2" xfId="24580" xr:uid="{5DC6A7E0-F1A5-4CA2-B4F1-40AE2DEBE743}"/>
    <cellStyle name="Comma 7 6 2 2 2 2 2" xfId="29800" xr:uid="{6530A366-0929-4E11-BB5C-1247AF3904CA}"/>
    <cellStyle name="Comma 7 6 2 2 2 2 2 2" xfId="30781" xr:uid="{CD5614D8-BFEE-49F5-8B7B-9193CFB74C10}"/>
    <cellStyle name="Comma 7 6 2 2 2 3" xfId="23934" xr:uid="{E36F713B-902C-474C-93D2-2A68907E4954}"/>
    <cellStyle name="Comma 7 6 2 2 2 4" xfId="30060" xr:uid="{01672D53-D010-430C-A056-32DE89E2A64E}"/>
    <cellStyle name="Comma 7 6 2 2 3" xfId="1787" xr:uid="{00000000-0005-0000-0000-0000EF020000}"/>
    <cellStyle name="Comma 7 6 2 2 3 2" xfId="28556" xr:uid="{5E0339E1-F027-4441-B67C-359CFFC3FA81}"/>
    <cellStyle name="Comma 7 6 2 2 3 3" xfId="26688" xr:uid="{49DBD4AD-E167-4C32-A3F1-77C9BEF24AA4}"/>
    <cellStyle name="Comma 7 6 2 2 4" xfId="1785" xr:uid="{00000000-0005-0000-0000-0000F0020000}"/>
    <cellStyle name="Comma 7 6 2 2 5" xfId="4918" xr:uid="{568104A5-BF9E-4CAB-8466-A723EBB6FFCC}"/>
    <cellStyle name="Comma 7 6 2 2 5 2" xfId="27423" xr:uid="{6D27C4D8-3DCA-45E9-B4AB-2A98FB1E5EE5}"/>
    <cellStyle name="Comma 7 6 2 2 5 2 2" xfId="31191" xr:uid="{5D3FFA2F-4D53-434E-94A8-7F717C58A0F3}"/>
    <cellStyle name="Comma 7 6 2 2 5 2 3" xfId="30780" xr:uid="{1CC38D04-CD23-46B7-BB5E-CB53C7761DA1}"/>
    <cellStyle name="Comma 7 6 2 2 5 3" xfId="27497" xr:uid="{C946227B-FD3C-4022-B083-3E43AC2359BB}"/>
    <cellStyle name="Comma 7 6 2 2 5 4" xfId="14210" xr:uid="{E793957B-5283-40B1-A140-FAE3C320445E}"/>
    <cellStyle name="Comma 7 6 2 2 6" xfId="6663" xr:uid="{08D01A92-D402-4010-8F82-1B92687A9318}"/>
    <cellStyle name="Comma 7 6 2 2 6 2" xfId="17043" xr:uid="{2B0FA746-237E-4BCF-9749-FA783E15E6B1}"/>
    <cellStyle name="Comma 7 6 2 2 7" xfId="9496" xr:uid="{CB4BEAF8-8EA1-4E64-B2B4-DB3E3BE6CFC4}"/>
    <cellStyle name="Comma 7 6 2 2 7 2" xfId="19876" xr:uid="{D7BF4F8A-54A9-412F-8ACF-CC7A9377CEF4}"/>
    <cellStyle name="Comma 7 6 2 2 8" xfId="23651" xr:uid="{46A5AAB7-7F4C-49F6-98ED-6349F507F456}"/>
    <cellStyle name="Comma 7 6 2 2 9" xfId="13585" xr:uid="{BF096EB4-D816-419A-A0CF-AECE1917DBF7}"/>
    <cellStyle name="Comma 7 6 2 3" xfId="1788" xr:uid="{00000000-0005-0000-0000-0000F1020000}"/>
    <cellStyle name="Comma 7 6 2 3 2" xfId="2684" xr:uid="{00000000-0005-0000-0000-000045020000}"/>
    <cellStyle name="Comma 7 6 2 3 2 2" xfId="7808" xr:uid="{BF3D237B-7A5C-4AAA-888F-27E9372A55C6}"/>
    <cellStyle name="Comma 7 6 2 3 2 2 2" xfId="18188" xr:uid="{C7FBD44B-FA60-4D74-A7B2-1672FA506946}"/>
    <cellStyle name="Comma 7 6 2 3 2 3" xfId="10641" xr:uid="{6E4FC81E-5D87-4568-B43B-22C6D3B722B4}"/>
    <cellStyle name="Comma 7 6 2 3 2 3 2" xfId="21021" xr:uid="{4C3A11D8-3CA8-4B93-8360-3532C16154E6}"/>
    <cellStyle name="Comma 7 6 2 3 2 4" xfId="15355" xr:uid="{F5ABC2AE-96BF-4503-97DF-050751112AFA}"/>
    <cellStyle name="Comma 7 6 2 3 2 5" xfId="30441" xr:uid="{D87D8F3D-F43C-41C0-8037-C1D88E2C0419}"/>
    <cellStyle name="Comma 7 6 2 3 3" xfId="3618" xr:uid="{00000000-0005-0000-0000-0000F1020000}"/>
    <cellStyle name="Comma 7 6 2 3 4" xfId="5639" xr:uid="{A859882B-B923-4E27-B0EB-8C0E2A828252}"/>
    <cellStyle name="Comma 7 6 2 3 4 2" xfId="29756" xr:uid="{2383F154-FBC3-4396-AA20-4E3ACC12478B}"/>
    <cellStyle name="Comma 7 6 2 3 5" xfId="24408" xr:uid="{EC228E64-B2C8-4AC7-BE4E-D17338AB1515}"/>
    <cellStyle name="Comma 7 6 2 3 6" xfId="13095" xr:uid="{C208DBAA-B733-4EC3-AE62-2CF8D1447AE0}"/>
    <cellStyle name="Comma 7 6 2 4" xfId="1789" xr:uid="{00000000-0005-0000-0000-0000F2020000}"/>
    <cellStyle name="Comma 7 6 2 4 2" xfId="4664" xr:uid="{50E6BFA1-74EF-4B19-9EE4-646816D6291E}"/>
    <cellStyle name="Comma 7 6 2 4 2 2" xfId="9412" xr:uid="{6712593D-4D90-4972-B5EA-F02A2074CDB3}"/>
    <cellStyle name="Comma 7 6 2 4 2 2 2" xfId="19792" xr:uid="{8E197436-3704-4568-9E55-6040B877C7C6}"/>
    <cellStyle name="Comma 7 6 2 4 2 2 3" xfId="31110" xr:uid="{53BB95EB-C7DA-4A8C-A4C2-E7F1D2015036}"/>
    <cellStyle name="Comma 7 6 2 4 2 2 4" xfId="30782" xr:uid="{BFE3B2AC-07A6-4004-A56B-5447B1DA410D}"/>
    <cellStyle name="Comma 7 6 2 4 2 3" xfId="12245" xr:uid="{3CB18AEA-CAC2-4D64-9896-F6D9491787E4}"/>
    <cellStyle name="Comma 7 6 2 4 2 3 2" xfId="22625" xr:uid="{0DAC3779-A367-4685-9318-BD1DC710C257}"/>
    <cellStyle name="Comma 7 6 2 4 2 4" xfId="25844" xr:uid="{90FCDCF5-0E73-428A-AD01-8BD32EE7A20A}"/>
    <cellStyle name="Comma 7 6 2 4 2 5" xfId="26944" xr:uid="{FDEAC753-4E39-4E73-BA38-3471ED455783}"/>
    <cellStyle name="Comma 7 6 2 4 2 6" xfId="16959" xr:uid="{FB80DAFC-A2F7-40F0-AB68-3C4DEBDA971E}"/>
    <cellStyle name="Comma 7 6 2 4 3" xfId="23503" xr:uid="{04889AB2-5596-4889-95C2-683574FB893B}"/>
    <cellStyle name="Comma 7 6 2 4 3 2" xfId="29910" xr:uid="{A56ADC01-A341-4692-A5BD-408AA86B465C}"/>
    <cellStyle name="Comma 7 6 2 4 4" xfId="30022" xr:uid="{038B0F77-68FE-441B-A2D7-3E607D8FBD3E}"/>
    <cellStyle name="Comma 7 6 2 5" xfId="1784" xr:uid="{00000000-0005-0000-0000-0000F3020000}"/>
    <cellStyle name="Comma 7 6 2 5 2" xfId="25694" xr:uid="{43A0D14E-D700-4A27-B4AB-31B149617AFF}"/>
    <cellStyle name="Comma 7 6 2 5 3" xfId="24099" xr:uid="{54D0671A-307C-4728-BC97-C34C5ECF5973}"/>
    <cellStyle name="Comma 7 6 2 6" xfId="4133" xr:uid="{F945E186-3247-4F6C-B426-F7EFD44BCD80}"/>
    <cellStyle name="Comma 7 6 2 6 2" xfId="8905" xr:uid="{DE90C64F-E618-43DD-89D7-72CB5AD9AA83}"/>
    <cellStyle name="Comma 7 6 2 6 2 2" xfId="19285" xr:uid="{10632414-1D65-4747-948E-6E1245FE22D9}"/>
    <cellStyle name="Comma 7 6 2 6 3" xfId="11738" xr:uid="{5AB719FF-2D36-40CA-B87B-E0EEB0F6B2A4}"/>
    <cellStyle name="Comma 7 6 2 6 3 2" xfId="22118" xr:uid="{EF699C44-1A09-41A7-875A-469875BB7530}"/>
    <cellStyle name="Comma 7 6 2 6 4" xfId="27116" xr:uid="{E4AFD861-E5CC-47DE-95E7-34710AD78800}"/>
    <cellStyle name="Comma 7 6 2 6 5" xfId="26444" xr:uid="{5506A1C8-F541-44DE-857E-8369B4475383}"/>
    <cellStyle name="Comma 7 6 2 6 6" xfId="16452" xr:uid="{6857E195-9D92-4D19-A4E3-236B3934BF3B}"/>
    <cellStyle name="Comma 7 6 2 7" xfId="4917" xr:uid="{FE403337-2F0D-4875-BE3F-AE4E3512D1C4}"/>
    <cellStyle name="Comma 7 6 2 7 2" xfId="27185" xr:uid="{223CDA76-39A1-462B-B62D-67B01570377D}"/>
    <cellStyle name="Comma 7 6 2 7 3" xfId="25876" xr:uid="{2EA461FC-8742-4111-9649-6F3E9C6FB2B2}"/>
    <cellStyle name="Comma 7 6 2 7 4" xfId="14209" xr:uid="{3D7978FF-A8A6-4159-87A7-1406E29B3FFC}"/>
    <cellStyle name="Comma 7 6 2 8" xfId="6662" xr:uid="{6BFB99A7-C150-4A32-91F9-F00DD3F6570A}"/>
    <cellStyle name="Comma 7 6 2 8 2" xfId="17042" xr:uid="{E695DF8E-2F2C-42CB-86B7-745C00487F72}"/>
    <cellStyle name="Comma 7 6 2 9" xfId="9495" xr:uid="{9FEF4260-B3EB-478D-9250-28C108D44304}"/>
    <cellStyle name="Comma 7 6 2 9 2" xfId="19875" xr:uid="{994A1F05-8638-445F-81D5-DDF77F57B939}"/>
    <cellStyle name="Comma 7 6 3" xfId="528" xr:uid="{00000000-0005-0000-0000-0000F4020000}"/>
    <cellStyle name="Comma 7 6 3 10" xfId="13586" xr:uid="{56574CA9-3593-4025-BED2-E7C628883E83}"/>
    <cellStyle name="Comma 7 6 3 2" xfId="1791" xr:uid="{00000000-0005-0000-0000-0000F5020000}"/>
    <cellStyle name="Comma 7 6 3 2 2" xfId="22751" xr:uid="{593812E3-2DDF-4E3E-AF86-94AFED44583B}"/>
    <cellStyle name="Comma 7 6 3 2 2 2" xfId="29807" xr:uid="{C1CE4960-82BB-4DAF-BD8F-C3EF7E964D61}"/>
    <cellStyle name="Comma 7 6 3 2 2 2 2" xfId="30784" xr:uid="{05E51192-649A-411F-9AB3-46D1F40C9C68}"/>
    <cellStyle name="Comma 7 6 3 2 3" xfId="25625" xr:uid="{EF760203-0895-4660-ABBE-998EE7974075}"/>
    <cellStyle name="Comma 7 6 3 2 3 2" xfId="26189" xr:uid="{817FEF4E-F9EF-4ACF-AE83-5398CABA09AF}"/>
    <cellStyle name="Comma 7 6 3 2 4" xfId="30061" xr:uid="{A2F331B9-7AA9-4AC8-AD6F-60544D09BFCC}"/>
    <cellStyle name="Comma 7 6 3 3" xfId="1792" xr:uid="{00000000-0005-0000-0000-0000F6020000}"/>
    <cellStyle name="Comma 7 6 3 4" xfId="1790" xr:uid="{00000000-0005-0000-0000-0000F7020000}"/>
    <cellStyle name="Comma 7 6 3 4 2" xfId="26138" xr:uid="{E6EA9670-01AD-4097-8942-F95C02BBB311}"/>
    <cellStyle name="Comma 7 6 3 4 3" xfId="27843" xr:uid="{2083A926-FFA6-4312-9EFE-62A3FA2AB227}"/>
    <cellStyle name="Comma 7 6 3 5" xfId="4418" xr:uid="{17EE87F9-E15C-49D6-B698-675BFE4FD544}"/>
    <cellStyle name="Comma 7 6 3 5 2" xfId="9190" xr:uid="{B9F2C594-CA1B-4D92-82B7-FE9881B6570F}"/>
    <cellStyle name="Comma 7 6 3 5 2 2" xfId="19570" xr:uid="{8CB3C512-BA74-4514-9D59-133ED75F9BC5}"/>
    <cellStyle name="Comma 7 6 3 5 2 3" xfId="31084" xr:uid="{5B1F8756-6123-46BD-9F5C-3032651408D7}"/>
    <cellStyle name="Comma 7 6 3 5 2 4" xfId="30783" xr:uid="{75EF5744-0076-4620-A6E4-89D8800440B2}"/>
    <cellStyle name="Comma 7 6 3 5 3" xfId="12023" xr:uid="{6457D9C0-646F-48BD-A790-54F396FCF5C2}"/>
    <cellStyle name="Comma 7 6 3 5 3 2" xfId="22403" xr:uid="{2AE34014-F6E9-43B0-A9B5-3B3CA21E8788}"/>
    <cellStyle name="Comma 7 6 3 5 4" xfId="28330" xr:uid="{182E924A-FF7E-42F9-9D6F-3A88F64A8DB2}"/>
    <cellStyle name="Comma 7 6 3 5 5" xfId="26327" xr:uid="{F635D046-8281-43E0-AD08-5830F511022A}"/>
    <cellStyle name="Comma 7 6 3 5 6" xfId="16737" xr:uid="{F9D2678E-A41C-40F6-972B-1B0C4D2A6423}"/>
    <cellStyle name="Comma 7 6 3 6" xfId="4919" xr:uid="{33EFC1D5-54EB-4630-90A0-666D9DDD8F4A}"/>
    <cellStyle name="Comma 7 6 3 6 2" xfId="27263" xr:uid="{3DBEA452-D5B7-4573-9611-B22636B32724}"/>
    <cellStyle name="Comma 7 6 3 6 3" xfId="27857" xr:uid="{18868A69-83E5-43C1-B06F-3600A8F65256}"/>
    <cellStyle name="Comma 7 6 3 6 4" xfId="14211" xr:uid="{9E573F68-FCB4-4BA3-B42E-E92861EC75F0}"/>
    <cellStyle name="Comma 7 6 3 7" xfId="6664" xr:uid="{7052F44D-9F59-41BC-8F0E-03F9C92B062F}"/>
    <cellStyle name="Comma 7 6 3 7 2" xfId="17044" xr:uid="{C390A5C7-FDCB-42E1-917F-5CF360D52B23}"/>
    <cellStyle name="Comma 7 6 3 8" xfId="9497" xr:uid="{EA7EDDA5-DEB2-4B2A-B71E-B6740F9D6D4A}"/>
    <cellStyle name="Comma 7 6 3 8 2" xfId="19877" xr:uid="{B355EA29-EC2F-469C-A830-D4B3E64D5A5E}"/>
    <cellStyle name="Comma 7 6 3 9" xfId="23264" xr:uid="{C9357FCF-C68B-423E-8713-5590C530334C}"/>
    <cellStyle name="Comma 7 6 4" xfId="529" xr:uid="{00000000-0005-0000-0000-0000F8020000}"/>
    <cellStyle name="Comma 7 6 4 2" xfId="1794" xr:uid="{00000000-0005-0000-0000-0000F9020000}"/>
    <cellStyle name="Comma 7 6 4 2 2" xfId="23917" xr:uid="{461306F4-CC51-41EF-898A-E9488C332240}"/>
    <cellStyle name="Comma 7 6 4 2 2 2" xfId="29811" xr:uid="{57D54F67-70B5-4496-B67A-CCD271CE0A1A}"/>
    <cellStyle name="Comma 7 6 4 2 2 2 2" xfId="30786" xr:uid="{275B49E3-BA19-4808-AF0E-992BAD75E9CA}"/>
    <cellStyle name="Comma 7 6 4 2 3" xfId="24294" xr:uid="{089D13FD-4729-4D15-80E1-E28074858099}"/>
    <cellStyle name="Comma 7 6 4 2 4" xfId="30040" xr:uid="{3CAEEE8B-0AAD-4E47-8D9D-7B15CA8A6CF5}"/>
    <cellStyle name="Comma 7 6 4 3" xfId="1795" xr:uid="{00000000-0005-0000-0000-0000FA020000}"/>
    <cellStyle name="Comma 7 6 4 4" xfId="1793" xr:uid="{00000000-0005-0000-0000-0000FB020000}"/>
    <cellStyle name="Comma 7 6 4 5" xfId="4920" xr:uid="{2C77362A-6873-444E-B14C-FAA30BCA57CB}"/>
    <cellStyle name="Comma 7 6 4 5 2" xfId="14212" xr:uid="{C6C22BA0-4EEC-40BF-9A2B-ECD4F30E0328}"/>
    <cellStyle name="Comma 7 6 4 5 2 2" xfId="31117" xr:uid="{108BB9CF-32ED-4F0D-84FA-ED3968C16286}"/>
    <cellStyle name="Comma 7 6 4 5 2 3" xfId="30785" xr:uid="{0C9D9E98-C376-4509-99C7-461FA0F154D1}"/>
    <cellStyle name="Comma 7 6 4 6" xfId="6665" xr:uid="{B5D98CB2-C2F7-4A23-B0A0-CAFC738FBDA2}"/>
    <cellStyle name="Comma 7 6 4 6 2" xfId="17045" xr:uid="{CB0A4849-9D34-4D9C-828B-FA1FD7A9C39E}"/>
    <cellStyle name="Comma 7 6 4 7" xfId="9498" xr:uid="{A7F82291-B191-4B31-9A00-3C33733B7CDB}"/>
    <cellStyle name="Comma 7 6 4 7 2" xfId="19878" xr:uid="{895531C1-A89E-4C95-A546-1604F409EE1B}"/>
    <cellStyle name="Comma 7 6 4 8" xfId="23399" xr:uid="{1B88D223-F22D-4CD0-9B37-64E4FFB2E99C}"/>
    <cellStyle name="Comma 7 6 4 9" xfId="13375" xr:uid="{D6DEE421-8356-4C29-8B02-F990C6140E48}"/>
    <cellStyle name="Comma 7 6 5" xfId="1796" xr:uid="{00000000-0005-0000-0000-0000FC020000}"/>
    <cellStyle name="Comma 7 6 5 2" xfId="2573" xr:uid="{00000000-0005-0000-0000-000048020000}"/>
    <cellStyle name="Comma 7 6 5 2 2" xfId="7698" xr:uid="{214766C4-5442-4056-BBCF-25EFC9D14903}"/>
    <cellStyle name="Comma 7 6 5 2 2 2" xfId="18078" xr:uid="{7ABFEC52-D2E5-4E24-985B-B77C47CD40DF}"/>
    <cellStyle name="Comma 7 6 5 2 3" xfId="10531" xr:uid="{E4338EB2-8C0F-49BC-AB64-1C26551D1A54}"/>
    <cellStyle name="Comma 7 6 5 2 3 2" xfId="20911" xr:uid="{EE5AFDC6-F44C-47C9-AC73-44AAC855D5F6}"/>
    <cellStyle name="Comma 7 6 5 2 4" xfId="15245" xr:uid="{091C491E-3118-48B7-8179-E6285792460D}"/>
    <cellStyle name="Comma 7 6 5 2 5" xfId="30442" xr:uid="{F7FA1887-1CFD-4A77-A944-6246311872AB}"/>
    <cellStyle name="Comma 7 6 5 3" xfId="2063" xr:uid="{00000000-0005-0000-0000-0000FC020000}"/>
    <cellStyle name="Comma 7 6 5 4" xfId="5640" xr:uid="{E6B8AE12-F1B5-499A-8F3E-004979DA9C30}"/>
    <cellStyle name="Comma 7 6 5 4 2" xfId="29847" xr:uid="{7BBD256C-B730-43AF-815C-82C21BC38304}"/>
    <cellStyle name="Comma 7 6 5 5" xfId="23316" xr:uid="{186F7AEF-2327-4ED2-96ED-D56E6A0454EA}"/>
    <cellStyle name="Comma 7 6 5 6" xfId="12961" xr:uid="{E7DC528C-F130-4FF3-A64C-873FB2F5F56E}"/>
    <cellStyle name="Comma 7 6 6" xfId="1797" xr:uid="{00000000-0005-0000-0000-0000FD020000}"/>
    <cellStyle name="Comma 7 6 6 2" xfId="2287" xr:uid="{00000000-0005-0000-0000-000042020000}"/>
    <cellStyle name="Comma 7 6 6 2 2" xfId="7414" xr:uid="{DC0BA885-AAD0-406B-8C49-1F80B01D3139}"/>
    <cellStyle name="Comma 7 6 6 2 2 2" xfId="17794" xr:uid="{097FC72B-A4B1-41F1-89FA-E497A9C55EB6}"/>
    <cellStyle name="Comma 7 6 6 2 3" xfId="10247" xr:uid="{519F6ED0-7B20-436A-85EB-0745016D725D}"/>
    <cellStyle name="Comma 7 6 6 2 3 2" xfId="20627" xr:uid="{DF8105FF-DC48-4A5A-A798-92E7F20D62BA}"/>
    <cellStyle name="Comma 7 6 6 2 4" xfId="28720" xr:uid="{E1AB2579-9A5D-455E-A557-06AF11B88023}"/>
    <cellStyle name="Comma 7 6 6 2 5" xfId="27130" xr:uid="{9AA29743-1BB0-42A7-8142-D25BC83613CB}"/>
    <cellStyle name="Comma 7 6 6 2 6" xfId="14961" xr:uid="{D4CDCE7D-8BC5-43F6-B455-A2D94633B00D}"/>
    <cellStyle name="Comma 7 6 6 3" xfId="3566" xr:uid="{00000000-0005-0000-0000-0000FD020000}"/>
    <cellStyle name="Comma 7 6 6 4" xfId="25443" xr:uid="{42872B52-D575-49A2-AA17-DDB0CA2A7F99}"/>
    <cellStyle name="Comma 7 6 6 4 2" xfId="29883" xr:uid="{BA8926F2-5495-4B23-B877-3C97DC6CD642}"/>
    <cellStyle name="Comma 7 6 6 5" xfId="30006" xr:uid="{FA1DB840-8290-41D1-B01F-2F13D74261E2}"/>
    <cellStyle name="Comma 7 6 7" xfId="1783" xr:uid="{00000000-0005-0000-0000-0000FE020000}"/>
    <cellStyle name="Comma 7 6 7 2" xfId="27963" xr:uid="{1D32C5D1-031B-4E2E-A3F9-D5DB05CFD04C}"/>
    <cellStyle name="Comma 7 6 7 3" xfId="26878" xr:uid="{B323087D-4CC4-4BF7-B52C-5DE2B8509722}"/>
    <cellStyle name="Comma 7 6 8" xfId="3874" xr:uid="{A243BA53-A050-43A4-8A3D-C78E4411F594}"/>
    <cellStyle name="Comma 7 6 8 2" xfId="8706" xr:uid="{733A62D6-3F62-4B36-8242-2EBEEB5A247A}"/>
    <cellStyle name="Comma 7 6 8 2 2" xfId="19086" xr:uid="{81A8AB01-5EDE-492D-B7C3-58BE425DAAA2}"/>
    <cellStyle name="Comma 7 6 8 3" xfId="11539" xr:uid="{B218D86A-0B04-4ADA-B846-E6BC15240D73}"/>
    <cellStyle name="Comma 7 6 8 3 2" xfId="21919" xr:uid="{F31D6500-97F9-4A0D-A795-B6A0706BA972}"/>
    <cellStyle name="Comma 7 6 8 4" xfId="26595" xr:uid="{CAC20320-2EAC-4B05-8692-6D3045E06A47}"/>
    <cellStyle name="Comma 7 6 8 5" xfId="27356" xr:uid="{DEE963F9-8BF7-4796-ACC9-4FE8D34367F4}"/>
    <cellStyle name="Comma 7 6 8 6" xfId="16253" xr:uid="{2D16975B-8A13-4782-9163-3507B8A142AF}"/>
    <cellStyle name="Comma 7 6 9" xfId="4916" xr:uid="{E140A11C-3D15-4805-ADFA-F3493BC37417}"/>
    <cellStyle name="Comma 7 6 9 2" xfId="27838" xr:uid="{DBD250EF-0CB8-46C9-8225-D7982C860CC2}"/>
    <cellStyle name="Comma 7 6 9 3" xfId="26539" xr:uid="{E121BB5B-DD5E-428B-81BD-221BD63329A9}"/>
    <cellStyle name="Comma 7 6 9 4" xfId="14208" xr:uid="{4BEFEFAE-F8A4-43F4-B877-5A604371F221}"/>
    <cellStyle name="Comma 7 7" xfId="530" xr:uid="{00000000-0005-0000-0000-0000FF020000}"/>
    <cellStyle name="Comma 7 7 10" xfId="9499" xr:uid="{50FDD31A-098F-48AB-B132-9EE274435206}"/>
    <cellStyle name="Comma 7 7 10 2" xfId="19879" xr:uid="{A8FC17F2-4D77-4ADA-AD8A-911C3D7D6DEA}"/>
    <cellStyle name="Comma 7 7 11" xfId="25361" xr:uid="{118FA5C7-65DC-45FE-B93C-6554CEF9BCA8}"/>
    <cellStyle name="Comma 7 7 12" xfId="12520" xr:uid="{FF46BF83-0098-4B24-9994-7447DE95D4C9}"/>
    <cellStyle name="Comma 7 7 2" xfId="531" xr:uid="{00000000-0005-0000-0000-000000030000}"/>
    <cellStyle name="Comma 7 7 2 2" xfId="1800" xr:uid="{00000000-0005-0000-0000-000001030000}"/>
    <cellStyle name="Comma 7 7 2 2 2" xfId="2878" xr:uid="{00000000-0005-0000-0000-00004B020000}"/>
    <cellStyle name="Comma 7 7 2 2 2 2" xfId="7995" xr:uid="{D28A7FE0-815E-40F6-B577-8EE44F14115F}"/>
    <cellStyle name="Comma 7 7 2 2 2 2 2" xfId="18375" xr:uid="{7E714202-2115-41B1-BE5B-C9B27748611D}"/>
    <cellStyle name="Comma 7 7 2 2 2 2 2 2" xfId="31137" xr:uid="{7B4E6E3D-5D0B-40D6-84BD-43D775109142}"/>
    <cellStyle name="Comma 7 7 2 2 2 2 2 3" xfId="30787" xr:uid="{B018A964-2BCE-44BC-8397-0B29A05DF726}"/>
    <cellStyle name="Comma 7 7 2 2 2 3" xfId="10828" xr:uid="{F74D12D5-5D88-48FF-9BD2-A7E636270A5A}"/>
    <cellStyle name="Comma 7 7 2 2 2 3 2" xfId="21208" xr:uid="{95D531FD-307A-4FF7-8544-4302C89D47C7}"/>
    <cellStyle name="Comma 7 7 2 2 2 4" xfId="27272" xr:uid="{2D36A089-837D-4523-ABDD-F77154AE563C}"/>
    <cellStyle name="Comma 7 7 2 2 2 5" xfId="27935" xr:uid="{DCC99E43-CDA7-4EDE-81A0-F6B7B059AB6F}"/>
    <cellStyle name="Comma 7 7 2 2 2 6" xfId="15542" xr:uid="{04D0BAE1-45A9-4878-AF22-2CF922039EBE}"/>
    <cellStyle name="Comma 7 7 2 2 3" xfId="3580" xr:uid="{00000000-0005-0000-0000-000001030000}"/>
    <cellStyle name="Comma 7 7 2 2 4" xfId="5641" xr:uid="{E60974FD-09CC-420F-88A2-C27C1F08E48E}"/>
    <cellStyle name="Comma 7 7 2 2 4 2" xfId="29766" xr:uid="{FA4FB0BF-A96C-40AA-BA96-8F4951D06A90}"/>
    <cellStyle name="Comma 7 7 2 2 5" xfId="23738" xr:uid="{DDB5FC3F-E011-4CC3-8D63-61A5361B71E1}"/>
    <cellStyle name="Comma 7 7 2 2 6" xfId="13376" xr:uid="{A6B18B30-EDDD-470D-BDBF-EDBB2C02A202}"/>
    <cellStyle name="Comma 7 7 2 3" xfId="1801" xr:uid="{00000000-0005-0000-0000-000002030000}"/>
    <cellStyle name="Comma 7 7 2 3 2" xfId="25033" xr:uid="{6BDD10C8-D5D2-4B16-8186-157162E3C65A}"/>
    <cellStyle name="Comma 7 7 2 3 2 2" xfId="30788" xr:uid="{1E3CD265-152F-4835-8EE5-09A9941F2276}"/>
    <cellStyle name="Comma 7 7 2 3 2 3" xfId="30554" xr:uid="{02D9238D-CBBE-43CD-9C24-03C90F95B3B3}"/>
    <cellStyle name="Comma 7 7 2 3 3" xfId="23910" xr:uid="{53A23F6E-80A4-406E-B3C9-3A9ED17968CC}"/>
    <cellStyle name="Comma 7 7 2 3 4" xfId="30041" xr:uid="{B10D0033-ABBF-4989-8018-A0B99E559E65}"/>
    <cellStyle name="Comma 7 7 2 3 5" xfId="29663" xr:uid="{F6B21234-EF52-417D-A18F-B6EF8AD1E09D}"/>
    <cellStyle name="Comma 7 7 2 4" xfId="1799" xr:uid="{00000000-0005-0000-0000-000003030000}"/>
    <cellStyle name="Comma 7 7 2 4 2" xfId="25969" xr:uid="{928C0968-72D2-40CF-B38F-C587FD022FFD}"/>
    <cellStyle name="Comma 7 7 2 4 2 2" xfId="30789" xr:uid="{7E046A25-CAE9-4CDB-BD51-E8747CBC0EBF}"/>
    <cellStyle name="Comma 7 7 2 4 2 3" xfId="30588" xr:uid="{B9BA8C80-016D-4DAF-B5A7-EEAE08BA1850}"/>
    <cellStyle name="Comma 7 7 2 4 3" xfId="26523" xr:uid="{CAC2A65E-3A8D-42D8-84C7-B38C0C2F5982}"/>
    <cellStyle name="Comma 7 7 2 5" xfId="4922" xr:uid="{239690F2-C5AE-4138-BA4B-E931B00A0C76}"/>
    <cellStyle name="Comma 7 7 2 5 2" xfId="27397" xr:uid="{6C46E5A6-E068-48A6-84C8-923B14C8C664}"/>
    <cellStyle name="Comma 7 7 2 5 3" xfId="26345" xr:uid="{1121C310-24E6-43B1-AD4B-C5140617375D}"/>
    <cellStyle name="Comma 7 7 2 5 4" xfId="14214" xr:uid="{E085C55D-9818-4A07-9CBC-6D2769FAA9C6}"/>
    <cellStyle name="Comma 7 7 2 5 5" xfId="30619" xr:uid="{E846814E-5B6C-4A6E-9E58-68D4CC744C88}"/>
    <cellStyle name="Comma 7 7 2 6" xfId="6667" xr:uid="{DD6743ED-F36E-42EF-BCC8-D247E79BEAB5}"/>
    <cellStyle name="Comma 7 7 2 6 2" xfId="28191" xr:uid="{09C40607-E8D7-4EDF-8CAD-2BBBB59E95FE}"/>
    <cellStyle name="Comma 7 7 2 6 3" xfId="25851" xr:uid="{DF3D8436-B356-46BD-B73F-05EBED1C5A82}"/>
    <cellStyle name="Comma 7 7 2 6 4" xfId="17047" xr:uid="{6560A0A3-9F8F-4350-B9D6-8C08EAF729FA}"/>
    <cellStyle name="Comma 7 7 2 7" xfId="9500" xr:uid="{142BE0BF-F0C7-4044-B001-825484052DB6}"/>
    <cellStyle name="Comma 7 7 2 7 2" xfId="19880" xr:uid="{84AFA158-7969-4E74-A9C1-00288C7EAD7F}"/>
    <cellStyle name="Comma 7 7 2 8" xfId="23570" xr:uid="{B2713F2F-A70B-459F-89CB-BF8108D1CB18}"/>
    <cellStyle name="Comma 7 7 2 9" xfId="12678" xr:uid="{90971410-4F47-4005-9D38-04964861F1BA}"/>
    <cellStyle name="Comma 7 7 3" xfId="532" xr:uid="{00000000-0005-0000-0000-000004030000}"/>
    <cellStyle name="Comma 7 7 3 2" xfId="1803" xr:uid="{00000000-0005-0000-0000-000005030000}"/>
    <cellStyle name="Comma 7 7 3 2 2" xfId="28253" xr:uid="{48865CA2-C9C0-4384-9537-03BE2E1C1AEF}"/>
    <cellStyle name="Comma 7 7 3 2 2 2" xfId="30791" xr:uid="{54EA8795-81FA-4C62-9DDB-F155986CC086}"/>
    <cellStyle name="Comma 7 7 3 2 2 3" xfId="30602" xr:uid="{AC10B343-A6F7-4CEA-BFEF-D4DBB8A29826}"/>
    <cellStyle name="Comma 7 7 3 2 3" xfId="26167" xr:uid="{9DA42141-736D-4760-973F-3846DDC86D5D}"/>
    <cellStyle name="Comma 7 7 3 3" xfId="1804" xr:uid="{00000000-0005-0000-0000-000006030000}"/>
    <cellStyle name="Comma 7 7 3 4" xfId="1802" xr:uid="{00000000-0005-0000-0000-000007030000}"/>
    <cellStyle name="Comma 7 7 3 5" xfId="4923" xr:uid="{8A800B21-38D2-4169-9A0A-C7CE2DCA6913}"/>
    <cellStyle name="Comma 7 7 3 5 2" xfId="27775" xr:uid="{CAC9E993-7576-48F2-90FB-B70206948F53}"/>
    <cellStyle name="Comma 7 7 3 5 2 2" xfId="31197" xr:uid="{222CF450-24C8-4421-8103-13361694F782}"/>
    <cellStyle name="Comma 7 7 3 5 2 3" xfId="30790" xr:uid="{7960C803-F401-450C-B756-1ADD0E85CCC6}"/>
    <cellStyle name="Comma 7 7 3 5 3" xfId="28095" xr:uid="{DE909C5A-C2CB-4711-96D7-5834683A1C78}"/>
    <cellStyle name="Comma 7 7 3 5 4" xfId="14215" xr:uid="{2C8A9832-13D5-4034-8A46-573276CE087F}"/>
    <cellStyle name="Comma 7 7 3 6" xfId="6668" xr:uid="{3F43B62D-2338-43C2-89F5-E9BB71FB2183}"/>
    <cellStyle name="Comma 7 7 3 6 2" xfId="17048" xr:uid="{180EEF6C-AB5A-45C3-8317-609457B02BCF}"/>
    <cellStyle name="Comma 7 7 3 7" xfId="9501" xr:uid="{49A3CF87-C7C0-484A-9E72-9F82C0BF2CD2}"/>
    <cellStyle name="Comma 7 7 3 7 2" xfId="19881" xr:uid="{E964E7FB-30E3-4BAB-82A9-8AEB293FFDF0}"/>
    <cellStyle name="Comma 7 7 3 8" xfId="23300" xr:uid="{5096E029-B4D1-48BF-ABDA-3CDC57159BE6}"/>
    <cellStyle name="Comma 7 7 3 9" xfId="13096" xr:uid="{B0F81821-31D7-4208-8FE0-992320CEBD42}"/>
    <cellStyle name="Comma 7 7 4" xfId="1805" xr:uid="{00000000-0005-0000-0000-000008030000}"/>
    <cellStyle name="Comma 7 7 4 2" xfId="2288" xr:uid="{00000000-0005-0000-0000-000049020000}"/>
    <cellStyle name="Comma 7 7 4 2 2" xfId="7415" xr:uid="{F6D21630-6982-45E4-8F24-E3C9FFF045AE}"/>
    <cellStyle name="Comma 7 7 4 2 2 2" xfId="17795" xr:uid="{0EEBBDB9-627A-4B75-83EB-DBD19366E7CC}"/>
    <cellStyle name="Comma 7 7 4 2 2 2 2" xfId="31127" xr:uid="{578F950F-8ECC-4DFC-BB7D-F799DE989C62}"/>
    <cellStyle name="Comma 7 7 4 2 2 2 3" xfId="30792" xr:uid="{F5A2BB4A-33A4-4166-889B-4FB51AB60A5C}"/>
    <cellStyle name="Comma 7 7 4 2 3" xfId="10248" xr:uid="{AEA8E18D-997D-4E37-AD37-EF558E62476D}"/>
    <cellStyle name="Comma 7 7 4 2 3 2" xfId="20628" xr:uid="{60FC6F78-5B6C-463A-A447-570A1A607AF0}"/>
    <cellStyle name="Comma 7 7 4 2 4" xfId="26754" xr:uid="{019723D5-8315-480B-8F55-49C0F9153DF4}"/>
    <cellStyle name="Comma 7 7 4 2 5" xfId="27795" xr:uid="{042291AB-C325-4A62-BC20-890E333216F9}"/>
    <cellStyle name="Comma 7 7 4 2 6" xfId="14962" xr:uid="{FDB895C9-DDCC-4F51-B6E5-EBE8D4F40A4C}"/>
    <cellStyle name="Comma 7 7 4 3" xfId="2059" xr:uid="{00000000-0005-0000-0000-000008030000}"/>
    <cellStyle name="Comma 7 7 4 4" xfId="23744" xr:uid="{619F8327-B3EE-4273-8887-4963F8146300}"/>
    <cellStyle name="Comma 7 7 4 4 2" xfId="29738" xr:uid="{787F23BB-5755-4C4F-9AEF-D15F9D5BAA42}"/>
    <cellStyle name="Comma 7 7 4 5" xfId="29848" xr:uid="{B9DD2DA5-2A68-4CBC-BCA3-1B5F3034B17B}"/>
    <cellStyle name="Comma 7 7 4 6" xfId="29991" xr:uid="{B686D5D9-8B80-451A-AB28-EB3DD1D3523C}"/>
    <cellStyle name="Comma 7 7 5" xfId="1806" xr:uid="{00000000-0005-0000-0000-000009030000}"/>
    <cellStyle name="Comma 7 7 5 2" xfId="25672" xr:uid="{6DCCAF9D-3C6C-4CF6-ADEB-8BDFB46B6777}"/>
    <cellStyle name="Comma 7 7 5 2 2" xfId="29828" xr:uid="{4A7BD1EE-60D6-4780-87E7-19A73C10E6BF}"/>
    <cellStyle name="Comma 7 7 5 2 2 2" xfId="30793" xr:uid="{BA5C71EA-B3F2-4687-A4B5-790C585B6E1A}"/>
    <cellStyle name="Comma 7 7 5 3" xfId="24747" xr:uid="{3D5F4592-4DA7-47D0-9EA5-0B5125233E85}"/>
    <cellStyle name="Comma 7 7 5 4" xfId="30023" xr:uid="{1DEC4015-E095-4F70-8620-A8BE279518E9}"/>
    <cellStyle name="Comma 7 7 6" xfId="1798" xr:uid="{00000000-0005-0000-0000-00000A030000}"/>
    <cellStyle name="Comma 7 7 6 2" xfId="27388" xr:uid="{FD0E0FBD-37AE-490F-91F8-9CCBB4423EF3}"/>
    <cellStyle name="Comma 7 7 6 2 2" xfId="30794" xr:uid="{CAA61A27-B80A-4F0E-809E-70C3BBC4F0DD}"/>
    <cellStyle name="Comma 7 7 6 2 3" xfId="30587" xr:uid="{779BF925-478F-4B92-9D61-F3E81C8C6CCA}"/>
    <cellStyle name="Comma 7 7 6 3" xfId="26161" xr:uid="{9E7C1505-9440-4656-81A5-60B0DA959126}"/>
    <cellStyle name="Comma 7 7 7" xfId="3875" xr:uid="{63484131-385A-48FC-9577-827A00C6C209}"/>
    <cellStyle name="Comma 7 7 7 2" xfId="8707" xr:uid="{6B6E3777-A3F2-4DBF-8000-9E1C7145C7F7}"/>
    <cellStyle name="Comma 7 7 7 2 2" xfId="28966" xr:uid="{93D6C549-71AE-47E8-8365-1C72267D5D1F}"/>
    <cellStyle name="Comma 7 7 7 2 3" xfId="26597" xr:uid="{93FAB1B6-5EB6-47EA-9CAF-F284522760BF}"/>
    <cellStyle name="Comma 7 7 7 2 4" xfId="19087" xr:uid="{475EB69E-4EBA-446C-88F4-239C3C6C2AF1}"/>
    <cellStyle name="Comma 7 7 7 3" xfId="11540" xr:uid="{7DD52BCC-0988-4F95-90B7-2B0A471E3CB8}"/>
    <cellStyle name="Comma 7 7 7 3 2" xfId="21920" xr:uid="{9527B6D8-C9DB-46D7-9789-1171994ADE03}"/>
    <cellStyle name="Comma 7 7 7 4" xfId="28443" xr:uid="{2A04695C-E94E-4851-A7B6-EF551D4FACA7}"/>
    <cellStyle name="Comma 7 7 7 5" xfId="16254" xr:uid="{2AE89966-7AA3-4AD8-AF85-26D5201500BB}"/>
    <cellStyle name="Comma 7 7 8" xfId="4921" xr:uid="{1FF9725F-9C5C-4FEF-A994-E5879C35E46B}"/>
    <cellStyle name="Comma 7 7 8 2" xfId="26560" xr:uid="{F4F273FE-BBED-4FD3-A033-BAEA2F2F1D9B}"/>
    <cellStyle name="Comma 7 7 8 3" xfId="26220" xr:uid="{B5C319B4-74FC-456F-AD1E-DD4723D1A541}"/>
    <cellStyle name="Comma 7 7 8 4" xfId="14213" xr:uid="{9CDD5C5C-5C26-48FC-8E43-907198F456A1}"/>
    <cellStyle name="Comma 7 7 9" xfId="6666" xr:uid="{5D28B574-6165-49B6-9C0A-67D3A5BE9D44}"/>
    <cellStyle name="Comma 7 7 9 2" xfId="28353" xr:uid="{D8B50F86-FF86-4730-90EF-51DF93B57945}"/>
    <cellStyle name="Comma 7 7 9 3" xfId="26617" xr:uid="{5FDBDD01-9F65-4C69-8015-93A6A1BC3AE7}"/>
    <cellStyle name="Comma 7 7 9 4" xfId="17046" xr:uid="{E630287C-B041-4CC3-A8BF-95F48E308AAD}"/>
    <cellStyle name="Comma 7 8" xfId="533" xr:uid="{00000000-0005-0000-0000-00000B030000}"/>
    <cellStyle name="Comma 7 8 10" xfId="9502" xr:uid="{461F5D78-4212-4B9A-BA8E-E1658EDA4F9C}"/>
    <cellStyle name="Comma 7 8 10 2" xfId="19882" xr:uid="{154366DA-16BF-43D6-87AE-1FD7DB703DB4}"/>
    <cellStyle name="Comma 7 8 11" xfId="25560" xr:uid="{7BB37B85-2E11-4E16-93D5-DE9A40AB2DA7}"/>
    <cellStyle name="Comma 7 8 12" xfId="12521" xr:uid="{4E7BAA29-FD58-4EA4-B2C8-58E0CB3D8D7B}"/>
    <cellStyle name="Comma 7 8 2" xfId="534" xr:uid="{00000000-0005-0000-0000-00000C030000}"/>
    <cellStyle name="Comma 7 8 2 2" xfId="1809" xr:uid="{00000000-0005-0000-0000-00000D030000}"/>
    <cellStyle name="Comma 7 8 2 2 2" xfId="2879" xr:uid="{00000000-0005-0000-0000-00004F020000}"/>
    <cellStyle name="Comma 7 8 2 2 2 2" xfId="7996" xr:uid="{CD53C1D8-009B-4791-9A8C-45599DAAB69E}"/>
    <cellStyle name="Comma 7 8 2 2 2 2 2" xfId="18376" xr:uid="{6DA734DC-28A7-4035-BE93-E085BC2161E4}"/>
    <cellStyle name="Comma 7 8 2 2 2 2 2 2" xfId="31138" xr:uid="{081405D7-D07D-4A91-BD9B-45D8AD436235}"/>
    <cellStyle name="Comma 7 8 2 2 2 2 2 3" xfId="30795" xr:uid="{ED36736C-00D1-4FB1-B140-7B9566A4683E}"/>
    <cellStyle name="Comma 7 8 2 2 2 3" xfId="10829" xr:uid="{74B8DE86-C376-4E09-838B-42B6BE90821A}"/>
    <cellStyle name="Comma 7 8 2 2 2 3 2" xfId="21209" xr:uid="{B7791B1F-4DA4-4DDB-B1B7-190DD76C2FB9}"/>
    <cellStyle name="Comma 7 8 2 2 2 4" xfId="26069" xr:uid="{F150A47D-E926-48B2-BF75-9DE9AEF8B5B0}"/>
    <cellStyle name="Comma 7 8 2 2 2 5" xfId="27837" xr:uid="{EDF632D7-0D70-4B26-81C2-8C3E2A45B60A}"/>
    <cellStyle name="Comma 7 8 2 2 2 6" xfId="15543" xr:uid="{50E5CF0A-F2B3-4711-B935-FCE736EECF79}"/>
    <cellStyle name="Comma 7 8 2 2 3" xfId="3672" xr:uid="{00000000-0005-0000-0000-00000D030000}"/>
    <cellStyle name="Comma 7 8 2 2 4" xfId="5642" xr:uid="{9E374B7E-CF60-47C4-B1DD-BDBD665548B0}"/>
    <cellStyle name="Comma 7 8 2 2 4 2" xfId="29767" xr:uid="{E9FED823-1012-4BC6-A428-7E2379C3BA30}"/>
    <cellStyle name="Comma 7 8 2 2 5" xfId="24713" xr:uid="{9A5A09C9-3914-4354-B649-7132336C7DB3}"/>
    <cellStyle name="Comma 7 8 2 2 6" xfId="13377" xr:uid="{6C81D992-67E6-4CFD-8DBA-855A2E3A856C}"/>
    <cellStyle name="Comma 7 8 2 3" xfId="1810" xr:uid="{00000000-0005-0000-0000-00000E030000}"/>
    <cellStyle name="Comma 7 8 2 3 2" xfId="23652" xr:uid="{EB25C3F5-EA75-465E-A70E-F7B9887AEA1A}"/>
    <cellStyle name="Comma 7 8 2 3 2 2" xfId="30796" xr:uid="{F6B8A557-F23D-438B-8822-B00D42CBEC46}"/>
    <cellStyle name="Comma 7 8 2 3 2 3" xfId="30555" xr:uid="{D701D235-4E4F-4A67-B996-44B03CEEE62B}"/>
    <cellStyle name="Comma 7 8 2 3 3" xfId="23270" xr:uid="{E168AB56-CAC1-4EAC-9C84-294233F63871}"/>
    <cellStyle name="Comma 7 8 2 3 4" xfId="30042" xr:uid="{5595654F-D3F2-4C58-9711-80F5D4516389}"/>
    <cellStyle name="Comma 7 8 2 3 5" xfId="29664" xr:uid="{F89B622F-2B7F-4DD5-B596-4AE854E840FE}"/>
    <cellStyle name="Comma 7 8 2 4" xfId="1808" xr:uid="{00000000-0005-0000-0000-00000F030000}"/>
    <cellStyle name="Comma 7 8 2 4 2" xfId="27624" xr:uid="{E4811423-FA33-410A-9876-3E8BEC2D3065}"/>
    <cellStyle name="Comma 7 8 2 4 2 2" xfId="30797" xr:uid="{F5E6F138-1B96-4B9C-A041-BA40BEE9149A}"/>
    <cellStyle name="Comma 7 8 2 4 2 3" xfId="30590" xr:uid="{113A6CB1-FA98-4193-9DC6-59E261BEBAD5}"/>
    <cellStyle name="Comma 7 8 2 4 3" xfId="25917" xr:uid="{EABA93C2-25D5-4451-B9DE-9B5893A33E3F}"/>
    <cellStyle name="Comma 7 8 2 5" xfId="4925" xr:uid="{D1A1F25A-7A3B-40B1-BEC3-4D4C61326147}"/>
    <cellStyle name="Comma 7 8 2 5 2" xfId="28323" xr:uid="{F6F8DF29-AD51-47CE-B45E-C2AD691D54BC}"/>
    <cellStyle name="Comma 7 8 2 5 3" xfId="26730" xr:uid="{1E6E70BF-F1F1-448D-BA1B-C77D9E174168}"/>
    <cellStyle name="Comma 7 8 2 5 4" xfId="14217" xr:uid="{75CA7517-6A37-4BB9-AEC6-F672F6B531A4}"/>
    <cellStyle name="Comma 7 8 2 5 5" xfId="30618" xr:uid="{36739910-A0E7-407D-A213-70F47A9FB38C}"/>
    <cellStyle name="Comma 7 8 2 6" xfId="6670" xr:uid="{0981CEDA-989B-4C0C-B248-B66D8E8C1C01}"/>
    <cellStyle name="Comma 7 8 2 6 2" xfId="27155" xr:uid="{136CBA79-2251-444D-AC2F-3F6842052E5E}"/>
    <cellStyle name="Comma 7 8 2 6 3" xfId="27897" xr:uid="{16623E2B-23F0-471E-B292-20EDEFF4FA11}"/>
    <cellStyle name="Comma 7 8 2 6 4" xfId="17050" xr:uid="{AC21FBA9-A74E-4B2A-A66B-7E2177BDFDB9}"/>
    <cellStyle name="Comma 7 8 2 7" xfId="9503" xr:uid="{0C4FF75F-2AC2-4B80-9E5D-01B19B29264B}"/>
    <cellStyle name="Comma 7 8 2 7 2" xfId="19883" xr:uid="{66501C24-DCC0-4357-B57E-5A839A2717AC}"/>
    <cellStyle name="Comma 7 8 2 8" xfId="23029" xr:uid="{AAF3A4F9-B1B1-46C1-9D32-F0C7BCE6CA49}"/>
    <cellStyle name="Comma 7 8 2 9" xfId="12679" xr:uid="{6EF18D4A-69CC-4574-9887-CDB47C37F0AE}"/>
    <cellStyle name="Comma 7 8 3" xfId="535" xr:uid="{00000000-0005-0000-0000-000010030000}"/>
    <cellStyle name="Comma 7 8 3 2" xfId="1812" xr:uid="{00000000-0005-0000-0000-000011030000}"/>
    <cellStyle name="Comma 7 8 3 2 2" xfId="27696" xr:uid="{EE97ABFA-D157-4430-A325-5B0F3B9991C9}"/>
    <cellStyle name="Comma 7 8 3 2 2 2" xfId="30799" xr:uid="{27CF7EC5-7EB8-4BFD-BCE0-B0F02E2406C6}"/>
    <cellStyle name="Comma 7 8 3 2 2 3" xfId="30603" xr:uid="{5081A3B1-9BBF-4264-A72F-EC54681B085A}"/>
    <cellStyle name="Comma 7 8 3 2 3" xfId="26347" xr:uid="{96658A2E-F3EC-4CC7-885E-17AFB1B42EAE}"/>
    <cellStyle name="Comma 7 8 3 3" xfId="1813" xr:uid="{00000000-0005-0000-0000-000012030000}"/>
    <cellStyle name="Comma 7 8 3 4" xfId="1811" xr:uid="{00000000-0005-0000-0000-000013030000}"/>
    <cellStyle name="Comma 7 8 3 5" xfId="4926" xr:uid="{F0790063-54C7-4AD8-9AE8-CBE6BFE99F5F}"/>
    <cellStyle name="Comma 7 8 3 5 2" xfId="26396" xr:uid="{7FBAB89E-9A2E-4B30-8DE2-1B5B9E1B3B7B}"/>
    <cellStyle name="Comma 7 8 3 5 2 2" xfId="31177" xr:uid="{B7C2DA88-707B-4D9B-B86B-2337AB76038C}"/>
    <cellStyle name="Comma 7 8 3 5 2 3" xfId="30798" xr:uid="{C3139D6A-C6C8-4FB4-A5E3-3E0682926834}"/>
    <cellStyle name="Comma 7 8 3 5 3" xfId="26961" xr:uid="{905EB402-36F7-4334-AF2B-CBB7E0930E43}"/>
    <cellStyle name="Comma 7 8 3 5 4" xfId="14218" xr:uid="{CAF63625-BA47-433D-A2E5-6C304B8F5ADB}"/>
    <cellStyle name="Comma 7 8 3 6" xfId="6671" xr:uid="{D64777B9-39B4-4016-BBF2-2AE4971EE1AF}"/>
    <cellStyle name="Comma 7 8 3 6 2" xfId="17051" xr:uid="{8C8B1E7D-DE6D-448A-8E09-94964748D0F6}"/>
    <cellStyle name="Comma 7 8 3 7" xfId="9504" xr:uid="{84A33AD1-D033-409D-82FF-8B36F66D65E4}"/>
    <cellStyle name="Comma 7 8 3 7 2" xfId="19884" xr:uid="{F7BC0EF3-BD9E-4B91-929E-4003ECF93E0D}"/>
    <cellStyle name="Comma 7 8 3 8" xfId="25291" xr:uid="{B1225EDF-EBF5-4B5F-8E6C-B3A8C984E342}"/>
    <cellStyle name="Comma 7 8 3 9" xfId="13097" xr:uid="{526BFBFF-DA58-4A8D-AD4E-0152291E5DBC}"/>
    <cellStyle name="Comma 7 8 4" xfId="1814" xr:uid="{00000000-0005-0000-0000-000014030000}"/>
    <cellStyle name="Comma 7 8 4 2" xfId="2289" xr:uid="{00000000-0005-0000-0000-00004D020000}"/>
    <cellStyle name="Comma 7 8 4 2 2" xfId="7416" xr:uid="{867495F1-1ECD-434E-A732-4E7A6A51DB48}"/>
    <cellStyle name="Comma 7 8 4 2 2 2" xfId="17796" xr:uid="{E78E2C73-FC82-4138-9644-A92D78C309B8}"/>
    <cellStyle name="Comma 7 8 4 2 2 2 2" xfId="31128" xr:uid="{DCA6D1C7-1322-4480-B219-4BF158B0F1E8}"/>
    <cellStyle name="Comma 7 8 4 2 2 2 3" xfId="30800" xr:uid="{DE93F21A-3123-4AC4-B36D-73D11AF2C594}"/>
    <cellStyle name="Comma 7 8 4 2 3" xfId="10249" xr:uid="{BD492B3B-C3AD-4B81-BCB2-620D31CFDE8F}"/>
    <cellStyle name="Comma 7 8 4 2 3 2" xfId="20629" xr:uid="{396078FF-E548-4743-A8C6-FC817F04D910}"/>
    <cellStyle name="Comma 7 8 4 2 4" xfId="28332" xr:uid="{61DC55D1-8713-427D-9465-1702ADABBB63}"/>
    <cellStyle name="Comma 7 8 4 2 5" xfId="27441" xr:uid="{8D7AEC3E-A32C-440C-BB97-EF9226F8256A}"/>
    <cellStyle name="Comma 7 8 4 2 6" xfId="14963" xr:uid="{8B56D362-DC89-4A56-87CD-D5060D7A5E83}"/>
    <cellStyle name="Comma 7 8 4 3" xfId="3599" xr:uid="{00000000-0005-0000-0000-000014030000}"/>
    <cellStyle name="Comma 7 8 4 4" xfId="24318" xr:uid="{26CBA72F-2AA8-4AE1-958A-63A49970CB47}"/>
    <cellStyle name="Comma 7 8 4 4 2" xfId="29739" xr:uid="{24393F3C-DB19-4078-9336-35E1AE2F85F6}"/>
    <cellStyle name="Comma 7 8 4 5" xfId="29849" xr:uid="{4A5ECDAD-660F-4328-BAC4-07C32749A506}"/>
    <cellStyle name="Comma 7 8 4 6" xfId="29992" xr:uid="{587744C6-0414-46C8-8D3F-F58C20B13D75}"/>
    <cellStyle name="Comma 7 8 5" xfId="1815" xr:uid="{00000000-0005-0000-0000-000015030000}"/>
    <cellStyle name="Comma 7 8 5 2" xfId="23786" xr:uid="{79A225CD-EE67-4FD6-AD4B-AA6D75F99659}"/>
    <cellStyle name="Comma 7 8 5 2 2" xfId="29829" xr:uid="{85D21D4E-521C-4890-ABEA-B0F0A9C6E194}"/>
    <cellStyle name="Comma 7 8 5 2 2 2" xfId="30801" xr:uid="{32CF2401-1888-4757-9934-9E94BDDB7892}"/>
    <cellStyle name="Comma 7 8 5 3" xfId="24113" xr:uid="{BE8CBB68-BEC0-4594-95E1-007E844A55A2}"/>
    <cellStyle name="Comma 7 8 5 4" xfId="30024" xr:uid="{43D9B9D1-144B-4A25-937C-F86412C4CA52}"/>
    <cellStyle name="Comma 7 8 6" xfId="1807" xr:uid="{00000000-0005-0000-0000-000016030000}"/>
    <cellStyle name="Comma 7 8 6 2" xfId="28223" xr:uid="{1CA307A6-ECBB-4DCD-88E9-ED86F26BE09F}"/>
    <cellStyle name="Comma 7 8 6 2 2" xfId="30802" xr:uid="{36E76C61-6C08-4EC0-ADAB-97813DC20F84}"/>
    <cellStyle name="Comma 7 8 6 2 3" xfId="30589" xr:uid="{E692720D-A46C-47F1-A85F-B7A7AD465287}"/>
    <cellStyle name="Comma 7 8 6 3" xfId="27679" xr:uid="{47269680-C7F1-443B-94CC-DB37DC94BFF9}"/>
    <cellStyle name="Comma 7 8 7" xfId="3876" xr:uid="{4E1B37EE-892E-4B22-8A57-FAF1D1C6572E}"/>
    <cellStyle name="Comma 7 8 7 2" xfId="8708" xr:uid="{598D5516-2486-45CE-A842-83BBF8BFD9B2}"/>
    <cellStyle name="Comma 7 8 7 2 2" xfId="28967" xr:uid="{38C60BAA-5968-415B-9F0C-9B0A90809A03}"/>
    <cellStyle name="Comma 7 8 7 2 3" xfId="27200" xr:uid="{3212C4AC-5E4E-45E3-864E-6A8AA009C1C6}"/>
    <cellStyle name="Comma 7 8 7 2 4" xfId="19088" xr:uid="{AD156519-36F4-42C5-978F-CDB42CF7CE6E}"/>
    <cellStyle name="Comma 7 8 7 3" xfId="11541" xr:uid="{34AD759C-EECD-4EB7-A985-94EC25B6BD7C}"/>
    <cellStyle name="Comma 7 8 7 3 2" xfId="21921" xr:uid="{30F5E2A8-98E4-412F-98EA-9E6712A6434F}"/>
    <cellStyle name="Comma 7 8 7 4" xfId="28446" xr:uid="{6D0CA708-58AB-4A0A-8CA3-30F241B6BC9D}"/>
    <cellStyle name="Comma 7 8 7 5" xfId="16255" xr:uid="{F58FAA39-5F5F-40F3-8809-91C495ED2C5F}"/>
    <cellStyle name="Comma 7 8 8" xfId="4924" xr:uid="{FC361A54-B3B9-4526-A514-2FFB01AC2745}"/>
    <cellStyle name="Comma 7 8 8 2" xfId="27984" xr:uid="{CF2A26E8-C53A-49CB-ABB2-819806C7B2B5}"/>
    <cellStyle name="Comma 7 8 8 3" xfId="27485" xr:uid="{E208AC5E-DC00-4A5C-A8D5-24888A084401}"/>
    <cellStyle name="Comma 7 8 8 4" xfId="14216" xr:uid="{FF28E469-B7B7-4857-9622-C399099D8EE9}"/>
    <cellStyle name="Comma 7 8 9" xfId="6669" xr:uid="{B324349D-72A9-450E-9A21-C6036A1E6171}"/>
    <cellStyle name="Comma 7 8 9 2" xfId="28314" xr:uid="{D52010AA-3F8B-4FC2-9CB4-D35A2BD78896}"/>
    <cellStyle name="Comma 7 8 9 3" xfId="27606" xr:uid="{9327B767-1AD5-4B81-9BD1-7CF1E8F56090}"/>
    <cellStyle name="Comma 7 8 9 4" xfId="17049" xr:uid="{3B500CB7-EABF-4A64-AA2B-FAB952617488}"/>
    <cellStyle name="Comma 7 9" xfId="536" xr:uid="{00000000-0005-0000-0000-000017030000}"/>
    <cellStyle name="Comma 7 9 10" xfId="12513" xr:uid="{CA8F814C-E18C-478F-8492-0E3678FE41EE}"/>
    <cellStyle name="Comma 7 9 2" xfId="1817" xr:uid="{00000000-0005-0000-0000-000018030000}"/>
    <cellStyle name="Comma 7 9 2 2" xfId="3074" xr:uid="{00000000-0005-0000-0000-000052020000}"/>
    <cellStyle name="Comma 7 9 2 2 2" xfId="8154" xr:uid="{7EB1558F-4BBD-401A-9BB1-02827B491119}"/>
    <cellStyle name="Comma 7 9 2 2 2 2" xfId="18534" xr:uid="{A51FDFC9-0670-48B5-99DC-EA7F265E4998}"/>
    <cellStyle name="Comma 7 9 2 2 2 2 2" xfId="31144" xr:uid="{8996AED9-583D-45D1-90AF-796571A1EF0C}"/>
    <cellStyle name="Comma 7 9 2 2 2 2 3" xfId="30803" xr:uid="{11FE597E-A302-4F05-AB71-E873DAD04A9D}"/>
    <cellStyle name="Comma 7 9 2 2 3" xfId="10987" xr:uid="{5A4792B8-16DA-4A10-B4BA-D0A16135D4E9}"/>
    <cellStyle name="Comma 7 9 2 2 3 2" xfId="21367" xr:uid="{407AA900-0444-45C7-87FB-519CD37F3547}"/>
    <cellStyle name="Comma 7 9 2 2 4" xfId="24622" xr:uid="{263D3238-FB6A-4166-9E0F-9A170E5F5491}"/>
    <cellStyle name="Comma 7 9 2 2 4 2" xfId="30073" xr:uid="{4DA89B82-2FB7-4F27-A5F9-327004076252}"/>
    <cellStyle name="Comma 7 9 2 2 5" xfId="26913" xr:uid="{E0B26200-B909-460C-ADFE-F623EC31F0AD}"/>
    <cellStyle name="Comma 7 9 2 2 6" xfId="15701" xr:uid="{4D0F8B44-F253-416E-9952-95114F5388B3}"/>
    <cellStyle name="Comma 7 9 2 3" xfId="3539" xr:uid="{00000000-0005-0000-0000-000018030000}"/>
    <cellStyle name="Comma 7 9 2 3 2" xfId="26006" xr:uid="{A8C73E7C-8AB8-418B-A3AD-AE2E8770E7B7}"/>
    <cellStyle name="Comma 7 9 2 3 3" xfId="26207" xr:uid="{F5144315-CC66-497E-B687-52E38566539C}"/>
    <cellStyle name="Comma 7 9 2 4" xfId="5643" xr:uid="{26AB8BAA-7C90-4332-A8E8-C3C028A6FB41}"/>
    <cellStyle name="Comma 7 9 2 4 2" xfId="29779" xr:uid="{EBB2BB2F-2710-46EF-886B-754275719B42}"/>
    <cellStyle name="Comma 7 9 2 5" xfId="23296" xr:uid="{862CD927-F753-4FFB-9BA2-947802506C9D}"/>
    <cellStyle name="Comma 7 9 2 5 2" xfId="26384" xr:uid="{1DBF96B7-8112-4682-8CB5-A2B389146D52}"/>
    <cellStyle name="Comma 7 9 2 6" xfId="27145" xr:uid="{0D7A1526-65E0-4B55-9E48-AE83E29A2405}"/>
    <cellStyle name="Comma 7 9 2 7" xfId="13587" xr:uid="{3F6E615D-8E56-45E3-9BAA-34C81C32ED6C}"/>
    <cellStyle name="Comma 7 9 3" xfId="1818" xr:uid="{00000000-0005-0000-0000-000019030000}"/>
    <cellStyle name="Comma 7 9 3 2" xfId="2676" xr:uid="{00000000-0005-0000-0000-000053020000}"/>
    <cellStyle name="Comma 7 9 3 2 2" xfId="7800" xr:uid="{EE094E1D-91DD-4AF9-9924-669D955F4440}"/>
    <cellStyle name="Comma 7 9 3 2 2 2" xfId="18180" xr:uid="{168E5124-944A-4736-8237-BA275D072811}"/>
    <cellStyle name="Comma 7 9 3 2 3" xfId="10633" xr:uid="{8DE6D478-554F-48FC-97D3-FC2A598600F1}"/>
    <cellStyle name="Comma 7 9 3 2 3 2" xfId="21013" xr:uid="{BFCF240F-9FCF-4BBE-8720-4984D125AD11}"/>
    <cellStyle name="Comma 7 9 3 2 4" xfId="15347" xr:uid="{068C15C1-0248-4BB5-91C4-591913BAB33F}"/>
    <cellStyle name="Comma 7 9 3 2 5" xfId="30443" xr:uid="{92D51025-E4C0-4904-9638-6A17E656034E}"/>
    <cellStyle name="Comma 7 9 3 3" xfId="3679" xr:uid="{00000000-0005-0000-0000-000019030000}"/>
    <cellStyle name="Comma 7 9 3 4" xfId="5644" xr:uid="{E6BE7499-77E4-463B-BA19-0EA0E6022915}"/>
    <cellStyle name="Comma 7 9 3 4 2" xfId="29753" xr:uid="{8B795218-E896-406B-B68C-5A7BF886D01A}"/>
    <cellStyle name="Comma 7 9 3 5" xfId="25276" xr:uid="{7D0B094D-0CA5-4323-8D1E-92D1204A0A44}"/>
    <cellStyle name="Comma 7 9 3 6" xfId="13084" xr:uid="{2CB02459-2C4D-42D2-BC60-59F6E613B83F}"/>
    <cellStyle name="Comma 7 9 4" xfId="1816" xr:uid="{00000000-0005-0000-0000-00001A030000}"/>
    <cellStyle name="Comma 7 9 4 2" xfId="2281" xr:uid="{00000000-0005-0000-0000-000051020000}"/>
    <cellStyle name="Comma 7 9 4 2 2" xfId="7408" xr:uid="{ECA70E22-B669-47E5-B237-A70B09FDC2A2}"/>
    <cellStyle name="Comma 7 9 4 2 2 2" xfId="17788" xr:uid="{1D6C3169-C893-45C9-B5B3-340E7E6A62A5}"/>
    <cellStyle name="Comma 7 9 4 2 3" xfId="10241" xr:uid="{11770743-9A61-4906-A0ED-1A5ACCCDCA38}"/>
    <cellStyle name="Comma 7 9 4 2 3 2" xfId="20621" xr:uid="{7675E9C0-FB1D-44AD-B035-05F10DA62EA6}"/>
    <cellStyle name="Comma 7 9 4 2 4" xfId="27526" xr:uid="{95FCDC5A-9251-463A-A380-C6D5AD704ABD}"/>
    <cellStyle name="Comma 7 9 4 2 5" xfId="27305" xr:uid="{324D5791-4AA4-4432-A12B-D8FC4773221C}"/>
    <cellStyle name="Comma 7 9 4 2 6" xfId="14955" xr:uid="{F01CC1D9-EF50-417F-A807-BBAB256F29E1}"/>
    <cellStyle name="Comma 7 9 4 3" xfId="3554" xr:uid="{00000000-0005-0000-0000-00001A030000}"/>
    <cellStyle name="Comma 7 9 4 4" xfId="24762" xr:uid="{B4293C2A-2C20-4FDE-A651-4B5858E9672E}"/>
    <cellStyle name="Comma 7 9 5" xfId="3820" xr:uid="{3D055A9D-8184-4A6C-9135-4B8A07BEEB18}"/>
    <cellStyle name="Comma 7 9 5 2" xfId="8653" xr:uid="{7EB7CAAC-EB41-4A44-8227-8CF10A5544D8}"/>
    <cellStyle name="Comma 7 9 5 2 2" xfId="28960" xr:uid="{5CC8E82A-50BA-42E3-9621-4DBC89A6A158}"/>
    <cellStyle name="Comma 7 9 5 2 3" xfId="27856" xr:uid="{A5444BD1-DD3C-40FE-AECF-8FCD53DAD86E}"/>
    <cellStyle name="Comma 7 9 5 2 4" xfId="19033" xr:uid="{71F6C542-F48E-4D3B-A0C7-337AF60739F8}"/>
    <cellStyle name="Comma 7 9 5 3" xfId="11486" xr:uid="{3BD67E6A-DC58-4E0D-997C-E91619E70115}"/>
    <cellStyle name="Comma 7 9 5 3 2" xfId="21866" xr:uid="{CD9BBADF-ACEF-46B7-BFF9-58818B2D56C8}"/>
    <cellStyle name="Comma 7 9 5 4" xfId="25785" xr:uid="{D48D0E3E-A5CA-4B91-83E5-67DD914A8009}"/>
    <cellStyle name="Comma 7 9 5 5" xfId="16200" xr:uid="{F94D35A4-ECAF-49AC-BD3F-70DB8DD4B1B3}"/>
    <cellStyle name="Comma 7 9 6" xfId="4927" xr:uid="{D22195E0-32A3-453D-9C14-4748AEF3F690}"/>
    <cellStyle name="Comma 7 9 6 2" xfId="26466" xr:uid="{B179DB98-8514-4BDE-8987-D81C391102FC}"/>
    <cellStyle name="Comma 7 9 6 3" xfId="26827" xr:uid="{D9F1185C-06C9-42E9-B7C4-CEDEA200AE0E}"/>
    <cellStyle name="Comma 7 9 6 4" xfId="14219" xr:uid="{1D9C0D45-4A3E-4F7A-9E4C-C409913351A3}"/>
    <cellStyle name="Comma 7 9 7" xfId="6672" xr:uid="{A29537A1-F65B-4843-AF0C-05B168F8C09C}"/>
    <cellStyle name="Comma 7 9 7 2" xfId="27161" xr:uid="{55520C70-263D-4AB1-9319-FCA27D1942CD}"/>
    <cellStyle name="Comma 7 9 7 3" xfId="28105" xr:uid="{3DEC0D27-D036-43CE-80BF-8AA8FB19AFF0}"/>
    <cellStyle name="Comma 7 9 7 4" xfId="17052" xr:uid="{34C2D03F-AC0D-41F1-9799-D9E2EBFC00DD}"/>
    <cellStyle name="Comma 7 9 8" xfId="9505" xr:uid="{8F55B808-19E6-440B-84BB-7FBA72F377C5}"/>
    <cellStyle name="Comma 7 9 8 2" xfId="19885" xr:uid="{1D27389B-E2DF-4746-8101-736D586E99AF}"/>
    <cellStyle name="Comma 7 9 9" xfId="25140" xr:uid="{80C7AA19-964D-41F1-ACB4-443F7B2D85F5}"/>
    <cellStyle name="Comma 8" xfId="537" xr:uid="{00000000-0005-0000-0000-00001B030000}"/>
    <cellStyle name="Comma 9" xfId="538" xr:uid="{00000000-0005-0000-0000-00001C030000}"/>
    <cellStyle name="Comma 9 10" xfId="4928" xr:uid="{D81A1123-0425-468A-A1BB-1DD38680E9D1}"/>
    <cellStyle name="Comma 9 10 2" xfId="26367" xr:uid="{2F7F6436-B119-4AAD-9BB4-535464C9DAF3}"/>
    <cellStyle name="Comma 9 10 3" xfId="26330" xr:uid="{11FB18E3-EF94-4ED6-AAB4-FB17CD4BE561}"/>
    <cellStyle name="Comma 9 10 4" xfId="14220" xr:uid="{C2272325-F265-4852-9258-DAE0CE633BD7}"/>
    <cellStyle name="Comma 9 11" xfId="6673" xr:uid="{95397FF4-3D6A-4510-9989-BDDD317F97F2}"/>
    <cellStyle name="Comma 9 11 2" xfId="17053" xr:uid="{6A8550DD-A343-468B-A01C-05090AE9B719}"/>
    <cellStyle name="Comma 9 12" xfId="9506" xr:uid="{37183DA1-35CA-425D-87D1-F35C8D8A3F5E}"/>
    <cellStyle name="Comma 9 12 2" xfId="19886" xr:uid="{AA8AB3EF-C4D8-40C4-888D-AD22826DDFE1}"/>
    <cellStyle name="Comma 9 13" xfId="24007" xr:uid="{90CABFF4-ACC6-474D-BA61-1A43940CC5A2}"/>
    <cellStyle name="Comma 9 14" xfId="12406" xr:uid="{E2A8DE87-DBCD-4E16-9E4C-5722B7CB5393}"/>
    <cellStyle name="Comma 9 2" xfId="539" xr:uid="{00000000-0005-0000-0000-00001D030000}"/>
    <cellStyle name="Comma 9 2 10" xfId="6674" xr:uid="{800B4AE7-61CF-406F-BD50-717A47770535}"/>
    <cellStyle name="Comma 9 2 10 2" xfId="17054" xr:uid="{EA88CEC4-AC8C-4B27-B2D7-D33FADE80FF7}"/>
    <cellStyle name="Comma 9 2 11" xfId="9507" xr:uid="{F115FB81-E8DA-404A-892D-70F80F1B972C}"/>
    <cellStyle name="Comma 9 2 11 2" xfId="19887" xr:uid="{D7387538-8BF7-4F07-8FF0-AA9EC494776E}"/>
    <cellStyle name="Comma 9 2 12" xfId="24299" xr:uid="{E705879D-9FBA-4AEB-9FC8-2CC39AD5F36B}"/>
    <cellStyle name="Comma 9 2 13" xfId="12466" xr:uid="{8235A749-3C40-4A9B-8E8C-82B30F51A632}"/>
    <cellStyle name="Comma 9 2 2" xfId="540" xr:uid="{00000000-0005-0000-0000-00001E030000}"/>
    <cellStyle name="Comma 9 2 2 10" xfId="9508" xr:uid="{60CE9C71-F376-4025-821D-C30B7ED78186}"/>
    <cellStyle name="Comma 9 2 2 10 2" xfId="19888" xr:uid="{18234C9B-D2F9-4D6B-A13E-6C37086F7DF7}"/>
    <cellStyle name="Comma 9 2 2 11" xfId="25519" xr:uid="{6F546E97-01B6-477F-8094-EFA3F2FE1901}"/>
    <cellStyle name="Comma 9 2 2 12" xfId="12523" xr:uid="{DA9AA6E8-DB69-4F4C-A37A-A4469B73781E}"/>
    <cellStyle name="Comma 9 2 2 2" xfId="1822" xr:uid="{00000000-0005-0000-0000-00001F030000}"/>
    <cellStyle name="Comma 9 2 2 2 2" xfId="3076" xr:uid="{00000000-0005-0000-0000-000059020000}"/>
    <cellStyle name="Comma 9 2 2 2 2 2" xfId="6169" xr:uid="{1695681D-ACBD-434B-92F0-1F63368C6589}"/>
    <cellStyle name="Comma 9 2 2 2 2 2 2" xfId="25923" xr:uid="{1B1CBA3A-40E4-44FA-A7A4-CC0EB921C6F7}"/>
    <cellStyle name="Comma 9 2 2 2 2 2 3" xfId="26613" xr:uid="{DC9B371E-C0E3-4F73-83D3-29213CEBA90B}"/>
    <cellStyle name="Comma 9 2 2 2 2 2 4" xfId="15703" xr:uid="{447748E3-8314-4430-86E0-135F2EC6ED2D}"/>
    <cellStyle name="Comma 9 2 2 2 2 3" xfId="8156" xr:uid="{8046AE2B-9CD5-45A1-9232-B44A496B2A17}"/>
    <cellStyle name="Comma 9 2 2 2 2 3 2" xfId="18536" xr:uid="{F9F494A4-A347-41BB-86CB-E0B86E0FE416}"/>
    <cellStyle name="Comma 9 2 2 2 2 4" xfId="10989" xr:uid="{9B606771-FA20-4716-AFBD-6E37C66FE5D7}"/>
    <cellStyle name="Comma 9 2 2 2 2 4 2" xfId="21369" xr:uid="{90959D85-FFB6-4460-9FE8-52FDA187F7E2}"/>
    <cellStyle name="Comma 9 2 2 2 2 5" xfId="23820" xr:uid="{AD747A12-C7F9-41AF-8F2D-7D7060459104}"/>
    <cellStyle name="Comma 9 2 2 2 2 6" xfId="27342" xr:uid="{1A746590-4CA1-467D-848F-B895E1094CB2}"/>
    <cellStyle name="Comma 9 2 2 2 2 7" xfId="13589" xr:uid="{E7ABC69F-1CB5-411E-9E74-C2F9145DA71A}"/>
    <cellStyle name="Comma 9 2 2 2 3" xfId="2687" xr:uid="{00000000-0005-0000-0000-000058020000}"/>
    <cellStyle name="Comma 9 2 2 2 3 2" xfId="7811" xr:uid="{2128038F-D34A-47F5-90D6-38092A039B87}"/>
    <cellStyle name="Comma 9 2 2 2 3 2 2" xfId="27021" xr:uid="{A3DF1628-9D36-42BB-8086-112FB6BCA36B}"/>
    <cellStyle name="Comma 9 2 2 2 3 2 3" xfId="27860" xr:uid="{A5C60455-71A0-4AFE-8333-7E52BDF26654}"/>
    <cellStyle name="Comma 9 2 2 2 3 2 4" xfId="18191" xr:uid="{D77EA3DE-65CE-420F-B482-3F239AB4629E}"/>
    <cellStyle name="Comma 9 2 2 2 3 3" xfId="10644" xr:uid="{21EEC8A8-4538-49B0-9259-9092C61F7629}"/>
    <cellStyle name="Comma 9 2 2 2 3 3 2" xfId="21024" xr:uid="{6EF02B8B-FD2A-423A-9119-A24F9D043202}"/>
    <cellStyle name="Comma 9 2 2 2 3 4" xfId="25012" xr:uid="{E65E7057-6A9B-4E73-B147-10E224C434CB}"/>
    <cellStyle name="Comma 9 2 2 2 3 5" xfId="15358" xr:uid="{65EDEDBF-9135-4EDF-B076-15DD1724FE14}"/>
    <cellStyle name="Comma 9 2 2 2 4" xfId="2046" xr:uid="{00000000-0005-0000-0000-00001F030000}"/>
    <cellStyle name="Comma 9 2 2 2 4 2" xfId="26109" xr:uid="{122440CA-696A-44E0-9E96-A87373C105F9}"/>
    <cellStyle name="Comma 9 2 2 2 4 3" xfId="27292" xr:uid="{4E4768B2-7AB8-4453-8074-05036922F932}"/>
    <cellStyle name="Comma 9 2 2 2 5" xfId="4269" xr:uid="{15F18BA8-7F97-4777-9066-8253069EFE6E}"/>
    <cellStyle name="Comma 9 2 2 2 5 2" xfId="9041" xr:uid="{9FE3AAF4-1EE5-47ED-B8D4-F93ABC268CE4}"/>
    <cellStyle name="Comma 9 2 2 2 5 2 2" xfId="19421" xr:uid="{6A6573BE-1A19-4442-870C-069C69D8A52C}"/>
    <cellStyle name="Comma 9 2 2 2 5 2 3" xfId="31045" xr:uid="{F0C0A167-9B27-4A98-AB6A-B02856686997}"/>
    <cellStyle name="Comma 9 2 2 2 5 2 4" xfId="30804" xr:uid="{940BAFB2-DDDF-4DFD-AC79-DD26DD309846}"/>
    <cellStyle name="Comma 9 2 2 2 5 3" xfId="11874" xr:uid="{D66D2D42-7EBA-40C4-BE58-4D64A5059408}"/>
    <cellStyle name="Comma 9 2 2 2 5 3 2" xfId="22254" xr:uid="{6B46C0D7-EBC5-4194-90D8-6BCEC8A7CC97}"/>
    <cellStyle name="Comma 9 2 2 2 5 4" xfId="28387" xr:uid="{7BC0D46E-3348-466F-8DFC-3BD610176F0D}"/>
    <cellStyle name="Comma 9 2 2 2 5 5" xfId="27901" xr:uid="{B715E0BE-8612-4D9B-8094-A86B31BEC63D}"/>
    <cellStyle name="Comma 9 2 2 2 5 6" xfId="16588" xr:uid="{16CD614C-D92C-43D8-816F-40DF7AA64539}"/>
    <cellStyle name="Comma 9 2 2 2 6" xfId="5647" xr:uid="{668570A6-D60D-4778-B198-50FD03580688}"/>
    <cellStyle name="Comma 9 2 2 2 6 2" xfId="29725" xr:uid="{5FAFEE43-02EA-4263-B848-C1EA850D9CC6}"/>
    <cellStyle name="Comma 9 2 2 2 6 2 2" xfId="30979" xr:uid="{5D796100-B80F-4D81-937F-89F02B01DAF1}"/>
    <cellStyle name="Comma 9 2 2 2 7" xfId="25138" xr:uid="{C3EE7BD6-8743-4519-9C3D-CB652EFF1857}"/>
    <cellStyle name="Comma 9 2 2 2 8" xfId="13100" xr:uid="{E9F47D49-DC26-47D8-9B66-DEB5C8F17696}"/>
    <cellStyle name="Comma 9 2 2 3" xfId="1823" xr:uid="{00000000-0005-0000-0000-000020030000}"/>
    <cellStyle name="Comma 9 2 2 3 2" xfId="3077" xr:uid="{00000000-0005-0000-0000-00005A020000}"/>
    <cellStyle name="Comma 9 2 2 3 2 2" xfId="8157" xr:uid="{BA1A08A8-8F25-42BA-8FF5-CF4370543494}"/>
    <cellStyle name="Comma 9 2 2 3 2 2 2" xfId="28830" xr:uid="{FEA450FD-A44B-4F78-B887-6FBB04F43C55}"/>
    <cellStyle name="Comma 9 2 2 3 2 2 2 2" xfId="31229" xr:uid="{E0EAEE44-385B-43C4-A241-FDA503A0345E}"/>
    <cellStyle name="Comma 9 2 2 3 2 2 2 3" xfId="30806" xr:uid="{0E41FCD9-0F8F-41FD-9B49-7F0530E67F12}"/>
    <cellStyle name="Comma 9 2 2 3 2 2 3" xfId="26385" xr:uid="{4ABFB2F1-EFEF-44B5-B10D-DE0D3C6BDABA}"/>
    <cellStyle name="Comma 9 2 2 3 2 2 4" xfId="18537" xr:uid="{6D88F806-B1B0-4D9A-BBC6-DBDC26EA2E99}"/>
    <cellStyle name="Comma 9 2 2 3 2 3" xfId="10990" xr:uid="{4C570C57-C828-4E9B-9C5B-D3D470D1304A}"/>
    <cellStyle name="Comma 9 2 2 3 2 3 2" xfId="21370" xr:uid="{85E85D4A-641F-4B1F-B4B2-73E48F5F3F73}"/>
    <cellStyle name="Comma 9 2 2 3 2 4" xfId="24874" xr:uid="{3C1C18F6-326F-4101-B42C-CAFA790586F4}"/>
    <cellStyle name="Comma 9 2 2 3 2 5" xfId="15704" xr:uid="{5E62D3EB-52D8-4B2A-8967-E1EC80A96F32}"/>
    <cellStyle name="Comma 9 2 2 3 3" xfId="2090" xr:uid="{00000000-0005-0000-0000-000020030000}"/>
    <cellStyle name="Comma 9 2 2 3 4" xfId="4419" xr:uid="{51ADD6C0-603D-4098-9009-CBEFA0A69A4B}"/>
    <cellStyle name="Comma 9 2 2 3 4 2" xfId="9191" xr:uid="{F3BDC41A-CFD9-47C5-A0ED-1DF0D97D107C}"/>
    <cellStyle name="Comma 9 2 2 3 4 2 2" xfId="19571" xr:uid="{6A163FFC-6407-458E-95EF-1755EB510D2C}"/>
    <cellStyle name="Comma 9 2 2 3 4 2 3" xfId="31085" xr:uid="{200D0FEF-51EA-4B32-BD4F-ED01F56CF64F}"/>
    <cellStyle name="Comma 9 2 2 3 4 2 4" xfId="30805" xr:uid="{45D769B4-A51B-4357-BF7C-CEA3942690FF}"/>
    <cellStyle name="Comma 9 2 2 3 4 3" xfId="12024" xr:uid="{B8CDA8CB-E142-4092-9D7D-1F70CFFAECDF}"/>
    <cellStyle name="Comma 9 2 2 3 4 3 2" xfId="22404" xr:uid="{A2F09515-9B43-40E8-8E58-EDBDFCCA4661}"/>
    <cellStyle name="Comma 9 2 2 3 4 4" xfId="16738" xr:uid="{EAE4FB54-618E-4BD5-8A10-FD59118FE55B}"/>
    <cellStyle name="Comma 9 2 2 3 5" xfId="5648" xr:uid="{1753FA6C-087A-430B-A68A-C681B0D13A8B}"/>
    <cellStyle name="Comma 9 2 2 3 5 2" xfId="29711" xr:uid="{8E3DEB05-C8FD-4B12-9825-E73EE046D749}"/>
    <cellStyle name="Comma 9 2 2 3 5 2 2" xfId="30980" xr:uid="{AFFAD961-C129-4BDB-B8E1-FC9907D6727B}"/>
    <cellStyle name="Comma 9 2 2 3 6" xfId="24154" xr:uid="{41DAB614-918F-4599-BF83-9AA4B418D79E}"/>
    <cellStyle name="Comma 9 2 2 3 7" xfId="13590" xr:uid="{2E3B28A3-F72F-46DD-9CA8-18228347FB64}"/>
    <cellStyle name="Comma 9 2 2 4" xfId="1821" xr:uid="{00000000-0005-0000-0000-000021030000}"/>
    <cellStyle name="Comma 9 2 2 4 2" xfId="3075" xr:uid="{00000000-0005-0000-0000-00005B020000}"/>
    <cellStyle name="Comma 9 2 2 4 2 2" xfId="8155" xr:uid="{3821D36B-E30A-436A-ADD2-C492AC21B492}"/>
    <cellStyle name="Comma 9 2 2 4 2 2 2" xfId="28829" xr:uid="{75B182AE-DD33-43EB-BD11-5250C85A4E01}"/>
    <cellStyle name="Comma 9 2 2 4 2 2 3" xfId="26310" xr:uid="{BA6A95AF-6109-40B1-B3B9-241F006D302F}"/>
    <cellStyle name="Comma 9 2 2 4 2 2 4" xfId="18535" xr:uid="{6DC6F597-8D99-4D70-85A2-BCF10AE0AD8E}"/>
    <cellStyle name="Comma 9 2 2 4 2 3" xfId="10988" xr:uid="{2A3734C0-6283-4588-9F43-DBEA24F07785}"/>
    <cellStyle name="Comma 9 2 2 4 2 3 2" xfId="21368" xr:uid="{73BB00D0-276E-47F7-A419-031530E0420D}"/>
    <cellStyle name="Comma 9 2 2 4 2 4" xfId="26316" xr:uid="{4114B98C-05CB-4B13-B488-16099DD307AD}"/>
    <cellStyle name="Comma 9 2 2 4 2 5" xfId="15702" xr:uid="{6AE8E6BF-8A14-431C-99B4-E9E63BED19BF}"/>
    <cellStyle name="Comma 9 2 2 4 3" xfId="3607" xr:uid="{00000000-0005-0000-0000-000021030000}"/>
    <cellStyle name="Comma 9 2 2 4 4" xfId="5646" xr:uid="{8B26A1BB-AE5F-48D9-8E42-E69CDD492616}"/>
    <cellStyle name="Comma 9 2 2 4 4 2" xfId="29962" xr:uid="{7C9ED966-91AA-4C46-BB66-8180C9956C71}"/>
    <cellStyle name="Comma 9 2 2 4 5" xfId="24327" xr:uid="{8BA3453A-B276-4F0C-8B80-BF13CA76962C}"/>
    <cellStyle name="Comma 9 2 2 4 6" xfId="13588" xr:uid="{1A9E97E1-72D1-4AFC-BB30-AF8F5B6BAA27}"/>
    <cellStyle name="Comma 9 2 2 5" xfId="2642" xr:uid="{00000000-0005-0000-0000-00005C020000}"/>
    <cellStyle name="Comma 9 2 2 5 2" xfId="5904" xr:uid="{45A164FE-5FE9-43B5-9529-C545256EB1C7}"/>
    <cellStyle name="Comma 9 2 2 5 2 2" xfId="28650" xr:uid="{F52522D7-FE86-4CED-8031-4C36F7BDC289}"/>
    <cellStyle name="Comma 9 2 2 5 2 2 2" xfId="31211" xr:uid="{972E3E93-27A6-4530-8159-6C6AF4E7DBCC}"/>
    <cellStyle name="Comma 9 2 2 5 2 2 3" xfId="30807" xr:uid="{08104823-45CC-4C4D-B84B-B3362DB2DCBC}"/>
    <cellStyle name="Comma 9 2 2 5 2 3" xfId="27235" xr:uid="{C3BE4EB7-43AA-4AC7-BEFF-8B26A3BE7026}"/>
    <cellStyle name="Comma 9 2 2 5 2 4" xfId="15314" xr:uid="{08E79145-1382-4681-9832-B0F6E2DADE39}"/>
    <cellStyle name="Comma 9 2 2 5 3" xfId="7767" xr:uid="{5D0B9A8F-12FE-41D9-A9E6-A0FC75FD3FD8}"/>
    <cellStyle name="Comma 9 2 2 5 3 2" xfId="18147" xr:uid="{0A8DFB72-F3C6-4083-88C0-C732F813D519}"/>
    <cellStyle name="Comma 9 2 2 5 4" xfId="10600" xr:uid="{4B064456-B3B1-4B04-A024-41F9964ADD43}"/>
    <cellStyle name="Comma 9 2 2 5 4 2" xfId="20980" xr:uid="{755E6D50-A281-4A13-84B5-51D522FD572A}"/>
    <cellStyle name="Comma 9 2 2 5 5" xfId="23656" xr:uid="{435834F1-E757-4761-960E-34D3DB17B906}"/>
    <cellStyle name="Comma 9 2 2 5 6" xfId="13031" xr:uid="{5AE173AE-BF38-4842-AA91-78EA7873D122}"/>
    <cellStyle name="Comma 9 2 2 6" xfId="2291" xr:uid="{00000000-0005-0000-0000-000057020000}"/>
    <cellStyle name="Comma 9 2 2 6 2" xfId="7418" xr:uid="{F0EED383-DED6-4BF2-97EE-EDD10841C3A9}"/>
    <cellStyle name="Comma 9 2 2 6 2 2" xfId="17798" xr:uid="{E2E25D04-1C5B-42F3-971A-9693DBE7026D}"/>
    <cellStyle name="Comma 9 2 2 6 3" xfId="10251" xr:uid="{94DC420B-AA21-4FD5-93D5-21B40811B1C2}"/>
    <cellStyle name="Comma 9 2 2 6 3 2" xfId="20631" xr:uid="{E6D15CCE-188C-46C1-8F19-27097D48CB9C}"/>
    <cellStyle name="Comma 9 2 2 6 4" xfId="22652" xr:uid="{D0547388-BB56-43F0-887B-5DC1986503B8}"/>
    <cellStyle name="Comma 9 2 2 6 5" xfId="26805" xr:uid="{140F2489-462A-432C-AAD8-2C4B4DBDF3A3}"/>
    <cellStyle name="Comma 9 2 2 6 6" xfId="14965" xr:uid="{93BB5F1A-804A-42CC-B8EB-C9CEF1F05211}"/>
    <cellStyle name="Comma 9 2 2 7" xfId="3826" xr:uid="{F187D117-A490-47DB-9E10-75EB17734E90}"/>
    <cellStyle name="Comma 9 2 2 7 2" xfId="8659" xr:uid="{644F7400-21EC-44AC-96AB-03542AB9BCFE}"/>
    <cellStyle name="Comma 9 2 2 7 2 2" xfId="19039" xr:uid="{C00F856F-2CD0-4E3B-A3DA-35E428B0F0FE}"/>
    <cellStyle name="Comma 9 2 2 7 3" xfId="11492" xr:uid="{DC85BDFB-B499-4C6E-A0B1-105AFB53FA00}"/>
    <cellStyle name="Comma 9 2 2 7 3 2" xfId="21872" xr:uid="{2AB65E47-B840-4E3A-9190-E4321AA48705}"/>
    <cellStyle name="Comma 9 2 2 7 4" xfId="26443" xr:uid="{0585DF1F-C5C2-4D34-BBE6-8DFF8DBF905E}"/>
    <cellStyle name="Comma 9 2 2 7 5" xfId="28042" xr:uid="{BEC9E2EF-CCA4-4CC5-8AB1-C4763C60ED1D}"/>
    <cellStyle name="Comma 9 2 2 7 6" xfId="16206" xr:uid="{F05C9D44-64C0-4600-BDB2-376264D8F02B}"/>
    <cellStyle name="Comma 9 2 2 8" xfId="4930" xr:uid="{3AD1A3B8-0529-4279-AFBA-6A259E6478D4}"/>
    <cellStyle name="Comma 9 2 2 8 2" xfId="14222" xr:uid="{3A55FC0C-5526-4111-8F2F-A420A93B599F}"/>
    <cellStyle name="Comma 9 2 2 9" xfId="6675" xr:uid="{6EFE6E0B-F24A-4847-A285-0AA765FBEBDF}"/>
    <cellStyle name="Comma 9 2 2 9 2" xfId="17055" xr:uid="{0ECC4CAE-5358-4A94-B368-95E70F3C5906}"/>
    <cellStyle name="Comma 9 2 3" xfId="541" xr:uid="{00000000-0005-0000-0000-000022030000}"/>
    <cellStyle name="Comma 9 2 3 10" xfId="12681" xr:uid="{F4C62D95-DF88-450B-B844-5FCA3C4178EF}"/>
    <cellStyle name="Comma 9 2 3 2" xfId="1825" xr:uid="{00000000-0005-0000-0000-000023030000}"/>
    <cellStyle name="Comma 9 2 3 2 2" xfId="3078" xr:uid="{00000000-0005-0000-0000-00005E020000}"/>
    <cellStyle name="Comma 9 2 3 2 2 2" xfId="8158" xr:uid="{00C34E79-4A12-4FEF-8FD7-A120007AC003}"/>
    <cellStyle name="Comma 9 2 3 2 2 2 2" xfId="28831" xr:uid="{9400F8BF-E03C-47B4-8A73-79D8316A2F57}"/>
    <cellStyle name="Comma 9 2 3 2 2 2 3" xfId="28633" xr:uid="{7A2BE245-EA15-44B8-97A3-BD9684DEFF4F}"/>
    <cellStyle name="Comma 9 2 3 2 2 2 4" xfId="18538" xr:uid="{11C459B9-9635-43E5-A2CE-CA3DDB0927D6}"/>
    <cellStyle name="Comma 9 2 3 2 2 3" xfId="10991" xr:uid="{179EA3D4-61C5-47DF-BA03-BCD2392F900C}"/>
    <cellStyle name="Comma 9 2 3 2 2 3 2" xfId="21371" xr:uid="{2A1FE7AD-F25F-4C3B-8926-616BF3F7D3E5}"/>
    <cellStyle name="Comma 9 2 3 2 2 4" xfId="25748" xr:uid="{942CDB3C-31B9-48FD-A9C8-9181B9986ACB}"/>
    <cellStyle name="Comma 9 2 3 2 2 5" xfId="15705" xr:uid="{A62BBE42-1AD1-4C98-BC5F-080129262303}"/>
    <cellStyle name="Comma 9 2 3 2 3" xfId="3698" xr:uid="{00000000-0005-0000-0000-000023030000}"/>
    <cellStyle name="Comma 9 2 3 2 4" xfId="5649" xr:uid="{E79966CE-366E-44ED-8CF4-EF18FE3B9A08}"/>
    <cellStyle name="Comma 9 2 3 2 4 2" xfId="29963" xr:uid="{C540771B-03DD-4A97-8D6C-125C8B900220}"/>
    <cellStyle name="Comma 9 2 3 2 5" xfId="23091" xr:uid="{7BC34336-6CF0-4232-A50B-C2757E6B9AA2}"/>
    <cellStyle name="Comma 9 2 3 2 6" xfId="13591" xr:uid="{AE8E06AD-96D0-46A8-B033-8D8865597D33}"/>
    <cellStyle name="Comma 9 2 3 3" xfId="1826" xr:uid="{00000000-0005-0000-0000-000024030000}"/>
    <cellStyle name="Comma 9 2 3 3 2" xfId="2686" xr:uid="{00000000-0005-0000-0000-00005F020000}"/>
    <cellStyle name="Comma 9 2 3 3 2 2" xfId="7810" xr:uid="{B9ACF73D-5345-46F9-B10F-7BF577F6FA2C}"/>
    <cellStyle name="Comma 9 2 3 3 2 2 2" xfId="18190" xr:uid="{7BDE12E2-F66C-43CB-A936-014FC451446C}"/>
    <cellStyle name="Comma 9 2 3 3 2 3" xfId="10643" xr:uid="{7B796FA2-53F4-4E07-ACB6-8A1AA81C96CF}"/>
    <cellStyle name="Comma 9 2 3 3 2 3 2" xfId="21023" xr:uid="{865B3BD9-33FF-4391-A8D9-6B5ECEDC6CF6}"/>
    <cellStyle name="Comma 9 2 3 3 2 4" xfId="15357" xr:uid="{372507FF-8B1F-490B-A74C-426CD780667A}"/>
    <cellStyle name="Comma 9 2 3 3 2 5" xfId="30444" xr:uid="{B9D0D307-C678-4D48-9BB3-FA80D0D64076}"/>
    <cellStyle name="Comma 9 2 3 3 3" xfId="2079" xr:uid="{00000000-0005-0000-0000-000024030000}"/>
    <cellStyle name="Comma 9 2 3 3 4" xfId="5650" xr:uid="{CE82BC05-DECC-433A-A1AE-079FA93D71A1}"/>
    <cellStyle name="Comma 9 2 3 3 4 2" xfId="29911" xr:uid="{DEAC15BD-E4D5-4066-9D0F-223E4FCD8552}"/>
    <cellStyle name="Comma 9 2 3 3 5" xfId="25041" xr:uid="{6B690C1C-4E4E-4CEB-9458-3070211420B8}"/>
    <cellStyle name="Comma 9 2 3 3 6" xfId="13099" xr:uid="{9A279FFC-6243-4F00-B96A-9C2520A46EDC}"/>
    <cellStyle name="Comma 9 2 3 4" xfId="1824" xr:uid="{00000000-0005-0000-0000-000025030000}"/>
    <cellStyle name="Comma 9 2 3 4 2" xfId="4655" xr:uid="{2B316BF8-A02B-4FA6-9E0C-A81BF302FB1E}"/>
    <cellStyle name="Comma 9 2 3 4 2 2" xfId="9407" xr:uid="{83C3117E-0556-4527-B429-6733E7FC28FB}"/>
    <cellStyle name="Comma 9 2 3 4 2 2 2" xfId="19787" xr:uid="{75F44DC8-6775-40EE-BB1B-FE5900228869}"/>
    <cellStyle name="Comma 9 2 3 4 2 3" xfId="12240" xr:uid="{02383733-3AC8-4F33-847D-F4EDED4B1500}"/>
    <cellStyle name="Comma 9 2 3 4 2 3 2" xfId="22620" xr:uid="{7E9B7457-55E4-47A6-AEC3-2AB45A85A26B}"/>
    <cellStyle name="Comma 9 2 3 4 2 4" xfId="28309" xr:uid="{517B9FA5-CA7B-4147-8281-57997331AEA6}"/>
    <cellStyle name="Comma 9 2 3 4 2 5" xfId="27040" xr:uid="{67CB897C-285F-4C47-BC05-557ED67C8AB1}"/>
    <cellStyle name="Comma 9 2 3 4 2 6" xfId="16954" xr:uid="{3AB9AAA6-8579-4953-89F0-8E36A6C0DD15}"/>
    <cellStyle name="Comma 9 2 3 4 3" xfId="22758" xr:uid="{53723204-0815-4045-A056-7FCD23F7396E}"/>
    <cellStyle name="Comma 9 2 3 5" xfId="4135" xr:uid="{58960FB7-AA3D-4773-B9E0-BAA94B5F7831}"/>
    <cellStyle name="Comma 9 2 3 5 2" xfId="8907" xr:uid="{45BD0102-A3DB-46F1-B996-4B740B50B967}"/>
    <cellStyle name="Comma 9 2 3 5 2 2" xfId="29012" xr:uid="{FD6FD515-24A7-44F7-9B6A-EE8B41326D0B}"/>
    <cellStyle name="Comma 9 2 3 5 2 3" xfId="27360" xr:uid="{4196D849-59CB-4781-A66E-CA6616B641F1}"/>
    <cellStyle name="Comma 9 2 3 5 2 4" xfId="19287" xr:uid="{1B49DD98-D93E-4499-8109-0BF6F8E1781D}"/>
    <cellStyle name="Comma 9 2 3 5 2 5" xfId="31017" xr:uid="{F7D350F9-DB22-40CD-A277-E89E784C5412}"/>
    <cellStyle name="Comma 9 2 3 5 3" xfId="11740" xr:uid="{FEEBFF0E-3A22-490B-94EE-A20B651F3918}"/>
    <cellStyle name="Comma 9 2 3 5 3 2" xfId="22120" xr:uid="{7BCDA1FB-7008-4553-90F2-782DDE9547DF}"/>
    <cellStyle name="Comma 9 2 3 5 4" xfId="28102" xr:uid="{6B05F112-D1B4-4987-9ED9-AD61916186A5}"/>
    <cellStyle name="Comma 9 2 3 5 5" xfId="16454" xr:uid="{E2103747-DE1C-424E-A121-811632EDB617}"/>
    <cellStyle name="Comma 9 2 3 6" xfId="4931" xr:uid="{B11DD8E7-1558-472B-8FE9-B7DE5AE1C3AA}"/>
    <cellStyle name="Comma 9 2 3 6 2" xfId="28259" xr:uid="{B5064F52-1DEC-48C6-AD6C-94D57ED80CDC}"/>
    <cellStyle name="Comma 9 2 3 6 3" xfId="27717" xr:uid="{90953E80-ECF8-4692-9972-22BB6C8DE61E}"/>
    <cellStyle name="Comma 9 2 3 6 4" xfId="14223" xr:uid="{6FE659B4-9790-4D04-B838-7A04B11F19B9}"/>
    <cellStyle name="Comma 9 2 3 7" xfId="6676" xr:uid="{A3767453-1D26-4077-9762-3232EF5FAEF7}"/>
    <cellStyle name="Comma 9 2 3 7 2" xfId="28416" xr:uid="{C0ECF8F6-3BBF-4631-AE2A-78AAE82D9245}"/>
    <cellStyle name="Comma 9 2 3 7 3" xfId="27284" xr:uid="{A1AC7B48-6458-4882-A59B-BA808F918EEC}"/>
    <cellStyle name="Comma 9 2 3 7 4" xfId="17056" xr:uid="{C6323C8C-63AA-4061-9C69-B64F539EFDEC}"/>
    <cellStyle name="Comma 9 2 3 8" xfId="9509" xr:uid="{19B45FED-76C2-4145-940D-2F2BC325C947}"/>
    <cellStyle name="Comma 9 2 3 8 2" xfId="19889" xr:uid="{A7D0349A-2623-433A-82FA-CC129D323731}"/>
    <cellStyle name="Comma 9 2 3 9" xfId="25166" xr:uid="{491DEFD9-42C7-46F8-B951-F96D761D4FA0}"/>
    <cellStyle name="Comma 9 2 4" xfId="1827" xr:uid="{00000000-0005-0000-0000-000026030000}"/>
    <cellStyle name="Comma 9 2 4 2" xfId="3079" xr:uid="{00000000-0005-0000-0000-000060020000}"/>
    <cellStyle name="Comma 9 2 4 2 2" xfId="8159" xr:uid="{3871DE92-AD0D-4C55-9FDA-EB07377910AF}"/>
    <cellStyle name="Comma 9 2 4 2 2 2" xfId="28832" xr:uid="{35DDB46A-9F32-451D-BE4A-FB8BA2BFC5CB}"/>
    <cellStyle name="Comma 9 2 4 2 2 2 2" xfId="31230" xr:uid="{D86CE846-FB1A-46CF-AAA1-01DB85ECFA69}"/>
    <cellStyle name="Comma 9 2 4 2 2 2 3" xfId="30809" xr:uid="{BE13AE7C-8747-44CE-A1E1-1A36A7111489}"/>
    <cellStyle name="Comma 9 2 4 2 2 3" xfId="27382" xr:uid="{1D429F61-482C-40AA-9F51-7ED2D3E08585}"/>
    <cellStyle name="Comma 9 2 4 2 2 4" xfId="18539" xr:uid="{E513781B-C37F-4A79-B6A8-73A52D5D952C}"/>
    <cellStyle name="Comma 9 2 4 2 3" xfId="10992" xr:uid="{5FAD14CD-9E4E-4A54-B659-08425DC4EB51}"/>
    <cellStyle name="Comma 9 2 4 2 3 2" xfId="21372" xr:uid="{D5BA3C34-8A17-499D-9401-2290B594129A}"/>
    <cellStyle name="Comma 9 2 4 2 4" xfId="25662" xr:uid="{DE4B7DEE-3DFB-4D95-9D94-5B6697CA1424}"/>
    <cellStyle name="Comma 9 2 4 2 5" xfId="15706" xr:uid="{B32A986E-B469-403A-9A26-89063FFD10F3}"/>
    <cellStyle name="Comma 9 2 4 3" xfId="3619" xr:uid="{00000000-0005-0000-0000-000026030000}"/>
    <cellStyle name="Comma 9 2 4 4" xfId="4420" xr:uid="{730607A7-848F-4DD4-AC1A-3254E1DC46BC}"/>
    <cellStyle name="Comma 9 2 4 4 2" xfId="9192" xr:uid="{C7AB3644-B0B6-4154-BE4F-C29BF5ECB030}"/>
    <cellStyle name="Comma 9 2 4 4 2 2" xfId="19572" xr:uid="{7AE53B1F-54DA-4F06-99C4-5B8CE011620E}"/>
    <cellStyle name="Comma 9 2 4 4 2 3" xfId="31086" xr:uid="{BE5A0B73-4A4C-4029-A301-6535C3F13C1D}"/>
    <cellStyle name="Comma 9 2 4 4 2 4" xfId="30808" xr:uid="{C1548C2B-E83F-4CD1-8AE4-504BDC32719D}"/>
    <cellStyle name="Comma 9 2 4 4 3" xfId="12025" xr:uid="{05AB095B-DD55-4F70-B186-D55D3B66DE04}"/>
    <cellStyle name="Comma 9 2 4 4 3 2" xfId="22405" xr:uid="{83C0AEC2-D7F8-4FB1-8063-95763749ADDC}"/>
    <cellStyle name="Comma 9 2 4 4 4" xfId="27981" xr:uid="{48E7C24F-7C7F-4635-9EBC-9D453F175853}"/>
    <cellStyle name="Comma 9 2 4 4 5" xfId="28162" xr:uid="{38EC5DA3-2ECC-43FA-AFF3-4E44C4962149}"/>
    <cellStyle name="Comma 9 2 4 4 6" xfId="16739" xr:uid="{E7145DA8-4655-4CB9-96FD-E1E6B4F01E4F}"/>
    <cellStyle name="Comma 9 2 4 5" xfId="5651" xr:uid="{D9BE428C-8235-4EF9-B20E-E5BB3AFC6747}"/>
    <cellStyle name="Comma 9 2 4 5 2" xfId="29693" xr:uid="{E7A06D38-4B4A-4976-BC01-C3B6B233E532}"/>
    <cellStyle name="Comma 9 2 4 5 2 2" xfId="30981" xr:uid="{FFEA7A56-AD8A-44D9-BC17-C7A9B2757E95}"/>
    <cellStyle name="Comma 9 2 4 6" xfId="24676" xr:uid="{6EEEF6C0-BA3C-4450-82E6-71744843DDBB}"/>
    <cellStyle name="Comma 9 2 4 7" xfId="13592" xr:uid="{81F21B33-152E-41A4-8622-BE740F8B59B3}"/>
    <cellStyle name="Comma 9 2 5" xfId="1828" xr:uid="{00000000-0005-0000-0000-000027030000}"/>
    <cellStyle name="Comma 9 2 5 2" xfId="2881" xr:uid="{00000000-0005-0000-0000-000061020000}"/>
    <cellStyle name="Comma 9 2 5 2 2" xfId="7998" xr:uid="{30435070-21F0-450E-8F48-DD2475E78426}"/>
    <cellStyle name="Comma 9 2 5 2 2 2" xfId="27245" xr:uid="{B2DCA550-CDEE-430E-8093-FA1E260FBBA3}"/>
    <cellStyle name="Comma 9 2 5 2 2 2 2" xfId="31188" xr:uid="{935049C4-8F57-47F7-A020-2141BFAE117B}"/>
    <cellStyle name="Comma 9 2 5 2 2 2 3" xfId="30810" xr:uid="{E09FB7FE-6B02-4145-8F9C-245D63874152}"/>
    <cellStyle name="Comma 9 2 5 2 2 3" xfId="26153" xr:uid="{A90172AA-ECBA-49AF-A27D-7287150C6C55}"/>
    <cellStyle name="Comma 9 2 5 2 2 4" xfId="18378" xr:uid="{BB53FA4A-1DDF-48F5-8459-C96D8C66B94A}"/>
    <cellStyle name="Comma 9 2 5 2 3" xfId="10831" xr:uid="{8DBDF390-F889-45B9-8090-2E42DC2B125A}"/>
    <cellStyle name="Comma 9 2 5 2 3 2" xfId="21211" xr:uid="{3D817999-D32B-42D4-A4EE-FDDC6CAAAB75}"/>
    <cellStyle name="Comma 9 2 5 2 4" xfId="28531" xr:uid="{EFD68B7B-CEB1-42E8-96C8-A4CE64C8ED24}"/>
    <cellStyle name="Comma 9 2 5 2 5" xfId="15545" xr:uid="{178AD210-1937-49B9-920C-01104FD1710F}"/>
    <cellStyle name="Comma 9 2 5 3" xfId="3537" xr:uid="{00000000-0005-0000-0000-000027030000}"/>
    <cellStyle name="Comma 9 2 5 4" xfId="5652" xr:uid="{D7164F72-134C-4D46-901D-95E30936FD2B}"/>
    <cellStyle name="Comma 9 2 5 4 2" xfId="29926" xr:uid="{5C9B02E0-C788-4B1D-BC0E-E607E53C7539}"/>
    <cellStyle name="Comma 9 2 5 5" xfId="25505" xr:uid="{683D3246-020B-45A9-8F05-CD8C07E60BC7}"/>
    <cellStyle name="Comma 9 2 5 6" xfId="13379" xr:uid="{D127C0C3-511A-4158-94C4-3B598D743006}"/>
    <cellStyle name="Comma 9 2 6" xfId="1820" xr:uid="{00000000-0005-0000-0000-000028030000}"/>
    <cellStyle name="Comma 9 2 6 2" xfId="2540" xr:uid="{00000000-0005-0000-0000-000062020000}"/>
    <cellStyle name="Comma 9 2 6 2 2" xfId="7665" xr:uid="{12A85B8F-612E-4B7E-8375-3FD272B72C3E}"/>
    <cellStyle name="Comma 9 2 6 2 2 2" xfId="18045" xr:uid="{63602DFF-BD8A-4BE0-91FF-331DD6264E16}"/>
    <cellStyle name="Comma 9 2 6 2 3" xfId="10498" xr:uid="{61B4E7AC-8DB2-43F1-868D-FAA2881C85E4}"/>
    <cellStyle name="Comma 9 2 6 2 3 2" xfId="20878" xr:uid="{1BB267DC-2623-4AAD-9299-6628C1181669}"/>
    <cellStyle name="Comma 9 2 6 2 4" xfId="28008" xr:uid="{93DFBBE4-AEC2-43A7-B32D-98AE37918C88}"/>
    <cellStyle name="Comma 9 2 6 2 5" xfId="27053" xr:uid="{3C93F917-4687-49AB-A2DE-9CFA582651C6}"/>
    <cellStyle name="Comma 9 2 6 2 6" xfId="15212" xr:uid="{B954EB0A-A415-4D84-A87E-51039639E08C}"/>
    <cellStyle name="Comma 9 2 6 3" xfId="3706" xr:uid="{00000000-0005-0000-0000-000028030000}"/>
    <cellStyle name="Comma 9 2 6 4" xfId="5645" xr:uid="{D898191B-5E99-42ED-AE9E-BA7EEF98ED5F}"/>
    <cellStyle name="Comma 9 2 6 4 2" xfId="29878" xr:uid="{E41C2E13-76EE-4F01-AD17-0737E327D418}"/>
    <cellStyle name="Comma 9 2 6 5" xfId="23855" xr:uid="{D61276F4-B8A3-4202-B41B-BD1945D207E6}"/>
    <cellStyle name="Comma 9 2 6 6" xfId="12928" xr:uid="{0F80994B-85B6-4398-ADA2-8150445C52AA}"/>
    <cellStyle name="Comma 9 2 7" xfId="2234" xr:uid="{00000000-0005-0000-0000-000056020000}"/>
    <cellStyle name="Comma 9 2 7 2" xfId="7361" xr:uid="{C4B32B00-5182-49D8-9EA5-796AE2208F5A}"/>
    <cellStyle name="Comma 9 2 7 2 2" xfId="26720" xr:uid="{E24BCB5C-C6EA-4FDB-9EC3-913147FB8779}"/>
    <cellStyle name="Comma 9 2 7 2 2 2" xfId="31183" xr:uid="{B8E870C8-2DC3-4142-9B70-BD70882B4D51}"/>
    <cellStyle name="Comma 9 2 7 2 2 3" xfId="30811" xr:uid="{BBA9BA85-2DE8-4D34-8E86-BAE1DE19E844}"/>
    <cellStyle name="Comma 9 2 7 2 3" xfId="28268" xr:uid="{90482539-1104-4FEC-A0B4-4BBC91205F8D}"/>
    <cellStyle name="Comma 9 2 7 2 4" xfId="17741" xr:uid="{A997357B-75E5-4FBD-8E85-7D845313D2E4}"/>
    <cellStyle name="Comma 9 2 7 3" xfId="10194" xr:uid="{6CC74026-AB08-411B-B16F-52096AABA2AE}"/>
    <cellStyle name="Comma 9 2 7 3 2" xfId="20574" xr:uid="{D660BE8F-3CEC-43C8-B3F2-515CBFAE10A6}"/>
    <cellStyle name="Comma 9 2 7 4" xfId="25034" xr:uid="{6B933433-0728-4A4C-81A0-760F81048C5E}"/>
    <cellStyle name="Comma 9 2 7 5" xfId="14908" xr:uid="{9E029389-AF9E-4E2C-80CF-C3A6CB490564}"/>
    <cellStyle name="Comma 9 2 8" xfId="3878" xr:uid="{14ABF57D-7E2D-49B0-92F4-00CADDA395CB}"/>
    <cellStyle name="Comma 9 2 8 2" xfId="8710" xr:uid="{A7E88751-1D29-4175-B2B8-DA20A976F5E3}"/>
    <cellStyle name="Comma 9 2 8 2 2" xfId="19090" xr:uid="{E69C0CF9-2C8E-461A-BD73-73D7F51D1663}"/>
    <cellStyle name="Comma 9 2 8 3" xfId="11543" xr:uid="{95E42C6C-C80A-4C6F-AEA5-4FFFB2425A1A}"/>
    <cellStyle name="Comma 9 2 8 3 2" xfId="21923" xr:uid="{7A3F958E-C57F-4788-976D-1AE8E6A57944}"/>
    <cellStyle name="Comma 9 2 8 4" xfId="26413" xr:uid="{FD7B0B76-E8B9-487D-8AAD-C9933C1ACB6C}"/>
    <cellStyle name="Comma 9 2 8 5" xfId="27761" xr:uid="{AC65A6F0-19BB-40A6-9BE0-0678F17B6B3B}"/>
    <cellStyle name="Comma 9 2 8 6" xfId="16257" xr:uid="{6C8D399F-9CD0-4228-9326-262AC491334C}"/>
    <cellStyle name="Comma 9 2 9" xfId="4929" xr:uid="{BD7D2C77-C633-4CFC-AAC8-AEB80D7AE154}"/>
    <cellStyle name="Comma 9 2 9 2" xfId="25984" xr:uid="{FF5AE70A-CB98-46FE-AEBC-034F7A064D0C}"/>
    <cellStyle name="Comma 9 2 9 3" xfId="27780" xr:uid="{9617A20E-B9DC-4147-BB81-6D931C61435A}"/>
    <cellStyle name="Comma 9 2 9 4" xfId="14221" xr:uid="{B60DB025-08CD-4CE5-A225-EF26AA61A2E6}"/>
    <cellStyle name="Comma 9 3" xfId="542" xr:uid="{00000000-0005-0000-0000-000029030000}"/>
    <cellStyle name="Comma 9 3 10" xfId="9510" xr:uid="{E7E81DE3-7484-41E0-8FA9-F356A46CD991}"/>
    <cellStyle name="Comma 9 3 10 2" xfId="19890" xr:uid="{ABE7FEB3-D309-49D2-9D77-CEDDF86F8FC8}"/>
    <cellStyle name="Comma 9 3 11" xfId="24495" xr:uid="{D4380A83-A032-4878-B2BD-F5EDC2355B6A}"/>
    <cellStyle name="Comma 9 3 12" xfId="12522" xr:uid="{1EC29B22-E11A-4F03-9D04-7890D63A35C8}"/>
    <cellStyle name="Comma 9 3 2" xfId="1830" xr:uid="{00000000-0005-0000-0000-00002A030000}"/>
    <cellStyle name="Comma 9 3 2 2" xfId="3081" xr:uid="{00000000-0005-0000-0000-000065020000}"/>
    <cellStyle name="Comma 9 3 2 2 2" xfId="6170" xr:uid="{5D3F1E2F-6C13-4865-A186-7E6BC20EDFBA}"/>
    <cellStyle name="Comma 9 3 2 2 2 2" xfId="24147" xr:uid="{7FAC486F-3150-4423-B79F-82D92D5D4315}"/>
    <cellStyle name="Comma 9 3 2 2 2 2 2" xfId="28013" xr:uid="{6EDB3307-FB2D-428A-B7BB-51FD25238CFA}"/>
    <cellStyle name="Comma 9 3 2 2 2 2 3" xfId="31150" xr:uid="{5B67C8A6-D0F9-4F81-B1C0-F30C304F8C08}"/>
    <cellStyle name="Comma 9 3 2 2 2 3" xfId="26869" xr:uid="{652D5C03-1AD5-43F2-95C2-87421CEC1E98}"/>
    <cellStyle name="Comma 9 3 2 2 2 4" xfId="15708" xr:uid="{4A7AF802-84FA-4651-8493-69DBEFBEF268}"/>
    <cellStyle name="Comma 9 3 2 2 3" xfId="8161" xr:uid="{41C885F3-2F9F-457C-9A41-B93334694117}"/>
    <cellStyle name="Comma 9 3 2 2 3 2" xfId="18541" xr:uid="{52F9EBF8-6C8D-4A10-9E5C-BDDF8CD76353}"/>
    <cellStyle name="Comma 9 3 2 2 4" xfId="10994" xr:uid="{6690BEA3-7986-4505-B2F3-1A50EFC06E03}"/>
    <cellStyle name="Comma 9 3 2 2 4 2" xfId="21374" xr:uid="{16FA8055-7EF8-4083-8B83-CB2D93CE4C92}"/>
    <cellStyle name="Comma 9 3 2 2 5" xfId="24468" xr:uid="{C74E39ED-E802-4F6C-B356-E5113AB4E949}"/>
    <cellStyle name="Comma 9 3 2 2 5 2" xfId="30075" xr:uid="{8548742A-9BBA-4637-B5B9-9DA740E4A09B}"/>
    <cellStyle name="Comma 9 3 2 2 6" xfId="27865" xr:uid="{1092D0DD-8FB3-44DD-86EE-6FC6DA4E3B78}"/>
    <cellStyle name="Comma 9 3 2 2 7" xfId="13594" xr:uid="{20D41558-9592-4905-9B8D-FAFB5DB1DBDE}"/>
    <cellStyle name="Comma 9 3 2 3" xfId="2688" xr:uid="{00000000-0005-0000-0000-000064020000}"/>
    <cellStyle name="Comma 9 3 2 3 2" xfId="7812" xr:uid="{45825168-987C-424D-9B12-52F792D7F9B4}"/>
    <cellStyle name="Comma 9 3 2 3 2 2" xfId="28522" xr:uid="{E0FBFBB5-EC4B-4CDC-A0B7-7F4A0932546C}"/>
    <cellStyle name="Comma 9 3 2 3 2 3" xfId="28378" xr:uid="{B1C725C8-4663-4026-A58A-6EC98692EB7D}"/>
    <cellStyle name="Comma 9 3 2 3 2 4" xfId="18192" xr:uid="{CF70C67C-65D6-4BF2-9FF7-5986B90AEE6F}"/>
    <cellStyle name="Comma 9 3 2 3 3" xfId="10645" xr:uid="{51C13CA6-B671-4F5D-917F-E88F4B3AEAF6}"/>
    <cellStyle name="Comma 9 3 2 3 3 2" xfId="21025" xr:uid="{4A99DD87-1800-46CD-ADE8-C5F3EF349A55}"/>
    <cellStyle name="Comma 9 3 2 3 4" xfId="22681" xr:uid="{3EB0B22D-8F5E-48CF-B5FA-63B60A9EE603}"/>
    <cellStyle name="Comma 9 3 2 3 5" xfId="15359" xr:uid="{F541BCBC-753B-4B7B-AEF7-D891549388FA}"/>
    <cellStyle name="Comma 9 3 2 4" xfId="3695" xr:uid="{00000000-0005-0000-0000-00002A030000}"/>
    <cellStyle name="Comma 9 3 2 4 2" xfId="26650" xr:uid="{5A147B94-5AF9-4CDC-8BC6-C737EBE8A913}"/>
    <cellStyle name="Comma 9 3 2 4 3" xfId="26683" xr:uid="{FB1D1AC5-9D11-429C-BF39-EEAC07E5768E}"/>
    <cellStyle name="Comma 9 3 2 5" xfId="4270" xr:uid="{F1DB953E-CDE1-43E8-9BEA-964C5E5A9856}"/>
    <cellStyle name="Comma 9 3 2 5 2" xfId="9042" xr:uid="{F26FC550-BC30-48DE-A2FC-AF981BC732EC}"/>
    <cellStyle name="Comma 9 3 2 5 2 2" xfId="19422" xr:uid="{6FDAA852-56CA-4BF6-BB17-4AA7D4E56C64}"/>
    <cellStyle name="Comma 9 3 2 5 2 3" xfId="31046" xr:uid="{A3B5197F-9B5D-4143-A697-326D2D0AB011}"/>
    <cellStyle name="Comma 9 3 2 5 2 4" xfId="30812" xr:uid="{C5508924-C6EA-4A67-BDDF-7E50FD3BE005}"/>
    <cellStyle name="Comma 9 3 2 5 3" xfId="11875" xr:uid="{A33959D1-ED4C-4C55-92A7-CC84556D1C9C}"/>
    <cellStyle name="Comma 9 3 2 5 3 2" xfId="22255" xr:uid="{D062A147-5A9C-4F48-A79B-58F7E85DB901}"/>
    <cellStyle name="Comma 9 3 2 5 4" xfId="27367" xr:uid="{FD0C7BF0-A587-4637-98FE-1287570FBD22}"/>
    <cellStyle name="Comma 9 3 2 5 5" xfId="28426" xr:uid="{A03FA1EB-B70A-4B0D-B080-7587374271FE}"/>
    <cellStyle name="Comma 9 3 2 5 6" xfId="16589" xr:uid="{9A425600-8E7C-4649-8D14-D414987A8C3D}"/>
    <cellStyle name="Comma 9 3 2 6" xfId="5654" xr:uid="{77D156F7-476C-46F2-93AE-31A8AC882BEE}"/>
    <cellStyle name="Comma 9 3 2 6 2" xfId="29726" xr:uid="{553F6754-B523-42B0-B4FE-4907B6316108}"/>
    <cellStyle name="Comma 9 3 2 6 2 2" xfId="30982" xr:uid="{699CA55B-0135-496F-BFC8-968E66D2718F}"/>
    <cellStyle name="Comma 9 3 2 7" xfId="25227" xr:uid="{32CD50D2-C9AE-4571-939C-C8C54DC3B34F}"/>
    <cellStyle name="Comma 9 3 2 8" xfId="13101" xr:uid="{B68D3080-BA5F-48EA-9188-311DC047BBAB}"/>
    <cellStyle name="Comma 9 3 2 9" xfId="29993" xr:uid="{9DCA55B1-63A8-4DF5-A458-C59A6106A22A}"/>
    <cellStyle name="Comma 9 3 3" xfId="1831" xr:uid="{00000000-0005-0000-0000-00002B030000}"/>
    <cellStyle name="Comma 9 3 3 2" xfId="3082" xr:uid="{00000000-0005-0000-0000-000066020000}"/>
    <cellStyle name="Comma 9 3 3 2 2" xfId="8162" xr:uid="{30BFB4DD-F5E5-4102-846B-4027E615BCE0}"/>
    <cellStyle name="Comma 9 3 3 2 2 2" xfId="28834" xr:uid="{1D3DCD9E-22E3-4A2B-BFEA-68D716F7632B}"/>
    <cellStyle name="Comma 9 3 3 2 2 2 2" xfId="31231" xr:uid="{122F2141-B372-4667-A3EB-B92731022D63}"/>
    <cellStyle name="Comma 9 3 3 2 2 2 3" xfId="30814" xr:uid="{B37193DA-685B-4302-9C78-E276FA29B8E2}"/>
    <cellStyle name="Comma 9 3 3 2 2 3" xfId="27469" xr:uid="{761CFDA3-BD8E-439D-AE3A-6616D3D38BC8}"/>
    <cellStyle name="Comma 9 3 3 2 2 4" xfId="18542" xr:uid="{6FF6D2FD-49D1-478F-8C56-148E459735BA}"/>
    <cellStyle name="Comma 9 3 3 2 3" xfId="10995" xr:uid="{8A4A876A-3AFA-455C-9C42-6A97F80DED57}"/>
    <cellStyle name="Comma 9 3 3 2 3 2" xfId="21375" xr:uid="{9FE326AD-216F-4337-A89B-6ED14C842C11}"/>
    <cellStyle name="Comma 9 3 3 2 4" xfId="24095" xr:uid="{4A6A6AAB-A78E-43A5-A912-AA5037B542FD}"/>
    <cellStyle name="Comma 9 3 3 2 5" xfId="15709" xr:uid="{4224EED2-F5B5-4C80-A76D-50B890931CA9}"/>
    <cellStyle name="Comma 9 3 3 3" xfId="3705" xr:uid="{00000000-0005-0000-0000-00002B030000}"/>
    <cellStyle name="Comma 9 3 3 4" xfId="4421" xr:uid="{18170F86-C2D3-41E7-9BBC-5C6417543022}"/>
    <cellStyle name="Comma 9 3 3 4 2" xfId="9193" xr:uid="{26B92FD6-E0D8-470C-9556-778A5F8FEAFF}"/>
    <cellStyle name="Comma 9 3 3 4 2 2" xfId="19573" xr:uid="{F377DAD8-5711-4268-8A8B-9A61CD9EDB6C}"/>
    <cellStyle name="Comma 9 3 3 4 2 3" xfId="31087" xr:uid="{057F8738-14E9-452A-B2A1-4B72350EA751}"/>
    <cellStyle name="Comma 9 3 3 4 2 4" xfId="30813" xr:uid="{BE881679-89E9-4CF6-A166-B978E2ED3F85}"/>
    <cellStyle name="Comma 9 3 3 4 3" xfId="12026" xr:uid="{84CDBBE9-88B1-45BB-84B9-365383A18EEB}"/>
    <cellStyle name="Comma 9 3 3 4 3 2" xfId="22406" xr:uid="{11C3063F-87D1-4D1E-B343-A620DEF1A22B}"/>
    <cellStyle name="Comma 9 3 3 4 4" xfId="16740" xr:uid="{A83B7572-DEFE-4674-B9BC-F693F0EB8DA2}"/>
    <cellStyle name="Comma 9 3 3 5" xfId="5655" xr:uid="{B525BE71-296E-4A8D-A239-535718B25E1D}"/>
    <cellStyle name="Comma 9 3 3 5 2" xfId="29697" xr:uid="{25FDA149-4835-475C-A7F8-D677AAAFBB08}"/>
    <cellStyle name="Comma 9 3 3 5 2 2" xfId="30983" xr:uid="{8A31E08D-F38C-4717-AA35-0B286BA438E3}"/>
    <cellStyle name="Comma 9 3 3 6" xfId="24665" xr:uid="{3D67FC07-C30E-4BB2-B210-DB9C3EA33BDF}"/>
    <cellStyle name="Comma 9 3 3 7" xfId="13595" xr:uid="{5FA0F202-D403-4101-916A-106D8E59EF14}"/>
    <cellStyle name="Comma 9 3 4" xfId="1829" xr:uid="{00000000-0005-0000-0000-00002C030000}"/>
    <cellStyle name="Comma 9 3 4 2" xfId="3080" xr:uid="{00000000-0005-0000-0000-000067020000}"/>
    <cellStyle name="Comma 9 3 4 2 2" xfId="8160" xr:uid="{A44917E5-A260-4E57-A00D-74E81142C856}"/>
    <cellStyle name="Comma 9 3 4 2 2 2" xfId="28833" xr:uid="{E1D0D1D7-BCBC-4025-A9A4-65F4CA9D0DA2}"/>
    <cellStyle name="Comma 9 3 4 2 2 3" xfId="26695" xr:uid="{6EFBF9CB-8F8C-49E7-9369-5F3AF238C536}"/>
    <cellStyle name="Comma 9 3 4 2 2 4" xfId="18540" xr:uid="{411A0BFC-0770-4A0F-9BFF-5513F5ADE6E2}"/>
    <cellStyle name="Comma 9 3 4 2 3" xfId="10993" xr:uid="{379F143A-75EE-4D4F-83EE-FE40F42B0461}"/>
    <cellStyle name="Comma 9 3 4 2 3 2" xfId="21373" xr:uid="{0A5CACF6-8CDA-4E18-9620-A72C6691C0CE}"/>
    <cellStyle name="Comma 9 3 4 2 4" xfId="25175" xr:uid="{96CFF20C-9ADF-43F2-ABAD-249183DF8F3F}"/>
    <cellStyle name="Comma 9 3 4 2 5" xfId="15707" xr:uid="{12C4A8BE-B9AB-4776-A2A2-D7A439B32A7B}"/>
    <cellStyle name="Comma 9 3 4 3" xfId="3670" xr:uid="{00000000-0005-0000-0000-00002C030000}"/>
    <cellStyle name="Comma 9 3 4 4" xfId="5653" xr:uid="{2992C92C-8EDE-4819-B747-CFD197F07934}"/>
    <cellStyle name="Comma 9 3 4 4 2" xfId="29964" xr:uid="{BB309544-82A9-4F34-A3A4-5C8ABA70C651}"/>
    <cellStyle name="Comma 9 3 4 5" xfId="22864" xr:uid="{7A0D85F2-7603-4244-8EA4-BCE31E460284}"/>
    <cellStyle name="Comma 9 3 4 6" xfId="13593" xr:uid="{E59C85B5-D30B-41E2-8D24-850FCB8A133A}"/>
    <cellStyle name="Comma 9 3 5" xfId="2583" xr:uid="{00000000-0005-0000-0000-000068020000}"/>
    <cellStyle name="Comma 9 3 5 2" xfId="5848" xr:uid="{9AFCFEEE-2505-4F6D-A481-F03D7C6B099D}"/>
    <cellStyle name="Comma 9 3 5 2 2" xfId="27706" xr:uid="{71638D3E-073B-465B-8079-C421AEEF8FCF}"/>
    <cellStyle name="Comma 9 3 5 2 2 2" xfId="31196" xr:uid="{A200391D-8B39-419F-859D-3D90BFEFCC8C}"/>
    <cellStyle name="Comma 9 3 5 2 2 3" xfId="30815" xr:uid="{66DD9239-68FF-45F3-AF1C-1AA6F4162EB8}"/>
    <cellStyle name="Comma 9 3 5 2 3" xfId="28111" xr:uid="{88E78A97-D798-40B1-B121-601BFA26463A}"/>
    <cellStyle name="Comma 9 3 5 2 4" xfId="15255" xr:uid="{876EBB0C-63E8-4A7B-9EDA-9C1C3871BA2F}"/>
    <cellStyle name="Comma 9 3 5 3" xfId="7708" xr:uid="{BEA5950F-02E1-43FC-B1F1-A36C58FBB631}"/>
    <cellStyle name="Comma 9 3 5 3 2" xfId="18088" xr:uid="{FF85433C-FEC8-47E7-B6A5-8EEC6298B380}"/>
    <cellStyle name="Comma 9 3 5 4" xfId="10541" xr:uid="{65183B43-D80D-49BA-BEF9-F6E503BD1F06}"/>
    <cellStyle name="Comma 9 3 5 4 2" xfId="20921" xr:uid="{21238C72-15FC-4007-A9F9-B93D39F31BED}"/>
    <cellStyle name="Comma 9 3 5 5" xfId="23343" xr:uid="{E1FCD651-C478-44B8-92D8-7921DAE26410}"/>
    <cellStyle name="Comma 9 3 5 6" xfId="12971" xr:uid="{D658D3A0-00E0-4869-960E-19BC6F8649B5}"/>
    <cellStyle name="Comma 9 3 6" xfId="2290" xr:uid="{00000000-0005-0000-0000-000063020000}"/>
    <cellStyle name="Comma 9 3 6 2" xfId="7417" xr:uid="{025F373A-BE43-4E48-85A7-5A7239E2FC8F}"/>
    <cellStyle name="Comma 9 3 6 2 2" xfId="17797" xr:uid="{A00288B0-3EAD-4837-B259-F6C4CCB3457F}"/>
    <cellStyle name="Comma 9 3 6 3" xfId="10250" xr:uid="{CA02812C-EBA4-4234-A901-7D6F1FC3AB91}"/>
    <cellStyle name="Comma 9 3 6 3 2" xfId="20630" xr:uid="{8FCD722B-FB2D-486A-89B1-ACD6791E1381}"/>
    <cellStyle name="Comma 9 3 6 4" xfId="25403" xr:uid="{7C46B817-38A3-42C6-882C-98B3949A937A}"/>
    <cellStyle name="Comma 9 3 6 5" xfId="27260" xr:uid="{93B1D2DF-2A26-4BF0-ACE2-6FB4605820E9}"/>
    <cellStyle name="Comma 9 3 6 6" xfId="14964" xr:uid="{828B998B-8124-4DEA-903D-2B09FAA8B816}"/>
    <cellStyle name="Comma 9 3 7" xfId="3825" xr:uid="{9D146E72-9673-49A7-806E-FB272B5C17CE}"/>
    <cellStyle name="Comma 9 3 7 2" xfId="8658" xr:uid="{BC26A82D-0058-4EFB-8C47-948475657A86}"/>
    <cellStyle name="Comma 9 3 7 2 2" xfId="19038" xr:uid="{55C8ACED-B877-4D7A-A9B1-AC60BCE92CAA}"/>
    <cellStyle name="Comma 9 3 7 3" xfId="11491" xr:uid="{FDD557D6-8B8B-4718-92FD-32760A075EE3}"/>
    <cellStyle name="Comma 9 3 7 3 2" xfId="21871" xr:uid="{0FD211B6-4E5B-487B-87A0-EE2F7A318503}"/>
    <cellStyle name="Comma 9 3 7 4" xfId="26117" xr:uid="{0E9C60C0-50AC-45C5-A9CD-C7BE1E7C0246}"/>
    <cellStyle name="Comma 9 3 7 5" xfId="28094" xr:uid="{1633684F-EEAE-4F4D-8516-7185672DF3DD}"/>
    <cellStyle name="Comma 9 3 7 6" xfId="16205" xr:uid="{301EE679-6692-44AB-93B8-513D570952F7}"/>
    <cellStyle name="Comma 9 3 8" xfId="4932" xr:uid="{77B32B7E-E9F2-43A7-9503-9206BCE0429D}"/>
    <cellStyle name="Comma 9 3 8 2" xfId="14224" xr:uid="{84EDABC1-9EAF-47EA-9F3B-282B5B0532D7}"/>
    <cellStyle name="Comma 9 3 9" xfId="6677" xr:uid="{E1EE7C5D-FE69-4EF7-AC70-A5F4889A2F0D}"/>
    <cellStyle name="Comma 9 3 9 2" xfId="17057" xr:uid="{742713B6-8D96-48AF-8C04-8C2D9EA52616}"/>
    <cellStyle name="Comma 9 4" xfId="543" xr:uid="{00000000-0005-0000-0000-00002D030000}"/>
    <cellStyle name="Comma 9 4 10" xfId="12680" xr:uid="{3C78FD5E-2306-4C10-B6FB-57929E2C1CCB}"/>
    <cellStyle name="Comma 9 4 2" xfId="1833" xr:uid="{00000000-0005-0000-0000-00002E030000}"/>
    <cellStyle name="Comma 9 4 2 2" xfId="3083" xr:uid="{00000000-0005-0000-0000-00006A020000}"/>
    <cellStyle name="Comma 9 4 2 2 2" xfId="8163" xr:uid="{D45C281E-EDA4-4C74-897C-FA30A35FA9EC}"/>
    <cellStyle name="Comma 9 4 2 2 2 2" xfId="28835" xr:uid="{5EAC4C5F-3550-465C-8620-97567FEA2F7B}"/>
    <cellStyle name="Comma 9 4 2 2 2 3" xfId="28400" xr:uid="{D04C0551-F87A-4571-AF8D-4BD6E13F12A9}"/>
    <cellStyle name="Comma 9 4 2 2 2 4" xfId="18543" xr:uid="{0B0475C1-0F95-4754-8A42-092F6CFCE269}"/>
    <cellStyle name="Comma 9 4 2 2 3" xfId="10996" xr:uid="{505883EF-447C-4761-BB1F-648E3A0C6355}"/>
    <cellStyle name="Comma 9 4 2 2 3 2" xfId="21376" xr:uid="{3D737D26-8D47-42D5-BB22-1E4818534386}"/>
    <cellStyle name="Comma 9 4 2 2 4" xfId="24005" xr:uid="{96A29539-771F-4E38-884F-6CC3BCAFD248}"/>
    <cellStyle name="Comma 9 4 2 2 5" xfId="15710" xr:uid="{412DA1D9-9811-42B5-8081-0F6DE9609973}"/>
    <cellStyle name="Comma 9 4 2 3" xfId="2863" xr:uid="{00000000-0005-0000-0000-00002E030000}"/>
    <cellStyle name="Comma 9 4 2 4" xfId="5656" xr:uid="{FACDA99C-DDD8-460F-90C1-E63427823092}"/>
    <cellStyle name="Comma 9 4 2 4 2" xfId="29780" xr:uid="{E30DC661-0A7D-4302-84B9-97F8610FC21A}"/>
    <cellStyle name="Comma 9 4 2 5" xfId="24264" xr:uid="{3265BF72-9522-42AA-B61C-3BDC8B8C2FEA}"/>
    <cellStyle name="Comma 9 4 2 6" xfId="13596" xr:uid="{777200A9-6584-4AD9-8F33-936578F81C45}"/>
    <cellStyle name="Comma 9 4 3" xfId="1834" xr:uid="{00000000-0005-0000-0000-00002F030000}"/>
    <cellStyle name="Comma 9 4 3 2" xfId="2685" xr:uid="{00000000-0005-0000-0000-00006B020000}"/>
    <cellStyle name="Comma 9 4 3 2 2" xfId="7809" xr:uid="{E331375F-8633-44FE-825C-9D28423035A0}"/>
    <cellStyle name="Comma 9 4 3 2 2 2" xfId="18189" xr:uid="{1DAC768A-1B7D-40B1-827C-C4417E242BA6}"/>
    <cellStyle name="Comma 9 4 3 2 3" xfId="10642" xr:uid="{70FCB1B9-77A8-47C2-8CD6-DDBFED7DE979}"/>
    <cellStyle name="Comma 9 4 3 2 3 2" xfId="21022" xr:uid="{F4D14E92-635C-44F3-AF4A-2EE9D0000A5A}"/>
    <cellStyle name="Comma 9 4 3 2 4" xfId="15356" xr:uid="{A80AE682-E449-4C51-8007-0414D76349D1}"/>
    <cellStyle name="Comma 9 4 3 2 5" xfId="30445" xr:uid="{B26AB995-9DA7-45C6-8F4A-F83B12EC79F3}"/>
    <cellStyle name="Comma 9 4 3 3" xfId="2865" xr:uid="{00000000-0005-0000-0000-00002F030000}"/>
    <cellStyle name="Comma 9 4 3 4" xfId="5657" xr:uid="{5A2DC35C-DA84-47EE-9C97-6ECF34E3F1B9}"/>
    <cellStyle name="Comma 9 4 3 4 2" xfId="29757" xr:uid="{3FF33E2E-17F3-4806-92DB-FC2FBAC24A0C}"/>
    <cellStyle name="Comma 9 4 3 5" xfId="23996" xr:uid="{5E6A089C-D917-41FC-BC1A-85B936181ADC}"/>
    <cellStyle name="Comma 9 4 3 6" xfId="13098" xr:uid="{CA7AFE53-3DF3-4060-99A5-F06C7E393E9D}"/>
    <cellStyle name="Comma 9 4 4" xfId="1832" xr:uid="{00000000-0005-0000-0000-000030030000}"/>
    <cellStyle name="Comma 9 4 4 2" xfId="4625" xr:uid="{FE65B954-A8A9-4EAA-8C9D-BB93F9307337}"/>
    <cellStyle name="Comma 9 4 4 2 2" xfId="9397" xr:uid="{CC2D082B-9568-4061-BFBC-7503E89197A5}"/>
    <cellStyle name="Comma 9 4 4 2 2 2" xfId="19777" xr:uid="{1081FF1A-E036-4CD8-8BA8-9FC86411E3A1}"/>
    <cellStyle name="Comma 9 4 4 2 3" xfId="12230" xr:uid="{857A7544-3BCE-4D2B-A6D8-4060EFC69FAD}"/>
    <cellStyle name="Comma 9 4 4 2 3 2" xfId="22610" xr:uid="{3C845386-DD0D-4613-A146-6785A04FC2CA}"/>
    <cellStyle name="Comma 9 4 4 2 4" xfId="28495" xr:uid="{A373CDC8-DBDB-4B19-BFB6-C534F20C37EB}"/>
    <cellStyle name="Comma 9 4 4 2 5" xfId="26181" xr:uid="{54DC8C73-61C9-4057-873E-9401108C2B6F}"/>
    <cellStyle name="Comma 9 4 4 2 6" xfId="16944" xr:uid="{52C391CC-B8A7-420E-80D5-E049C16AC34D}"/>
    <cellStyle name="Comma 9 4 4 3" xfId="25130" xr:uid="{2F96BC45-D1A8-477B-912B-54E4C4A93C35}"/>
    <cellStyle name="Comma 9 4 5" xfId="4134" xr:uid="{3A5B6A9D-E2F9-4176-8736-970E7F931A38}"/>
    <cellStyle name="Comma 9 4 5 2" xfId="8906" xr:uid="{231E58DE-E60E-4884-A444-43E1D087A008}"/>
    <cellStyle name="Comma 9 4 5 2 2" xfId="29011" xr:uid="{50BE6FA5-AEA9-4730-8B03-94597896F2AC}"/>
    <cellStyle name="Comma 9 4 5 2 3" xfId="27946" xr:uid="{FC375E88-CEB9-42BF-B05D-CC17C8C7FACB}"/>
    <cellStyle name="Comma 9 4 5 2 4" xfId="19286" xr:uid="{8C961C43-0FD4-4DE2-AF9A-F682BF2269EA}"/>
    <cellStyle name="Comma 9 4 5 2 5" xfId="31016" xr:uid="{C70E7451-E225-40B7-9553-75756977E965}"/>
    <cellStyle name="Comma 9 4 5 3" xfId="11739" xr:uid="{97DBAD62-6B6E-4B36-BEDA-3E9C71377653}"/>
    <cellStyle name="Comma 9 4 5 3 2" xfId="22119" xr:uid="{5B2E8434-CDB6-4456-9914-5C1A52D21BA2}"/>
    <cellStyle name="Comma 9 4 5 4" xfId="23808" xr:uid="{43B1E241-E8F2-4E70-A670-726EB7856799}"/>
    <cellStyle name="Comma 9 4 5 5" xfId="16453" xr:uid="{1D690D66-5B99-40BC-A859-3606B2565E5A}"/>
    <cellStyle name="Comma 9 4 6" xfId="4933" xr:uid="{0091691E-B76B-4D47-B30A-70E1F774625F}"/>
    <cellStyle name="Comma 9 4 6 2" xfId="27140" xr:uid="{03F91043-8AF1-4A18-845A-F17760B2E279}"/>
    <cellStyle name="Comma 9 4 6 3" xfId="26024" xr:uid="{60957D1F-98E5-47F2-8A98-70467DECF462}"/>
    <cellStyle name="Comma 9 4 6 4" xfId="14225" xr:uid="{5C397A5E-5721-42D2-9020-F116BDBE3D50}"/>
    <cellStyle name="Comma 9 4 7" xfId="6678" xr:uid="{BF37F11C-F416-4874-9EC2-E625A9DD0D55}"/>
    <cellStyle name="Comma 9 4 7 2" xfId="25856" xr:uid="{6DBE41EF-36D8-4C35-8416-709ECA033017}"/>
    <cellStyle name="Comma 9 4 7 3" xfId="27649" xr:uid="{12019546-0995-48DF-B220-09A66AC498C8}"/>
    <cellStyle name="Comma 9 4 7 4" xfId="17058" xr:uid="{32AF84CE-B18D-464C-A70E-6DE5EC154F9A}"/>
    <cellStyle name="Comma 9 4 8" xfId="9511" xr:uid="{9CB2F9B3-66D1-40D1-952E-C5E337CE3155}"/>
    <cellStyle name="Comma 9 4 8 2" xfId="19891" xr:uid="{EACFA2CD-C989-4EFF-B1E9-0B93E72AA165}"/>
    <cellStyle name="Comma 9 4 9" xfId="23380" xr:uid="{DC4BC53C-6F1B-438D-AE51-C463E2080EF4}"/>
    <cellStyle name="Comma 9 5" xfId="544" xr:uid="{00000000-0005-0000-0000-000031030000}"/>
    <cellStyle name="Comma 9 5 10" xfId="13597" xr:uid="{83B15E35-6B93-4D49-AEF8-1630BB09035E}"/>
    <cellStyle name="Comma 9 5 2" xfId="1836" xr:uid="{00000000-0005-0000-0000-000032030000}"/>
    <cellStyle name="Comma 9 5 2 2" xfId="23872" xr:uid="{DCC8170A-53AF-458D-A295-81F5DBDF94FB}"/>
    <cellStyle name="Comma 9 5 2 2 2" xfId="29734" xr:uid="{4EE9F0A9-B64B-4BBC-877F-5C2DC9EA782C}"/>
    <cellStyle name="Comma 9 5 2 2 2 2" xfId="30817" xr:uid="{7DDDB3C0-0AA8-429A-9485-C1BA4A808B64}"/>
    <cellStyle name="Comma 9 5 2 3" xfId="25740" xr:uid="{BD4F76CC-DB4F-408A-9F04-DD94FC6E59F4}"/>
    <cellStyle name="Comma 9 5 2 4" xfId="30062" xr:uid="{2C5886AA-A058-4749-A25F-7DF620D43BC6}"/>
    <cellStyle name="Comma 9 5 3" xfId="1837" xr:uid="{00000000-0005-0000-0000-000033030000}"/>
    <cellStyle name="Comma 9 5 4" xfId="1835" xr:uid="{00000000-0005-0000-0000-000034030000}"/>
    <cellStyle name="Comma 9 5 5" xfId="4422" xr:uid="{8EC6386D-C2C1-405F-852E-EAC3F4EC2A41}"/>
    <cellStyle name="Comma 9 5 5 2" xfId="9194" xr:uid="{8A7F21B0-5A5D-4C74-B81C-486ACD5191D6}"/>
    <cellStyle name="Comma 9 5 5 2 2" xfId="19574" xr:uid="{E6AFE00C-408F-49CE-97BB-B98173877846}"/>
    <cellStyle name="Comma 9 5 5 2 3" xfId="31088" xr:uid="{2CDF2188-A78B-4855-8CE4-F384313AF8EE}"/>
    <cellStyle name="Comma 9 5 5 2 4" xfId="30816" xr:uid="{A68B76D1-A43A-4AAC-9BB7-E9A4D4A197E0}"/>
    <cellStyle name="Comma 9 5 5 3" xfId="12027" xr:uid="{5D6BBF46-0E92-42E9-8FE6-45DB54368DB5}"/>
    <cellStyle name="Comma 9 5 5 3 2" xfId="22407" xr:uid="{BDC8279A-D582-4486-AC4B-D513E2A5B65C}"/>
    <cellStyle name="Comma 9 5 5 4" xfId="16741" xr:uid="{537E17A7-7BE3-4DD4-B5E0-334C97CB41B1}"/>
    <cellStyle name="Comma 9 5 6" xfId="4934" xr:uid="{3BEECAB2-096E-478B-8733-052CC5DA46D1}"/>
    <cellStyle name="Comma 9 5 6 2" xfId="14226" xr:uid="{132FD597-578A-4B73-932F-F8193B464CB5}"/>
    <cellStyle name="Comma 9 5 7" xfId="6679" xr:uid="{C13BDEBE-EC6F-4B5B-B3FF-187FD5333AD1}"/>
    <cellStyle name="Comma 9 5 7 2" xfId="17059" xr:uid="{640FFE14-AE5F-4D33-94EA-47F986E50348}"/>
    <cellStyle name="Comma 9 5 8" xfId="9512" xr:uid="{A92927A1-ABCD-49F8-9AAF-A2700459F7EF}"/>
    <cellStyle name="Comma 9 5 8 2" xfId="19892" xr:uid="{6FC0863A-4F9B-40B6-857E-4D242A7598FA}"/>
    <cellStyle name="Comma 9 5 9" xfId="25537" xr:uid="{D2C37B91-35F4-4516-8914-A4B4F52CA9F9}"/>
    <cellStyle name="Comma 9 6" xfId="1838" xr:uid="{00000000-0005-0000-0000-000035030000}"/>
    <cellStyle name="Comma 9 6 2" xfId="2880" xr:uid="{00000000-0005-0000-0000-00006D020000}"/>
    <cellStyle name="Comma 9 6 2 2" xfId="7997" xr:uid="{F8DF9D05-4BF2-44A5-8B37-515E769FFBD5}"/>
    <cellStyle name="Comma 9 6 2 2 2" xfId="28512" xr:uid="{72FA9D96-51E4-4F4A-978B-4A85F827A191}"/>
    <cellStyle name="Comma 9 6 2 2 2 2" xfId="31207" xr:uid="{AC86CCF5-87B5-486C-A95D-B373481C3E5D}"/>
    <cellStyle name="Comma 9 6 2 2 2 3" xfId="30818" xr:uid="{A3D88B5A-1B43-49B3-A188-71217E96AF43}"/>
    <cellStyle name="Comma 9 6 2 2 3" xfId="28128" xr:uid="{13D8EEBD-E61C-47F1-8E6D-4914C778CF50}"/>
    <cellStyle name="Comma 9 6 2 2 4" xfId="18377" xr:uid="{2FBE579A-0724-40CE-A96C-AE6C5A8A6738}"/>
    <cellStyle name="Comma 9 6 2 3" xfId="10830" xr:uid="{117361D7-DE3B-48DA-A416-490B2DBE8F56}"/>
    <cellStyle name="Comma 9 6 2 3 2" xfId="21210" xr:uid="{4B1EFDCC-AF3A-4AA3-A4B3-4EA13FEE091E}"/>
    <cellStyle name="Comma 9 6 2 4" xfId="23707" xr:uid="{52309564-43A7-44AD-ACC3-88FC48623B4F}"/>
    <cellStyle name="Comma 9 6 2 5" xfId="15544" xr:uid="{A5167BCE-42C2-4F06-B756-5F61D70AB861}"/>
    <cellStyle name="Comma 9 6 3" xfId="3701" xr:uid="{00000000-0005-0000-0000-000035030000}"/>
    <cellStyle name="Comma 9 6 4" xfId="5658" xr:uid="{F0889DBC-5892-417F-8EE7-FA192F9E9925}"/>
    <cellStyle name="Comma 9 6 4 2" xfId="29768" xr:uid="{B3881E7F-EA6D-4505-A0C2-F6197E7FCB7D}"/>
    <cellStyle name="Comma 9 6 5" xfId="24583" xr:uid="{56AB86CB-57DE-41F5-A230-5CEEE65EC711}"/>
    <cellStyle name="Comma 9 6 6" xfId="13378" xr:uid="{9075C2A9-E0C7-42DA-8F05-B5C16EE5D13C}"/>
    <cellStyle name="Comma 9 7" xfId="1839" xr:uid="{00000000-0005-0000-0000-000036030000}"/>
    <cellStyle name="Comma 9 7 2" xfId="2480" xr:uid="{00000000-0005-0000-0000-00006E020000}"/>
    <cellStyle name="Comma 9 7 2 2" xfId="7605" xr:uid="{D5B135C5-3CB5-4DF1-B349-0B52A0BC6519}"/>
    <cellStyle name="Comma 9 7 2 2 2" xfId="17985" xr:uid="{839A207B-8E9A-435A-B9A2-4DB69BB8C548}"/>
    <cellStyle name="Comma 9 7 2 3" xfId="10438" xr:uid="{7A2A9931-09CA-4C00-8628-5260613B428F}"/>
    <cellStyle name="Comma 9 7 2 3 2" xfId="20818" xr:uid="{BB635F78-7B5F-469E-A4E1-A95E414DCC15}"/>
    <cellStyle name="Comma 9 7 2 4" xfId="27708" xr:uid="{E697571F-732E-4AA2-8232-8ADA520FD7E3}"/>
    <cellStyle name="Comma 9 7 2 5" xfId="27043" xr:uid="{2C8384A5-EDEB-4BC1-BCE6-5F8E40BA29C5}"/>
    <cellStyle name="Comma 9 7 2 6" xfId="15152" xr:uid="{5BA22906-1C66-4AAA-9480-D2A998B67ED2}"/>
    <cellStyle name="Comma 9 7 3" xfId="3659" xr:uid="{00000000-0005-0000-0000-000036030000}"/>
    <cellStyle name="Comma 9 7 4" xfId="5659" xr:uid="{30261AFC-BC09-4145-A1C1-20C674F34240}"/>
    <cellStyle name="Comma 9 7 4 2" xfId="29866" xr:uid="{F821CFCD-FFB9-4C80-B833-DA30AE5E5A8C}"/>
    <cellStyle name="Comma 9 7 5" xfId="24924" xr:uid="{29E6EB39-4CF9-46EE-BB9A-ACC34553CA10}"/>
    <cellStyle name="Comma 9 7 6" xfId="12868" xr:uid="{B716D2F0-27D6-45B7-9D21-02D2AFFE409C}"/>
    <cellStyle name="Comma 9 8" xfId="1819" xr:uid="{00000000-0005-0000-0000-000037030000}"/>
    <cellStyle name="Comma 9 8 2" xfId="2174" xr:uid="{00000000-0005-0000-0000-000055020000}"/>
    <cellStyle name="Comma 9 8 2 2" xfId="7301" xr:uid="{0681815D-DA0A-44AC-B63D-096C72FAF05F}"/>
    <cellStyle name="Comma 9 8 2 2 2" xfId="17681" xr:uid="{4E66BBA4-5680-4D52-8C98-7FD554A826E1}"/>
    <cellStyle name="Comma 9 8 2 3" xfId="10134" xr:uid="{8A8E8938-B03B-4A5B-B9C5-378A6A3693A6}"/>
    <cellStyle name="Comma 9 8 2 3 2" xfId="20514" xr:uid="{50971F9A-6718-488A-A0F2-E7DA43E14EA9}"/>
    <cellStyle name="Comma 9 8 2 4" xfId="27925" xr:uid="{0F5FA70B-01F5-4593-A104-BDD6E3273FAB}"/>
    <cellStyle name="Comma 9 8 2 5" xfId="25964" xr:uid="{B66DC2D6-5D54-4F8E-82C0-EC4FEB159109}"/>
    <cellStyle name="Comma 9 8 2 6" xfId="14848" xr:uid="{80F29169-2463-4D00-9FF7-78830790E047}"/>
    <cellStyle name="Comma 9 8 3" xfId="3546" xr:uid="{00000000-0005-0000-0000-000037030000}"/>
    <cellStyle name="Comma 9 8 4" xfId="25254" xr:uid="{002E24B2-B2C8-44B9-8713-3DE11B6D9157}"/>
    <cellStyle name="Comma 9 9" xfId="3877" xr:uid="{843F6AD1-FCB4-445A-AA8D-FE1C9F50769F}"/>
    <cellStyle name="Comma 9 9 2" xfId="8709" xr:uid="{95A34064-24CD-4754-9807-8A57438B2F68}"/>
    <cellStyle name="Comma 9 9 2 2" xfId="19089" xr:uid="{7555BDD1-0452-4A18-A1C8-2D9D28563F51}"/>
    <cellStyle name="Comma 9 9 3" xfId="11542" xr:uid="{6B5AB9F2-6D06-45A2-91F3-BB97F134CEA2}"/>
    <cellStyle name="Comma 9 9 3 2" xfId="21922" xr:uid="{5C5B9B25-98D4-49A4-940B-809F1F4D44DD}"/>
    <cellStyle name="Comma 9 9 4" xfId="28054" xr:uid="{86BCF2E4-A5F7-4B4D-9E16-0B7509DA28D2}"/>
    <cellStyle name="Comma 9 9 5" xfId="28683" xr:uid="{7A68E2DD-3DD2-483A-8D01-3717E66A3056}"/>
    <cellStyle name="Comma 9 9 6" xfId="16256" xr:uid="{C6FC2547-1541-496E-83B5-C02EE9239EC9}"/>
    <cellStyle name="Currency" xfId="545" builtinId="4"/>
    <cellStyle name="Currency 10" xfId="9513" xr:uid="{E689EB5D-FEBE-4207-8328-F59950977F17}"/>
    <cellStyle name="Currency 10 2" xfId="19893" xr:uid="{2B6095D5-BCD8-4CCD-85E7-EE646FEB2A7C}"/>
    <cellStyle name="Currency 2" xfId="546" xr:uid="{00000000-0005-0000-0000-000039030000}"/>
    <cellStyle name="Currency 2 2" xfId="547" xr:uid="{00000000-0005-0000-0000-00003A030000}"/>
    <cellStyle name="Currency 2 2 2" xfId="1841" xr:uid="{00000000-0005-0000-0000-00003B030000}"/>
    <cellStyle name="Currency 2 2 2 2" xfId="25523" xr:uid="{F33B5A7B-A6F4-4F39-9943-AAAD1FE7791C}"/>
    <cellStyle name="Currency 2 2 2 2 2" xfId="29676" xr:uid="{8A10BD16-5AEB-494E-881F-7E0D230EA123}"/>
    <cellStyle name="Currency 2 2 2 3" xfId="25761" xr:uid="{8F717FAC-E6A7-4309-961E-F4148D0E234D}"/>
    <cellStyle name="Currency 2 2 3" xfId="1842" xr:uid="{00000000-0005-0000-0000-00003C030000}"/>
    <cellStyle name="Currency 2 2 3 2" xfId="31311" xr:uid="{7BFE6CF7-9CFB-4E56-9502-51B9DDDA54DC}"/>
    <cellStyle name="Currency 2 2 3 3" xfId="31262" xr:uid="{1228AB1E-3502-40BF-A461-A45B15291AD2}"/>
    <cellStyle name="Currency 2 2 4" xfId="1840" xr:uid="{00000000-0005-0000-0000-00003D030000}"/>
    <cellStyle name="Currency 2 2 5" xfId="30404" xr:uid="{6C56C78C-CF80-400B-8AD4-5EA478965CBC}"/>
    <cellStyle name="Currency 2 2 5 2" xfId="30446" xr:uid="{52EAF437-DE7B-45B5-A79E-F2F09DDEC780}"/>
    <cellStyle name="Currency 2 3" xfId="548" xr:uid="{00000000-0005-0000-0000-00003E030000}"/>
    <cellStyle name="Currency 2 4" xfId="549" xr:uid="{00000000-0005-0000-0000-00003F030000}"/>
    <cellStyle name="Currency 2 4 10" xfId="27032" xr:uid="{E2BB59DD-EAC6-4905-8F26-36D6C8445F5A}"/>
    <cellStyle name="Currency 2 4 11" xfId="14228" xr:uid="{EFB3DA06-E140-4491-AB6E-684BE1B48751}"/>
    <cellStyle name="Currency 2 4 2" xfId="550" xr:uid="{00000000-0005-0000-0000-000040030000}"/>
    <cellStyle name="Currency 2 4 2 2" xfId="1845" xr:uid="{00000000-0005-0000-0000-000041030000}"/>
    <cellStyle name="Currency 2 4 2 3" xfId="1846" xr:uid="{00000000-0005-0000-0000-000042030000}"/>
    <cellStyle name="Currency 2 4 2 4" xfId="1844" xr:uid="{00000000-0005-0000-0000-000043030000}"/>
    <cellStyle name="Currency 2 4 2 5" xfId="6682" xr:uid="{6B07941A-733F-4265-B589-986D489FB7FB}"/>
    <cellStyle name="Currency 2 4 2 5 2" xfId="17062" xr:uid="{A75C8787-838D-458D-9893-435FAFB16D29}"/>
    <cellStyle name="Currency 2 4 2 6" xfId="9515" xr:uid="{4A2CCE91-071D-4DFC-94AA-3F311A8B76DD}"/>
    <cellStyle name="Currency 2 4 2 6 2" xfId="19895" xr:uid="{F9F12B49-8742-44E9-86C5-23FD4B485300}"/>
    <cellStyle name="Currency 2 4 2 7" xfId="25185" xr:uid="{8C613C50-0C1C-451F-91C4-8486798283CE}"/>
    <cellStyle name="Currency 2 4 2 8" xfId="14229" xr:uid="{F0C44351-F905-47A4-AD58-729DEE0B4430}"/>
    <cellStyle name="Currency 2 4 3" xfId="1847" xr:uid="{00000000-0005-0000-0000-000044030000}"/>
    <cellStyle name="Currency 2 4 3 2" xfId="31312" xr:uid="{63EA3BD5-D743-4D3E-B117-DC4C143B3472}"/>
    <cellStyle name="Currency 2 4 3 3" xfId="31271" xr:uid="{143BD92B-F210-4D52-85D1-C1196C82AA7E}"/>
    <cellStyle name="Currency 2 4 4" xfId="1848" xr:uid="{00000000-0005-0000-0000-000045030000}"/>
    <cellStyle name="Currency 2 4 5" xfId="1843" xr:uid="{00000000-0005-0000-0000-000046030000}"/>
    <cellStyle name="Currency 2 4 6" xfId="6681" xr:uid="{8CFBB05E-FC06-4B48-9CB7-78AB3B06959E}"/>
    <cellStyle name="Currency 2 4 6 2" xfId="17061" xr:uid="{24208534-EA6E-486C-9511-89CD5A46A0BC}"/>
    <cellStyle name="Currency 2 4 6 3" xfId="29821" xr:uid="{7495F884-4559-4BB6-B6DD-02CAC4FD0E91}"/>
    <cellStyle name="Currency 2 4 7" xfId="9514" xr:uid="{E9C1AF90-268C-4F7A-A2C6-48777BDDBCCB}"/>
    <cellStyle name="Currency 2 4 7 2" xfId="19894" xr:uid="{58A25324-231A-479A-B501-749E4161E97F}"/>
    <cellStyle name="Currency 2 4 8" xfId="24633" xr:uid="{27BCA51D-A890-4632-B002-5D71C0530BA5}"/>
    <cellStyle name="Currency 2 4 9" xfId="22901" xr:uid="{F015D0BA-F72C-4632-855D-37F062B28834}"/>
    <cellStyle name="Currency 2 5" xfId="1849" xr:uid="{00000000-0005-0000-0000-000047030000}"/>
    <cellStyle name="Currency 2 5 2" xfId="31273" xr:uid="{C9960BEB-433F-4D8A-AB3D-38B8005C5B97}"/>
    <cellStyle name="Currency 2 5 3" xfId="31313" xr:uid="{17E81078-713B-441E-8C51-6F85DC0B3771}"/>
    <cellStyle name="Currency 2 5 4" xfId="31255" xr:uid="{71529EA7-54A6-4052-B414-B4F635F70A11}"/>
    <cellStyle name="Currency 2 6" xfId="30403" xr:uid="{BCAB48D8-82F5-4F43-A322-3E67DE7472E1}"/>
    <cellStyle name="Currency 2 6 2" xfId="31261" xr:uid="{E8739B1A-634F-45BD-BCE4-041B23EE0F95}"/>
    <cellStyle name="Currency 3" xfId="551" xr:uid="{00000000-0005-0000-0000-000048030000}"/>
    <cellStyle name="Currency 3 10" xfId="30620" xr:uid="{CC98C09A-FB90-4F09-8713-CE67BE1C4FA6}"/>
    <cellStyle name="Currency 3 11" xfId="30918" xr:uid="{AC79C766-96F4-4BB0-9D53-CAD075CD5FB9}"/>
    <cellStyle name="Currency 3 2" xfId="552" xr:uid="{00000000-0005-0000-0000-000049030000}"/>
    <cellStyle name="Currency 3 2 2" xfId="1851" xr:uid="{00000000-0005-0000-0000-00004A030000}"/>
    <cellStyle name="Currency 3 2 2 2" xfId="30604" xr:uid="{87CC1BB8-D490-4CBA-AE62-52158B1BF23D}"/>
    <cellStyle name="Currency 3 2 2 2 2" xfId="30820" xr:uid="{0C94806D-7676-421F-9E69-D685AFF23599}"/>
    <cellStyle name="Currency 3 2 2 3" xfId="30565" xr:uid="{1EE52B54-EC85-4641-BC5E-D5D513A14121}"/>
    <cellStyle name="Currency 3 2 2 4" xfId="30931" xr:uid="{9104C6C5-305B-4CE0-B9BE-66CC40287E6D}"/>
    <cellStyle name="Currency 3 2 3" xfId="1852" xr:uid="{00000000-0005-0000-0000-00004B030000}"/>
    <cellStyle name="Currency 3 2 3 2" xfId="30615" xr:uid="{2D020D6F-B1E2-42BA-9525-8CD612C11686}"/>
    <cellStyle name="Currency 3 2 3 2 2" xfId="30821" xr:uid="{793F920B-E972-4134-AAFB-C8B0826B0E0C}"/>
    <cellStyle name="Currency 3 2 3 3" xfId="30576" xr:uid="{B4E6E47A-8B2C-4E61-BB8D-30D9C4F7C82A}"/>
    <cellStyle name="Currency 3 2 3 4" xfId="30942" xr:uid="{F852420D-7AB5-4DD1-92DF-D97324C12DE3}"/>
    <cellStyle name="Currency 3 2 4" xfId="1850" xr:uid="{00000000-0005-0000-0000-00004C030000}"/>
    <cellStyle name="Currency 3 2 4 2" xfId="30557" xr:uid="{143D821B-A1E5-45AA-8D28-FA09A9A6E54E}"/>
    <cellStyle name="Currency 3 2 4 2 2" xfId="30822" xr:uid="{5A603EFF-9CB2-4DC6-9418-67911C9EF2AE}"/>
    <cellStyle name="Currency 3 2 5" xfId="6683" xr:uid="{4FCFE811-3755-46F4-8803-2EFC844A90DA}"/>
    <cellStyle name="Currency 3 2 5 2" xfId="17063" xr:uid="{1F927C96-6E01-4C40-9B2D-7222789598FC}"/>
    <cellStyle name="Currency 3 2 5 2 2" xfId="30819" xr:uid="{82416E93-F733-465F-9221-BF5CA319CA6B}"/>
    <cellStyle name="Currency 3 2 5 3" xfId="30447" xr:uid="{CFB4445B-2822-44EE-97D3-586E0F3CB5E1}"/>
    <cellStyle name="Currency 3 2 6" xfId="9516" xr:uid="{A25B73E7-4A18-4EDD-982A-FC35F1B762F1}"/>
    <cellStyle name="Currency 3 2 6 2" xfId="19896" xr:uid="{FCE94371-A497-4F1A-B43C-D5DF03027CDF}"/>
    <cellStyle name="Currency 3 2 7" xfId="25617" xr:uid="{E1682AC9-7E11-46F4-8DF3-337BFBCF6CAC}"/>
    <cellStyle name="Currency 3 2 8" xfId="14230" xr:uid="{ADDB2CFA-D549-4A22-A71D-B2AEB10EA70D}"/>
    <cellStyle name="Currency 3 3" xfId="30413" xr:uid="{D9261D7C-4BB0-4F23-8A7D-89513C8C9F65}"/>
    <cellStyle name="Currency 3 4" xfId="30414" xr:uid="{56B42A0C-41FC-4CE6-B7AD-37115BE76475}"/>
    <cellStyle name="Currency 3 4 2" xfId="30448" xr:uid="{FAFC5492-58AD-4064-AA46-E99FA44DE317}"/>
    <cellStyle name="Currency 3 4 2 2" xfId="30605" xr:uid="{26A558A6-6954-4BC7-9B2E-CB04CA19DF15}"/>
    <cellStyle name="Currency 3 4 2 2 2" xfId="30823" xr:uid="{BAD0F4FB-A620-4584-9052-59B615478FE4}"/>
    <cellStyle name="Currency 3 4 2 3" xfId="30566" xr:uid="{CF89AC64-B129-47C4-9033-859EF82BC59F}"/>
    <cellStyle name="Currency 3 4 2 4" xfId="30932" xr:uid="{BFD1A78F-8924-435D-8C6C-0D4901C78012}"/>
    <cellStyle name="Currency 3 4 3" xfId="30558" xr:uid="{20CD84F8-EDE8-4AF4-B532-A3E1B5109EF4}"/>
    <cellStyle name="Currency 3 4 3 2" xfId="30635" xr:uid="{DF88B98C-68E1-47F3-A338-2C5D7520D934}"/>
    <cellStyle name="Currency 3 4 3 3" xfId="30945" xr:uid="{45BC16B4-B7BF-4099-8716-EADE89E871F5}"/>
    <cellStyle name="Currency 3 4 4" xfId="30591" xr:uid="{68808DD4-EE59-4BA1-BF12-A45A21B1D415}"/>
    <cellStyle name="Currency 3 4 5" xfId="30624" xr:uid="{D16E1CA0-3C3A-427D-9FC3-9BB85E6A1553}"/>
    <cellStyle name="Currency 3 4 6" xfId="30922" xr:uid="{FAD81B93-BBB8-43D5-BD80-94DF096C6A51}"/>
    <cellStyle name="Currency 3 5" xfId="30415" xr:uid="{81863DDD-1FEA-49F1-AEA7-615BE80C86A1}"/>
    <cellStyle name="Currency 3 5 2" xfId="30449" xr:uid="{CE9DCB24-732B-4ADA-857C-6F58DD618B77}"/>
    <cellStyle name="Currency 3 5 2 2" xfId="30606" xr:uid="{34227F4F-8C86-4B60-BC19-C90512E35E07}"/>
    <cellStyle name="Currency 3 5 2 2 2" xfId="30824" xr:uid="{239D24BD-EA61-4223-A6AC-E2D0B4B19C16}"/>
    <cellStyle name="Currency 3 5 2 3" xfId="30567" xr:uid="{DD97E0D8-3A98-41BE-B0BE-039F013CA0A8}"/>
    <cellStyle name="Currency 3 5 2 4" xfId="30933" xr:uid="{7558C0CC-CC3C-48DB-873C-E663906AD405}"/>
    <cellStyle name="Currency 3 5 3" xfId="30592" xr:uid="{06599778-836F-4CFE-92BA-FDF17CE2D98E}"/>
    <cellStyle name="Currency 3 5 3 2" xfId="30636" xr:uid="{2D11F2B4-9C32-4FD4-856C-702A205F961B}"/>
    <cellStyle name="Currency 3 5 3 3" xfId="30946" xr:uid="{DF42840B-E34C-485E-9570-C84EC1F5ECCC}"/>
    <cellStyle name="Currency 3 5 4" xfId="30625" xr:uid="{DFF81114-405C-4BD9-882E-3E6DCC627BBA}"/>
    <cellStyle name="Currency 3 5 5" xfId="30923" xr:uid="{889487E8-CDE1-4124-A152-07293079280A}"/>
    <cellStyle name="Currency 3 6" xfId="30556" xr:uid="{E6F281E3-0276-4ECA-AC9C-37A1F772038D}"/>
    <cellStyle name="Currency 3 7" xfId="30573" xr:uid="{5086352A-41FE-4853-9FBE-0A6014B61D30}"/>
    <cellStyle name="Currency 3 7 2" xfId="30612" xr:uid="{7367140C-062D-4451-8ECD-8EE326D93E2A}"/>
    <cellStyle name="Currency 3 7 3" xfId="30631" xr:uid="{EE3C1B3E-C238-41D4-83A6-0E95DA0C6E18}"/>
    <cellStyle name="Currency 3 7 4" xfId="30938" xr:uid="{95BC5195-8BFF-481F-A698-758C4BBDB773}"/>
    <cellStyle name="Currency 3 8" xfId="30546" xr:uid="{0CD1A085-9703-4560-91E9-56A6256AB4B6}"/>
    <cellStyle name="Currency 3 9" xfId="30577" xr:uid="{DB854ECE-A65B-4464-A0DC-C7561B51E415}"/>
    <cellStyle name="Currency 4" xfId="553" xr:uid="{00000000-0005-0000-0000-00004D030000}"/>
    <cellStyle name="Currency 4 10" xfId="554" xr:uid="{00000000-0005-0000-0000-00004E030000}"/>
    <cellStyle name="Currency 4 10 10" xfId="12682" xr:uid="{C89A52B3-84DE-4D56-AB19-F2222440D6C3}"/>
    <cellStyle name="Currency 4 10 2" xfId="1855" xr:uid="{00000000-0005-0000-0000-00004F030000}"/>
    <cellStyle name="Currency 4 10 2 2" xfId="3084" xr:uid="{00000000-0005-0000-0000-000075020000}"/>
    <cellStyle name="Currency 4 10 2 2 2" xfId="8164" xr:uid="{7A792EC4-ACE5-466A-BF18-DA894CE6B7E6}"/>
    <cellStyle name="Currency 4 10 2 2 2 2" xfId="18544" xr:uid="{82EF5D85-311B-4726-91D4-7AEA7459CB9A}"/>
    <cellStyle name="Currency 4 10 2 2 3" xfId="10997" xr:uid="{18F09CAA-3970-48F4-8028-B9700EEADCCB}"/>
    <cellStyle name="Currency 4 10 2 2 3 2" xfId="21377" xr:uid="{FBE3B2B8-BF65-4F7D-810C-65B197035DF8}"/>
    <cellStyle name="Currency 4 10 2 2 4" xfId="28669" xr:uid="{6B3573D9-B002-4527-BE7A-14C87DB37E3F}"/>
    <cellStyle name="Currency 4 10 2 2 5" xfId="28003" xr:uid="{3458A60A-E96B-4782-9C92-3C1E6BE08ED3}"/>
    <cellStyle name="Currency 4 10 2 2 6" xfId="15711" xr:uid="{EE4DF844-B7A5-4C38-8430-F6129C4964E3}"/>
    <cellStyle name="Currency 4 10 2 3" xfId="2052" xr:uid="{00000000-0005-0000-0000-00004F030000}"/>
    <cellStyle name="Currency 4 10 2 4" xfId="5660" xr:uid="{A2AAE002-0A20-488C-9C52-4228652B0BF6}"/>
    <cellStyle name="Currency 4 10 2 4 2" xfId="29781" xr:uid="{BF8FBF9C-A9AE-4570-B79D-C7C876F315A5}"/>
    <cellStyle name="Currency 4 10 2 5" xfId="25410" xr:uid="{B0582985-45F2-4C4B-80A7-F2EC0648FFB9}"/>
    <cellStyle name="Currency 4 10 2 6" xfId="13598" xr:uid="{22E4A5B0-9FF4-47B3-85B5-231E69F48698}"/>
    <cellStyle name="Currency 4 10 3" xfId="1856" xr:uid="{00000000-0005-0000-0000-000050030000}"/>
    <cellStyle name="Currency 4 10 3 2" xfId="24734" xr:uid="{CA990BB0-C204-4B40-886F-F2954B0D0D94}"/>
    <cellStyle name="Currency 4 10 3 3" xfId="24531" xr:uid="{7D6C6936-280A-4C1C-8BFF-53EA962C5745}"/>
    <cellStyle name="Currency 4 10 3 4" xfId="30063" xr:uid="{40918CAD-B437-47A8-B12D-997B4568D142}"/>
    <cellStyle name="Currency 4 10 3 5" xfId="29665" xr:uid="{67C50BD9-2CAF-4C73-BD9D-C799CBCDBB6B}"/>
    <cellStyle name="Currency 4 10 4" xfId="1854" xr:uid="{00000000-0005-0000-0000-000051030000}"/>
    <cellStyle name="Currency 4 10 4 2" xfId="24284" xr:uid="{ED9A845B-35BA-45AD-AF0D-05D9F0ECF894}"/>
    <cellStyle name="Currency 4 10 4 3" xfId="23779" xr:uid="{D5B3556B-A73E-4DB9-A41F-1F71F0BEC923}"/>
    <cellStyle name="Currency 4 10 5" xfId="4136" xr:uid="{28316C04-2271-4F96-8382-FEA953367420}"/>
    <cellStyle name="Currency 4 10 5 2" xfId="8908" xr:uid="{21AE18FF-01CE-414B-8875-3BAD9B9FCB74}"/>
    <cellStyle name="Currency 4 10 5 2 2" xfId="19288" xr:uid="{9966A440-B95F-4ADC-9324-D570952B48A6}"/>
    <cellStyle name="Currency 4 10 5 2 3" xfId="31018" xr:uid="{0871327B-F0E4-4A2A-83E5-48144795B73F}"/>
    <cellStyle name="Currency 4 10 5 2 4" xfId="30825" xr:uid="{F6878F02-5380-4822-B59B-FA3551951465}"/>
    <cellStyle name="Currency 4 10 5 3" xfId="11741" xr:uid="{8EDF15E3-3BF4-4105-81C3-E58B929AF5B2}"/>
    <cellStyle name="Currency 4 10 5 3 2" xfId="22121" xr:uid="{567DDC84-5198-4391-AC59-3C901AD1288D}"/>
    <cellStyle name="Currency 4 10 5 4" xfId="25951" xr:uid="{60920962-F1EA-43F0-A991-A08232A9634E}"/>
    <cellStyle name="Currency 4 10 5 5" xfId="28207" xr:uid="{D87AB717-F7E9-4807-B0A8-76E8CF9660A8}"/>
    <cellStyle name="Currency 4 10 5 6" xfId="16455" xr:uid="{B11E6810-51CE-4318-A490-C1192DB9235C}"/>
    <cellStyle name="Currency 4 10 6" xfId="4937" xr:uid="{F803A6F7-BC98-40BE-B52A-DDBD368BD4A7}"/>
    <cellStyle name="Currency 4 10 6 2" xfId="28038" xr:uid="{24DF6FA4-CC8D-41D8-A018-9EF7C39184F9}"/>
    <cellStyle name="Currency 4 10 6 3" xfId="28439" xr:uid="{BE24D556-7083-4982-A77C-092D2A3B50D3}"/>
    <cellStyle name="Currency 4 10 6 4" xfId="14232" xr:uid="{77673FEB-C8F7-4DBD-9C8B-128DB655EB07}"/>
    <cellStyle name="Currency 4 10 7" xfId="6685" xr:uid="{E7B1152D-13C8-4C51-99D0-C1CE86CA2672}"/>
    <cellStyle name="Currency 4 10 7 2" xfId="17065" xr:uid="{9F440BE2-68A6-4EF1-861E-6FCD31280449}"/>
    <cellStyle name="Currency 4 10 8" xfId="9518" xr:uid="{69CFF2B3-C837-4AF4-82CA-58394D59C04B}"/>
    <cellStyle name="Currency 4 10 8 2" xfId="19898" xr:uid="{2252050E-2952-4216-9021-BCEE2F54784E}"/>
    <cellStyle name="Currency 4 10 9" xfId="24282" xr:uid="{6C0D5AE9-E8ED-4663-A503-398A88041B84}"/>
    <cellStyle name="Currency 4 11" xfId="555" xr:uid="{00000000-0005-0000-0000-000052030000}"/>
    <cellStyle name="Currency 4 11 2" xfId="1858" xr:uid="{00000000-0005-0000-0000-000053030000}"/>
    <cellStyle name="Currency 4 11 2 2" xfId="25670" xr:uid="{6AE32305-D723-4F2B-9726-69A14A97E3DF}"/>
    <cellStyle name="Currency 4 11 2 2 2" xfId="29797" xr:uid="{E480E336-5C3C-44AC-9220-09707E85CE00}"/>
    <cellStyle name="Currency 4 11 2 2 2 2" xfId="30827" xr:uid="{4D352770-668B-4CB1-9BFD-BFF3A4AC1C1B}"/>
    <cellStyle name="Currency 4 11 2 3" xfId="22791" xr:uid="{5ABBA574-11C1-4A53-8D6F-81175CE6891C}"/>
    <cellStyle name="Currency 4 11 2 4" xfId="30043" xr:uid="{91030C44-997A-4D80-B0EF-B6069FB20D88}"/>
    <cellStyle name="Currency 4 11 3" xfId="1859" xr:uid="{00000000-0005-0000-0000-000054030000}"/>
    <cellStyle name="Currency 4 11 4" xfId="1857" xr:uid="{00000000-0005-0000-0000-000055030000}"/>
    <cellStyle name="Currency 4 11 5" xfId="4938" xr:uid="{BFC9E390-F889-4696-9995-875A71621CBA}"/>
    <cellStyle name="Currency 4 11 5 2" xfId="14233" xr:uid="{8AECC12D-B054-4142-9C5F-758968040410}"/>
    <cellStyle name="Currency 4 11 5 2 2" xfId="31118" xr:uid="{C0B40B35-E5C0-4FB5-9DCF-943164FD01CF}"/>
    <cellStyle name="Currency 4 11 5 2 3" xfId="30826" xr:uid="{E4F6EF9A-2249-4A18-99D1-59B07C1167CD}"/>
    <cellStyle name="Currency 4 11 6" xfId="6686" xr:uid="{0B58B3C8-2CC9-497F-8371-C9F709B7FDE3}"/>
    <cellStyle name="Currency 4 11 6 2" xfId="17066" xr:uid="{3DC1AB66-354C-4573-99AC-B2AFCBB0FB06}"/>
    <cellStyle name="Currency 4 11 7" xfId="9519" xr:uid="{8147509B-15A1-4C96-A0C2-45BD4C595CC9}"/>
    <cellStyle name="Currency 4 11 7 2" xfId="19899" xr:uid="{41CBA3BB-6B53-4097-A6A0-65C21B147329}"/>
    <cellStyle name="Currency 4 11 8" xfId="25120" xr:uid="{04ACA9BD-851F-42B7-91D0-95019CD4E73C}"/>
    <cellStyle name="Currency 4 11 9" xfId="13380" xr:uid="{F2C1A7B9-8D2A-4045-8439-6F7BD31BCAD2}"/>
    <cellStyle name="Currency 4 12" xfId="1860" xr:uid="{00000000-0005-0000-0000-000056030000}"/>
    <cellStyle name="Currency 4 12 2" xfId="2435" xr:uid="{00000000-0005-0000-0000-000077020000}"/>
    <cellStyle name="Currency 4 12 2 2" xfId="7560" xr:uid="{3D331767-DFA7-49F7-B67B-E2844C1A1125}"/>
    <cellStyle name="Currency 4 12 2 2 2" xfId="17940" xr:uid="{47AE85F2-3195-456D-AD1F-5296A0FD07A1}"/>
    <cellStyle name="Currency 4 12 2 2 2 2" xfId="31133" xr:uid="{59565F86-36CB-4BB2-8FFA-3406B5C83954}"/>
    <cellStyle name="Currency 4 12 2 2 2 3" xfId="30828" xr:uid="{CADA9377-013A-437D-AE8B-EEFEA9B1C519}"/>
    <cellStyle name="Currency 4 12 2 3" xfId="10393" xr:uid="{74AA856C-1546-48A1-902B-0B9C48E13197}"/>
    <cellStyle name="Currency 4 12 2 3 2" xfId="20773" xr:uid="{DB56C7FD-1566-4A75-8FCC-9C848565BFF6}"/>
    <cellStyle name="Currency 4 12 2 4" xfId="15107" xr:uid="{29096738-BB6A-486C-9D3B-D9E98C7DF5A2}"/>
    <cellStyle name="Currency 4 12 2 5" xfId="30450" xr:uid="{A1023E56-DF96-4373-8785-3BEA0179AB65}"/>
    <cellStyle name="Currency 4 12 3" xfId="3606" xr:uid="{00000000-0005-0000-0000-000056030000}"/>
    <cellStyle name="Currency 4 12 4" xfId="5661" xr:uid="{442882FD-A814-4225-99B5-C1E0B22554C2}"/>
    <cellStyle name="Currency 4 12 4 2" xfId="29745" xr:uid="{80832A7C-4F8F-4063-9660-3EE52C1F2BAF}"/>
    <cellStyle name="Currency 4 12 5" xfId="22761" xr:uid="{63F35A41-69FD-49A0-A60E-7B3978025D2D}"/>
    <cellStyle name="Currency 4 12 6" xfId="12822" xr:uid="{BE8AD55E-3093-4446-86E2-D073A8C1FFA1}"/>
    <cellStyle name="Currency 4 13" xfId="1861" xr:uid="{00000000-0005-0000-0000-000057030000}"/>
    <cellStyle name="Currency 4 13 2" xfId="2165" xr:uid="{00000000-0005-0000-0000-000073020000}"/>
    <cellStyle name="Currency 4 13 2 2" xfId="7292" xr:uid="{ED095754-1457-4145-9AB5-64B9CBFBC360}"/>
    <cellStyle name="Currency 4 13 2 2 2" xfId="17672" xr:uid="{8091C615-6AC9-417A-9B8D-39A46392F9F0}"/>
    <cellStyle name="Currency 4 13 2 3" xfId="10125" xr:uid="{842A2EB4-2F05-4C39-8A60-C6703A06F64D}"/>
    <cellStyle name="Currency 4 13 2 3 2" xfId="20505" xr:uid="{258F88F9-5150-4BC3-96C5-9ED93391EAFF}"/>
    <cellStyle name="Currency 4 13 2 4" xfId="28297" xr:uid="{53E75C48-0B63-4183-9B7C-D7E63C929532}"/>
    <cellStyle name="Currency 4 13 2 5" xfId="27338" xr:uid="{C17836A6-C549-4DBA-A4BB-6076037FA8EE}"/>
    <cellStyle name="Currency 4 13 2 6" xfId="14839" xr:uid="{14041440-C9DD-441B-854D-DD8735680B6E}"/>
    <cellStyle name="Currency 4 13 3" xfId="2077" xr:uid="{00000000-0005-0000-0000-000057030000}"/>
    <cellStyle name="Currency 4 13 4" xfId="23379" xr:uid="{D88FAFBE-9691-4F2E-80BC-179C5A201D6E}"/>
    <cellStyle name="Currency 4 13 4 2" xfId="29858" xr:uid="{B799D5DA-0548-4483-A7DA-59D6502F3999}"/>
    <cellStyle name="Currency 4 13 5" xfId="30001" xr:uid="{4FCFD07F-7408-4267-B201-B872777B8AC2}"/>
    <cellStyle name="Currency 4 14" xfId="1853" xr:uid="{00000000-0005-0000-0000-000058030000}"/>
    <cellStyle name="Currency 4 14 2" xfId="25803" xr:uid="{FBE6B4CA-BCAB-44EE-A7E9-70F4C6699F61}"/>
    <cellStyle name="Currency 4 14 2 2" xfId="30829" xr:uid="{08C9B446-C64D-40BA-8420-DEAE598B52CC}"/>
    <cellStyle name="Currency 4 14 2 3" xfId="30580" xr:uid="{7D39938B-7E55-4F5A-BF14-F961544A2D2A}"/>
    <cellStyle name="Currency 4 14 3" xfId="25776" xr:uid="{9A16FB8B-ADB5-4AC7-9F1A-D13AAB955871}"/>
    <cellStyle name="Currency 4 15" xfId="3881" xr:uid="{8A16B6F4-4C91-4357-9C17-F36A8BA48B18}"/>
    <cellStyle name="Currency 4 15 2" xfId="8713" xr:uid="{8EB94A9F-EF8B-4EA7-897E-FE94FBF423D5}"/>
    <cellStyle name="Currency 4 15 2 2" xfId="19093" xr:uid="{98BB6A6F-5B49-4748-8DB0-C0E4275141D6}"/>
    <cellStyle name="Currency 4 15 3" xfId="11546" xr:uid="{38A5F320-0DE0-46D5-A927-27C5471EBED7}"/>
    <cellStyle name="Currency 4 15 3 2" xfId="21926" xr:uid="{571A51F8-6074-48F7-BBB4-1AC0F039850E}"/>
    <cellStyle name="Currency 4 15 4" xfId="27295" xr:uid="{B2877688-2F6B-4368-95B5-4718C229756B}"/>
    <cellStyle name="Currency 4 15 5" xfId="26519" xr:uid="{C27C6762-C1D9-464C-B909-10F478B0DAED}"/>
    <cellStyle name="Currency 4 15 6" xfId="16260" xr:uid="{C60FEDF8-8FD8-476E-B86E-1BEECE6D3847}"/>
    <cellStyle name="Currency 4 16" xfId="4936" xr:uid="{2E48FC4A-ACA0-4D64-BB27-D26AB243475C}"/>
    <cellStyle name="Currency 4 16 2" xfId="27591" xr:uid="{7DBE2F17-F500-45BB-8C28-33AA7DF16E87}"/>
    <cellStyle name="Currency 4 16 3" xfId="26841" xr:uid="{5E6EA418-A6FA-41B7-A169-4158FC19B3FD}"/>
    <cellStyle name="Currency 4 16 4" xfId="14231" xr:uid="{E5BB4F4D-65E4-4119-89EF-B26E1F145ED9}"/>
    <cellStyle name="Currency 4 17" xfId="6684" xr:uid="{23119076-1826-438F-A532-AFC5D5908B0C}"/>
    <cellStyle name="Currency 4 17 2" xfId="17064" xr:uid="{84C8C268-56AD-4B42-9168-6A1E80FAA892}"/>
    <cellStyle name="Currency 4 18" xfId="9517" xr:uid="{DEE09A3A-0523-4291-B302-B35F22E14947}"/>
    <cellStyle name="Currency 4 18 2" xfId="19897" xr:uid="{B2E97F39-C4B4-4017-88F1-E8DB22F1FEF5}"/>
    <cellStyle name="Currency 4 19" xfId="22844" xr:uid="{CD82A28B-6BBC-4D24-BA6B-DBE201BB073F}"/>
    <cellStyle name="Currency 4 2" xfId="556" xr:uid="{00000000-0005-0000-0000-000059030000}"/>
    <cellStyle name="Currency 4 2 10" xfId="4939" xr:uid="{7CE55DFC-6AB4-49FF-B062-66C91C3D19B3}"/>
    <cellStyle name="Currency 4 2 10 2" xfId="27654" xr:uid="{B5983676-F40C-431A-A600-57A48763A5C4}"/>
    <cellStyle name="Currency 4 2 10 3" xfId="26911" xr:uid="{2AA3DBB0-A053-4C1D-ACC6-1B9B3D63B6E8}"/>
    <cellStyle name="Currency 4 2 10 4" xfId="14234" xr:uid="{D104C87A-7ABC-4ED6-A828-217CB3DD3CA6}"/>
    <cellStyle name="Currency 4 2 11" xfId="6687" xr:uid="{B5AC1A94-00AB-423D-9ED8-093C7331C0FA}"/>
    <cellStyle name="Currency 4 2 11 2" xfId="17067" xr:uid="{FA29BC29-6948-4046-9E61-620462271D69}"/>
    <cellStyle name="Currency 4 2 12" xfId="9520" xr:uid="{99278EF3-BC64-40D5-A41C-D1BBB7E92051}"/>
    <cellStyle name="Currency 4 2 12 2" xfId="19900" xr:uid="{CF63DCC8-C075-4F0E-9FCB-66AA89898ADA}"/>
    <cellStyle name="Currency 4 2 13" xfId="23306" xr:uid="{C0F291B2-0F24-468C-A470-39546BA1EA8C}"/>
    <cellStyle name="Currency 4 2 14" xfId="12420" xr:uid="{61B0A083-6D10-4333-BA5F-38A9CD77F14B}"/>
    <cellStyle name="Currency 4 2 2" xfId="557" xr:uid="{00000000-0005-0000-0000-00005A030000}"/>
    <cellStyle name="Currency 4 2 2 10" xfId="6688" xr:uid="{E924E7D5-EEB2-48A0-AB3C-FC2465E48362}"/>
    <cellStyle name="Currency 4 2 2 10 2" xfId="17068" xr:uid="{2AC6DD1D-EB61-45BE-863B-CD2611824E85}"/>
    <cellStyle name="Currency 4 2 2 11" xfId="9521" xr:uid="{E04CC9AF-519D-4284-9439-E38B1CBDB025}"/>
    <cellStyle name="Currency 4 2 2 11 2" xfId="19901" xr:uid="{179D9FE8-DC4A-4A66-90F9-01A96618D461}"/>
    <cellStyle name="Currency 4 2 2 12" xfId="24835" xr:uid="{557BFA1C-DCB3-4381-8D1D-328BAAF1BB48}"/>
    <cellStyle name="Currency 4 2 2 13" xfId="12480" xr:uid="{48380BA2-5D42-43E8-9181-C7C6489F582C}"/>
    <cellStyle name="Currency 4 2 2 2" xfId="558" xr:uid="{00000000-0005-0000-0000-00005B030000}"/>
    <cellStyle name="Currency 4 2 2 2 10" xfId="9522" xr:uid="{D7792FC4-660D-4C69-8479-83A98CBA5288}"/>
    <cellStyle name="Currency 4 2 2 2 10 2" xfId="19902" xr:uid="{F61283B0-DDE0-4A4D-8DDA-38AF6E104196}"/>
    <cellStyle name="Currency 4 2 2 2 11" xfId="23796" xr:uid="{6BFC9E81-2557-4A8A-A80C-6DBBCE540376}"/>
    <cellStyle name="Currency 4 2 2 2 12" xfId="12526" xr:uid="{BD0B3595-35FD-4A85-BCA8-12D04857AA2D}"/>
    <cellStyle name="Currency 4 2 2 2 2" xfId="1865" xr:uid="{00000000-0005-0000-0000-00005C030000}"/>
    <cellStyle name="Currency 4 2 2 2 2 2" xfId="3086" xr:uid="{00000000-0005-0000-0000-00007C020000}"/>
    <cellStyle name="Currency 4 2 2 2 2 2 2" xfId="6171" xr:uid="{3688B7CC-920A-49CE-8F5C-A63ADC39A1FD}"/>
    <cellStyle name="Currency 4 2 2 2 2 2 2 2" xfId="28276" xr:uid="{DCF2970D-8D47-4C4A-B66C-0F5DF9A0326F}"/>
    <cellStyle name="Currency 4 2 2 2 2 2 2 3" xfId="28319" xr:uid="{43DE835C-E4BB-4BA9-AE0C-0D6D1B34494B}"/>
    <cellStyle name="Currency 4 2 2 2 2 2 2 4" xfId="15713" xr:uid="{B4E63A51-BF19-41A6-A3F9-C86E5DA7D71B}"/>
    <cellStyle name="Currency 4 2 2 2 2 2 3" xfId="8166" xr:uid="{11B0660F-2B66-45A8-ABB5-D7786E6025C7}"/>
    <cellStyle name="Currency 4 2 2 2 2 2 3 2" xfId="18546" xr:uid="{3677FF65-3179-47D8-BF89-8023B736CC7B}"/>
    <cellStyle name="Currency 4 2 2 2 2 2 4" xfId="10999" xr:uid="{F4B7426D-37A2-4AD3-9108-2BF0B5D8E954}"/>
    <cellStyle name="Currency 4 2 2 2 2 2 4 2" xfId="21379" xr:uid="{E1A63A5C-6CD3-4859-A95B-383D2421C311}"/>
    <cellStyle name="Currency 4 2 2 2 2 2 5" xfId="25288" xr:uid="{3B11134B-3D6C-47C6-9D7D-3220DDA33DE8}"/>
    <cellStyle name="Currency 4 2 2 2 2 2 6" xfId="27210" xr:uid="{8F821E97-BBE8-4B19-903E-01305D917831}"/>
    <cellStyle name="Currency 4 2 2 2 2 2 7" xfId="13600" xr:uid="{2F5E4AA7-08A4-4739-9D5C-0FD9A020F792}"/>
    <cellStyle name="Currency 4 2 2 2 2 3" xfId="2693" xr:uid="{00000000-0005-0000-0000-00007B020000}"/>
    <cellStyle name="Currency 4 2 2 2 2 3 2" xfId="7817" xr:uid="{1FF16178-2B08-4E6A-AB25-0B4BFD600FA2}"/>
    <cellStyle name="Currency 4 2 2 2 2 3 2 2" xfId="28006" xr:uid="{BA6C94ED-13EE-42EF-B9BB-F915C33DECC8}"/>
    <cellStyle name="Currency 4 2 2 2 2 3 2 3" xfId="27468" xr:uid="{8236B4FE-D5FC-4F0B-9702-DB72491E0818}"/>
    <cellStyle name="Currency 4 2 2 2 2 3 2 4" xfId="18197" xr:uid="{CE04EA8D-052C-4BBD-93ED-F0D5F91FA45F}"/>
    <cellStyle name="Currency 4 2 2 2 2 3 3" xfId="10650" xr:uid="{9CFBD146-D83F-4CC8-AF4A-A9B8D5843DF2}"/>
    <cellStyle name="Currency 4 2 2 2 2 3 3 2" xfId="21030" xr:uid="{4AFCC743-FA0D-4F2A-94CB-96E5BC9C847F}"/>
    <cellStyle name="Currency 4 2 2 2 2 3 4" xfId="24059" xr:uid="{C57C7806-3BB8-4151-AFF1-2022B9C2BAA7}"/>
    <cellStyle name="Currency 4 2 2 2 2 3 5" xfId="15364" xr:uid="{C5369981-2202-4D8C-9F0D-B27E3412C25A}"/>
    <cellStyle name="Currency 4 2 2 2 2 4" xfId="3703" xr:uid="{00000000-0005-0000-0000-00005C030000}"/>
    <cellStyle name="Currency 4 2 2 2 2 4 2" xfId="26599" xr:uid="{F886625C-0AFC-492F-A3D1-E841A6F7365F}"/>
    <cellStyle name="Currency 4 2 2 2 2 4 3" xfId="26881" xr:uid="{F81CAD20-DEED-47B7-BD1C-8459B3A8B952}"/>
    <cellStyle name="Currency 4 2 2 2 2 5" xfId="4272" xr:uid="{DB678E1F-F1EB-415D-8189-981646C9AD72}"/>
    <cellStyle name="Currency 4 2 2 2 2 5 2" xfId="9044" xr:uid="{A997A002-51DC-428D-9D9A-8390B6CA7F20}"/>
    <cellStyle name="Currency 4 2 2 2 2 5 2 2" xfId="19424" xr:uid="{5779248A-0167-4B0D-97F6-18172432DF5A}"/>
    <cellStyle name="Currency 4 2 2 2 2 5 2 3" xfId="31048" xr:uid="{3B7AB140-6A10-4BC0-BE67-072D624912D8}"/>
    <cellStyle name="Currency 4 2 2 2 2 5 2 4" xfId="30830" xr:uid="{841903E7-109E-4832-AD2D-F43F3855F60D}"/>
    <cellStyle name="Currency 4 2 2 2 2 5 3" xfId="11877" xr:uid="{B570B061-A6FE-4BE4-8262-8A3A437A7EC0}"/>
    <cellStyle name="Currency 4 2 2 2 2 5 3 2" xfId="22257" xr:uid="{549C98A1-7C4B-4065-9044-14CFB49B77DC}"/>
    <cellStyle name="Currency 4 2 2 2 2 5 4" xfId="27521" xr:uid="{0E0B8DDC-1564-46C0-BC44-A2A8C5F7C96A}"/>
    <cellStyle name="Currency 4 2 2 2 2 5 5" xfId="27603" xr:uid="{69244FEA-B661-4569-8F52-94339BC4842D}"/>
    <cellStyle name="Currency 4 2 2 2 2 5 6" xfId="16591" xr:uid="{A45FA4F4-052B-49EC-A1CC-7DEE362FD4CB}"/>
    <cellStyle name="Currency 4 2 2 2 2 6" xfId="5664" xr:uid="{BF7DF391-C85B-4BD0-A2FA-E856C1E1B837}"/>
    <cellStyle name="Currency 4 2 2 2 2 6 2" xfId="29727" xr:uid="{D4F02699-9D7A-4636-8246-722EE6D50577}"/>
    <cellStyle name="Currency 4 2 2 2 2 6 2 2" xfId="30984" xr:uid="{25D31D1E-9374-4588-8BAD-34D1CFD1B55D}"/>
    <cellStyle name="Currency 4 2 2 2 2 7" xfId="22683" xr:uid="{AB73C219-89C9-4191-8E87-5E4330197BFE}"/>
    <cellStyle name="Currency 4 2 2 2 2 8" xfId="13106" xr:uid="{1655F9DF-4D17-4F9F-9CAE-DC6F8C6EF0E8}"/>
    <cellStyle name="Currency 4 2 2 2 3" xfId="1866" xr:uid="{00000000-0005-0000-0000-00005D030000}"/>
    <cellStyle name="Currency 4 2 2 2 3 2" xfId="3087" xr:uid="{00000000-0005-0000-0000-00007D020000}"/>
    <cellStyle name="Currency 4 2 2 2 3 2 2" xfId="8167" xr:uid="{9D23410F-F07A-447E-A7A6-0CAFF5985449}"/>
    <cellStyle name="Currency 4 2 2 2 3 2 2 2" xfId="28837" xr:uid="{06941125-7C96-42BA-A28D-34E6CCA3D8C6}"/>
    <cellStyle name="Currency 4 2 2 2 3 2 2 2 2" xfId="31232" xr:uid="{3429C379-89FB-4D0B-AA6F-20CAB746CD96}"/>
    <cellStyle name="Currency 4 2 2 2 3 2 2 2 3" xfId="30832" xr:uid="{8634E1EF-FB6D-4204-A640-59C7D326ADDF}"/>
    <cellStyle name="Currency 4 2 2 2 3 2 2 3" xfId="26853" xr:uid="{77F1A8C5-0AA4-4CC9-9F31-861556EFC010}"/>
    <cellStyle name="Currency 4 2 2 2 3 2 2 4" xfId="18547" xr:uid="{E759ECE0-2A5E-40BE-86E4-AE97AA408258}"/>
    <cellStyle name="Currency 4 2 2 2 3 2 3" xfId="11000" xr:uid="{BA158067-73CD-43F9-AEB2-2278BDB95667}"/>
    <cellStyle name="Currency 4 2 2 2 3 2 3 2" xfId="21380" xr:uid="{E1421810-EB1E-48A1-B126-9B300EE9C975}"/>
    <cellStyle name="Currency 4 2 2 2 3 2 4" xfId="25648" xr:uid="{256A75EC-637D-4BE9-AD3C-BB4054B363D8}"/>
    <cellStyle name="Currency 4 2 2 2 3 2 5" xfId="15714" xr:uid="{EBFF9E94-0DD9-4222-A386-91E2CA987D69}"/>
    <cellStyle name="Currency 4 2 2 2 3 3" xfId="2088" xr:uid="{00000000-0005-0000-0000-00005D030000}"/>
    <cellStyle name="Currency 4 2 2 2 3 4" xfId="4423" xr:uid="{3F8880EA-BDCC-4264-BCE8-60BF4BA92E42}"/>
    <cellStyle name="Currency 4 2 2 2 3 4 2" xfId="9195" xr:uid="{FD36FD56-46F6-4D3B-B9F6-689E1F5F0734}"/>
    <cellStyle name="Currency 4 2 2 2 3 4 2 2" xfId="19575" xr:uid="{6F9AA829-FAFE-4260-A170-9D6A9F5DEBC9}"/>
    <cellStyle name="Currency 4 2 2 2 3 4 2 3" xfId="31089" xr:uid="{D1E76A2F-6447-478C-A663-6EA53EC550CC}"/>
    <cellStyle name="Currency 4 2 2 2 3 4 2 4" xfId="30831" xr:uid="{657565F7-E228-4780-9F08-C035C0197582}"/>
    <cellStyle name="Currency 4 2 2 2 3 4 3" xfId="12028" xr:uid="{749C648E-FE14-4E78-88E1-738DB6998D09}"/>
    <cellStyle name="Currency 4 2 2 2 3 4 3 2" xfId="22408" xr:uid="{8C8B550F-F6E7-4047-A75E-4E13D2B95563}"/>
    <cellStyle name="Currency 4 2 2 2 3 4 4" xfId="16742" xr:uid="{0A45D439-F008-4276-BCCC-1A592538F7EB}"/>
    <cellStyle name="Currency 4 2 2 2 3 5" xfId="5665" xr:uid="{2D7828CB-E2C0-4146-9476-187DEA31046E}"/>
    <cellStyle name="Currency 4 2 2 2 3 5 2" xfId="29714" xr:uid="{EC6735F0-7DE9-4568-B77B-F6FDEF7A8DC7}"/>
    <cellStyle name="Currency 4 2 2 2 3 5 2 2" xfId="30985" xr:uid="{CFC58C28-6C1B-47B8-8F44-D625CD50AA8A}"/>
    <cellStyle name="Currency 4 2 2 2 3 6" xfId="22667" xr:uid="{15B918AE-678C-49C0-9E66-682B52E15F1F}"/>
    <cellStyle name="Currency 4 2 2 2 3 7" xfId="13601" xr:uid="{CD1D9F12-7423-4636-BB08-F1DA4C51B085}"/>
    <cellStyle name="Currency 4 2 2 2 4" xfId="1864" xr:uid="{00000000-0005-0000-0000-00005E030000}"/>
    <cellStyle name="Currency 4 2 2 2 4 2" xfId="3085" xr:uid="{00000000-0005-0000-0000-00007E020000}"/>
    <cellStyle name="Currency 4 2 2 2 4 2 2" xfId="8165" xr:uid="{3E0C9CBD-1BDD-4D4D-AC3B-38B36802B03E}"/>
    <cellStyle name="Currency 4 2 2 2 4 2 2 2" xfId="28836" xr:uid="{6D84C83D-A4D2-4098-AD3E-999BE8D72815}"/>
    <cellStyle name="Currency 4 2 2 2 4 2 2 3" xfId="27099" xr:uid="{E06DE2C2-9923-4FB1-B7F5-5027FA1F3B76}"/>
    <cellStyle name="Currency 4 2 2 2 4 2 2 4" xfId="18545" xr:uid="{70AEAA82-E9C7-4677-B3D2-4A044445B867}"/>
    <cellStyle name="Currency 4 2 2 2 4 2 3" xfId="10998" xr:uid="{87D96046-58A7-4656-BC78-7523A2D5308F}"/>
    <cellStyle name="Currency 4 2 2 2 4 2 3 2" xfId="21378" xr:uid="{911DE9A5-E645-4507-9539-A78CE5E85084}"/>
    <cellStyle name="Currency 4 2 2 2 4 2 4" xfId="27550" xr:uid="{9E5508BD-0A72-4689-AF3B-59B978984740}"/>
    <cellStyle name="Currency 4 2 2 2 4 2 5" xfId="15712" xr:uid="{F311196B-7DF4-4496-A2E5-2D96B7A7FEA7}"/>
    <cellStyle name="Currency 4 2 2 2 4 3" xfId="3587" xr:uid="{00000000-0005-0000-0000-00005E030000}"/>
    <cellStyle name="Currency 4 2 2 2 4 4" xfId="5663" xr:uid="{06882770-1EE0-45F0-A226-52CE0F863C5B}"/>
    <cellStyle name="Currency 4 2 2 2 4 4 2" xfId="29965" xr:uid="{FF29FBEB-C139-42CC-898F-F368F7E51091}"/>
    <cellStyle name="Currency 4 2 2 2 4 5" xfId="24698" xr:uid="{68697844-2BE1-45A1-8C80-4FCA89377120}"/>
    <cellStyle name="Currency 4 2 2 2 4 6" xfId="13599" xr:uid="{3B8B31F1-F86F-4BB4-B066-241BD2D4A438}"/>
    <cellStyle name="Currency 4 2 2 2 5" xfId="2649" xr:uid="{00000000-0005-0000-0000-00007F020000}"/>
    <cellStyle name="Currency 4 2 2 2 5 2" xfId="5911" xr:uid="{83E46272-0DC1-48F9-A571-1CF062190DDF}"/>
    <cellStyle name="Currency 4 2 2 2 5 2 2" xfId="26289" xr:uid="{28B265D6-57F6-46F1-B54D-41941B40D1D7}"/>
    <cellStyle name="Currency 4 2 2 2 5 2 2 2" xfId="31174" xr:uid="{599A9C6C-AF98-47C8-9562-6F1C30BA128B}"/>
    <cellStyle name="Currency 4 2 2 2 5 2 2 3" xfId="30833" xr:uid="{92DF8621-EC15-4BA9-BFE4-A154DAF79516}"/>
    <cellStyle name="Currency 4 2 2 2 5 2 3" xfId="28173" xr:uid="{DC7D8C25-8C23-4107-BDC1-B746510148FB}"/>
    <cellStyle name="Currency 4 2 2 2 5 2 4" xfId="15321" xr:uid="{A98FC3E3-572A-40ED-A21E-F5ECEABB3036}"/>
    <cellStyle name="Currency 4 2 2 2 5 3" xfId="7774" xr:uid="{25711A40-4108-4F35-A2B4-70F996F6CED1}"/>
    <cellStyle name="Currency 4 2 2 2 5 3 2" xfId="18154" xr:uid="{3408E077-60C0-4AFB-95A8-135D5E7B625E}"/>
    <cellStyle name="Currency 4 2 2 2 5 4" xfId="10607" xr:uid="{704F98E0-1C98-4DFD-9553-83B92A07B364}"/>
    <cellStyle name="Currency 4 2 2 2 5 4 2" xfId="20987" xr:uid="{A371C0BE-95BF-4651-940A-4FB05495D601}"/>
    <cellStyle name="Currency 4 2 2 2 5 5" xfId="23496" xr:uid="{60D28789-341B-47F0-8C26-505604337F32}"/>
    <cellStyle name="Currency 4 2 2 2 5 6" xfId="13045" xr:uid="{6ED3DC99-6AC8-4E10-BAE0-B6C7CD7F2146}"/>
    <cellStyle name="Currency 4 2 2 2 6" xfId="2294" xr:uid="{00000000-0005-0000-0000-00007A020000}"/>
    <cellStyle name="Currency 4 2 2 2 6 2" xfId="7421" xr:uid="{F671DDA7-3E30-4C62-82F6-73444BD626D3}"/>
    <cellStyle name="Currency 4 2 2 2 6 2 2" xfId="17801" xr:uid="{DDDE0EDC-E9B1-422B-8168-05F3B033392F}"/>
    <cellStyle name="Currency 4 2 2 2 6 3" xfId="10254" xr:uid="{BCEA1E7E-7C7A-447F-9F10-C5A83EEDA9C7}"/>
    <cellStyle name="Currency 4 2 2 2 6 3 2" xfId="20634" xr:uid="{C45980F5-9E3F-4555-B7F5-17068C6F33AC}"/>
    <cellStyle name="Currency 4 2 2 2 6 4" xfId="22867" xr:uid="{518C6954-DE2D-4A1F-B51B-FD39A6713FDC}"/>
    <cellStyle name="Currency 4 2 2 2 6 5" xfId="26799" xr:uid="{CBFD2042-DFFD-4375-BCFF-EC63999D1C44}"/>
    <cellStyle name="Currency 4 2 2 2 6 6" xfId="14968" xr:uid="{0492F95F-2C72-41AC-8F42-86FE9E07F6D7}"/>
    <cellStyle name="Currency 4 2 2 2 7" xfId="3829" xr:uid="{AEDD572E-49A8-4592-81DB-9FDFE8A31D30}"/>
    <cellStyle name="Currency 4 2 2 2 7 2" xfId="8662" xr:uid="{F5FA23B3-90C2-4BF7-A52B-E182D1D987E7}"/>
    <cellStyle name="Currency 4 2 2 2 7 2 2" xfId="19042" xr:uid="{D96DD5AE-ECD6-4C43-8598-7B0529A20AB6}"/>
    <cellStyle name="Currency 4 2 2 2 7 3" xfId="11495" xr:uid="{BBF68987-22E1-4A7F-9D1E-3AEE85A9A77A}"/>
    <cellStyle name="Currency 4 2 2 2 7 3 2" xfId="21875" xr:uid="{F0317D2F-E882-438D-ADF9-5A31A6255D9C}"/>
    <cellStyle name="Currency 4 2 2 2 7 4" xfId="26216" xr:uid="{6750DDDB-9048-4B28-97CC-33D0EF6C2B58}"/>
    <cellStyle name="Currency 4 2 2 2 7 5" xfId="26293" xr:uid="{73484976-F7E6-4EF2-BE00-4B7F773BD133}"/>
    <cellStyle name="Currency 4 2 2 2 7 6" xfId="16209" xr:uid="{1750DA11-4588-4CA5-8D39-D176BD0A9D3D}"/>
    <cellStyle name="Currency 4 2 2 2 8" xfId="4941" xr:uid="{740CED31-770C-481C-B112-BA20FC30C448}"/>
    <cellStyle name="Currency 4 2 2 2 8 2" xfId="14236" xr:uid="{D5F5BC0A-4A43-44E9-BE67-3E39B11243A7}"/>
    <cellStyle name="Currency 4 2 2 2 9" xfId="6689" xr:uid="{A7F7E3E4-0F05-4536-9E3B-CC3F3C6D97F5}"/>
    <cellStyle name="Currency 4 2 2 2 9 2" xfId="17069" xr:uid="{7D8C6FF3-2185-4AF1-9706-F4F5A1E7BD83}"/>
    <cellStyle name="Currency 4 2 2 3" xfId="559" xr:uid="{00000000-0005-0000-0000-00005F030000}"/>
    <cellStyle name="Currency 4 2 2 3 10" xfId="12684" xr:uid="{12FB2570-54E9-49DD-9D58-A74BA829CB74}"/>
    <cellStyle name="Currency 4 2 2 3 2" xfId="1868" xr:uid="{00000000-0005-0000-0000-000060030000}"/>
    <cellStyle name="Currency 4 2 2 3 2 2" xfId="3088" xr:uid="{00000000-0005-0000-0000-000081020000}"/>
    <cellStyle name="Currency 4 2 2 3 2 2 2" xfId="8168" xr:uid="{2D1CDA98-77C7-48FC-960A-6583ECA88D6E}"/>
    <cellStyle name="Currency 4 2 2 3 2 2 2 2" xfId="28838" xr:uid="{18A7D48F-E35C-43F1-BA04-69DE9CF7540D}"/>
    <cellStyle name="Currency 4 2 2 3 2 2 2 3" xfId="28626" xr:uid="{D5812786-C032-4CDF-9EDA-498A1EE67794}"/>
    <cellStyle name="Currency 4 2 2 3 2 2 2 4" xfId="18548" xr:uid="{45EED34F-0258-46DF-8948-96EFD8EAFA27}"/>
    <cellStyle name="Currency 4 2 2 3 2 2 3" xfId="11001" xr:uid="{6F15308D-77B7-45E6-8AD3-9B2CFCA37476}"/>
    <cellStyle name="Currency 4 2 2 3 2 2 3 2" xfId="21381" xr:uid="{7F1298BF-0552-4CFA-B969-9AB32C01784D}"/>
    <cellStyle name="Currency 4 2 2 3 2 2 4" xfId="24201" xr:uid="{1DAE9C54-2866-43E3-8327-95AAB3BC852E}"/>
    <cellStyle name="Currency 4 2 2 3 2 2 5" xfId="15715" xr:uid="{7AE32027-111A-482B-B7C3-2C8BEBD24D70}"/>
    <cellStyle name="Currency 4 2 2 3 2 3" xfId="3588" xr:uid="{00000000-0005-0000-0000-000060030000}"/>
    <cellStyle name="Currency 4 2 2 3 2 4" xfId="5666" xr:uid="{8018743C-C0EA-4511-8D4B-89AF2CE609A2}"/>
    <cellStyle name="Currency 4 2 2 3 2 4 2" xfId="29966" xr:uid="{BCF43D88-6F00-4BCB-8D9B-D13D0B18D182}"/>
    <cellStyle name="Currency 4 2 2 3 2 5" xfId="24413" xr:uid="{1F3EC9DF-3A17-44F8-BCD3-8F434B9ACAE7}"/>
    <cellStyle name="Currency 4 2 2 3 2 6" xfId="13602" xr:uid="{D2ED86B0-06EC-40E1-B798-C5EA65BD5F87}"/>
    <cellStyle name="Currency 4 2 2 3 3" xfId="1869" xr:uid="{00000000-0005-0000-0000-000061030000}"/>
    <cellStyle name="Currency 4 2 2 3 3 2" xfId="2692" xr:uid="{00000000-0005-0000-0000-000082020000}"/>
    <cellStyle name="Currency 4 2 2 3 3 2 2" xfId="7816" xr:uid="{E7254797-DD52-4F58-B785-D77F75FC3C5E}"/>
    <cellStyle name="Currency 4 2 2 3 3 2 2 2" xfId="18196" xr:uid="{F9AA6FD1-34E3-4F94-A6AC-969C0D5DB479}"/>
    <cellStyle name="Currency 4 2 2 3 3 2 3" xfId="10649" xr:uid="{1A451A4B-7CE6-4ECD-9171-CA89AA3AC624}"/>
    <cellStyle name="Currency 4 2 2 3 3 2 3 2" xfId="21029" xr:uid="{06392627-01C8-474B-9D68-76A9C022F644}"/>
    <cellStyle name="Currency 4 2 2 3 3 2 4" xfId="15363" xr:uid="{539A20AD-36D9-4CB3-B257-FCB66F05D8B7}"/>
    <cellStyle name="Currency 4 2 2 3 3 2 5" xfId="30451" xr:uid="{3FE6DD69-5112-4CB9-B21A-BAC2204DC643}"/>
    <cellStyle name="Currency 4 2 2 3 3 3" xfId="3657" xr:uid="{00000000-0005-0000-0000-000061030000}"/>
    <cellStyle name="Currency 4 2 2 3 3 4" xfId="5667" xr:uid="{54673D43-2BB9-4497-8CC5-C0E86AE657BC}"/>
    <cellStyle name="Currency 4 2 2 3 3 4 2" xfId="29912" xr:uid="{DD81D97E-F9C6-4B81-A72E-F394027770CE}"/>
    <cellStyle name="Currency 4 2 2 3 3 5" xfId="24679" xr:uid="{8D09122D-84F4-4960-9374-9E24DCCB9E3A}"/>
    <cellStyle name="Currency 4 2 2 3 3 6" xfId="13105" xr:uid="{B6B5EFCA-9112-4ABA-BFEE-B840EF71AE48}"/>
    <cellStyle name="Currency 4 2 2 3 4" xfId="1867" xr:uid="{00000000-0005-0000-0000-000062030000}"/>
    <cellStyle name="Currency 4 2 2 3 4 2" xfId="4657" xr:uid="{CC980793-D0C8-4424-A7C5-AE4A8E64578E}"/>
    <cellStyle name="Currency 4 2 2 3 4 2 2" xfId="9409" xr:uid="{AED29F7E-434E-42FA-8E6A-C66FF95573B4}"/>
    <cellStyle name="Currency 4 2 2 3 4 2 2 2" xfId="19789" xr:uid="{3117212E-7C17-4F6C-9C44-E06FC96A4C80}"/>
    <cellStyle name="Currency 4 2 2 3 4 2 3" xfId="12242" xr:uid="{011EA6B3-49D7-4835-AAD1-9FBAB145647D}"/>
    <cellStyle name="Currency 4 2 2 3 4 2 3 2" xfId="22622" xr:uid="{8337E57A-7EAC-4C18-8CA6-458217DE41E4}"/>
    <cellStyle name="Currency 4 2 2 3 4 2 4" xfId="25925" xr:uid="{DC08C6D1-B735-40EB-A43C-FF0621B728A5}"/>
    <cellStyle name="Currency 4 2 2 3 4 2 5" xfId="26459" xr:uid="{DE2F6A7B-293C-4CCE-9EAD-3A88EB6DCAF3}"/>
    <cellStyle name="Currency 4 2 2 3 4 2 6" xfId="16956" xr:uid="{0D780D72-C747-452F-A29B-D4296A86D028}"/>
    <cellStyle name="Currency 4 2 2 3 4 3" xfId="25278" xr:uid="{8CE549D3-FDA6-487B-943C-0B255D4EA3CA}"/>
    <cellStyle name="Currency 4 2 2 3 5" xfId="4138" xr:uid="{95FA858A-2BDC-4173-BFEE-BF2ABA95A8C7}"/>
    <cellStyle name="Currency 4 2 2 3 5 2" xfId="8910" xr:uid="{1C92966F-C3D2-4662-B0CA-E68A72E70994}"/>
    <cellStyle name="Currency 4 2 2 3 5 2 2" xfId="29014" xr:uid="{9831571E-A929-40C4-9791-AFA563C1D249}"/>
    <cellStyle name="Currency 4 2 2 3 5 2 3" xfId="27999" xr:uid="{3A23BD10-8C90-4E9E-A470-3426702BB18A}"/>
    <cellStyle name="Currency 4 2 2 3 5 2 4" xfId="19290" xr:uid="{90BD0B2D-3193-410C-96C9-313653765774}"/>
    <cellStyle name="Currency 4 2 2 3 5 2 5" xfId="31020" xr:uid="{CF2B4C35-60CF-460E-A7D8-6BD89E16FAF9}"/>
    <cellStyle name="Currency 4 2 2 3 5 3" xfId="11743" xr:uid="{426FC3C0-6268-42CE-8128-FC1454B2F22D}"/>
    <cellStyle name="Currency 4 2 2 3 5 3 2" xfId="22123" xr:uid="{C265E806-E5E1-4BD8-8320-E58B3EE5BF41}"/>
    <cellStyle name="Currency 4 2 2 3 5 4" xfId="26185" xr:uid="{590F1586-4CEF-447B-9C49-1778174C47A7}"/>
    <cellStyle name="Currency 4 2 2 3 5 5" xfId="16457" xr:uid="{9AB822C2-1588-42F8-943D-E0258AB25A9A}"/>
    <cellStyle name="Currency 4 2 2 3 6" xfId="4942" xr:uid="{66E85FEB-3D31-49A1-8112-4EA1334B0591}"/>
    <cellStyle name="Currency 4 2 2 3 6 2" xfId="25932" xr:uid="{A128CCC4-F47A-4B50-A174-18F517781FE9}"/>
    <cellStyle name="Currency 4 2 2 3 6 3" xfId="27597" xr:uid="{0A2C335F-ADB7-43CE-AEB9-B2A88B3C7C2A}"/>
    <cellStyle name="Currency 4 2 2 3 6 4" xfId="14237" xr:uid="{F7241AC6-56D9-4A60-98A9-B4C740F85212}"/>
    <cellStyle name="Currency 4 2 2 3 7" xfId="6690" xr:uid="{86F2CBE7-DEE3-4F39-B0A0-F72FF436338F}"/>
    <cellStyle name="Currency 4 2 2 3 7 2" xfId="27507" xr:uid="{682B9FDD-1A05-400E-92AE-A006F4ABDC57}"/>
    <cellStyle name="Currency 4 2 2 3 7 3" xfId="27081" xr:uid="{CE759CE1-7EF2-445D-BC83-7828FB74C5F0}"/>
    <cellStyle name="Currency 4 2 2 3 7 4" xfId="17070" xr:uid="{FD0314CA-2EC9-4017-AA15-A8E7FF309620}"/>
    <cellStyle name="Currency 4 2 2 3 8" xfId="9523" xr:uid="{AFD745C1-6FE5-41C6-9F9B-3C2CD35EBF91}"/>
    <cellStyle name="Currency 4 2 2 3 8 2" xfId="19903" xr:uid="{47128C4A-90B2-49E8-9482-60BEA9C11F66}"/>
    <cellStyle name="Currency 4 2 2 3 9" xfId="25214" xr:uid="{3120D515-0BF3-471E-B23D-AC38E91AAB33}"/>
    <cellStyle name="Currency 4 2 2 4" xfId="1870" xr:uid="{00000000-0005-0000-0000-000063030000}"/>
    <cellStyle name="Currency 4 2 2 4 2" xfId="3089" xr:uid="{00000000-0005-0000-0000-000083020000}"/>
    <cellStyle name="Currency 4 2 2 4 2 2" xfId="8169" xr:uid="{B249E808-69BA-41E5-8517-06DD57AB579C}"/>
    <cellStyle name="Currency 4 2 2 4 2 2 2" xfId="28839" xr:uid="{D6F6C0B3-24CD-49D3-9FE1-5B5A449CBB59}"/>
    <cellStyle name="Currency 4 2 2 4 2 2 2 2" xfId="31233" xr:uid="{69AF95F0-2C79-4BC4-A731-DBA5CA72172F}"/>
    <cellStyle name="Currency 4 2 2 4 2 2 2 3" xfId="30835" xr:uid="{F7ED024B-50A5-4D78-9170-B4E74ADDAF8F}"/>
    <cellStyle name="Currency 4 2 2 4 2 2 3" xfId="27663" xr:uid="{FE1F9BD8-45C0-4168-80EA-FFDAF9B57489}"/>
    <cellStyle name="Currency 4 2 2 4 2 2 4" xfId="18549" xr:uid="{F48EE902-35A7-4BF1-9B26-C1E31B105C17}"/>
    <cellStyle name="Currency 4 2 2 4 2 3" xfId="11002" xr:uid="{E1C145DE-9ED4-4C61-A237-6B63AB3CB48E}"/>
    <cellStyle name="Currency 4 2 2 4 2 3 2" xfId="21382" xr:uid="{B0FC5EB6-BB8C-4AB1-B5D6-872074AAD62C}"/>
    <cellStyle name="Currency 4 2 2 4 2 4" xfId="25710" xr:uid="{A6864269-8090-4440-A199-8765F072ADFD}"/>
    <cellStyle name="Currency 4 2 2 4 2 5" xfId="15716" xr:uid="{1A8C1341-98D4-4639-9C51-3862C5A8F731}"/>
    <cellStyle name="Currency 4 2 2 4 3" xfId="3658" xr:uid="{00000000-0005-0000-0000-000063030000}"/>
    <cellStyle name="Currency 4 2 2 4 4" xfId="4424" xr:uid="{CF69BC13-52B8-4798-8E81-C7268A38C4FA}"/>
    <cellStyle name="Currency 4 2 2 4 4 2" xfId="9196" xr:uid="{25EC9408-17FB-4110-9134-B0181A0953B7}"/>
    <cellStyle name="Currency 4 2 2 4 4 2 2" xfId="19576" xr:uid="{EB5CBB7B-9B8D-4BF2-A01D-4B991EC898A3}"/>
    <cellStyle name="Currency 4 2 2 4 4 2 3" xfId="31090" xr:uid="{ADCB1A0A-2CA2-44D3-9A0C-3CB9A9AFA32C}"/>
    <cellStyle name="Currency 4 2 2 4 4 2 4" xfId="30834" xr:uid="{93DE7190-B7AD-4AB0-B507-D2661CDEBD52}"/>
    <cellStyle name="Currency 4 2 2 4 4 3" xfId="12029" xr:uid="{45D01D25-64E5-4D7B-B559-F428CC890CC5}"/>
    <cellStyle name="Currency 4 2 2 4 4 3 2" xfId="22409" xr:uid="{B1793D73-9662-4491-B6B8-AD4071769B2C}"/>
    <cellStyle name="Currency 4 2 2 4 4 4" xfId="26830" xr:uid="{86EEE576-954E-46C6-8F94-D72670018F49}"/>
    <cellStyle name="Currency 4 2 2 4 4 5" xfId="27078" xr:uid="{B8309A1A-9020-4BB3-B765-C3DD96BB5058}"/>
    <cellStyle name="Currency 4 2 2 4 4 6" xfId="16743" xr:uid="{80C1B030-FA98-4752-BD54-270B469BDE53}"/>
    <cellStyle name="Currency 4 2 2 4 5" xfId="5668" xr:uid="{9E1FAF8C-48F2-4F7F-A8B8-765DCFB35246}"/>
    <cellStyle name="Currency 4 2 2 4 5 2" xfId="29696" xr:uid="{DF7D1619-517D-47AF-AAFD-626650862B22}"/>
    <cellStyle name="Currency 4 2 2 4 5 2 2" xfId="30986" xr:uid="{6FA4CAAA-8E9A-4CF5-91CC-0CAAFF2C5227}"/>
    <cellStyle name="Currency 4 2 2 4 6" xfId="23817" xr:uid="{35ADBFBA-A85C-477A-84F5-63440B36A8E0}"/>
    <cellStyle name="Currency 4 2 2 4 7" xfId="13603" xr:uid="{5DF953C3-1FED-4440-A60D-B6FE9F74927B}"/>
    <cellStyle name="Currency 4 2 2 5" xfId="1871" xr:uid="{00000000-0005-0000-0000-000064030000}"/>
    <cellStyle name="Currency 4 2 2 5 2" xfId="2883" xr:uid="{00000000-0005-0000-0000-000084020000}"/>
    <cellStyle name="Currency 4 2 2 5 2 2" xfId="8000" xr:uid="{39A33189-87A6-47F7-AE7B-3CE47C8BD1E0}"/>
    <cellStyle name="Currency 4 2 2 5 2 2 2" xfId="28696" xr:uid="{CB894F0A-1EC9-4C97-B186-4672DCD65E4E}"/>
    <cellStyle name="Currency 4 2 2 5 2 2 2 2" xfId="31213" xr:uid="{DDC9AFF2-2326-4EB9-95EC-058A72C5EA4C}"/>
    <cellStyle name="Currency 4 2 2 5 2 2 2 3" xfId="30836" xr:uid="{33C4AC48-D594-48B2-8E15-C4425C6412AB}"/>
    <cellStyle name="Currency 4 2 2 5 2 2 3" xfId="27641" xr:uid="{C1626618-0956-44A0-841F-AC04F55A02CD}"/>
    <cellStyle name="Currency 4 2 2 5 2 2 4" xfId="18380" xr:uid="{6E6533DC-EAC9-4A28-9F2E-162B9DFA2256}"/>
    <cellStyle name="Currency 4 2 2 5 2 3" xfId="10833" xr:uid="{C2851AB1-8DD7-440F-9C38-6DB498380CD3}"/>
    <cellStyle name="Currency 4 2 2 5 2 3 2" xfId="21213" xr:uid="{17197483-858B-441E-8415-CE8B299F041B}"/>
    <cellStyle name="Currency 4 2 2 5 2 4" xfId="28513" xr:uid="{D122D015-4BB5-48E6-8525-1DB2A3C3DCB6}"/>
    <cellStyle name="Currency 4 2 2 5 2 5" xfId="15547" xr:uid="{06D4D528-8926-46F3-A3DA-B3E62D726AD4}"/>
    <cellStyle name="Currency 4 2 2 5 3" xfId="3583" xr:uid="{00000000-0005-0000-0000-000064030000}"/>
    <cellStyle name="Currency 4 2 2 5 4" xfId="5669" xr:uid="{58D8500D-FBEA-4C98-8081-053458571054}"/>
    <cellStyle name="Currency 4 2 2 5 4 2" xfId="29927" xr:uid="{924939E3-BF39-442A-AD08-F63E11A1C0F0}"/>
    <cellStyle name="Currency 4 2 2 5 5" xfId="24709" xr:uid="{1126450A-31DB-4C4F-A335-641F4D6358E9}"/>
    <cellStyle name="Currency 4 2 2 5 6" xfId="13382" xr:uid="{B9CC0FFD-36D7-45F1-8435-2944F2221DC5}"/>
    <cellStyle name="Currency 4 2 2 6" xfId="1863" xr:uid="{00000000-0005-0000-0000-000065030000}"/>
    <cellStyle name="Currency 4 2 2 6 2" xfId="2554" xr:uid="{00000000-0005-0000-0000-000085020000}"/>
    <cellStyle name="Currency 4 2 2 6 2 2" xfId="7679" xr:uid="{3D87AF66-468E-446E-8E2A-12333BEEC211}"/>
    <cellStyle name="Currency 4 2 2 6 2 2 2" xfId="18059" xr:uid="{9D1B622F-8CE9-4FAE-8DE9-FF2B53091631}"/>
    <cellStyle name="Currency 4 2 2 6 2 3" xfId="10512" xr:uid="{AE359255-6574-4D24-BC2C-EC9BC5BE4DD1}"/>
    <cellStyle name="Currency 4 2 2 6 2 3 2" xfId="20892" xr:uid="{B859BCC4-C3FA-4BDC-A65D-0286EBFF7CE3}"/>
    <cellStyle name="Currency 4 2 2 6 2 4" xfId="28247" xr:uid="{A12BB49D-A8F9-4964-9A34-0C236A16D621}"/>
    <cellStyle name="Currency 4 2 2 6 2 5" xfId="25942" xr:uid="{B0A45D3E-317E-4D72-B4F1-4EEBBA210DD0}"/>
    <cellStyle name="Currency 4 2 2 6 2 6" xfId="15226" xr:uid="{F8B74700-4FBE-4A67-97B7-952F3D106425}"/>
    <cellStyle name="Currency 4 2 2 6 3" xfId="3622" xr:uid="{00000000-0005-0000-0000-000065030000}"/>
    <cellStyle name="Currency 4 2 2 6 4" xfId="5662" xr:uid="{229CF4C7-E3F3-480B-A319-0C1C5676E734}"/>
    <cellStyle name="Currency 4 2 2 6 4 2" xfId="29881" xr:uid="{90064861-D917-4C49-97BF-764532CE1FD2}"/>
    <cellStyle name="Currency 4 2 2 6 5" xfId="25123" xr:uid="{07D8DC91-EC45-4BF7-9FC3-FFAF7C1D6E88}"/>
    <cellStyle name="Currency 4 2 2 6 6" xfId="12942" xr:uid="{A5B3E042-E960-477F-9489-5C7CF4EE0B5B}"/>
    <cellStyle name="Currency 4 2 2 7" xfId="2248" xr:uid="{00000000-0005-0000-0000-000079020000}"/>
    <cellStyle name="Currency 4 2 2 7 2" xfId="7375" xr:uid="{CF61BC43-D246-40C1-8228-F46B8E85AA20}"/>
    <cellStyle name="Currency 4 2 2 7 2 2" xfId="27457" xr:uid="{155B2DC9-5B67-461A-8EAA-84F12AA59FCC}"/>
    <cellStyle name="Currency 4 2 2 7 2 2 2" xfId="31193" xr:uid="{8BFEFF6A-F05D-4F21-A359-E27BC701FB97}"/>
    <cellStyle name="Currency 4 2 2 7 2 2 3" xfId="30837" xr:uid="{AD4086B9-CE40-4A7C-AF4B-5AEC0730E92D}"/>
    <cellStyle name="Currency 4 2 2 7 2 3" xfId="27141" xr:uid="{F94D2FD7-9A02-40AF-8B43-7BF5C73AF079}"/>
    <cellStyle name="Currency 4 2 2 7 2 4" xfId="17755" xr:uid="{DBAA10A6-010A-4A90-8EA4-0D37EA7DA690}"/>
    <cellStyle name="Currency 4 2 2 7 3" xfId="10208" xr:uid="{B5A59965-5130-43D4-BD34-6120EF025F3B}"/>
    <cellStyle name="Currency 4 2 2 7 3 2" xfId="20588" xr:uid="{C290ED95-C53C-4400-AF1F-4BBD0AF54E79}"/>
    <cellStyle name="Currency 4 2 2 7 4" xfId="25139" xr:uid="{263A0DD8-E8EA-4EAC-8584-88E97C69B1A3}"/>
    <cellStyle name="Currency 4 2 2 7 5" xfId="14922" xr:uid="{83F0063F-A364-4B33-9973-13665D2F9F7E}"/>
    <cellStyle name="Currency 4 2 2 8" xfId="3883" xr:uid="{02D6025C-9008-4080-A62F-87941E94EAC3}"/>
    <cellStyle name="Currency 4 2 2 8 2" xfId="8715" xr:uid="{31ABCD9A-557C-4FBD-B23D-4E8EA293FC85}"/>
    <cellStyle name="Currency 4 2 2 8 2 2" xfId="19095" xr:uid="{00DFE264-E757-4BD1-BEED-EDC5FF6E9E40}"/>
    <cellStyle name="Currency 4 2 2 8 3" xfId="11548" xr:uid="{555440EB-A1AE-4960-8CF0-72DF55CCC59F}"/>
    <cellStyle name="Currency 4 2 2 8 3 2" xfId="21928" xr:uid="{86593793-E730-4EA6-BCCA-C72710799FA4}"/>
    <cellStyle name="Currency 4 2 2 8 4" xfId="27788" xr:uid="{F66A2384-47A5-4FA5-820D-9018DE561E82}"/>
    <cellStyle name="Currency 4 2 2 8 5" xfId="26745" xr:uid="{186FE025-C58D-40FD-8360-E37021ADA0FB}"/>
    <cellStyle name="Currency 4 2 2 8 6" xfId="16262" xr:uid="{A5E47255-A51E-4511-8025-47516A45DD44}"/>
    <cellStyle name="Currency 4 2 2 9" xfId="4940" xr:uid="{A4837D9E-0938-4336-AB79-069CE2A75BEB}"/>
    <cellStyle name="Currency 4 2 2 9 2" xfId="28367" xr:uid="{3DF05A3F-F5D8-48EB-9C06-9CE90129E617}"/>
    <cellStyle name="Currency 4 2 2 9 3" xfId="27347" xr:uid="{34372BF1-5B0F-4D78-8F8E-BE7F7FE86EE0}"/>
    <cellStyle name="Currency 4 2 2 9 4" xfId="14235" xr:uid="{B87B5004-9D66-42A9-B637-834375DCC983}"/>
    <cellStyle name="Currency 4 2 3" xfId="560" xr:uid="{00000000-0005-0000-0000-000066030000}"/>
    <cellStyle name="Currency 4 2 3 10" xfId="9524" xr:uid="{695ED208-2620-44DF-8ED8-E638FF8739D1}"/>
    <cellStyle name="Currency 4 2 3 10 2" xfId="19904" xr:uid="{8EC27CBF-38A1-4ACC-A7E0-07191E691C39}"/>
    <cellStyle name="Currency 4 2 3 11" xfId="23275" xr:uid="{E3E388FA-5DD8-4981-84F3-518176296E34}"/>
    <cellStyle name="Currency 4 2 3 12" xfId="12525" xr:uid="{92D5FDE4-7754-4360-AE4E-375B07903A2C}"/>
    <cellStyle name="Currency 4 2 3 2" xfId="1873" xr:uid="{00000000-0005-0000-0000-000067030000}"/>
    <cellStyle name="Currency 4 2 3 2 2" xfId="3091" xr:uid="{00000000-0005-0000-0000-000088020000}"/>
    <cellStyle name="Currency 4 2 3 2 2 2" xfId="6172" xr:uid="{529FDFE1-490E-439F-9A13-75EB267CAC06}"/>
    <cellStyle name="Currency 4 2 3 2 2 2 2" xfId="25786" xr:uid="{F431D705-0B00-4DD5-933D-39E3B7975FE7}"/>
    <cellStyle name="Currency 4 2 3 2 2 2 2 2" xfId="28577" xr:uid="{33859A7B-3E3E-44FA-AB81-4F9A6CEE3E82}"/>
    <cellStyle name="Currency 4 2 3 2 2 2 2 3" xfId="31165" xr:uid="{3B754025-5AC2-41B4-85AB-66A50B2BE5A3}"/>
    <cellStyle name="Currency 4 2 3 2 2 2 3" xfId="27869" xr:uid="{A981DF5B-5B04-4B53-915B-2398880F7EA4}"/>
    <cellStyle name="Currency 4 2 3 2 2 2 4" xfId="15718" xr:uid="{C24EDAA9-5D1E-4600-86CF-2ED8BEF3ABA6}"/>
    <cellStyle name="Currency 4 2 3 2 2 3" xfId="8171" xr:uid="{34656554-6727-4A10-9ACA-B181A3EE2E28}"/>
    <cellStyle name="Currency 4 2 3 2 2 3 2" xfId="18551" xr:uid="{F72D74B5-7058-43DA-857E-5760BF2B87F3}"/>
    <cellStyle name="Currency 4 2 3 2 2 4" xfId="11004" xr:uid="{5932ADF4-53B9-4E05-9A00-5465848E08D8}"/>
    <cellStyle name="Currency 4 2 3 2 2 4 2" xfId="21384" xr:uid="{525AD4BB-1C5B-4334-9322-D0C6B119D911}"/>
    <cellStyle name="Currency 4 2 3 2 2 5" xfId="24238" xr:uid="{1A5353D5-0119-46F7-B2FB-9B1991F58909}"/>
    <cellStyle name="Currency 4 2 3 2 2 5 2" xfId="30082" xr:uid="{21807AB0-79A4-4976-8C9B-271BC80672DC}"/>
    <cellStyle name="Currency 4 2 3 2 2 6" xfId="26206" xr:uid="{2BC38E44-7C15-46FF-BAD3-946606B00C78}"/>
    <cellStyle name="Currency 4 2 3 2 2 7" xfId="13605" xr:uid="{6932969E-A1A3-4AC4-8909-D1F94B61B969}"/>
    <cellStyle name="Currency 4 2 3 2 3" xfId="2694" xr:uid="{00000000-0005-0000-0000-000087020000}"/>
    <cellStyle name="Currency 4 2 3 2 3 2" xfId="7818" xr:uid="{5DFFB09E-D274-43B4-B6E0-BD55CF92B166}"/>
    <cellStyle name="Currency 4 2 3 2 3 2 2" xfId="28182" xr:uid="{63F14ABF-E145-4E7D-B680-BE1E0C62CDDA}"/>
    <cellStyle name="Currency 4 2 3 2 3 2 3" xfId="27692" xr:uid="{7619C5EA-2AFE-4ABE-BAFA-968FD09C35B7}"/>
    <cellStyle name="Currency 4 2 3 2 3 2 4" xfId="18198" xr:uid="{421F896E-D0D1-4FB9-A760-44BC4C8C6E60}"/>
    <cellStyle name="Currency 4 2 3 2 3 3" xfId="10651" xr:uid="{845C16D8-8D3E-41C7-8397-39891DB842CE}"/>
    <cellStyle name="Currency 4 2 3 2 3 3 2" xfId="21031" xr:uid="{4541039F-E2E9-43CB-B98F-E3493F725D50}"/>
    <cellStyle name="Currency 4 2 3 2 3 4" xfId="24102" xr:uid="{43A3297C-4A6C-4FA1-84AD-A107F954B7B8}"/>
    <cellStyle name="Currency 4 2 3 2 3 5" xfId="15365" xr:uid="{4D537A8F-8D36-4A54-87CC-7F5812182BA3}"/>
    <cellStyle name="Currency 4 2 3 2 4" xfId="3616" xr:uid="{00000000-0005-0000-0000-000067030000}"/>
    <cellStyle name="Currency 4 2 3 2 4 2" xfId="28594" xr:uid="{34300D74-C053-4AAD-9447-88E2ED878C9A}"/>
    <cellStyle name="Currency 4 2 3 2 4 3" xfId="26231" xr:uid="{149D8F1A-E6C2-4FB7-87CA-FA6E9DD07168}"/>
    <cellStyle name="Currency 4 2 3 2 5" xfId="4273" xr:uid="{6C21EA1C-5FC1-4AF8-8D45-861CCF0AD6F3}"/>
    <cellStyle name="Currency 4 2 3 2 5 2" xfId="9045" xr:uid="{D2CE4BA3-C487-47E9-9CAE-F483B713702D}"/>
    <cellStyle name="Currency 4 2 3 2 5 2 2" xfId="19425" xr:uid="{4E1B1DE2-BE2D-429C-ABFB-2D7273E3FB02}"/>
    <cellStyle name="Currency 4 2 3 2 5 2 3" xfId="31049" xr:uid="{92252FF1-0E6E-4F89-9FC8-C021125B6D9E}"/>
    <cellStyle name="Currency 4 2 3 2 5 2 4" xfId="30838" xr:uid="{2AE58734-02FC-450F-90A1-8F5E85C2D3B9}"/>
    <cellStyle name="Currency 4 2 3 2 5 3" xfId="11878" xr:uid="{BE6DA673-B497-4F82-B97B-096E06E1E983}"/>
    <cellStyle name="Currency 4 2 3 2 5 3 2" xfId="22258" xr:uid="{819E14CE-8029-4574-8034-A7B24823BEAB}"/>
    <cellStyle name="Currency 4 2 3 2 5 4" xfId="28717" xr:uid="{61A02F48-DA36-4DA1-BB9A-2CEFB590F505}"/>
    <cellStyle name="Currency 4 2 3 2 5 5" xfId="25921" xr:uid="{329B915E-4F03-4FBD-9623-05CA2ADFF798}"/>
    <cellStyle name="Currency 4 2 3 2 5 6" xfId="16592" xr:uid="{7C3E439B-919E-4FBE-BCB6-38BA65C38AC5}"/>
    <cellStyle name="Currency 4 2 3 2 6" xfId="5671" xr:uid="{ECC4CDE5-61C7-4742-B2AF-01B672A90F98}"/>
    <cellStyle name="Currency 4 2 3 2 6 2" xfId="29728" xr:uid="{FE5A2704-6749-4B6E-8BB6-A7683E9B9E0D}"/>
    <cellStyle name="Currency 4 2 3 2 6 2 2" xfId="30987" xr:uid="{39D5B816-D691-4D85-95CC-46B2E8671A0E}"/>
    <cellStyle name="Currency 4 2 3 2 7" xfId="23523" xr:uid="{E6D4F43F-005B-44E0-A529-E07D81929683}"/>
    <cellStyle name="Currency 4 2 3 2 8" xfId="13107" xr:uid="{2F7DCC0A-CB6C-48C1-8D0F-8FB466F04FD1}"/>
    <cellStyle name="Currency 4 2 3 2 9" xfId="29994" xr:uid="{CE033F57-9BDB-4821-8A87-DD0E4EAE44F2}"/>
    <cellStyle name="Currency 4 2 3 3" xfId="1874" xr:uid="{00000000-0005-0000-0000-000068030000}"/>
    <cellStyle name="Currency 4 2 3 3 2" xfId="3092" xr:uid="{00000000-0005-0000-0000-000089020000}"/>
    <cellStyle name="Currency 4 2 3 3 2 2" xfId="8172" xr:uid="{D83CBDCA-093F-4CCB-8B52-A7FE5C85D8BC}"/>
    <cellStyle name="Currency 4 2 3 3 2 2 2" xfId="28841" xr:uid="{8E98CBE0-E801-4D1E-8075-39B91C1C3D46}"/>
    <cellStyle name="Currency 4 2 3 3 2 2 2 2" xfId="31234" xr:uid="{C99B5626-34D4-4ECE-A3A0-3BD7C3C868CA}"/>
    <cellStyle name="Currency 4 2 3 3 2 2 2 3" xfId="30840" xr:uid="{540CDF2A-17D0-4EA1-8CE7-D91FE6235E7F}"/>
    <cellStyle name="Currency 4 2 3 3 2 2 3" xfId="28362" xr:uid="{19617199-D83D-4AC7-90B6-59B24B7F329C}"/>
    <cellStyle name="Currency 4 2 3 3 2 2 4" xfId="18552" xr:uid="{3E2E16FA-DCE9-46FF-B8A4-F05A297A4526}"/>
    <cellStyle name="Currency 4 2 3 3 2 3" xfId="11005" xr:uid="{7CFAE4A0-4080-4C07-80C7-E28373BFBF7D}"/>
    <cellStyle name="Currency 4 2 3 3 2 3 2" xfId="21385" xr:uid="{D0FE9186-B2E3-43CB-B7F5-B0B8BC9A5375}"/>
    <cellStyle name="Currency 4 2 3 3 2 4" xfId="25536" xr:uid="{44024CD4-E30C-4AB6-BC07-6BA716230037}"/>
    <cellStyle name="Currency 4 2 3 3 2 5" xfId="15719" xr:uid="{9693027F-2390-42EA-BA52-62532ADB1EB8}"/>
    <cellStyle name="Currency 4 2 3 3 3" xfId="3696" xr:uid="{00000000-0005-0000-0000-000068030000}"/>
    <cellStyle name="Currency 4 2 3 3 4" xfId="4425" xr:uid="{5BDB5EC5-CCD8-4C46-BD80-392ACA59EAB0}"/>
    <cellStyle name="Currency 4 2 3 3 4 2" xfId="9197" xr:uid="{C1E69659-3681-45CB-91F0-E14049CFA03C}"/>
    <cellStyle name="Currency 4 2 3 3 4 2 2" xfId="19577" xr:uid="{85A96AB0-93FD-45A8-96BD-571FE5277C62}"/>
    <cellStyle name="Currency 4 2 3 3 4 2 3" xfId="31091" xr:uid="{2085B30E-C37C-4522-A981-D6661F484E54}"/>
    <cellStyle name="Currency 4 2 3 3 4 2 4" xfId="30839" xr:uid="{C2DA64AC-30E0-4B03-B951-7E831A57408C}"/>
    <cellStyle name="Currency 4 2 3 3 4 3" xfId="12030" xr:uid="{DF8D0B10-B80B-4C88-AA50-4ED2ED041C8A}"/>
    <cellStyle name="Currency 4 2 3 3 4 3 2" xfId="22410" xr:uid="{4FB6F006-0045-4513-A45D-725B561FB53A}"/>
    <cellStyle name="Currency 4 2 3 3 4 4" xfId="16744" xr:uid="{856CCB70-DBD9-45B6-B09F-84B16CE69444}"/>
    <cellStyle name="Currency 4 2 3 3 5" xfId="5672" xr:uid="{742C104B-D487-477C-A233-160ADA915D3F}"/>
    <cellStyle name="Currency 4 2 3 3 5 2" xfId="29701" xr:uid="{8B2CE640-C1D9-4645-B3FB-D2F01298CF19}"/>
    <cellStyle name="Currency 4 2 3 3 5 2 2" xfId="30988" xr:uid="{0C3D6EFD-9BBD-4736-8CE3-EC30A16ED133}"/>
    <cellStyle name="Currency 4 2 3 3 6" xfId="24725" xr:uid="{BD39BC1E-AABB-4030-A7E8-3000083EDE7C}"/>
    <cellStyle name="Currency 4 2 3 3 7" xfId="13606" xr:uid="{F03C87AD-13DC-43F5-B66B-1FB7AEC9B24E}"/>
    <cellStyle name="Currency 4 2 3 4" xfId="1872" xr:uid="{00000000-0005-0000-0000-000069030000}"/>
    <cellStyle name="Currency 4 2 3 4 2" xfId="3090" xr:uid="{00000000-0005-0000-0000-00008A020000}"/>
    <cellStyle name="Currency 4 2 3 4 2 2" xfId="8170" xr:uid="{5C881F30-0B2B-4648-A0A4-7DBA5ED0CCAD}"/>
    <cellStyle name="Currency 4 2 3 4 2 2 2" xfId="28840" xr:uid="{AC3AFC22-5037-4FFD-B57F-C0946715E48A}"/>
    <cellStyle name="Currency 4 2 3 4 2 2 3" xfId="27348" xr:uid="{814C2E99-50A8-4FF5-8C1F-28C53EAAAF84}"/>
    <cellStyle name="Currency 4 2 3 4 2 2 4" xfId="18550" xr:uid="{D6C59507-A017-43D8-903A-AB98D4BECB59}"/>
    <cellStyle name="Currency 4 2 3 4 2 3" xfId="11003" xr:uid="{7D840997-B835-4F73-AEA9-AC9E4299B1E8}"/>
    <cellStyle name="Currency 4 2 3 4 2 3 2" xfId="21383" xr:uid="{958B9C8A-4531-4E13-B949-0D70D92A0A8B}"/>
    <cellStyle name="Currency 4 2 3 4 2 4" xfId="24006" xr:uid="{2F9351C4-E203-419F-9DCF-75B9A7A27534}"/>
    <cellStyle name="Currency 4 2 3 4 2 5" xfId="15717" xr:uid="{887C9BDA-5D0E-4F0C-8D00-8C51FE003AF2}"/>
    <cellStyle name="Currency 4 2 3 4 3" xfId="2078" xr:uid="{00000000-0005-0000-0000-000069030000}"/>
    <cellStyle name="Currency 4 2 3 4 4" xfId="5670" xr:uid="{49E33153-542F-4E88-B6C3-166F4B1C18DC}"/>
    <cellStyle name="Currency 4 2 3 4 4 2" xfId="29967" xr:uid="{D1E42E86-3344-414E-8575-B8C7A311F714}"/>
    <cellStyle name="Currency 4 2 3 4 5" xfId="22650" xr:uid="{62BA27C6-77E6-41BD-8D63-3BCD72104C5F}"/>
    <cellStyle name="Currency 4 2 3 4 6" xfId="13604" xr:uid="{A451A3AB-0BB6-4084-8903-9C99083D7011}"/>
    <cellStyle name="Currency 4 2 3 5" xfId="2597" xr:uid="{00000000-0005-0000-0000-00008B020000}"/>
    <cellStyle name="Currency 4 2 3 5 2" xfId="5862" xr:uid="{BF8B7BF8-8050-4AE5-86B0-FCA739EDFF6C}"/>
    <cellStyle name="Currency 4 2 3 5 2 2" xfId="27996" xr:uid="{52F07813-E789-4CF5-9D08-E661A5C701DE}"/>
    <cellStyle name="Currency 4 2 3 5 2 2 2" xfId="31199" xr:uid="{A372AF4B-0BAD-46E7-AA5D-F790CCD5BF14}"/>
    <cellStyle name="Currency 4 2 3 5 2 2 3" xfId="30841" xr:uid="{2DA2947D-AA7D-4126-9341-6CAA595EB8A4}"/>
    <cellStyle name="Currency 4 2 3 5 2 3" xfId="28390" xr:uid="{8E563ED7-F0F0-45B6-BAE0-76BA186494E3}"/>
    <cellStyle name="Currency 4 2 3 5 2 4" xfId="15269" xr:uid="{3CE94080-81E3-4EA5-89A9-06744ACA887F}"/>
    <cellStyle name="Currency 4 2 3 5 3" xfId="7722" xr:uid="{10A27F76-22D1-40F1-9D4E-3B6CD16079DF}"/>
    <cellStyle name="Currency 4 2 3 5 3 2" xfId="18102" xr:uid="{7F7DFED3-7BB8-455F-9995-CEFD7DF182BF}"/>
    <cellStyle name="Currency 4 2 3 5 4" xfId="10555" xr:uid="{8E36015E-7D5F-43EF-AC56-4E500078CE31}"/>
    <cellStyle name="Currency 4 2 3 5 4 2" xfId="20935" xr:uid="{EB5A8D79-EB5E-45E2-999F-30A02B06F379}"/>
    <cellStyle name="Currency 4 2 3 5 5" xfId="23648" xr:uid="{8D2AA314-6331-4CE2-A009-BA60DC777D95}"/>
    <cellStyle name="Currency 4 2 3 5 6" xfId="12985" xr:uid="{01C63BBB-8E9A-4A69-8249-8F15043C4F8F}"/>
    <cellStyle name="Currency 4 2 3 6" xfId="2293" xr:uid="{00000000-0005-0000-0000-000086020000}"/>
    <cellStyle name="Currency 4 2 3 6 2" xfId="7420" xr:uid="{3EDDEF0C-1170-44FC-9E29-73084BA92D9B}"/>
    <cellStyle name="Currency 4 2 3 6 2 2" xfId="17800" xr:uid="{5DB08EA5-B4BF-4D08-AE10-B1BCA4637284}"/>
    <cellStyle name="Currency 4 2 3 6 3" xfId="10253" xr:uid="{766D3AD7-0F8A-4BEB-99F0-47B8CFBA1265}"/>
    <cellStyle name="Currency 4 2 3 6 3 2" xfId="20633" xr:uid="{5CBF30F4-97C8-4CD2-8F89-56254FCB70D3}"/>
    <cellStyle name="Currency 4 2 3 6 4" xfId="24491" xr:uid="{08A6B700-F4DA-43CF-B126-E5EA9D210A08}"/>
    <cellStyle name="Currency 4 2 3 6 5" xfId="26180" xr:uid="{20347FE0-F2EA-44A7-A8C9-696BEDCF4246}"/>
    <cellStyle name="Currency 4 2 3 6 6" xfId="14967" xr:uid="{5271A6B4-83D2-498D-870F-F8FBF77613DD}"/>
    <cellStyle name="Currency 4 2 3 7" xfId="3828" xr:uid="{9411D43E-CDD6-4FE8-9E7A-3AD695C85148}"/>
    <cellStyle name="Currency 4 2 3 7 2" xfId="8661" xr:uid="{5519AB10-F8F2-4D99-B35F-2920FBCAB596}"/>
    <cellStyle name="Currency 4 2 3 7 2 2" xfId="19041" xr:uid="{3762F2F5-1A6B-4987-99BC-7F33792DA194}"/>
    <cellStyle name="Currency 4 2 3 7 3" xfId="11494" xr:uid="{03272CB4-0F1F-487B-8764-901F797A1C04}"/>
    <cellStyle name="Currency 4 2 3 7 3 2" xfId="21874" xr:uid="{0567CB41-A16A-4CB1-B5E6-4355AB676991}"/>
    <cellStyle name="Currency 4 2 3 7 4" xfId="27170" xr:uid="{B50D6951-3AFD-4C0A-AAB4-FA29C68C8620}"/>
    <cellStyle name="Currency 4 2 3 7 5" xfId="27293" xr:uid="{75015154-D464-4CCB-BD13-E277D11AC6A7}"/>
    <cellStyle name="Currency 4 2 3 7 6" xfId="16208" xr:uid="{1F217B41-0735-48D3-AEE7-8886CA084B4B}"/>
    <cellStyle name="Currency 4 2 3 8" xfId="4943" xr:uid="{77780067-030E-49AF-8FFE-4CA465D3A5C6}"/>
    <cellStyle name="Currency 4 2 3 8 2" xfId="14238" xr:uid="{600B4770-E496-4DD5-AFE1-1860E27E30CF}"/>
    <cellStyle name="Currency 4 2 3 9" xfId="6691" xr:uid="{BF23809D-EBF7-4EFE-86D3-CF7C525534CF}"/>
    <cellStyle name="Currency 4 2 3 9 2" xfId="17071" xr:uid="{1DF2657B-E75C-44F5-9CF7-84E234C571AD}"/>
    <cellStyle name="Currency 4 2 4" xfId="561" xr:uid="{00000000-0005-0000-0000-00006A030000}"/>
    <cellStyle name="Currency 4 2 4 10" xfId="12683" xr:uid="{9DA9BDBB-D445-405D-BA27-E0B7D5CB6604}"/>
    <cellStyle name="Currency 4 2 4 2" xfId="1876" xr:uid="{00000000-0005-0000-0000-00006B030000}"/>
    <cellStyle name="Currency 4 2 4 2 2" xfId="3093" xr:uid="{00000000-0005-0000-0000-00008D020000}"/>
    <cellStyle name="Currency 4 2 4 2 2 2" xfId="8173" xr:uid="{CFB74B2A-0CBE-40EE-92E1-1BACF4A65146}"/>
    <cellStyle name="Currency 4 2 4 2 2 2 2" xfId="28842" xr:uid="{ED178F4A-FEEE-466E-AC2A-B99B31DCC047}"/>
    <cellStyle name="Currency 4 2 4 2 2 2 3" xfId="26434" xr:uid="{E651ACCA-3D04-4362-9B0F-584E41BCF71F}"/>
    <cellStyle name="Currency 4 2 4 2 2 2 4" xfId="18553" xr:uid="{440D2D27-4EF5-4E3E-86BE-831E0D4C899A}"/>
    <cellStyle name="Currency 4 2 4 2 2 3" xfId="11006" xr:uid="{FCA3847D-3FF1-4472-B67C-BE8CF608A60C}"/>
    <cellStyle name="Currency 4 2 4 2 2 3 2" xfId="21386" xr:uid="{361E8EA1-4C7C-4CF3-9F7C-90F78BB283B3}"/>
    <cellStyle name="Currency 4 2 4 2 2 4" xfId="25525" xr:uid="{020CC287-4FBA-4C24-A9A5-7C37D3A3181B}"/>
    <cellStyle name="Currency 4 2 4 2 2 5" xfId="15720" xr:uid="{B01317A4-4A1D-4031-9F10-55C58A1D8E6D}"/>
    <cellStyle name="Currency 4 2 4 2 3" xfId="2862" xr:uid="{00000000-0005-0000-0000-00006B030000}"/>
    <cellStyle name="Currency 4 2 4 2 4" xfId="5673" xr:uid="{B894F6FB-E5D2-4426-BAE5-F361ED958DC3}"/>
    <cellStyle name="Currency 4 2 4 2 4 2" xfId="29782" xr:uid="{779327EA-EF40-48DB-992B-79710876AA2B}"/>
    <cellStyle name="Currency 4 2 4 2 5" xfId="24064" xr:uid="{645DD58F-3869-4C0D-9441-67FA2EE6DC69}"/>
    <cellStyle name="Currency 4 2 4 2 6" xfId="13607" xr:uid="{706296AA-0A5B-4EAF-BF06-F3AE995AD1C0}"/>
    <cellStyle name="Currency 4 2 4 3" xfId="1877" xr:uid="{00000000-0005-0000-0000-00006C030000}"/>
    <cellStyle name="Currency 4 2 4 3 2" xfId="2691" xr:uid="{00000000-0005-0000-0000-00008E020000}"/>
    <cellStyle name="Currency 4 2 4 3 2 2" xfId="7815" xr:uid="{45B4AD22-B857-4B3D-868F-EF1F991F9401}"/>
    <cellStyle name="Currency 4 2 4 3 2 2 2" xfId="18195" xr:uid="{C2AE4201-2DB8-47A4-962A-FDF7425F1B76}"/>
    <cellStyle name="Currency 4 2 4 3 2 3" xfId="10648" xr:uid="{425932D7-C8FB-4693-9F2C-0F54D708A077}"/>
    <cellStyle name="Currency 4 2 4 3 2 3 2" xfId="21028" xr:uid="{46A72BFD-107A-45BA-B43C-9ACD1F1572C4}"/>
    <cellStyle name="Currency 4 2 4 3 2 4" xfId="15362" xr:uid="{56B20FC1-F91B-4CCE-8163-6DCC8E68F688}"/>
    <cellStyle name="Currency 4 2 4 3 2 5" xfId="30452" xr:uid="{3E7E8B7A-271B-4ED0-B1E0-67B7EC7F1A1F}"/>
    <cellStyle name="Currency 4 2 4 3 3" xfId="3544" xr:uid="{00000000-0005-0000-0000-00006C030000}"/>
    <cellStyle name="Currency 4 2 4 3 4" xfId="5674" xr:uid="{08E421AE-DDE3-4B6C-AA1C-46544E7401B9}"/>
    <cellStyle name="Currency 4 2 4 3 4 2" xfId="29759" xr:uid="{2AC4BDB1-E701-44D9-B0FC-9883B7A7B3FF}"/>
    <cellStyle name="Currency 4 2 4 3 5" xfId="25345" xr:uid="{08DAE02F-1B6E-44AD-A9C8-912AD3AAD387}"/>
    <cellStyle name="Currency 4 2 4 3 6" xfId="13104" xr:uid="{82EBEC48-3D43-4E9D-B56D-7E929E0E1A17}"/>
    <cellStyle name="Currency 4 2 4 4" xfId="1875" xr:uid="{00000000-0005-0000-0000-00006D030000}"/>
    <cellStyle name="Currency 4 2 4 4 2" xfId="4674" xr:uid="{C9DA1A56-732E-4961-B2D9-0A915ACCB4C5}"/>
    <cellStyle name="Currency 4 2 4 4 2 2" xfId="9414" xr:uid="{7E88755F-A896-471C-8857-39454F619F9C}"/>
    <cellStyle name="Currency 4 2 4 4 2 2 2" xfId="19794" xr:uid="{4538922B-7154-4E44-BB56-F4171AAAE1F4}"/>
    <cellStyle name="Currency 4 2 4 4 2 3" xfId="12247" xr:uid="{DE8A55F2-EE62-41C6-8A66-CB165A7E6D10}"/>
    <cellStyle name="Currency 4 2 4 4 2 3 2" xfId="22627" xr:uid="{786E37C1-C954-4926-BD86-4FC6456CF137}"/>
    <cellStyle name="Currency 4 2 4 4 2 4" xfId="27425" xr:uid="{4843839A-BCB9-41CE-8805-8D0614D92E2A}"/>
    <cellStyle name="Currency 4 2 4 4 2 5" xfId="26256" xr:uid="{D30ADB09-C3D5-4D8C-886A-89143E520A69}"/>
    <cellStyle name="Currency 4 2 4 4 2 6" xfId="16961" xr:uid="{4D75FEE1-E172-457D-8E34-8A272A4E5949}"/>
    <cellStyle name="Currency 4 2 4 4 3" xfId="22701" xr:uid="{820DF042-B0AA-4327-B8F4-D655FDAD1E0D}"/>
    <cellStyle name="Currency 4 2 4 5" xfId="4137" xr:uid="{0946DA19-72C4-4F96-A1A1-F785B9C6BDD3}"/>
    <cellStyle name="Currency 4 2 4 5 2" xfId="8909" xr:uid="{52D4BD7B-0DFF-4DF8-B14E-5D13184F5469}"/>
    <cellStyle name="Currency 4 2 4 5 2 2" xfId="29013" xr:uid="{E710C129-20D4-4EA0-A247-8B6E8FB27B7F}"/>
    <cellStyle name="Currency 4 2 4 5 2 3" xfId="27995" xr:uid="{A14DBC58-1E78-4416-B710-8CEE806D9C5C}"/>
    <cellStyle name="Currency 4 2 4 5 2 4" xfId="19289" xr:uid="{45E24BB5-B74E-4C6E-A80D-67E7CC7F8C32}"/>
    <cellStyle name="Currency 4 2 4 5 2 5" xfId="31019" xr:uid="{CFD86F19-DED4-497F-A8E9-A80709CF90C1}"/>
    <cellStyle name="Currency 4 2 4 5 3" xfId="11742" xr:uid="{2D06F008-726C-4EA8-9BFA-B27F239E95B8}"/>
    <cellStyle name="Currency 4 2 4 5 3 2" xfId="22122" xr:uid="{B2CB1173-AC2D-48EF-99F8-74AE1DAD9F27}"/>
    <cellStyle name="Currency 4 2 4 5 4" xfId="23874" xr:uid="{24B491C3-5B43-4CC6-B7EF-7621C2CD760B}"/>
    <cellStyle name="Currency 4 2 4 5 5" xfId="16456" xr:uid="{4C351AFE-E773-49FC-B65C-B8A5A1A6D29E}"/>
    <cellStyle name="Currency 4 2 4 6" xfId="4944" xr:uid="{A85A3DAA-772F-42F7-BF9C-C31803A88D2F}"/>
    <cellStyle name="Currency 4 2 4 6 2" xfId="26950" xr:uid="{03811147-8C50-47E1-923A-26744278F7C8}"/>
    <cellStyle name="Currency 4 2 4 6 3" xfId="28170" xr:uid="{302BAD18-AED0-4DA1-A413-14D8B1B5424A}"/>
    <cellStyle name="Currency 4 2 4 6 4" xfId="14239" xr:uid="{D9AEFE65-B40E-45B2-9368-CB1A5C7C5D7C}"/>
    <cellStyle name="Currency 4 2 4 7" xfId="6692" xr:uid="{D7EBC9D8-EC36-4DE1-A16C-BF75E4923FA1}"/>
    <cellStyle name="Currency 4 2 4 7 2" xfId="27797" xr:uid="{50E52D62-6867-4317-BEEB-33758CF09BA5}"/>
    <cellStyle name="Currency 4 2 4 7 3" xfId="27054" xr:uid="{E8E6F158-4E81-48AC-9BA8-01025F1229BD}"/>
    <cellStyle name="Currency 4 2 4 7 4" xfId="17072" xr:uid="{0D456588-FC15-4460-9B0C-F6C7C29288FC}"/>
    <cellStyle name="Currency 4 2 4 8" xfId="9525" xr:uid="{B089C968-59EF-458D-82E3-1CFD27974824}"/>
    <cellStyle name="Currency 4 2 4 8 2" xfId="19905" xr:uid="{03179FD1-793B-47CD-ABA0-805593513C97}"/>
    <cellStyle name="Currency 4 2 4 9" xfId="25437" xr:uid="{429B4003-C873-4D2F-BCDF-EF56C7FA5C47}"/>
    <cellStyle name="Currency 4 2 5" xfId="562" xr:uid="{00000000-0005-0000-0000-00006E030000}"/>
    <cellStyle name="Currency 4 2 5 10" xfId="13608" xr:uid="{87F1B163-5B83-4557-A952-E2C29472F216}"/>
    <cellStyle name="Currency 4 2 5 2" xfId="1879" xr:uid="{00000000-0005-0000-0000-00006F030000}"/>
    <cellStyle name="Currency 4 2 5 2 2" xfId="24954" xr:uid="{BBEF5993-F8AC-4524-941D-112A15F3447D}"/>
    <cellStyle name="Currency 4 2 5 2 2 2" xfId="29679" xr:uid="{33DBED40-3AE8-4C44-861D-1863CE025044}"/>
    <cellStyle name="Currency 4 2 5 2 2 2 2" xfId="30843" xr:uid="{883563B9-AF8B-4872-A207-9A25B2B164BE}"/>
    <cellStyle name="Currency 4 2 5 2 3" xfId="23374" xr:uid="{043B26EB-F4A5-45D7-8163-B3F881D5C636}"/>
    <cellStyle name="Currency 4 2 5 2 4" xfId="30064" xr:uid="{2461003D-E32D-42BD-BB02-6DB484292D06}"/>
    <cellStyle name="Currency 4 2 5 3" xfId="1880" xr:uid="{00000000-0005-0000-0000-000070030000}"/>
    <cellStyle name="Currency 4 2 5 4" xfId="1878" xr:uid="{00000000-0005-0000-0000-000071030000}"/>
    <cellStyle name="Currency 4 2 5 5" xfId="4426" xr:uid="{FDF6B367-10B3-4EAE-9E49-B3C45734BFB2}"/>
    <cellStyle name="Currency 4 2 5 5 2" xfId="9198" xr:uid="{E85DF9EB-311B-4F81-9D96-394CE20C5CC6}"/>
    <cellStyle name="Currency 4 2 5 5 2 2" xfId="19578" xr:uid="{9A4B6684-C591-4F16-BFB6-3361E96139EE}"/>
    <cellStyle name="Currency 4 2 5 5 2 3" xfId="31092" xr:uid="{E7D19E49-7B60-44F2-B6FD-9392A2CF31AF}"/>
    <cellStyle name="Currency 4 2 5 5 2 4" xfId="30842" xr:uid="{784B0320-B780-4FBA-9D1B-039687A1453B}"/>
    <cellStyle name="Currency 4 2 5 5 3" xfId="12031" xr:uid="{8D53D6CB-B4E3-489F-BBCC-35A064EF6FAF}"/>
    <cellStyle name="Currency 4 2 5 5 3 2" xfId="22411" xr:uid="{64F3B7EC-0534-43AB-9EAD-0CC24A310D9A}"/>
    <cellStyle name="Currency 4 2 5 5 4" xfId="16745" xr:uid="{70F4C88B-8E51-42FE-8C6F-8A063CDA9E59}"/>
    <cellStyle name="Currency 4 2 5 6" xfId="4945" xr:uid="{D75D85CF-44E9-4C80-9CB6-9D9124C48907}"/>
    <cellStyle name="Currency 4 2 5 6 2" xfId="14240" xr:uid="{27564A53-3BA4-430B-B3EF-BF70748DDED5}"/>
    <cellStyle name="Currency 4 2 5 7" xfId="6693" xr:uid="{EF48389A-C1B4-42B8-8C4B-650B09C9B780}"/>
    <cellStyle name="Currency 4 2 5 7 2" xfId="17073" xr:uid="{F8AB562E-FFA0-4A7F-8969-4F39454F2260}"/>
    <cellStyle name="Currency 4 2 5 8" xfId="9526" xr:uid="{952B69F6-6B5D-4A85-847A-6DEDE172799E}"/>
    <cellStyle name="Currency 4 2 5 8 2" xfId="19906" xr:uid="{CEE02A62-0CD3-4293-B7B4-71B8F3D0F850}"/>
    <cellStyle name="Currency 4 2 5 9" xfId="23847" xr:uid="{2A72D9E9-32D0-4D14-AF50-E3BAE811FBCB}"/>
    <cellStyle name="Currency 4 2 6" xfId="1881" xr:uid="{00000000-0005-0000-0000-000072030000}"/>
    <cellStyle name="Currency 4 2 6 2" xfId="2882" xr:uid="{00000000-0005-0000-0000-000090020000}"/>
    <cellStyle name="Currency 4 2 6 2 2" xfId="7999" xr:uid="{5D8F085F-F860-4350-BA19-9FEA730AB68D}"/>
    <cellStyle name="Currency 4 2 6 2 2 2" xfId="26386" xr:uid="{4A5CEC5D-6DA3-4D94-BF9E-322F0E90D597}"/>
    <cellStyle name="Currency 4 2 6 2 2 2 2" xfId="31176" xr:uid="{93D65879-61DA-41FA-BF5B-6144E174BADC}"/>
    <cellStyle name="Currency 4 2 6 2 2 2 3" xfId="30844" xr:uid="{9E43A73B-313A-47DA-AE4A-45B5A584F094}"/>
    <cellStyle name="Currency 4 2 6 2 2 3" xfId="26504" xr:uid="{890B3BF8-48AC-47C6-AAC9-605649711EC0}"/>
    <cellStyle name="Currency 4 2 6 2 2 4" xfId="18379" xr:uid="{7FB0E7EE-E818-4648-B60B-1C8120B2A2CA}"/>
    <cellStyle name="Currency 4 2 6 2 3" xfId="10832" xr:uid="{61056E6D-32BB-45EE-8590-72DB29A983E9}"/>
    <cellStyle name="Currency 4 2 6 2 3 2" xfId="21212" xr:uid="{258AFFD5-7A7C-4EB2-84E4-9C0DB9D58681}"/>
    <cellStyle name="Currency 4 2 6 2 4" xfId="24955" xr:uid="{73DD1256-9F3D-417F-B69C-12C22E4E672C}"/>
    <cellStyle name="Currency 4 2 6 2 5" xfId="15546" xr:uid="{315A732A-0586-4DCE-A71C-DF0DB78775B4}"/>
    <cellStyle name="Currency 4 2 6 3" xfId="3621" xr:uid="{00000000-0005-0000-0000-000072030000}"/>
    <cellStyle name="Currency 4 2 6 4" xfId="5675" xr:uid="{4939E943-A2E0-427A-AEC4-B21F9D4F8159}"/>
    <cellStyle name="Currency 4 2 6 4 2" xfId="29769" xr:uid="{3E9B3AED-6894-4FB7-981B-D2BD8B1F19DF}"/>
    <cellStyle name="Currency 4 2 6 5" xfId="25114" xr:uid="{E30B2578-1288-47A3-B3BA-30B1805299C3}"/>
    <cellStyle name="Currency 4 2 6 6" xfId="13381" xr:uid="{8C718C21-172C-44CD-A8BD-BFF25B26646A}"/>
    <cellStyle name="Currency 4 2 7" xfId="1882" xr:uid="{00000000-0005-0000-0000-000073030000}"/>
    <cellStyle name="Currency 4 2 7 2" xfId="2494" xr:uid="{00000000-0005-0000-0000-000091020000}"/>
    <cellStyle name="Currency 4 2 7 2 2" xfId="7619" xr:uid="{1DE766FD-5D05-4437-B056-8A76C40DDAC2}"/>
    <cellStyle name="Currency 4 2 7 2 2 2" xfId="17999" xr:uid="{B4E5BD64-019F-4A22-A7FE-7D1E16BC3D5A}"/>
    <cellStyle name="Currency 4 2 7 2 3" xfId="10452" xr:uid="{4947354B-127E-4991-A5AF-5B8FEC7AE1DC}"/>
    <cellStyle name="Currency 4 2 7 2 3 2" xfId="20832" xr:uid="{ECFD314C-DBD6-41EE-86B1-BF20A1FB9818}"/>
    <cellStyle name="Currency 4 2 7 2 4" xfId="27944" xr:uid="{AC587898-EBF3-48E3-B172-2974943146AE}"/>
    <cellStyle name="Currency 4 2 7 2 5" xfId="27889" xr:uid="{16D58729-C246-4B37-87BA-1A2F3AFA2EBE}"/>
    <cellStyle name="Currency 4 2 7 2 6" xfId="15166" xr:uid="{3994FC5A-32A5-45BA-BD59-4D7DDBD598D6}"/>
    <cellStyle name="Currency 4 2 7 3" xfId="3603" xr:uid="{00000000-0005-0000-0000-000073030000}"/>
    <cellStyle name="Currency 4 2 7 4" xfId="5676" xr:uid="{EA961475-3856-4FED-AB9C-654EB4EC64FD}"/>
    <cellStyle name="Currency 4 2 7 4 2" xfId="29870" xr:uid="{65B5D0E8-B145-4E9B-89E2-C7AEE6F364BA}"/>
    <cellStyle name="Currency 4 2 7 5" xfId="23894" xr:uid="{CB6FFF07-08EE-4C7E-B764-E810EDFDC868}"/>
    <cellStyle name="Currency 4 2 7 6" xfId="12882" xr:uid="{88AABC15-3833-4375-B132-D2ADFE52CB51}"/>
    <cellStyle name="Currency 4 2 8" xfId="1862" xr:uid="{00000000-0005-0000-0000-000074030000}"/>
    <cellStyle name="Currency 4 2 8 2" xfId="2188" xr:uid="{00000000-0005-0000-0000-000078020000}"/>
    <cellStyle name="Currency 4 2 8 2 2" xfId="7315" xr:uid="{ADD0A165-ABE0-4F90-A33F-077F5FF9274C}"/>
    <cellStyle name="Currency 4 2 8 2 2 2" xfId="17695" xr:uid="{C1BBF7D4-FBF1-47C1-BB55-91EFC3948301}"/>
    <cellStyle name="Currency 4 2 8 2 3" xfId="10148" xr:uid="{33E315B1-4D3D-49E9-A76E-8054D92275A7}"/>
    <cellStyle name="Currency 4 2 8 2 3 2" xfId="20528" xr:uid="{88A0F51E-EE8C-447C-B6BC-64E9415C38E1}"/>
    <cellStyle name="Currency 4 2 8 2 4" xfId="26698" xr:uid="{36B731ED-7B10-4707-8CE6-205628889D4E}"/>
    <cellStyle name="Currency 4 2 8 2 5" xfId="27853" xr:uid="{C058DF41-89BC-4679-BC90-E6969DEB80F2}"/>
    <cellStyle name="Currency 4 2 8 2 6" xfId="14862" xr:uid="{99E20BDB-1FDA-4F7A-9084-46C793C71BFD}"/>
    <cellStyle name="Currency 4 2 8 3" xfId="3651" xr:uid="{00000000-0005-0000-0000-000074030000}"/>
    <cellStyle name="Currency 4 2 8 4" xfId="24962" xr:uid="{3F0C25D4-5FA2-4F09-A128-283041A580CB}"/>
    <cellStyle name="Currency 4 2 9" xfId="3882" xr:uid="{DC251A4F-5AD9-45C1-BD34-8461C5214166}"/>
    <cellStyle name="Currency 4 2 9 2" xfId="8714" xr:uid="{C1BC6D1A-7EE7-4C47-87C8-C0673B800AAC}"/>
    <cellStyle name="Currency 4 2 9 2 2" xfId="19094" xr:uid="{648BA1C2-C386-4F11-BB8B-8B4A1CC8CB92}"/>
    <cellStyle name="Currency 4 2 9 3" xfId="11547" xr:uid="{BF03B1AD-0DE8-47DE-A307-4E2A32AA0B13}"/>
    <cellStyle name="Currency 4 2 9 3 2" xfId="21927" xr:uid="{0D3D9BC0-3938-4572-A44C-6B9F1688C330}"/>
    <cellStyle name="Currency 4 2 9 4" xfId="27236" xr:uid="{11A01AB7-B43D-42C9-8214-AD90DCB92BD5}"/>
    <cellStyle name="Currency 4 2 9 5" xfId="27203" xr:uid="{20CAEDD4-581A-49A6-A983-2D7BD69C167F}"/>
    <cellStyle name="Currency 4 2 9 6" xfId="16261" xr:uid="{35051925-8774-429B-B45F-CA6B9A703F0C}"/>
    <cellStyle name="Currency 4 20" xfId="12397" xr:uid="{66CD73B6-8B5C-4CEE-B1C4-83C336E77431}"/>
    <cellStyle name="Currency 4 3" xfId="563" xr:uid="{00000000-0005-0000-0000-000075030000}"/>
    <cellStyle name="Currency 4 3 10" xfId="4946" xr:uid="{9A699C1C-8F3B-46EB-83CA-1AEA14EAD978}"/>
    <cellStyle name="Currency 4 3 10 2" xfId="14241" xr:uid="{533075EF-05BA-4DF2-AB97-D7CA5F6AAFE4}"/>
    <cellStyle name="Currency 4 3 11" xfId="6694" xr:uid="{A047A60A-45CE-407B-A049-2223B505892E}"/>
    <cellStyle name="Currency 4 3 11 2" xfId="17074" xr:uid="{8CD57AC2-6D36-4FFB-9CDE-DCF555BE769C}"/>
    <cellStyle name="Currency 4 3 12" xfId="9527" xr:uid="{F62B27D1-058D-4BAB-B5E3-7E6115F0D553}"/>
    <cellStyle name="Currency 4 3 12 2" xfId="19907" xr:uid="{A08D132D-B56D-4C61-9E3E-B618E503E16E}"/>
    <cellStyle name="Currency 4 3 13" xfId="23763" xr:uid="{8560C23E-977A-4A64-B47A-9FD147CA5650}"/>
    <cellStyle name="Currency 4 3 14" xfId="12457" xr:uid="{4762B291-B850-4854-8306-35256D12D3FD}"/>
    <cellStyle name="Currency 4 3 2" xfId="564" xr:uid="{00000000-0005-0000-0000-000076030000}"/>
    <cellStyle name="Currency 4 3 2 10" xfId="9528" xr:uid="{27C6D75F-52DE-487D-BC75-E0B3602422C3}"/>
    <cellStyle name="Currency 4 3 2 10 2" xfId="19908" xr:uid="{1B5D55DB-60E2-4650-A86B-78944CCAE8EB}"/>
    <cellStyle name="Currency 4 3 2 11" xfId="25157" xr:uid="{7ED0C198-C02C-4ECA-8665-A8C06E408FE9}"/>
    <cellStyle name="Currency 4 3 2 12" xfId="12527" xr:uid="{92334CDC-3C23-41BD-96F3-07E3CBAB7346}"/>
    <cellStyle name="Currency 4 3 2 2" xfId="565" xr:uid="{00000000-0005-0000-0000-000077030000}"/>
    <cellStyle name="Currency 4 3 2 2 10" xfId="13109" xr:uid="{D3D01A0B-D037-4579-A100-754466682299}"/>
    <cellStyle name="Currency 4 3 2 2 2" xfId="1886" xr:uid="{00000000-0005-0000-0000-000078030000}"/>
    <cellStyle name="Currency 4 3 2 2 2 2" xfId="3095" xr:uid="{00000000-0005-0000-0000-000095020000}"/>
    <cellStyle name="Currency 4 3 2 2 2 2 2" xfId="8175" xr:uid="{431901E0-513B-4CF2-8D5D-986A9E846F3A}"/>
    <cellStyle name="Currency 4 3 2 2 2 2 2 2" xfId="28844" xr:uid="{922F41E3-1DB6-434C-A0D9-A6FF7A394730}"/>
    <cellStyle name="Currency 4 3 2 2 2 2 2 3" xfId="26575" xr:uid="{664EEE51-80C3-4F52-8D6F-16F5EDD72CB5}"/>
    <cellStyle name="Currency 4 3 2 2 2 2 2 4" xfId="18555" xr:uid="{BF461208-CAF5-4577-A105-16DBE970C91D}"/>
    <cellStyle name="Currency 4 3 2 2 2 2 3" xfId="11008" xr:uid="{573BC5E8-3CBD-4FA2-B415-D13A00A46334}"/>
    <cellStyle name="Currency 4 3 2 2 2 2 3 2" xfId="21388" xr:uid="{355DB9A7-1995-4D56-813E-1DEF9DBC9DA3}"/>
    <cellStyle name="Currency 4 3 2 2 2 2 4" xfId="25335" xr:uid="{2B76BC04-7F80-4A50-A4AC-4067138F4F14}"/>
    <cellStyle name="Currency 4 3 2 2 2 2 5" xfId="15722" xr:uid="{7A68242E-E209-4C5B-A7EE-931705DD0DC6}"/>
    <cellStyle name="Currency 4 3 2 2 2 3" xfId="2051" xr:uid="{00000000-0005-0000-0000-000078030000}"/>
    <cellStyle name="Currency 4 3 2 2 2 4" xfId="5679" xr:uid="{61CE8434-0474-4A82-9F1F-8BA9FFBDF874}"/>
    <cellStyle name="Currency 4 3 2 2 2 4 2" xfId="29969" xr:uid="{A6E3D5D1-B127-4385-8A3C-57C615A4EC53}"/>
    <cellStyle name="Currency 4 3 2 2 2 5" xfId="25270" xr:uid="{33DFC427-3C70-4236-B0CE-940975B9A690}"/>
    <cellStyle name="Currency 4 3 2 2 2 6" xfId="13610" xr:uid="{967115A1-23CB-4789-979C-E6482BE18D03}"/>
    <cellStyle name="Currency 4 3 2 2 3" xfId="1887" xr:uid="{00000000-0005-0000-0000-000079030000}"/>
    <cellStyle name="Currency 4 3 2 2 3 2" xfId="4683" xr:uid="{D687D2B6-DA4A-4542-A697-38DDD98C7F33}"/>
    <cellStyle name="Currency 4 3 2 2 3 2 2" xfId="9418" xr:uid="{D7FB4EC8-26ED-4030-9003-C2309259B9E9}"/>
    <cellStyle name="Currency 4 3 2 2 3 2 2 2" xfId="19798" xr:uid="{8B040653-5A27-43E5-99DA-246719ED798D}"/>
    <cellStyle name="Currency 4 3 2 2 3 2 3" xfId="12251" xr:uid="{33F75AFC-4D16-4F09-B9C3-B835056393B0}"/>
    <cellStyle name="Currency 4 3 2 2 3 2 3 2" xfId="22631" xr:uid="{96ECDE40-5D39-4568-B7FC-3DA71F52A446}"/>
    <cellStyle name="Currency 4 3 2 2 3 2 4" xfId="26190" xr:uid="{8C2499C7-1BB1-4D22-A139-187B9857C1C6}"/>
    <cellStyle name="Currency 4 3 2 2 3 2 5" xfId="27316" xr:uid="{005548B2-6083-46C7-874E-DB5A032DBE42}"/>
    <cellStyle name="Currency 4 3 2 2 3 2 6" xfId="16965" xr:uid="{66D36A2C-378A-41BD-B227-E81F29D242ED}"/>
    <cellStyle name="Currency 4 3 2 2 3 3" xfId="23752" xr:uid="{CC39D2C1-EDB8-46AE-990C-9B1731256481}"/>
    <cellStyle name="Currency 4 3 2 2 3 3 2" xfId="29914" xr:uid="{B4D4653B-9700-4885-9B5D-00CF112D66D6}"/>
    <cellStyle name="Currency 4 3 2 2 3 4" xfId="30026" xr:uid="{BE5F880F-D1A7-43E6-9257-37876B1379C7}"/>
    <cellStyle name="Currency 4 3 2 2 4" xfId="1885" xr:uid="{00000000-0005-0000-0000-00007A030000}"/>
    <cellStyle name="Currency 4 3 2 2 4 2" xfId="26962" xr:uid="{DB772303-1715-451F-983D-FA4084595956}"/>
    <cellStyle name="Currency 4 3 2 2 4 3" xfId="26337" xr:uid="{B0BAF356-AC96-4D61-AF66-90BA33F5234A}"/>
    <cellStyle name="Currency 4 3 2 2 5" xfId="4275" xr:uid="{A7A2FC4F-1B1A-43AE-B621-BB9F2BE98CD3}"/>
    <cellStyle name="Currency 4 3 2 2 5 2" xfId="9047" xr:uid="{2F16989A-4C37-47DA-A55F-50A0BD59F9D8}"/>
    <cellStyle name="Currency 4 3 2 2 5 2 2" xfId="19427" xr:uid="{8689B158-0518-473E-BD0D-57F774152E57}"/>
    <cellStyle name="Currency 4 3 2 2 5 2 3" xfId="31051" xr:uid="{395ABA41-C54B-4D28-9E45-B54CD7F229E6}"/>
    <cellStyle name="Currency 4 3 2 2 5 2 4" xfId="30845" xr:uid="{34E27599-88F6-41D0-87AB-5DEC06A25F09}"/>
    <cellStyle name="Currency 4 3 2 2 5 3" xfId="11880" xr:uid="{E4603E20-55BE-4014-BABB-902A708700C4}"/>
    <cellStyle name="Currency 4 3 2 2 5 3 2" xfId="22260" xr:uid="{F991F5B0-BFFF-4E23-8F84-EB2D2F643857}"/>
    <cellStyle name="Currency 4 3 2 2 5 4" xfId="27637" xr:uid="{31792131-8CCE-4EE1-B222-AE2C8621D08A}"/>
    <cellStyle name="Currency 4 3 2 2 5 5" xfId="25999" xr:uid="{270E6B12-61FF-49F3-B084-548FD7B3F23B}"/>
    <cellStyle name="Currency 4 3 2 2 5 6" xfId="16594" xr:uid="{1926910E-F59C-4D08-B99B-D9ADC6666F7F}"/>
    <cellStyle name="Currency 4 3 2 2 6" xfId="4948" xr:uid="{65C9F64E-A345-4F6D-B067-E29F264CEBF1}"/>
    <cellStyle name="Currency 4 3 2 2 6 2" xfId="26270" xr:uid="{E4C9A842-FCE7-42FB-8EA1-B50F3956D4E8}"/>
    <cellStyle name="Currency 4 3 2 2 6 3" xfId="26018" xr:uid="{8942F952-991D-4545-B1C8-7054C9722F12}"/>
    <cellStyle name="Currency 4 3 2 2 6 4" xfId="14243" xr:uid="{6E39C487-927A-43EB-B196-1CFC238D7AB4}"/>
    <cellStyle name="Currency 4 3 2 2 7" xfId="6696" xr:uid="{1E6FCB53-9A9F-48E2-AE4D-948B598459AA}"/>
    <cellStyle name="Currency 4 3 2 2 7 2" xfId="17076" xr:uid="{6D6D364E-56A0-4083-97C6-B7ABE2445DE3}"/>
    <cellStyle name="Currency 4 3 2 2 8" xfId="9529" xr:uid="{8E041D61-AC19-44A3-9FCA-06C6CF48BC2D}"/>
    <cellStyle name="Currency 4 3 2 2 8 2" xfId="19909" xr:uid="{DA438EE4-CD2F-474E-8A82-E4887BC253B2}"/>
    <cellStyle name="Currency 4 3 2 2 9" xfId="22906" xr:uid="{9470BD46-6C7B-4129-9FE4-95AE546C6D94}"/>
    <cellStyle name="Currency 4 3 2 3" xfId="1888" xr:uid="{00000000-0005-0000-0000-00007B030000}"/>
    <cellStyle name="Currency 4 3 2 3 2" xfId="3096" xr:uid="{00000000-0005-0000-0000-000096020000}"/>
    <cellStyle name="Currency 4 3 2 3 2 2" xfId="8176" xr:uid="{5272ADC5-508E-411B-A874-76D8F5F024FC}"/>
    <cellStyle name="Currency 4 3 2 3 2 2 2" xfId="28845" xr:uid="{6C67E993-C03E-461A-93EC-806EE3E12229}"/>
    <cellStyle name="Currency 4 3 2 3 2 2 2 2" xfId="31235" xr:uid="{F67D50A3-C1A7-4415-BBD6-E83CA67CA0E1}"/>
    <cellStyle name="Currency 4 3 2 3 2 2 2 3" xfId="30847" xr:uid="{FCC25CCB-B954-4AC4-AED2-AF96C2ACAAD6}"/>
    <cellStyle name="Currency 4 3 2 3 2 2 3" xfId="28034" xr:uid="{C1BAA7E1-189B-4F7B-9825-9D14D5E6F70D}"/>
    <cellStyle name="Currency 4 3 2 3 2 2 4" xfId="18556" xr:uid="{7F99C888-7723-41E2-82D6-9C1AD52869EF}"/>
    <cellStyle name="Currency 4 3 2 3 2 3" xfId="11009" xr:uid="{52DCBDCA-C818-497D-9869-FA4E869D9771}"/>
    <cellStyle name="Currency 4 3 2 3 2 3 2" xfId="21389" xr:uid="{73E0972A-E446-4E7A-88F6-E7F33842FBBB}"/>
    <cellStyle name="Currency 4 3 2 3 2 4" xfId="25661" xr:uid="{73031C5A-7497-4E29-BDA7-0512A1953CC8}"/>
    <cellStyle name="Currency 4 3 2 3 2 5" xfId="15723" xr:uid="{9E20F832-96A2-4E8D-90E0-9A69DE3190FF}"/>
    <cellStyle name="Currency 4 3 2 3 3" xfId="3600" xr:uid="{00000000-0005-0000-0000-00007B030000}"/>
    <cellStyle name="Currency 4 3 2 3 4" xfId="4427" xr:uid="{6DDD7D65-28CE-4D3E-A44A-510FBD4F835A}"/>
    <cellStyle name="Currency 4 3 2 3 4 2" xfId="9199" xr:uid="{12518834-FEB3-4C1E-B124-6B3AE272E447}"/>
    <cellStyle name="Currency 4 3 2 3 4 2 2" xfId="19579" xr:uid="{3AEC82BC-741C-4963-A6A7-E69D788CF2B4}"/>
    <cellStyle name="Currency 4 3 2 3 4 2 3" xfId="31093" xr:uid="{5F90A487-DD6C-4B22-8CD2-6F6807FDE49D}"/>
    <cellStyle name="Currency 4 3 2 3 4 2 4" xfId="30846" xr:uid="{88CE84D6-B319-4B38-9C82-3871BE944E4C}"/>
    <cellStyle name="Currency 4 3 2 3 4 3" xfId="12032" xr:uid="{324E1B08-31D5-433A-B7EF-B14FB1EE9A77}"/>
    <cellStyle name="Currency 4 3 2 3 4 3 2" xfId="22412" xr:uid="{D2A73898-9C50-4702-A7E4-FDD42B4EFF43}"/>
    <cellStyle name="Currency 4 3 2 3 4 4" xfId="16746" xr:uid="{26A21FF5-F3E3-46B8-892F-02FEDF25E251}"/>
    <cellStyle name="Currency 4 3 2 3 5" xfId="5680" xr:uid="{B3D1B3D3-BD8D-4388-8905-3C78189C9462}"/>
    <cellStyle name="Currency 4 3 2 3 5 2" xfId="29692" xr:uid="{72B473B9-F902-428F-854C-CB54D507686F}"/>
    <cellStyle name="Currency 4 3 2 3 5 2 2" xfId="30989" xr:uid="{A7C94F98-A8FA-4C61-B245-EF8864580272}"/>
    <cellStyle name="Currency 4 3 2 3 6" xfId="23331" xr:uid="{A28249A9-1B42-46FA-8253-9E0649BE0E8D}"/>
    <cellStyle name="Currency 4 3 2 3 7" xfId="13611" xr:uid="{4366B9E4-935E-4BC4-A2FC-D62291D3DD33}"/>
    <cellStyle name="Currency 4 3 2 4" xfId="1889" xr:uid="{00000000-0005-0000-0000-00007C030000}"/>
    <cellStyle name="Currency 4 3 2 4 2" xfId="3094" xr:uid="{00000000-0005-0000-0000-000097020000}"/>
    <cellStyle name="Currency 4 3 2 4 2 2" xfId="8174" xr:uid="{2AA79186-35BF-4AB7-8615-D8FC3006284E}"/>
    <cellStyle name="Currency 4 3 2 4 2 2 2" xfId="28843" xr:uid="{0748F1C7-BF01-4D79-99D3-CC23532C7C08}"/>
    <cellStyle name="Currency 4 3 2 4 2 2 3" xfId="26369" xr:uid="{F5636C90-FA6E-4D36-A794-409EDA9FC76C}"/>
    <cellStyle name="Currency 4 3 2 4 2 2 4" xfId="18554" xr:uid="{E3F93777-0AA8-4E8E-9CB1-D33EEC051AFE}"/>
    <cellStyle name="Currency 4 3 2 4 2 3" xfId="11007" xr:uid="{8800727E-E687-49E5-8545-D324E313515D}"/>
    <cellStyle name="Currency 4 3 2 4 2 3 2" xfId="21387" xr:uid="{CCA90335-FFEC-42FA-BFFE-9F6E4BFCE406}"/>
    <cellStyle name="Currency 4 3 2 4 2 4" xfId="25749" xr:uid="{61F83009-EE7B-4FE2-B8A1-D1361417A92E}"/>
    <cellStyle name="Currency 4 3 2 4 2 5" xfId="15721" xr:uid="{6B04E6E0-2145-4AC9-8D43-6CEAA1964412}"/>
    <cellStyle name="Currency 4 3 2 4 3" xfId="3643" xr:uid="{00000000-0005-0000-0000-00007C030000}"/>
    <cellStyle name="Currency 4 3 2 4 4" xfId="5681" xr:uid="{C640D449-3274-4163-9177-C2B189F2C72C}"/>
    <cellStyle name="Currency 4 3 2 4 4 2" xfId="29968" xr:uid="{82E5840C-98F6-4266-BB3E-9495DB6AA215}"/>
    <cellStyle name="Currency 4 3 2 4 5" xfId="24438" xr:uid="{CBE45B56-A6D5-48B2-BEEC-1DBA16F13214}"/>
    <cellStyle name="Currency 4 3 2 4 6" xfId="13609" xr:uid="{503D5554-44FB-47EB-AA47-30AFC02FDB54}"/>
    <cellStyle name="Currency 4 3 2 5" xfId="1884" xr:uid="{00000000-0005-0000-0000-00007D030000}"/>
    <cellStyle name="Currency 4 3 2 5 2" xfId="2531" xr:uid="{00000000-0005-0000-0000-000098020000}"/>
    <cellStyle name="Currency 4 3 2 5 2 2" xfId="7656" xr:uid="{45782A99-C040-476D-8109-DAB93457B98C}"/>
    <cellStyle name="Currency 4 3 2 5 2 2 2" xfId="18036" xr:uid="{1BCC0329-9BBF-4386-9AAE-ED987479FE29}"/>
    <cellStyle name="Currency 4 3 2 5 2 3" xfId="10489" xr:uid="{011D311B-C356-48D3-8513-12AD3C693DF2}"/>
    <cellStyle name="Currency 4 3 2 5 2 3 2" xfId="20869" xr:uid="{BD679459-1A5C-4A83-B445-DDDE95068A0D}"/>
    <cellStyle name="Currency 4 3 2 5 2 4" xfId="26040" xr:uid="{CB20989F-4E56-4E42-BAD2-C3CE414364C8}"/>
    <cellStyle name="Currency 4 3 2 5 2 5" xfId="26488" xr:uid="{D744808E-988F-4667-8697-41C769EA1F94}"/>
    <cellStyle name="Currency 4 3 2 5 2 6" xfId="15203" xr:uid="{CAB2C7AB-E0FA-4038-A976-C4C0141F17C3}"/>
    <cellStyle name="Currency 4 3 2 5 3" xfId="3595" xr:uid="{00000000-0005-0000-0000-00007D030000}"/>
    <cellStyle name="Currency 4 3 2 5 4" xfId="5678" xr:uid="{9B281BAA-7273-431B-858A-DC8F830D672D}"/>
    <cellStyle name="Currency 4 3 2 5 4 2" xfId="29877" xr:uid="{A7BF50A6-9658-419F-8EF1-2A93352FCFF0}"/>
    <cellStyle name="Currency 4 3 2 5 5" xfId="25527" xr:uid="{A433C727-125E-4712-80D9-2249998B7C61}"/>
    <cellStyle name="Currency 4 3 2 5 6" xfId="12919" xr:uid="{72BAE5A0-0A62-461D-B319-92C955040D75}"/>
    <cellStyle name="Currency 4 3 2 6" xfId="2295" xr:uid="{00000000-0005-0000-0000-000093020000}"/>
    <cellStyle name="Currency 4 3 2 6 2" xfId="7422" xr:uid="{573730B2-6DF5-4968-8E53-BB584D4D9B5D}"/>
    <cellStyle name="Currency 4 3 2 6 2 2" xfId="17802" xr:uid="{7098C69E-C26E-4964-A488-545F50883304}"/>
    <cellStyle name="Currency 4 3 2 6 3" xfId="10255" xr:uid="{8DA82A10-A801-49D3-BCF1-829C12A7EDEF}"/>
    <cellStyle name="Currency 4 3 2 6 3 2" xfId="20635" xr:uid="{226D0063-D70E-4F9F-8CCA-5E9A3E3909BF}"/>
    <cellStyle name="Currency 4 3 2 6 4" xfId="24221" xr:uid="{1F2D0923-44FE-43C1-9D3A-DF58C45ECA3B}"/>
    <cellStyle name="Currency 4 3 2 6 5" xfId="28448" xr:uid="{35900C64-B02A-47CB-8F4F-F6318E6CBECD}"/>
    <cellStyle name="Currency 4 3 2 6 6" xfId="14969" xr:uid="{20358FD6-C655-4F25-AB71-B4D9B5677E40}"/>
    <cellStyle name="Currency 4 3 2 7" xfId="3830" xr:uid="{CC8AB601-20F8-46A1-99F0-FF82EF572E23}"/>
    <cellStyle name="Currency 4 3 2 7 2" xfId="8663" xr:uid="{B92CC1AF-3C75-469F-8E7A-C9B323D68897}"/>
    <cellStyle name="Currency 4 3 2 7 2 2" xfId="19043" xr:uid="{8CFA6148-FB25-419F-A120-58823471F241}"/>
    <cellStyle name="Currency 4 3 2 7 3" xfId="11496" xr:uid="{345BC201-8947-4FBD-A505-FEF6E28E0FEC}"/>
    <cellStyle name="Currency 4 3 2 7 3 2" xfId="21876" xr:uid="{814F75CD-0E58-42C0-8E63-2349D83BA6CB}"/>
    <cellStyle name="Currency 4 3 2 7 4" xfId="27430" xr:uid="{7847A7E7-6D3B-4782-93C0-383385C0D8C6}"/>
    <cellStyle name="Currency 4 3 2 7 5" xfId="28304" xr:uid="{1631A1B8-97AE-4868-9C2F-0408EF79A9F8}"/>
    <cellStyle name="Currency 4 3 2 7 6" xfId="16210" xr:uid="{4B7FC55B-1059-4DDE-BC2C-45759D2EE56F}"/>
    <cellStyle name="Currency 4 3 2 8" xfId="4947" xr:uid="{149C158A-2C1F-4B22-97C4-837DB49A74A5}"/>
    <cellStyle name="Currency 4 3 2 8 2" xfId="14242" xr:uid="{DF30DEBC-9468-405C-A55A-4779272FD582}"/>
    <cellStyle name="Currency 4 3 2 9" xfId="6695" xr:uid="{36C16F1A-DD89-4C2A-B4BB-531D28BE5BF9}"/>
    <cellStyle name="Currency 4 3 2 9 2" xfId="17075" xr:uid="{87BE574B-570A-471A-BCE6-4273FB47E94E}"/>
    <cellStyle name="Currency 4 3 3" xfId="566" xr:uid="{00000000-0005-0000-0000-00007E030000}"/>
    <cellStyle name="Currency 4 3 3 10" xfId="24259" xr:uid="{BBD9D141-9D54-4B0B-B012-1A12C50B7675}"/>
    <cellStyle name="Currency 4 3 3 11" xfId="12685" xr:uid="{D013353A-95BF-4B51-8603-30728729F02A}"/>
    <cellStyle name="Currency 4 3 3 2" xfId="1891" xr:uid="{00000000-0005-0000-0000-00007F030000}"/>
    <cellStyle name="Currency 4 3 3 2 2" xfId="3098" xr:uid="{00000000-0005-0000-0000-00009B020000}"/>
    <cellStyle name="Currency 4 3 3 2 2 2" xfId="6173" xr:uid="{245EEFC1-6B63-448A-97EC-91AE304FE9B6}"/>
    <cellStyle name="Currency 4 3 3 2 2 2 2" xfId="23166" xr:uid="{F17C049D-B39A-479C-878E-B4531B11AF40}"/>
    <cellStyle name="Currency 4 3 3 2 2 2 2 2" xfId="26358" xr:uid="{67DD8835-D50D-46F0-AFB8-584049758599}"/>
    <cellStyle name="Currency 4 3 3 2 2 2 2 3" xfId="31148" xr:uid="{0C03AF1E-A399-4040-90B7-A6DB64E525B5}"/>
    <cellStyle name="Currency 4 3 3 2 2 2 3" xfId="26943" xr:uid="{B29565CC-6216-4006-88B0-F2500B66673A}"/>
    <cellStyle name="Currency 4 3 3 2 2 2 4" xfId="15725" xr:uid="{0AD99BDE-7CDA-449F-805C-DB52653259F5}"/>
    <cellStyle name="Currency 4 3 3 2 2 3" xfId="8178" xr:uid="{23BEF528-081F-49B6-A416-3D3638EBE064}"/>
    <cellStyle name="Currency 4 3 3 2 2 3 2" xfId="28847" xr:uid="{42028672-A77A-429F-BD9C-D23E941022C8}"/>
    <cellStyle name="Currency 4 3 3 2 2 3 3" xfId="28048" xr:uid="{D72A9D18-7426-49D8-99A8-DC9811BD7C70}"/>
    <cellStyle name="Currency 4 3 3 2 2 3 4" xfId="18558" xr:uid="{53366010-FDCE-42DF-BEDC-19E65E079376}"/>
    <cellStyle name="Currency 4 3 3 2 2 4" xfId="11011" xr:uid="{D6215F48-4D36-4238-AACC-55FE6CB2BA47}"/>
    <cellStyle name="Currency 4 3 3 2 2 4 2" xfId="21391" xr:uid="{58CF0DD9-1988-4660-B353-8EEEB994E4B5}"/>
    <cellStyle name="Currency 4 3 3 2 2 5" xfId="25113" xr:uid="{8C8C27A2-B225-4307-8FAC-A39C3F654CA1}"/>
    <cellStyle name="Currency 4 3 3 2 2 6" xfId="13613" xr:uid="{74DC2818-4F22-4589-A48B-CC099277795E}"/>
    <cellStyle name="Currency 4 3 3 2 3" xfId="2695" xr:uid="{00000000-0005-0000-0000-00009A020000}"/>
    <cellStyle name="Currency 4 3 3 2 3 2" xfId="7819" xr:uid="{9D515FEF-8A85-47C8-8397-199D56B57A6B}"/>
    <cellStyle name="Currency 4 3 3 2 3 2 2" xfId="28040" xr:uid="{5BC7E876-1AC7-42F3-9B06-D43958D69461}"/>
    <cellStyle name="Currency 4 3 3 2 3 2 3" xfId="26325" xr:uid="{B0F2F618-7156-4AA4-9660-479C72FA1DB4}"/>
    <cellStyle name="Currency 4 3 3 2 3 2 4" xfId="18199" xr:uid="{A51AF457-E504-460D-A4C6-447A6BFFAA1E}"/>
    <cellStyle name="Currency 4 3 3 2 3 3" xfId="10652" xr:uid="{58092095-639B-4C55-8F73-07474A03EB78}"/>
    <cellStyle name="Currency 4 3 3 2 3 3 2" xfId="21032" xr:uid="{0A5B0C68-DC37-4547-8D6F-8FFC80CCAE6E}"/>
    <cellStyle name="Currency 4 3 3 2 3 4" xfId="22914" xr:uid="{2E94CA68-84F5-4371-997B-9A9E2FB2C410}"/>
    <cellStyle name="Currency 4 3 3 2 3 5" xfId="15366" xr:uid="{085F8945-E70C-4C5B-81B7-4BA41C04168F}"/>
    <cellStyle name="Currency 4 3 3 2 4" xfId="2062" xr:uid="{00000000-0005-0000-0000-00007F030000}"/>
    <cellStyle name="Currency 4 3 3 2 5" xfId="4276" xr:uid="{A9A18A0C-B394-4F5F-BF25-6004A0FCDDA6}"/>
    <cellStyle name="Currency 4 3 3 2 5 2" xfId="9048" xr:uid="{F2DEDE17-5381-434E-91FC-A24B5A2A9568}"/>
    <cellStyle name="Currency 4 3 3 2 5 2 2" xfId="19428" xr:uid="{5FE51EAB-0B6A-4106-9FF9-085D964A5C33}"/>
    <cellStyle name="Currency 4 3 3 2 5 2 3" xfId="31052" xr:uid="{0BFC20F7-3A11-46FD-A2F7-E61DF009DCA7}"/>
    <cellStyle name="Currency 4 3 3 2 5 2 4" xfId="30849" xr:uid="{9DD54116-BB81-4751-8D21-DAB26CEE32EB}"/>
    <cellStyle name="Currency 4 3 3 2 5 3" xfId="11881" xr:uid="{997E97EB-6E8E-4CCA-B091-B182EDB645CE}"/>
    <cellStyle name="Currency 4 3 3 2 5 3 2" xfId="22261" xr:uid="{D98C5CFD-729B-4D98-8BAC-917EF94E0A0D}"/>
    <cellStyle name="Currency 4 3 3 2 5 4" xfId="27051" xr:uid="{826E9520-A070-4296-B78E-3CD7B68F2EC7}"/>
    <cellStyle name="Currency 4 3 3 2 5 5" xfId="26066" xr:uid="{AC5B1DFC-E7DF-4333-923C-2D3E5D36A2FF}"/>
    <cellStyle name="Currency 4 3 3 2 5 6" xfId="16595" xr:uid="{2AEC2E42-3485-4143-A840-508CDFFB36DC}"/>
    <cellStyle name="Currency 4 3 3 2 6" xfId="5683" xr:uid="{972BBD7A-F399-4590-BF19-5F777C22464B}"/>
    <cellStyle name="Currency 4 3 3 2 6 2" xfId="29729" xr:uid="{D3EB36FD-8CEE-4738-97ED-A99FD52FAEF4}"/>
    <cellStyle name="Currency 4 3 3 2 6 2 2" xfId="30990" xr:uid="{DE4878C6-2BEC-46D2-8EF8-E46B9720E401}"/>
    <cellStyle name="Currency 4 3 3 2 7" xfId="23079" xr:uid="{FA5A0E59-A3DD-4FCF-886D-7BA328640A88}"/>
    <cellStyle name="Currency 4 3 3 2 8" xfId="13110" xr:uid="{961B7C68-AC7B-4528-AEBD-859B5922B658}"/>
    <cellStyle name="Currency 4 3 3 3" xfId="1892" xr:uid="{00000000-0005-0000-0000-000080030000}"/>
    <cellStyle name="Currency 4 3 3 3 2" xfId="3099" xr:uid="{00000000-0005-0000-0000-00009C020000}"/>
    <cellStyle name="Currency 4 3 3 3 2 2" xfId="8179" xr:uid="{5D357443-C1F7-4A1C-9A8B-79E5CA8A3AF0}"/>
    <cellStyle name="Currency 4 3 3 3 2 2 2" xfId="28848" xr:uid="{389F4B05-E69E-4B79-A5EB-FB4A2C3A844E}"/>
    <cellStyle name="Currency 4 3 3 3 2 2 3" xfId="27250" xr:uid="{BDBEEE43-9FEA-4186-8A77-5F7AE2D391F4}"/>
    <cellStyle name="Currency 4 3 3 3 2 2 4" xfId="18559" xr:uid="{3BF5F718-0A52-45F6-9084-5976DFC6A62C}"/>
    <cellStyle name="Currency 4 3 3 3 2 3" xfId="11012" xr:uid="{60E0BED4-FD2E-46DA-B474-4B3E367F65B5}"/>
    <cellStyle name="Currency 4 3 3 3 2 3 2" xfId="21392" xr:uid="{1525BF26-D227-414E-A4A0-2ED22683DAD2}"/>
    <cellStyle name="Currency 4 3 3 3 2 4" xfId="25186" xr:uid="{614AF8FC-B633-4E2A-995B-43A3D63DE41E}"/>
    <cellStyle name="Currency 4 3 3 3 2 5" xfId="15726" xr:uid="{9EF9895C-16FA-4D39-9EAF-B812BA93A86E}"/>
    <cellStyle name="Currency 4 3 3 3 3" xfId="3663" xr:uid="{00000000-0005-0000-0000-000080030000}"/>
    <cellStyle name="Currency 4 3 3 3 4" xfId="4428" xr:uid="{C8B4E7B0-83F8-4699-88CD-54B2D8F32DAD}"/>
    <cellStyle name="Currency 4 3 3 3 4 2" xfId="9200" xr:uid="{88F62EE2-8CDA-4E15-9F65-299F86D0604F}"/>
    <cellStyle name="Currency 4 3 3 3 4 2 2" xfId="19580" xr:uid="{CC824306-A436-4FA1-9C48-B30A2DE20F78}"/>
    <cellStyle name="Currency 4 3 3 3 4 2 3" xfId="31094" xr:uid="{292C4124-F0A2-4D10-B359-250B7466A5C3}"/>
    <cellStyle name="Currency 4 3 3 3 4 2 4" xfId="30850" xr:uid="{A251918D-5AFF-4910-8A3B-8CF0EE42D7C7}"/>
    <cellStyle name="Currency 4 3 3 3 4 3" xfId="12033" xr:uid="{EC78C1D7-62E6-412F-A837-6B3BC6F3BBEB}"/>
    <cellStyle name="Currency 4 3 3 3 4 3 2" xfId="22413" xr:uid="{2709CD85-FF35-4D8E-8CC3-10ECB200DCBC}"/>
    <cellStyle name="Currency 4 3 3 3 4 4" xfId="16747" xr:uid="{7F4B26FF-D4A7-46E9-93B3-18D5F33723A2}"/>
    <cellStyle name="Currency 4 3 3 3 5" xfId="5684" xr:uid="{39341862-0181-4C5E-949D-F89F697D04ED}"/>
    <cellStyle name="Currency 4 3 3 3 5 2" xfId="29708" xr:uid="{0A9E1880-5A33-4257-9F52-C4E2B68CBF61}"/>
    <cellStyle name="Currency 4 3 3 3 6" xfId="23131" xr:uid="{8F53FD9C-35CA-4984-B648-71AC776AAF06}"/>
    <cellStyle name="Currency 4 3 3 3 7" xfId="13614" xr:uid="{1797E221-8C55-4BBC-98CB-F63B9DF2C26F}"/>
    <cellStyle name="Currency 4 3 3 4" xfId="1890" xr:uid="{00000000-0005-0000-0000-000081030000}"/>
    <cellStyle name="Currency 4 3 3 4 2" xfId="3097" xr:uid="{00000000-0005-0000-0000-00009D020000}"/>
    <cellStyle name="Currency 4 3 3 4 2 2" xfId="8177" xr:uid="{75731091-C8C8-4086-9613-B0BFBF99BB4C}"/>
    <cellStyle name="Currency 4 3 3 4 2 2 2" xfId="28846" xr:uid="{A9B7BDBC-3237-4D16-8EB7-E59D345EA710}"/>
    <cellStyle name="Currency 4 3 3 4 2 2 3" xfId="27709" xr:uid="{34106B4D-48C0-422F-B2A2-4705F8BF2F97}"/>
    <cellStyle name="Currency 4 3 3 4 2 2 4" xfId="18557" xr:uid="{B9344271-A5BC-4D7F-9A60-06A53FC305C1}"/>
    <cellStyle name="Currency 4 3 3 4 2 3" xfId="11010" xr:uid="{FAB33934-4D9C-445B-8905-2DFCCCC46A85}"/>
    <cellStyle name="Currency 4 3 3 4 2 3 2" xfId="21390" xr:uid="{2DAF6D68-1EBA-4936-8DF6-49BE2A53F212}"/>
    <cellStyle name="Currency 4 3 3 4 2 4" xfId="25513" xr:uid="{0D7914E2-4B85-432C-BF3E-E82AADB1BCE8}"/>
    <cellStyle name="Currency 4 3 3 4 2 5" xfId="15724" xr:uid="{9B134EE1-DA6C-43CB-81DE-684E88B1AFB6}"/>
    <cellStyle name="Currency 4 3 3 4 3" xfId="3692" xr:uid="{00000000-0005-0000-0000-000081030000}"/>
    <cellStyle name="Currency 4 3 3 4 4" xfId="5682" xr:uid="{FFFF2C30-4094-4398-B9F9-3EFC21446922}"/>
    <cellStyle name="Currency 4 3 3 4 4 2" xfId="29970" xr:uid="{7281F1A7-5F24-44A1-A148-B239A0D0B065}"/>
    <cellStyle name="Currency 4 3 3 4 5" xfId="24878" xr:uid="{34060291-EB8B-4FDF-8F6B-C68A873BBE5A}"/>
    <cellStyle name="Currency 4 3 3 4 6" xfId="13612" xr:uid="{DBF80413-4B85-4FD0-8623-469CE5DB1163}"/>
    <cellStyle name="Currency 4 3 3 5" xfId="2634" xr:uid="{00000000-0005-0000-0000-00009E020000}"/>
    <cellStyle name="Currency 4 3 3 5 2" xfId="5896" xr:uid="{30465DA8-295D-4FD1-975C-B9501B7FDABB}"/>
    <cellStyle name="Currency 4 3 3 5 2 2" xfId="28539" xr:uid="{D45496F4-22F6-4EDB-8423-1E500DA34D54}"/>
    <cellStyle name="Currency 4 3 3 5 2 3" xfId="26513" xr:uid="{D37A4C49-08CB-4830-9C8E-9A3C743A1751}"/>
    <cellStyle name="Currency 4 3 3 5 2 4" xfId="15306" xr:uid="{03AF7162-17DC-47F8-BB8B-C360C6A5E3D7}"/>
    <cellStyle name="Currency 4 3 3 5 3" xfId="7759" xr:uid="{CD4E4338-ED5C-4DB3-B49F-56E7FE929F23}"/>
    <cellStyle name="Currency 4 3 3 5 3 2" xfId="18139" xr:uid="{BF2569F1-CDEE-4A66-94C7-73C62BD4EB5C}"/>
    <cellStyle name="Currency 4 3 3 5 4" xfId="10592" xr:uid="{EAB99A54-5986-4ED6-91B2-5BE26F1B2864}"/>
    <cellStyle name="Currency 4 3 3 5 4 2" xfId="20972" xr:uid="{A67839FB-8767-4BA5-A560-9AE78FC03245}"/>
    <cellStyle name="Currency 4 3 3 5 5" xfId="23408" xr:uid="{FE6B56DB-BA94-4381-A568-A113EC141101}"/>
    <cellStyle name="Currency 4 3 3 5 6" xfId="13022" xr:uid="{986DF7A8-CB28-4B4A-9794-FE267059F919}"/>
    <cellStyle name="Currency 4 3 3 6" xfId="4139" xr:uid="{6B123A2A-35D1-4A82-89EB-FD8F530B11B4}"/>
    <cellStyle name="Currency 4 3 3 6 2" xfId="8911" xr:uid="{2AA728DB-79E0-434A-A116-CC49DDAE427A}"/>
    <cellStyle name="Currency 4 3 3 6 2 2" xfId="19291" xr:uid="{BFFE1D5F-ECAF-4472-A238-DD25F93BE0A5}"/>
    <cellStyle name="Currency 4 3 3 6 2 3" xfId="31021" xr:uid="{E791E615-2623-44F5-A62F-E2834F94C37C}"/>
    <cellStyle name="Currency 4 3 3 6 2 4" xfId="30848" xr:uid="{B37A22F8-B1F5-4E35-B076-D364916926AD}"/>
    <cellStyle name="Currency 4 3 3 6 3" xfId="11744" xr:uid="{31C873FB-3A67-447A-916B-1B6FA9E3B8AA}"/>
    <cellStyle name="Currency 4 3 3 6 3 2" xfId="22124" xr:uid="{C2F14EF1-3B83-482B-AAA2-439783D70DF3}"/>
    <cellStyle name="Currency 4 3 3 6 4" xfId="24705" xr:uid="{4309507B-EF60-4074-9701-FB124E1202DD}"/>
    <cellStyle name="Currency 4 3 3 6 5" xfId="25998" xr:uid="{DA3EAE5A-1285-4AF0-93AA-0E5AC0CEA453}"/>
    <cellStyle name="Currency 4 3 3 6 6" xfId="16458" xr:uid="{5E5F0659-D264-4DC8-95F8-E400C140D3EA}"/>
    <cellStyle name="Currency 4 3 3 7" xfId="4949" xr:uid="{C4D5D6D7-A836-410F-A574-41204BD7140B}"/>
    <cellStyle name="Currency 4 3 3 7 2" xfId="27578" xr:uid="{6C095663-747A-4181-9A96-532C6BCFB1CC}"/>
    <cellStyle name="Currency 4 3 3 7 3" xfId="27143" xr:uid="{D5E4766A-3BE3-4BF4-B0B2-EB170B5B6CA6}"/>
    <cellStyle name="Currency 4 3 3 7 4" xfId="14244" xr:uid="{D0D72598-D96B-4636-B304-F39020885D2D}"/>
    <cellStyle name="Currency 4 3 3 8" xfId="6697" xr:uid="{977495BE-1DF0-4EDE-A4A1-41A24A5790A3}"/>
    <cellStyle name="Currency 4 3 3 8 2" xfId="17077" xr:uid="{F717E167-9746-4026-B445-1B738C09ECD1}"/>
    <cellStyle name="Currency 4 3 3 9" xfId="9530" xr:uid="{E4334F6A-5E5F-40A4-BA5C-9E120F5BA3A6}"/>
    <cellStyle name="Currency 4 3 3 9 2" xfId="19910" xr:uid="{5BB767F8-A693-49B8-8B5B-3E0A0EB5EF1E}"/>
    <cellStyle name="Currency 4 3 4" xfId="567" xr:uid="{00000000-0005-0000-0000-000082030000}"/>
    <cellStyle name="Currency 4 3 4 10" xfId="13108" xr:uid="{AE740A6D-D45A-41E1-8273-9F297354F55A}"/>
    <cellStyle name="Currency 4 3 4 2" xfId="1894" xr:uid="{00000000-0005-0000-0000-000083030000}"/>
    <cellStyle name="Currency 4 3 4 2 2" xfId="3100" xr:uid="{00000000-0005-0000-0000-0000A0020000}"/>
    <cellStyle name="Currency 4 3 4 2 2 2" xfId="8180" xr:uid="{8AE1DDD6-2F21-49C5-B8C6-F52A50611B85}"/>
    <cellStyle name="Currency 4 3 4 2 2 2 2" xfId="28849" xr:uid="{2AEB745B-9CFB-4146-9EB2-3C2423E878BB}"/>
    <cellStyle name="Currency 4 3 4 2 2 2 3" xfId="27435" xr:uid="{27C29BB6-0D2D-4B52-A89C-F7B556C93D73}"/>
    <cellStyle name="Currency 4 3 4 2 2 2 4" xfId="18560" xr:uid="{58809F57-2B38-4802-BF8E-4A86F6A2186C}"/>
    <cellStyle name="Currency 4 3 4 2 2 3" xfId="11013" xr:uid="{A3B24448-6335-4720-A2C9-621BDF34B786}"/>
    <cellStyle name="Currency 4 3 4 2 2 3 2" xfId="21393" xr:uid="{9C3A51D5-237D-4870-8D4C-49825FECA1E4}"/>
    <cellStyle name="Currency 4 3 4 2 2 4" xfId="23881" xr:uid="{51FD7B37-87BC-4AFC-ADD7-D314DF309365}"/>
    <cellStyle name="Currency 4 3 4 2 2 5" xfId="15727" xr:uid="{47C9BDD8-BA39-499A-9171-FE30EE837C58}"/>
    <cellStyle name="Currency 4 3 4 2 3" xfId="3628" xr:uid="{00000000-0005-0000-0000-000083030000}"/>
    <cellStyle name="Currency 4 3 4 2 4" xfId="5685" xr:uid="{61FA4F1F-147C-45F5-8CB7-1B0BF2586D1D}"/>
    <cellStyle name="Currency 4 3 4 2 4 2" xfId="29971" xr:uid="{504B7EA9-2541-4886-B966-3E2F7E9D8798}"/>
    <cellStyle name="Currency 4 3 4 2 5" xfId="23194" xr:uid="{56FD0A9D-05CC-4AFD-9BCB-9FAF22FC024B}"/>
    <cellStyle name="Currency 4 3 4 2 6" xfId="13615" xr:uid="{2BC2A876-45C4-4DD6-AFEF-F320778FC734}"/>
    <cellStyle name="Currency 4 3 4 3" xfId="1895" xr:uid="{00000000-0005-0000-0000-000084030000}"/>
    <cellStyle name="Currency 4 3 4 3 2" xfId="4673" xr:uid="{FC46B6DE-95DF-48B7-89E0-F85CC2E3B4FC}"/>
    <cellStyle name="Currency 4 3 4 3 2 2" xfId="9413" xr:uid="{C830E2BF-63CA-4B55-89D4-19C026E0371F}"/>
    <cellStyle name="Currency 4 3 4 3 2 2 2" xfId="19793" xr:uid="{BDFB18EF-1D44-4ADF-B996-56BA3193D84B}"/>
    <cellStyle name="Currency 4 3 4 3 2 3" xfId="12246" xr:uid="{05777228-4C2C-4BCB-84B0-0CA92B2C0925}"/>
    <cellStyle name="Currency 4 3 4 3 2 3 2" xfId="22626" xr:uid="{124C1774-841D-4E92-9868-6659CFDD3911}"/>
    <cellStyle name="Currency 4 3 4 3 2 4" xfId="27571" xr:uid="{2B944392-4C06-4870-9C5C-35925D1716EE}"/>
    <cellStyle name="Currency 4 3 4 3 2 5" xfId="27077" xr:uid="{BCD72EFD-AFA5-415B-B905-191A0B6B1AFD}"/>
    <cellStyle name="Currency 4 3 4 3 2 6" xfId="16960" xr:uid="{CB2F6201-3F3D-42C1-BE4E-85EB8E0C8C23}"/>
    <cellStyle name="Currency 4 3 4 3 3" xfId="24793" xr:uid="{704EF74D-05DA-4D4E-81E7-7F257B0BFD73}"/>
    <cellStyle name="Currency 4 3 4 3 3 2" xfId="29913" xr:uid="{52E0AAA9-AC47-4051-8A56-EA4E1FA813B4}"/>
    <cellStyle name="Currency 4 3 4 3 4" xfId="30025" xr:uid="{BDE30902-7BFB-4D12-BD65-976D37EB3886}"/>
    <cellStyle name="Currency 4 3 4 4" xfId="1893" xr:uid="{00000000-0005-0000-0000-000085030000}"/>
    <cellStyle name="Currency 4 3 4 5" xfId="4274" xr:uid="{F91ACA83-4F2D-4012-ADCB-25A69197F09D}"/>
    <cellStyle name="Currency 4 3 4 5 2" xfId="9046" xr:uid="{BAA519F8-BB36-43DB-BD39-CE9712C067E0}"/>
    <cellStyle name="Currency 4 3 4 5 2 2" xfId="19426" xr:uid="{65CE24DD-BF71-43F7-9085-07995EA112DC}"/>
    <cellStyle name="Currency 4 3 4 5 2 3" xfId="31050" xr:uid="{FB39CD15-218C-4493-A9AF-8E1F9FF5135F}"/>
    <cellStyle name="Currency 4 3 4 5 2 4" xfId="30851" xr:uid="{E1B2DA33-F3FC-4394-A0AA-285A315E6745}"/>
    <cellStyle name="Currency 4 3 4 5 3" xfId="11879" xr:uid="{1D267E38-EAEA-4AA5-99A3-A6D3F8F2F5ED}"/>
    <cellStyle name="Currency 4 3 4 5 3 2" xfId="22259" xr:uid="{EFC23FBC-FD34-4D6B-9C27-A797C61C3AF5}"/>
    <cellStyle name="Currency 4 3 4 5 4" xfId="27829" xr:uid="{7CEA81F8-915D-4A38-988A-7948ECEFB604}"/>
    <cellStyle name="Currency 4 3 4 5 5" xfId="28555" xr:uid="{E7734652-6C3F-4F0D-96AD-ABF938A9F511}"/>
    <cellStyle name="Currency 4 3 4 5 6" xfId="16593" xr:uid="{3B81F487-7C4D-4339-AEB5-257283E08EAA}"/>
    <cellStyle name="Currency 4 3 4 6" xfId="4950" xr:uid="{030DFC46-68C6-48EC-A562-735E9351B92C}"/>
    <cellStyle name="Currency 4 3 4 6 2" xfId="14245" xr:uid="{95223E6A-58A3-4A37-BE3B-B296D9027FD0}"/>
    <cellStyle name="Currency 4 3 4 7" xfId="6698" xr:uid="{9FEF5103-A120-4214-8154-D7122FB63341}"/>
    <cellStyle name="Currency 4 3 4 7 2" xfId="17078" xr:uid="{DC476D78-A6CD-4F39-B1BB-85870CB30E12}"/>
    <cellStyle name="Currency 4 3 4 8" xfId="9531" xr:uid="{6869894A-9083-4BBC-8B94-A2F55E090560}"/>
    <cellStyle name="Currency 4 3 4 8 2" xfId="19911" xr:uid="{BE929E4D-6764-43FE-A142-789698901C59}"/>
    <cellStyle name="Currency 4 3 4 9" xfId="24022" xr:uid="{6EA85735-1263-470C-9A08-C9A8953A5A63}"/>
    <cellStyle name="Currency 4 3 5" xfId="1896" xr:uid="{00000000-0005-0000-0000-000086030000}"/>
    <cellStyle name="Currency 4 3 5 2" xfId="3101" xr:uid="{00000000-0005-0000-0000-0000A1020000}"/>
    <cellStyle name="Currency 4 3 5 2 2" xfId="8181" xr:uid="{087061CE-0A29-40D7-AEC0-35E907205918}"/>
    <cellStyle name="Currency 4 3 5 2 2 2" xfId="28850" xr:uid="{0D1D4FAA-A692-4A2B-93B6-4B280AB9AECA}"/>
    <cellStyle name="Currency 4 3 5 2 2 2 2" xfId="31236" xr:uid="{543C203C-95B6-4864-94A6-8BD3E79DA64B}"/>
    <cellStyle name="Currency 4 3 5 2 2 2 3" xfId="30853" xr:uid="{0971C87F-E455-41E8-ABF8-2BC0027F690C}"/>
    <cellStyle name="Currency 4 3 5 2 2 3" xfId="27820" xr:uid="{22F52395-28E4-4932-93E2-115E61BE8B7B}"/>
    <cellStyle name="Currency 4 3 5 2 2 4" xfId="18561" xr:uid="{D722F38D-F55F-4E21-8EFC-D462EBFBA666}"/>
    <cellStyle name="Currency 4 3 5 2 3" xfId="11014" xr:uid="{D088AC67-98D9-4721-9256-0DAAD732BA06}"/>
    <cellStyle name="Currency 4 3 5 2 3 2" xfId="21394" xr:uid="{D435C61C-2FAF-4831-9980-AD606B14E2B8}"/>
    <cellStyle name="Currency 4 3 5 2 4" xfId="23575" xr:uid="{9C3BAC46-B5C7-4513-B6F2-CEA7C1979815}"/>
    <cellStyle name="Currency 4 3 5 2 5" xfId="15728" xr:uid="{72243DB0-BA44-4ECB-AD3D-E32CE0FDB110}"/>
    <cellStyle name="Currency 4 3 5 3" xfId="3560" xr:uid="{00000000-0005-0000-0000-000086030000}"/>
    <cellStyle name="Currency 4 3 5 4" xfId="4429" xr:uid="{B29F8216-9F8D-482A-828C-7107F57C7913}"/>
    <cellStyle name="Currency 4 3 5 4 2" xfId="9201" xr:uid="{0649228C-693A-4A74-97E4-B82EA40458D9}"/>
    <cellStyle name="Currency 4 3 5 4 2 2" xfId="19581" xr:uid="{61DA59B9-544E-4109-B3CB-8971F4F8CE50}"/>
    <cellStyle name="Currency 4 3 5 4 2 3" xfId="31095" xr:uid="{A8CD7337-3682-4CEA-AF65-6EE0FD3A735D}"/>
    <cellStyle name="Currency 4 3 5 4 2 4" xfId="30852" xr:uid="{A9A8128F-3665-438B-8D34-4F62BF436405}"/>
    <cellStyle name="Currency 4 3 5 4 3" xfId="12034" xr:uid="{D6195DAA-53EE-41FE-A33E-08B3D8B942F0}"/>
    <cellStyle name="Currency 4 3 5 4 3 2" xfId="22414" xr:uid="{2623672B-EB3B-4F7E-BCC4-1F8C278D1051}"/>
    <cellStyle name="Currency 4 3 5 4 4" xfId="16748" xr:uid="{22ED227D-3A11-4111-AACB-FF1E6F351120}"/>
    <cellStyle name="Currency 4 3 5 5" xfId="5686" xr:uid="{7E96A1D9-66E5-4FBA-9768-97165FB23BD1}"/>
    <cellStyle name="Currency 4 3 5 5 2" xfId="29687" xr:uid="{8351C799-133B-4166-88AA-AFA491555915}"/>
    <cellStyle name="Currency 4 3 5 5 2 2" xfId="30991" xr:uid="{8AE52235-88AA-4879-8CF8-35F89D2E8477}"/>
    <cellStyle name="Currency 4 3 5 6" xfId="25171" xr:uid="{5FAEF081-7E2E-41CB-99FB-6D5A7583AB2D}"/>
    <cellStyle name="Currency 4 3 5 7" xfId="13616" xr:uid="{4C3D984E-B103-40C6-8BE6-58158F3D54A0}"/>
    <cellStyle name="Currency 4 3 6" xfId="1897" xr:uid="{00000000-0005-0000-0000-000087030000}"/>
    <cellStyle name="Currency 4 3 6 2" xfId="2884" xr:uid="{00000000-0005-0000-0000-0000A2020000}"/>
    <cellStyle name="Currency 4 3 6 2 2" xfId="8001" xr:uid="{74124B81-524A-4799-99E9-7BD3E0A5D31B}"/>
    <cellStyle name="Currency 4 3 6 2 2 2" xfId="25837" xr:uid="{6795BBEC-4B08-418A-8583-1E6541133F36}"/>
    <cellStyle name="Currency 4 3 6 2 2 2 2" xfId="31167" xr:uid="{282841D4-51CD-48A0-8C75-7AB767A6AA5C}"/>
    <cellStyle name="Currency 4 3 6 2 2 2 3" xfId="30854" xr:uid="{6C61F38E-E05A-4904-B280-18DC8E4926BF}"/>
    <cellStyle name="Currency 4 3 6 2 2 3" xfId="28224" xr:uid="{6E514E81-DECF-4892-872D-B0168FF66791}"/>
    <cellStyle name="Currency 4 3 6 2 2 4" xfId="18381" xr:uid="{E5D29A37-B5CD-4DF4-AB5C-D1DFE2305AFA}"/>
    <cellStyle name="Currency 4 3 6 2 3" xfId="10834" xr:uid="{6C856AB7-B618-4128-83E5-3C8D49B3AE84}"/>
    <cellStyle name="Currency 4 3 6 2 3 2" xfId="21214" xr:uid="{026C891D-38F0-47C6-BE0E-A3DD0406CBA4}"/>
    <cellStyle name="Currency 4 3 6 2 4" xfId="22848" xr:uid="{F99703F3-B22F-4351-8728-4842B8BA4150}"/>
    <cellStyle name="Currency 4 3 6 2 5" xfId="15548" xr:uid="{9A548102-19BA-4234-B71F-35FD9771DD80}"/>
    <cellStyle name="Currency 4 3 6 3" xfId="3589" xr:uid="{00000000-0005-0000-0000-000087030000}"/>
    <cellStyle name="Currency 4 3 6 4" xfId="5687" xr:uid="{167B630D-F127-4469-8162-A32592159BAA}"/>
    <cellStyle name="Currency 4 3 6 4 2" xfId="29928" xr:uid="{61D729A3-778D-4A96-BFF7-41C4C5FAF594}"/>
    <cellStyle name="Currency 4 3 6 5" xfId="25218" xr:uid="{36C5E636-26E2-4622-AD43-BDBD8D288012}"/>
    <cellStyle name="Currency 4 3 6 6" xfId="13383" xr:uid="{BDCCAD98-CB43-420D-90F1-27CA2F3F0D19}"/>
    <cellStyle name="Currency 4 3 7" xfId="1883" xr:uid="{00000000-0005-0000-0000-000088030000}"/>
    <cellStyle name="Currency 4 3 7 2" xfId="2471" xr:uid="{00000000-0005-0000-0000-0000A3020000}"/>
    <cellStyle name="Currency 4 3 7 2 2" xfId="7596" xr:uid="{35277BF4-85D6-4DDF-A5A9-0BB656953092}"/>
    <cellStyle name="Currency 4 3 7 2 2 2" xfId="17976" xr:uid="{00B577A0-E585-4383-87BF-D644932D10CA}"/>
    <cellStyle name="Currency 4 3 7 2 3" xfId="10429" xr:uid="{1E7E954D-F4BC-4D52-B7A7-62A586FA092D}"/>
    <cellStyle name="Currency 4 3 7 2 3 2" xfId="20809" xr:uid="{FB59F1BA-6212-4581-8480-DB9AD295B4D3}"/>
    <cellStyle name="Currency 4 3 7 2 4" xfId="27165" xr:uid="{859CFEFB-53CA-4B7E-813F-16FD5EA8AB12}"/>
    <cellStyle name="Currency 4 3 7 2 5" xfId="28676" xr:uid="{C8E56A8A-E7D9-4A16-87B8-2F638FE792EF}"/>
    <cellStyle name="Currency 4 3 7 2 6" xfId="15143" xr:uid="{AE777392-77DF-479D-B976-9ABB8D658E94}"/>
    <cellStyle name="Currency 4 3 7 3" xfId="3702" xr:uid="{00000000-0005-0000-0000-000088030000}"/>
    <cellStyle name="Currency 4 3 7 4" xfId="5677" xr:uid="{E2521B25-7D48-4716-AE33-2479DAA07BA6}"/>
    <cellStyle name="Currency 4 3 7 4 2" xfId="29865" xr:uid="{ED283249-7832-40BF-813D-7A87C76D57BB}"/>
    <cellStyle name="Currency 4 3 7 5" xfId="25063" xr:uid="{0D87D897-DA24-4F46-95B8-8298DAF32F7B}"/>
    <cellStyle name="Currency 4 3 7 6" xfId="12859" xr:uid="{5247CC81-3C80-448B-A7A4-837570488085}"/>
    <cellStyle name="Currency 4 3 8" xfId="2225" xr:uid="{00000000-0005-0000-0000-000092020000}"/>
    <cellStyle name="Currency 4 3 8 2" xfId="7352" xr:uid="{B5806281-0079-4A9D-A756-81AD65AD44FE}"/>
    <cellStyle name="Currency 4 3 8 2 2" xfId="17732" xr:uid="{3C5FD1D2-517A-4B9F-B94B-117F3371827D}"/>
    <cellStyle name="Currency 4 3 8 2 2 2" xfId="31125" xr:uid="{D7F480B7-CB4C-485D-96A0-E1B2EBD6C500}"/>
    <cellStyle name="Currency 4 3 8 2 2 3" xfId="30855" xr:uid="{DC34D8E2-CC8E-42A4-BA04-DCD8DE3CEB56}"/>
    <cellStyle name="Currency 4 3 8 3" xfId="10185" xr:uid="{F031D557-6255-451B-80EA-F08A9F594EFC}"/>
    <cellStyle name="Currency 4 3 8 3 2" xfId="20565" xr:uid="{0B09AA96-5D23-49E3-925C-3F8A727C3400}"/>
    <cellStyle name="Currency 4 3 8 4" xfId="24620" xr:uid="{3DDFCC10-D393-43AB-94BC-22E785DA803E}"/>
    <cellStyle name="Currency 4 3 8 5" xfId="27280" xr:uid="{64CAF36B-F3AB-4AF9-8E1E-75348DF5CA28}"/>
    <cellStyle name="Currency 4 3 8 6" xfId="14899" xr:uid="{19ACD2B1-BC17-4050-8824-312BD00E30D6}"/>
    <cellStyle name="Currency 4 3 9" xfId="3884" xr:uid="{685CFCD8-CDB7-4015-8D35-50302F345A20}"/>
    <cellStyle name="Currency 4 3 9 2" xfId="8716" xr:uid="{8F84AFEA-39EF-46C8-8593-D237744CD0FC}"/>
    <cellStyle name="Currency 4 3 9 2 2" xfId="19096" xr:uid="{0C377D4E-80B1-4051-9438-5403749A64FE}"/>
    <cellStyle name="Currency 4 3 9 3" xfId="11549" xr:uid="{0BB00F3B-32C6-45D3-8764-2C694BF52872}"/>
    <cellStyle name="Currency 4 3 9 3 2" xfId="21929" xr:uid="{C3744CEE-0F3B-439F-AE70-7556DF7FA767}"/>
    <cellStyle name="Currency 4 3 9 4" xfId="27025" xr:uid="{7366C550-7A2A-46C4-B2C6-9FA891548DF0}"/>
    <cellStyle name="Currency 4 3 9 5" xfId="25933" xr:uid="{616CD1AB-1B85-44E7-9724-B42505400F6B}"/>
    <cellStyle name="Currency 4 3 9 6" xfId="16263" xr:uid="{EDA75DD9-58EA-492E-8249-0664B4196C9A}"/>
    <cellStyle name="Currency 4 4" xfId="568" xr:uid="{00000000-0005-0000-0000-000089030000}"/>
    <cellStyle name="Currency 4 4 10" xfId="6699" xr:uid="{404CEE2B-BD34-48EE-B90B-E3D8AC3D9FC6}"/>
    <cellStyle name="Currency 4 4 10 2" xfId="17079" xr:uid="{45E71150-9A8E-45BF-917B-DDE4AC91A546}"/>
    <cellStyle name="Currency 4 4 11" xfId="9532" xr:uid="{CBB5FE6E-E9CC-4D61-926F-9DED3D90AEED}"/>
    <cellStyle name="Currency 4 4 11 2" xfId="19912" xr:uid="{48800006-4CE4-48BA-A891-70824E9FF7EE}"/>
    <cellStyle name="Currency 4 4 12" xfId="25098" xr:uid="{77469EB1-1EFB-4C22-A1EE-BED7AA70A80D}"/>
    <cellStyle name="Currency 4 4 13" xfId="12437" xr:uid="{8CB51D5A-F1E7-4E3A-9646-89AA26D74E5B}"/>
    <cellStyle name="Currency 4 4 2" xfId="569" xr:uid="{00000000-0005-0000-0000-00008A030000}"/>
    <cellStyle name="Currency 4 4 2 10" xfId="9533" xr:uid="{BA4B807B-EBC4-4CE9-9480-9551FC4002E6}"/>
    <cellStyle name="Currency 4 4 2 10 2" xfId="19913" xr:uid="{2B0EBC39-CF5A-4313-97C3-FE1473BB0A80}"/>
    <cellStyle name="Currency 4 4 2 11" xfId="23203" xr:uid="{63598945-3864-4262-B140-8013553060D5}"/>
    <cellStyle name="Currency 4 4 2 12" xfId="12528" xr:uid="{5789DC16-1E00-4F5A-A367-B8B17870A40B}"/>
    <cellStyle name="Currency 4 4 2 2" xfId="570" xr:uid="{00000000-0005-0000-0000-00008B030000}"/>
    <cellStyle name="Currency 4 4 2 2 10" xfId="13112" xr:uid="{D6539105-A78B-4395-96BE-89FF952F2316}"/>
    <cellStyle name="Currency 4 4 2 2 2" xfId="1901" xr:uid="{00000000-0005-0000-0000-00008C030000}"/>
    <cellStyle name="Currency 4 4 2 2 2 2" xfId="3103" xr:uid="{00000000-0005-0000-0000-0000A7020000}"/>
    <cellStyle name="Currency 4 4 2 2 2 2 2" xfId="8183" xr:uid="{904F3012-57A0-4FAC-A0C4-16E2551489D6}"/>
    <cellStyle name="Currency 4 4 2 2 2 2 2 2" xfId="28852" xr:uid="{F9DF3389-46C0-4F6D-87EA-4F9FA8FDD3EC}"/>
    <cellStyle name="Currency 4 4 2 2 2 2 2 3" xfId="26209" xr:uid="{A847656F-3BE7-420F-8BB9-FE71ECFC7CB1}"/>
    <cellStyle name="Currency 4 4 2 2 2 2 2 4" xfId="18563" xr:uid="{F9C791EA-47C4-4D6F-84B3-278E92AA242F}"/>
    <cellStyle name="Currency 4 4 2 2 2 2 3" xfId="11016" xr:uid="{B479306D-E10B-45A5-9E29-8F290E3E7518}"/>
    <cellStyle name="Currency 4 4 2 2 2 2 3 2" xfId="21396" xr:uid="{7B3583D4-0490-439D-9C9D-67AB612751A6}"/>
    <cellStyle name="Currency 4 4 2 2 2 2 4" xfId="25770" xr:uid="{ADDBE3C1-5401-4A68-A34B-E3EEB1E9444B}"/>
    <cellStyle name="Currency 4 4 2 2 2 2 5" xfId="15730" xr:uid="{FC29D236-847B-4302-B653-8FA99C016C7C}"/>
    <cellStyle name="Currency 4 4 2 2 2 3" xfId="2060" xr:uid="{00000000-0005-0000-0000-00008C030000}"/>
    <cellStyle name="Currency 4 4 2 2 2 4" xfId="5689" xr:uid="{49DCF050-5439-44B0-B2A0-27FBC55DC5F2}"/>
    <cellStyle name="Currency 4 4 2 2 2 4 2" xfId="29973" xr:uid="{D1DCE2EF-CF6D-4E8A-B51C-2B950AC4303B}"/>
    <cellStyle name="Currency 4 4 2 2 2 5" xfId="25500" xr:uid="{6C76CE48-A73C-420F-850E-F2D87934E8E8}"/>
    <cellStyle name="Currency 4 4 2 2 2 6" xfId="13618" xr:uid="{B236BE07-737A-4F1E-AECD-C28CF3BB3BBF}"/>
    <cellStyle name="Currency 4 4 2 2 3" xfId="1902" xr:uid="{00000000-0005-0000-0000-00008D030000}"/>
    <cellStyle name="Currency 4 4 2 2 3 2" xfId="4638" xr:uid="{0C00C94B-26DF-4D56-86FA-2DE02AE2073A}"/>
    <cellStyle name="Currency 4 4 2 2 3 2 2" xfId="9401" xr:uid="{8FB0F8C5-0716-4305-9138-95591A01C0EC}"/>
    <cellStyle name="Currency 4 4 2 2 3 2 2 2" xfId="19781" xr:uid="{EA6C1482-82CF-48AC-AB9E-080BC2C233C5}"/>
    <cellStyle name="Currency 4 4 2 2 3 2 3" xfId="12234" xr:uid="{0EF530DB-0878-4B04-871E-A8959322BCC1}"/>
    <cellStyle name="Currency 4 4 2 2 3 2 3 2" xfId="22614" xr:uid="{1E50517A-98E6-403B-AAB3-C323593220CF}"/>
    <cellStyle name="Currency 4 4 2 2 3 2 4" xfId="28533" xr:uid="{C961A8A3-2CAC-486B-AA24-F13E980734BC}"/>
    <cellStyle name="Currency 4 4 2 2 3 2 5" xfId="27742" xr:uid="{BEA10562-25F9-4A67-ABCB-2331AD229B15}"/>
    <cellStyle name="Currency 4 4 2 2 3 2 6" xfId="16948" xr:uid="{1E765E18-2498-4D09-BA71-010723323D88}"/>
    <cellStyle name="Currency 4 4 2 2 3 3" xfId="25167" xr:uid="{6CF94AE3-F2BC-4D46-A438-01193BD28FD6}"/>
    <cellStyle name="Currency 4 4 2 2 3 3 2" xfId="29916" xr:uid="{4DEBB916-963E-4C15-96CA-2D790B655BDA}"/>
    <cellStyle name="Currency 4 4 2 2 3 4" xfId="30027" xr:uid="{C5F67086-089E-473F-A519-DBC59DD5DC2B}"/>
    <cellStyle name="Currency 4 4 2 2 4" xfId="1900" xr:uid="{00000000-0005-0000-0000-00008E030000}"/>
    <cellStyle name="Currency 4 4 2 2 4 2" xfId="26967" xr:uid="{7B61A0D3-E365-47E1-BF65-D22D21EAE7CE}"/>
    <cellStyle name="Currency 4 4 2 2 4 3" xfId="26338" xr:uid="{E01B3AF2-4017-4494-9A21-EB0A702E2343}"/>
    <cellStyle name="Currency 4 4 2 2 5" xfId="4277" xr:uid="{6DC5CC5C-81B1-41CA-AF6F-42D5C858E366}"/>
    <cellStyle name="Currency 4 4 2 2 5 2" xfId="9049" xr:uid="{872823FF-714C-4919-9973-525F488C0AD6}"/>
    <cellStyle name="Currency 4 4 2 2 5 2 2" xfId="19429" xr:uid="{DA923F79-00BA-43E4-88B8-1823DF5B7DDC}"/>
    <cellStyle name="Currency 4 4 2 2 5 2 3" xfId="31053" xr:uid="{67C2670F-6277-4849-9F51-8CFAF8E73D83}"/>
    <cellStyle name="Currency 4 4 2 2 5 2 4" xfId="30856" xr:uid="{971BAED6-D407-4FD7-A43D-F427F1A24A97}"/>
    <cellStyle name="Currency 4 4 2 2 5 3" xfId="11882" xr:uid="{4488F104-BB63-424A-B6A4-DF65B16FE62A}"/>
    <cellStyle name="Currency 4 4 2 2 5 3 2" xfId="22262" xr:uid="{335289AC-A5B9-4F76-87A6-C8B175484858}"/>
    <cellStyle name="Currency 4 4 2 2 5 4" xfId="28125" xr:uid="{13C84519-E98E-4148-B72C-47FE7DBA1F15}"/>
    <cellStyle name="Currency 4 4 2 2 5 5" xfId="27306" xr:uid="{B8E4A41B-B127-429B-98E1-6EF7377FA336}"/>
    <cellStyle name="Currency 4 4 2 2 5 6" xfId="16596" xr:uid="{67B8AC4C-076B-42B0-9A7C-6FC78E05BE64}"/>
    <cellStyle name="Currency 4 4 2 2 6" xfId="4953" xr:uid="{EAAD5C14-B388-4533-BDE9-BA38E3AF803A}"/>
    <cellStyle name="Currency 4 4 2 2 6 2" xfId="25889" xr:uid="{E49C18D3-FB38-469E-8EA2-39A1D214DC13}"/>
    <cellStyle name="Currency 4 4 2 2 6 3" xfId="28567" xr:uid="{2E1853E3-62B7-4CC5-B257-0D16C2DE95E9}"/>
    <cellStyle name="Currency 4 4 2 2 6 4" xfId="14248" xr:uid="{8F5DAE46-A7AD-4C60-AF86-494ADEBA80E8}"/>
    <cellStyle name="Currency 4 4 2 2 7" xfId="6701" xr:uid="{53544C6D-2AA2-4246-8F53-958AF5BCE891}"/>
    <cellStyle name="Currency 4 4 2 2 7 2" xfId="17081" xr:uid="{21941154-B79A-4F77-838D-8F5E673FC827}"/>
    <cellStyle name="Currency 4 4 2 2 8" xfId="9534" xr:uid="{1D27AFAA-4D01-4EE1-B2E9-62A529030E4B}"/>
    <cellStyle name="Currency 4 4 2 2 8 2" xfId="19914" xr:uid="{ED8FA4F6-2117-4996-B6FC-DDA7A2612F4F}"/>
    <cellStyle name="Currency 4 4 2 2 9" xfId="23043" xr:uid="{61B35C58-98F4-487B-AA0D-5B8797BD6998}"/>
    <cellStyle name="Currency 4 4 2 3" xfId="1903" xr:uid="{00000000-0005-0000-0000-00008F030000}"/>
    <cellStyle name="Currency 4 4 2 3 2" xfId="3104" xr:uid="{00000000-0005-0000-0000-0000A8020000}"/>
    <cellStyle name="Currency 4 4 2 3 2 2" xfId="8184" xr:uid="{3B528368-0FAA-46F3-A206-3A93A5B139D4}"/>
    <cellStyle name="Currency 4 4 2 3 2 2 2" xfId="28853" xr:uid="{A30D016A-33D0-433E-9A70-42BF902C9450}"/>
    <cellStyle name="Currency 4 4 2 3 2 2 2 2" xfId="31237" xr:uid="{E94BF9FB-9A35-482A-8B21-EE0A99A9AEF2}"/>
    <cellStyle name="Currency 4 4 2 3 2 2 2 3" xfId="30858" xr:uid="{84D2B151-C397-47FE-9C49-48B74BB9F4A9}"/>
    <cellStyle name="Currency 4 4 2 3 2 2 3" xfId="26573" xr:uid="{CAF3D6DB-8A27-4249-9DF8-58FA3009249E}"/>
    <cellStyle name="Currency 4 4 2 3 2 2 4" xfId="18564" xr:uid="{59533188-AAA2-4A27-84AC-9B729203AB49}"/>
    <cellStyle name="Currency 4 4 2 3 2 3" xfId="11017" xr:uid="{59A4FE0E-396F-4DB4-BED8-6EA8B4E36012}"/>
    <cellStyle name="Currency 4 4 2 3 2 3 2" xfId="21397" xr:uid="{3C3A709D-827E-4127-A388-92EE304839C4}"/>
    <cellStyle name="Currency 4 4 2 3 2 4" xfId="23262" xr:uid="{12A27AB1-F8A3-47B3-9C80-05B24D69BA66}"/>
    <cellStyle name="Currency 4 4 2 3 2 5" xfId="15731" xr:uid="{8E99F1F0-99DF-4F1D-BEBD-3FA027A3087B}"/>
    <cellStyle name="Currency 4 4 2 3 3" xfId="3693" xr:uid="{00000000-0005-0000-0000-00008F030000}"/>
    <cellStyle name="Currency 4 4 2 3 4" xfId="4430" xr:uid="{F8CB2A5C-4D26-4BAD-8830-9C4F07E2F2A3}"/>
    <cellStyle name="Currency 4 4 2 3 4 2" xfId="9202" xr:uid="{4DC3113D-FC04-454A-85D0-39366B9F0756}"/>
    <cellStyle name="Currency 4 4 2 3 4 2 2" xfId="19582" xr:uid="{A8304793-2B18-4B4C-9B60-EDFE5C9562EF}"/>
    <cellStyle name="Currency 4 4 2 3 4 2 3" xfId="31096" xr:uid="{DBDCC3BC-59A6-4FDF-8CB5-5162634392A0}"/>
    <cellStyle name="Currency 4 4 2 3 4 2 4" xfId="30857" xr:uid="{E266DC82-37B3-4A61-9149-D8B676B10235}"/>
    <cellStyle name="Currency 4 4 2 3 4 3" xfId="12035" xr:uid="{CC4055C3-9AB9-48BA-B8E9-6F062B9F8F27}"/>
    <cellStyle name="Currency 4 4 2 3 4 3 2" xfId="22415" xr:uid="{3A3D4CBD-6E01-4641-AD71-CF8A85125E52}"/>
    <cellStyle name="Currency 4 4 2 3 4 4" xfId="16749" xr:uid="{9F1DF4B1-6A9D-463B-89D0-8A2B6CDAB99D}"/>
    <cellStyle name="Currency 4 4 2 3 5" xfId="5690" xr:uid="{C340B98F-AC3B-46E2-A9ED-DC08D3F861F0}"/>
    <cellStyle name="Currency 4 4 2 3 5 2" xfId="29704" xr:uid="{3EFD9C23-21A4-42B7-958E-84631AA98301}"/>
    <cellStyle name="Currency 4 4 2 3 5 2 2" xfId="30992" xr:uid="{8BD50B0A-F77B-4D5C-9272-98C9DD72C43D}"/>
    <cellStyle name="Currency 4 4 2 3 6" xfId="23543" xr:uid="{46D9FF0A-A3C3-41E8-8AD7-2B3DFD6AED77}"/>
    <cellStyle name="Currency 4 4 2 3 7" xfId="13619" xr:uid="{542F7D67-A4C1-4700-BB7E-DADA16235EDD}"/>
    <cellStyle name="Currency 4 4 2 4" xfId="1904" xr:uid="{00000000-0005-0000-0000-000090030000}"/>
    <cellStyle name="Currency 4 4 2 4 2" xfId="3102" xr:uid="{00000000-0005-0000-0000-0000A9020000}"/>
    <cellStyle name="Currency 4 4 2 4 2 2" xfId="8182" xr:uid="{17B8D159-7256-494F-B250-69E5D9BAD987}"/>
    <cellStyle name="Currency 4 4 2 4 2 2 2" xfId="28851" xr:uid="{EC7EE37A-1F50-4984-B8F6-00D4FE7D8E0D}"/>
    <cellStyle name="Currency 4 4 2 4 2 2 3" xfId="28630" xr:uid="{C9A4E31C-CD58-49A0-9548-1EEEE3BD061D}"/>
    <cellStyle name="Currency 4 4 2 4 2 2 4" xfId="18562" xr:uid="{2FBDEEA3-5C6D-4F5E-AA43-C3D5A9AD4D5E}"/>
    <cellStyle name="Currency 4 4 2 4 2 3" xfId="11015" xr:uid="{5CA98DED-1729-4747-B387-2556E0E9DF5F}"/>
    <cellStyle name="Currency 4 4 2 4 2 3 2" xfId="21395" xr:uid="{64DE3F4C-3939-4F6B-80DF-1E2EF6213C4F}"/>
    <cellStyle name="Currency 4 4 2 4 2 4" xfId="23675" xr:uid="{66CB5B40-14CE-477C-AA1C-4296E2E86AD6}"/>
    <cellStyle name="Currency 4 4 2 4 2 5" xfId="15729" xr:uid="{04B5EFF6-90EA-46B9-8433-3DA27578DA20}"/>
    <cellStyle name="Currency 4 4 2 4 3" xfId="3558" xr:uid="{00000000-0005-0000-0000-000090030000}"/>
    <cellStyle name="Currency 4 4 2 4 4" xfId="5691" xr:uid="{5A4FEA78-B599-41CC-9868-BAC943503E9D}"/>
    <cellStyle name="Currency 4 4 2 4 4 2" xfId="29972" xr:uid="{B94433C2-4C03-4B4D-94A5-E917D4637908}"/>
    <cellStyle name="Currency 4 4 2 4 5" xfId="25242" xr:uid="{1189934D-B514-4902-8BD7-4DD15F495D81}"/>
    <cellStyle name="Currency 4 4 2 4 6" xfId="13617" xr:uid="{FA1F9B35-0FF6-4C7F-BD90-8D63413D74B5}"/>
    <cellStyle name="Currency 4 4 2 5" xfId="1899" xr:uid="{00000000-0005-0000-0000-000091030000}"/>
    <cellStyle name="Currency 4 4 2 5 2" xfId="2614" xr:uid="{00000000-0005-0000-0000-0000AA020000}"/>
    <cellStyle name="Currency 4 4 2 5 2 2" xfId="7739" xr:uid="{37D6E4AC-6E33-48CD-B4F6-0F2D4F7211EE}"/>
    <cellStyle name="Currency 4 4 2 5 2 2 2" xfId="18119" xr:uid="{D5A6CDF3-81CB-4326-A0F4-7C6106191F34}"/>
    <cellStyle name="Currency 4 4 2 5 2 3" xfId="10572" xr:uid="{360FB14A-F563-424E-8F6B-7C3C04B9D6BE}"/>
    <cellStyle name="Currency 4 4 2 5 2 3 2" xfId="20952" xr:uid="{D5B3335F-D1F0-43A7-8E43-044703D0FA0A}"/>
    <cellStyle name="Currency 4 4 2 5 2 4" xfId="28620" xr:uid="{809EF085-D442-48A5-8B95-365BB7689706}"/>
    <cellStyle name="Currency 4 4 2 5 2 5" xfId="28705" xr:uid="{2E3EEC90-EDBD-455D-B6D2-470488E51772}"/>
    <cellStyle name="Currency 4 4 2 5 2 6" xfId="15286" xr:uid="{69626681-85A9-4215-9E2D-76B0326E7A5E}"/>
    <cellStyle name="Currency 4 4 2 5 3" xfId="3662" xr:uid="{00000000-0005-0000-0000-000091030000}"/>
    <cellStyle name="Currency 4 4 2 5 4" xfId="5688" xr:uid="{9A95B928-1804-4328-A082-0B5689D37A2C}"/>
    <cellStyle name="Currency 4 4 2 5 4 2" xfId="29887" xr:uid="{1E337AB5-CDC0-4D6B-AC88-B5A57522C2AF}"/>
    <cellStyle name="Currency 4 4 2 5 5" xfId="24929" xr:uid="{8411776B-11BF-4BE8-ABFA-40E931CBA0E3}"/>
    <cellStyle name="Currency 4 4 2 5 6" xfId="13002" xr:uid="{3E4E4568-3942-4CB4-B949-E39BC913EBD6}"/>
    <cellStyle name="Currency 4 4 2 6" xfId="2296" xr:uid="{00000000-0005-0000-0000-0000A5020000}"/>
    <cellStyle name="Currency 4 4 2 6 2" xfId="7423" xr:uid="{E769182C-50E2-494B-B656-84B35C9E559F}"/>
    <cellStyle name="Currency 4 4 2 6 2 2" xfId="17803" xr:uid="{84CAB30E-1C3F-4459-AD27-1DC4F7CF4018}"/>
    <cellStyle name="Currency 4 4 2 6 3" xfId="10256" xr:uid="{EC05B593-AEE7-4DB6-BC0C-A9497656B60F}"/>
    <cellStyle name="Currency 4 4 2 6 3 2" xfId="20636" xr:uid="{83854D91-4B8B-4C36-82F1-7F454EDB584A}"/>
    <cellStyle name="Currency 4 4 2 6 4" xfId="24744" xr:uid="{C669A425-66C2-4ED1-A1DF-A830A5952BA5}"/>
    <cellStyle name="Currency 4 4 2 6 5" xfId="28464" xr:uid="{912F3BA5-9B24-44BA-8038-B34D4DF4ED18}"/>
    <cellStyle name="Currency 4 4 2 6 6" xfId="14970" xr:uid="{641CB3F8-BA3B-4F14-922D-071F117F0920}"/>
    <cellStyle name="Currency 4 4 2 7" xfId="3831" xr:uid="{3FE98610-9D18-4345-AD19-91A8C7D105E1}"/>
    <cellStyle name="Currency 4 4 2 7 2" xfId="8664" xr:uid="{5C5AC266-51EB-4694-89B0-52A9EFCE5390}"/>
    <cellStyle name="Currency 4 4 2 7 2 2" xfId="19044" xr:uid="{015B5D4E-6227-4C9C-ABC6-C1B4B6FAFFEA}"/>
    <cellStyle name="Currency 4 4 2 7 3" xfId="11497" xr:uid="{27C27FC8-0E34-4E18-A02C-78CA3130BED3}"/>
    <cellStyle name="Currency 4 4 2 7 3 2" xfId="21877" xr:uid="{1C3B1938-8D74-4943-B0AF-DC54C33600CD}"/>
    <cellStyle name="Currency 4 4 2 7 4" xfId="27628" xr:uid="{0462E136-9BD1-4F29-83FA-58F2DDCE40C6}"/>
    <cellStyle name="Currency 4 4 2 7 5" xfId="28514" xr:uid="{A60B902E-5467-4FE7-9F66-80C1EDACA61A}"/>
    <cellStyle name="Currency 4 4 2 7 6" xfId="16211" xr:uid="{34ED2F95-0A2F-4442-AB6C-F9A33800E411}"/>
    <cellStyle name="Currency 4 4 2 8" xfId="4952" xr:uid="{070C5DCD-F2E8-4339-A158-DD67509D6194}"/>
    <cellStyle name="Currency 4 4 2 8 2" xfId="14247" xr:uid="{18E2B826-99F8-4C7C-A55E-3ABFEFCC4102}"/>
    <cellStyle name="Currency 4 4 2 9" xfId="6700" xr:uid="{7D36F73A-72D9-4DA8-A62D-5C3412A1B7BA}"/>
    <cellStyle name="Currency 4 4 2 9 2" xfId="17080" xr:uid="{E341D44A-0501-45F4-9C3E-5483722A356E}"/>
    <cellStyle name="Currency 4 4 3" xfId="571" xr:uid="{00000000-0005-0000-0000-000092030000}"/>
    <cellStyle name="Currency 4 4 3 10" xfId="12686" xr:uid="{FEA75997-780D-472D-A3E4-56A6D8F8D8D1}"/>
    <cellStyle name="Currency 4 4 3 2" xfId="1906" xr:uid="{00000000-0005-0000-0000-000093030000}"/>
    <cellStyle name="Currency 4 4 3 2 2" xfId="3105" xr:uid="{00000000-0005-0000-0000-0000AC020000}"/>
    <cellStyle name="Currency 4 4 3 2 2 2" xfId="8185" xr:uid="{28A35267-3598-4547-B6FF-E3EA3107BCDF}"/>
    <cellStyle name="Currency 4 4 3 2 2 2 2" xfId="28854" xr:uid="{C67EC69A-2795-4635-AE3E-6A52A68182C3}"/>
    <cellStyle name="Currency 4 4 3 2 2 2 3" xfId="28468" xr:uid="{1D2F5812-0DA1-46AE-A5EC-23E1466B517C}"/>
    <cellStyle name="Currency 4 4 3 2 2 2 4" xfId="18565" xr:uid="{D286A884-068B-4F1B-B885-4ECF551E0351}"/>
    <cellStyle name="Currency 4 4 3 2 2 3" xfId="11018" xr:uid="{700160F2-40F2-48D5-9BE8-A4A1DCE89E6E}"/>
    <cellStyle name="Currency 4 4 3 2 2 3 2" xfId="21398" xr:uid="{32E4A722-FF26-4FBB-A586-1710AD22DEE3}"/>
    <cellStyle name="Currency 4 4 3 2 2 4" xfId="24462" xr:uid="{E2B1710F-D7E1-4F28-AC95-993566A223BF}"/>
    <cellStyle name="Currency 4 4 3 2 2 5" xfId="15732" xr:uid="{8A4C1AFD-8D7A-4968-B92C-20CA0B358FAF}"/>
    <cellStyle name="Currency 4 4 3 2 3" xfId="3555" xr:uid="{00000000-0005-0000-0000-000093030000}"/>
    <cellStyle name="Currency 4 4 3 2 4" xfId="5692" xr:uid="{AC107150-D7A8-43D6-A222-7FFF60EC771B}"/>
    <cellStyle name="Currency 4 4 3 2 4 2" xfId="29974" xr:uid="{C447A071-5548-47AC-88AC-3044929A90F6}"/>
    <cellStyle name="Currency 4 4 3 2 5" xfId="23789" xr:uid="{6D5A2966-DEC8-4195-9E57-33702C82F7AF}"/>
    <cellStyle name="Currency 4 4 3 2 6" xfId="13620" xr:uid="{41C66B63-F1BD-466A-91A3-EE4E189FBDC5}"/>
    <cellStyle name="Currency 4 4 3 3" xfId="1907" xr:uid="{00000000-0005-0000-0000-000094030000}"/>
    <cellStyle name="Currency 4 4 3 3 2" xfId="2696" xr:uid="{00000000-0005-0000-0000-0000AD020000}"/>
    <cellStyle name="Currency 4 4 3 3 2 2" xfId="7820" xr:uid="{F4A44545-97FC-4ABC-B0CA-0534910A0E56}"/>
    <cellStyle name="Currency 4 4 3 3 2 2 2" xfId="18200" xr:uid="{4FCEEDDB-95A9-49A5-A002-DB520D4E0F2F}"/>
    <cellStyle name="Currency 4 4 3 3 2 3" xfId="10653" xr:uid="{A00B99ED-6FFB-4878-96CC-4D02ACAF498A}"/>
    <cellStyle name="Currency 4 4 3 3 2 3 2" xfId="21033" xr:uid="{4899BC26-5703-4E8C-9F3A-C9D8141923CF}"/>
    <cellStyle name="Currency 4 4 3 3 2 4" xfId="15367" xr:uid="{B68A6950-1935-433C-9F30-5649A67CDB1F}"/>
    <cellStyle name="Currency 4 4 3 3 2 5" xfId="30453" xr:uid="{3220311B-FB69-4A21-9EA6-BA827237813C}"/>
    <cellStyle name="Currency 4 4 3 3 3" xfId="3585" xr:uid="{00000000-0005-0000-0000-000094030000}"/>
    <cellStyle name="Currency 4 4 3 3 4" xfId="5693" xr:uid="{193A20EF-0047-4A6C-B664-DEFD302C7B8D}"/>
    <cellStyle name="Currency 4 4 3 3 4 2" xfId="29915" xr:uid="{42A8928A-AD1B-4DB0-86BB-E8BF6D29469A}"/>
    <cellStyle name="Currency 4 4 3 3 5" xfId="22807" xr:uid="{D25D342D-75CA-4B2D-B80B-1365CC0697DE}"/>
    <cellStyle name="Currency 4 4 3 3 6" xfId="13111" xr:uid="{F258322D-6E49-4C94-BB42-D022721D18A1}"/>
    <cellStyle name="Currency 4 4 3 4" xfId="1905" xr:uid="{00000000-0005-0000-0000-000095030000}"/>
    <cellStyle name="Currency 4 4 3 4 2" xfId="3771" xr:uid="{07F20531-A377-448D-B2B8-5E0726E4CBB2}"/>
    <cellStyle name="Currency 4 4 3 4 2 2" xfId="8615" xr:uid="{76E14BB7-D181-41E8-B76A-F4E1F05ABA42}"/>
    <cellStyle name="Currency 4 4 3 4 2 2 2" xfId="18995" xr:uid="{E2D1C956-7BE2-4240-9848-9C0D30018986}"/>
    <cellStyle name="Currency 4 4 3 4 2 3" xfId="11448" xr:uid="{A905F953-8ED5-4CF9-95A4-615ED1708C5A}"/>
    <cellStyle name="Currency 4 4 3 4 2 3 2" xfId="21828" xr:uid="{802B883D-F7B5-4863-84E2-8110B3E7C1FB}"/>
    <cellStyle name="Currency 4 4 3 4 2 4" xfId="25973" xr:uid="{7B0FDD69-632A-4DC5-87F6-15114CCC50D2}"/>
    <cellStyle name="Currency 4 4 3 4 2 5" xfId="27420" xr:uid="{B0617012-55C5-4B9D-9146-D67D52658F3F}"/>
    <cellStyle name="Currency 4 4 3 4 2 6" xfId="16162" xr:uid="{575C6C11-3418-4007-9630-4BC7159E78AA}"/>
    <cellStyle name="Currency 4 4 3 4 3" xfId="22865" xr:uid="{1A29221E-C015-45FA-9134-C2C3C9F98B1E}"/>
    <cellStyle name="Currency 4 4 3 5" xfId="4140" xr:uid="{D4B1C4AC-16F6-4633-954B-0E0639E01914}"/>
    <cellStyle name="Currency 4 4 3 5 2" xfId="8912" xr:uid="{D7A5433B-2D57-4DA7-A6D4-3BD9D4C7D0DC}"/>
    <cellStyle name="Currency 4 4 3 5 2 2" xfId="29015" xr:uid="{EC1ADC02-8593-4A90-A032-DC0937DEC627}"/>
    <cellStyle name="Currency 4 4 3 5 2 3" xfId="26751" xr:uid="{551323B0-0D08-4463-B72F-EEF383D59218}"/>
    <cellStyle name="Currency 4 4 3 5 2 4" xfId="19292" xr:uid="{A9E9D21B-0A62-44F0-AB74-22AE5AD93639}"/>
    <cellStyle name="Currency 4 4 3 5 2 5" xfId="31022" xr:uid="{C772FF49-A530-4A0E-B7EF-F2DE775CB904}"/>
    <cellStyle name="Currency 4 4 3 5 3" xfId="11745" xr:uid="{7FB50B49-0896-451A-BBB1-938C24C33B3A}"/>
    <cellStyle name="Currency 4 4 3 5 3 2" xfId="22125" xr:uid="{AAA9B7F7-BD78-41D7-90CE-DE4F4B1FCF26}"/>
    <cellStyle name="Currency 4 4 3 5 4" xfId="25539" xr:uid="{5242B304-AD13-4A62-B493-DDBA6577F6BA}"/>
    <cellStyle name="Currency 4 4 3 5 5" xfId="16459" xr:uid="{D206A757-E919-4031-A5E0-10222AEA5ABD}"/>
    <cellStyle name="Currency 4 4 3 6" xfId="4954" xr:uid="{FA65F11D-481D-4170-8FA9-798AA2830B03}"/>
    <cellStyle name="Currency 4 4 3 6 2" xfId="27069" xr:uid="{BF1A825B-FB2D-457F-BB69-1A877B3C389E}"/>
    <cellStyle name="Currency 4 4 3 6 3" xfId="26851" xr:uid="{7A281B76-9630-499F-A6B8-7D065D0DF04C}"/>
    <cellStyle name="Currency 4 4 3 6 4" xfId="14249" xr:uid="{F93EA684-5F36-4F2A-9DA9-44F08D372E5C}"/>
    <cellStyle name="Currency 4 4 3 7" xfId="6702" xr:uid="{5212CBAC-1EE9-4989-8552-1BB543D5560E}"/>
    <cellStyle name="Currency 4 4 3 7 2" xfId="26032" xr:uid="{AE55EBFC-81F0-4FFF-A7C4-B51FE344C49E}"/>
    <cellStyle name="Currency 4 4 3 7 3" xfId="27024" xr:uid="{F22A5A6A-32A6-49E5-96B0-484D43E6094B}"/>
    <cellStyle name="Currency 4 4 3 7 4" xfId="17082" xr:uid="{4022AFF0-7B99-4C08-BBE1-DF9E77BD4DA2}"/>
    <cellStyle name="Currency 4 4 3 8" xfId="9535" xr:uid="{BC568C3D-AE73-4B82-BFB4-A38DC814868E}"/>
    <cellStyle name="Currency 4 4 3 8 2" xfId="19915" xr:uid="{F0944CF6-52BD-4779-B313-62D489AF6120}"/>
    <cellStyle name="Currency 4 4 3 9" xfId="25502" xr:uid="{F6E34D30-A59B-4D54-AD44-B7D52207DF03}"/>
    <cellStyle name="Currency 4 4 4" xfId="572" xr:uid="{00000000-0005-0000-0000-000096030000}"/>
    <cellStyle name="Currency 4 4 4 10" xfId="13621" xr:uid="{22A6E31E-BFED-4155-83F3-C6B38C339ED3}"/>
    <cellStyle name="Currency 4 4 4 2" xfId="1909" xr:uid="{00000000-0005-0000-0000-000097030000}"/>
    <cellStyle name="Currency 4 4 4 2 2" xfId="23515" xr:uid="{6C469949-B796-41B0-A72C-3324EE72B59F}"/>
    <cellStyle name="Currency 4 4 4 2 2 2" xfId="29796" xr:uid="{F7B71C15-7722-459E-8BE7-FADD50187F71}"/>
    <cellStyle name="Currency 4 4 4 2 2 2 2" xfId="30860" xr:uid="{9D9B1BB6-7F98-4579-9936-669B30E05F76}"/>
    <cellStyle name="Currency 4 4 4 2 3" xfId="23159" xr:uid="{84ACC6A3-99BA-4642-A269-125562AF4504}"/>
    <cellStyle name="Currency 4 4 4 2 4" xfId="30065" xr:uid="{1B217033-AB76-4D61-9FDE-F4F6F11BB015}"/>
    <cellStyle name="Currency 4 4 4 3" xfId="1910" xr:uid="{00000000-0005-0000-0000-000098030000}"/>
    <cellStyle name="Currency 4 4 4 4" xfId="1908" xr:uid="{00000000-0005-0000-0000-000099030000}"/>
    <cellStyle name="Currency 4 4 4 5" xfId="4431" xr:uid="{85B45310-3D57-4A81-877C-479B1DFC9977}"/>
    <cellStyle name="Currency 4 4 4 5 2" xfId="9203" xr:uid="{2BBECCD9-6495-43AF-86E0-81F64B2A7737}"/>
    <cellStyle name="Currency 4 4 4 5 2 2" xfId="19583" xr:uid="{23BF737A-2D23-4F63-9F38-0B7BFF6210B1}"/>
    <cellStyle name="Currency 4 4 4 5 2 3" xfId="31097" xr:uid="{922E07EA-F204-451A-9C0B-BC8E8926C35D}"/>
    <cellStyle name="Currency 4 4 4 5 2 4" xfId="30859" xr:uid="{301E1222-4E62-42A9-A362-C26BC40FFCB3}"/>
    <cellStyle name="Currency 4 4 4 5 3" xfId="12036" xr:uid="{2444FECE-BC68-423D-839C-5CE3B4F9BC1B}"/>
    <cellStyle name="Currency 4 4 4 5 3 2" xfId="22416" xr:uid="{58EF8FE6-53F6-4028-B2BB-75F236249CBD}"/>
    <cellStyle name="Currency 4 4 4 5 4" xfId="16750" xr:uid="{B558872C-317E-4B14-AB9F-874B55B2F5C5}"/>
    <cellStyle name="Currency 4 4 4 6" xfId="4955" xr:uid="{18ABB6A8-C403-456C-98F4-0EE04349E584}"/>
    <cellStyle name="Currency 4 4 4 6 2" xfId="14250" xr:uid="{58E46FBB-755C-4FB2-A35F-47E549F0BD49}"/>
    <cellStyle name="Currency 4 4 4 7" xfId="6703" xr:uid="{596064E9-A3D6-4168-8E40-533C5FE5261B}"/>
    <cellStyle name="Currency 4 4 4 7 2" xfId="17083" xr:uid="{4EDFE94E-D8DB-4C33-9E32-6E6954FC7DB2}"/>
    <cellStyle name="Currency 4 4 4 8" xfId="9536" xr:uid="{7E8CFD0C-E04E-4D79-A5B5-E36825FD963E}"/>
    <cellStyle name="Currency 4 4 4 8 2" xfId="19916" xr:uid="{D344D597-610C-4218-9B56-5A1108029B26}"/>
    <cellStyle name="Currency 4 4 4 9" xfId="22777" xr:uid="{273C5658-5482-4CBD-8210-7DC046A9AB81}"/>
    <cellStyle name="Currency 4 4 5" xfId="1911" xr:uid="{00000000-0005-0000-0000-00009A030000}"/>
    <cellStyle name="Currency 4 4 5 2" xfId="2885" xr:uid="{00000000-0005-0000-0000-0000AF020000}"/>
    <cellStyle name="Currency 4 4 5 2 2" xfId="8002" xr:uid="{E706C878-2C34-422A-A8A0-D864701A29BC}"/>
    <cellStyle name="Currency 4 4 5 2 2 2" xfId="26460" xr:uid="{8F6912E3-A45B-4771-8C84-42F8D99A8E39}"/>
    <cellStyle name="Currency 4 4 5 2 2 2 2" xfId="31178" xr:uid="{E6ECC9DB-DC28-467B-B7F1-CDE8E720F8D3}"/>
    <cellStyle name="Currency 4 4 5 2 2 2 3" xfId="30861" xr:uid="{8A1F00C7-AFCE-4683-94ED-A78DC54E07F5}"/>
    <cellStyle name="Currency 4 4 5 2 2 3" xfId="28364" xr:uid="{3E644810-A0E0-49AF-9121-6E0D617C9F9B}"/>
    <cellStyle name="Currency 4 4 5 2 2 4" xfId="18382" xr:uid="{48D5BEDA-330E-4BCC-B7F7-1F58EFDF3FAB}"/>
    <cellStyle name="Currency 4 4 5 2 3" xfId="10835" xr:uid="{8385A4A4-CAE6-464C-8D6D-09A97C966A1D}"/>
    <cellStyle name="Currency 4 4 5 2 3 2" xfId="21215" xr:uid="{2D781732-0962-4F77-983C-1CDD76FA6BB9}"/>
    <cellStyle name="Currency 4 4 5 2 4" xfId="25205" xr:uid="{4BA2EDA2-92EE-40D3-8CD0-5982FF26CE6C}"/>
    <cellStyle name="Currency 4 4 5 2 5" xfId="15549" xr:uid="{6D334121-FCC4-4222-AF17-882F68418372}"/>
    <cellStyle name="Currency 4 4 5 3" xfId="3561" xr:uid="{00000000-0005-0000-0000-00009A030000}"/>
    <cellStyle name="Currency 4 4 5 4" xfId="5694" xr:uid="{185473FA-8510-43D0-BF8C-2C41F88C632B}"/>
    <cellStyle name="Currency 4 4 5 4 2" xfId="29850" xr:uid="{53673545-98E4-4DAE-8363-8BC88BF5941E}"/>
    <cellStyle name="Currency 4 4 5 5" xfId="22973" xr:uid="{C3CB335E-5D79-45F9-AA49-2C67A54AC125}"/>
    <cellStyle name="Currency 4 4 5 6" xfId="13384" xr:uid="{E33E0FD3-8ACA-447C-B22D-09D67C881F8C}"/>
    <cellStyle name="Currency 4 4 6" xfId="1912" xr:uid="{00000000-0005-0000-0000-00009B030000}"/>
    <cellStyle name="Currency 4 4 6 2" xfId="2451" xr:uid="{00000000-0005-0000-0000-0000B0020000}"/>
    <cellStyle name="Currency 4 4 6 2 2" xfId="7576" xr:uid="{8C7E1CB5-24B2-4C06-B574-3CCF8E4D4FAF}"/>
    <cellStyle name="Currency 4 4 6 2 2 2" xfId="17956" xr:uid="{6A488EF1-40BC-410B-A9DD-E4DD703411B9}"/>
    <cellStyle name="Currency 4 4 6 2 3" xfId="10409" xr:uid="{2C895468-9D6B-45DE-9B6E-63DB10E7354C}"/>
    <cellStyle name="Currency 4 4 6 2 3 2" xfId="20789" xr:uid="{04CD12E1-4B0D-4532-9DDB-BE35C5B28512}"/>
    <cellStyle name="Currency 4 4 6 2 4" xfId="27417" xr:uid="{D1E79319-E313-4D2C-9D9E-08BDF44ED27D}"/>
    <cellStyle name="Currency 4 4 6 2 5" xfId="26269" xr:uid="{1AE1D3C1-28D4-4D37-86B0-3452ECD9B6AA}"/>
    <cellStyle name="Currency 4 4 6 2 6" xfId="15123" xr:uid="{C20D0B3A-B542-4016-967C-E7A10907E596}"/>
    <cellStyle name="Currency 4 4 6 3" xfId="3593" xr:uid="{00000000-0005-0000-0000-00009B030000}"/>
    <cellStyle name="Currency 4 4 6 4" xfId="5695" xr:uid="{2C0CC53D-152E-44E5-AED9-191AC3BD2EEB}"/>
    <cellStyle name="Currency 4 4 6 4 2" xfId="29861" xr:uid="{349FD21A-67D9-40B3-8E31-F2333293EFC2}"/>
    <cellStyle name="Currency 4 4 6 5" xfId="25351" xr:uid="{8FD0F9DD-B8DA-44AE-86E7-B484DD0FA26C}"/>
    <cellStyle name="Currency 4 4 6 6" xfId="12839" xr:uid="{AD2A135C-E052-4007-9C51-0C179C5E7320}"/>
    <cellStyle name="Currency 4 4 7" xfId="1898" xr:uid="{00000000-0005-0000-0000-00009C030000}"/>
    <cellStyle name="Currency 4 4 7 2" xfId="2205" xr:uid="{00000000-0005-0000-0000-0000A4020000}"/>
    <cellStyle name="Currency 4 4 7 2 2" xfId="7332" xr:uid="{62EF3B49-9C3F-4DB0-8470-22FF7A1A9DB0}"/>
    <cellStyle name="Currency 4 4 7 2 2 2" xfId="17712" xr:uid="{8274FE90-26AD-47D5-B025-2D6ABB711C56}"/>
    <cellStyle name="Currency 4 4 7 2 3" xfId="10165" xr:uid="{080EBF57-24D2-4B02-8980-3C5D00F55BB7}"/>
    <cellStyle name="Currency 4 4 7 2 3 2" xfId="20545" xr:uid="{0372398F-1696-4722-9F52-2C7BF476EABC}"/>
    <cellStyle name="Currency 4 4 7 2 4" xfId="27695" xr:uid="{260BCC71-9ADF-41F7-9F7F-8DDE0748C47A}"/>
    <cellStyle name="Currency 4 4 7 2 5" xfId="26533" xr:uid="{CD9566BE-C759-4FE2-8BFE-14AD9676A026}"/>
    <cellStyle name="Currency 4 4 7 2 6" xfId="14879" xr:uid="{70853DB0-5ABB-4046-A264-8072BB939B1E}"/>
    <cellStyle name="Currency 4 4 7 3" xfId="3551" xr:uid="{00000000-0005-0000-0000-00009C030000}"/>
    <cellStyle name="Currency 4 4 7 4" xfId="23997" xr:uid="{3627A03A-4482-445B-90C3-B16E8F917721}"/>
    <cellStyle name="Currency 4 4 8" xfId="3885" xr:uid="{8F492FEB-DD26-4D92-B639-56080C96DAD0}"/>
    <cellStyle name="Currency 4 4 8 2" xfId="8717" xr:uid="{DAD2360B-067F-4D07-A858-480B67333D2B}"/>
    <cellStyle name="Currency 4 4 8 2 2" xfId="19097" xr:uid="{C7898B95-E082-451B-B2EC-50C3150B9BA5}"/>
    <cellStyle name="Currency 4 4 8 3" xfId="11550" xr:uid="{5D0C0B8C-1995-4240-B3F9-561A2014C994}"/>
    <cellStyle name="Currency 4 4 8 3 2" xfId="21930" xr:uid="{EE1C25E8-167D-4C7C-B018-6839FBE69164}"/>
    <cellStyle name="Currency 4 4 8 4" xfId="26450" xr:uid="{82287D56-B02D-4F68-B9A6-64009DFF896E}"/>
    <cellStyle name="Currency 4 4 8 5" xfId="28738" xr:uid="{F831583E-FE89-4A56-8161-10A6D8C24FD3}"/>
    <cellStyle name="Currency 4 4 8 6" xfId="16264" xr:uid="{30ACCFBB-EB86-4E6F-8833-07FD0F8ACD5B}"/>
    <cellStyle name="Currency 4 4 9" xfId="4951" xr:uid="{CDC5A57C-39E3-4F44-8543-1AF3DDF56F13}"/>
    <cellStyle name="Currency 4 4 9 2" xfId="26487" xr:uid="{B2BCE877-50E5-41D9-B7EB-2E62128CFE4F}"/>
    <cellStyle name="Currency 4 4 9 3" xfId="28380" xr:uid="{B9AD3C45-5151-45F4-9C1E-9B37CB2D1074}"/>
    <cellStyle name="Currency 4 4 9 4" xfId="14246" xr:uid="{8E423349-87EE-42D6-AED9-9F1C41279132}"/>
    <cellStyle name="Currency 4 5" xfId="573" xr:uid="{00000000-0005-0000-0000-00009D030000}"/>
    <cellStyle name="Currency 4 5 10" xfId="6704" xr:uid="{96D8005A-5D5D-4F79-BBBF-7E5CB28B4B4F}"/>
    <cellStyle name="Currency 4 5 10 2" xfId="17084" xr:uid="{81F424D6-4264-4E30-BEB1-0817CD168E12}"/>
    <cellStyle name="Currency 4 5 11" xfId="9537" xr:uid="{3F991DD6-16B1-4177-928C-BAF66C83B4F2}"/>
    <cellStyle name="Currency 4 5 11 2" xfId="19917" xr:uid="{A7B41CDA-B897-4123-A170-00939D138172}"/>
    <cellStyle name="Currency 4 5 12" xfId="23113" xr:uid="{E500777F-BE40-4CCF-A9CD-C9040D92E351}"/>
    <cellStyle name="Currency 4 5 13" xfId="12529" xr:uid="{1D7A1179-43DD-4B78-BF9D-06270AD4081B}"/>
    <cellStyle name="Currency 4 5 2" xfId="574" xr:uid="{00000000-0005-0000-0000-00009E030000}"/>
    <cellStyle name="Currency 4 5 2 10" xfId="24626" xr:uid="{936AD911-D8C4-43A4-826C-E4A0CEE467A1}"/>
    <cellStyle name="Currency 4 5 2 11" xfId="12687" xr:uid="{3BE07639-9D6E-46C0-8899-0CFA846D1B4E}"/>
    <cellStyle name="Currency 4 5 2 2" xfId="575" xr:uid="{00000000-0005-0000-0000-00009F030000}"/>
    <cellStyle name="Currency 4 5 2 2 2" xfId="1916" xr:uid="{00000000-0005-0000-0000-0000A0030000}"/>
    <cellStyle name="Currency 4 5 2 2 2 2" xfId="25699" xr:uid="{4DA1172A-F308-41C1-8CF1-3AFF6E52A4D0}"/>
    <cellStyle name="Currency 4 5 2 2 2 2 2" xfId="29815" xr:uid="{54AEC88B-7641-4033-8E17-654214DB9AAB}"/>
    <cellStyle name="Currency 4 5 2 2 2 2 2 2" xfId="30863" xr:uid="{7381C2EE-3CA1-46AD-B6E8-34B86631DCC2}"/>
    <cellStyle name="Currency 4 5 2 2 2 3" xfId="25550" xr:uid="{28F1393C-3413-4434-818B-1BEA030FD1C4}"/>
    <cellStyle name="Currency 4 5 2 2 2 4" xfId="30066" xr:uid="{0B5255B4-B7A2-4EE0-89D0-EB53C585A7A2}"/>
    <cellStyle name="Currency 4 5 2 2 3" xfId="1917" xr:uid="{00000000-0005-0000-0000-0000A1030000}"/>
    <cellStyle name="Currency 4 5 2 2 3 2" xfId="28279" xr:uid="{50B40CE8-5CD9-417B-992B-76488973FBEE}"/>
    <cellStyle name="Currency 4 5 2 2 3 3" xfId="27749" xr:uid="{8C12FD05-3DB0-4D9C-B5B8-A93CD492E9A2}"/>
    <cellStyle name="Currency 4 5 2 2 4" xfId="1915" xr:uid="{00000000-0005-0000-0000-0000A2030000}"/>
    <cellStyle name="Currency 4 5 2 2 5" xfId="4958" xr:uid="{06F5503A-5501-48DF-AE79-3F46F4403A51}"/>
    <cellStyle name="Currency 4 5 2 2 5 2" xfId="28398" xr:uid="{6F744894-9EB6-451C-8783-B144588227CA}"/>
    <cellStyle name="Currency 4 5 2 2 5 2 2" xfId="31206" xr:uid="{D619C706-0816-463B-AC58-19A8A3D29D53}"/>
    <cellStyle name="Currency 4 5 2 2 5 2 3" xfId="30862" xr:uid="{B367D80E-8DFE-4B0E-B803-BCECA40AD35A}"/>
    <cellStyle name="Currency 4 5 2 2 5 3" xfId="26344" xr:uid="{DD6A66B5-B137-407F-9C2F-621CDB3F8CC8}"/>
    <cellStyle name="Currency 4 5 2 2 5 4" xfId="14253" xr:uid="{D83F280C-9B11-4050-AC8A-E67693348519}"/>
    <cellStyle name="Currency 4 5 2 2 6" xfId="6706" xr:uid="{EE93D6B9-B3EB-4524-A2EE-0312B0817817}"/>
    <cellStyle name="Currency 4 5 2 2 6 2" xfId="17086" xr:uid="{53293CAC-3243-4905-A96F-0BE3DAB1F405}"/>
    <cellStyle name="Currency 4 5 2 2 7" xfId="9539" xr:uid="{EBBCB11B-E385-46E9-9E80-D9F72677C98A}"/>
    <cellStyle name="Currency 4 5 2 2 7 2" xfId="19919" xr:uid="{F9E1AEC7-09F0-49FB-96CF-0604B4EEA2D1}"/>
    <cellStyle name="Currency 4 5 2 2 8" xfId="24941" xr:uid="{3AB8780B-A800-4DD5-8250-85632D3B4D59}"/>
    <cellStyle name="Currency 4 5 2 2 9" xfId="13622" xr:uid="{A648DF40-1D57-43EF-902C-77D60F3FB356}"/>
    <cellStyle name="Currency 4 5 2 3" xfId="1918" xr:uid="{00000000-0005-0000-0000-0000A3030000}"/>
    <cellStyle name="Currency 4 5 2 3 2" xfId="2697" xr:uid="{00000000-0005-0000-0000-0000B4020000}"/>
    <cellStyle name="Currency 4 5 2 3 2 2" xfId="7821" xr:uid="{67C18852-F72D-450B-B688-FF3BB6681BEB}"/>
    <cellStyle name="Currency 4 5 2 3 2 2 2" xfId="18201" xr:uid="{6B9144A4-11AF-4880-AF7A-EFF01DABC516}"/>
    <cellStyle name="Currency 4 5 2 3 2 3" xfId="10654" xr:uid="{DACA02BB-B318-4FFD-A752-9E48C2216722}"/>
    <cellStyle name="Currency 4 5 2 3 2 3 2" xfId="21034" xr:uid="{E723C75D-F9F7-4F0C-B47B-9E2213D69722}"/>
    <cellStyle name="Currency 4 5 2 3 2 4" xfId="15368" xr:uid="{B860F650-DF92-412F-A990-63AF6856B0E9}"/>
    <cellStyle name="Currency 4 5 2 3 2 5" xfId="30454" xr:uid="{355E64D1-2E56-48F9-84A3-D2E0274B7114}"/>
    <cellStyle name="Currency 4 5 2 3 3" xfId="3676" xr:uid="{00000000-0005-0000-0000-0000A3030000}"/>
    <cellStyle name="Currency 4 5 2 3 4" xfId="5696" xr:uid="{0CD193E0-BEC1-4BF2-9788-987F9986CB96}"/>
    <cellStyle name="Currency 4 5 2 3 4 2" xfId="29760" xr:uid="{99F86FCC-1A9F-4D57-BA3E-48351CE66BC9}"/>
    <cellStyle name="Currency 4 5 2 3 5" xfId="25188" xr:uid="{125BE751-1BD6-47F7-842E-CEBBAC01888C}"/>
    <cellStyle name="Currency 4 5 2 3 6" xfId="13113" xr:uid="{21994009-8AC5-412E-B726-0E1FDA509878}"/>
    <cellStyle name="Currency 4 5 2 4" xfId="1919" xr:uid="{00000000-0005-0000-0000-0000A4030000}"/>
    <cellStyle name="Currency 4 5 2 4 2" xfId="4632" xr:uid="{BA18F28B-B30E-475A-A9D3-122AB6CEE39E}"/>
    <cellStyle name="Currency 4 5 2 4 2 2" xfId="9399" xr:uid="{9A68ECEB-8860-4DAC-A876-F0FFE7E1EBBD}"/>
    <cellStyle name="Currency 4 5 2 4 2 2 2" xfId="19779" xr:uid="{3A8E03A7-588B-4FE6-96FE-51678034FA98}"/>
    <cellStyle name="Currency 4 5 2 4 2 2 3" xfId="31108" xr:uid="{49C92F80-9083-4A60-A898-B9E99DF67213}"/>
    <cellStyle name="Currency 4 5 2 4 2 2 4" xfId="30864" xr:uid="{6CEECFC6-3451-4ABE-A9DF-E8C6F4B15275}"/>
    <cellStyle name="Currency 4 5 2 4 2 3" xfId="12232" xr:uid="{8EC2CF1B-DDA4-40E6-82CF-831E173360E4}"/>
    <cellStyle name="Currency 4 5 2 4 2 3 2" xfId="22612" xr:uid="{6B75FAE7-0EB2-4AF6-90E3-7863B23C4EC5}"/>
    <cellStyle name="Currency 4 5 2 4 2 4" xfId="27724" xr:uid="{21ADC332-137F-4210-8E5E-06BFA4605AD4}"/>
    <cellStyle name="Currency 4 5 2 4 2 5" xfId="28415" xr:uid="{4D589DCE-7D71-4DC6-8C8F-0F643AD2B7CC}"/>
    <cellStyle name="Currency 4 5 2 4 2 6" xfId="16946" xr:uid="{735BD329-52F2-4E9F-8861-1305BAC1A1BF}"/>
    <cellStyle name="Currency 4 5 2 4 3" xfId="22666" xr:uid="{B1B04259-86DC-4B25-824F-1D24D88090AB}"/>
    <cellStyle name="Currency 4 5 2 4 3 2" xfId="29917" xr:uid="{5BBE9C94-0D99-4B58-8FC7-D89D9325D11D}"/>
    <cellStyle name="Currency 4 5 2 4 4" xfId="30028" xr:uid="{9967B865-BEDC-4A63-801B-5525C2EDC36C}"/>
    <cellStyle name="Currency 4 5 2 5" xfId="1914" xr:uid="{00000000-0005-0000-0000-0000A5030000}"/>
    <cellStyle name="Currency 4 5 2 5 2" xfId="24047" xr:uid="{0D05523D-B528-4033-A555-6E964F1AABAC}"/>
    <cellStyle name="Currency 4 5 2 5 3" xfId="25822" xr:uid="{F99162FC-7F1B-4FCA-89F8-447E787AAD95}"/>
    <cellStyle name="Currency 4 5 2 6" xfId="4141" xr:uid="{50D9385E-5919-4685-9204-577765CC4A3B}"/>
    <cellStyle name="Currency 4 5 2 6 2" xfId="8913" xr:uid="{AEBA6F39-5836-428B-9617-79274402EF9A}"/>
    <cellStyle name="Currency 4 5 2 6 2 2" xfId="19293" xr:uid="{2F0A757F-31C8-4EED-B23D-7F988BF96807}"/>
    <cellStyle name="Currency 4 5 2 6 3" xfId="11746" xr:uid="{E263A163-386C-412B-BA71-3CDC89A52DAA}"/>
    <cellStyle name="Currency 4 5 2 6 3 2" xfId="22126" xr:uid="{528AAB7A-FF20-4760-844E-90D0F881E7A4}"/>
    <cellStyle name="Currency 4 5 2 6 4" xfId="27903" xr:uid="{5DC743F1-2CEC-4105-92A1-374C9B082498}"/>
    <cellStyle name="Currency 4 5 2 6 5" xfId="27781" xr:uid="{6B6A6791-AA8B-4932-B61E-E7194F5E38FA}"/>
    <cellStyle name="Currency 4 5 2 6 6" xfId="16460" xr:uid="{EB6EFB00-28D2-4BD3-ADF9-75B56417D836}"/>
    <cellStyle name="Currency 4 5 2 7" xfId="4957" xr:uid="{FF155009-9AE8-472A-9786-1C5CC368329D}"/>
    <cellStyle name="Currency 4 5 2 7 2" xfId="27018" xr:uid="{1795F53F-CF1C-4045-9A4C-F0F3A2201498}"/>
    <cellStyle name="Currency 4 5 2 7 3" xfId="26116" xr:uid="{F40AD9EC-DE66-45CF-B0E2-400E0AE4591C}"/>
    <cellStyle name="Currency 4 5 2 7 4" xfId="14252" xr:uid="{50F566A2-5536-4CA9-B693-1925A58069AE}"/>
    <cellStyle name="Currency 4 5 2 8" xfId="6705" xr:uid="{1EDC8D52-5429-4EA0-BC30-B850169953D7}"/>
    <cellStyle name="Currency 4 5 2 8 2" xfId="17085" xr:uid="{18CDBB35-502C-46D6-A711-7757F3F93718}"/>
    <cellStyle name="Currency 4 5 2 9" xfId="9538" xr:uid="{2E013ABA-A669-4820-9CC5-6735C91F7EA0}"/>
    <cellStyle name="Currency 4 5 2 9 2" xfId="19918" xr:uid="{5FEF1FDC-1A94-4A05-910B-3E5D62136936}"/>
    <cellStyle name="Currency 4 5 3" xfId="576" xr:uid="{00000000-0005-0000-0000-0000A6030000}"/>
    <cellStyle name="Currency 4 5 3 10" xfId="13623" xr:uid="{334D3E92-60E7-42E3-8CC0-E74FC9A43C56}"/>
    <cellStyle name="Currency 4 5 3 2" xfId="1921" xr:uid="{00000000-0005-0000-0000-0000A7030000}"/>
    <cellStyle name="Currency 4 5 3 2 2" xfId="23944" xr:uid="{AAF0F971-3028-4122-875F-31812B9A5C10}"/>
    <cellStyle name="Currency 4 5 3 2 2 2" xfId="29818" xr:uid="{4B3D4FBF-846C-4EAB-8330-290E50CB5918}"/>
    <cellStyle name="Currency 4 5 3 2 2 2 2" xfId="30866" xr:uid="{56E3ECBD-CC6C-4809-A0CF-27A26DF84B37}"/>
    <cellStyle name="Currency 4 5 3 2 3" xfId="25620" xr:uid="{CE950C91-DA13-4A1B-A20A-059D6EE2D92A}"/>
    <cellStyle name="Currency 4 5 3 2 3 2" xfId="26037" xr:uid="{BE3BCC2F-6352-4B40-AC21-B009231F1344}"/>
    <cellStyle name="Currency 4 5 3 2 4" xfId="30067" xr:uid="{B604ADA6-9D95-4C24-AA2C-55BB6B9DA913}"/>
    <cellStyle name="Currency 4 5 3 3" xfId="1922" xr:uid="{00000000-0005-0000-0000-0000A8030000}"/>
    <cellStyle name="Currency 4 5 3 4" xfId="1920" xr:uid="{00000000-0005-0000-0000-0000A9030000}"/>
    <cellStyle name="Currency 4 5 3 4 2" xfId="22936" xr:uid="{71B5603C-6766-4D0C-B1CC-BB0C74847168}"/>
    <cellStyle name="Currency 4 5 3 4 3" xfId="23189" xr:uid="{1205E03B-BC6A-4DE9-88A4-2BEF1DEAC256}"/>
    <cellStyle name="Currency 4 5 3 5" xfId="4432" xr:uid="{3AA8AD3D-7C60-4403-BB09-DDF91B3CAE59}"/>
    <cellStyle name="Currency 4 5 3 5 2" xfId="9204" xr:uid="{A3A5C4BF-1097-4467-8467-E6868B8BA4F4}"/>
    <cellStyle name="Currency 4 5 3 5 2 2" xfId="19584" xr:uid="{49F42FB0-91CB-458C-A7D4-235AF0A55179}"/>
    <cellStyle name="Currency 4 5 3 5 2 3" xfId="31098" xr:uid="{33326015-762D-4E88-83D4-A64BE6A0CC24}"/>
    <cellStyle name="Currency 4 5 3 5 2 4" xfId="30865" xr:uid="{F643D74F-7AFF-4B03-A864-927FA527D96F}"/>
    <cellStyle name="Currency 4 5 3 5 3" xfId="12037" xr:uid="{E00CD68C-A290-4DB5-A1CF-3644D0747AC5}"/>
    <cellStyle name="Currency 4 5 3 5 3 2" xfId="22417" xr:uid="{E84E2549-6431-44F9-B607-FBBBD1DC9327}"/>
    <cellStyle name="Currency 4 5 3 5 4" xfId="28382" xr:uid="{0F213479-C7BF-460B-921C-9BF2F16D4990}"/>
    <cellStyle name="Currency 4 5 3 5 5" xfId="28282" xr:uid="{22548A9C-4DD8-41F0-A41C-723D58FD4503}"/>
    <cellStyle name="Currency 4 5 3 5 6" xfId="16751" xr:uid="{52FEF294-8412-4EB3-8765-5D8BDE2BE71D}"/>
    <cellStyle name="Currency 4 5 3 6" xfId="4959" xr:uid="{761BB72E-4A93-4F6D-952A-D789235B3BEF}"/>
    <cellStyle name="Currency 4 5 3 6 2" xfId="25857" xr:uid="{CC96E5FE-101D-49B5-AFF2-F0D67BAF3B1D}"/>
    <cellStyle name="Currency 4 5 3 6 3" xfId="25958" xr:uid="{2BE1B934-0731-458E-BBB0-C55DFA45F7BC}"/>
    <cellStyle name="Currency 4 5 3 6 4" xfId="14254" xr:uid="{8405B132-7A1C-4C01-9D7B-5EB24C9806D1}"/>
    <cellStyle name="Currency 4 5 3 7" xfId="6707" xr:uid="{E097C61D-B8A4-4BA3-A749-1FB076D1944C}"/>
    <cellStyle name="Currency 4 5 3 7 2" xfId="17087" xr:uid="{A011E640-EF48-4A1F-8560-DE3E220E899D}"/>
    <cellStyle name="Currency 4 5 3 8" xfId="9540" xr:uid="{AC37EC65-F8CF-42B4-8DC6-FADD287AB63E}"/>
    <cellStyle name="Currency 4 5 3 8 2" xfId="19920" xr:uid="{C869296A-CF30-471C-9C5F-F51BBB60F5C0}"/>
    <cellStyle name="Currency 4 5 3 9" xfId="23968" xr:uid="{F443B76C-96A1-45EC-9AFC-26C101FCEB45}"/>
    <cellStyle name="Currency 4 5 4" xfId="577" xr:uid="{00000000-0005-0000-0000-0000AA030000}"/>
    <cellStyle name="Currency 4 5 4 2" xfId="1924" xr:uid="{00000000-0005-0000-0000-0000AB030000}"/>
    <cellStyle name="Currency 4 5 4 2 2" xfId="24663" xr:uid="{263B1B22-114C-495E-9350-2ABE6490124D}"/>
    <cellStyle name="Currency 4 5 4 2 2 2" xfId="29802" xr:uid="{C804928D-1D33-4538-9314-49B044D66F42}"/>
    <cellStyle name="Currency 4 5 4 2 2 2 2" xfId="30868" xr:uid="{B0C9A63D-7494-4D52-8251-421A392B421C}"/>
    <cellStyle name="Currency 4 5 4 2 3" xfId="24067" xr:uid="{0D856946-7117-49EA-AC01-0064A38C42CE}"/>
    <cellStyle name="Currency 4 5 4 2 4" xfId="30044" xr:uid="{EEFDFB76-2D08-40FB-A6B7-3476F3E82C64}"/>
    <cellStyle name="Currency 4 5 4 3" xfId="1925" xr:uid="{00000000-0005-0000-0000-0000AC030000}"/>
    <cellStyle name="Currency 4 5 4 4" xfId="1923" xr:uid="{00000000-0005-0000-0000-0000AD030000}"/>
    <cellStyle name="Currency 4 5 4 5" xfId="4960" xr:uid="{87419F56-CBBC-4EC5-A5FA-A3AF979B0915}"/>
    <cellStyle name="Currency 4 5 4 5 2" xfId="14255" xr:uid="{8C5EB694-52CC-490F-B3E9-4913D21D4D43}"/>
    <cellStyle name="Currency 4 5 4 5 2 2" xfId="31119" xr:uid="{599ACB9C-A937-47CA-9D0F-C4AB326FB162}"/>
    <cellStyle name="Currency 4 5 4 5 2 3" xfId="30867" xr:uid="{E8603F16-F09A-4E09-9D28-44B44FEF8439}"/>
    <cellStyle name="Currency 4 5 4 6" xfId="6708" xr:uid="{1798A0C3-0F0E-4A89-8589-844DF65E9F42}"/>
    <cellStyle name="Currency 4 5 4 6 2" xfId="17088" xr:uid="{D3FD206B-DAD5-4DAA-A970-AB8DDC53341A}"/>
    <cellStyle name="Currency 4 5 4 7" xfId="9541" xr:uid="{34AC5E68-4DFB-4911-BF94-7C4459F2FB46}"/>
    <cellStyle name="Currency 4 5 4 7 2" xfId="19921" xr:uid="{1F244D45-9C5C-42D4-8B24-CE2D3F89822F}"/>
    <cellStyle name="Currency 4 5 4 8" xfId="22685" xr:uid="{4C3C79CF-25CE-4C16-9BB0-1769F28B1B20}"/>
    <cellStyle name="Currency 4 5 4 9" xfId="13385" xr:uid="{E635F5DB-2E3E-441B-8400-72BF51338561}"/>
    <cellStyle name="Currency 4 5 5" xfId="1926" xr:uid="{00000000-0005-0000-0000-0000AE030000}"/>
    <cellStyle name="Currency 4 5 5 2" xfId="2511" xr:uid="{00000000-0005-0000-0000-0000B7020000}"/>
    <cellStyle name="Currency 4 5 5 2 2" xfId="7636" xr:uid="{4D22E8A7-EB57-45C4-8DF7-78D97C020D56}"/>
    <cellStyle name="Currency 4 5 5 2 2 2" xfId="18016" xr:uid="{BA4C1423-C482-4431-9131-04E1CC4EBD81}"/>
    <cellStyle name="Currency 4 5 5 2 3" xfId="10469" xr:uid="{01F0FA39-D08C-48DA-938C-69F3BAC55A8E}"/>
    <cellStyle name="Currency 4 5 5 2 3 2" xfId="20849" xr:uid="{A02A1E62-6C59-45F9-97D0-856E7E73EC12}"/>
    <cellStyle name="Currency 4 5 5 2 4" xfId="15183" xr:uid="{96FC25C0-6B7E-46EA-8430-CD9F99FE003C}"/>
    <cellStyle name="Currency 4 5 5 2 5" xfId="30455" xr:uid="{D1D92241-B440-4161-9AD3-507B6B28F8E2}"/>
    <cellStyle name="Currency 4 5 5 3" xfId="3687" xr:uid="{00000000-0005-0000-0000-0000AE030000}"/>
    <cellStyle name="Currency 4 5 5 4" xfId="5697" xr:uid="{87D1524C-BFE7-422B-B989-9D522BADBCA1}"/>
    <cellStyle name="Currency 4 5 5 4 2" xfId="29851" xr:uid="{866D774B-6445-4880-8BA7-0099CB8DF3AA}"/>
    <cellStyle name="Currency 4 5 5 5" xfId="22725" xr:uid="{EF4411FA-DFA8-451D-B7E7-839389F36923}"/>
    <cellStyle name="Currency 4 5 5 6" xfId="12899" xr:uid="{C5E1F394-9FDA-44B8-BAB0-E2548220D597}"/>
    <cellStyle name="Currency 4 5 6" xfId="1927" xr:uid="{00000000-0005-0000-0000-0000AF030000}"/>
    <cellStyle name="Currency 4 5 6 2" xfId="2297" xr:uid="{00000000-0005-0000-0000-0000B1020000}"/>
    <cellStyle name="Currency 4 5 6 2 2" xfId="7424" xr:uid="{27282295-7FE3-42E8-957D-24B26439D840}"/>
    <cellStyle name="Currency 4 5 6 2 2 2" xfId="17804" xr:uid="{8C24B4EF-0358-4F54-A912-98B5E3379049}"/>
    <cellStyle name="Currency 4 5 6 2 3" xfId="10257" xr:uid="{FDFC2E07-E644-4F02-BCB8-66A9F1B8790E}"/>
    <cellStyle name="Currency 4 5 6 2 3 2" xfId="20637" xr:uid="{1A61F4DB-4348-4174-B239-F5DF689F2EE0}"/>
    <cellStyle name="Currency 4 5 6 2 4" xfId="27456" xr:uid="{B9F256C9-BCCC-4534-8886-D9B3C7D21615}"/>
    <cellStyle name="Currency 4 5 6 2 5" xfId="28511" xr:uid="{73746A97-BD3D-47E7-A938-B4DCC51B3BDF}"/>
    <cellStyle name="Currency 4 5 6 2 6" xfId="14971" xr:uid="{CAE99062-2993-4F26-AC84-E97E092E225E}"/>
    <cellStyle name="Currency 4 5 6 3" xfId="2050" xr:uid="{00000000-0005-0000-0000-0000AF030000}"/>
    <cellStyle name="Currency 4 5 6 4" xfId="24324" xr:uid="{E848D214-C233-4FDB-AA84-DF3F125B0AE0}"/>
    <cellStyle name="Currency 4 5 6 4 2" xfId="29873" xr:uid="{AB0F7101-5019-4E1F-BD3B-6E1E7DC5302C}"/>
    <cellStyle name="Currency 4 5 6 5" xfId="30003" xr:uid="{8A598608-F3B4-41BB-B471-9AEA4AC2105B}"/>
    <cellStyle name="Currency 4 5 7" xfId="1913" xr:uid="{00000000-0005-0000-0000-0000B0030000}"/>
    <cellStyle name="Currency 4 5 7 2" xfId="25775" xr:uid="{E7C99D6A-38BF-4E4B-8018-AFD0CBFA99FB}"/>
    <cellStyle name="Currency 4 5 7 3" xfId="24241" xr:uid="{76B8FB3E-46A1-4D15-A448-AE8DEDB8CB73}"/>
    <cellStyle name="Currency 4 5 8" xfId="3886" xr:uid="{BB75FD07-1C78-4151-9DF4-68E424D3C4F2}"/>
    <cellStyle name="Currency 4 5 8 2" xfId="8718" xr:uid="{DD397074-4919-4D6A-A38A-F372E30130F0}"/>
    <cellStyle name="Currency 4 5 8 2 2" xfId="19098" xr:uid="{DEB98FC7-18DE-4F8A-97A3-431584117BB8}"/>
    <cellStyle name="Currency 4 5 8 3" xfId="11551" xr:uid="{359770BD-143E-4F4F-AA98-5F7305CF618B}"/>
    <cellStyle name="Currency 4 5 8 3 2" xfId="21931" xr:uid="{E66B9320-DBDD-445D-8DE7-4A10CDECB151}"/>
    <cellStyle name="Currency 4 5 8 4" xfId="28027" xr:uid="{D526BE72-91DA-4754-AA1C-03DB8E0B0E8A}"/>
    <cellStyle name="Currency 4 5 8 5" xfId="27122" xr:uid="{497ECD56-B183-48DE-AA7E-44F24EB94C74}"/>
    <cellStyle name="Currency 4 5 8 6" xfId="16265" xr:uid="{F82953C5-58DF-4A68-B24B-5112198EFBCF}"/>
    <cellStyle name="Currency 4 5 9" xfId="4956" xr:uid="{2BF12BF6-A88D-4CD8-B463-BE6A723B4788}"/>
    <cellStyle name="Currency 4 5 9 2" xfId="28425" xr:uid="{CE4A9F61-2D6F-40AD-B611-F92BB82A6F93}"/>
    <cellStyle name="Currency 4 5 9 3" xfId="28542" xr:uid="{7D4837C6-7F11-49AB-8B5C-DA6D94A2B26B}"/>
    <cellStyle name="Currency 4 5 9 4" xfId="14251" xr:uid="{7B7D4E74-8C23-4621-9E92-669FBB089CC4}"/>
    <cellStyle name="Currency 4 6" xfId="578" xr:uid="{00000000-0005-0000-0000-0000B1030000}"/>
    <cellStyle name="Currency 4 6 10" xfId="6709" xr:uid="{B07F9FF6-3CB0-41E2-BE48-9F074A4EFF3F}"/>
    <cellStyle name="Currency 4 6 10 2" xfId="17089" xr:uid="{AE70F2C7-B997-463B-B121-3804A5096F80}"/>
    <cellStyle name="Currency 4 6 11" xfId="9542" xr:uid="{91979687-FDE0-42FF-AD58-6BBF9A4F60A5}"/>
    <cellStyle name="Currency 4 6 11 2" xfId="19922" xr:uid="{4896E6C4-B379-47ED-86FC-84F546494045}"/>
    <cellStyle name="Currency 4 6 12" xfId="24981" xr:uid="{7B097255-9119-4B78-A77F-24C10930B021}"/>
    <cellStyle name="Currency 4 6 13" xfId="12530" xr:uid="{B856397C-6609-41B2-9AE5-C15254210415}"/>
    <cellStyle name="Currency 4 6 2" xfId="579" xr:uid="{00000000-0005-0000-0000-0000B2030000}"/>
    <cellStyle name="Currency 4 6 2 10" xfId="23958" xr:uid="{1E0057A9-BBA2-4D46-B7EA-18EF09872F67}"/>
    <cellStyle name="Currency 4 6 2 11" xfId="12688" xr:uid="{6D82921E-0A4A-470C-944C-C94A67F7B50E}"/>
    <cellStyle name="Currency 4 6 2 2" xfId="580" xr:uid="{00000000-0005-0000-0000-0000B3030000}"/>
    <cellStyle name="Currency 4 6 2 2 2" xfId="1931" xr:uid="{00000000-0005-0000-0000-0000B4030000}"/>
    <cellStyle name="Currency 4 6 2 2 2 2" xfId="24066" xr:uid="{1A248772-3124-424D-BDF8-03CF48AD404B}"/>
    <cellStyle name="Currency 4 6 2 2 2 2 2" xfId="29801" xr:uid="{909C59C1-8B84-41E5-BC5D-A742D25F0966}"/>
    <cellStyle name="Currency 4 6 2 2 2 2 2 2" xfId="30870" xr:uid="{33A67EFD-F51B-4EDD-ACDC-7AA56856132E}"/>
    <cellStyle name="Currency 4 6 2 2 2 3" xfId="25071" xr:uid="{E0EA9661-5210-4CF1-B311-A122A5430DBF}"/>
    <cellStyle name="Currency 4 6 2 2 2 4" xfId="30068" xr:uid="{B544388C-494D-4615-984D-2FF79A0A057C}"/>
    <cellStyle name="Currency 4 6 2 2 3" xfId="1932" xr:uid="{00000000-0005-0000-0000-0000B5030000}"/>
    <cellStyle name="Currency 4 6 2 2 3 2" xfId="27019" xr:uid="{6D4BFB8F-F4E3-488F-AE7F-8B569DEE806B}"/>
    <cellStyle name="Currency 4 6 2 2 3 3" xfId="28381" xr:uid="{8E7070DA-EB58-4185-BD19-1566856F6854}"/>
    <cellStyle name="Currency 4 6 2 2 4" xfId="1930" xr:uid="{00000000-0005-0000-0000-0000B6030000}"/>
    <cellStyle name="Currency 4 6 2 2 5" xfId="4963" xr:uid="{2250466A-D110-4398-98F0-42A79CBF6180}"/>
    <cellStyle name="Currency 4 6 2 2 5 2" xfId="28537" xr:uid="{891F3589-F1CB-45CE-84A4-2A06312D3154}"/>
    <cellStyle name="Currency 4 6 2 2 5 2 2" xfId="31208" xr:uid="{0C5E9D99-D942-47ED-AA42-8E46FBC624DE}"/>
    <cellStyle name="Currency 4 6 2 2 5 2 3" xfId="30869" xr:uid="{AFFC98E0-9F11-4EDB-A318-463DF76AA7AC}"/>
    <cellStyle name="Currency 4 6 2 2 5 3" xfId="28572" xr:uid="{A706AA9B-20B4-41A2-8CB2-06ABDF2DCB6C}"/>
    <cellStyle name="Currency 4 6 2 2 5 4" xfId="14258" xr:uid="{D0255818-1554-4D74-96D0-52D65F034DCA}"/>
    <cellStyle name="Currency 4 6 2 2 6" xfId="6711" xr:uid="{45FD87FF-A2B1-4E29-9C9F-D546B2E334A5}"/>
    <cellStyle name="Currency 4 6 2 2 6 2" xfId="17091" xr:uid="{BA993446-4CF5-4070-9D3E-44C57E92FAF0}"/>
    <cellStyle name="Currency 4 6 2 2 7" xfId="9544" xr:uid="{1C96D7B5-F815-48C5-8BC9-BE47EAD44157}"/>
    <cellStyle name="Currency 4 6 2 2 7 2" xfId="19924" xr:uid="{4F90AFAC-EF2A-48EB-AE86-2E926B19D934}"/>
    <cellStyle name="Currency 4 6 2 2 8" xfId="23433" xr:uid="{BAE1E1BE-A151-440D-A3FD-1B74FF6E838B}"/>
    <cellStyle name="Currency 4 6 2 2 9" xfId="13624" xr:uid="{69D5B8D4-D772-40A6-A8B6-2592C5AE2DBC}"/>
    <cellStyle name="Currency 4 6 2 3" xfId="1933" xr:uid="{00000000-0005-0000-0000-0000B7030000}"/>
    <cellStyle name="Currency 4 6 2 3 2" xfId="2698" xr:uid="{00000000-0005-0000-0000-0000BB020000}"/>
    <cellStyle name="Currency 4 6 2 3 2 2" xfId="7822" xr:uid="{9141CB2B-C0D0-46F5-A473-8965105435F5}"/>
    <cellStyle name="Currency 4 6 2 3 2 2 2" xfId="18202" xr:uid="{58125A39-26CC-49B5-BB19-D1DF4CDA251E}"/>
    <cellStyle name="Currency 4 6 2 3 2 3" xfId="10655" xr:uid="{39219585-75A2-4539-B70E-18DB55ACB9D9}"/>
    <cellStyle name="Currency 4 6 2 3 2 3 2" xfId="21035" xr:uid="{3A80A820-F0DF-4A51-840B-F2D3EC169472}"/>
    <cellStyle name="Currency 4 6 2 3 2 4" xfId="15369" xr:uid="{03AA89C8-A028-4B49-8381-59A5B0E5E97C}"/>
    <cellStyle name="Currency 4 6 2 3 2 5" xfId="30456" xr:uid="{78266109-4A71-4784-91E5-B862DD85110C}"/>
    <cellStyle name="Currency 4 6 2 3 3" xfId="3636" xr:uid="{00000000-0005-0000-0000-0000B7030000}"/>
    <cellStyle name="Currency 4 6 2 3 4" xfId="5698" xr:uid="{B38A81BB-9A36-40AA-950D-281B6FFF8927}"/>
    <cellStyle name="Currency 4 6 2 3 4 2" xfId="29761" xr:uid="{67054A47-93D4-47AB-AD53-E56BF5421076}"/>
    <cellStyle name="Currency 4 6 2 3 5" xfId="22981" xr:uid="{B6E933DD-A71A-437B-AB0D-1555CA191641}"/>
    <cellStyle name="Currency 4 6 2 3 6" xfId="13114" xr:uid="{97F811E8-74C9-46E0-BE4A-E9879D19FAC3}"/>
    <cellStyle name="Currency 4 6 2 4" xfId="1934" xr:uid="{00000000-0005-0000-0000-0000B8030000}"/>
    <cellStyle name="Currency 4 6 2 4 2" xfId="3770" xr:uid="{711868DE-36E0-40D7-A79D-79449C7A383C}"/>
    <cellStyle name="Currency 4 6 2 4 2 2" xfId="8614" xr:uid="{F546AFF6-7058-4C82-90AC-4A81EC8083D9}"/>
    <cellStyle name="Currency 4 6 2 4 2 2 2" xfId="18994" xr:uid="{E88E79F6-1F23-4001-9309-BDEA1C2F6BF3}"/>
    <cellStyle name="Currency 4 6 2 4 2 2 3" xfId="31000" xr:uid="{50D06B9C-4AB5-43C5-B1A6-6C448FBE4A75}"/>
    <cellStyle name="Currency 4 6 2 4 2 2 4" xfId="30871" xr:uid="{04687B75-08B5-48CB-8CF3-ADAA48B62C27}"/>
    <cellStyle name="Currency 4 6 2 4 2 3" xfId="11447" xr:uid="{2DD8B225-19F8-4553-BC04-74AC6264B56E}"/>
    <cellStyle name="Currency 4 6 2 4 2 3 2" xfId="21827" xr:uid="{FC3F1D3B-7AA2-4711-B757-CB01029872EA}"/>
    <cellStyle name="Currency 4 6 2 4 2 4" xfId="28628" xr:uid="{D1889FEE-D5E8-4C56-976E-BB0BF757AFB4}"/>
    <cellStyle name="Currency 4 6 2 4 2 5" xfId="27300" xr:uid="{4CED908C-E0B3-49F6-AEE7-7441216FCEE4}"/>
    <cellStyle name="Currency 4 6 2 4 2 6" xfId="16161" xr:uid="{83C002B8-BD9C-4D22-8A9D-BA9F67B034FD}"/>
    <cellStyle name="Currency 4 6 2 4 3" xfId="25296" xr:uid="{F7CEB48C-B5A7-412F-9C5F-E2E4C2E67336}"/>
    <cellStyle name="Currency 4 6 2 4 3 2" xfId="29918" xr:uid="{5A87EBC1-D111-497B-B547-E9E6BC33C8DF}"/>
    <cellStyle name="Currency 4 6 2 4 4" xfId="30029" xr:uid="{8DDC0C0A-0576-413A-A87E-09C0201918F9}"/>
    <cellStyle name="Currency 4 6 2 5" xfId="1929" xr:uid="{00000000-0005-0000-0000-0000B9030000}"/>
    <cellStyle name="Currency 4 6 2 5 2" xfId="23050" xr:uid="{DEB66FCC-EAF6-49BE-BE1E-44208B92D060}"/>
    <cellStyle name="Currency 4 6 2 5 3" xfId="25805" xr:uid="{450EC3BB-E536-4A0F-ADBB-326E1FBE7306}"/>
    <cellStyle name="Currency 4 6 2 6" xfId="4142" xr:uid="{6809CE90-3BD2-4B14-B987-2478FE084EC5}"/>
    <cellStyle name="Currency 4 6 2 6 2" xfId="8914" xr:uid="{BF742BF3-4A54-4718-BBA4-B70ABFCB325F}"/>
    <cellStyle name="Currency 4 6 2 6 2 2" xfId="19294" xr:uid="{5AEACD83-2843-4E92-9040-B7E679159810}"/>
    <cellStyle name="Currency 4 6 2 6 3" xfId="11747" xr:uid="{A514B5F4-9004-4CED-84F6-59A48E97A795}"/>
    <cellStyle name="Currency 4 6 2 6 3 2" xfId="22127" xr:uid="{6ECBD18E-EA1B-4676-AF35-72C30BB44837}"/>
    <cellStyle name="Currency 4 6 2 6 4" xfId="26526" xr:uid="{AC3EA581-D422-4D75-92EF-30FFC4170AA4}"/>
    <cellStyle name="Currency 4 6 2 6 5" xfId="26882" xr:uid="{73973956-B136-4DDB-A0F9-8C9BC541783A}"/>
    <cellStyle name="Currency 4 6 2 6 6" xfId="16461" xr:uid="{2B2A8B2D-56B9-4B2F-ACC8-74592709D082}"/>
    <cellStyle name="Currency 4 6 2 7" xfId="4962" xr:uid="{DC1DDCAA-438F-4D69-A3BE-2C2B2BF09732}"/>
    <cellStyle name="Currency 4 6 2 7 2" xfId="27132" xr:uid="{6E317467-9D0D-42C3-9EA7-11486512D191}"/>
    <cellStyle name="Currency 4 6 2 7 3" xfId="26147" xr:uid="{D0347F24-C2A8-4668-BC74-81112063EE9F}"/>
    <cellStyle name="Currency 4 6 2 7 4" xfId="14257" xr:uid="{608F617D-8CC8-4305-BB38-54EA70AEDA53}"/>
    <cellStyle name="Currency 4 6 2 8" xfId="6710" xr:uid="{F62F604B-18CC-4DDC-B82F-9B55E4F25239}"/>
    <cellStyle name="Currency 4 6 2 8 2" xfId="17090" xr:uid="{C4A721BE-FE4D-496E-98CD-FD18782DD36D}"/>
    <cellStyle name="Currency 4 6 2 9" xfId="9543" xr:uid="{69CFD19C-2246-45B2-9FE6-6E2A756EAC3A}"/>
    <cellStyle name="Currency 4 6 2 9 2" xfId="19923" xr:uid="{DB01D7A8-7C61-4D43-9903-A09A922AE58A}"/>
    <cellStyle name="Currency 4 6 3" xfId="581" xr:uid="{00000000-0005-0000-0000-0000BA030000}"/>
    <cellStyle name="Currency 4 6 3 10" xfId="13625" xr:uid="{E2B005EC-0FC7-4563-9527-17FDC2EF4E14}"/>
    <cellStyle name="Currency 4 6 3 2" xfId="1936" xr:uid="{00000000-0005-0000-0000-0000BB030000}"/>
    <cellStyle name="Currency 4 6 3 2 2" xfId="24890" xr:uid="{C36765B5-20D3-4E36-850B-6ABAEC0FF880}"/>
    <cellStyle name="Currency 4 6 3 2 2 2" xfId="29793" xr:uid="{5BD17850-E81F-4D87-8CFA-6F1B58B55BE2}"/>
    <cellStyle name="Currency 4 6 3 2 2 2 2" xfId="30873" xr:uid="{4106EB6B-C055-4934-8903-1EC3CEE1C66A}"/>
    <cellStyle name="Currency 4 6 3 2 3" xfId="23227" xr:uid="{2C26A46C-6DAC-4B8D-A2CE-FB3895391873}"/>
    <cellStyle name="Currency 4 6 3 2 3 2" xfId="27864" xr:uid="{10E1699B-2241-47D5-9787-3D9730D666CE}"/>
    <cellStyle name="Currency 4 6 3 2 4" xfId="30069" xr:uid="{C6C642F4-8913-48F4-A9F0-7CC515AFA269}"/>
    <cellStyle name="Currency 4 6 3 3" xfId="1937" xr:uid="{00000000-0005-0000-0000-0000BC030000}"/>
    <cellStyle name="Currency 4 6 3 4" xfId="1935" xr:uid="{00000000-0005-0000-0000-0000BD030000}"/>
    <cellStyle name="Currency 4 6 3 4 2" xfId="27207" xr:uid="{76CF2D70-31C2-4FE1-8EE7-818EBE82C205}"/>
    <cellStyle name="Currency 4 6 3 4 3" xfId="28335" xr:uid="{32B145DB-C29E-4812-BF17-9D7B62B1F686}"/>
    <cellStyle name="Currency 4 6 3 5" xfId="4433" xr:uid="{8E2BD8CA-0D4D-4E62-BC0A-ED15E529F6CD}"/>
    <cellStyle name="Currency 4 6 3 5 2" xfId="9205" xr:uid="{0270927F-5680-4C53-B40F-53E15082B603}"/>
    <cellStyle name="Currency 4 6 3 5 2 2" xfId="19585" xr:uid="{0BB2AAF7-C416-498D-9B8B-9B560F3D4281}"/>
    <cellStyle name="Currency 4 6 3 5 2 3" xfId="31099" xr:uid="{61AF2E4D-FDA5-40C5-9E4A-57B74CB50473}"/>
    <cellStyle name="Currency 4 6 3 5 2 4" xfId="30872" xr:uid="{03009555-2AD8-4DBA-836C-59EF688A36D7}"/>
    <cellStyle name="Currency 4 6 3 5 3" xfId="12038" xr:uid="{AFFC388E-3DF7-4EFE-AAE8-CB07387570F2}"/>
    <cellStyle name="Currency 4 6 3 5 3 2" xfId="22418" xr:uid="{DE035A88-F17D-4998-A618-16A3E9A1EB7B}"/>
    <cellStyle name="Currency 4 6 3 5 4" xfId="28534" xr:uid="{6DF86680-28CD-4D06-9B04-0CF22F6BCB13}"/>
    <cellStyle name="Currency 4 6 3 5 5" xfId="27208" xr:uid="{6226D374-F607-49AC-91C2-FC30A724A561}"/>
    <cellStyle name="Currency 4 6 3 5 6" xfId="16752" xr:uid="{8022CEF5-0D2F-4278-A2EB-218C34FF6C4C}"/>
    <cellStyle name="Currency 4 6 3 6" xfId="4964" xr:uid="{4330E251-CD90-4B32-93FC-55EAA4CDFFD9}"/>
    <cellStyle name="Currency 4 6 3 6 2" xfId="28481" xr:uid="{215BA51B-A8B7-44C4-9585-F41E758D65E3}"/>
    <cellStyle name="Currency 4 6 3 6 3" xfId="28660" xr:uid="{9EB08D96-3FD3-47EA-B870-C504493DB19B}"/>
    <cellStyle name="Currency 4 6 3 6 4" xfId="14259" xr:uid="{60E90AF3-05F3-47F4-A189-98678D978807}"/>
    <cellStyle name="Currency 4 6 3 7" xfId="6712" xr:uid="{E7E018BF-333B-44B4-92CA-F7E2C56EB859}"/>
    <cellStyle name="Currency 4 6 3 7 2" xfId="17092" xr:uid="{D7F8E667-89B4-4688-B8FD-C186A76ABA1A}"/>
    <cellStyle name="Currency 4 6 3 8" xfId="9545" xr:uid="{5923932E-B7A2-4154-924A-867AD747AB75}"/>
    <cellStyle name="Currency 4 6 3 8 2" xfId="19925" xr:uid="{96D35695-3217-4658-B362-5229A795E688}"/>
    <cellStyle name="Currency 4 6 3 9" xfId="24329" xr:uid="{11F1C252-E24B-475A-A6CB-0594284AF6DE}"/>
    <cellStyle name="Currency 4 6 4" xfId="582" xr:uid="{00000000-0005-0000-0000-0000BE030000}"/>
    <cellStyle name="Currency 4 6 4 2" xfId="1939" xr:uid="{00000000-0005-0000-0000-0000BF030000}"/>
    <cellStyle name="Currency 4 6 4 2 2" xfId="24733" xr:uid="{F6B067B5-A3E8-44C1-A0BD-699CBD37ED89}"/>
    <cellStyle name="Currency 4 6 4 2 2 2" xfId="29805" xr:uid="{50A05FD2-552A-489D-921C-33EF4CB07C26}"/>
    <cellStyle name="Currency 4 6 4 2 2 2 2" xfId="30875" xr:uid="{20DD1A3A-4C66-426C-8AF0-5DD8ECADACD2}"/>
    <cellStyle name="Currency 4 6 4 2 3" xfId="22734" xr:uid="{49722CC7-D743-4F52-82C1-3F54B76E2373}"/>
    <cellStyle name="Currency 4 6 4 2 4" xfId="30045" xr:uid="{103C0001-4553-4204-B33E-FA357C6EA3AE}"/>
    <cellStyle name="Currency 4 6 4 3" xfId="1940" xr:uid="{00000000-0005-0000-0000-0000C0030000}"/>
    <cellStyle name="Currency 4 6 4 4" xfId="1938" xr:uid="{00000000-0005-0000-0000-0000C1030000}"/>
    <cellStyle name="Currency 4 6 4 5" xfId="4965" xr:uid="{E8104B68-60BF-44F6-A198-148619EA8402}"/>
    <cellStyle name="Currency 4 6 4 5 2" xfId="14260" xr:uid="{F993D79C-324D-4094-90E8-80912C5B10B5}"/>
    <cellStyle name="Currency 4 6 4 5 2 2" xfId="31120" xr:uid="{9BFE5A8D-C545-4F3A-8596-DCD99BE51191}"/>
    <cellStyle name="Currency 4 6 4 5 2 3" xfId="30874" xr:uid="{A064A3F5-5B54-4892-9309-AD84AB3D99CF}"/>
    <cellStyle name="Currency 4 6 4 6" xfId="6713" xr:uid="{B47C4504-D587-4D4B-A5E5-B5D92E7C2E97}"/>
    <cellStyle name="Currency 4 6 4 6 2" xfId="17093" xr:uid="{C233BEB7-DD31-4D3D-A7D9-62A75FCF85AD}"/>
    <cellStyle name="Currency 4 6 4 7" xfId="9546" xr:uid="{AB973561-B002-4343-AC5F-1462A0AC63B3}"/>
    <cellStyle name="Currency 4 6 4 7 2" xfId="19926" xr:uid="{F17DB19A-C246-4994-86EC-1CC8D02BB663}"/>
    <cellStyle name="Currency 4 6 4 8" xfId="24957" xr:uid="{F86C4079-2D3E-4067-BF88-768835AA9419}"/>
    <cellStyle name="Currency 4 6 4 9" xfId="13386" xr:uid="{FBE96D83-CC4B-4205-B350-C9D1F5359855}"/>
    <cellStyle name="Currency 4 6 5" xfId="1941" xr:uid="{00000000-0005-0000-0000-0000C2030000}"/>
    <cellStyle name="Currency 4 6 5 2" xfId="2574" xr:uid="{00000000-0005-0000-0000-0000BE020000}"/>
    <cellStyle name="Currency 4 6 5 2 2" xfId="7699" xr:uid="{F5D68F96-F0DA-4749-84B4-D6B389395435}"/>
    <cellStyle name="Currency 4 6 5 2 2 2" xfId="18079" xr:uid="{16F57B8C-289B-40FB-9E86-96BDD41AD2DE}"/>
    <cellStyle name="Currency 4 6 5 2 3" xfId="10532" xr:uid="{26C5C6E3-E275-4B47-AA68-731DCEF045DA}"/>
    <cellStyle name="Currency 4 6 5 2 3 2" xfId="20912" xr:uid="{343B79BB-FD30-4CBF-B8D2-4EADF47A6AD8}"/>
    <cellStyle name="Currency 4 6 5 2 4" xfId="15246" xr:uid="{60EFE88D-3491-47D8-A831-9D6B14B3372A}"/>
    <cellStyle name="Currency 4 6 5 2 5" xfId="30457" xr:uid="{E18A8C60-CC08-4E1E-A0CA-FB0ED894DFBA}"/>
    <cellStyle name="Currency 4 6 5 3" xfId="2085" xr:uid="{00000000-0005-0000-0000-0000C2030000}"/>
    <cellStyle name="Currency 4 6 5 4" xfId="5699" xr:uid="{7B617730-E9B4-416A-9358-07A6A410E9D6}"/>
    <cellStyle name="Currency 4 6 5 4 2" xfId="29852" xr:uid="{E0193312-E9E5-449A-AE34-3BA53CF5D6B0}"/>
    <cellStyle name="Currency 4 6 5 5" xfId="24700" xr:uid="{463D0040-66A8-4624-B6B9-13090BDD56A9}"/>
    <cellStyle name="Currency 4 6 5 6" xfId="12962" xr:uid="{BEAC7C64-E13E-4CCE-A360-392E2851F7F6}"/>
    <cellStyle name="Currency 4 6 6" xfId="1942" xr:uid="{00000000-0005-0000-0000-0000C3030000}"/>
    <cellStyle name="Currency 4 6 6 2" xfId="2298" xr:uid="{00000000-0005-0000-0000-0000B8020000}"/>
    <cellStyle name="Currency 4 6 6 2 2" xfId="7425" xr:uid="{3A032AAF-4944-4C9B-8E3F-725920A81EF8}"/>
    <cellStyle name="Currency 4 6 6 2 2 2" xfId="17805" xr:uid="{D7495DBE-760B-494D-B401-8FBC27B6F3E8}"/>
    <cellStyle name="Currency 4 6 6 2 3" xfId="10258" xr:uid="{4684E2E0-4CBE-4AA0-AC83-2A299CC44737}"/>
    <cellStyle name="Currency 4 6 6 2 3 2" xfId="20638" xr:uid="{B444816C-3FAE-4F49-BEE5-6B9562F8C546}"/>
    <cellStyle name="Currency 4 6 6 2 4" xfId="26427" xr:uid="{7CC14572-D99A-45ED-9A72-5F853AB95C6C}"/>
    <cellStyle name="Currency 4 6 6 2 5" xfId="27670" xr:uid="{50E25C06-2115-445B-B9B8-E34236366B27}"/>
    <cellStyle name="Currency 4 6 6 2 6" xfId="14972" xr:uid="{D3E9DC08-5AB2-4141-BCE7-79ABD7C17FC4}"/>
    <cellStyle name="Currency 4 6 6 3" xfId="3568" xr:uid="{00000000-0005-0000-0000-0000C3030000}"/>
    <cellStyle name="Currency 4 6 6 4" xfId="23615" xr:uid="{F73A3D5D-7C63-4474-93C8-2F8C85107F04}"/>
    <cellStyle name="Currency 4 6 6 4 2" xfId="29884" xr:uid="{99FEDB83-0EE7-41D5-884E-FFFD18F1BF1A}"/>
    <cellStyle name="Currency 4 6 6 5" xfId="30007" xr:uid="{1460142F-DF54-4A6F-A3ED-28B82CD6A1AD}"/>
    <cellStyle name="Currency 4 6 7" xfId="1928" xr:uid="{00000000-0005-0000-0000-0000C4030000}"/>
    <cellStyle name="Currency 4 6 7 2" xfId="28518" xr:uid="{2B3A5AD4-3B72-4F07-A3C7-D11D3D3B1C66}"/>
    <cellStyle name="Currency 4 6 7 3" xfId="27211" xr:uid="{5F1C9F25-9141-46C1-A1B3-03D885C2C8D1}"/>
    <cellStyle name="Currency 4 6 8" xfId="3887" xr:uid="{321DE718-E9DD-4CC6-9A43-BD6F7C64AB7F}"/>
    <cellStyle name="Currency 4 6 8 2" xfId="8719" xr:uid="{AD18585E-0449-46B3-922D-ACB393122CAA}"/>
    <cellStyle name="Currency 4 6 8 2 2" xfId="19099" xr:uid="{4D1C51FA-2DFF-4B0C-A693-C516D66EA62D}"/>
    <cellStyle name="Currency 4 6 8 3" xfId="11552" xr:uid="{1F5E6A13-92D4-46EC-9A46-2A9CB594B694}"/>
    <cellStyle name="Currency 4 6 8 3 2" xfId="21932" xr:uid="{A633267D-7F4D-48B2-A353-1F07ACD67AB0}"/>
    <cellStyle name="Currency 4 6 8 4" xfId="27778" xr:uid="{DA6FD5AD-9B55-4E2B-B7EA-D19834A23184}"/>
    <cellStyle name="Currency 4 6 8 5" xfId="28437" xr:uid="{BD2F0D9E-4719-4DF7-87A2-968EC5181914}"/>
    <cellStyle name="Currency 4 6 8 6" xfId="16266" xr:uid="{0A23D878-012A-4A19-A859-A12D6AEE8510}"/>
    <cellStyle name="Currency 4 6 9" xfId="4961" xr:uid="{DE7EAA6F-BFD6-4F03-B088-0A8D226152DC}"/>
    <cellStyle name="Currency 4 6 9 2" xfId="27119" xr:uid="{06CA89B7-6312-4E86-9D6C-FD22CC4C758E}"/>
    <cellStyle name="Currency 4 6 9 3" xfId="25949" xr:uid="{E0EC0313-2058-4B8D-B267-99353C57F5E2}"/>
    <cellStyle name="Currency 4 6 9 4" xfId="14256" xr:uid="{7833206C-B6D0-426E-BE34-4FCBBBB89811}"/>
    <cellStyle name="Currency 4 7" xfId="583" xr:uid="{00000000-0005-0000-0000-0000C5030000}"/>
    <cellStyle name="Currency 4 7 10" xfId="9547" xr:uid="{01959434-F34D-4B0B-8F37-8B08E578F8AF}"/>
    <cellStyle name="Currency 4 7 10 2" xfId="19927" xr:uid="{FA30C7BA-0903-4083-8A76-27524D961128}"/>
    <cellStyle name="Currency 4 7 11" xfId="24123" xr:uid="{3B9E7350-C702-438E-80B8-77257FFCE4AC}"/>
    <cellStyle name="Currency 4 7 12" xfId="12531" xr:uid="{D0B25670-A4FD-4425-B6FA-B3AA34ED777F}"/>
    <cellStyle name="Currency 4 7 2" xfId="584" xr:uid="{00000000-0005-0000-0000-0000C6030000}"/>
    <cellStyle name="Currency 4 7 2 2" xfId="1945" xr:uid="{00000000-0005-0000-0000-0000C7030000}"/>
    <cellStyle name="Currency 4 7 2 2 2" xfId="2886" xr:uid="{00000000-0005-0000-0000-0000C1020000}"/>
    <cellStyle name="Currency 4 7 2 2 2 2" xfId="8003" xr:uid="{6B603E88-43AA-46D0-B30C-7C5E2BA0DCA6}"/>
    <cellStyle name="Currency 4 7 2 2 2 2 2" xfId="18383" xr:uid="{3104BB23-EFDE-4A36-BB1E-E3882DCC46F1}"/>
    <cellStyle name="Currency 4 7 2 2 2 2 2 2" xfId="31139" xr:uid="{2D7C246A-68B7-4CFD-A4B1-20F461BF2A36}"/>
    <cellStyle name="Currency 4 7 2 2 2 2 2 3" xfId="30876" xr:uid="{58998F0B-85AE-486C-A382-95439DE4F342}"/>
    <cellStyle name="Currency 4 7 2 2 2 3" xfId="10836" xr:uid="{0B57C376-07B2-4A4E-8EC5-44E61586E5AF}"/>
    <cellStyle name="Currency 4 7 2 2 2 3 2" xfId="21216" xr:uid="{57CDE2AC-2F0C-4449-821A-49DD0ACB7F52}"/>
    <cellStyle name="Currency 4 7 2 2 2 4" xfId="27605" xr:uid="{B2E46E50-9B9F-44C6-AFD4-8A5B5F6A0169}"/>
    <cellStyle name="Currency 4 7 2 2 2 5" xfId="28028" xr:uid="{553B760F-710B-46B0-B275-FCB41B94D847}"/>
    <cellStyle name="Currency 4 7 2 2 2 6" xfId="15550" xr:uid="{9237B366-6A9D-4927-9B96-8F59977269B7}"/>
    <cellStyle name="Currency 4 7 2 2 3" xfId="3675" xr:uid="{00000000-0005-0000-0000-0000C7030000}"/>
    <cellStyle name="Currency 4 7 2 2 4" xfId="5700" xr:uid="{22D5A381-C581-4E10-97AC-9DBF758EBF8B}"/>
    <cellStyle name="Currency 4 7 2 2 4 2" xfId="29770" xr:uid="{0C7B32D4-BB29-4F76-8B8A-FD0BCD18A388}"/>
    <cellStyle name="Currency 4 7 2 2 5" xfId="23225" xr:uid="{AAE7014B-67D7-4C40-B0E9-01940099DFC8}"/>
    <cellStyle name="Currency 4 7 2 2 6" xfId="13387" xr:uid="{79982C24-3858-4D30-A106-E097CF27C8FA}"/>
    <cellStyle name="Currency 4 7 2 3" xfId="1946" xr:uid="{00000000-0005-0000-0000-0000C8030000}"/>
    <cellStyle name="Currency 4 7 2 3 2" xfId="22779" xr:uid="{C881F5B4-F3A9-4ED8-B9EF-E79DA3E8F815}"/>
    <cellStyle name="Currency 4 7 2 3 2 2" xfId="30877" xr:uid="{46A40648-E8C7-46BB-B02E-964BBBAC44C8}"/>
    <cellStyle name="Currency 4 7 2 3 2 3" xfId="30559" xr:uid="{7FB00D90-5EFF-407A-A2EE-BCB114692E06}"/>
    <cellStyle name="Currency 4 7 2 3 3" xfId="24175" xr:uid="{26544DD9-D091-4B2C-811F-DB5F89FFB9E2}"/>
    <cellStyle name="Currency 4 7 2 3 4" xfId="30046" xr:uid="{03F34DAA-9662-4CDA-B389-E9B2513FC7EF}"/>
    <cellStyle name="Currency 4 7 2 3 5" xfId="29666" xr:uid="{B1A5471A-E9DF-4A58-98F4-687E63BF72A9}"/>
    <cellStyle name="Currency 4 7 2 4" xfId="1944" xr:uid="{00000000-0005-0000-0000-0000C9030000}"/>
    <cellStyle name="Currency 4 7 2 4 2" xfId="27767" xr:uid="{35AA840F-E0D9-4801-A904-7666944D530D}"/>
    <cellStyle name="Currency 4 7 2 4 2 2" xfId="30878" xr:uid="{1515B294-8235-40E8-A6B4-154D4660E385}"/>
    <cellStyle name="Currency 4 7 2 4 2 3" xfId="30594" xr:uid="{1E8B89AC-8DA1-43FC-A4C2-8D0D6782A5B1}"/>
    <cellStyle name="Currency 4 7 2 4 3" xfId="27555" xr:uid="{309E2BD4-6415-423E-9A3A-269217115A99}"/>
    <cellStyle name="Currency 4 7 2 5" xfId="4967" xr:uid="{9BE4CE84-067E-4295-A27D-905C278DD623}"/>
    <cellStyle name="Currency 4 7 2 5 2" xfId="26373" xr:uid="{3D365F35-CF2A-4441-B8D2-A563921F7C70}"/>
    <cellStyle name="Currency 4 7 2 5 3" xfId="28209" xr:uid="{C26C9849-AAC5-4C2E-BD2A-17A120A28152}"/>
    <cellStyle name="Currency 4 7 2 5 4" xfId="14262" xr:uid="{15504211-C8FB-48E3-ABE1-52F60A82B2EA}"/>
    <cellStyle name="Currency 4 7 2 5 5" xfId="30616" xr:uid="{21AA2613-708A-4885-9EF8-F8F95C75AC44}"/>
    <cellStyle name="Currency 4 7 2 6" xfId="6715" xr:uid="{BEB38E83-4F2F-4E06-B525-7C7B913DDC00}"/>
    <cellStyle name="Currency 4 7 2 6 2" xfId="27672" xr:uid="{B3B20FE0-6D17-420D-A700-4AF685066E12}"/>
    <cellStyle name="Currency 4 7 2 6 3" xfId="27317" xr:uid="{783F09BB-E3D5-4BB4-AAF7-C9480B15745D}"/>
    <cellStyle name="Currency 4 7 2 6 4" xfId="17095" xr:uid="{86F38118-6FB7-423B-811B-008EFB0E9E1C}"/>
    <cellStyle name="Currency 4 7 2 7" xfId="9548" xr:uid="{873BF6CA-07A0-4CE0-A052-DE6BD5390744}"/>
    <cellStyle name="Currency 4 7 2 7 2" xfId="19928" xr:uid="{AB1AAE0F-D698-4FBA-AF06-EF0C6B5B4929}"/>
    <cellStyle name="Currency 4 7 2 8" xfId="22885" xr:uid="{EF53D26A-A562-47AF-9875-D9B1DACB83A1}"/>
    <cellStyle name="Currency 4 7 2 9" xfId="12689" xr:uid="{7A29D792-EFEE-4E6D-BDD9-6CAF58E6AD12}"/>
    <cellStyle name="Currency 4 7 3" xfId="585" xr:uid="{00000000-0005-0000-0000-0000CA030000}"/>
    <cellStyle name="Currency 4 7 3 2" xfId="1948" xr:uid="{00000000-0005-0000-0000-0000CB030000}"/>
    <cellStyle name="Currency 4 7 3 2 2" xfId="28433" xr:uid="{B4A62C14-DA6C-4FEF-A267-1F04A97C9276}"/>
    <cellStyle name="Currency 4 7 3 2 2 2" xfId="30880" xr:uid="{0702549B-AD85-4AE4-A433-868C879C86F7}"/>
    <cellStyle name="Currency 4 7 3 2 2 3" xfId="30607" xr:uid="{A38BBF4E-F180-48DE-B4A0-4A2613B2FFB9}"/>
    <cellStyle name="Currency 4 7 3 2 3" xfId="27994" xr:uid="{B87E3442-56D6-4DE3-9FCB-CCFCEF4BF84C}"/>
    <cellStyle name="Currency 4 7 3 3" xfId="1949" xr:uid="{00000000-0005-0000-0000-0000CC030000}"/>
    <cellStyle name="Currency 4 7 3 4" xfId="1947" xr:uid="{00000000-0005-0000-0000-0000CD030000}"/>
    <cellStyle name="Currency 4 7 3 5" xfId="4968" xr:uid="{AA653B47-EB77-473A-AE3F-55E72BE8DAE9}"/>
    <cellStyle name="Currency 4 7 3 5 2" xfId="26652" xr:uid="{F73D796E-D2FC-4D1D-804E-0483698AE38C}"/>
    <cellStyle name="Currency 4 7 3 5 2 2" xfId="31181" xr:uid="{60D792DD-C0A3-4059-B1B7-EE8D93B21A3E}"/>
    <cellStyle name="Currency 4 7 3 5 2 3" xfId="30879" xr:uid="{965771F9-B135-4B0F-888D-B2C2DB99A4E6}"/>
    <cellStyle name="Currency 4 7 3 5 3" xfId="27688" xr:uid="{3C6439A3-0637-4EC0-A383-FC5F4D8D1E46}"/>
    <cellStyle name="Currency 4 7 3 5 4" xfId="14263" xr:uid="{003F3429-F97A-40D6-994C-FCB7138F97CF}"/>
    <cellStyle name="Currency 4 7 3 6" xfId="6716" xr:uid="{19B11A2C-F7D2-418F-B52D-2DFDE34271BB}"/>
    <cellStyle name="Currency 4 7 3 6 2" xfId="17096" xr:uid="{62A2C9DA-8A04-4F2E-BAA4-FE6F50340982}"/>
    <cellStyle name="Currency 4 7 3 7" xfId="9549" xr:uid="{F966EB47-0C3E-4CAD-B1A0-0DDDE86F84C8}"/>
    <cellStyle name="Currency 4 7 3 7 2" xfId="19929" xr:uid="{CF16DF1A-19C2-439F-89B1-FE7280222081}"/>
    <cellStyle name="Currency 4 7 3 8" xfId="24320" xr:uid="{9F439C94-388B-49EA-AE61-E9EB10CD7F2D}"/>
    <cellStyle name="Currency 4 7 3 9" xfId="13115" xr:uid="{59F93EE0-36F1-41C3-BE48-868E13347F87}"/>
    <cellStyle name="Currency 4 7 4" xfId="1950" xr:uid="{00000000-0005-0000-0000-0000CE030000}"/>
    <cellStyle name="Currency 4 7 4 2" xfId="2299" xr:uid="{00000000-0005-0000-0000-0000BF020000}"/>
    <cellStyle name="Currency 4 7 4 2 2" xfId="7426" xr:uid="{E48ED43D-F5C3-466C-8932-8EA701B06B69}"/>
    <cellStyle name="Currency 4 7 4 2 2 2" xfId="17806" xr:uid="{021EBDA7-4A55-4B1A-8E08-9A45AC1DAE19}"/>
    <cellStyle name="Currency 4 7 4 2 2 2 2" xfId="31129" xr:uid="{5CB58FDC-842F-4366-B972-CDDC1BFA162B}"/>
    <cellStyle name="Currency 4 7 4 2 2 2 3" xfId="30881" xr:uid="{89EB998A-6F45-4617-8268-95C9947F0B85}"/>
    <cellStyle name="Currency 4 7 4 2 3" xfId="10259" xr:uid="{5F500F5C-9323-4E28-A82A-5EE59E6F1C0D}"/>
    <cellStyle name="Currency 4 7 4 2 3 2" xfId="20639" xr:uid="{7905FF4E-937E-4733-8C99-F1A3D0F00B32}"/>
    <cellStyle name="Currency 4 7 4 2 4" xfId="26106" xr:uid="{78E47DCE-5F4E-4AD3-BF2E-A24265D35436}"/>
    <cellStyle name="Currency 4 7 4 2 5" xfId="25920" xr:uid="{60C943FF-852C-4686-A2F2-471DCBB227B8}"/>
    <cellStyle name="Currency 4 7 4 2 6" xfId="14973" xr:uid="{2C1DD2A8-26E0-4FA0-850F-EB722BC0EC15}"/>
    <cellStyle name="Currency 4 7 4 3" xfId="3637" xr:uid="{00000000-0005-0000-0000-0000CE030000}"/>
    <cellStyle name="Currency 4 7 4 4" xfId="24132" xr:uid="{C3AEE799-7253-4F20-A455-E163AF421BCE}"/>
    <cellStyle name="Currency 4 7 4 4 2" xfId="29740" xr:uid="{424C1383-0C0A-4A87-94FC-0B530D5B9FC1}"/>
    <cellStyle name="Currency 4 7 4 5" xfId="29853" xr:uid="{83D46F38-F5C3-4492-BE02-3C9E29784F87}"/>
    <cellStyle name="Currency 4 7 4 6" xfId="29995" xr:uid="{D5B75D03-C87F-4FB3-9F1A-AC55BC0986B3}"/>
    <cellStyle name="Currency 4 7 5" xfId="1951" xr:uid="{00000000-0005-0000-0000-0000CF030000}"/>
    <cellStyle name="Currency 4 7 5 2" xfId="25268" xr:uid="{CDE00D5B-E828-41FA-A68A-9B3CE7066B15}"/>
    <cellStyle name="Currency 4 7 5 2 2" xfId="29733" xr:uid="{6772595D-F27B-4705-AC0E-A786A7A8AE55}"/>
    <cellStyle name="Currency 4 7 5 2 2 2" xfId="30882" xr:uid="{1E6F16AA-3248-4BCF-B673-DB6874B6D555}"/>
    <cellStyle name="Currency 4 7 5 3" xfId="25600" xr:uid="{6CD831BA-6D09-4C68-9F08-905171E640CA}"/>
    <cellStyle name="Currency 4 7 5 4" xfId="30030" xr:uid="{540ADC2A-6053-4F65-B211-C07661CCB067}"/>
    <cellStyle name="Currency 4 7 6" xfId="1943" xr:uid="{00000000-0005-0000-0000-0000D0030000}"/>
    <cellStyle name="Currency 4 7 6 2" xfId="26143" xr:uid="{D0C1945C-72AA-4573-AA8D-1633DBEA2CAD}"/>
    <cellStyle name="Currency 4 7 6 2 2" xfId="30883" xr:uid="{BD05442E-4299-43AF-92D8-BA01610430CE}"/>
    <cellStyle name="Currency 4 7 6 2 3" xfId="30593" xr:uid="{D3EEBA4A-4BA4-4D6E-A7B4-E64301858765}"/>
    <cellStyle name="Currency 4 7 6 3" xfId="26611" xr:uid="{80965D0B-9059-4A46-AB05-60F1B5BE61C6}"/>
    <cellStyle name="Currency 4 7 7" xfId="3888" xr:uid="{3CBD11E9-3EFC-4C96-87B7-EE0635EA82F6}"/>
    <cellStyle name="Currency 4 7 7 2" xfId="8720" xr:uid="{C09B8340-DE6C-4EA8-BFDB-E3BDAC3AEDB5}"/>
    <cellStyle name="Currency 4 7 7 2 2" xfId="28968" xr:uid="{DA69CAC2-1877-47CD-8950-A4DBE86E05FA}"/>
    <cellStyle name="Currency 4 7 7 2 3" xfId="26339" xr:uid="{3095DECA-ABD6-4A11-BFFB-415C87BB631B}"/>
    <cellStyle name="Currency 4 7 7 2 4" xfId="19100" xr:uid="{844FAEA3-8AE7-4FF2-9811-CD15EE833D2C}"/>
    <cellStyle name="Currency 4 7 7 3" xfId="11553" xr:uid="{520FC835-1AC3-4133-BB04-81EC5AF58F3A}"/>
    <cellStyle name="Currency 4 7 7 3 2" xfId="21933" xr:uid="{56B72C26-D985-4269-A376-6B44A11A5B02}"/>
    <cellStyle name="Currency 4 7 7 4" xfId="26171" xr:uid="{19CA4702-B36A-4E5B-BA4B-964627BCA4F1}"/>
    <cellStyle name="Currency 4 7 7 5" xfId="16267" xr:uid="{76069791-02B8-4769-971D-31681C043604}"/>
    <cellStyle name="Currency 4 7 8" xfId="4966" xr:uid="{E34E299F-AD46-449C-B1A5-51BB76C325C5}"/>
    <cellStyle name="Currency 4 7 8 2" xfId="26217" xr:uid="{110CC1CA-6673-4FEF-9546-96A44FD1D013}"/>
    <cellStyle name="Currency 4 7 8 3" xfId="26111" xr:uid="{13470DEA-F8EA-4EC0-8163-E6E509DC569E}"/>
    <cellStyle name="Currency 4 7 8 4" xfId="14261" xr:uid="{7183D54A-FE39-464F-AC51-ABB77E7320DC}"/>
    <cellStyle name="Currency 4 7 9" xfId="6714" xr:uid="{7A444773-9948-4586-8685-1453BE4EF030}"/>
    <cellStyle name="Currency 4 7 9 2" xfId="27941" xr:uid="{4F70E5F3-9058-4E7A-A4A6-D7B8B9CB4522}"/>
    <cellStyle name="Currency 4 7 9 3" xfId="25931" xr:uid="{E8AB6CF0-D2D9-41EE-B58D-ECFE27D21A7A}"/>
    <cellStyle name="Currency 4 7 9 4" xfId="17094" xr:uid="{EB6CB191-D83A-4A53-B2B2-AF23D0F26A38}"/>
    <cellStyle name="Currency 4 8" xfId="586" xr:uid="{00000000-0005-0000-0000-0000D1030000}"/>
    <cellStyle name="Currency 4 8 10" xfId="9550" xr:uid="{518031D6-4FCB-461D-A0DD-8E4DEA690AE2}"/>
    <cellStyle name="Currency 4 8 10 2" xfId="19930" xr:uid="{184D2E45-1BC4-44DB-8F5B-2B1B1E655BD7}"/>
    <cellStyle name="Currency 4 8 11" xfId="24278" xr:uid="{A45ACE86-53A0-47D8-AFEE-FA1132DBDB5D}"/>
    <cellStyle name="Currency 4 8 12" xfId="12532" xr:uid="{25638229-E1F6-4AC6-B86C-513FAE2764DF}"/>
    <cellStyle name="Currency 4 8 2" xfId="587" xr:uid="{00000000-0005-0000-0000-0000D2030000}"/>
    <cellStyle name="Currency 4 8 2 2" xfId="1954" xr:uid="{00000000-0005-0000-0000-0000D3030000}"/>
    <cellStyle name="Currency 4 8 2 2 2" xfId="2887" xr:uid="{00000000-0005-0000-0000-0000C5020000}"/>
    <cellStyle name="Currency 4 8 2 2 2 2" xfId="8004" xr:uid="{E548F0CD-450D-4E66-B747-E1F07B4CE89B}"/>
    <cellStyle name="Currency 4 8 2 2 2 2 2" xfId="18384" xr:uid="{AA0CD93F-8B9E-48DE-BC3E-C028EAF890B7}"/>
    <cellStyle name="Currency 4 8 2 2 2 2 2 2" xfId="31140" xr:uid="{AAC7DD63-F3B0-4EA7-A2AB-A56CAF05FE90}"/>
    <cellStyle name="Currency 4 8 2 2 2 2 2 3" xfId="30884" xr:uid="{27A2AC4E-6837-47B5-B15A-55F5344721D7}"/>
    <cellStyle name="Currency 4 8 2 2 2 3" xfId="10837" xr:uid="{FB0535CB-6403-4CD1-BBC9-99FE07A18266}"/>
    <cellStyle name="Currency 4 8 2 2 2 3 2" xfId="21217" xr:uid="{D31FD4FE-8859-499C-A08A-C800879E72ED}"/>
    <cellStyle name="Currency 4 8 2 2 2 4" xfId="27568" xr:uid="{5E9F9818-4E59-4FD4-AE8B-AAB6D387220B}"/>
    <cellStyle name="Currency 4 8 2 2 2 5" xfId="26664" xr:uid="{EED42D54-F4B2-462E-AAA6-BE60A2E7D909}"/>
    <cellStyle name="Currency 4 8 2 2 2 6" xfId="15551" xr:uid="{3D7AB569-1D06-4E43-90FC-96E2AEDF0612}"/>
    <cellStyle name="Currency 4 8 2 2 3" xfId="3564" xr:uid="{00000000-0005-0000-0000-0000D3030000}"/>
    <cellStyle name="Currency 4 8 2 2 4" xfId="5701" xr:uid="{887A2B17-B989-4808-B3BE-25836BED9DF9}"/>
    <cellStyle name="Currency 4 8 2 2 4 2" xfId="29771" xr:uid="{2A63CC11-416D-448A-B04D-B1999AFE4288}"/>
    <cellStyle name="Currency 4 8 2 2 5" xfId="24341" xr:uid="{538A3F27-62A4-40A7-AE9E-6B0991C0545A}"/>
    <cellStyle name="Currency 4 8 2 2 6" xfId="13388" xr:uid="{0891E334-E200-4194-AB74-154CC4C3C0A4}"/>
    <cellStyle name="Currency 4 8 2 3" xfId="1955" xr:uid="{00000000-0005-0000-0000-0000D4030000}"/>
    <cellStyle name="Currency 4 8 2 3 2" xfId="23760" xr:uid="{4167CAEE-D7F3-4B74-BE25-2A71A9085DE6}"/>
    <cellStyle name="Currency 4 8 2 3 2 2" xfId="30885" xr:uid="{757A3CB7-1C55-4D56-B945-482D3CE86FCE}"/>
    <cellStyle name="Currency 4 8 2 3 2 3" xfId="30560" xr:uid="{1C10DF34-CC59-4FAB-BE80-EACF5A93CA72}"/>
    <cellStyle name="Currency 4 8 2 3 3" xfId="23120" xr:uid="{1602DC18-E900-4AE9-A316-7D2565CB3207}"/>
    <cellStyle name="Currency 4 8 2 3 4" xfId="30047" xr:uid="{1CDABCE1-0483-422E-A6D0-DA2E0546B955}"/>
    <cellStyle name="Currency 4 8 2 3 5" xfId="29667" xr:uid="{791DC7EE-5FE3-4AE5-8D27-7C884F499AE2}"/>
    <cellStyle name="Currency 4 8 2 4" xfId="1953" xr:uid="{00000000-0005-0000-0000-0000D5030000}"/>
    <cellStyle name="Currency 4 8 2 4 2" xfId="28681" xr:uid="{83965D3F-0DFF-4118-9460-A46F81EC8DEC}"/>
    <cellStyle name="Currency 4 8 2 4 2 2" xfId="30886" xr:uid="{6A9CCD15-757E-42F7-A126-7DE3F6BF7048}"/>
    <cellStyle name="Currency 4 8 2 4 2 3" xfId="30596" xr:uid="{A308E91F-CE51-4207-A946-3A96D42EA8B7}"/>
    <cellStyle name="Currency 4 8 2 4 3" xfId="28188" xr:uid="{6E725EBC-1C03-473F-9833-307F8ED7DBCB}"/>
    <cellStyle name="Currency 4 8 2 5" xfId="4970" xr:uid="{FE49F526-4A03-4D67-942E-39B9CEE06BC7}"/>
    <cellStyle name="Currency 4 8 2 5 2" xfId="27186" xr:uid="{CCEF0CE8-ED12-41CC-A5DA-75CBBE495874}"/>
    <cellStyle name="Currency 4 8 2 5 3" xfId="25833" xr:uid="{1E7BBEEA-1730-44BA-8B2F-82CB56AA59C3}"/>
    <cellStyle name="Currency 4 8 2 5 4" xfId="14265" xr:uid="{5C96AFE2-855B-4472-BA64-DE3E33E7118E}"/>
    <cellStyle name="Currency 4 8 2 5 5" xfId="30639" xr:uid="{145C9633-4B64-48AF-8723-20B8C3906735}"/>
    <cellStyle name="Currency 4 8 2 6" xfId="6718" xr:uid="{3D58F211-A727-433E-A8B3-2D8FC8B20216}"/>
    <cellStyle name="Currency 4 8 2 6 2" xfId="28001" xr:uid="{D57B6D92-A933-4D4A-83E2-10FE3DE01E32}"/>
    <cellStyle name="Currency 4 8 2 6 3" xfId="26501" xr:uid="{A2D3AB61-87CE-41E9-8B2B-F2F8BFB69031}"/>
    <cellStyle name="Currency 4 8 2 6 4" xfId="17098" xr:uid="{0AA9968E-AC9E-442A-8CB7-C801B0D797A3}"/>
    <cellStyle name="Currency 4 8 2 7" xfId="9551" xr:uid="{8098CF5B-4973-49BE-8D14-5AB93CF6AA1E}"/>
    <cellStyle name="Currency 4 8 2 7 2" xfId="19931" xr:uid="{07DD1F18-8F7C-4C8C-AE04-17172020A973}"/>
    <cellStyle name="Currency 4 8 2 8" xfId="24219" xr:uid="{D229254F-E064-430C-BF8B-3F30208DFEBF}"/>
    <cellStyle name="Currency 4 8 2 9" xfId="12690" xr:uid="{C192F418-C48E-4364-A551-71DCACA3D032}"/>
    <cellStyle name="Currency 4 8 3" xfId="588" xr:uid="{00000000-0005-0000-0000-0000D6030000}"/>
    <cellStyle name="Currency 4 8 3 2" xfId="1957" xr:uid="{00000000-0005-0000-0000-0000D7030000}"/>
    <cellStyle name="Currency 4 8 3 2 2" xfId="28584" xr:uid="{7EA758D2-EF56-4EBA-A852-ECFF349D9C77}"/>
    <cellStyle name="Currency 4 8 3 2 2 2" xfId="30888" xr:uid="{6B43E411-504A-48A0-881D-A4CB093416FC}"/>
    <cellStyle name="Currency 4 8 3 2 2 3" xfId="30608" xr:uid="{E9C158B3-78D8-4AF3-8BD1-0F4A0B4EB020}"/>
    <cellStyle name="Currency 4 8 3 2 3" xfId="28377" xr:uid="{2BDE907B-0B78-4F02-BEEA-9C16113F20AA}"/>
    <cellStyle name="Currency 4 8 3 3" xfId="1958" xr:uid="{00000000-0005-0000-0000-0000D8030000}"/>
    <cellStyle name="Currency 4 8 3 4" xfId="1956" xr:uid="{00000000-0005-0000-0000-0000D9030000}"/>
    <cellStyle name="Currency 4 8 3 5" xfId="4971" xr:uid="{1B67C4BD-FEAB-4343-81B0-70E336F834C2}"/>
    <cellStyle name="Currency 4 8 3 5 2" xfId="27524" xr:uid="{933B019B-A4E7-43F1-BD1A-DA7B8BE0F85B}"/>
    <cellStyle name="Currency 4 8 3 5 2 2" xfId="31194" xr:uid="{1FA06368-9692-4F87-BA84-A8F7113127B3}"/>
    <cellStyle name="Currency 4 8 3 5 2 3" xfId="30887" xr:uid="{74CDC86A-7890-43A0-9099-81F98F0722EF}"/>
    <cellStyle name="Currency 4 8 3 5 3" xfId="26319" xr:uid="{FB2441D9-4696-44F3-B408-41CC938A49F8}"/>
    <cellStyle name="Currency 4 8 3 5 4" xfId="14266" xr:uid="{DE8D23D6-F8F1-4D45-8451-54228F7AAD04}"/>
    <cellStyle name="Currency 4 8 3 6" xfId="6719" xr:uid="{C23168E2-68BC-429D-9D04-F8821D43FD9B}"/>
    <cellStyle name="Currency 4 8 3 6 2" xfId="17099" xr:uid="{84173598-8D21-4CAF-A027-41BC34BC5835}"/>
    <cellStyle name="Currency 4 8 3 7" xfId="9552" xr:uid="{9FBCFA64-336F-422C-9C68-0F81301671C2}"/>
    <cellStyle name="Currency 4 8 3 7 2" xfId="19932" xr:uid="{CC8E98EB-A85B-4F27-BEB5-132F1C32EB97}"/>
    <cellStyle name="Currency 4 8 3 8" xfId="25286" xr:uid="{79F85939-2849-403A-99CB-8B646D555D1A}"/>
    <cellStyle name="Currency 4 8 3 9" xfId="13116" xr:uid="{8288B027-EE5F-4543-886C-BA48309EFD97}"/>
    <cellStyle name="Currency 4 8 4" xfId="1959" xr:uid="{00000000-0005-0000-0000-0000DA030000}"/>
    <cellStyle name="Currency 4 8 4 2" xfId="2300" xr:uid="{00000000-0005-0000-0000-0000C3020000}"/>
    <cellStyle name="Currency 4 8 4 2 2" xfId="7427" xr:uid="{AF1ECB60-ACC3-4E29-8CD9-99C548D0A883}"/>
    <cellStyle name="Currency 4 8 4 2 2 2" xfId="17807" xr:uid="{FC9917A7-7396-417E-BADB-979A351E7805}"/>
    <cellStyle name="Currency 4 8 4 2 2 2 2" xfId="31130" xr:uid="{1050FCCF-014F-4A61-8409-ABEAF81E4B6C}"/>
    <cellStyle name="Currency 4 8 4 2 2 2 3" xfId="30889" xr:uid="{FC86CB32-E70B-4812-90F6-F48A30AB6E2C}"/>
    <cellStyle name="Currency 4 8 4 2 3" xfId="10260" xr:uid="{9517CDA0-EE05-48CD-8A06-CA12BAA552D6}"/>
    <cellStyle name="Currency 4 8 4 2 3 2" xfId="20640" xr:uid="{101B4E7A-75C1-48B0-8903-922C92FA678A}"/>
    <cellStyle name="Currency 4 8 4 2 4" xfId="28397" xr:uid="{85CDAA97-1CAD-4B64-90D6-923E8F129023}"/>
    <cellStyle name="Currency 4 8 4 2 5" xfId="25950" xr:uid="{D643E276-0D8D-4A16-BA2F-D2D2976E80BC}"/>
    <cellStyle name="Currency 4 8 4 2 6" xfId="14974" xr:uid="{A33E5F38-7B4F-4342-831F-1643BCEDB035}"/>
    <cellStyle name="Currency 4 8 4 3" xfId="2089" xr:uid="{00000000-0005-0000-0000-0000DA030000}"/>
    <cellStyle name="Currency 4 8 4 4" xfId="25542" xr:uid="{6404CD47-CF8C-4F73-BCAE-891702C8F286}"/>
    <cellStyle name="Currency 4 8 4 4 2" xfId="29741" xr:uid="{95BBA192-E16E-479F-A9AC-4984C46E7EF3}"/>
    <cellStyle name="Currency 4 8 4 5" xfId="29854" xr:uid="{C8D3D891-209E-4B26-9316-25A831B4C4AB}"/>
    <cellStyle name="Currency 4 8 4 6" xfId="29996" xr:uid="{86931842-3154-47E1-A149-1B03081C7CA9}"/>
    <cellStyle name="Currency 4 8 5" xfId="1960" xr:uid="{00000000-0005-0000-0000-0000DB030000}"/>
    <cellStyle name="Currency 4 8 5 2" xfId="25623" xr:uid="{FDE13DD4-4BFE-4241-AF39-D2C68C9AD7B0}"/>
    <cellStyle name="Currency 4 8 5 2 2" xfId="29814" xr:uid="{51867E3E-322C-45C2-AAB5-A9260D89EAA5}"/>
    <cellStyle name="Currency 4 8 5 2 2 2" xfId="30890" xr:uid="{1A883A60-46C3-43A6-A992-715105DD7CC1}"/>
    <cellStyle name="Currency 4 8 5 3" xfId="23099" xr:uid="{7A60B91C-EC8E-45C0-8A86-C875998593D9}"/>
    <cellStyle name="Currency 4 8 5 4" xfId="30031" xr:uid="{A621AE50-9826-4A13-9FC9-FFD777B68BD3}"/>
    <cellStyle name="Currency 4 8 6" xfId="1952" xr:uid="{00000000-0005-0000-0000-0000DC030000}"/>
    <cellStyle name="Currency 4 8 6 2" xfId="25843" xr:uid="{F485F629-3DA4-44A2-B8A8-546D8AA4877F}"/>
    <cellStyle name="Currency 4 8 6 2 2" xfId="30891" xr:uid="{529C92E7-70BA-45B3-AD7F-442288B598B1}"/>
    <cellStyle name="Currency 4 8 6 2 3" xfId="30595" xr:uid="{C285BB10-709D-4317-88CD-0FA126CCFB66}"/>
    <cellStyle name="Currency 4 8 6 3" xfId="27931" xr:uid="{67E7D5C4-4291-414C-B668-C038AB5B4730}"/>
    <cellStyle name="Currency 4 8 7" xfId="3889" xr:uid="{75AA0707-E7A1-49F2-96B5-A9DDA61F2F28}"/>
    <cellStyle name="Currency 4 8 7 2" xfId="8721" xr:uid="{DAEA6783-1B67-4BC5-9B10-29C804B64F3F}"/>
    <cellStyle name="Currency 4 8 7 2 2" xfId="28969" xr:uid="{85DBFA5D-B137-4531-BDFE-283897605602}"/>
    <cellStyle name="Currency 4 8 7 2 3" xfId="28271" xr:uid="{AC920C50-ED0E-4719-96D3-5B5D50A74886}"/>
    <cellStyle name="Currency 4 8 7 2 4" xfId="19101" xr:uid="{5DA4536C-9937-4FA0-AD85-B74BF051B58E}"/>
    <cellStyle name="Currency 4 8 7 3" xfId="11554" xr:uid="{47C6DD1A-A8F8-40D0-8141-553D7D95F5FA}"/>
    <cellStyle name="Currency 4 8 7 3 2" xfId="21934" xr:uid="{6AE81B20-7D9E-4468-80C1-003CA6D3DF48}"/>
    <cellStyle name="Currency 4 8 7 4" xfId="26296" xr:uid="{F07E7FD3-1053-4F4D-BAED-6E1CAC6C222D}"/>
    <cellStyle name="Currency 4 8 7 5" xfId="16268" xr:uid="{18D8913E-BFAE-4FD9-B645-B3A6A40A1E7E}"/>
    <cellStyle name="Currency 4 8 8" xfId="4969" xr:uid="{9E8825FE-50AE-4262-80AB-C3CBD6D88B2F}"/>
    <cellStyle name="Currency 4 8 8 2" xfId="27768" xr:uid="{DF2BDCE6-4C51-452D-A0A5-87AAC2CC1C69}"/>
    <cellStyle name="Currency 4 8 8 3" xfId="26137" xr:uid="{AF02D72E-3ADE-4F23-ACEF-46F911C96B37}"/>
    <cellStyle name="Currency 4 8 8 4" xfId="14264" xr:uid="{56112834-C55F-41FB-A3AF-7D3A241E4254}"/>
    <cellStyle name="Currency 4 8 9" xfId="6717" xr:uid="{47385384-7DC7-43EA-9D98-865E182695F7}"/>
    <cellStyle name="Currency 4 8 9 2" xfId="26114" xr:uid="{7DA3908F-553E-45FE-8585-31B030A5F62A}"/>
    <cellStyle name="Currency 4 8 9 3" xfId="28033" xr:uid="{14C37885-BFB7-4575-B570-1CCC1080F5EA}"/>
    <cellStyle name="Currency 4 8 9 4" xfId="17097" xr:uid="{26C25D8C-F834-4199-A88F-910068EE38EC}"/>
    <cellStyle name="Currency 4 9" xfId="589" xr:uid="{00000000-0005-0000-0000-0000DD030000}"/>
    <cellStyle name="Currency 4 9 10" xfId="12524" xr:uid="{11D205F3-DE9A-4585-96C1-3790524650F3}"/>
    <cellStyle name="Currency 4 9 2" xfId="1962" xr:uid="{00000000-0005-0000-0000-0000DE030000}"/>
    <cellStyle name="Currency 4 9 2 2" xfId="3106" xr:uid="{00000000-0005-0000-0000-0000C8020000}"/>
    <cellStyle name="Currency 4 9 2 2 2" xfId="8186" xr:uid="{E0C42976-7985-468B-A550-00C105659867}"/>
    <cellStyle name="Currency 4 9 2 2 2 2" xfId="18566" xr:uid="{0DB0E157-2439-41AF-9E6E-4B439D093BCA}"/>
    <cellStyle name="Currency 4 9 2 2 2 2 2" xfId="31145" xr:uid="{ED8C307C-F610-47C6-A831-49895CEE396D}"/>
    <cellStyle name="Currency 4 9 2 2 2 2 3" xfId="30892" xr:uid="{33621EAE-9D95-48E9-891A-0F259B49272F}"/>
    <cellStyle name="Currency 4 9 2 2 3" xfId="11019" xr:uid="{D7DEB894-76C8-4B7B-B912-EBD1C82FE3F2}"/>
    <cellStyle name="Currency 4 9 2 2 3 2" xfId="21399" xr:uid="{8065ECFA-8095-493D-9111-5F5913647C23}"/>
    <cellStyle name="Currency 4 9 2 2 4" xfId="25612" xr:uid="{A7FF5CE1-F4BB-4703-8B1C-0C380512F35C}"/>
    <cellStyle name="Currency 4 9 2 2 4 2" xfId="30076" xr:uid="{A4FDCC8D-1AF2-4A28-BC45-E5AB8BDBB980}"/>
    <cellStyle name="Currency 4 9 2 2 5" xfId="27512" xr:uid="{C5753C4E-F4AE-4664-A289-C298AAB6A474}"/>
    <cellStyle name="Currency 4 9 2 2 6" xfId="15733" xr:uid="{12DC9B3A-26A7-4B40-A2C7-BD544A7C2F73}"/>
    <cellStyle name="Currency 4 9 2 3" xfId="3686" xr:uid="{00000000-0005-0000-0000-0000DE030000}"/>
    <cellStyle name="Currency 4 9 2 3 2" xfId="27014" xr:uid="{B8A8630C-F521-49C0-9A08-B8D1C46D1721}"/>
    <cellStyle name="Currency 4 9 2 3 3" xfId="28318" xr:uid="{DEC5B4E7-8E1A-47EA-AF52-8C7579DC672B}"/>
    <cellStyle name="Currency 4 9 2 4" xfId="5702" xr:uid="{B6CD54E5-5D90-49B7-A633-F341EAD9C0A5}"/>
    <cellStyle name="Currency 4 9 2 4 2" xfId="29783" xr:uid="{F000CD1D-B1BA-49CE-A26C-7AEFE89CA9A5}"/>
    <cellStyle name="Currency 4 9 2 5" xfId="24272" xr:uid="{85355DC1-7AA6-4677-8462-5632C34BF0BE}"/>
    <cellStyle name="Currency 4 9 2 5 2" xfId="26912" xr:uid="{E28A2460-A64C-4999-BF1B-1A22498ADAD4}"/>
    <cellStyle name="Currency 4 9 2 6" xfId="28083" xr:uid="{BBBB1EFF-5326-432C-BD02-5C918A2E7B14}"/>
    <cellStyle name="Currency 4 9 2 7" xfId="13626" xr:uid="{7EDD3587-7095-4A81-B74E-8090122F2B34}"/>
    <cellStyle name="Currency 4 9 3" xfId="1963" xr:uid="{00000000-0005-0000-0000-0000DF030000}"/>
    <cellStyle name="Currency 4 9 3 2" xfId="2690" xr:uid="{00000000-0005-0000-0000-0000C9020000}"/>
    <cellStyle name="Currency 4 9 3 2 2" xfId="7814" xr:uid="{499AF24C-55A5-43E5-8835-11CA6641B905}"/>
    <cellStyle name="Currency 4 9 3 2 2 2" xfId="18194" xr:uid="{9DAB7D1E-765A-44CC-B652-721FFFD8C93B}"/>
    <cellStyle name="Currency 4 9 3 2 3" xfId="10647" xr:uid="{28A4B673-4DE0-49FC-9A42-CFD31A36EA67}"/>
    <cellStyle name="Currency 4 9 3 2 3 2" xfId="21027" xr:uid="{8C89E73C-B22B-4568-BBBC-10F63CA44619}"/>
    <cellStyle name="Currency 4 9 3 2 4" xfId="15361" xr:uid="{1A747241-6007-4043-8042-4BD7A52ED86B}"/>
    <cellStyle name="Currency 4 9 3 2 5" xfId="30458" xr:uid="{E82066D7-0909-4523-8345-4B323B12606B}"/>
    <cellStyle name="Currency 4 9 3 3" xfId="3656" xr:uid="{00000000-0005-0000-0000-0000DF030000}"/>
    <cellStyle name="Currency 4 9 3 4" xfId="5703" xr:uid="{572965EA-1F6C-4640-9DDC-DE1E721E4148}"/>
    <cellStyle name="Currency 4 9 3 4 2" xfId="29758" xr:uid="{B6BCDE65-9BFA-44F5-9903-F31404CCA55C}"/>
    <cellStyle name="Currency 4 9 3 5" xfId="23304" xr:uid="{EC92654A-2F5D-49BE-A509-D34B0A753554}"/>
    <cellStyle name="Currency 4 9 3 6" xfId="13103" xr:uid="{47CEFBAA-F193-4528-BF13-F969C4A1BCEF}"/>
    <cellStyle name="Currency 4 9 4" xfId="1961" xr:uid="{00000000-0005-0000-0000-0000E0030000}"/>
    <cellStyle name="Currency 4 9 4 2" xfId="2292" xr:uid="{00000000-0005-0000-0000-0000C7020000}"/>
    <cellStyle name="Currency 4 9 4 2 2" xfId="7419" xr:uid="{7A09F447-6EA0-45DE-A9B3-A1537B9AA0F4}"/>
    <cellStyle name="Currency 4 9 4 2 2 2" xfId="17799" xr:uid="{010FA966-37C5-491A-82C2-DD3903AA0F71}"/>
    <cellStyle name="Currency 4 9 4 2 3" xfId="10252" xr:uid="{7380F39E-75E2-45CC-A417-0B9249EE1EC5}"/>
    <cellStyle name="Currency 4 9 4 2 3 2" xfId="20632" xr:uid="{46E0CA4A-9B8F-4B3A-AF50-0F606033AE0B}"/>
    <cellStyle name="Currency 4 9 4 2 4" xfId="26543" xr:uid="{9ADB49FD-3CB9-4CDC-8AAA-C677630C1A11}"/>
    <cellStyle name="Currency 4 9 4 2 5" xfId="28117" xr:uid="{0CD4B079-9BBC-47CC-94A8-0E21C37AAE90}"/>
    <cellStyle name="Currency 4 9 4 2 6" xfId="14966" xr:uid="{C3DDA060-F454-4492-AC0D-4E8A716A4AEF}"/>
    <cellStyle name="Currency 4 9 4 3" xfId="3645" xr:uid="{00000000-0005-0000-0000-0000E0030000}"/>
    <cellStyle name="Currency 4 9 4 4" xfId="23984" xr:uid="{D7ECF183-A9FB-4F7A-A59A-272E2F6F535B}"/>
    <cellStyle name="Currency 4 9 5" xfId="3827" xr:uid="{000ACA94-2153-4302-8B6A-722AE35328B8}"/>
    <cellStyle name="Currency 4 9 5 2" xfId="8660" xr:uid="{11C3A1BE-D6BB-4FEA-9A33-5739A5F19DCD}"/>
    <cellStyle name="Currency 4 9 5 2 2" xfId="28961" xr:uid="{E30A7CFA-2FBE-4A31-8130-E3872CD9262E}"/>
    <cellStyle name="Currency 4 9 5 2 3" xfId="27859" xr:uid="{750A93EA-6EC4-4482-8E09-BB7898C875FF}"/>
    <cellStyle name="Currency 4 9 5 2 4" xfId="19040" xr:uid="{A4156738-3B33-45C9-8F87-F92746E6BC31}"/>
    <cellStyle name="Currency 4 9 5 3" xfId="11493" xr:uid="{54DAEE57-6E01-4FD8-A9B2-EE7413C74CE5}"/>
    <cellStyle name="Currency 4 9 5 3 2" xfId="21873" xr:uid="{3975A300-1731-4B47-A5A3-B76F484A0F52}"/>
    <cellStyle name="Currency 4 9 5 4" xfId="25754" xr:uid="{250618F8-EF53-42EA-BF04-9BA8BA23A39C}"/>
    <cellStyle name="Currency 4 9 5 5" xfId="16207" xr:uid="{B2215B16-2AAC-4F29-86DA-A576F75C9006}"/>
    <cellStyle name="Currency 4 9 6" xfId="4972" xr:uid="{956C2F0C-4E4E-480B-96A2-4BBD31510532}"/>
    <cellStyle name="Currency 4 9 6 2" xfId="28186" xr:uid="{45A2E1B6-8B39-4378-BE7B-C76A7ABED3EE}"/>
    <cellStyle name="Currency 4 9 6 3" xfId="28730" xr:uid="{899332CF-46F8-49BA-8867-DB0F2C08DFEE}"/>
    <cellStyle name="Currency 4 9 6 4" xfId="14267" xr:uid="{CE595702-DCCF-41D9-BDC1-4D86F6395577}"/>
    <cellStyle name="Currency 4 9 7" xfId="6720" xr:uid="{E35CBB27-1B3C-4ACE-AD83-4A5591761FD0}"/>
    <cellStyle name="Currency 4 9 7 2" xfId="26025" xr:uid="{86AA3093-66DE-4256-A269-75B7758D8FC7}"/>
    <cellStyle name="Currency 4 9 7 3" xfId="26678" xr:uid="{606BAAFF-75AE-49D7-9979-D40C7276D32D}"/>
    <cellStyle name="Currency 4 9 7 4" xfId="17100" xr:uid="{29091485-7FBD-4321-846C-24EB68313981}"/>
    <cellStyle name="Currency 4 9 8" xfId="9553" xr:uid="{4A590147-89C2-47D7-838D-C3AB6BAC093D}"/>
    <cellStyle name="Currency 4 9 8 2" xfId="19933" xr:uid="{D10AACFD-BBEE-484B-B36A-84DE24B11EED}"/>
    <cellStyle name="Currency 4 9 9" xfId="24554" xr:uid="{498B69E5-0439-4408-87C4-7EF87E505B1E}"/>
    <cellStyle name="Currency 5" xfId="590" xr:uid="{00000000-0005-0000-0000-0000E1030000}"/>
    <cellStyle name="Currency 5 10" xfId="4973" xr:uid="{0127C852-060E-4046-8C0D-4B566FAC3A77}"/>
    <cellStyle name="Currency 5 10 2" xfId="26245" xr:uid="{C59BE194-529F-4702-B46B-7874E29DE31A}"/>
    <cellStyle name="Currency 5 10 3" xfId="26442" xr:uid="{ADFDD67C-45AA-450C-A480-B07F7596B9D6}"/>
    <cellStyle name="Currency 5 10 4" xfId="14268" xr:uid="{240572AE-B301-4AFC-8245-514967858343}"/>
    <cellStyle name="Currency 5 11" xfId="6721" xr:uid="{0A1A5FF7-B1C8-4455-BC0A-1A0494662DFA}"/>
    <cellStyle name="Currency 5 11 2" xfId="17101" xr:uid="{CE1C590A-1E08-492D-A5D4-C48EC666C3D4}"/>
    <cellStyle name="Currency 5 12" xfId="9554" xr:uid="{D0967022-4EB5-4BE0-9D2F-A8094341CF11}"/>
    <cellStyle name="Currency 5 12 2" xfId="19934" xr:uid="{BE20113A-F2EE-459C-BCE6-ECDBC109DA46}"/>
    <cellStyle name="Currency 5 13" xfId="23094" xr:uid="{F26D2CE7-28B3-4E2E-9C07-3001E7351776}"/>
    <cellStyle name="Currency 5 14" xfId="12407" xr:uid="{CF35860C-8F77-4620-8FAD-AD17DEF49300}"/>
    <cellStyle name="Currency 5 2" xfId="591" xr:uid="{00000000-0005-0000-0000-0000E2030000}"/>
    <cellStyle name="Currency 5 2 10" xfId="6722" xr:uid="{E241A098-71E3-45C7-B9E5-0F648599E5C0}"/>
    <cellStyle name="Currency 5 2 10 2" xfId="17102" xr:uid="{9DB1438C-B8F5-4138-997F-97D84CE6F65E}"/>
    <cellStyle name="Currency 5 2 11" xfId="9555" xr:uid="{380C6E5F-325D-453D-B49C-0AD68D0C9071}"/>
    <cellStyle name="Currency 5 2 11 2" xfId="19935" xr:uid="{8C168D19-AB32-4FC5-AE1E-523857214607}"/>
    <cellStyle name="Currency 5 2 12" xfId="22830" xr:uid="{CD754010-E9EC-4548-95AF-18F4EA7CC937}"/>
    <cellStyle name="Currency 5 2 13" xfId="12467" xr:uid="{96E8DC89-4338-4D2F-9FB1-91BCDCC04C70}"/>
    <cellStyle name="Currency 5 2 2" xfId="592" xr:uid="{00000000-0005-0000-0000-0000E3030000}"/>
    <cellStyle name="Currency 5 2 2 10" xfId="9556" xr:uid="{12517C23-DBF5-49AA-90FA-E749FF9B3FD9}"/>
    <cellStyle name="Currency 5 2 2 10 2" xfId="19936" xr:uid="{C8BE885C-3F64-4CD4-9BDA-5C4C40B1FE9E}"/>
    <cellStyle name="Currency 5 2 2 11" xfId="25375" xr:uid="{9F58AD45-78BC-432D-82CA-4ADD14D6E206}"/>
    <cellStyle name="Currency 5 2 2 12" xfId="12534" xr:uid="{E802454A-CA30-4ECF-9F44-10C3636636FD}"/>
    <cellStyle name="Currency 5 2 2 2" xfId="1967" xr:uid="{00000000-0005-0000-0000-0000E4030000}"/>
    <cellStyle name="Currency 5 2 2 2 2" xfId="3108" xr:uid="{00000000-0005-0000-0000-0000CE020000}"/>
    <cellStyle name="Currency 5 2 2 2 2 2" xfId="6174" xr:uid="{BE24A938-2881-4F5D-B62A-4F1162D03E33}"/>
    <cellStyle name="Currency 5 2 2 2 2 2 2" xfId="25853" xr:uid="{F20382A5-D65C-4100-B2A8-7EB455708DDE}"/>
    <cellStyle name="Currency 5 2 2 2 2 2 3" xfId="26681" xr:uid="{8EBAF09A-2434-47C3-B9AB-2BF0BE142A89}"/>
    <cellStyle name="Currency 5 2 2 2 2 2 4" xfId="15735" xr:uid="{71DF357E-08E2-481E-A961-D9A9A85D0FE6}"/>
    <cellStyle name="Currency 5 2 2 2 2 3" xfId="8188" xr:uid="{F888BC8D-2822-4D7A-8F80-B60D7A25CE3A}"/>
    <cellStyle name="Currency 5 2 2 2 2 3 2" xfId="18568" xr:uid="{691322DB-4935-4B9B-9354-691D3668F327}"/>
    <cellStyle name="Currency 5 2 2 2 2 4" xfId="11021" xr:uid="{59742B54-0DA4-486F-9740-1D38F5BE12FD}"/>
    <cellStyle name="Currency 5 2 2 2 2 4 2" xfId="21401" xr:uid="{F9F6A6C8-279B-4E64-9E63-3C8E184E9F76}"/>
    <cellStyle name="Currency 5 2 2 2 2 5" xfId="23951" xr:uid="{088AD340-C2CC-47BE-8891-D6CC3414FE2E}"/>
    <cellStyle name="Currency 5 2 2 2 2 6" xfId="27621" xr:uid="{3C20AB5A-5E9F-43FE-AFE1-016CD4FFEADD}"/>
    <cellStyle name="Currency 5 2 2 2 2 7" xfId="13628" xr:uid="{B10AB8D8-0FC4-4067-ACD0-E5B0002F9029}"/>
    <cellStyle name="Currency 5 2 2 2 3" xfId="2701" xr:uid="{00000000-0005-0000-0000-0000CD020000}"/>
    <cellStyle name="Currency 5 2 2 2 3 2" xfId="7825" xr:uid="{0FA2EE59-89F7-42BE-AFCA-13B241F95610}"/>
    <cellStyle name="Currency 5 2 2 2 3 2 2" xfId="28283" xr:uid="{C2137D5F-7224-4361-94BB-42021950E03A}"/>
    <cellStyle name="Currency 5 2 2 2 3 2 3" xfId="27887" xr:uid="{8B47DE6B-C0A3-4808-BD11-76C664370C32}"/>
    <cellStyle name="Currency 5 2 2 2 3 2 4" xfId="18205" xr:uid="{DE64AA34-7A3F-4BE8-AC87-76B82DFB15AA}"/>
    <cellStyle name="Currency 5 2 2 2 3 3" xfId="10658" xr:uid="{4D2AD998-5A82-41E0-A69E-3F76050FA43C}"/>
    <cellStyle name="Currency 5 2 2 2 3 3 2" xfId="21038" xr:uid="{BF6A1076-4AD6-4E1B-8DA6-B5CA46C39230}"/>
    <cellStyle name="Currency 5 2 2 2 3 4" xfId="23309" xr:uid="{799AABCF-471B-405C-90D8-CDB7F1658679}"/>
    <cellStyle name="Currency 5 2 2 2 3 5" xfId="15372" xr:uid="{7ACDB224-994C-428F-913A-C2A5B9336ACA}"/>
    <cellStyle name="Currency 5 2 2 2 4" xfId="2048" xr:uid="{00000000-0005-0000-0000-0000E4030000}"/>
    <cellStyle name="Currency 5 2 2 2 4 2" xfId="26835" xr:uid="{C64A4FF9-2FD0-4583-B837-5708E557185E}"/>
    <cellStyle name="Currency 5 2 2 2 4 3" xfId="28444" xr:uid="{70E40412-F726-4A29-B8F5-5630BE3A9276}"/>
    <cellStyle name="Currency 5 2 2 2 5" xfId="4278" xr:uid="{C3D7F732-DE5D-41EF-8592-DE3D2EBC22AC}"/>
    <cellStyle name="Currency 5 2 2 2 5 2" xfId="9050" xr:uid="{2D83AAB7-EE53-414D-B71E-98FD02A0314D}"/>
    <cellStyle name="Currency 5 2 2 2 5 2 2" xfId="19430" xr:uid="{3729AD62-DADD-410C-836C-C0173341262F}"/>
    <cellStyle name="Currency 5 2 2 2 5 2 3" xfId="31054" xr:uid="{65379D5D-A019-44C2-A4F5-8978204D96E1}"/>
    <cellStyle name="Currency 5 2 2 2 5 2 4" xfId="30893" xr:uid="{742D8526-B98A-43F7-82DB-E1B0DFFD6C96}"/>
    <cellStyle name="Currency 5 2 2 2 5 3" xfId="11883" xr:uid="{0FE592E7-404D-48FC-A7B7-7FDE44FBAA0E}"/>
    <cellStyle name="Currency 5 2 2 2 5 3 2" xfId="22263" xr:uid="{9B9EB93E-D50F-45EE-81A7-B342F4A32DB7}"/>
    <cellStyle name="Currency 5 2 2 2 5 4" xfId="26408" xr:uid="{B91ECD61-4C35-4E4A-8D9C-C36D8ADEC10B}"/>
    <cellStyle name="Currency 5 2 2 2 5 5" xfId="26849" xr:uid="{EE06C130-8C70-4964-9F7A-D8C37715BFD6}"/>
    <cellStyle name="Currency 5 2 2 2 5 6" xfId="16597" xr:uid="{4301A36F-BCF2-4881-9C48-F364E56E7571}"/>
    <cellStyle name="Currency 5 2 2 2 6" xfId="5706" xr:uid="{56AE04DD-2B1B-45C9-B774-49C5775046E0}"/>
    <cellStyle name="Currency 5 2 2 2 6 2" xfId="29730" xr:uid="{65C9FCB2-3DEC-4426-9C59-F87A66AA0CC0}"/>
    <cellStyle name="Currency 5 2 2 2 6 2 2" xfId="30993" xr:uid="{AFC39984-8795-40B8-B32F-0117AF697C54}"/>
    <cellStyle name="Currency 5 2 2 2 7" xfId="24566" xr:uid="{EC4152A8-D2AF-4A3A-9787-6E2DEE37E7D4}"/>
    <cellStyle name="Currency 5 2 2 2 8" xfId="13119" xr:uid="{E767FA5A-7327-467C-AF41-77D3C067A458}"/>
    <cellStyle name="Currency 5 2 2 3" xfId="1968" xr:uid="{00000000-0005-0000-0000-0000E5030000}"/>
    <cellStyle name="Currency 5 2 2 3 2" xfId="3109" xr:uid="{00000000-0005-0000-0000-0000CF020000}"/>
    <cellStyle name="Currency 5 2 2 3 2 2" xfId="8189" xr:uid="{13245339-F13E-40A8-839B-4D77E86C6D7A}"/>
    <cellStyle name="Currency 5 2 2 3 2 2 2" xfId="28856" xr:uid="{49F4AEF3-A94A-4BB7-93FF-EEDEC1683101}"/>
    <cellStyle name="Currency 5 2 2 3 2 2 2 2" xfId="31238" xr:uid="{87F82027-79CD-47F8-AA9B-02A445559384}"/>
    <cellStyle name="Currency 5 2 2 3 2 2 2 3" xfId="30895" xr:uid="{17A3B4CC-F29C-453C-BBA9-895349B92972}"/>
    <cellStyle name="Currency 5 2 2 3 2 2 3" xfId="26108" xr:uid="{565CDC13-D9D4-436A-BAA9-98069B5E57AD}"/>
    <cellStyle name="Currency 5 2 2 3 2 2 4" xfId="18569" xr:uid="{7A405561-471D-43CB-9F39-50752F34F453}"/>
    <cellStyle name="Currency 5 2 2 3 2 3" xfId="11022" xr:uid="{3F84DF8C-8F7C-4373-BE1E-22BAFE9DD44F}"/>
    <cellStyle name="Currency 5 2 2 3 2 3 2" xfId="21402" xr:uid="{9DFEDBB8-6F7C-4CBC-8F69-9531275ED852}"/>
    <cellStyle name="Currency 5 2 2 3 2 4" xfId="23584" xr:uid="{9906515C-0ACF-40FA-AA3D-B1FEC0FE45AD}"/>
    <cellStyle name="Currency 5 2 2 3 2 5" xfId="15736" xr:uid="{09C152D0-E30A-445F-806F-9A2FB440B1E9}"/>
    <cellStyle name="Currency 5 2 2 3 3" xfId="3549" xr:uid="{00000000-0005-0000-0000-0000E5030000}"/>
    <cellStyle name="Currency 5 2 2 3 4" xfId="4434" xr:uid="{32BAE54B-9351-4830-AA5E-63816AB07ED5}"/>
    <cellStyle name="Currency 5 2 2 3 4 2" xfId="9206" xr:uid="{87614C63-EABE-46FA-900D-6B5F9639F88D}"/>
    <cellStyle name="Currency 5 2 2 3 4 2 2" xfId="19586" xr:uid="{F36A6D76-44E8-433A-86D5-8EEC553E5D49}"/>
    <cellStyle name="Currency 5 2 2 3 4 2 3" xfId="31100" xr:uid="{448935C6-ECC2-4E7F-9166-42A235C27226}"/>
    <cellStyle name="Currency 5 2 2 3 4 2 4" xfId="30894" xr:uid="{C5657449-ECBB-4564-A545-23B9D035DF66}"/>
    <cellStyle name="Currency 5 2 2 3 4 3" xfId="12039" xr:uid="{E7C9D73E-8A42-41F0-8DDC-A7D39D80369F}"/>
    <cellStyle name="Currency 5 2 2 3 4 3 2" xfId="22419" xr:uid="{85B7CB9A-F6D9-4C07-9848-E505521E2E02}"/>
    <cellStyle name="Currency 5 2 2 3 4 4" xfId="16753" xr:uid="{55D64D6B-C1B4-467E-962E-74EF844202D6}"/>
    <cellStyle name="Currency 5 2 2 3 5" xfId="5707" xr:uid="{64BFFDB4-46D1-483C-8C4F-E280CB1ECB1C}"/>
    <cellStyle name="Currency 5 2 2 3 5 2" xfId="29712" xr:uid="{DD288719-AB35-4C89-88F1-540C0355360C}"/>
    <cellStyle name="Currency 5 2 2 3 5 2 2" xfId="30994" xr:uid="{2203EE67-0F45-4FCA-8501-AF4CCD1B0C73}"/>
    <cellStyle name="Currency 5 2 2 3 6" xfId="24899" xr:uid="{F8B21FAF-1CA2-4C0F-B3E2-9F62AED2DA5F}"/>
    <cellStyle name="Currency 5 2 2 3 7" xfId="13629" xr:uid="{006AB017-2D5D-4BEE-A7CB-912CA41008FB}"/>
    <cellStyle name="Currency 5 2 2 4" xfId="1966" xr:uid="{00000000-0005-0000-0000-0000E6030000}"/>
    <cellStyle name="Currency 5 2 2 4 2" xfId="3107" xr:uid="{00000000-0005-0000-0000-0000D0020000}"/>
    <cellStyle name="Currency 5 2 2 4 2 2" xfId="8187" xr:uid="{EC4D431F-F668-4FCE-815C-FD5EACEEDF85}"/>
    <cellStyle name="Currency 5 2 2 4 2 2 2" xfId="28855" xr:uid="{7C5B0695-8C13-41C0-ACF4-145D7F65FF93}"/>
    <cellStyle name="Currency 5 2 2 4 2 2 3" xfId="28615" xr:uid="{8D54ADB9-69AE-475B-AE53-5F93F4C469AC}"/>
    <cellStyle name="Currency 5 2 2 4 2 2 4" xfId="18567" xr:uid="{3CB38A1D-D5FD-45BB-979C-084854CB23D1}"/>
    <cellStyle name="Currency 5 2 2 4 2 3" xfId="11020" xr:uid="{1EDC9C14-BB5A-42E7-8C1B-2A6A66C32E66}"/>
    <cellStyle name="Currency 5 2 2 4 2 3 2" xfId="21400" xr:uid="{4B569564-AC9C-4E2F-A36D-AB280A0C0C45}"/>
    <cellStyle name="Currency 5 2 2 4 2 4" xfId="26803" xr:uid="{D3CBC96C-8DCC-4604-856F-C197D0CBC5C0}"/>
    <cellStyle name="Currency 5 2 2 4 2 5" xfId="15734" xr:uid="{EC11DDBB-96CA-4144-A30D-CF3021608613}"/>
    <cellStyle name="Currency 5 2 2 4 3" xfId="3681" xr:uid="{00000000-0005-0000-0000-0000E6030000}"/>
    <cellStyle name="Currency 5 2 2 4 4" xfId="5705" xr:uid="{F0F3577E-AEB9-46D9-839A-DC5FBFCEA274}"/>
    <cellStyle name="Currency 5 2 2 4 4 2" xfId="29975" xr:uid="{1A47C2B6-3535-4DAD-8D31-63333AA84210}"/>
    <cellStyle name="Currency 5 2 2 4 5" xfId="23000" xr:uid="{33E7FD05-6AC1-4553-A763-5F9ADDC95EFB}"/>
    <cellStyle name="Currency 5 2 2 4 6" xfId="13627" xr:uid="{A1CD338B-CC30-4727-B3F0-0E4E5CC6C8A2}"/>
    <cellStyle name="Currency 5 2 2 5" xfId="2643" xr:uid="{00000000-0005-0000-0000-0000D1020000}"/>
    <cellStyle name="Currency 5 2 2 5 2" xfId="5905" xr:uid="{01A77C53-D4B3-4B4A-A7AA-DA49AF807277}"/>
    <cellStyle name="Currency 5 2 2 5 2 2" xfId="28063" xr:uid="{8EF9D5B8-AD4E-41E9-A228-6AF16D4B036F}"/>
    <cellStyle name="Currency 5 2 2 5 2 2 2" xfId="31201" xr:uid="{E9A01D91-80DD-41A2-BDF4-F2C3BA223E61}"/>
    <cellStyle name="Currency 5 2 2 5 2 2 3" xfId="30896" xr:uid="{4927734C-1128-4F35-ADA5-EBE5F5527F8D}"/>
    <cellStyle name="Currency 5 2 2 5 2 3" xfId="28473" xr:uid="{82D05B3D-86D8-4506-AE14-DBD6FF00D9F8}"/>
    <cellStyle name="Currency 5 2 2 5 2 4" xfId="15315" xr:uid="{73BC589D-4447-4249-B1BB-4F0E836F79EB}"/>
    <cellStyle name="Currency 5 2 2 5 3" xfId="7768" xr:uid="{0BCD7F6B-EB32-4F4B-BE32-1005B1112FD0}"/>
    <cellStyle name="Currency 5 2 2 5 3 2" xfId="18148" xr:uid="{39F2C129-AC1D-49B2-8889-3EA2F448443B}"/>
    <cellStyle name="Currency 5 2 2 5 4" xfId="10601" xr:uid="{D3A2D10F-02C4-4FC8-8984-C693054A334C}"/>
    <cellStyle name="Currency 5 2 2 5 4 2" xfId="20981" xr:uid="{7E6ADA5D-3DC7-41ED-99C9-A4042922E532}"/>
    <cellStyle name="Currency 5 2 2 5 5" xfId="23545" xr:uid="{2A62B28A-3D7D-44E1-830E-A4B18F3C462C}"/>
    <cellStyle name="Currency 5 2 2 5 6" xfId="13032" xr:uid="{BC0D04A2-EDC2-44C0-8A7A-ECF31AD1A87E}"/>
    <cellStyle name="Currency 5 2 2 6" xfId="2302" xr:uid="{00000000-0005-0000-0000-0000CC020000}"/>
    <cellStyle name="Currency 5 2 2 6 2" xfId="7429" xr:uid="{33D726B9-173A-495B-A4BA-834CE620BF69}"/>
    <cellStyle name="Currency 5 2 2 6 2 2" xfId="17809" xr:uid="{856799D2-AB87-4DD2-9C94-BFDB3D72AE03}"/>
    <cellStyle name="Currency 5 2 2 6 3" xfId="10262" xr:uid="{A462F4E5-48AC-4A2C-992B-92C429FC328E}"/>
    <cellStyle name="Currency 5 2 2 6 3 2" xfId="20642" xr:uid="{5D9F252F-0DAB-4171-9706-3A1FB1F31BA3}"/>
    <cellStyle name="Currency 5 2 2 6 4" xfId="22672" xr:uid="{60C51A38-352A-40DD-A8EB-74F53D2FCD6C}"/>
    <cellStyle name="Currency 5 2 2 6 5" xfId="28365" xr:uid="{3779EA25-6211-41A3-BEC2-2229A6763BFA}"/>
    <cellStyle name="Currency 5 2 2 6 6" xfId="14976" xr:uid="{5552B899-4FCC-4E4B-BB6F-B5232499BD8E}"/>
    <cellStyle name="Currency 5 2 2 7" xfId="3833" xr:uid="{58CAFAE7-4ECC-4D05-802A-591E6F0FD407}"/>
    <cellStyle name="Currency 5 2 2 7 2" xfId="8666" xr:uid="{3E47732A-E67C-496E-A27B-A49411598E3D}"/>
    <cellStyle name="Currency 5 2 2 7 2 2" xfId="19046" xr:uid="{E366572E-1173-45A7-B79D-6E597AD48165}"/>
    <cellStyle name="Currency 5 2 2 7 3" xfId="11499" xr:uid="{5D129DB0-375F-4A95-A0F4-3754244C1E48}"/>
    <cellStyle name="Currency 5 2 2 7 3 2" xfId="21879" xr:uid="{172E324E-C1CA-4DC2-9EC6-D823E04B7C3C}"/>
    <cellStyle name="Currency 5 2 2 7 4" xfId="28165" xr:uid="{D0852ACE-D955-4A7A-B56D-9C118288E0DC}"/>
    <cellStyle name="Currency 5 2 2 7 5" xfId="26372" xr:uid="{40CB9855-3EF7-4ABB-B7BD-BE754A9C6D1E}"/>
    <cellStyle name="Currency 5 2 2 7 6" xfId="16213" xr:uid="{28EF5B7D-0FFC-4496-99BB-22D48954D381}"/>
    <cellStyle name="Currency 5 2 2 8" xfId="4975" xr:uid="{9D741363-ECFB-4E78-AFE7-4000DC29E105}"/>
    <cellStyle name="Currency 5 2 2 8 2" xfId="14270" xr:uid="{D1F2BAB2-2536-4CDA-B233-F70097286BE6}"/>
    <cellStyle name="Currency 5 2 2 9" xfId="6723" xr:uid="{D10E9798-92C9-4F75-AC71-6A5E424527EA}"/>
    <cellStyle name="Currency 5 2 2 9 2" xfId="17103" xr:uid="{1919B9F7-EDFA-44F2-944A-76EF107B027F}"/>
    <cellStyle name="Currency 5 2 3" xfId="593" xr:uid="{00000000-0005-0000-0000-0000E7030000}"/>
    <cellStyle name="Currency 5 2 3 10" xfId="12692" xr:uid="{49183BEA-A4DB-49F9-8A1B-1EAE12D1B3C9}"/>
    <cellStyle name="Currency 5 2 3 2" xfId="1970" xr:uid="{00000000-0005-0000-0000-0000E8030000}"/>
    <cellStyle name="Currency 5 2 3 2 2" xfId="3110" xr:uid="{00000000-0005-0000-0000-0000D3020000}"/>
    <cellStyle name="Currency 5 2 3 2 2 2" xfId="8190" xr:uid="{E868AF50-4A6D-44BC-83C9-209DB309BB0F}"/>
    <cellStyle name="Currency 5 2 3 2 2 2 2" xfId="28857" xr:uid="{3BF9C56A-BDC1-4F4D-A53B-A83632B095C2}"/>
    <cellStyle name="Currency 5 2 3 2 2 2 3" xfId="28156" xr:uid="{4F0EEC13-E5DE-4629-8270-13F61F99DAFD}"/>
    <cellStyle name="Currency 5 2 3 2 2 2 4" xfId="18570" xr:uid="{BA89C912-96B1-42CB-9CB7-76ECD2E69A53}"/>
    <cellStyle name="Currency 5 2 3 2 2 3" xfId="11023" xr:uid="{B32F4D25-280E-4123-BC8C-A882B4C247D2}"/>
    <cellStyle name="Currency 5 2 3 2 2 3 2" xfId="21403" xr:uid="{AB4B76B5-E409-402B-A20C-F8E07C5FC7A2}"/>
    <cellStyle name="Currency 5 2 3 2 2 4" xfId="24400" xr:uid="{19D40202-82EB-4A14-9C2F-762EB18BA50F}"/>
    <cellStyle name="Currency 5 2 3 2 2 5" xfId="15737" xr:uid="{B043A422-93FE-44A2-A3D7-AC99CBEFA6FB}"/>
    <cellStyle name="Currency 5 2 3 2 3" xfId="3665" xr:uid="{00000000-0005-0000-0000-0000E8030000}"/>
    <cellStyle name="Currency 5 2 3 2 4" xfId="5708" xr:uid="{5ED9074E-CFC1-4F0E-AAA7-8ED93D6F736E}"/>
    <cellStyle name="Currency 5 2 3 2 4 2" xfId="29976" xr:uid="{EA9668FA-7D48-4451-A463-CEDC38FAAA6D}"/>
    <cellStyle name="Currency 5 2 3 2 5" xfId="24148" xr:uid="{A436BADA-01CA-44B5-B13D-BF91D5BD6C72}"/>
    <cellStyle name="Currency 5 2 3 2 6" xfId="13630" xr:uid="{2A0D9A90-7C39-497B-99CC-B6BDC390AD1B}"/>
    <cellStyle name="Currency 5 2 3 3" xfId="1971" xr:uid="{00000000-0005-0000-0000-0000E9030000}"/>
    <cellStyle name="Currency 5 2 3 3 2" xfId="2700" xr:uid="{00000000-0005-0000-0000-0000D4020000}"/>
    <cellStyle name="Currency 5 2 3 3 2 2" xfId="7824" xr:uid="{D0CDFCE5-20BF-42ED-9EFB-FAB04946587F}"/>
    <cellStyle name="Currency 5 2 3 3 2 2 2" xfId="18204" xr:uid="{3BCED285-7CC5-4070-8A11-76E588F6BC4F}"/>
    <cellStyle name="Currency 5 2 3 3 2 3" xfId="10657" xr:uid="{33CCFA73-7431-4161-8256-7B377A9BDBFA}"/>
    <cellStyle name="Currency 5 2 3 3 2 3 2" xfId="21037" xr:uid="{9BC23E41-2CDA-49D1-80AC-DF071D9AEEBF}"/>
    <cellStyle name="Currency 5 2 3 3 2 4" xfId="15371" xr:uid="{0B0E1420-F3F3-4F8F-A6BE-B2272087307F}"/>
    <cellStyle name="Currency 5 2 3 3 2 5" xfId="30459" xr:uid="{DAB7CACA-8941-4CE4-B122-9A8774B9A021}"/>
    <cellStyle name="Currency 5 2 3 3 3" xfId="3579" xr:uid="{00000000-0005-0000-0000-0000E9030000}"/>
    <cellStyle name="Currency 5 2 3 3 4" xfId="5709" xr:uid="{59616245-D824-46F1-81B0-F7CE84542057}"/>
    <cellStyle name="Currency 5 2 3 3 4 2" xfId="29919" xr:uid="{9D672207-4D78-471A-8306-1D5902F0DCD8}"/>
    <cellStyle name="Currency 5 2 3 3 5" xfId="25057" xr:uid="{F07ECF11-1D7B-4D79-A0FD-D2F0BF3D7837}"/>
    <cellStyle name="Currency 5 2 3 3 6" xfId="13118" xr:uid="{FF00E2A5-B4FB-49BB-96AB-5F24D126800F}"/>
    <cellStyle name="Currency 5 2 3 4" xfId="1969" xr:uid="{00000000-0005-0000-0000-0000EA030000}"/>
    <cellStyle name="Currency 5 2 3 4 2" xfId="3775" xr:uid="{9AA53097-E567-4935-BA95-65CC50D0B73B}"/>
    <cellStyle name="Currency 5 2 3 4 2 2" xfId="8617" xr:uid="{CCB07CC6-C475-4E96-BCAA-C52F5825DCF7}"/>
    <cellStyle name="Currency 5 2 3 4 2 2 2" xfId="18997" xr:uid="{04CD8D01-CEF3-4C9C-9BD0-1F5042A669E1}"/>
    <cellStyle name="Currency 5 2 3 4 2 3" xfId="11450" xr:uid="{225A8900-8F68-4269-B454-4E2E9025351E}"/>
    <cellStyle name="Currency 5 2 3 4 2 3 2" xfId="21830" xr:uid="{C188CF2C-115D-430F-9000-0E4E6571A19D}"/>
    <cellStyle name="Currency 5 2 3 4 2 4" xfId="26215" xr:uid="{0570CA31-8D59-46B5-8184-FEF8F7383B00}"/>
    <cellStyle name="Currency 5 2 3 4 2 5" xfId="26375" xr:uid="{28A2C1DE-F28A-4A55-9019-D1FB2D6D72D0}"/>
    <cellStyle name="Currency 5 2 3 4 2 6" xfId="16164" xr:uid="{F5D30928-98B2-467C-B2BC-D2080B97E6F0}"/>
    <cellStyle name="Currency 5 2 3 4 3" xfId="23679" xr:uid="{D15642E2-80E6-4635-98B9-0DDE89D66073}"/>
    <cellStyle name="Currency 5 2 3 5" xfId="4144" xr:uid="{BBE70D2D-604E-48B2-9D68-4A06E241AAB5}"/>
    <cellStyle name="Currency 5 2 3 5 2" xfId="8916" xr:uid="{A3449125-85BB-4347-9B52-EF23126E01C2}"/>
    <cellStyle name="Currency 5 2 3 5 2 2" xfId="29017" xr:uid="{6EB8AFAA-0881-4674-A52E-7A008315E4E0}"/>
    <cellStyle name="Currency 5 2 3 5 2 3" xfId="27598" xr:uid="{6EAEA2C4-443D-4C95-8CB1-EB87AE134AB5}"/>
    <cellStyle name="Currency 5 2 3 5 2 4" xfId="19296" xr:uid="{3D378635-15D0-4947-BD6B-4C612F00492B}"/>
    <cellStyle name="Currency 5 2 3 5 2 5" xfId="31024" xr:uid="{0D38C156-3687-44A0-89ED-AC90BFF6346D}"/>
    <cellStyle name="Currency 5 2 3 5 3" xfId="11749" xr:uid="{10C9EC3E-9AE2-4D9B-8479-211D3D07ED47}"/>
    <cellStyle name="Currency 5 2 3 5 3 2" xfId="22129" xr:uid="{15C832C3-6FF0-4856-A177-D03E7D068492}"/>
    <cellStyle name="Currency 5 2 3 5 4" xfId="26968" xr:uid="{F0640651-E4BA-485E-91B0-95C69E14D0AE}"/>
    <cellStyle name="Currency 5 2 3 5 5" xfId="16463" xr:uid="{BF109E69-ADD6-4229-AE11-DEB910336621}"/>
    <cellStyle name="Currency 5 2 3 6" xfId="4976" xr:uid="{19071EE0-5BFD-4F9E-9132-C53B4E247934}"/>
    <cellStyle name="Currency 5 2 3 6 2" xfId="28609" xr:uid="{5CCE0AB4-0287-4537-BF16-6DCB69FE2869}"/>
    <cellStyle name="Currency 5 2 3 6 3" xfId="27545" xr:uid="{69E98944-73A7-42A3-85AF-E17CD6BE819A}"/>
    <cellStyle name="Currency 5 2 3 6 4" xfId="14271" xr:uid="{9F6DB649-75FE-4421-9D34-EF7190C56541}"/>
    <cellStyle name="Currency 5 2 3 7" xfId="6724" xr:uid="{159000B8-7CC5-4955-8443-5AF2213C3E1C}"/>
    <cellStyle name="Currency 5 2 3 7 2" xfId="27880" xr:uid="{F909FE96-1CC9-415B-BC21-01A6FFCF83BC}"/>
    <cellStyle name="Currency 5 2 3 7 3" xfId="25976" xr:uid="{94FF8E5B-AA91-4B15-97A2-1A1AE04C25C4}"/>
    <cellStyle name="Currency 5 2 3 7 4" xfId="17104" xr:uid="{1DC87CFE-6CBF-4909-AECA-D5D13067C0F9}"/>
    <cellStyle name="Currency 5 2 3 8" xfId="9557" xr:uid="{2E40F6E5-2FED-4555-BFC0-2C0C435350C4}"/>
    <cellStyle name="Currency 5 2 3 8 2" xfId="19937" xr:uid="{220242D1-ABC7-43E6-B0E8-FF42CA590FC7}"/>
    <cellStyle name="Currency 5 2 3 9" xfId="22665" xr:uid="{D9AD0612-914B-436B-8DAE-F1188956DD8B}"/>
    <cellStyle name="Currency 5 2 4" xfId="1972" xr:uid="{00000000-0005-0000-0000-0000EB030000}"/>
    <cellStyle name="Currency 5 2 4 2" xfId="3111" xr:uid="{00000000-0005-0000-0000-0000D5020000}"/>
    <cellStyle name="Currency 5 2 4 2 2" xfId="8191" xr:uid="{25AFDB09-23E2-482C-8E76-09BB28DEADCF}"/>
    <cellStyle name="Currency 5 2 4 2 2 2" xfId="28858" xr:uid="{06FCD6AD-893B-4A36-A0AD-D369F771C15A}"/>
    <cellStyle name="Currency 5 2 4 2 2 2 2" xfId="31239" xr:uid="{73676227-5E83-4702-8972-5E4E8CEB392D}"/>
    <cellStyle name="Currency 5 2 4 2 2 2 3" xfId="30898" xr:uid="{13AFE293-B1E9-4C3C-B65C-D9B74021402C}"/>
    <cellStyle name="Currency 5 2 4 2 2 3" xfId="26052" xr:uid="{4EF20C12-2878-49D2-8D87-1A4B0612BC68}"/>
    <cellStyle name="Currency 5 2 4 2 2 4" xfId="18571" xr:uid="{53A0814F-3C91-470B-9122-F71FDD3F23C7}"/>
    <cellStyle name="Currency 5 2 4 2 3" xfId="11024" xr:uid="{B5B91CCF-256F-4CE3-BF8B-CED889D41FC5}"/>
    <cellStyle name="Currency 5 2 4 2 3 2" xfId="21404" xr:uid="{0C977F6E-A74F-42C8-9858-D8827CB31566}"/>
    <cellStyle name="Currency 5 2 4 2 4" xfId="23957" xr:uid="{83B7EFE6-940B-4612-89E7-D38FCF8EE350}"/>
    <cellStyle name="Currency 5 2 4 2 5" xfId="15738" xr:uid="{E729032C-0C99-45F8-AE83-A66126EFFACB}"/>
    <cellStyle name="Currency 5 2 4 3" xfId="2049" xr:uid="{00000000-0005-0000-0000-0000EB030000}"/>
    <cellStyle name="Currency 5 2 4 4" xfId="4435" xr:uid="{EAF59091-946C-4F5C-9343-3EB106ED6014}"/>
    <cellStyle name="Currency 5 2 4 4 2" xfId="9207" xr:uid="{9DE673C5-9FAC-4C6B-A3AD-1258CD7F4F41}"/>
    <cellStyle name="Currency 5 2 4 4 2 2" xfId="19587" xr:uid="{7306ABE8-FFF7-463F-8A00-99CCC9E3B069}"/>
    <cellStyle name="Currency 5 2 4 4 2 3" xfId="31101" xr:uid="{04F8AB4D-3583-413E-A867-E9E1E954177D}"/>
    <cellStyle name="Currency 5 2 4 4 2 4" xfId="30897" xr:uid="{033065B8-3DEE-4E7E-9008-7D6E15491596}"/>
    <cellStyle name="Currency 5 2 4 4 3" xfId="12040" xr:uid="{84643D44-AB5A-4804-B4B3-D8D413675A2D}"/>
    <cellStyle name="Currency 5 2 4 4 3 2" xfId="22420" xr:uid="{BB6414FD-0893-461E-A134-D075A290A690}"/>
    <cellStyle name="Currency 5 2 4 4 4" xfId="28673" xr:uid="{D727F6B1-6619-4645-A993-510B5AE51350}"/>
    <cellStyle name="Currency 5 2 4 4 5" xfId="28190" xr:uid="{E3AEF5FB-7525-4F93-99F2-9954E237AACE}"/>
    <cellStyle name="Currency 5 2 4 4 6" xfId="16754" xr:uid="{3E4750C6-930A-4339-AE91-F90BECE985F2}"/>
    <cellStyle name="Currency 5 2 4 5" xfId="5710" xr:uid="{81CCBD4C-4647-4780-BDEB-D175A3F5ADBE}"/>
    <cellStyle name="Currency 5 2 4 5 2" xfId="29694" xr:uid="{5AD77B6F-1F47-49A8-8F2D-FBDD0BA971A3}"/>
    <cellStyle name="Currency 5 2 4 5 2 2" xfId="30995" xr:uid="{61B4BDAA-FE5F-4AB7-9E5D-32E54EF4F78A}"/>
    <cellStyle name="Currency 5 2 4 6" xfId="22716" xr:uid="{912E2D58-135C-466F-977B-D7FCE32E6FF0}"/>
    <cellStyle name="Currency 5 2 4 7" xfId="13631" xr:uid="{3CE5B02C-94B0-4AC5-8DF4-DCF0A61C21CA}"/>
    <cellStyle name="Currency 5 2 5" xfId="1973" xr:uid="{00000000-0005-0000-0000-0000EC030000}"/>
    <cellStyle name="Currency 5 2 5 2" xfId="2889" xr:uid="{00000000-0005-0000-0000-0000D6020000}"/>
    <cellStyle name="Currency 5 2 5 2 2" xfId="8006" xr:uid="{76E26953-D137-4A0D-A497-4B6AC98CE538}"/>
    <cellStyle name="Currency 5 2 5 2 2 2" xfId="28657" xr:uid="{63423EA7-9E9C-41A3-9548-819C174CD01F}"/>
    <cellStyle name="Currency 5 2 5 2 2 2 2" xfId="31212" xr:uid="{BF6DB955-8871-4EAF-9EB8-C68B85D30551}"/>
    <cellStyle name="Currency 5 2 5 2 2 2 3" xfId="30899" xr:uid="{C2C9D297-6FFA-48E8-8FCF-9BB4213F41C3}"/>
    <cellStyle name="Currency 5 2 5 2 2 3" xfId="26012" xr:uid="{37321E1F-694C-4E0C-9870-7424F46302A7}"/>
    <cellStyle name="Currency 5 2 5 2 2 4" xfId="18386" xr:uid="{7CFBABE8-19D0-41B9-A18C-0F534E5095CC}"/>
    <cellStyle name="Currency 5 2 5 2 3" xfId="10839" xr:uid="{B90DC41B-6A12-425B-AEEF-D5D78A8A4A53}"/>
    <cellStyle name="Currency 5 2 5 2 3 2" xfId="21219" xr:uid="{3D52AE92-5923-457B-9350-B22A4AE1191A}"/>
    <cellStyle name="Currency 5 2 5 2 4" xfId="25928" xr:uid="{DAB2A62E-EF04-4D21-ABCA-3D8381BF181C}"/>
    <cellStyle name="Currency 5 2 5 2 5" xfId="15553" xr:uid="{86AEB658-238E-45DA-8F63-23B312B7D1A9}"/>
    <cellStyle name="Currency 5 2 5 3" xfId="3608" xr:uid="{00000000-0005-0000-0000-0000EC030000}"/>
    <cellStyle name="Currency 5 2 5 4" xfId="5711" xr:uid="{34D882F9-3A98-4786-A61F-2BA19F885A26}"/>
    <cellStyle name="Currency 5 2 5 4 2" xfId="29929" xr:uid="{7102F65A-C7BE-4D84-A759-F42C9E8516B6}"/>
    <cellStyle name="Currency 5 2 5 5" xfId="23045" xr:uid="{C6FB78A3-7FB3-4C8B-AE13-0BA29A31CEF6}"/>
    <cellStyle name="Currency 5 2 5 6" xfId="13390" xr:uid="{23481EF7-DAB4-448F-896D-7EFA49323FD9}"/>
    <cellStyle name="Currency 5 2 6" xfId="1965" xr:uid="{00000000-0005-0000-0000-0000ED030000}"/>
    <cellStyle name="Currency 5 2 6 2" xfId="2541" xr:uid="{00000000-0005-0000-0000-0000D7020000}"/>
    <cellStyle name="Currency 5 2 6 2 2" xfId="7666" xr:uid="{74261CAA-4101-473F-B347-C83F8EAEB42F}"/>
    <cellStyle name="Currency 5 2 6 2 2 2" xfId="18046" xr:uid="{49FBE54B-FD8E-4F2D-838F-4B8FC9ADB860}"/>
    <cellStyle name="Currency 5 2 6 2 3" xfId="10499" xr:uid="{556E629B-FE91-426B-933D-E95FA4998D76}"/>
    <cellStyle name="Currency 5 2 6 2 3 2" xfId="20879" xr:uid="{E11A0ED8-348A-4DA6-9D90-EEF14F0BBC40}"/>
    <cellStyle name="Currency 5 2 6 2 4" xfId="26578" xr:uid="{C9B861A8-D8EB-43AD-B25A-681F5470E314}"/>
    <cellStyle name="Currency 5 2 6 2 5" xfId="25903" xr:uid="{66E2E6D2-0C15-4FBD-B3CD-FFBE6CC078CC}"/>
    <cellStyle name="Currency 5 2 6 2 6" xfId="15213" xr:uid="{2507063B-74EC-4F1F-AF09-CFD95B288AF3}"/>
    <cellStyle name="Currency 5 2 6 3" xfId="3594" xr:uid="{00000000-0005-0000-0000-0000ED030000}"/>
    <cellStyle name="Currency 5 2 6 4" xfId="5704" xr:uid="{6044BC41-93EB-4D46-8847-7E28FDC1C7F0}"/>
    <cellStyle name="Currency 5 2 6 4 2" xfId="29879" xr:uid="{C483D0FC-BB86-4D28-A080-8736F3CBDE28}"/>
    <cellStyle name="Currency 5 2 6 5" xfId="23121" xr:uid="{DFB24F9D-60E6-480E-886E-475EF7F1242B}"/>
    <cellStyle name="Currency 5 2 6 6" xfId="12929" xr:uid="{244FD039-EA37-4B72-A255-228CC58257FA}"/>
    <cellStyle name="Currency 5 2 7" xfId="2235" xr:uid="{00000000-0005-0000-0000-0000CB020000}"/>
    <cellStyle name="Currency 5 2 7 2" xfId="7362" xr:uid="{46D783E5-C67D-4AD0-83C0-CF4DD70F2D04}"/>
    <cellStyle name="Currency 5 2 7 2 2" xfId="26298" xr:uid="{0094EF5E-9118-446E-8932-915721C49C84}"/>
    <cellStyle name="Currency 5 2 7 2 2 2" xfId="31175" xr:uid="{0ABF76C8-146E-4EA9-9EF4-12330D97B2F4}"/>
    <cellStyle name="Currency 5 2 7 2 2 3" xfId="30900" xr:uid="{B13E3068-9BEB-46ED-BF85-C4985B631957}"/>
    <cellStyle name="Currency 5 2 7 2 3" xfId="26142" xr:uid="{8D63E90A-D234-400F-9E75-4182E9C21698}"/>
    <cellStyle name="Currency 5 2 7 2 4" xfId="17742" xr:uid="{F397A08D-393B-4E26-BD24-2E6F720FBD36}"/>
    <cellStyle name="Currency 5 2 7 3" xfId="10195" xr:uid="{E9F0637B-A05F-4E9D-8BA2-C2EBC2EFAA4D}"/>
    <cellStyle name="Currency 5 2 7 3 2" xfId="20575" xr:uid="{BC39AA1D-EDCB-4BA3-9D5E-5853FA61C57D}"/>
    <cellStyle name="Currency 5 2 7 4" xfId="25306" xr:uid="{35146824-73C6-468D-82D5-4BCD67342811}"/>
    <cellStyle name="Currency 5 2 7 5" xfId="14909" xr:uid="{7EB1EE87-E11D-47CB-A2B8-C4724D639E82}"/>
    <cellStyle name="Currency 5 2 8" xfId="3891" xr:uid="{F5558CD4-A4A2-4E3D-AB6A-144E8681197F}"/>
    <cellStyle name="Currency 5 2 8 2" xfId="8723" xr:uid="{2F1B63F7-D083-429E-B1CA-1A6BFE7DDEA4}"/>
    <cellStyle name="Currency 5 2 8 2 2" xfId="19103" xr:uid="{AA81A8B7-20C9-4F9B-90A1-BEB1376ACEFA}"/>
    <cellStyle name="Currency 5 2 8 3" xfId="11556" xr:uid="{75471A33-C8F0-40CF-B5BF-4A81D5F9A038}"/>
    <cellStyle name="Currency 5 2 8 3 2" xfId="21936" xr:uid="{1A25BBFC-EAD0-476B-B10E-5BE1DFD38444}"/>
    <cellStyle name="Currency 5 2 8 4" xfId="27961" xr:uid="{38D58FC1-9BAF-45DE-9227-885220FBB692}"/>
    <cellStyle name="Currency 5 2 8 5" xfId="28579" xr:uid="{145D1AFD-484B-4FDE-876F-13C665ED8789}"/>
    <cellStyle name="Currency 5 2 8 6" xfId="16270" xr:uid="{82A908FC-D9AF-4CB9-9FAE-0596054F1EA2}"/>
    <cellStyle name="Currency 5 2 9" xfId="4974" xr:uid="{83D789FE-00E7-4353-9F50-F27A53E5C0A6}"/>
    <cellStyle name="Currency 5 2 9 2" xfId="25929" xr:uid="{D31F2547-600E-4F5D-B779-A3F82E3BA780}"/>
    <cellStyle name="Currency 5 2 9 3" xfId="27071" xr:uid="{080F0B0A-5BC7-4901-AD69-507C20B1622B}"/>
    <cellStyle name="Currency 5 2 9 4" xfId="14269" xr:uid="{5C56210C-0634-43D4-9558-692036755A96}"/>
    <cellStyle name="Currency 5 3" xfId="594" xr:uid="{00000000-0005-0000-0000-0000EE030000}"/>
    <cellStyle name="Currency 5 3 10" xfId="9558" xr:uid="{2A505504-F946-417F-8A75-43BF4BB35F9D}"/>
    <cellStyle name="Currency 5 3 10 2" xfId="19938" xr:uid="{A7220A94-B2B4-4AE1-9570-D96C08F7CB0B}"/>
    <cellStyle name="Currency 5 3 11" xfId="23033" xr:uid="{526A7DBF-D3D2-442D-9A54-DD31D9FDF6E8}"/>
    <cellStyle name="Currency 5 3 12" xfId="12533" xr:uid="{20BE156C-F121-4FA0-B6FD-EE6E99003D67}"/>
    <cellStyle name="Currency 5 3 2" xfId="1975" xr:uid="{00000000-0005-0000-0000-0000EF030000}"/>
    <cellStyle name="Currency 5 3 2 2" xfId="3113" xr:uid="{00000000-0005-0000-0000-0000DA020000}"/>
    <cellStyle name="Currency 5 3 2 2 2" xfId="6175" xr:uid="{2A83A707-9693-4504-A63C-CB91999D274E}"/>
    <cellStyle name="Currency 5 3 2 2 2 2" xfId="24181" xr:uid="{957406F0-CF59-4D3C-9C8C-E18064A609A3}"/>
    <cellStyle name="Currency 5 3 2 2 2 2 2" xfId="28716" xr:uid="{30692465-3C1C-4D4C-BF5B-4B86D75AD3A7}"/>
    <cellStyle name="Currency 5 3 2 2 2 2 3" xfId="31151" xr:uid="{50F8AEFD-436B-4734-8134-882238514C1B}"/>
    <cellStyle name="Currency 5 3 2 2 2 3" xfId="28081" xr:uid="{44E0DBA9-7F9D-4F75-A250-7B439F25517A}"/>
    <cellStyle name="Currency 5 3 2 2 2 4" xfId="15740" xr:uid="{ECECBAE7-FE6A-418C-A364-9CC2967EB8CB}"/>
    <cellStyle name="Currency 5 3 2 2 3" xfId="8193" xr:uid="{B638F41F-98D3-49A1-A601-35D9335CCE81}"/>
    <cellStyle name="Currency 5 3 2 2 3 2" xfId="18573" xr:uid="{DCE59326-8858-4E51-A3B0-845F3FA7CFDF}"/>
    <cellStyle name="Currency 5 3 2 2 4" xfId="11026" xr:uid="{56957B04-499B-48B4-98D4-D7E7F4C67751}"/>
    <cellStyle name="Currency 5 3 2 2 4 2" xfId="21406" xr:uid="{8C77967D-6BBC-4B84-B128-12C314811052}"/>
    <cellStyle name="Currency 5 3 2 2 5" xfId="24904" xr:uid="{54FD32AF-935F-4AE0-935A-654E37BB2CEA}"/>
    <cellStyle name="Currency 5 3 2 2 5 2" xfId="30077" xr:uid="{F958E69A-68BF-4BA9-81F7-14578EED27A9}"/>
    <cellStyle name="Currency 5 3 2 2 6" xfId="26921" xr:uid="{AF32DBC3-ACF6-4745-AD7B-F110F70C1559}"/>
    <cellStyle name="Currency 5 3 2 2 7" xfId="13633" xr:uid="{76CCBC9C-1C00-49D1-B059-63613061B900}"/>
    <cellStyle name="Currency 5 3 2 3" xfId="2702" xr:uid="{00000000-0005-0000-0000-0000D9020000}"/>
    <cellStyle name="Currency 5 3 2 3 2" xfId="7826" xr:uid="{5C7BCAA3-9C9F-492F-8861-2AD267BF934E}"/>
    <cellStyle name="Currency 5 3 2 3 2 2" xfId="27068" xr:uid="{55EF035C-8796-42AA-B3B7-EB9756ADAED2}"/>
    <cellStyle name="Currency 5 3 2 3 2 3" xfId="27409" xr:uid="{24DD1B34-5BDA-469F-96C6-8E6E015D9E3F}"/>
    <cellStyle name="Currency 5 3 2 3 2 4" xfId="18206" xr:uid="{12DA4345-B994-4CCF-88F1-B9C2539AD072}"/>
    <cellStyle name="Currency 5 3 2 3 3" xfId="10659" xr:uid="{2C015DA8-CF23-4D00-8256-2EACF4E418A2}"/>
    <cellStyle name="Currency 5 3 2 3 3 2" xfId="21039" xr:uid="{70FD7D19-0E93-462C-9581-32C4AEB2F859}"/>
    <cellStyle name="Currency 5 3 2 3 4" xfId="24100" xr:uid="{FB9ECE9D-A2D2-4743-BCED-964CFCC7B75D}"/>
    <cellStyle name="Currency 5 3 2 3 5" xfId="15373" xr:uid="{9C8C138F-CE6E-4288-94A8-950FEF0B812D}"/>
    <cellStyle name="Currency 5 3 2 4" xfId="3700" xr:uid="{00000000-0005-0000-0000-0000EF030000}"/>
    <cellStyle name="Currency 5 3 2 4 2" xfId="26891" xr:uid="{C9DBE510-EFCE-4A0C-8EE8-48DD9ED241FF}"/>
    <cellStyle name="Currency 5 3 2 4 3" xfId="26497" xr:uid="{49081016-EABC-4DB1-B361-D6F414E29952}"/>
    <cellStyle name="Currency 5 3 2 5" xfId="4279" xr:uid="{313F8346-39CD-4124-8B3A-C4CAB3DD2ECA}"/>
    <cellStyle name="Currency 5 3 2 5 2" xfId="9051" xr:uid="{099BCFBD-F523-4301-A1A6-C0079B714369}"/>
    <cellStyle name="Currency 5 3 2 5 2 2" xfId="19431" xr:uid="{27CFA0D3-4438-46F6-878B-42D727E86880}"/>
    <cellStyle name="Currency 5 3 2 5 2 3" xfId="31055" xr:uid="{033E1420-9C77-473B-804F-C41CBED77E74}"/>
    <cellStyle name="Currency 5 3 2 5 2 4" xfId="30901" xr:uid="{13CA0AD7-30C4-4001-B64F-03E7560C4A03}"/>
    <cellStyle name="Currency 5 3 2 5 3" xfId="11884" xr:uid="{E5116A94-E160-444D-A2C3-020F35D29607}"/>
    <cellStyle name="Currency 5 3 2 5 3 2" xfId="22264" xr:uid="{D7658E5A-BB9F-4E05-855D-29A5263DD5F0}"/>
    <cellStyle name="Currency 5 3 2 5 4" xfId="26954" xr:uid="{95732337-E1E3-4AC6-B7DD-8469E5DEFCBB}"/>
    <cellStyle name="Currency 5 3 2 5 5" xfId="27489" xr:uid="{B5F126A9-6131-4F53-870D-FC414775705C}"/>
    <cellStyle name="Currency 5 3 2 5 6" xfId="16598" xr:uid="{CC305DE1-2E81-4E5A-9508-CAE9EA08AB9C}"/>
    <cellStyle name="Currency 5 3 2 6" xfId="5713" xr:uid="{2162A165-A601-451F-A59D-9BF2EFCF87E1}"/>
    <cellStyle name="Currency 5 3 2 6 2" xfId="29731" xr:uid="{7E661BEA-FF8D-4BD4-AFEB-927EC4D8CCA8}"/>
    <cellStyle name="Currency 5 3 2 6 2 2" xfId="30996" xr:uid="{6539BE70-08E3-4AA4-B58E-F300449EC90E}"/>
    <cellStyle name="Currency 5 3 2 7" xfId="22910" xr:uid="{2A10CFEC-0929-4835-ABE0-3A392EEEC7A6}"/>
    <cellStyle name="Currency 5 3 2 8" xfId="13120" xr:uid="{47A9C792-CC8F-4DF3-B7EE-6BD5C7B06878}"/>
    <cellStyle name="Currency 5 3 2 9" xfId="29997" xr:uid="{2C104A3A-A926-488C-8CAB-843E476B7B22}"/>
    <cellStyle name="Currency 5 3 3" xfId="1976" xr:uid="{00000000-0005-0000-0000-0000F0030000}"/>
    <cellStyle name="Currency 5 3 3 2" xfId="3114" xr:uid="{00000000-0005-0000-0000-0000DB020000}"/>
    <cellStyle name="Currency 5 3 3 2 2" xfId="8194" xr:uid="{86FFB7B9-2A55-4AB6-B2B2-D1802A59687B}"/>
    <cellStyle name="Currency 5 3 3 2 2 2" xfId="28860" xr:uid="{01C80663-FA5B-4EA7-9670-DC6D2E0C723D}"/>
    <cellStyle name="Currency 5 3 3 2 2 2 2" xfId="31240" xr:uid="{3C0EFCA0-5665-4D69-876A-58B83D160D6D}"/>
    <cellStyle name="Currency 5 3 3 2 2 2 3" xfId="30903" xr:uid="{DFA99822-3024-4E51-8F42-35A278ABE4E4}"/>
    <cellStyle name="Currency 5 3 3 2 2 3" xfId="26630" xr:uid="{685863A7-BFEF-415D-A2CE-7B02227AD743}"/>
    <cellStyle name="Currency 5 3 3 2 2 4" xfId="18574" xr:uid="{2B83C1F7-E7AD-42DC-AFA0-80882660E932}"/>
    <cellStyle name="Currency 5 3 3 2 3" xfId="11027" xr:uid="{D850F367-3396-4AD9-B76D-E56459C3DE3C}"/>
    <cellStyle name="Currency 5 3 3 2 3 2" xfId="21407" xr:uid="{C9751C7E-EED7-40B7-99CB-553163E6D914}"/>
    <cellStyle name="Currency 5 3 3 2 4" xfId="24126" xr:uid="{F1D85D90-2F0F-4588-A85A-C8D9E996F941}"/>
    <cellStyle name="Currency 5 3 3 2 5" xfId="15741" xr:uid="{0A1C1433-46CA-4D11-98FF-9932F571D779}"/>
    <cellStyle name="Currency 5 3 3 3" xfId="2087" xr:uid="{00000000-0005-0000-0000-0000F0030000}"/>
    <cellStyle name="Currency 5 3 3 4" xfId="4436" xr:uid="{20CFB897-666F-4149-87D6-72BD94186F0A}"/>
    <cellStyle name="Currency 5 3 3 4 2" xfId="9208" xr:uid="{FEBB92A8-84BF-498D-9CC9-F630B4376368}"/>
    <cellStyle name="Currency 5 3 3 4 2 2" xfId="19588" xr:uid="{62507DBF-4272-4F62-BCDC-95743CA0B033}"/>
    <cellStyle name="Currency 5 3 3 4 2 3" xfId="31102" xr:uid="{785265B5-1F83-4815-9163-77914337B262}"/>
    <cellStyle name="Currency 5 3 3 4 2 4" xfId="30902" xr:uid="{7FC14047-A419-4FF0-AC80-82C714D7AF82}"/>
    <cellStyle name="Currency 5 3 3 4 3" xfId="12041" xr:uid="{6051F4A6-5D37-4162-ADF9-79B7787E3719}"/>
    <cellStyle name="Currency 5 3 3 4 3 2" xfId="22421" xr:uid="{2436F9F3-320D-4752-9AF1-E43DC261CDA1}"/>
    <cellStyle name="Currency 5 3 3 4 4" xfId="16755" xr:uid="{6F6A6062-2CE2-4B46-864C-7998CC3BFE47}"/>
    <cellStyle name="Currency 5 3 3 5" xfId="5714" xr:uid="{B225AD9D-70E2-4841-A531-CDA142155BD0}"/>
    <cellStyle name="Currency 5 3 3 5 2" xfId="29698" xr:uid="{A379AF37-E0F1-412B-A298-3E3C42206E20}"/>
    <cellStyle name="Currency 5 3 3 5 2 2" xfId="30997" xr:uid="{1F76261D-623D-47D8-8A94-50739780B2FC}"/>
    <cellStyle name="Currency 5 3 3 6" xfId="23073" xr:uid="{F18CE366-3398-446C-8744-B602531D5D21}"/>
    <cellStyle name="Currency 5 3 3 7" xfId="13634" xr:uid="{DF8FB77F-CD78-4108-AC65-79380C8B667D}"/>
    <cellStyle name="Currency 5 3 4" xfId="1974" xr:uid="{00000000-0005-0000-0000-0000F1030000}"/>
    <cellStyle name="Currency 5 3 4 2" xfId="3112" xr:uid="{00000000-0005-0000-0000-0000DC020000}"/>
    <cellStyle name="Currency 5 3 4 2 2" xfId="8192" xr:uid="{12605518-45C2-4A5E-B142-B539828DFC7C}"/>
    <cellStyle name="Currency 5 3 4 2 2 2" xfId="28859" xr:uid="{F2C64340-B6DF-456D-A36F-9ED0B197E7CF}"/>
    <cellStyle name="Currency 5 3 4 2 2 3" xfId="28284" xr:uid="{50F5FF16-544C-433F-AD2A-CC87A8B1AA2D}"/>
    <cellStyle name="Currency 5 3 4 2 2 4" xfId="18572" xr:uid="{2A125001-18F0-499F-A790-154D829D4369}"/>
    <cellStyle name="Currency 5 3 4 2 3" xfId="11025" xr:uid="{EBBBB68E-B7A9-4727-B8A5-CA63FBCD5FE7}"/>
    <cellStyle name="Currency 5 3 4 2 3 2" xfId="21405" xr:uid="{E180010A-2FCD-46F1-BA44-5BA0B1F655D8}"/>
    <cellStyle name="Currency 5 3 4 2 4" xfId="22875" xr:uid="{F8FA9813-888C-472C-A853-49F365954C32}"/>
    <cellStyle name="Currency 5 3 4 2 5" xfId="15739" xr:uid="{7F15E761-E3B1-4282-80AD-D5D4A5947524}"/>
    <cellStyle name="Currency 5 3 4 3" xfId="3545" xr:uid="{00000000-0005-0000-0000-0000F1030000}"/>
    <cellStyle name="Currency 5 3 4 4" xfId="5712" xr:uid="{3EEC26B5-3962-41F9-B6A3-EC813AA1EBAC}"/>
    <cellStyle name="Currency 5 3 4 4 2" xfId="29977" xr:uid="{D1112619-8F7B-4CEF-915B-708D2443B095}"/>
    <cellStyle name="Currency 5 3 4 5" xfId="24982" xr:uid="{B04AF8FD-6114-4C71-A9D7-E976CE18350C}"/>
    <cellStyle name="Currency 5 3 4 6" xfId="13632" xr:uid="{1BA1C8B1-6A6F-459D-B36D-75354FAD0DB3}"/>
    <cellStyle name="Currency 5 3 5" xfId="2584" xr:uid="{00000000-0005-0000-0000-0000DD020000}"/>
    <cellStyle name="Currency 5 3 5 2" xfId="5849" xr:uid="{3F6A570E-8A5C-4C20-A93D-0E180E864A90}"/>
    <cellStyle name="Currency 5 3 5 2 2" xfId="26969" xr:uid="{D1EBB5CD-FC7A-4F10-B519-46CA29184018}"/>
    <cellStyle name="Currency 5 3 5 2 2 2" xfId="31187" xr:uid="{C9C22307-3BA8-47BE-87A8-DE51ADDD98DB}"/>
    <cellStyle name="Currency 5 3 5 2 2 3" xfId="30904" xr:uid="{D3CCDC70-5088-44B7-86FC-33B08181C61A}"/>
    <cellStyle name="Currency 5 3 5 2 3" xfId="27436" xr:uid="{A30D7B8C-6247-4972-9E66-87FE75BA273A}"/>
    <cellStyle name="Currency 5 3 5 2 4" xfId="15256" xr:uid="{5A8FF11C-9103-4B97-B92A-D4028022214B}"/>
    <cellStyle name="Currency 5 3 5 3" xfId="7709" xr:uid="{9460C487-FB9F-432D-B8BA-58C64B66EF9C}"/>
    <cellStyle name="Currency 5 3 5 3 2" xfId="18089" xr:uid="{F4EF039A-E7C5-446C-85C1-54823D809576}"/>
    <cellStyle name="Currency 5 3 5 4" xfId="10542" xr:uid="{76470AA5-DD44-48EC-BF0C-40932FC056F6}"/>
    <cellStyle name="Currency 5 3 5 4 2" xfId="20922" xr:uid="{3D8BF286-0DD9-4AB7-85AA-76A759003684}"/>
    <cellStyle name="Currency 5 3 5 5" xfId="22929" xr:uid="{EB799ACC-0960-4BBD-AFBD-116C4BD090D4}"/>
    <cellStyle name="Currency 5 3 5 6" xfId="12972" xr:uid="{15AE4B7D-C61A-47C5-9B30-FD9BCA05DBB6}"/>
    <cellStyle name="Currency 5 3 6" xfId="2301" xr:uid="{00000000-0005-0000-0000-0000D8020000}"/>
    <cellStyle name="Currency 5 3 6 2" xfId="7428" xr:uid="{37D454D2-98EC-4ECA-875B-525C939A12B9}"/>
    <cellStyle name="Currency 5 3 6 2 2" xfId="17808" xr:uid="{FD2A3EEF-D7B3-4708-9FF7-7DBA0EEEC3A6}"/>
    <cellStyle name="Currency 5 3 6 3" xfId="10261" xr:uid="{66DE0595-77D0-44E2-BBAB-22A938590D29}"/>
    <cellStyle name="Currency 5 3 6 3 2" xfId="20641" xr:uid="{5A5654FD-D243-4742-BB0B-511AAA74AA3D}"/>
    <cellStyle name="Currency 5 3 6 4" xfId="24668" xr:uid="{953EE173-511B-4B9D-A92A-2D18C7063975}"/>
    <cellStyle name="Currency 5 3 6 5" xfId="28653" xr:uid="{8A1E049F-A38F-4793-A084-89101582F1E5}"/>
    <cellStyle name="Currency 5 3 6 6" xfId="14975" xr:uid="{A75CB0B2-BEB0-40BE-BC81-57A1FBA3825F}"/>
    <cellStyle name="Currency 5 3 7" xfId="3832" xr:uid="{4F7D27AA-E36A-485B-B1CA-FAD81716445B}"/>
    <cellStyle name="Currency 5 3 7 2" xfId="8665" xr:uid="{CA439490-CAC7-4667-8AAC-FC5DAB444913}"/>
    <cellStyle name="Currency 5 3 7 2 2" xfId="19045" xr:uid="{CA2B8348-30AA-4FB0-AE43-CECC40FCD663}"/>
    <cellStyle name="Currency 5 3 7 3" xfId="11498" xr:uid="{B425CEAF-FDE3-4E01-8713-78F3DCD91BC4}"/>
    <cellStyle name="Currency 5 3 7 3 2" xfId="21878" xr:uid="{D7EFDDC8-32C9-4BC3-A30B-61BCCA7B0596}"/>
    <cellStyle name="Currency 5 3 7 4" xfId="26162" xr:uid="{02640B68-3BEC-48B3-AC71-22D042167650}"/>
    <cellStyle name="Currency 5 3 7 5" xfId="25943" xr:uid="{B7C5EF07-BCE7-453B-898D-822557617857}"/>
    <cellStyle name="Currency 5 3 7 6" xfId="16212" xr:uid="{E8BDBC14-C79C-495C-87FC-BF87E75E23FC}"/>
    <cellStyle name="Currency 5 3 8" xfId="4977" xr:uid="{72549817-FBAA-4BE4-BCFB-74426F487CE8}"/>
    <cellStyle name="Currency 5 3 8 2" xfId="14272" xr:uid="{84018680-E061-4D9B-B808-5B964A2F0278}"/>
    <cellStyle name="Currency 5 3 9" xfId="6725" xr:uid="{7F742B85-07C3-4481-90BB-0054BDEEFD95}"/>
    <cellStyle name="Currency 5 3 9 2" xfId="17105" xr:uid="{86DC57A8-873C-436C-A7EF-6D6D1E4794F1}"/>
    <cellStyle name="Currency 5 4" xfId="595" xr:uid="{00000000-0005-0000-0000-0000F2030000}"/>
    <cellStyle name="Currency 5 4 10" xfId="12691" xr:uid="{91FE20A7-7F48-4F48-AD49-63CAB8CF3EEC}"/>
    <cellStyle name="Currency 5 4 2" xfId="1978" xr:uid="{00000000-0005-0000-0000-0000F3030000}"/>
    <cellStyle name="Currency 5 4 2 2" xfId="3115" xr:uid="{00000000-0005-0000-0000-0000DF020000}"/>
    <cellStyle name="Currency 5 4 2 2 2" xfId="8195" xr:uid="{608C7477-457B-446D-B4DA-1DE51946CB0C}"/>
    <cellStyle name="Currency 5 4 2 2 2 2" xfId="28861" xr:uid="{E574C560-A659-49CE-8A64-D1A07C293872}"/>
    <cellStyle name="Currency 5 4 2 2 2 3" xfId="27737" xr:uid="{A8559155-7CA4-4F41-9566-ACCBE439BD16}"/>
    <cellStyle name="Currency 5 4 2 2 2 4" xfId="18575" xr:uid="{326B5A18-FE67-48F1-857D-9002C90345F5}"/>
    <cellStyle name="Currency 5 4 2 2 3" xfId="11028" xr:uid="{92F448A3-E2F1-491A-BEB4-F0D29626B307}"/>
    <cellStyle name="Currency 5 4 2 2 3 2" xfId="21408" xr:uid="{8E9DA054-293F-4B35-9F07-D93D74CA882A}"/>
    <cellStyle name="Currency 5 4 2 2 4" xfId="23747" xr:uid="{0CC4DA2D-40A8-4977-A8A0-7877AAC19348}"/>
    <cellStyle name="Currency 5 4 2 2 5" xfId="15742" xr:uid="{A7D646FF-DCED-4ADD-A46C-B4FB30D778F5}"/>
    <cellStyle name="Currency 5 4 2 3" xfId="3642" xr:uid="{00000000-0005-0000-0000-0000F3030000}"/>
    <cellStyle name="Currency 5 4 2 4" xfId="5715" xr:uid="{671213EE-3688-4CDB-B942-51A717C3AE88}"/>
    <cellStyle name="Currency 5 4 2 4 2" xfId="29784" xr:uid="{19716B96-BD5D-41F7-9047-88F0E9D8F84C}"/>
    <cellStyle name="Currency 5 4 2 5" xfId="22823" xr:uid="{93D8A375-BAFB-437F-86FC-856A9BB2B527}"/>
    <cellStyle name="Currency 5 4 2 6" xfId="13635" xr:uid="{59CC9632-D058-4580-807A-C5EA2077C297}"/>
    <cellStyle name="Currency 5 4 3" xfId="1979" xr:uid="{00000000-0005-0000-0000-0000F4030000}"/>
    <cellStyle name="Currency 5 4 3 2" xfId="2699" xr:uid="{00000000-0005-0000-0000-0000E0020000}"/>
    <cellStyle name="Currency 5 4 3 2 2" xfId="7823" xr:uid="{9341D43D-1C0E-42BD-9D8B-CA18E72E65F2}"/>
    <cellStyle name="Currency 5 4 3 2 2 2" xfId="18203" xr:uid="{EB82C059-FCC5-413A-933D-7D4E33815D96}"/>
    <cellStyle name="Currency 5 4 3 2 3" xfId="10656" xr:uid="{B84212C0-4E2C-4BC6-AF4A-87BB56C1A2BC}"/>
    <cellStyle name="Currency 5 4 3 2 3 2" xfId="21036" xr:uid="{0E5706C4-251B-4ACD-847A-54DAED91BE3A}"/>
    <cellStyle name="Currency 5 4 3 2 4" xfId="15370" xr:uid="{1DDD8357-BD14-4A90-A5B6-F047397DF222}"/>
    <cellStyle name="Currency 5 4 3 2 5" xfId="30460" xr:uid="{C4BF89D7-9F8D-4225-9959-7ECED6738608}"/>
    <cellStyle name="Currency 5 4 3 3" xfId="2076" xr:uid="{00000000-0005-0000-0000-0000F4030000}"/>
    <cellStyle name="Currency 5 4 3 4" xfId="5716" xr:uid="{C626BE1A-2589-41B4-9BF0-6DAE18296A2F}"/>
    <cellStyle name="Currency 5 4 3 4 2" xfId="29762" xr:uid="{0D89A086-9FE6-4E3D-B526-1494DED2FF2F}"/>
    <cellStyle name="Currency 5 4 3 5" xfId="24141" xr:uid="{A701F4B5-A178-4B62-9F6D-3F10986EB839}"/>
    <cellStyle name="Currency 5 4 3 6" xfId="13117" xr:uid="{016BC64A-2097-4BBD-A94A-7AB945153B0D}"/>
    <cellStyle name="Currency 5 4 4" xfId="1977" xr:uid="{00000000-0005-0000-0000-0000F5030000}"/>
    <cellStyle name="Currency 5 4 4 2" xfId="4687" xr:uid="{4A9AF939-667D-426D-BF72-468498A1B299}"/>
    <cellStyle name="Currency 5 4 4 2 2" xfId="9419" xr:uid="{DCC31A4E-62FC-4BBF-B111-099F2404D1D3}"/>
    <cellStyle name="Currency 5 4 4 2 2 2" xfId="19799" xr:uid="{1A9D43C8-75CA-4A65-86DA-6C19B5A8B3C2}"/>
    <cellStyle name="Currency 5 4 4 2 3" xfId="12252" xr:uid="{A6A378A7-7F53-4A49-B81B-6D854337725F}"/>
    <cellStyle name="Currency 5 4 4 2 3 2" xfId="22632" xr:uid="{036EA76D-6C2F-4A47-BAFD-8A3C8A6EB59F}"/>
    <cellStyle name="Currency 5 4 4 2 4" xfId="26957" xr:uid="{A643EE9A-7110-41F1-BE5E-9E5F937DAD2E}"/>
    <cellStyle name="Currency 5 4 4 2 5" xfId="27890" xr:uid="{B1C1B6A2-8145-467F-BFC5-731084B68B53}"/>
    <cellStyle name="Currency 5 4 4 2 6" xfId="16966" xr:uid="{FAF55C85-0749-4872-95DC-8EF33A3C598C}"/>
    <cellStyle name="Currency 5 4 4 3" xfId="25438" xr:uid="{CA55A9C6-C83B-4E04-9403-84DCF3766DC3}"/>
    <cellStyle name="Currency 5 4 5" xfId="4143" xr:uid="{4351797D-9F35-45B9-A501-D6C8B37865AB}"/>
    <cellStyle name="Currency 5 4 5 2" xfId="8915" xr:uid="{58F36EE9-2E46-479C-9774-5A44F1F69E95}"/>
    <cellStyle name="Currency 5 4 5 2 2" xfId="29016" xr:uid="{2A89CA53-4B3E-48BB-BFC5-A31C57775E4F}"/>
    <cellStyle name="Currency 5 4 5 2 3" xfId="27421" xr:uid="{9F5A11DB-F689-4946-97CF-E74A490888DF}"/>
    <cellStyle name="Currency 5 4 5 2 4" xfId="19295" xr:uid="{8310129C-6CF4-4DC5-AFA2-A7C7B72CA879}"/>
    <cellStyle name="Currency 5 4 5 2 5" xfId="31023" xr:uid="{FA1B9D74-2E46-4D44-8B9F-96DCD9E4367B}"/>
    <cellStyle name="Currency 5 4 5 3" xfId="11748" xr:uid="{EA5370BB-422B-45AF-91B1-117312D9EF82}"/>
    <cellStyle name="Currency 5 4 5 3 2" xfId="22128" xr:uid="{4FB895CC-5250-42D6-B349-900B7EC8493D}"/>
    <cellStyle name="Currency 5 4 5 4" xfId="25808" xr:uid="{1B0D57D7-4222-41ED-906A-604F94DFF6BF}"/>
    <cellStyle name="Currency 5 4 5 5" xfId="16462" xr:uid="{89F97546-8E0D-4D87-BD1D-2D9C95D03802}"/>
    <cellStyle name="Currency 5 4 6" xfId="4978" xr:uid="{05AA86AA-B956-4C7D-A85F-E71ECC7E3D77}"/>
    <cellStyle name="Currency 5 4 6 2" xfId="27407" xr:uid="{1D6F3CF0-6FC0-4471-864E-B6327B69F8F3}"/>
    <cellStyle name="Currency 5 4 6 3" xfId="28475" xr:uid="{7FB88171-DFFE-466B-8BFD-5009AC714BDE}"/>
    <cellStyle name="Currency 5 4 6 4" xfId="14273" xr:uid="{7F2B38FB-4F6E-42CE-8FAB-D074634CBA5E}"/>
    <cellStyle name="Currency 5 4 7" xfId="6726" xr:uid="{F09D6F83-2D9D-49C9-A0DD-63FB6631CDAF}"/>
    <cellStyle name="Currency 5 4 7 2" xfId="27471" xr:uid="{3E163E22-5C8D-462B-A9C0-375C535D2B24}"/>
    <cellStyle name="Currency 5 4 7 3" xfId="26590" xr:uid="{FFE8322E-E7E0-4E1B-94B0-854A7D0E1DC2}"/>
    <cellStyle name="Currency 5 4 7 4" xfId="17106" xr:uid="{3FDF2449-9107-48F9-AB7E-CCFE792520C0}"/>
    <cellStyle name="Currency 5 4 8" xfId="9559" xr:uid="{FFB26C31-5CDB-487B-B8B5-EA32DD2E44C9}"/>
    <cellStyle name="Currency 5 4 8 2" xfId="19939" xr:uid="{5F7B9E25-5849-4F68-B7D7-0E93C280E9FF}"/>
    <cellStyle name="Currency 5 4 9" xfId="24092" xr:uid="{0C8BFE14-6BAD-41F0-B421-3FE0ED6862E4}"/>
    <cellStyle name="Currency 5 5" xfId="596" xr:uid="{00000000-0005-0000-0000-0000F6030000}"/>
    <cellStyle name="Currency 5 5 10" xfId="13636" xr:uid="{C24FF668-0F55-4C40-B058-589BF35CA821}"/>
    <cellStyle name="Currency 5 5 2" xfId="1981" xr:uid="{00000000-0005-0000-0000-0000F7030000}"/>
    <cellStyle name="Currency 5 5 2 2" xfId="25669" xr:uid="{790EC5A2-5E7E-41A1-9E04-568B7350D030}"/>
    <cellStyle name="Currency 5 5 2 2 2" xfId="29792" xr:uid="{1F4A1241-11FA-4754-B428-B23B31049367}"/>
    <cellStyle name="Currency 5 5 2 2 2 2" xfId="30906" xr:uid="{80A3C272-8E3F-47B7-88D9-24B437AF7685}"/>
    <cellStyle name="Currency 5 5 2 3" xfId="23372" xr:uid="{B1715BAC-BC59-417D-8714-CAE2DF61EF57}"/>
    <cellStyle name="Currency 5 5 2 4" xfId="30070" xr:uid="{71DD050B-1240-4EA7-9026-B2947CE56546}"/>
    <cellStyle name="Currency 5 5 3" xfId="1982" xr:uid="{00000000-0005-0000-0000-0000F8030000}"/>
    <cellStyle name="Currency 5 5 4" xfId="1980" xr:uid="{00000000-0005-0000-0000-0000F9030000}"/>
    <cellStyle name="Currency 5 5 5" xfId="4437" xr:uid="{DAAD0B37-ADB8-4F3A-B982-31942735FAA9}"/>
    <cellStyle name="Currency 5 5 5 2" xfId="9209" xr:uid="{9F8D59D1-09B3-40C2-8B8B-F268F51DD1BB}"/>
    <cellStyle name="Currency 5 5 5 2 2" xfId="19589" xr:uid="{E3D20698-26E1-4A07-B56F-F00E9B23B379}"/>
    <cellStyle name="Currency 5 5 5 2 3" xfId="31103" xr:uid="{B937916B-8AE6-4502-9C61-03713E9CBD21}"/>
    <cellStyle name="Currency 5 5 5 2 4" xfId="30905" xr:uid="{4ACA4BB3-F1EB-41B8-9D97-8BA7228130D4}"/>
    <cellStyle name="Currency 5 5 5 3" xfId="12042" xr:uid="{F5B7CD9A-2460-4120-9BDA-946B16A1F489}"/>
    <cellStyle name="Currency 5 5 5 3 2" xfId="22422" xr:uid="{49C8612A-B147-4726-9FC5-A28CE79D1144}"/>
    <cellStyle name="Currency 5 5 5 4" xfId="16756" xr:uid="{04719F41-4A62-4119-84DB-2843D9CB414A}"/>
    <cellStyle name="Currency 5 5 6" xfId="4979" xr:uid="{1AAFD49D-1AC0-435F-A1BE-BB2B4E0816E8}"/>
    <cellStyle name="Currency 5 5 6 2" xfId="14274" xr:uid="{1DB61BD0-C769-437A-BCF9-6F8208D65BA2}"/>
    <cellStyle name="Currency 5 5 7" xfId="6727" xr:uid="{76D83108-19A4-4119-B570-B4BB73744FC8}"/>
    <cellStyle name="Currency 5 5 7 2" xfId="17107" xr:uid="{3F366261-FB4D-4435-85E6-7F4A971C6329}"/>
    <cellStyle name="Currency 5 5 8" xfId="9560" xr:uid="{EE655E4D-0198-4FDF-B8D8-1829D78D95FE}"/>
    <cellStyle name="Currency 5 5 8 2" xfId="19940" xr:uid="{88DD83A9-4B72-41FF-83A9-1B6BD2B45F06}"/>
    <cellStyle name="Currency 5 5 9" xfId="24978" xr:uid="{8A0125E3-2A7B-4AD7-91C0-3A287C64D067}"/>
    <cellStyle name="Currency 5 6" xfId="1983" xr:uid="{00000000-0005-0000-0000-0000FA030000}"/>
    <cellStyle name="Currency 5 6 2" xfId="2888" xr:uid="{00000000-0005-0000-0000-0000E2020000}"/>
    <cellStyle name="Currency 5 6 2 2" xfId="8005" xr:uid="{2E193E91-A01E-474F-B187-BDECE44FC3CE}"/>
    <cellStyle name="Currency 5 6 2 2 2" xfId="28211" xr:uid="{14B6FC4E-13C6-486E-BD2F-5876CC7E56F9}"/>
    <cellStyle name="Currency 5 6 2 2 2 2" xfId="31203" xr:uid="{ABAD1DC5-D818-4810-B437-4255C3E9C2B6}"/>
    <cellStyle name="Currency 5 6 2 2 2 3" xfId="30907" xr:uid="{8826BB34-1D56-4F2D-8AA5-9443D9B05EC7}"/>
    <cellStyle name="Currency 5 6 2 2 3" xfId="25937" xr:uid="{7B1B73F0-B870-470B-B1FF-EC0D27148914}"/>
    <cellStyle name="Currency 5 6 2 2 4" xfId="18385" xr:uid="{76291567-BE7E-43A2-82AA-B861F2BCB18B}"/>
    <cellStyle name="Currency 5 6 2 3" xfId="10838" xr:uid="{8F3BAA17-2897-4FC4-B162-B95A2EF15202}"/>
    <cellStyle name="Currency 5 6 2 3 2" xfId="21218" xr:uid="{59BCAAB1-0305-4051-9B80-D7CB1593BCE7}"/>
    <cellStyle name="Currency 5 6 2 4" xfId="24078" xr:uid="{F76CEBF8-4834-40F1-A0A9-6F44D2561F5C}"/>
    <cellStyle name="Currency 5 6 2 5" xfId="15552" xr:uid="{42E59D82-A4BB-4E12-8D3B-A7ADF868AE10}"/>
    <cellStyle name="Currency 5 6 3" xfId="3691" xr:uid="{00000000-0005-0000-0000-0000FA030000}"/>
    <cellStyle name="Currency 5 6 4" xfId="5717" xr:uid="{44AFBA4B-F3DA-45E7-8031-F5B823D74560}"/>
    <cellStyle name="Currency 5 6 4 2" xfId="29772" xr:uid="{05354970-BE85-4C7B-82A1-A927A75CB5E7}"/>
    <cellStyle name="Currency 5 6 5" xfId="24383" xr:uid="{CEE84C07-4DD9-4E37-9909-5EA26BFF24D9}"/>
    <cellStyle name="Currency 5 6 6" xfId="13389" xr:uid="{FE2E4751-23A1-443E-A06D-B4B73D4BD3D1}"/>
    <cellStyle name="Currency 5 7" xfId="1984" xr:uid="{00000000-0005-0000-0000-0000FB030000}"/>
    <cellStyle name="Currency 5 7 2" xfId="2481" xr:uid="{00000000-0005-0000-0000-0000E3020000}"/>
    <cellStyle name="Currency 5 7 2 2" xfId="7606" xr:uid="{81B6ED4A-CE42-4A61-BC5D-69B84F9C950A}"/>
    <cellStyle name="Currency 5 7 2 2 2" xfId="17986" xr:uid="{EC1E4757-EBAC-4784-BD20-FAE4953C5107}"/>
    <cellStyle name="Currency 5 7 2 3" xfId="10439" xr:uid="{D96C0D71-7FB5-47A8-A8D2-DFF0C562FC28}"/>
    <cellStyle name="Currency 5 7 2 3 2" xfId="20819" xr:uid="{5704FB28-4B0F-4916-BAB8-DD4E455FE1C1}"/>
    <cellStyle name="Currency 5 7 2 4" xfId="28061" xr:uid="{176DABD7-062A-41D4-A3E9-5125FE11A5A2}"/>
    <cellStyle name="Currency 5 7 2 5" xfId="28112" xr:uid="{089B1CD4-9833-4307-A3A8-197B98A42D20}"/>
    <cellStyle name="Currency 5 7 2 6" xfId="15153" xr:uid="{E7288997-845B-4A37-A39E-CB8CA64486CE}"/>
    <cellStyle name="Currency 5 7 3" xfId="3647" xr:uid="{00000000-0005-0000-0000-0000FB030000}"/>
    <cellStyle name="Currency 5 7 4" xfId="5718" xr:uid="{D5A2B45C-A8A1-436C-867B-5602BB3F9600}"/>
    <cellStyle name="Currency 5 7 4 2" xfId="29867" xr:uid="{78EF0E7C-CE30-48B2-8566-392947B9B818}"/>
    <cellStyle name="Currency 5 7 5" xfId="25198" xr:uid="{F805B778-1D64-4E1D-8196-D016BB112E02}"/>
    <cellStyle name="Currency 5 7 6" xfId="12869" xr:uid="{0768B0B1-F2DF-46EA-BF3F-F005417F30AF}"/>
    <cellStyle name="Currency 5 8" xfId="1964" xr:uid="{00000000-0005-0000-0000-0000FC030000}"/>
    <cellStyle name="Currency 5 8 2" xfId="2175" xr:uid="{00000000-0005-0000-0000-0000CA020000}"/>
    <cellStyle name="Currency 5 8 2 2" xfId="7302" xr:uid="{2BA16162-0B6E-4C20-8A60-28E540FB236F}"/>
    <cellStyle name="Currency 5 8 2 2 2" xfId="17682" xr:uid="{2CEA732B-993F-4E49-B872-4050164EE667}"/>
    <cellStyle name="Currency 5 8 2 3" xfId="10135" xr:uid="{66F8AB2E-3877-4275-A413-CAAED56745D9}"/>
    <cellStyle name="Currency 5 8 2 3 2" xfId="20515" xr:uid="{F81159EA-7D78-4921-A44E-95C8EE2125C2}"/>
    <cellStyle name="Currency 5 8 2 4" xfId="26738" xr:uid="{6FD107C8-114F-437F-825E-FA84EED388ED}"/>
    <cellStyle name="Currency 5 8 2 5" xfId="26490" xr:uid="{D98CFA33-C3DA-4AA7-9704-EC68A6C02AD1}"/>
    <cellStyle name="Currency 5 8 2 6" xfId="14849" xr:uid="{E36A90A7-BB3D-4AB2-AD35-1E4820D63B8B}"/>
    <cellStyle name="Currency 5 8 3" xfId="3699" xr:uid="{00000000-0005-0000-0000-0000FC030000}"/>
    <cellStyle name="Currency 5 8 4" xfId="23106" xr:uid="{CBC88581-24CC-458C-88B9-2467C62CDA1B}"/>
    <cellStyle name="Currency 5 9" xfId="3890" xr:uid="{089FD322-7546-4AC5-8174-2B983C2A3FFE}"/>
    <cellStyle name="Currency 5 9 2" xfId="8722" xr:uid="{46C8EBAA-AF0F-49E2-B11D-4F23B851DDE3}"/>
    <cellStyle name="Currency 5 9 2 2" xfId="19102" xr:uid="{3CB0A62C-3199-451E-93BA-2F628417CE2F}"/>
    <cellStyle name="Currency 5 9 3" xfId="11555" xr:uid="{412B073C-4D5A-4365-8D2A-427813A664D6}"/>
    <cellStyle name="Currency 5 9 3 2" xfId="21935" xr:uid="{380DAE2D-2C25-449B-A3D6-DCB50C838165}"/>
    <cellStyle name="Currency 5 9 4" xfId="26139" xr:uid="{369AE772-9A07-4F68-A207-2E6415819356}"/>
    <cellStyle name="Currency 5 9 5" xfId="25849" xr:uid="{EBFBB05E-9A8E-4913-AC3E-CC6EB926AF5B}"/>
    <cellStyle name="Currency 5 9 6" xfId="16269" xr:uid="{0C6BF226-38BF-43C2-AEDA-7E1BF8DDD751}"/>
    <cellStyle name="Currency 6" xfId="597" xr:uid="{00000000-0005-0000-0000-0000FD030000}"/>
    <cellStyle name="Currency 6 10" xfId="9561" xr:uid="{1EA0F611-3155-48A5-8C31-EEC6CE029B84}"/>
    <cellStyle name="Currency 6 10 2" xfId="19941" xr:uid="{14666BCF-C789-4475-BFDE-8152F12E9745}"/>
    <cellStyle name="Currency 6 11" xfId="23619" xr:uid="{7664BDC0-6195-4172-9E81-37B7AE460F56}"/>
    <cellStyle name="Currency 6 12" xfId="12492" xr:uid="{D12D9897-9D11-4078-925E-AEBA1F89B9F2}"/>
    <cellStyle name="Currency 6 2" xfId="1986" xr:uid="{00000000-0005-0000-0000-0000FE030000}"/>
    <cellStyle name="Currency 6 2 2" xfId="3117" xr:uid="{00000000-0005-0000-0000-0000E6020000}"/>
    <cellStyle name="Currency 6 2 2 2" xfId="6176" xr:uid="{41933847-B37D-4CF3-B1C3-C2A3F0023F76}"/>
    <cellStyle name="Currency 6 2 2 2 2" xfId="25464" xr:uid="{C5B4FCA3-71BB-46EB-B165-796FF42A1962}"/>
    <cellStyle name="Currency 6 2 2 2 2 2" xfId="26042" xr:uid="{49327C3C-5CC5-4E00-A2C7-077FC4F6646A}"/>
    <cellStyle name="Currency 6 2 2 2 2 3" xfId="31160" xr:uid="{7174CBCE-36C5-49A4-8A6A-16D407A6799D}"/>
    <cellStyle name="Currency 6 2 2 2 3" xfId="27794" xr:uid="{F7BA3B34-2026-45D8-BC9D-A78B757B57CC}"/>
    <cellStyle name="Currency 6 2 2 2 4" xfId="15744" xr:uid="{96897134-F6B2-40EC-9D96-14782BAB8DB0}"/>
    <cellStyle name="Currency 6 2 2 3" xfId="8197" xr:uid="{935FC321-B1BF-4E0C-9691-C96009EC3645}"/>
    <cellStyle name="Currency 6 2 2 3 2" xfId="18577" xr:uid="{41DDD923-352C-4561-812D-9F1C77F6D68A}"/>
    <cellStyle name="Currency 6 2 2 4" xfId="11030" xr:uid="{12F3EE4D-909E-4E6C-BAB4-2A665E6B37D7}"/>
    <cellStyle name="Currency 6 2 2 4 2" xfId="21410" xr:uid="{B12CEDAB-C56F-4467-9B7D-62209E82D808}"/>
    <cellStyle name="Currency 6 2 2 5" xfId="24481" xr:uid="{B9ABA610-844E-4614-BED9-97A27F232E46}"/>
    <cellStyle name="Currency 6 2 2 5 2" xfId="30090" xr:uid="{0BC24850-1976-4B8D-9771-DD8AE4D32C86}"/>
    <cellStyle name="Currency 6 2 2 6" xfId="28368" xr:uid="{EBCA16AE-96D4-488D-A986-859CC7AA8139}"/>
    <cellStyle name="Currency 6 2 2 7" xfId="13638" xr:uid="{C0201F41-C9BE-43C8-A20F-53347090CEC1}"/>
    <cellStyle name="Currency 6 2 3" xfId="2703" xr:uid="{00000000-0005-0000-0000-0000E5020000}"/>
    <cellStyle name="Currency 6 2 3 2" xfId="7827" xr:uid="{F41249D0-7A9D-49D8-B97E-C71575881320}"/>
    <cellStyle name="Currency 6 2 3 2 2" xfId="27037" xr:uid="{C6DBE360-F8D9-4524-8089-2596FC9BD3A5}"/>
    <cellStyle name="Currency 6 2 3 2 3" xfId="28227" xr:uid="{D945A51B-627C-432C-82FB-D3AEB4B6BA7C}"/>
    <cellStyle name="Currency 6 2 3 2 4" xfId="18207" xr:uid="{E8D108F8-6C70-4CA6-BB20-483DC8D21A83}"/>
    <cellStyle name="Currency 6 2 3 3" xfId="10660" xr:uid="{EA5F64A1-BB6C-4133-87BA-209B1E04BE7A}"/>
    <cellStyle name="Currency 6 2 3 3 2" xfId="21040" xr:uid="{2209A6D1-CB4E-49BC-BE78-A9256B537895}"/>
    <cellStyle name="Currency 6 2 3 4" xfId="24805" xr:uid="{90B1C746-CEC8-4244-AC5B-0741602C24AB}"/>
    <cellStyle name="Currency 6 2 3 5" xfId="15374" xr:uid="{932ADFCE-F4FC-461A-828F-1AE3D6AE8352}"/>
    <cellStyle name="Currency 6 2 4" xfId="3655" xr:uid="{00000000-0005-0000-0000-0000FE030000}"/>
    <cellStyle name="Currency 6 2 4 2" xfId="28454" xr:uid="{63F8D999-7F7B-4DAE-890C-454CEE7A69B1}"/>
    <cellStyle name="Currency 6 2 4 3" xfId="25894" xr:uid="{7C3EFCC2-60A4-44AB-9B00-3C8AEB3CC08F}"/>
    <cellStyle name="Currency 6 2 5" xfId="4280" xr:uid="{0A54B1B6-D5EC-4B60-8488-8E844F69E768}"/>
    <cellStyle name="Currency 6 2 5 2" xfId="9052" xr:uid="{96D08450-67FA-427F-A700-EE2FA7C1E6D0}"/>
    <cellStyle name="Currency 6 2 5 2 2" xfId="19432" xr:uid="{8B446E14-3E80-406E-AB72-E793AB585FB6}"/>
    <cellStyle name="Currency 6 2 5 2 3" xfId="31056" xr:uid="{5A5FF8E9-866E-408A-B46E-C2931AFFF820}"/>
    <cellStyle name="Currency 6 2 5 2 4" xfId="30909" xr:uid="{BE2DD6EC-46BA-44B9-B70A-5F3A211DC23A}"/>
    <cellStyle name="Currency 6 2 5 3" xfId="11885" xr:uid="{6FED515D-769D-402D-BE61-E7E5C151CA14}"/>
    <cellStyle name="Currency 6 2 5 3 2" xfId="22265" xr:uid="{77DDBDA7-10D1-494E-853A-E3E54A80E644}"/>
    <cellStyle name="Currency 6 2 5 4" xfId="26219" xr:uid="{F88209D4-2611-4A4D-80C0-183001678291}"/>
    <cellStyle name="Currency 6 2 5 5" xfId="27666" xr:uid="{EDFDCC1C-357B-436A-9571-FC29BC349F21}"/>
    <cellStyle name="Currency 6 2 5 6" xfId="16599" xr:uid="{689D998D-21E7-44E1-B5E5-EEF577F2B970}"/>
    <cellStyle name="Currency 6 2 6" xfId="5720" xr:uid="{211A447E-EC8D-47DF-A862-D72C839427FA}"/>
    <cellStyle name="Currency 6 2 6 2" xfId="29732" xr:uid="{CA4427FA-A10B-4481-823D-5EF31B041201}"/>
    <cellStyle name="Currency 6 2 6 2 2" xfId="30998" xr:uid="{EF69C268-86AE-4EDB-AC7E-3233C401BC61}"/>
    <cellStyle name="Currency 6 2 7" xfId="24758" xr:uid="{E9123834-46AB-4CF8-ABC6-146C5D9A9E59}"/>
    <cellStyle name="Currency 6 2 8" xfId="13121" xr:uid="{AF98AD0D-47DC-446A-B679-F04EDFEFA06F}"/>
    <cellStyle name="Currency 6 2 9" xfId="29998" xr:uid="{9296D3E2-4786-402C-9F10-BE45CC94E49E}"/>
    <cellStyle name="Currency 6 3" xfId="1987" xr:uid="{00000000-0005-0000-0000-0000FF030000}"/>
    <cellStyle name="Currency 6 3 2" xfId="3118" xr:uid="{00000000-0005-0000-0000-0000E7020000}"/>
    <cellStyle name="Currency 6 3 2 2" xfId="8198" xr:uid="{A42269E5-EF6D-4546-883F-087D96D68D71}"/>
    <cellStyle name="Currency 6 3 2 2 2" xfId="28863" xr:uid="{D8DF697A-1BCE-42F1-B1E7-69818B45F003}"/>
    <cellStyle name="Currency 6 3 2 2 3" xfId="27523" xr:uid="{01BC7D5D-223E-4CAC-ACAC-DEE3D97D95FD}"/>
    <cellStyle name="Currency 6 3 2 2 4" xfId="18578" xr:uid="{BAFB95C7-D894-4254-9F23-CC8D8627E608}"/>
    <cellStyle name="Currency 6 3 2 3" xfId="11031" xr:uid="{DB002C45-3523-403B-92E9-95BAF0B84C52}"/>
    <cellStyle name="Currency 6 3 2 3 2" xfId="21411" xr:uid="{97F49ADB-395D-4F19-8B4A-AA2DD331D327}"/>
    <cellStyle name="Currency 6 3 2 4" xfId="23412" xr:uid="{331CA974-3839-4E27-88BD-C4F3536B56DC}"/>
    <cellStyle name="Currency 6 3 2 5" xfId="15745" xr:uid="{3D44AFBD-6996-4D3D-9D97-27BC1D839A73}"/>
    <cellStyle name="Currency 6 3 3" xfId="3548" xr:uid="{00000000-0005-0000-0000-0000FF030000}"/>
    <cellStyle name="Currency 6 3 4" xfId="4438" xr:uid="{ED58BECA-A716-49F3-8373-3BDA6CD396BE}"/>
    <cellStyle name="Currency 6 3 4 2" xfId="9210" xr:uid="{F7AB1362-96BC-4846-AC98-58AA61C4ADF0}"/>
    <cellStyle name="Currency 6 3 4 2 2" xfId="19590" xr:uid="{2416904C-F46A-405C-9FE3-E739BF625B09}"/>
    <cellStyle name="Currency 6 3 4 2 3" xfId="31104" xr:uid="{7343AD9B-9F62-4FE0-BEFA-F619984343F2}"/>
    <cellStyle name="Currency 6 3 4 2 4" xfId="30910" xr:uid="{B5D80BAF-81AD-475A-AFB2-441CB8F3FF0E}"/>
    <cellStyle name="Currency 6 3 4 3" xfId="12043" xr:uid="{808FC44F-BE7D-400B-865D-37EAC5AE0468}"/>
    <cellStyle name="Currency 6 3 4 3 2" xfId="22423" xr:uid="{63D3AC90-D885-4124-992E-75268A560771}"/>
    <cellStyle name="Currency 6 3 4 4" xfId="16757" xr:uid="{D834180F-68F2-40D5-B9E3-BE0B0228C591}"/>
    <cellStyle name="Currency 6 3 5" xfId="5721" xr:uid="{216E36E5-E6BE-4018-A098-F238F6D5197E}"/>
    <cellStyle name="Currency 6 3 5 2" xfId="29716" xr:uid="{00913BD0-ABC3-4764-9C14-4A1079851A3F}"/>
    <cellStyle name="Currency 6 3 6" xfId="23593" xr:uid="{816385BB-9A36-41AC-AB41-223E5D48DAF7}"/>
    <cellStyle name="Currency 6 3 7" xfId="13639" xr:uid="{F82B903B-0C41-4CDC-8103-12D78468FD01}"/>
    <cellStyle name="Currency 6 4" xfId="1985" xr:uid="{00000000-0005-0000-0000-000000040000}"/>
    <cellStyle name="Currency 6 4 2" xfId="3116" xr:uid="{00000000-0005-0000-0000-0000E8020000}"/>
    <cellStyle name="Currency 6 4 2 2" xfId="8196" xr:uid="{9CBED767-ABC8-441E-B684-E9B5EBA52657}"/>
    <cellStyle name="Currency 6 4 2 2 2" xfId="28862" xr:uid="{7C250B5E-154C-4DE5-A0CC-D6485A63AF0C}"/>
    <cellStyle name="Currency 6 4 2 2 3" xfId="27793" xr:uid="{167F707A-BFA8-4003-BC7C-34480F30AF81}"/>
    <cellStyle name="Currency 6 4 2 2 4" xfId="18576" xr:uid="{9E96AF3C-CC09-4EC3-A506-996BCEF3600D}"/>
    <cellStyle name="Currency 6 4 2 3" xfId="11029" xr:uid="{E127B122-23EA-477E-A860-ECEA5366CDB4}"/>
    <cellStyle name="Currency 6 4 2 3 2" xfId="21409" xr:uid="{132D29D2-3492-42D0-A488-324147D9FCA5}"/>
    <cellStyle name="Currency 6 4 2 4" xfId="25757" xr:uid="{765C5510-ED98-4DB0-9C6E-A26BCE9DF2E0}"/>
    <cellStyle name="Currency 6 4 2 5" xfId="15743" xr:uid="{48F901EA-C6B5-43C6-9851-A3444CE29B6A}"/>
    <cellStyle name="Currency 6 4 3" xfId="3553" xr:uid="{00000000-0005-0000-0000-000000040000}"/>
    <cellStyle name="Currency 6 4 4" xfId="5719" xr:uid="{11FA6911-EB75-43D7-84D4-A0499B2EEBBB}"/>
    <cellStyle name="Currency 6 4 4 2" xfId="29978" xr:uid="{AF218B08-8952-477D-9428-2F58BAAF89AB}"/>
    <cellStyle name="Currency 6 4 5" xfId="24860" xr:uid="{5F7FD4A1-DB18-425B-B6D1-66A6965E70C1}"/>
    <cellStyle name="Currency 6 4 6" xfId="13637" xr:uid="{6DF1BF81-40CD-468A-B241-4518F1185C6D}"/>
    <cellStyle name="Currency 6 5" xfId="2655" xr:uid="{00000000-0005-0000-0000-0000E9020000}"/>
    <cellStyle name="Currency 6 5 2" xfId="5915" xr:uid="{884454CE-9BB5-4952-A318-76C10FC2969B}"/>
    <cellStyle name="Currency 6 5 2 2" xfId="27783" xr:uid="{4FDB38CB-03AA-42FF-B207-98D7582340D6}"/>
    <cellStyle name="Currency 6 5 2 3" xfId="28532" xr:uid="{A6A2558C-E1CD-4C2B-9176-8E13D2286CC5}"/>
    <cellStyle name="Currency 6 5 2 4" xfId="15327" xr:uid="{D9FDA700-08F4-4C71-93E9-9407BC6B886E}"/>
    <cellStyle name="Currency 6 5 3" xfId="7780" xr:uid="{F2FAB7B5-F236-4DC4-B28B-3A6854E4B875}"/>
    <cellStyle name="Currency 6 5 3 2" xfId="18160" xr:uid="{0C874C31-2A39-405A-A16A-A06F88C1AC35}"/>
    <cellStyle name="Currency 6 5 4" xfId="10613" xr:uid="{CB2DA553-5D06-48A8-AB3B-AACFD3650070}"/>
    <cellStyle name="Currency 6 5 4 2" xfId="20993" xr:uid="{1403120B-21CB-46E2-9B76-9DD978DC38D4}"/>
    <cellStyle name="Currency 6 5 5" xfId="24613" xr:uid="{67F13161-25AE-4408-95FE-08905A1D8AA1}"/>
    <cellStyle name="Currency 6 5 6" xfId="13057" xr:uid="{E9754CFD-B7FF-45FA-A0ED-3474F3A0F8F5}"/>
    <cellStyle name="Currency 6 6" xfId="2260" xr:uid="{00000000-0005-0000-0000-0000E4020000}"/>
    <cellStyle name="Currency 6 6 2" xfId="7387" xr:uid="{7C3D1EAE-4B6B-474E-9444-4BA9474956D4}"/>
    <cellStyle name="Currency 6 6 2 2" xfId="17767" xr:uid="{7157F5A0-44A1-4505-AA98-97C60BBF8A9B}"/>
    <cellStyle name="Currency 6 6 3" xfId="10220" xr:uid="{2FF151E0-A286-4D71-B98D-0244C7A48819}"/>
    <cellStyle name="Currency 6 6 3 2" xfId="20600" xr:uid="{B845B794-5689-492F-9725-A7C4850136EE}"/>
    <cellStyle name="Currency 6 6 4" xfId="24753" xr:uid="{ECD448A1-191F-40A2-AC56-85EC7F255739}"/>
    <cellStyle name="Currency 6 6 5" xfId="27107" xr:uid="{E7222C6F-38D4-4265-BAD5-F6A728370D82}"/>
    <cellStyle name="Currency 6 6 6" xfId="14934" xr:uid="{9160889B-8DC8-4D98-822E-48072C4B21D1}"/>
    <cellStyle name="Currency 6 7" xfId="3879" xr:uid="{360D4F66-F527-41D6-8F24-FCC5A5565C18}"/>
    <cellStyle name="Currency 6 7 2" xfId="8711" xr:uid="{17793515-7535-4B1E-AA90-9C7F622372E0}"/>
    <cellStyle name="Currency 6 7 2 2" xfId="19091" xr:uid="{04A3C4D1-648D-45E3-9B5E-0D47174CAAE3}"/>
    <cellStyle name="Currency 6 7 2 3" xfId="31005" xr:uid="{975FE8FC-D74B-4BAB-BB02-E6313F0E9F56}"/>
    <cellStyle name="Currency 6 7 2 4" xfId="30908" xr:uid="{8B99E9DC-DF10-4D98-B2A7-FC4E44B23349}"/>
    <cellStyle name="Currency 6 7 3" xfId="11544" xr:uid="{8A54C42F-7E13-48C8-80EA-59EB08013AEF}"/>
    <cellStyle name="Currency 6 7 3 2" xfId="21924" xr:uid="{7BBA711C-00CF-466C-9E78-9C3F01AD11AB}"/>
    <cellStyle name="Currency 6 7 4" xfId="26483" xr:uid="{E34036AA-DC09-4709-8C5E-380A56D25544}"/>
    <cellStyle name="Currency 6 7 5" xfId="27947" xr:uid="{467C4526-CA73-4ED5-8981-41B423076598}"/>
    <cellStyle name="Currency 6 7 6" xfId="16258" xr:uid="{7BC8DB39-A4BD-44E8-BB49-CB6E0CA6B3C2}"/>
    <cellStyle name="Currency 6 8" xfId="4980" xr:uid="{B78EC983-8FF8-45D6-A2BE-5944B0A2127E}"/>
    <cellStyle name="Currency 6 8 2" xfId="14275" xr:uid="{457A1028-6AA1-48DA-861B-93D3474006AF}"/>
    <cellStyle name="Currency 6 9" xfId="6728" xr:uid="{FEDA079E-B119-4EF6-B8D5-5B72B9E2447A}"/>
    <cellStyle name="Currency 6 9 2" xfId="17108" xr:uid="{C5054BCD-63D8-4D93-8946-F8D687080C64}"/>
    <cellStyle name="Currency 7" xfId="2689" xr:uid="{00000000-0005-0000-0000-0000EA020000}"/>
    <cellStyle name="Currency 7 2" xfId="3119" xr:uid="{00000000-0005-0000-0000-0000EB020000}"/>
    <cellStyle name="Currency 7 2 2" xfId="6177" xr:uid="{D9E1B83A-3F24-471B-9EDA-B54E6533FE98}"/>
    <cellStyle name="Currency 7 2 2 2" xfId="24685" xr:uid="{CEFCDACB-282E-4FF9-BC48-3099B0FC7EE8}"/>
    <cellStyle name="Currency 7 2 2 2 2" xfId="26465" xr:uid="{A5B4D759-8536-4897-8E66-68106CAB1926}"/>
    <cellStyle name="Currency 7 2 2 2 3" xfId="31155" xr:uid="{A4B65126-91AD-4731-B18E-C941117B3CBF}"/>
    <cellStyle name="Currency 7 2 2 3" xfId="27289" xr:uid="{AB679207-A083-4BDA-AAF7-C356897E6C22}"/>
    <cellStyle name="Currency 7 2 2 4" xfId="15746" xr:uid="{D39065B7-B32F-45CB-83B8-87230959F43A}"/>
    <cellStyle name="Currency 7 2 3" xfId="8199" xr:uid="{3C3DEA77-9252-4CA8-95EE-509344333E7F}"/>
    <cellStyle name="Currency 7 2 3 2" xfId="28864" xr:uid="{68F4C44D-B657-416C-80FC-5D2B8078A738}"/>
    <cellStyle name="Currency 7 2 3 3" xfId="25956" xr:uid="{764CC72C-A203-49F1-83F5-21D1E1AC9C73}"/>
    <cellStyle name="Currency 7 2 3 4" xfId="18579" xr:uid="{46A679A2-A92A-43BF-8655-ACEB4DC7A7E3}"/>
    <cellStyle name="Currency 7 2 4" xfId="11032" xr:uid="{CE58C3F8-7D55-4BB5-BCAF-F941D45451FF}"/>
    <cellStyle name="Currency 7 2 4 2" xfId="21412" xr:uid="{3C7DC662-43E0-46B4-AC8B-4A2C14775DCF}"/>
    <cellStyle name="Currency 7 2 5" xfId="24754" xr:uid="{1744AF6C-B642-4038-B9F9-51CE37983E0F}"/>
    <cellStyle name="Currency 7 2 6" xfId="13640" xr:uid="{C64D0CCC-D5E4-4BBA-8D76-FCFD2937BB16}"/>
    <cellStyle name="Currency 7 2 6 2" xfId="30084" xr:uid="{A2DDCFAE-5DAF-42B0-8BC1-D233D3247146}"/>
    <cellStyle name="Currency 7 3" xfId="4271" xr:uid="{5108D09C-1E19-45C4-93DC-64048A56B178}"/>
    <cellStyle name="Currency 7 3 2" xfId="9043" xr:uid="{8F7597DB-637C-46B3-83BD-6588FA3E34D5}"/>
    <cellStyle name="Currency 7 3 2 2" xfId="29095" xr:uid="{06FC2BF0-EBD5-4CEB-9242-29A9386AB13C}"/>
    <cellStyle name="Currency 7 3 2 3" xfId="28687" xr:uid="{A3FB48B2-3692-4591-8E9F-3E16484E5530}"/>
    <cellStyle name="Currency 7 3 2 4" xfId="19423" xr:uid="{8B236A8B-DEBD-4E86-A4CE-0E6F116B28C3}"/>
    <cellStyle name="Currency 7 3 2 5" xfId="31047" xr:uid="{FF6DB03D-F4BC-4037-887B-3140CF3B8F7C}"/>
    <cellStyle name="Currency 7 3 3" xfId="11876" xr:uid="{C614D5A7-091C-4DD5-BA80-8AEEF15D9816}"/>
    <cellStyle name="Currency 7 3 3 2" xfId="22256" xr:uid="{945F5127-9043-4071-B578-DE8BFB6A1213}"/>
    <cellStyle name="Currency 7 3 4" xfId="24603" xr:uid="{3F6D4EEB-B317-43CE-93BF-EB575C97ED08}"/>
    <cellStyle name="Currency 7 3 5" xfId="16590" xr:uid="{C10B803F-9C27-4444-8090-74F8AD11404E}"/>
    <cellStyle name="Currency 7 4" xfId="5922" xr:uid="{888BDFFC-D2BF-45F4-A2B0-4399EE5C49DE}"/>
    <cellStyle name="Currency 7 4 2" xfId="25904" xr:uid="{3BF6F9AB-DC2E-447F-A41D-2567B62C22C6}"/>
    <cellStyle name="Currency 7 4 3" xfId="28062" xr:uid="{AA463E49-7A22-4909-979B-7CAF52DEDD91}"/>
    <cellStyle name="Currency 7 4 4" xfId="15360" xr:uid="{F3E089C9-EB82-4D8E-A808-DBDDFDF0CBC6}"/>
    <cellStyle name="Currency 7 5" xfId="7813" xr:uid="{6050E524-E0E1-4F67-919D-9C66FA0948FE}"/>
    <cellStyle name="Currency 7 5 2" xfId="28084" xr:uid="{A188E16C-5F3D-4633-9AD1-4AE3F6637154}"/>
    <cellStyle name="Currency 7 5 3" xfId="27117" xr:uid="{9FBEB50B-1AEB-4BCF-8344-A76646EF3686}"/>
    <cellStyle name="Currency 7 5 4" xfId="18193" xr:uid="{C204D0C8-FB98-404D-9491-702EDA690BB0}"/>
    <cellStyle name="Currency 7 6" xfId="10646" xr:uid="{6C513F88-72EA-4351-861A-D129ADD4254E}"/>
    <cellStyle name="Currency 7 6 2" xfId="21026" xr:uid="{FEDA0071-305A-4ED3-9BCA-BD38BD64DF1D}"/>
    <cellStyle name="Currency 7 7" xfId="23842" xr:uid="{18EA0297-8161-4A87-A071-53E82500C750}"/>
    <cellStyle name="Currency 7 8" xfId="24056" xr:uid="{D9559532-AA1D-410A-986C-78FAAC4D8BA3}"/>
    <cellStyle name="Currency 7 8 2" xfId="29985" xr:uid="{38CCC4F8-3A05-4E8F-A88E-F9A4A5382814}"/>
    <cellStyle name="Currency 7 9" xfId="13102" xr:uid="{30FB82D5-F473-4E05-BB1D-109AEF4101FC}"/>
    <cellStyle name="Currency 8" xfId="4935" xr:uid="{F197CEBD-2C5D-4CBF-9D96-43D31DB105BC}"/>
    <cellStyle name="Currency 8 2" xfId="25602" xr:uid="{0A3EC9D9-FE1A-46FC-829B-E8E11294A4C2}"/>
    <cellStyle name="Currency 8 3" xfId="14227" xr:uid="{12253B7A-9A70-4C29-8C8E-F200B7DAA98B}"/>
    <cellStyle name="Currency 8 4" xfId="30930" xr:uid="{D45966F1-6C24-42C2-8D71-F9FB2965BA9E}"/>
    <cellStyle name="Currency 9" xfId="6680" xr:uid="{92AD7E56-FF09-4440-B173-1094A71FB0D3}"/>
    <cellStyle name="Currency 9 2" xfId="17060" xr:uid="{0C41D9B8-0642-4B4B-B1BC-B3A2DB898A07}"/>
    <cellStyle name="Emphasis 1" xfId="598" xr:uid="{00000000-0005-0000-0000-000001040000}"/>
    <cellStyle name="Emphasis 2" xfId="599" xr:uid="{00000000-0005-0000-0000-000002040000}"/>
    <cellStyle name="Emphasis 3" xfId="600" xr:uid="{00000000-0005-0000-0000-000003040000}"/>
    <cellStyle name="Explanatory Text" xfId="29486" builtinId="53" customBuiltin="1"/>
    <cellStyle name="Explanatory Text 2" xfId="29553" xr:uid="{B4576BC8-55D4-46C7-856A-8A52C91891FA}"/>
    <cellStyle name="FundHeaderRowCol.*" xfId="12314" xr:uid="{30107591-BA76-4D19-A887-3FEAE1650577}"/>
    <cellStyle name="FundHeaderRowCol.1" xfId="12315" xr:uid="{00EFF92D-2F4D-4486-B652-96404B414C85}"/>
    <cellStyle name="FundHeaderRowCol.2" xfId="12316" xr:uid="{69018372-DFBE-43C7-B42A-CF4B4A9EA553}"/>
    <cellStyle name="FundSectionHeaderRowDescCol" xfId="12317" xr:uid="{8BD053DD-2230-48D8-AC57-44B3DE83240D}"/>
    <cellStyle name="FundSectionHeaderRowJERefCol" xfId="12318" xr:uid="{8CE873D4-FF14-4149-A394-6FF189B8DF37}"/>
    <cellStyle name="FundSectionHeaderRowNameCol" xfId="12319" xr:uid="{AF61B6DD-8826-4CF0-90CF-282A2B921CC6}"/>
    <cellStyle name="Good" xfId="4831" builtinId="26" customBuiltin="1"/>
    <cellStyle name="Good 2" xfId="601" xr:uid="{00000000-0005-0000-0000-000004040000}"/>
    <cellStyle name="Good 3" xfId="602" xr:uid="{00000000-0005-0000-0000-000005040000}"/>
    <cellStyle name="Good 4" xfId="29554" xr:uid="{73D04EFA-6288-4DE1-AC60-080AD9DDB73A}"/>
    <cellStyle name="GroupSectionHeaderRowBalance" xfId="12320" xr:uid="{DA166E2E-B504-4B9A-8852-CD4BEAFC2AAE}"/>
    <cellStyle name="GroupSectionHeaderRowDescCol" xfId="12321" xr:uid="{09A65350-37C6-483C-9076-B9B9EE9DB424}"/>
    <cellStyle name="GroupSectionHeaderRowNameCol" xfId="12322" xr:uid="{48CEC677-4043-42C1-A934-4F76033302EF}"/>
    <cellStyle name="GroupSelectionHeaderRowJERefCol" xfId="12323" xr:uid="{94232F09-04F3-4E6D-B7DB-04F59E9CD5DE}"/>
    <cellStyle name="Heading 1" xfId="4827" builtinId="16" customBuiltin="1"/>
    <cellStyle name="Heading 1 2" xfId="603" xr:uid="{00000000-0005-0000-0000-000006040000}"/>
    <cellStyle name="Heading 1 3" xfId="604" xr:uid="{00000000-0005-0000-0000-000007040000}"/>
    <cellStyle name="Heading 1 4" xfId="29555" xr:uid="{CA4BF050-0BB8-4C07-AB32-EEDEC7DE8D02}"/>
    <cellStyle name="Heading 2" xfId="4828" builtinId="17" customBuiltin="1"/>
    <cellStyle name="Heading 2 2" xfId="605" xr:uid="{00000000-0005-0000-0000-000008040000}"/>
    <cellStyle name="Heading 2 3" xfId="606" xr:uid="{00000000-0005-0000-0000-000009040000}"/>
    <cellStyle name="Heading 2 4" xfId="29556" xr:uid="{C46319D0-77EB-4CD4-930D-A0782678B5C8}"/>
    <cellStyle name="Heading 3" xfId="4829" builtinId="18" customBuiltin="1"/>
    <cellStyle name="Heading 3 2" xfId="607" xr:uid="{00000000-0005-0000-0000-00000A040000}"/>
    <cellStyle name="Heading 3 2 2" xfId="29557" xr:uid="{34280CFD-9731-497F-BC7D-6606D1BE1D50}"/>
    <cellStyle name="Heading 3 3" xfId="608" xr:uid="{00000000-0005-0000-0000-00000B040000}"/>
    <cellStyle name="Heading 3 3 2" xfId="29558" xr:uid="{7F9170D1-699D-48ED-ACD3-2207BA3A3A38}"/>
    <cellStyle name="Heading 3 4" xfId="29559" xr:uid="{32EE2CF5-75CA-4329-B9DB-F327B55E31FB}"/>
    <cellStyle name="Heading 4" xfId="4830" builtinId="19" customBuiltin="1"/>
    <cellStyle name="Heading 4 2" xfId="609" xr:uid="{00000000-0005-0000-0000-00000C040000}"/>
    <cellStyle name="Heading 4 3" xfId="610" xr:uid="{00000000-0005-0000-0000-00000D040000}"/>
    <cellStyle name="Heading 4 4" xfId="29560" xr:uid="{26CF4506-3C0C-4149-82F5-67DE7222738E}"/>
    <cellStyle name="Hyperlink" xfId="611" builtinId="8"/>
    <cellStyle name="Hyperlink 2" xfId="612" xr:uid="{00000000-0005-0000-0000-00000F040000}"/>
    <cellStyle name="Hyperlink 2 2" xfId="29596" xr:uid="{AFC0C00D-F11C-4445-A195-9C58C7F6F9AF}"/>
    <cellStyle name="Hyperlink 3" xfId="613" xr:uid="{00000000-0005-0000-0000-000010040000}"/>
    <cellStyle name="Hyperlink 4" xfId="614" xr:uid="{00000000-0005-0000-0000-000011040000}"/>
    <cellStyle name="Hyperlink 5" xfId="29597" xr:uid="{53BF9B33-031B-4A47-A462-794552C5F5C4}"/>
    <cellStyle name="Input" xfId="4833" builtinId="20" customBuiltin="1"/>
    <cellStyle name="Input 2" xfId="615" xr:uid="{00000000-0005-0000-0000-000012040000}"/>
    <cellStyle name="Input 3" xfId="616" xr:uid="{00000000-0005-0000-0000-000013040000}"/>
    <cellStyle name="Input 4" xfId="29561" xr:uid="{C0B9884E-84BA-41A6-ADBA-85A7A4A4B29C}"/>
    <cellStyle name="JEDescriptionRowNameCol" xfId="12324" xr:uid="{D7AC7BB0-9688-456A-B8D3-FA09DD0137F5}"/>
    <cellStyle name="JEDetailRowCreditCol" xfId="12325" xr:uid="{2B66B052-A8A2-4315-8820-BA95C9FC0D86}"/>
    <cellStyle name="JEDetailRowDebitCol" xfId="12326" xr:uid="{BA43A963-4B13-4778-AB36-88E6086C035F}"/>
    <cellStyle name="JEDetailRowDescCol" xfId="12327" xr:uid="{866EA52A-1467-4A66-8C56-CBBB989288FF}"/>
    <cellStyle name="JEDetailRowNameCol" xfId="12328" xr:uid="{D5EDB40B-5B17-40F4-BA94-A5C2FF9895DF}"/>
    <cellStyle name="JEDetailRowWPRefCol" xfId="12329" xr:uid="{388908A3-E726-44B7-A73F-A3C06954DF15}"/>
    <cellStyle name="JEIdentityRowDescCol" xfId="12330" xr:uid="{825B0865-A30D-4C62-8B41-AA14FFCCB4D4}"/>
    <cellStyle name="JEIdentityRowNameCol" xfId="12331" xr:uid="{A0A88C57-EFB6-4680-B416-FABA545BB0F9}"/>
    <cellStyle name="JEIdentityRowWPRefCol" xfId="12332" xr:uid="{AA8FCA78-A35F-435A-9773-AE7D5DFEB05A}"/>
    <cellStyle name="JETotalRowCreditCol" xfId="12333" xr:uid="{CBC2F19F-9212-4A47-B1E9-F8CBBFEB30BF}"/>
    <cellStyle name="JETotalRowDebitCol" xfId="12334" xr:uid="{86004B0D-F111-43BD-91D6-74F17F1148B0}"/>
    <cellStyle name="JETotalRowDescCol" xfId="12335" xr:uid="{E60B60DE-39B9-4650-86A4-D2C09E6902FC}"/>
    <cellStyle name="JETotalRowNameCol" xfId="12336" xr:uid="{054CE1E2-C09D-4C50-B388-27AA302258ED}"/>
    <cellStyle name="JETotalRowWPRefCol" xfId="12337" xr:uid="{61C2FCFF-EC42-4DF3-8C13-5AD2D79709C0}"/>
    <cellStyle name="JETypeDescriptionRowDescCol" xfId="12338" xr:uid="{8065F69E-3861-45A6-A349-5CFDE18A5F97}"/>
    <cellStyle name="JETypeDescriptionRowNameCol" xfId="12339" xr:uid="{52E08EE2-90C8-4506-BF47-147EE565D429}"/>
    <cellStyle name="Linked Cell" xfId="4836" builtinId="24" customBuiltin="1"/>
    <cellStyle name="Linked Cell 2" xfId="617" xr:uid="{00000000-0005-0000-0000-000014040000}"/>
    <cellStyle name="Linked Cell 3" xfId="618" xr:uid="{00000000-0005-0000-0000-000015040000}"/>
    <cellStyle name="Linked Cell 4" xfId="29562" xr:uid="{8B4B6641-0453-4E55-B892-08C524C0A5B2}"/>
    <cellStyle name="NetIncomeLossRowBalance" xfId="12340" xr:uid="{1433FCB7-B0C9-4DF0-B9B6-271B460A2FE0}"/>
    <cellStyle name="NetIncomeLossRowDescCol" xfId="12341" xr:uid="{597C11A1-FC41-41D2-B06D-C46DAEDC1B38}"/>
    <cellStyle name="NetIncomeLossRowJERefCol" xfId="12342" xr:uid="{63E13319-5232-4EEA-94AD-7E617E4FE709}"/>
    <cellStyle name="NetIncomeLossRowNameCol" xfId="12343" xr:uid="{FBC05D99-2A3C-4D44-8907-1C72E5EF1406}"/>
    <cellStyle name="NetIncomeLossRowVarPectCol" xfId="12344" xr:uid="{34E3AE3A-34B2-4329-B9E3-10C568F30822}"/>
    <cellStyle name="NetIncomeLossRowWPRefCol" xfId="12345" xr:uid="{0373C2AB-7463-4889-B6F1-C9B138613C3F}"/>
    <cellStyle name="Neutral 2" xfId="619" xr:uid="{00000000-0005-0000-0000-000016040000}"/>
    <cellStyle name="Neutral 3" xfId="620" xr:uid="{00000000-0005-0000-0000-000017040000}"/>
    <cellStyle name="Neutral 4" xfId="12254" xr:uid="{C7790D3F-7D01-4B5C-A199-EBC5EBD75914}"/>
    <cellStyle name="Neutral 4 2" xfId="29563" xr:uid="{428E148C-FAA0-4622-BE5C-127270522EA8}"/>
    <cellStyle name="Normal" xfId="0" builtinId="0"/>
    <cellStyle name="Normal 10" xfId="621" xr:uid="{00000000-0005-0000-0000-000019040000}"/>
    <cellStyle name="Normal 10 10" xfId="622" xr:uid="{00000000-0005-0000-0000-00001A040000}"/>
    <cellStyle name="Normal 10 10 2" xfId="3120" xr:uid="{00000000-0005-0000-0000-000005030000}"/>
    <cellStyle name="Normal 10 10 2 2" xfId="6178" xr:uid="{A48A6148-8147-4125-A12B-D8297B0DC6CE}"/>
    <cellStyle name="Normal 10 10 2 2 2" xfId="25732" xr:uid="{B93DA6C7-7B79-4108-B9B5-B8A81754163B}"/>
    <cellStyle name="Normal 10 10 2 2 3" xfId="26658" xr:uid="{3251EC09-E98D-432F-9FC1-719234C11B5F}"/>
    <cellStyle name="Normal 10 10 2 2 4" xfId="15747" xr:uid="{2CD1E5DE-C9FF-4874-8003-89ED02E976BC}"/>
    <cellStyle name="Normal 10 10 2 3" xfId="8200" xr:uid="{1E044D6B-77A0-49E0-8B6C-5F8F91E4792D}"/>
    <cellStyle name="Normal 10 10 2 3 2" xfId="28865" xr:uid="{F1BD571F-1560-49E1-8425-9B4799EE4C95}"/>
    <cellStyle name="Normal 10 10 2 3 3" xfId="18580" xr:uid="{C1410412-EC63-425F-8309-06C9FBE86E43}"/>
    <cellStyle name="Normal 10 10 2 4" xfId="11033" xr:uid="{5BA87819-5ABC-4ED4-AEBE-8E4FF6B09B7D}"/>
    <cellStyle name="Normal 10 10 2 4 2" xfId="21413" xr:uid="{1F718540-6159-4DED-BADE-5D719579F358}"/>
    <cellStyle name="Normal 10 10 2 5" xfId="23359" xr:uid="{A2F437CA-096E-4AD7-ABF2-8FC71022E231}"/>
    <cellStyle name="Normal 10 10 2 6" xfId="13641" xr:uid="{A8B787A3-15CD-49C8-88EB-15F04FD33F37}"/>
    <cellStyle name="Normal 10 10 3" xfId="2859" xr:uid="{00000000-0005-0000-0000-000006030000}"/>
    <cellStyle name="Normal 10 10 3 2" xfId="6072" xr:uid="{04870463-D7A8-44C0-B512-4B2CCF31F619}"/>
    <cellStyle name="Normal 10 10 3 2 2" xfId="28552" xr:uid="{0AD1D515-099A-47C0-BF64-E4C2E245900B}"/>
    <cellStyle name="Normal 10 10 3 2 3" xfId="15528" xr:uid="{C4E869DD-5012-4D41-AFFC-13C01508893B}"/>
    <cellStyle name="Normal 10 10 3 3" xfId="7981" xr:uid="{03B7D17F-8189-4ACE-923B-BDA665E25C79}"/>
    <cellStyle name="Normal 10 10 3 3 2" xfId="18361" xr:uid="{9C417B3D-0AD0-4992-A722-66D546994356}"/>
    <cellStyle name="Normal 10 10 3 4" xfId="10814" xr:uid="{3689B4B7-D4D3-4C10-9185-0F3DB2326800}"/>
    <cellStyle name="Normal 10 10 3 4 2" xfId="21194" xr:uid="{19B5D9BC-9C95-4340-ADA3-A7B5FA429E57}"/>
    <cellStyle name="Normal 10 10 3 5" xfId="25371" xr:uid="{2F619995-6181-409A-ADB1-EC322F973720}"/>
    <cellStyle name="Normal 10 10 3 6" xfId="13348" xr:uid="{586F1DD7-06A8-47EA-861F-D9CA85A788C6}"/>
    <cellStyle name="Normal 10 10 4" xfId="4145" xr:uid="{E80EB3A7-2CB6-4571-B043-917518450B51}"/>
    <cellStyle name="Normal 10 10 4 2" xfId="8917" xr:uid="{6EF97CAD-3298-4E65-98A6-6064F4C57182}"/>
    <cellStyle name="Normal 10 10 4 2 2" xfId="29018" xr:uid="{417C58D3-9799-4D46-9F6E-85B0D5026EAA}"/>
    <cellStyle name="Normal 10 10 4 2 3" xfId="19297" xr:uid="{0F9E426B-F47A-45A8-908C-E03D1FBEF688}"/>
    <cellStyle name="Normal 10 10 4 3" xfId="11750" xr:uid="{FD8848E4-23E2-4675-A872-E92E6F18DEB4}"/>
    <cellStyle name="Normal 10 10 4 3 2" xfId="22130" xr:uid="{50D26883-7F62-478C-AC5A-4239A024C1CD}"/>
    <cellStyle name="Normal 10 10 4 4" xfId="26285" xr:uid="{09455926-8F40-4E56-AA80-029CE8CB3D13}"/>
    <cellStyle name="Normal 10 10 4 5" xfId="16464" xr:uid="{A1987070-EC4A-44EF-A443-F203EA91973B}"/>
    <cellStyle name="Normal 10 10 5" xfId="4982" xr:uid="{E753EFC7-DAAA-43D3-B599-9A8598387912}"/>
    <cellStyle name="Normal 10 10 5 2" xfId="27336" xr:uid="{00F6F234-CF51-4305-9F2C-ADABAAABFC62}"/>
    <cellStyle name="Normal 10 10 5 3" xfId="14277" xr:uid="{45C443CD-DFC3-4F30-AF6B-047E441B48B0}"/>
    <cellStyle name="Normal 10 10 6" xfId="6730" xr:uid="{F769CB9A-5118-40B8-BFE1-BA45F45B3866}"/>
    <cellStyle name="Normal 10 10 6 2" xfId="17110" xr:uid="{96160406-AA55-4F3A-89A2-A36B462387BC}"/>
    <cellStyle name="Normal 10 10 7" xfId="9563" xr:uid="{8CE60302-7137-4977-ACE2-0CB0D21166D4}"/>
    <cellStyle name="Normal 10 10 7 2" xfId="19943" xr:uid="{BD059445-37A6-42A9-BBB6-2958E62DD1D8}"/>
    <cellStyle name="Normal 10 10 8" xfId="22899" xr:uid="{E2F28D9D-80D1-4AA1-950E-7F88298C357A}"/>
    <cellStyle name="Normal 10 10 9" xfId="12693" xr:uid="{BF623A86-DEA6-43D7-A8DF-075214355472}"/>
    <cellStyle name="Normal 10 11" xfId="623" xr:uid="{00000000-0005-0000-0000-00001B040000}"/>
    <cellStyle name="Normal 10 11 2" xfId="4983" xr:uid="{4A05A02C-96FD-4D1C-B9EA-2D237A2C3E1A}"/>
    <cellStyle name="Normal 10 11 2 2" xfId="24792" xr:uid="{80136C4F-516F-4571-8124-CA54C4A0D6E6}"/>
    <cellStyle name="Normal 10 11 2 3" xfId="27940" xr:uid="{6CA6B494-D6D1-42DD-8636-F29BE1730242}"/>
    <cellStyle name="Normal 10 11 2 4" xfId="14278" xr:uid="{7EA7914E-1DFE-465B-A512-FB4CB6AD8339}"/>
    <cellStyle name="Normal 10 11 3" xfId="6731" xr:uid="{972F9648-428D-46F0-ADB4-CF0E092FA608}"/>
    <cellStyle name="Normal 10 11 3 2" xfId="26905" xr:uid="{06042D5C-60F2-4660-9E2E-27D032A92803}"/>
    <cellStyle name="Normal 10 11 3 3" xfId="17111" xr:uid="{60BFD8D1-729B-455C-805A-FC03EBE5BF80}"/>
    <cellStyle name="Normal 10 11 4" xfId="9564" xr:uid="{EF0D317D-E54A-4A22-A8F7-62430034A042}"/>
    <cellStyle name="Normal 10 11 4 2" xfId="19944" xr:uid="{6040C0D3-6DF1-43CD-A964-89078F3349CF}"/>
    <cellStyle name="Normal 10 11 5" xfId="24545" xr:uid="{A8967592-2218-41C3-B75C-802374552DA4}"/>
    <cellStyle name="Normal 10 11 6" xfId="13391" xr:uid="{EAA21CE2-9C63-4B7D-A2A9-38AA0689EBAD}"/>
    <cellStyle name="Normal 10 11 7" xfId="31254" xr:uid="{28E00C5A-101C-4D57-87F3-FFA1BE1BED88}"/>
    <cellStyle name="Normal 10 12" xfId="624" xr:uid="{00000000-0005-0000-0000-00001C040000}"/>
    <cellStyle name="Normal 10 12 2" xfId="4984" xr:uid="{81C5B629-06FA-4C73-953D-3DE3B667ECA5}"/>
    <cellStyle name="Normal 10 12 2 2" xfId="28684" xr:uid="{70D88F76-2598-4C16-8EE5-C3E673473E1F}"/>
    <cellStyle name="Normal 10 12 2 3" xfId="14279" xr:uid="{89C68C09-9400-4D3A-AAB7-DA5D79F33409}"/>
    <cellStyle name="Normal 10 12 3" xfId="6732" xr:uid="{57ACEA7E-EF16-4D67-A33B-4FF3DC7A1D93}"/>
    <cellStyle name="Normal 10 12 3 2" xfId="17112" xr:uid="{D1ABC6DD-7170-43EB-B1CB-741E1C0DD98A}"/>
    <cellStyle name="Normal 10 12 4" xfId="9565" xr:uid="{87002A86-8D06-487A-AC53-CE9ED5BA9106}"/>
    <cellStyle name="Normal 10 12 4 2" xfId="19945" xr:uid="{BFDDF5AC-6A3D-4842-8E39-CF390305EE0E}"/>
    <cellStyle name="Normal 10 12 5" xfId="25344" xr:uid="{79FBB3CA-C3EC-4A74-86B1-41F1BED65901}"/>
    <cellStyle name="Normal 10 12 6" xfId="12830" xr:uid="{7D54B555-AEC5-4C97-9972-9E98BAF09667}"/>
    <cellStyle name="Normal 10 13" xfId="2173" xr:uid="{00000000-0005-0000-0000-000003030000}"/>
    <cellStyle name="Normal 10 13 2" xfId="7300" xr:uid="{7471D1E5-75EE-4ED7-BD7F-6DF83D0E9EB3}"/>
    <cellStyle name="Normal 10 13 2 2" xfId="26230" xr:uid="{FE4CFAEE-5A24-4CA5-9A6F-D15D149AEF8B}"/>
    <cellStyle name="Normal 10 13 2 3" xfId="17680" xr:uid="{C8E76887-BB42-4116-AB46-494CEC4EA311}"/>
    <cellStyle name="Normal 10 13 3" xfId="10133" xr:uid="{8CC65BA9-FB64-4FED-8E5E-40F54B9077A2}"/>
    <cellStyle name="Normal 10 13 3 2" xfId="20513" xr:uid="{DB027F51-F73F-4F34-AED5-42AF3848CBC3}"/>
    <cellStyle name="Normal 10 13 4" xfId="24627" xr:uid="{BA4460E7-40E0-4E0D-AA35-A58B189F0726}"/>
    <cellStyle name="Normal 10 13 5" xfId="14847" xr:uid="{37C09BCD-6E46-4E63-AABA-545A983990B3}"/>
    <cellStyle name="Normal 10 14" xfId="3904" xr:uid="{7725DFF7-5497-4F7F-AD85-E7F55E85149E}"/>
    <cellStyle name="Normal 10 14 2" xfId="8736" xr:uid="{D3261DEB-D026-4F7B-8A63-7BD33965FEFC}"/>
    <cellStyle name="Normal 10 14 2 2" xfId="19116" xr:uid="{380C6917-A8A9-4DB7-9E0B-B3881FEAE402}"/>
    <cellStyle name="Normal 10 14 3" xfId="11569" xr:uid="{301B0EC4-1920-4FE8-9DAB-CDC888ED9AD6}"/>
    <cellStyle name="Normal 10 14 3 2" xfId="21949" xr:uid="{8007155B-0D73-4E13-85BF-1868E391322A}"/>
    <cellStyle name="Normal 10 14 4" xfId="24489" xr:uid="{DD5DDC51-8259-4362-8BB5-3571609555BA}"/>
    <cellStyle name="Normal 10 14 5" xfId="16283" xr:uid="{5334FDBE-99E4-43B0-9536-0E4983E9CFFC}"/>
    <cellStyle name="Normal 10 15" xfId="4981" xr:uid="{7CC6FFB8-54FD-4DB8-994D-5373C639D597}"/>
    <cellStyle name="Normal 10 15 2" xfId="14276" xr:uid="{9D18A003-1AFB-4E00-826E-418CD25DC677}"/>
    <cellStyle name="Normal 10 16" xfId="6729" xr:uid="{9F24BD89-D286-4571-8C43-0DA4709BB7A6}"/>
    <cellStyle name="Normal 10 16 2" xfId="17109" xr:uid="{4D7CE34E-C0EB-4B47-B925-99E2328FCD47}"/>
    <cellStyle name="Normal 10 17" xfId="9562" xr:uid="{1F5857E8-0180-43B6-A67A-D8A50D53EE2D}"/>
    <cellStyle name="Normal 10 17 2" xfId="19942" xr:uid="{28EA8336-B58D-4001-97E1-1918AD18C978}"/>
    <cellStyle name="Normal 10 18" xfId="22965" xr:uid="{742F234D-82A3-42A6-B583-194E4A5AFD22}"/>
    <cellStyle name="Normal 10 19" xfId="12405" xr:uid="{F5251D3C-5E86-4A72-9FC4-354A3A96E2D8}"/>
    <cellStyle name="Normal 10 2" xfId="625" xr:uid="{00000000-0005-0000-0000-00001D040000}"/>
    <cellStyle name="Normal 10 2 10" xfId="4985" xr:uid="{AF9C9F13-AE12-416F-AE40-EC642CC2467C}"/>
    <cellStyle name="Normal 10 2 10 2" xfId="14280" xr:uid="{854A259B-B3C1-41B4-AF59-D6117453A646}"/>
    <cellStyle name="Normal 10 2 11" xfId="6733" xr:uid="{F38BD8C0-9421-42A1-8328-B5BC33C98FA2}"/>
    <cellStyle name="Normal 10 2 11 2" xfId="17113" xr:uid="{8E9DC401-4643-4F67-B21F-7F04CAF49562}"/>
    <cellStyle name="Normal 10 2 12" xfId="9566" xr:uid="{54731853-DF17-4F3C-8343-C979F78B6C83}"/>
    <cellStyle name="Normal 10 2 12 2" xfId="19946" xr:uid="{40651727-1308-4000-9898-92BFF5BA47AB}"/>
    <cellStyle name="Normal 10 2 13" xfId="22653" xr:uid="{7651A22B-3469-4C2B-915E-B0399D89FE02}"/>
    <cellStyle name="Normal 10 2 14" xfId="12428" xr:uid="{0FAB5A96-8730-4777-B641-7813F9F03870}"/>
    <cellStyle name="Normal 10 2 2" xfId="626" xr:uid="{00000000-0005-0000-0000-00001E040000}"/>
    <cellStyle name="Normal 10 2 2 10" xfId="6734" xr:uid="{5DEEFE5E-DCB4-4FB8-B9D0-9F375FA6CE18}"/>
    <cellStyle name="Normal 10 2 2 10 2" xfId="17114" xr:uid="{6B3362CF-1EAE-44AD-8E7C-6F8884070197}"/>
    <cellStyle name="Normal 10 2 2 11" xfId="9567" xr:uid="{C5321B08-B5F0-4349-9FC9-DE9D93B783A2}"/>
    <cellStyle name="Normal 10 2 2 11 2" xfId="19947" xr:uid="{BD78E8AA-A088-4DFF-8DB9-13392B6FBD50}"/>
    <cellStyle name="Normal 10 2 2 12" xfId="23869" xr:uid="{D7019344-E4F0-4EAD-A39E-0177C41E3B6B}"/>
    <cellStyle name="Normal 10 2 2 13" xfId="12488" xr:uid="{C372DA4C-48CA-4BB5-B2ED-2CF5B05C7D9B}"/>
    <cellStyle name="Normal 10 2 2 2" xfId="627" xr:uid="{00000000-0005-0000-0000-00001F040000}"/>
    <cellStyle name="Normal 10 2 2 2 10" xfId="13053" xr:uid="{D22D6458-D1DC-4AF5-8DFD-A093A36FDE01}"/>
    <cellStyle name="Normal 10 2 2 2 2" xfId="628" xr:uid="{00000000-0005-0000-0000-000020040000}"/>
    <cellStyle name="Normal 10 2 2 2 2 2" xfId="3123" xr:uid="{00000000-0005-0000-0000-00000D030000}"/>
    <cellStyle name="Normal 10 2 2 2 2 2 2" xfId="6181" xr:uid="{8892C1C8-BA0C-49CC-998F-780716EF93FA}"/>
    <cellStyle name="Normal 10 2 2 2 2 2 2 2" xfId="23345" xr:uid="{7DD4C7C2-B7B8-4A07-A0CB-863E7FD205F2}"/>
    <cellStyle name="Normal 10 2 2 2 2 2 2 3" xfId="15750" xr:uid="{04E6806C-7482-4417-8D92-21640E43690F}"/>
    <cellStyle name="Normal 10 2 2 2 2 2 3" xfId="8203" xr:uid="{CE95F44B-0481-40F9-81DF-031D79118290}"/>
    <cellStyle name="Normal 10 2 2 2 2 2 3 2" xfId="18583" xr:uid="{FB00175E-8C54-4F49-A0C0-F63484131B1D}"/>
    <cellStyle name="Normal 10 2 2 2 2 2 4" xfId="11036" xr:uid="{174873F6-C547-4786-A0B5-95F1612AD408}"/>
    <cellStyle name="Normal 10 2 2 2 2 2 4 2" xfId="21416" xr:uid="{BC9E8C52-4E9E-4F82-BC19-DEE42A19635E}"/>
    <cellStyle name="Normal 10 2 2 2 2 2 5" xfId="24510" xr:uid="{BD0491B1-769E-4376-BB95-956B81D9FAFD}"/>
    <cellStyle name="Normal 10 2 2 2 2 2 6" xfId="13644" xr:uid="{901212EF-41CF-4F24-8CB8-0D1DDE0AC254}"/>
    <cellStyle name="Normal 10 2 2 2 2 3" xfId="4282" xr:uid="{ACAE5F72-B919-4576-BC83-C3FD833AB1D4}"/>
    <cellStyle name="Normal 10 2 2 2 2 3 2" xfId="9054" xr:uid="{3AAA8962-D937-47D1-9A1D-B77E1ED0C51B}"/>
    <cellStyle name="Normal 10 2 2 2 2 3 2 2" xfId="29097" xr:uid="{979D5129-1C24-480B-A486-28EFA77CBE6D}"/>
    <cellStyle name="Normal 10 2 2 2 2 3 2 3" xfId="19434" xr:uid="{8602EA7C-0304-44EA-9F5F-2C6CBBB27DCE}"/>
    <cellStyle name="Normal 10 2 2 2 2 3 3" xfId="11887" xr:uid="{5FD814A5-9474-41D9-B7E0-A872F7B57471}"/>
    <cellStyle name="Normal 10 2 2 2 2 3 3 2" xfId="22267" xr:uid="{62E22EB4-6F34-4C11-A610-E66C71AAB67C}"/>
    <cellStyle name="Normal 10 2 2 2 2 3 4" xfId="24520" xr:uid="{C870E03D-2651-4024-82C9-F9C038A7E458}"/>
    <cellStyle name="Normal 10 2 2 2 2 3 5" xfId="16601" xr:uid="{D410EB35-9C13-475F-B509-4399F7E15C5F}"/>
    <cellStyle name="Normal 10 2 2 2 2 4" xfId="4988" xr:uid="{33657853-CCCE-4302-B0EA-6563BF685939}"/>
    <cellStyle name="Normal 10 2 2 2 2 4 2" xfId="26222" xr:uid="{E63D3BC4-CAE8-4CA8-B9EF-663319E45499}"/>
    <cellStyle name="Normal 10 2 2 2 2 4 3" xfId="14283" xr:uid="{2E27CB9C-65EF-432E-BC69-EC5871C28694}"/>
    <cellStyle name="Normal 10 2 2 2 2 5" xfId="6736" xr:uid="{18B0B3AE-F00C-44A4-A0BB-D96BC596D169}"/>
    <cellStyle name="Normal 10 2 2 2 2 5 2" xfId="17116" xr:uid="{43ED36AD-FE12-4253-9FDB-568A257CFF1C}"/>
    <cellStyle name="Normal 10 2 2 2 2 6" xfId="9569" xr:uid="{D6EF9651-6789-4D71-98F0-25F6733E9671}"/>
    <cellStyle name="Normal 10 2 2 2 2 6 2" xfId="19949" xr:uid="{215801CB-DDFC-4481-A3A3-2CEE6AD78369}"/>
    <cellStyle name="Normal 10 2 2 2 2 7" xfId="24124" xr:uid="{B5C766AC-D80E-4C99-BD59-6B9CA2AA78CC}"/>
    <cellStyle name="Normal 10 2 2 2 2 8" xfId="13125" xr:uid="{529951AB-5337-4B58-AF34-28E627BFA22D}"/>
    <cellStyle name="Normal 10 2 2 2 3" xfId="3124" xr:uid="{00000000-0005-0000-0000-00000E030000}"/>
    <cellStyle name="Normal 10 2 2 2 3 2" xfId="4439" xr:uid="{E2AA89EB-C97D-45BE-B966-48B716394DC9}"/>
    <cellStyle name="Normal 10 2 2 2 3 2 2" xfId="9211" xr:uid="{A3B3B5A1-450A-4876-9D75-2993D84F44F3}"/>
    <cellStyle name="Normal 10 2 2 2 3 2 2 2" xfId="19591" xr:uid="{618354FD-25C4-458F-BFA6-C1EDB634E19D}"/>
    <cellStyle name="Normal 10 2 2 2 3 2 3" xfId="12044" xr:uid="{D5657C4F-0073-4FED-BB23-E2D66386C214}"/>
    <cellStyle name="Normal 10 2 2 2 3 2 3 2" xfId="22424" xr:uid="{15DFA9D5-A74F-4957-834C-89B1892B51BE}"/>
    <cellStyle name="Normal 10 2 2 2 3 2 4" xfId="27378" xr:uid="{2C986A78-EA2D-4068-986C-4E50A0F9FB45}"/>
    <cellStyle name="Normal 10 2 2 2 3 2 5" xfId="16758" xr:uid="{5ED5E4E4-5416-4C27-92D6-B47855558055}"/>
    <cellStyle name="Normal 10 2 2 2 3 3" xfId="6182" xr:uid="{4E29BB3B-DC72-4DB0-B11F-BE88024F461F}"/>
    <cellStyle name="Normal 10 2 2 2 3 3 2" xfId="15751" xr:uid="{EB54DE73-99AA-4D15-B8EB-3C02BD029B8A}"/>
    <cellStyle name="Normal 10 2 2 2 3 4" xfId="8204" xr:uid="{024080C8-FA45-445F-A9C2-075CF8735947}"/>
    <cellStyle name="Normal 10 2 2 2 3 4 2" xfId="18584" xr:uid="{CFD5300B-1A3A-4915-A199-BFB4713B9D53}"/>
    <cellStyle name="Normal 10 2 2 2 3 5" xfId="11037" xr:uid="{15B46448-C47E-4D53-8BA5-BAB75DA022BA}"/>
    <cellStyle name="Normal 10 2 2 2 3 5 2" xfId="21417" xr:uid="{46A57970-6CE9-4A9D-99DC-DA644B6031D5}"/>
    <cellStyle name="Normal 10 2 2 2 3 6" xfId="25016" xr:uid="{6BD65E36-2C60-492E-BF6B-E21F3E861AC8}"/>
    <cellStyle name="Normal 10 2 2 2 3 7" xfId="13645" xr:uid="{FC53FECB-58BA-4718-8075-86664A1E6322}"/>
    <cellStyle name="Normal 10 2 2 2 4" xfId="3122" xr:uid="{00000000-0005-0000-0000-00000F030000}"/>
    <cellStyle name="Normal 10 2 2 2 4 2" xfId="6180" xr:uid="{D9AC5840-A868-42B7-9B07-5467B903D80D}"/>
    <cellStyle name="Normal 10 2 2 2 4 2 2" xfId="27787" xr:uid="{6564ECEB-9CA3-4A47-94F0-5EC4020FDC7A}"/>
    <cellStyle name="Normal 10 2 2 2 4 2 3" xfId="15749" xr:uid="{4D09A5EA-43A7-4061-94DA-4B6895A7D0CB}"/>
    <cellStyle name="Normal 10 2 2 2 4 3" xfId="8202" xr:uid="{D06D1FBF-1680-4C3E-9F8A-32347ED393AD}"/>
    <cellStyle name="Normal 10 2 2 2 4 3 2" xfId="18582" xr:uid="{86D4CCAD-D172-455E-81A3-1B1576D47BE7}"/>
    <cellStyle name="Normal 10 2 2 2 4 4" xfId="11035" xr:uid="{47AAC3C3-12E0-4688-8845-ED89CF201C9A}"/>
    <cellStyle name="Normal 10 2 2 2 4 4 2" xfId="21415" xr:uid="{599659D8-BCA0-4A15-BD36-14286147DB92}"/>
    <cellStyle name="Normal 10 2 2 2 4 5" xfId="25232" xr:uid="{1467B399-15F1-469F-89D4-8D378EDA1FA0}"/>
    <cellStyle name="Normal 10 2 2 2 4 6" xfId="13643" xr:uid="{BDB8401F-D8F7-4119-B70B-3F723D886614}"/>
    <cellStyle name="Normal 10 2 2 2 5" xfId="4250" xr:uid="{94DF746F-DA76-404E-A5D8-2B1EE8D78DA3}"/>
    <cellStyle name="Normal 10 2 2 2 5 2" xfId="9022" xr:uid="{51F0B0BE-85FE-4E4E-B024-52D05B01FDCD}"/>
    <cellStyle name="Normal 10 2 2 2 5 2 2" xfId="29093" xr:uid="{73998EA0-D064-4F29-A126-C4B7190220D2}"/>
    <cellStyle name="Normal 10 2 2 2 5 2 3" xfId="19402" xr:uid="{D71AF534-1369-4686-BCE9-85026FB57262}"/>
    <cellStyle name="Normal 10 2 2 2 5 3" xfId="11855" xr:uid="{FE6B161D-014D-401F-8215-1201007CF6F0}"/>
    <cellStyle name="Normal 10 2 2 2 5 3 2" xfId="22235" xr:uid="{69257FAD-A830-4407-BCFF-14E744BD8843}"/>
    <cellStyle name="Normal 10 2 2 2 5 4" xfId="24848" xr:uid="{BF300921-F94D-44A8-A812-EA36D6C647C1}"/>
    <cellStyle name="Normal 10 2 2 2 5 5" xfId="16569" xr:uid="{F2AE2A62-5EF8-4BFC-A25A-0A40AF8873BD}"/>
    <cellStyle name="Normal 10 2 2 2 6" xfId="4987" xr:uid="{6DEC9617-4757-4E64-BC38-968162AA2B65}"/>
    <cellStyle name="Normal 10 2 2 2 6 2" xfId="27152" xr:uid="{EA5B05D8-4061-4FF1-9F63-73DCD8376713}"/>
    <cellStyle name="Normal 10 2 2 2 6 3" xfId="14282" xr:uid="{E995415C-5015-4182-B255-64042699E0EA}"/>
    <cellStyle name="Normal 10 2 2 2 7" xfId="6735" xr:uid="{2237665E-E1E3-429A-B237-ABFA50A6625D}"/>
    <cellStyle name="Normal 10 2 2 2 7 2" xfId="17115" xr:uid="{814AB8BE-BD1F-4884-809F-2EB47B6090D0}"/>
    <cellStyle name="Normal 10 2 2 2 8" xfId="9568" xr:uid="{DB6FA345-7CDC-4D88-9112-5692E390DAA1}"/>
    <cellStyle name="Normal 10 2 2 2 8 2" xfId="19948" xr:uid="{9A481BF5-C7A2-4A10-BABA-A2E3BC565592}"/>
    <cellStyle name="Normal 10 2 2 2 9" xfId="23956" xr:uid="{BA52BDE3-7C7F-4D71-B637-52CBEA0DC3C0}"/>
    <cellStyle name="Normal 10 2 2 3" xfId="2706" xr:uid="{00000000-0005-0000-0000-000010030000}"/>
    <cellStyle name="Normal 10 2 2 3 2" xfId="3125" xr:uid="{00000000-0005-0000-0000-000011030000}"/>
    <cellStyle name="Normal 10 2 2 3 2 2" xfId="6183" xr:uid="{48C97DF0-1B66-4E10-823D-2ACA6DD41F45}"/>
    <cellStyle name="Normal 10 2 2 3 2 2 2" xfId="26484" xr:uid="{13AF5A21-8AB7-489C-8F85-C901E665D8C3}"/>
    <cellStyle name="Normal 10 2 2 3 2 2 3" xfId="15752" xr:uid="{4F3E3C81-A716-4B7A-B445-DA0536082110}"/>
    <cellStyle name="Normal 10 2 2 3 2 3" xfId="8205" xr:uid="{679CFA99-C008-41F0-B3C2-7EFA4FE36039}"/>
    <cellStyle name="Normal 10 2 2 3 2 3 2" xfId="18585" xr:uid="{97598FA3-C428-4140-AB50-8DCC1F0285F1}"/>
    <cellStyle name="Normal 10 2 2 3 2 4" xfId="11038" xr:uid="{30298B94-DD4A-4294-9F1A-80A691CD9A12}"/>
    <cellStyle name="Normal 10 2 2 3 2 4 2" xfId="21418" xr:uid="{D3554601-3873-4F72-B7E5-991D36B2D377}"/>
    <cellStyle name="Normal 10 2 2 3 2 5" xfId="25076" xr:uid="{DE176F45-4FA0-4E85-A104-C6FF0B1E6858}"/>
    <cellStyle name="Normal 10 2 2 3 2 6" xfId="13646" xr:uid="{16879DED-629F-4609-BF09-A8A776EE44C9}"/>
    <cellStyle name="Normal 10 2 2 3 3" xfId="4281" xr:uid="{1FAC44FA-4E51-4628-9445-2D7F98E054FF}"/>
    <cellStyle name="Normal 10 2 2 3 3 2" xfId="9053" xr:uid="{9D2B4F89-3C6D-45B9-8FC0-CFBC91013C54}"/>
    <cellStyle name="Normal 10 2 2 3 3 2 2" xfId="29096" xr:uid="{31B8CD6C-56D8-4712-AD9D-5A096EDB8514}"/>
    <cellStyle name="Normal 10 2 2 3 3 2 3" xfId="19433" xr:uid="{1DB8198A-E086-435C-92A5-D58553A06934}"/>
    <cellStyle name="Normal 10 2 2 3 3 3" xfId="11886" xr:uid="{1F979839-73B0-43B0-8E2C-F9D05D14CE39}"/>
    <cellStyle name="Normal 10 2 2 3 3 3 2" xfId="22266" xr:uid="{7189CD82-BC97-4C66-B6C8-20310049DF0B}"/>
    <cellStyle name="Normal 10 2 2 3 3 4" xfId="22911" xr:uid="{29581224-7E1A-4F3D-8D71-43A05C9C3CF3}"/>
    <cellStyle name="Normal 10 2 2 3 3 5" xfId="16600" xr:uid="{8C62D345-4F4D-478F-9D49-90B9453F88AE}"/>
    <cellStyle name="Normal 10 2 2 3 4" xfId="5924" xr:uid="{87D7F008-1DE4-4403-922B-D43A674A8AF2}"/>
    <cellStyle name="Normal 10 2 2 3 4 2" xfId="28201" xr:uid="{216470CD-747B-4C14-BE39-4CD59150A29E}"/>
    <cellStyle name="Normal 10 2 2 3 4 3" xfId="15377" xr:uid="{6ECE865A-6850-41C4-B5FB-9021FDD1F7F1}"/>
    <cellStyle name="Normal 10 2 2 3 5" xfId="7830" xr:uid="{B72C48AE-99C2-4CF0-8F6E-9DCCFB35ECE3}"/>
    <cellStyle name="Normal 10 2 2 3 5 2" xfId="18210" xr:uid="{78E51D10-62FB-47C7-8EEF-7DBD6583F8BC}"/>
    <cellStyle name="Normal 10 2 2 3 6" xfId="10663" xr:uid="{C9754DF2-04FB-4E00-96FF-A8F0C6CA43F7}"/>
    <cellStyle name="Normal 10 2 2 3 6 2" xfId="21043" xr:uid="{38B2FB28-ED29-4378-A066-79B7D0569704}"/>
    <cellStyle name="Normal 10 2 2 3 7" xfId="25119" xr:uid="{1FB94C85-7A95-4041-A50D-4E4803B1F68D}"/>
    <cellStyle name="Normal 10 2 2 3 8" xfId="13124" xr:uid="{810DCD6C-AD33-40D9-96A4-AEDFAE5EB9D5}"/>
    <cellStyle name="Normal 10 2 2 4" xfId="3126" xr:uid="{00000000-0005-0000-0000-000012030000}"/>
    <cellStyle name="Normal 10 2 2 4 2" xfId="4440" xr:uid="{6A906AE3-F548-4ECA-BD57-FC395690FEB4}"/>
    <cellStyle name="Normal 10 2 2 4 2 2" xfId="9212" xr:uid="{7E3EDC44-BAC1-489F-BB1B-4FE1DAA125F6}"/>
    <cellStyle name="Normal 10 2 2 4 2 2 2" xfId="19592" xr:uid="{EE763FE1-8B4F-4ED7-8C96-891A9D75D388}"/>
    <cellStyle name="Normal 10 2 2 4 2 3" xfId="12045" xr:uid="{67E1344F-0FB7-4417-A708-415AF897B88A}"/>
    <cellStyle name="Normal 10 2 2 4 2 3 2" xfId="22425" xr:uid="{14DC1667-F57E-4E9E-A7B5-C34D3228285B}"/>
    <cellStyle name="Normal 10 2 2 4 2 4" xfId="28311" xr:uid="{6BAEB0CE-AD41-4B42-A657-24E562108FAE}"/>
    <cellStyle name="Normal 10 2 2 4 2 5" xfId="16759" xr:uid="{4B9A97F8-D356-4D13-89D2-1EBC3BFF3B45}"/>
    <cellStyle name="Normal 10 2 2 4 3" xfId="6184" xr:uid="{19FFAA4F-CA95-48BE-8A08-FDBB7385607E}"/>
    <cellStyle name="Normal 10 2 2 4 3 2" xfId="15753" xr:uid="{36457E7F-C528-4151-997A-D93BE52C0390}"/>
    <cellStyle name="Normal 10 2 2 4 4" xfId="8206" xr:uid="{062830E6-052A-4E08-8036-A8A8E008D303}"/>
    <cellStyle name="Normal 10 2 2 4 4 2" xfId="18586" xr:uid="{274EC4F0-70C6-4FE1-9118-7B00898CED38}"/>
    <cellStyle name="Normal 10 2 2 4 5" xfId="11039" xr:uid="{2235F72D-D9D8-451D-A44F-6D478CBDF570}"/>
    <cellStyle name="Normal 10 2 2 4 5 2" xfId="21419" xr:uid="{3E96E501-BEDA-4F0D-9220-39A1146CF4C8}"/>
    <cellStyle name="Normal 10 2 2 4 6" xfId="25455" xr:uid="{A2FF38E6-342E-457A-A41E-F5A0C44280FB}"/>
    <cellStyle name="Normal 10 2 2 4 7" xfId="13647" xr:uid="{90C28F50-ECB7-4081-8BEE-F5EB3141D9C0}"/>
    <cellStyle name="Normal 10 2 2 5" xfId="3121" xr:uid="{00000000-0005-0000-0000-000013030000}"/>
    <cellStyle name="Normal 10 2 2 5 2" xfId="6179" xr:uid="{AAE91224-3FEA-4689-A1E2-BFE40525C04F}"/>
    <cellStyle name="Normal 10 2 2 5 2 2" xfId="26988" xr:uid="{65C35670-8E2B-47FB-B53E-DCCC7AAE461E}"/>
    <cellStyle name="Normal 10 2 2 5 2 3" xfId="15748" xr:uid="{9B8C1A40-5D77-4300-BF2C-8D0ECB82559B}"/>
    <cellStyle name="Normal 10 2 2 5 3" xfId="8201" xr:uid="{B2634CB7-F7A0-4518-BE1A-015DA6363A14}"/>
    <cellStyle name="Normal 10 2 2 5 3 2" xfId="18581" xr:uid="{7267FF51-299B-4E4E-80F9-90C0C9B72B63}"/>
    <cellStyle name="Normal 10 2 2 5 4" xfId="11034" xr:uid="{E3CDB59C-41AB-43F2-85A3-03249FD04521}"/>
    <cellStyle name="Normal 10 2 2 5 4 2" xfId="21414" xr:uid="{758D40D6-153A-4892-BC0F-E00FA5E16AB2}"/>
    <cellStyle name="Normal 10 2 2 5 5" xfId="24600" xr:uid="{BC000EEA-3EE4-42FF-A305-B87A508F8440}"/>
    <cellStyle name="Normal 10 2 2 5 6" xfId="13642" xr:uid="{428F0E52-915D-48E4-8517-0440EBB4D1A1}"/>
    <cellStyle name="Normal 10 2 2 6" xfId="2562" xr:uid="{00000000-0005-0000-0000-000014030000}"/>
    <cellStyle name="Normal 10 2 2 6 2" xfId="5832" xr:uid="{C2B45855-423A-47FB-9D6B-CB7368A13FAB}"/>
    <cellStyle name="Normal 10 2 2 6 2 2" xfId="27722" xr:uid="{B8E57B14-3087-4FD8-A70F-558C6E2EFEEF}"/>
    <cellStyle name="Normal 10 2 2 6 2 3" xfId="15234" xr:uid="{1BA6B575-E010-4591-AF3E-E793868702D3}"/>
    <cellStyle name="Normal 10 2 2 6 3" xfId="7687" xr:uid="{13D7AF40-FEAB-4878-BA8F-FA0C3D7D1285}"/>
    <cellStyle name="Normal 10 2 2 6 3 2" xfId="18067" xr:uid="{2C2250EA-CDE2-4AD7-B12C-9C5FF7FE71DA}"/>
    <cellStyle name="Normal 10 2 2 6 4" xfId="10520" xr:uid="{1E2817E8-F6C1-422A-AFF1-B08F6C4EC9EB}"/>
    <cellStyle name="Normal 10 2 2 6 4 2" xfId="20900" xr:uid="{649F1F4D-1B63-4577-AC77-F280D4AD418F}"/>
    <cellStyle name="Normal 10 2 2 6 5" xfId="23236" xr:uid="{A9A7B9A4-10FD-49F2-9A94-1BE00B532B9A}"/>
    <cellStyle name="Normal 10 2 2 6 6" xfId="12950" xr:uid="{8F8890C7-BEA1-4B46-92AD-CFB11FD11F2D}"/>
    <cellStyle name="Normal 10 2 2 7" xfId="2256" xr:uid="{00000000-0005-0000-0000-00000A030000}"/>
    <cellStyle name="Normal 10 2 2 7 2" xfId="7383" xr:uid="{BD878DF1-E595-4B3A-B030-1A4B86DE4C21}"/>
    <cellStyle name="Normal 10 2 2 7 2 2" xfId="17763" xr:uid="{96FB03A1-1F58-4F36-A6A6-BC99F5CC940D}"/>
    <cellStyle name="Normal 10 2 2 7 3" xfId="10216" xr:uid="{7BF5D359-D939-4B06-906E-7B39368A0073}"/>
    <cellStyle name="Normal 10 2 2 7 3 2" xfId="20596" xr:uid="{45D50ACB-C477-45EC-831A-F6720E857490}"/>
    <cellStyle name="Normal 10 2 2 7 4" xfId="25308" xr:uid="{B0BFD245-6F57-4792-B8AD-25314C9A3201}"/>
    <cellStyle name="Normal 10 2 2 7 5" xfId="14930" xr:uid="{9E1162FB-4068-4B26-9EE1-0DC7552744FA}"/>
    <cellStyle name="Normal 10 2 2 8" xfId="3806" xr:uid="{DE5EA038-3A02-4C47-8DE6-3A1441EDFAFA}"/>
    <cellStyle name="Normal 10 2 2 8 2" xfId="8642" xr:uid="{D2E15AB2-9668-4E5F-A639-514A11FF50D6}"/>
    <cellStyle name="Normal 10 2 2 8 2 2" xfId="19022" xr:uid="{3480B3A6-F662-4937-99DC-49EAFB9EA7A0}"/>
    <cellStyle name="Normal 10 2 2 8 3" xfId="11475" xr:uid="{A75F9D08-7B58-4EAA-A634-12F25C9A3922}"/>
    <cellStyle name="Normal 10 2 2 8 3 2" xfId="21855" xr:uid="{944B4970-0F84-4A3B-980A-849E2953B158}"/>
    <cellStyle name="Normal 10 2 2 8 4" xfId="16189" xr:uid="{BA2B70A8-69BA-4C67-B45B-50196AACCD26}"/>
    <cellStyle name="Normal 10 2 2 9" xfId="4986" xr:uid="{86C9F154-476B-4468-9FC4-5F160EBE9B49}"/>
    <cellStyle name="Normal 10 2 2 9 2" xfId="14281" xr:uid="{E3E2A61B-9D40-43EB-9D48-D96BFD3B58D0}"/>
    <cellStyle name="Normal 10 2 3" xfId="629" xr:uid="{00000000-0005-0000-0000-000021040000}"/>
    <cellStyle name="Normal 10 2 3 10" xfId="9570" xr:uid="{2C97D25C-BB1A-476C-B040-C7129D7C78F8}"/>
    <cellStyle name="Normal 10 2 3 10 2" xfId="19950" xr:uid="{C26B30B1-CA24-4063-9990-E82CA8D30A9E}"/>
    <cellStyle name="Normal 10 2 3 11" xfId="23694" xr:uid="{F46EF993-5487-4161-8132-6E4469E10AEF}"/>
    <cellStyle name="Normal 10 2 3 12" xfId="12536" xr:uid="{30ABFEF1-F302-48E8-80C8-FD85B566AB15}"/>
    <cellStyle name="Normal 10 2 3 2" xfId="2707" xr:uid="{00000000-0005-0000-0000-000016030000}"/>
    <cellStyle name="Normal 10 2 3 2 2" xfId="3128" xr:uid="{00000000-0005-0000-0000-000017030000}"/>
    <cellStyle name="Normal 10 2 3 2 2 2" xfId="6186" xr:uid="{F21BBDC9-8812-4296-AE4A-F43642B538F5}"/>
    <cellStyle name="Normal 10 2 3 2 2 2 2" xfId="26667" xr:uid="{D968F027-8C5A-4D5B-B2BC-79932E896B70}"/>
    <cellStyle name="Normal 10 2 3 2 2 2 3" xfId="15755" xr:uid="{2C3E5444-0944-4235-BBC7-58B631C232E9}"/>
    <cellStyle name="Normal 10 2 3 2 2 3" xfId="8208" xr:uid="{748CFDF7-39AA-4B48-846D-DFD53DCCDE46}"/>
    <cellStyle name="Normal 10 2 3 2 2 3 2" xfId="18588" xr:uid="{45C7548F-ABE9-4FD8-83DB-E4116F5BE0B7}"/>
    <cellStyle name="Normal 10 2 3 2 2 4" xfId="11041" xr:uid="{4B9FDFC5-57BF-47DF-8AEB-61C1EC11D3B0}"/>
    <cellStyle name="Normal 10 2 3 2 2 4 2" xfId="21421" xr:uid="{E77E9332-7AC6-44BC-80D8-AEA8D4B6FAC2}"/>
    <cellStyle name="Normal 10 2 3 2 2 5" xfId="23465" xr:uid="{DFBE45BE-79EF-49C6-BDC8-FF482BE25A0D}"/>
    <cellStyle name="Normal 10 2 3 2 2 6" xfId="13649" xr:uid="{50B21915-FBD1-44FF-955B-D305CBBC1A89}"/>
    <cellStyle name="Normal 10 2 3 2 3" xfId="4283" xr:uid="{2B94F73E-A71F-4B45-AB1A-F96E9B6FFBF5}"/>
    <cellStyle name="Normal 10 2 3 2 3 2" xfId="9055" xr:uid="{9FD5F957-C578-4F01-9FC1-69B359F5BAA4}"/>
    <cellStyle name="Normal 10 2 3 2 3 2 2" xfId="29098" xr:uid="{11FBA423-68F9-439E-B708-B9AF85FDFE2B}"/>
    <cellStyle name="Normal 10 2 3 2 3 2 3" xfId="19435" xr:uid="{4415A3C6-10BF-4B36-BC90-6F409E7AFDE1}"/>
    <cellStyle name="Normal 10 2 3 2 3 3" xfId="11888" xr:uid="{73E975D7-4723-457E-9759-1D54AC5E7481}"/>
    <cellStyle name="Normal 10 2 3 2 3 3 2" xfId="22268" xr:uid="{23334B30-CD1E-46BA-AA8F-928E8AA57B4B}"/>
    <cellStyle name="Normal 10 2 3 2 3 4" xfId="24451" xr:uid="{5EB69AA1-13EC-42BD-8FFE-6B2134503511}"/>
    <cellStyle name="Normal 10 2 3 2 3 5" xfId="16602" xr:uid="{A384552F-2090-445E-BAE5-6698F6D122C7}"/>
    <cellStyle name="Normal 10 2 3 2 4" xfId="5925" xr:uid="{CDA1F97D-60A1-407B-B633-AC0832D801F2}"/>
    <cellStyle name="Normal 10 2 3 2 4 2" xfId="28677" xr:uid="{A36775EF-6401-4226-A35F-5E9C74DF1AE6}"/>
    <cellStyle name="Normal 10 2 3 2 4 3" xfId="15378" xr:uid="{68E1D7BA-AD29-4DAD-950B-38FC6C839C0D}"/>
    <cellStyle name="Normal 10 2 3 2 5" xfId="7831" xr:uid="{85DC09AA-F078-4D23-AA13-CB516827E64E}"/>
    <cellStyle name="Normal 10 2 3 2 5 2" xfId="18211" xr:uid="{8981F427-A24D-4F3E-B774-84932F365DD4}"/>
    <cellStyle name="Normal 10 2 3 2 6" xfId="10664" xr:uid="{76110124-625D-47D4-AF91-BED10133DE30}"/>
    <cellStyle name="Normal 10 2 3 2 6 2" xfId="21044" xr:uid="{BE01F4B8-1875-492C-A5AD-83F27D3906D7}"/>
    <cellStyle name="Normal 10 2 3 2 7" xfId="24964" xr:uid="{A0FFC7DF-C238-474F-B0A2-5445E1885BE2}"/>
    <cellStyle name="Normal 10 2 3 2 8" xfId="13126" xr:uid="{50D78E67-3B19-4C22-AEF5-DF8C50160B8B}"/>
    <cellStyle name="Normal 10 2 3 3" xfId="3129" xr:uid="{00000000-0005-0000-0000-000018030000}"/>
    <cellStyle name="Normal 10 2 3 3 2" xfId="4441" xr:uid="{395FBBAC-4EB4-44DD-8BC8-3E17ADF9C3C0}"/>
    <cellStyle name="Normal 10 2 3 3 2 2" xfId="9213" xr:uid="{4044E785-F68D-497F-9D5B-50D7712F8C51}"/>
    <cellStyle name="Normal 10 2 3 3 2 2 2" xfId="29206" xr:uid="{F50990A4-77BD-4A19-9863-0010F3A43A57}"/>
    <cellStyle name="Normal 10 2 3 3 2 2 3" xfId="19593" xr:uid="{00874A4E-4DC7-4779-B725-0D034CD349DA}"/>
    <cellStyle name="Normal 10 2 3 3 2 3" xfId="12046" xr:uid="{651E0D9F-48E2-4C7E-B5CF-4E86AAEBDD58}"/>
    <cellStyle name="Normal 10 2 3 3 2 3 2" xfId="22426" xr:uid="{48A2501C-7E6B-4B28-BE41-C2D0983E25E3}"/>
    <cellStyle name="Normal 10 2 3 3 2 4" xfId="25827" xr:uid="{577FDCE4-8711-41C9-988F-AA44708C4806}"/>
    <cellStyle name="Normal 10 2 3 3 2 5" xfId="16760" xr:uid="{F5EB9542-0769-4B8A-91A4-7565AA0988C4}"/>
    <cellStyle name="Normal 10 2 3 3 3" xfId="6187" xr:uid="{ADCA5275-39F2-482D-8C01-D8EBC900C88A}"/>
    <cellStyle name="Normal 10 2 3 3 3 2" xfId="26224" xr:uid="{20EDA385-3F6C-463F-B9BB-E0DE71B26C1E}"/>
    <cellStyle name="Normal 10 2 3 3 3 3" xfId="15756" xr:uid="{EFE888DE-88DF-48D1-8F6B-2E83EDEA6128}"/>
    <cellStyle name="Normal 10 2 3 3 4" xfId="8209" xr:uid="{F0E2F6A5-BD42-4693-8AD0-A0C2526BA6B5}"/>
    <cellStyle name="Normal 10 2 3 3 4 2" xfId="18589" xr:uid="{D9C95B31-CCAA-4855-A2DF-2B2A41476B74}"/>
    <cellStyle name="Normal 10 2 3 3 5" xfId="11042" xr:uid="{12E48EE7-DB63-4777-854C-58E263EEB5CB}"/>
    <cellStyle name="Normal 10 2 3 3 5 2" xfId="21422" xr:uid="{9BE837BB-437F-4A9C-8324-8CA1E2D2D28C}"/>
    <cellStyle name="Normal 10 2 3 3 6" xfId="23788" xr:uid="{40569D23-61AB-45F8-AA45-BF39002CE525}"/>
    <cellStyle name="Normal 10 2 3 3 7" xfId="13650" xr:uid="{559FA790-3884-4188-B322-850E090BEBA9}"/>
    <cellStyle name="Normal 10 2 3 4" xfId="3127" xr:uid="{00000000-0005-0000-0000-000019030000}"/>
    <cellStyle name="Normal 10 2 3 4 2" xfId="6185" xr:uid="{6F80E080-F8C7-483A-84F6-435A6A402000}"/>
    <cellStyle name="Normal 10 2 3 4 2 2" xfId="28015" xr:uid="{CFCDEAE0-D338-4091-AC15-668D3B295B8B}"/>
    <cellStyle name="Normal 10 2 3 4 2 3" xfId="15754" xr:uid="{960A2809-F7FF-48CB-B2EB-DB8E348B18EC}"/>
    <cellStyle name="Normal 10 2 3 4 3" xfId="8207" xr:uid="{302DF909-5642-4A8D-88D7-5BFCE03896E9}"/>
    <cellStyle name="Normal 10 2 3 4 3 2" xfId="18587" xr:uid="{AB93101C-88F5-4130-A19E-5E38DF614E7E}"/>
    <cellStyle name="Normal 10 2 3 4 4" xfId="11040" xr:uid="{0B293727-8820-41D2-A0EB-ED5FCBF3C6B4}"/>
    <cellStyle name="Normal 10 2 3 4 4 2" xfId="21420" xr:uid="{98F15AD6-31E3-4DB6-85DB-7BFEF91DDA77}"/>
    <cellStyle name="Normal 10 2 3 4 5" xfId="23742" xr:uid="{4DEFB253-2EDE-47A7-8D1D-E3D674008FF9}"/>
    <cellStyle name="Normal 10 2 3 4 6" xfId="13648" xr:uid="{AFDB53F8-9F26-4C3F-BA97-172B32C285DF}"/>
    <cellStyle name="Normal 10 2 3 5" xfId="2605" xr:uid="{00000000-0005-0000-0000-00001A030000}"/>
    <cellStyle name="Normal 10 2 3 5 2" xfId="5870" xr:uid="{1F649C14-9E5E-422A-970C-FA8E95C730BA}"/>
    <cellStyle name="Normal 10 2 3 5 2 2" xfId="28060" xr:uid="{9C373D47-6388-4819-BB1F-656D0917F65C}"/>
    <cellStyle name="Normal 10 2 3 5 2 3" xfId="15277" xr:uid="{891E1580-5625-4160-8DB8-13978498474D}"/>
    <cellStyle name="Normal 10 2 3 5 3" xfId="7730" xr:uid="{A4A6A792-4386-4B80-9437-B711498C0164}"/>
    <cellStyle name="Normal 10 2 3 5 3 2" xfId="18110" xr:uid="{FCDC4A15-63D9-48D4-B37F-F0FF50324AE8}"/>
    <cellStyle name="Normal 10 2 3 5 4" xfId="10563" xr:uid="{DC0E6A81-5298-47EC-95E1-D37895DB0800}"/>
    <cellStyle name="Normal 10 2 3 5 4 2" xfId="20943" xr:uid="{C5FF6D72-279D-449B-A4B1-66785E62441F}"/>
    <cellStyle name="Normal 10 2 3 5 5" xfId="23814" xr:uid="{3974C175-0484-428C-819E-385B5B192098}"/>
    <cellStyle name="Normal 10 2 3 5 6" xfId="12993" xr:uid="{B567E562-90E7-4D8E-AAA7-875E9F4F5717}"/>
    <cellStyle name="Normal 10 2 3 6" xfId="2304" xr:uid="{00000000-0005-0000-0000-000015030000}"/>
    <cellStyle name="Normal 10 2 3 6 2" xfId="7431" xr:uid="{F65338EF-E7C1-4C21-ADD6-C3AE8BACAA87}"/>
    <cellStyle name="Normal 10 2 3 6 2 2" xfId="17811" xr:uid="{FAAE8B82-D8D7-4E2D-9117-A7D262707BC4}"/>
    <cellStyle name="Normal 10 2 3 6 3" xfId="10264" xr:uid="{92434D7F-4325-4704-BC8A-75EEF454854D}"/>
    <cellStyle name="Normal 10 2 3 6 3 2" xfId="20644" xr:uid="{6F76CD2A-A882-4BE1-9036-58E856D0DF41}"/>
    <cellStyle name="Normal 10 2 3 6 4" xfId="24568" xr:uid="{F399ECA1-22BC-4C28-BAC2-CEF11C98ECB3}"/>
    <cellStyle name="Normal 10 2 3 6 5" xfId="14978" xr:uid="{830DE2F1-D4F3-45C3-9DBE-14ADA1AAA0A6}"/>
    <cellStyle name="Normal 10 2 3 7" xfId="3835" xr:uid="{8B8290D7-AE8C-4937-9A4F-00917BF737BC}"/>
    <cellStyle name="Normal 10 2 3 7 2" xfId="8668" xr:uid="{EA0FCEC4-836D-4690-A6E7-8DC48BC34E27}"/>
    <cellStyle name="Normal 10 2 3 7 2 2" xfId="19048" xr:uid="{EF39DD86-7CBF-44F7-A0CA-DADF53320C47}"/>
    <cellStyle name="Normal 10 2 3 7 3" xfId="11501" xr:uid="{E7C24303-4015-422A-8765-8C895ECC8561}"/>
    <cellStyle name="Normal 10 2 3 7 3 2" xfId="21881" xr:uid="{9D168038-5E4A-4E92-B20D-4299A65F34C0}"/>
    <cellStyle name="Normal 10 2 3 7 4" xfId="16215" xr:uid="{88B26A2A-744C-4C28-A600-D8665AC5EC8A}"/>
    <cellStyle name="Normal 10 2 3 8" xfId="4989" xr:uid="{ED7C97D3-0FB5-4457-A673-C604FF5B7447}"/>
    <cellStyle name="Normal 10 2 3 8 2" xfId="14284" xr:uid="{91F9CF94-E671-4888-B146-8AAE97D323D1}"/>
    <cellStyle name="Normal 10 2 3 9" xfId="6737" xr:uid="{49615C31-75D1-4474-9BA1-F20597FA187A}"/>
    <cellStyle name="Normal 10 2 3 9 2" xfId="17117" xr:uid="{12A1D631-F493-4267-A179-AE8F3EBBF983}"/>
    <cellStyle name="Normal 10 2 4" xfId="630" xr:uid="{00000000-0005-0000-0000-000022040000}"/>
    <cellStyle name="Normal 10 2 4 2" xfId="3130" xr:uid="{00000000-0005-0000-0000-00001C030000}"/>
    <cellStyle name="Normal 10 2 4 2 2" xfId="6188" xr:uid="{CD81C353-7344-4C59-8828-166DB4D348FE}"/>
    <cellStyle name="Normal 10 2 4 2 2 2" xfId="28346" xr:uid="{761D17AF-64FC-417E-82CE-5B8063632213}"/>
    <cellStyle name="Normal 10 2 4 2 2 3" xfId="15757" xr:uid="{3302B5E1-2623-4BDC-99AF-F55B35D19A11}"/>
    <cellStyle name="Normal 10 2 4 2 3" xfId="8210" xr:uid="{15B50D38-A3A0-4A3A-B597-1BDBAC43A9B1}"/>
    <cellStyle name="Normal 10 2 4 2 3 2" xfId="18590" xr:uid="{9CB06398-FD5C-46CA-819B-B9D9A4A38E1D}"/>
    <cellStyle name="Normal 10 2 4 2 4" xfId="11043" xr:uid="{18D219A1-E916-4473-A30E-0EE6E957F7FC}"/>
    <cellStyle name="Normal 10 2 4 2 4 2" xfId="21423" xr:uid="{F6950B87-B095-4A92-9CDB-E62C0DF212BF}"/>
    <cellStyle name="Normal 10 2 4 2 5" xfId="24517" xr:uid="{FA73F80A-DCD5-4B61-8B84-C4D4B7693C92}"/>
    <cellStyle name="Normal 10 2 4 2 6" xfId="13651" xr:uid="{F767D00E-752E-4CFE-92E0-30323D098EBD}"/>
    <cellStyle name="Normal 10 2 4 3" xfId="2705" xr:uid="{00000000-0005-0000-0000-00001D030000}"/>
    <cellStyle name="Normal 10 2 4 3 2" xfId="5923" xr:uid="{0CCC0FB0-A059-4BCB-8DA1-770EA4429DFA}"/>
    <cellStyle name="Normal 10 2 4 3 2 2" xfId="26616" xr:uid="{802FFC82-4CAD-45AB-877A-9FA01D5FD3BF}"/>
    <cellStyle name="Normal 10 2 4 3 2 3" xfId="15376" xr:uid="{E2F920D3-F6FB-4E7E-9047-6D662B6AB81B}"/>
    <cellStyle name="Normal 10 2 4 3 3" xfId="7829" xr:uid="{74B90E5E-ED06-4B53-9B1F-8F05E7797B5F}"/>
    <cellStyle name="Normal 10 2 4 3 3 2" xfId="18209" xr:uid="{349E2243-017D-4FE5-BD7D-A90B7A3AB615}"/>
    <cellStyle name="Normal 10 2 4 3 4" xfId="10662" xr:uid="{C824EB2A-2B0A-4B36-A699-DDBAA50CF09F}"/>
    <cellStyle name="Normal 10 2 4 3 4 2" xfId="21042" xr:uid="{405BC94C-5055-4760-A913-4B930CAB0E7E}"/>
    <cellStyle name="Normal 10 2 4 3 5" xfId="24198" xr:uid="{73BF47DB-4558-46E0-9682-515D48F68056}"/>
    <cellStyle name="Normal 10 2 4 3 6" xfId="13123" xr:uid="{0F44A364-78A2-4162-90F3-50FE8FA80242}"/>
    <cellStyle name="Normal 10 2 4 4" xfId="4146" xr:uid="{F5B8E602-5C20-4A6E-97E5-C382727F07E8}"/>
    <cellStyle name="Normal 10 2 4 4 2" xfId="8918" xr:uid="{964DB0DE-F5F5-4ABA-BCC8-41DD10D7565A}"/>
    <cellStyle name="Normal 10 2 4 4 2 2" xfId="19298" xr:uid="{C47C3A9A-B917-4B8F-902B-F0A583A5B4EA}"/>
    <cellStyle name="Normal 10 2 4 4 3" xfId="11751" xr:uid="{7ED79008-29F0-476F-8C01-46DE75F05338}"/>
    <cellStyle name="Normal 10 2 4 4 3 2" xfId="22131" xr:uid="{BC7CF7BB-416D-4990-9C30-F72688ECBA70}"/>
    <cellStyle name="Normal 10 2 4 4 4" xfId="22946" xr:uid="{A370B6D4-A1E7-4B01-949F-2BE08000CCBB}"/>
    <cellStyle name="Normal 10 2 4 4 5" xfId="16465" xr:uid="{71362419-E58F-4356-B691-ED3DEF516EA1}"/>
    <cellStyle name="Normal 10 2 4 5" xfId="4990" xr:uid="{3620BA03-891B-4B6C-B831-2F7A09D9D59D}"/>
    <cellStyle name="Normal 10 2 4 5 2" xfId="14285" xr:uid="{13F992D6-3CE3-4B6A-882E-DC9C16A5E430}"/>
    <cellStyle name="Normal 10 2 4 6" xfId="6738" xr:uid="{11EE109C-25B0-4477-B953-6C38A2D79450}"/>
    <cellStyle name="Normal 10 2 4 6 2" xfId="17118" xr:uid="{1ABB1FCB-A73C-47FD-A1F2-908B22603DF6}"/>
    <cellStyle name="Normal 10 2 4 7" xfId="9571" xr:uid="{035FBA25-20E3-48E3-A528-D611C212017A}"/>
    <cellStyle name="Normal 10 2 4 7 2" xfId="19951" xr:uid="{F1863EE5-2F73-4F0D-865C-DE77E05A4C14}"/>
    <cellStyle name="Normal 10 2 4 8" xfId="25200" xr:uid="{FA6DC77F-6C8F-4F7B-A62E-33AABEEFCA03}"/>
    <cellStyle name="Normal 10 2 4 9" xfId="12694" xr:uid="{ECC619C5-78D3-4209-B844-DE894BEC0E7E}"/>
    <cellStyle name="Normal 10 2 5" xfId="3131" xr:uid="{00000000-0005-0000-0000-00001E030000}"/>
    <cellStyle name="Normal 10 2 5 2" xfId="4442" xr:uid="{9E338F2E-BE96-4E83-90F2-E16A4690B5A9}"/>
    <cellStyle name="Normal 10 2 5 2 2" xfId="9214" xr:uid="{BA65854E-AF92-4803-80F5-7C22DCC8293B}"/>
    <cellStyle name="Normal 10 2 5 2 2 2" xfId="29207" xr:uid="{6314A263-83F1-4B28-ABCE-765CABFD8127}"/>
    <cellStyle name="Normal 10 2 5 2 2 3" xfId="19594" xr:uid="{370D15FE-C276-4A45-83E6-DF6F800B0860}"/>
    <cellStyle name="Normal 10 2 5 2 3" xfId="12047" xr:uid="{496D436E-B032-4A07-B26D-488CDFFEC77E}"/>
    <cellStyle name="Normal 10 2 5 2 3 2" xfId="22427" xr:uid="{766BF66E-6196-4E68-9B7C-FF0C469F7940}"/>
    <cellStyle name="Normal 10 2 5 2 4" xfId="25622" xr:uid="{157B87D2-C5CA-4D5E-B2DA-1D3FC9672306}"/>
    <cellStyle name="Normal 10 2 5 2 5" xfId="16761" xr:uid="{7082362A-ECD0-4F4B-848B-5CCF414252C3}"/>
    <cellStyle name="Normal 10 2 5 3" xfId="6189" xr:uid="{BD1BFEE4-9F62-4A48-BD95-D53BC4D82615}"/>
    <cellStyle name="Normal 10 2 5 3 2" xfId="28203" xr:uid="{3A30FCB9-803E-4EC5-9919-163306731BC1}"/>
    <cellStyle name="Normal 10 2 5 3 3" xfId="15758" xr:uid="{3F571267-5D40-4D73-81AC-EC846B65A91F}"/>
    <cellStyle name="Normal 10 2 5 4" xfId="8211" xr:uid="{DD3F144C-0B72-4220-AF0F-6C8AF931DF96}"/>
    <cellStyle name="Normal 10 2 5 4 2" xfId="18591" xr:uid="{D44E319F-2FC8-4885-8CA0-4D3D7071A191}"/>
    <cellStyle name="Normal 10 2 5 5" xfId="11044" xr:uid="{4C93613D-EEC5-4473-A995-AFA6F2F8F050}"/>
    <cellStyle name="Normal 10 2 5 5 2" xfId="21424" xr:uid="{63931744-0C21-4ECC-BD7A-9138DB1EEDD1}"/>
    <cellStyle name="Normal 10 2 5 6" xfId="24523" xr:uid="{9F740B7E-7987-49C4-82C9-35191C4BEAEE}"/>
    <cellStyle name="Normal 10 2 5 7" xfId="13652" xr:uid="{5417E4E0-F7F8-4917-9C5E-6C988C3578DF}"/>
    <cellStyle name="Normal 10 2 6" xfId="2890" xr:uid="{00000000-0005-0000-0000-00001F030000}"/>
    <cellStyle name="Normal 10 2 6 2" xfId="6076" xr:uid="{B8B7211B-FFDA-4B81-A375-DD45B1DD517E}"/>
    <cellStyle name="Normal 10 2 6 2 2" xfId="27184" xr:uid="{76D46EE7-A365-41C6-8123-6B42149712D0}"/>
    <cellStyle name="Normal 10 2 6 2 3" xfId="15554" xr:uid="{0796DDD0-7B21-41F0-BCC5-C48576AB08EE}"/>
    <cellStyle name="Normal 10 2 6 3" xfId="8007" xr:uid="{0CA1C121-A45E-4913-9CCA-CBBAA3AE18EB}"/>
    <cellStyle name="Normal 10 2 6 3 2" xfId="18387" xr:uid="{93B5654E-534E-47BD-BD90-C53F0B89EC8A}"/>
    <cellStyle name="Normal 10 2 6 4" xfId="10840" xr:uid="{E7171419-1314-4CBA-B06A-C3721FCD9CA9}"/>
    <cellStyle name="Normal 10 2 6 4 2" xfId="21220" xr:uid="{C8AF0209-EC6E-43EB-9357-A1E5EC0623EF}"/>
    <cellStyle name="Normal 10 2 6 5" xfId="24836" xr:uid="{2AA68A3A-DCAE-496A-82A2-4D3838D9ABF1}"/>
    <cellStyle name="Normal 10 2 6 6" xfId="13392" xr:uid="{14C536AA-DB87-428A-B8DD-54EAB2B90CD1}"/>
    <cellStyle name="Normal 10 2 7" xfId="2502" xr:uid="{00000000-0005-0000-0000-000020030000}"/>
    <cellStyle name="Normal 10 2 7 2" xfId="5783" xr:uid="{D0B4CEE4-5864-4622-B725-5D5D21567676}"/>
    <cellStyle name="Normal 10 2 7 2 2" xfId="27113" xr:uid="{978E091B-8C60-428F-8E28-08D94C396028}"/>
    <cellStyle name="Normal 10 2 7 2 3" xfId="15174" xr:uid="{CE2A363D-DDDE-4623-A501-AAAF537750CD}"/>
    <cellStyle name="Normal 10 2 7 3" xfId="7627" xr:uid="{7A984B8F-FF27-492E-BA0E-F5C3E75B7C54}"/>
    <cellStyle name="Normal 10 2 7 3 2" xfId="18007" xr:uid="{45DE27C2-5F10-4CA5-BF51-54192B24021B}"/>
    <cellStyle name="Normal 10 2 7 4" xfId="10460" xr:uid="{5B46C42E-A9F8-44A4-B466-83BEF0D6B08F}"/>
    <cellStyle name="Normal 10 2 7 4 2" xfId="20840" xr:uid="{A911A6C3-C177-4436-98E2-79D9650DA797}"/>
    <cellStyle name="Normal 10 2 7 5" xfId="22949" xr:uid="{EF1259EB-84F5-4CD6-8766-0001F2586003}"/>
    <cellStyle name="Normal 10 2 7 6" xfId="12890" xr:uid="{62449018-77E9-4C59-A406-BD186A7876FD}"/>
    <cellStyle name="Normal 10 2 8" xfId="2196" xr:uid="{00000000-0005-0000-0000-000009030000}"/>
    <cellStyle name="Normal 10 2 8 2" xfId="7323" xr:uid="{CD3D437D-65A4-45F7-BD24-8B506936D243}"/>
    <cellStyle name="Normal 10 2 8 2 2" xfId="17703" xr:uid="{459D8D6A-E723-445E-8E7D-E58CC4E9DB9E}"/>
    <cellStyle name="Normal 10 2 8 3" xfId="10156" xr:uid="{A4E6239E-293D-43CF-BAE1-920FC2436C0D}"/>
    <cellStyle name="Normal 10 2 8 3 2" xfId="20536" xr:uid="{58CF501C-C41C-4CE0-9DC0-D9DF3C98CCAA}"/>
    <cellStyle name="Normal 10 2 8 4" xfId="23947" xr:uid="{B16A613C-DC7C-4BAB-9CE5-D2D4386F503D}"/>
    <cellStyle name="Normal 10 2 8 5" xfId="14870" xr:uid="{D2AC8B86-F8E4-403F-B63E-A61C29DDF6FC}"/>
    <cellStyle name="Normal 10 2 9" xfId="3905" xr:uid="{8D267ABA-D2E7-4AB9-85B6-698D2920A9CF}"/>
    <cellStyle name="Normal 10 2 9 2" xfId="8737" xr:uid="{AF649095-E975-4879-A024-D9E79D05AA14}"/>
    <cellStyle name="Normal 10 2 9 2 2" xfId="19117" xr:uid="{3191403E-2306-45DA-906D-6C9E51CA3AEA}"/>
    <cellStyle name="Normal 10 2 9 3" xfId="11570" xr:uid="{D853CF8D-5370-4F11-A2CD-EB1C71549CBB}"/>
    <cellStyle name="Normal 10 2 9 3 2" xfId="21950" xr:uid="{967439E1-E452-43A8-80DA-4BBE4EACCEE0}"/>
    <cellStyle name="Normal 10 2 9 4" xfId="16284" xr:uid="{D850474B-04FD-41D5-9E02-5BDAD9D1B3B8}"/>
    <cellStyle name="Normal 10 3" xfId="631" xr:uid="{00000000-0005-0000-0000-000023040000}"/>
    <cellStyle name="Normal 10 3 10" xfId="4991" xr:uid="{B971CAB3-4E5E-42A8-8E41-7E9B5496E5A2}"/>
    <cellStyle name="Normal 10 3 10 2" xfId="14286" xr:uid="{1D1E5673-3166-446E-874B-A45C646CA6F2}"/>
    <cellStyle name="Normal 10 3 11" xfId="6739" xr:uid="{2ED9A2C1-5D97-491C-ACA5-960CC9F31B2C}"/>
    <cellStyle name="Normal 10 3 11 2" xfId="17119" xr:uid="{0911746F-79BE-42B5-8D11-8F7DD6FFFB9D}"/>
    <cellStyle name="Normal 10 3 12" xfId="9572" xr:uid="{255DC69B-92E1-4FEB-9EFA-4F0D81443FB9}"/>
    <cellStyle name="Normal 10 3 12 2" xfId="19952" xr:uid="{7DB05A14-DDDF-42E0-BCD6-AF6AB9D9B9C4}"/>
    <cellStyle name="Normal 10 3 13" xfId="23887" xr:uid="{6272B891-EDDC-4148-A2A1-936240A89EBA}"/>
    <cellStyle name="Normal 10 3 14" xfId="12465" xr:uid="{359FC0B9-F250-4559-B02E-40DB23ABD1A8}"/>
    <cellStyle name="Normal 10 3 2" xfId="632" xr:uid="{00000000-0005-0000-0000-000024040000}"/>
    <cellStyle name="Normal 10 3 2 10" xfId="9573" xr:uid="{51C02921-58A3-463A-B4FC-F82EDF76A44E}"/>
    <cellStyle name="Normal 10 3 2 10 2" xfId="19953" xr:uid="{928C13C0-E605-4FA9-8E38-6C8897FF5498}"/>
    <cellStyle name="Normal 10 3 2 11" xfId="23013" xr:uid="{1AEADB29-65B1-4D02-9750-E5CD446409E6}"/>
    <cellStyle name="Normal 10 3 2 12" xfId="12537" xr:uid="{E0A41ED9-2C13-409B-93F2-56564369BD81}"/>
    <cellStyle name="Normal 10 3 2 2" xfId="633" xr:uid="{00000000-0005-0000-0000-000025040000}"/>
    <cellStyle name="Normal 10 3 2 2 2" xfId="3133" xr:uid="{00000000-0005-0000-0000-000024030000}"/>
    <cellStyle name="Normal 10 3 2 2 2 2" xfId="6191" xr:uid="{818E3871-8BBD-49A5-8F2F-3AA2809212CC}"/>
    <cellStyle name="Normal 10 3 2 2 2 2 2" xfId="26169" xr:uid="{EA40498E-9AB9-4A85-918E-BFACEC00A1BF}"/>
    <cellStyle name="Normal 10 3 2 2 2 2 3" xfId="25886" xr:uid="{53D87904-1416-4640-96E8-2900CC5A05C6}"/>
    <cellStyle name="Normal 10 3 2 2 2 2 4" xfId="15760" xr:uid="{528ECC10-08C3-4C6E-BA5F-675B8F05A6D1}"/>
    <cellStyle name="Normal 10 3 2 2 2 3" xfId="8213" xr:uid="{C721729A-2337-4936-B79F-891C05B4A559}"/>
    <cellStyle name="Normal 10 3 2 2 2 3 2" xfId="28866" xr:uid="{B96E90F2-99D0-4B90-805E-5BE51C97634A}"/>
    <cellStyle name="Normal 10 3 2 2 2 3 3" xfId="18593" xr:uid="{87839693-9F0F-49A5-850D-92BA297E6CB6}"/>
    <cellStyle name="Normal 10 3 2 2 2 4" xfId="11046" xr:uid="{BF195E82-5187-4D41-BD8C-60ED6733DFB5}"/>
    <cellStyle name="Normal 10 3 2 2 2 4 2" xfId="21426" xr:uid="{040CE62B-8DD3-48FD-885B-700066E6B86B}"/>
    <cellStyle name="Normal 10 3 2 2 2 5" xfId="22878" xr:uid="{BBA932E6-1E09-4080-98F2-0F79EA82D601}"/>
    <cellStyle name="Normal 10 3 2 2 2 6" xfId="13654" xr:uid="{5DADBDA1-26F8-4BD9-873A-036A9D4F8118}"/>
    <cellStyle name="Normal 10 3 2 2 3" xfId="4285" xr:uid="{A53AD929-881D-4AA3-8224-140DAE4C1638}"/>
    <cellStyle name="Normal 10 3 2 2 3 2" xfId="9057" xr:uid="{8C75F184-FFC8-4F9E-AACF-5A5E3057638C}"/>
    <cellStyle name="Normal 10 3 2 2 3 2 2" xfId="29100" xr:uid="{3FA52B86-173F-47DB-A46D-08887A85E943}"/>
    <cellStyle name="Normal 10 3 2 2 3 2 3" xfId="19437" xr:uid="{CF9251E8-D165-4028-9B55-9DFABB159669}"/>
    <cellStyle name="Normal 10 3 2 2 3 3" xfId="11890" xr:uid="{7B657372-A9AB-4CC8-A4F1-DA61F6B8BD3E}"/>
    <cellStyle name="Normal 10 3 2 2 3 3 2" xfId="22270" xr:uid="{7A27E98F-A5A0-4A1D-9085-C99D62911EC4}"/>
    <cellStyle name="Normal 10 3 2 2 3 4" xfId="24765" xr:uid="{B0263DA0-4320-4DB7-B5C5-010F7FD3EAA0}"/>
    <cellStyle name="Normal 10 3 2 2 3 5" xfId="16604" xr:uid="{DCC0A920-4C3C-4AB7-BF06-0525ABDD4CEB}"/>
    <cellStyle name="Normal 10 3 2 2 4" xfId="4993" xr:uid="{8FBD8140-B9BC-491C-8D7F-C7C1AAC31563}"/>
    <cellStyle name="Normal 10 3 2 2 4 2" xfId="26246" xr:uid="{5A9FC39D-CFFE-4712-BA37-6A6B52AF9965}"/>
    <cellStyle name="Normal 10 3 2 2 4 3" xfId="14288" xr:uid="{07170A62-D7A3-4CF8-AF7A-00C71D5117E1}"/>
    <cellStyle name="Normal 10 3 2 2 5" xfId="6741" xr:uid="{F488103A-1068-48DE-89EF-889B889BB68C}"/>
    <cellStyle name="Normal 10 3 2 2 5 2" xfId="17121" xr:uid="{723E325F-12B8-4F4B-BDC3-0F57FCB0A260}"/>
    <cellStyle name="Normal 10 3 2 2 6" xfId="9574" xr:uid="{6ED5D63F-9B82-414B-88E6-E4DB8CB3E9EB}"/>
    <cellStyle name="Normal 10 3 2 2 6 2" xfId="19954" xr:uid="{8BE44BC7-DC90-4F84-B987-DC25E2CE5C9D}"/>
    <cellStyle name="Normal 10 3 2 2 7" xfId="25181" xr:uid="{2F7CE6EA-3726-424C-8D77-756D4623EE51}"/>
    <cellStyle name="Normal 10 3 2 2 8" xfId="13128" xr:uid="{B9446284-ECCF-4080-BA5F-5D5B591A76AD}"/>
    <cellStyle name="Normal 10 3 2 3" xfId="3134" xr:uid="{00000000-0005-0000-0000-000025030000}"/>
    <cellStyle name="Normal 10 3 2 3 2" xfId="4443" xr:uid="{AB4DC996-997D-43F3-A978-07BE861BA132}"/>
    <cellStyle name="Normal 10 3 2 3 2 2" xfId="9215" xr:uid="{A96D1B7B-5F8C-4D05-9DC8-DE3645EF2A3D}"/>
    <cellStyle name="Normal 10 3 2 3 2 2 2" xfId="29208" xr:uid="{843C4DA1-F182-487D-80F5-0E6BE11C9AF5}"/>
    <cellStyle name="Normal 10 3 2 3 2 2 3" xfId="19595" xr:uid="{2E2CD963-89F6-41AE-88AD-9526C805221B}"/>
    <cellStyle name="Normal 10 3 2 3 2 3" xfId="12048" xr:uid="{3E76F8F7-3EC2-480D-BE7A-4019B720399F}"/>
    <cellStyle name="Normal 10 3 2 3 2 3 2" xfId="22428" xr:uid="{C1D9A5B9-0886-4A15-B4AC-905F0C43B983}"/>
    <cellStyle name="Normal 10 3 2 3 2 4" xfId="24900" xr:uid="{EF39CD07-3306-40C4-AC6B-FFC0565E7D10}"/>
    <cellStyle name="Normal 10 3 2 3 2 5" xfId="16762" xr:uid="{78EC5100-9684-4998-9F40-39204151AC55}"/>
    <cellStyle name="Normal 10 3 2 3 3" xfId="6192" xr:uid="{4FA7B985-F3FD-4BB1-BE6E-726FBE11C1C7}"/>
    <cellStyle name="Normal 10 3 2 3 3 2" xfId="28119" xr:uid="{CEA23EA0-2236-4A39-8BAD-FB0EC0DB315A}"/>
    <cellStyle name="Normal 10 3 2 3 3 3" xfId="15761" xr:uid="{9144E66A-91B6-4E51-ACAA-56ACDAF6CBAE}"/>
    <cellStyle name="Normal 10 3 2 3 4" xfId="8214" xr:uid="{0277978F-4825-43B0-B34A-710A6A851632}"/>
    <cellStyle name="Normal 10 3 2 3 4 2" xfId="18594" xr:uid="{72752379-22DD-4D52-BF80-11B385A74B1D}"/>
    <cellStyle name="Normal 10 3 2 3 5" xfId="11047" xr:uid="{1C342EAE-3E22-40BE-A5C7-8125513E85B4}"/>
    <cellStyle name="Normal 10 3 2 3 5 2" xfId="21427" xr:uid="{3BCAC77F-4504-4411-91D6-CDBAD0294ACA}"/>
    <cellStyle name="Normal 10 3 2 3 6" xfId="25054" xr:uid="{B1DA9158-FF4F-43E3-81BC-72A67E9F1FCA}"/>
    <cellStyle name="Normal 10 3 2 3 7" xfId="13655" xr:uid="{5F15AA7E-F44B-4554-B334-229175320190}"/>
    <cellStyle name="Normal 10 3 2 4" xfId="3132" xr:uid="{00000000-0005-0000-0000-000026030000}"/>
    <cellStyle name="Normal 10 3 2 4 2" xfId="6190" xr:uid="{B077E13E-CA6B-45D4-9087-D61876575884}"/>
    <cellStyle name="Normal 10 3 2 4 2 2" xfId="26602" xr:uid="{92FF2D64-E0F2-4AAB-81C6-B9C1DA63E523}"/>
    <cellStyle name="Normal 10 3 2 4 2 3" xfId="15759" xr:uid="{4B82FBAC-F2C9-4089-824F-815BB8080F6F}"/>
    <cellStyle name="Normal 10 3 2 4 3" xfId="8212" xr:uid="{B2BFB5DC-6009-4CCA-94A5-544F7797A084}"/>
    <cellStyle name="Normal 10 3 2 4 3 2" xfId="18592" xr:uid="{7E9BCD89-84C1-498B-B93E-51EAF88235C7}"/>
    <cellStyle name="Normal 10 3 2 4 4" xfId="11045" xr:uid="{E028B317-F9CA-4C90-B28A-1E0061DE4622}"/>
    <cellStyle name="Normal 10 3 2 4 4 2" xfId="21425" xr:uid="{66936DCA-6B75-429F-9723-956BD3D56201}"/>
    <cellStyle name="Normal 10 3 2 4 5" xfId="23280" xr:uid="{A2698027-CC44-496E-A047-99571E1CFE91}"/>
    <cellStyle name="Normal 10 3 2 4 6" xfId="13653" xr:uid="{B746249F-45B3-4BC8-9F06-58E0393BEAB6}"/>
    <cellStyle name="Normal 10 3 2 5" xfId="2539" xr:uid="{00000000-0005-0000-0000-000027030000}"/>
    <cellStyle name="Normal 10 3 2 5 2" xfId="5813" xr:uid="{3AFAD17B-9CB7-4043-92C4-690A02D02BCC}"/>
    <cellStyle name="Normal 10 3 2 5 2 2" xfId="28504" xr:uid="{EBF5EBE1-ED80-4526-AEB5-FBEF36F58529}"/>
    <cellStyle name="Normal 10 3 2 5 2 3" xfId="15211" xr:uid="{6989A562-4251-4F9F-8419-A33C25A59A25}"/>
    <cellStyle name="Normal 10 3 2 5 3" xfId="7664" xr:uid="{1831CD6D-9BE7-41B6-B199-6DCD146669B3}"/>
    <cellStyle name="Normal 10 3 2 5 3 2" xfId="18044" xr:uid="{BD83013A-EEF5-42AE-A6F5-16BD16D55753}"/>
    <cellStyle name="Normal 10 3 2 5 4" xfId="10497" xr:uid="{012ED8AA-B686-49AB-AFE6-52E2F18ECBDD}"/>
    <cellStyle name="Normal 10 3 2 5 4 2" xfId="20877" xr:uid="{DDCB5631-F786-43E1-AFAE-8891BC06A146}"/>
    <cellStyle name="Normal 10 3 2 5 5" xfId="24094" xr:uid="{81847829-8D06-4E14-B304-A1014F7064EF}"/>
    <cellStyle name="Normal 10 3 2 5 6" xfId="12927" xr:uid="{DF20E022-3898-4380-82B3-AC87090882AC}"/>
    <cellStyle name="Normal 10 3 2 6" xfId="2305" xr:uid="{00000000-0005-0000-0000-000022030000}"/>
    <cellStyle name="Normal 10 3 2 6 2" xfId="7432" xr:uid="{EAE563C9-0ED2-48F8-9124-2A92354E338C}"/>
    <cellStyle name="Normal 10 3 2 6 2 2" xfId="17812" xr:uid="{9E740C62-6C9B-4F4E-930E-6A6A3F2F3603}"/>
    <cellStyle name="Normal 10 3 2 6 3" xfId="10265" xr:uid="{49165BC3-52B0-4C24-A6C9-50659493E6C0}"/>
    <cellStyle name="Normal 10 3 2 6 3 2" xfId="20645" xr:uid="{9F65774C-CA03-4F18-9D11-43914841E605}"/>
    <cellStyle name="Normal 10 3 2 6 4" xfId="24223" xr:uid="{932920D9-C582-48DA-A395-DE5A8D4E9988}"/>
    <cellStyle name="Normal 10 3 2 6 5" xfId="14979" xr:uid="{58451BA6-A69A-4535-AEA4-F75B5AF1C6C4}"/>
    <cellStyle name="Normal 10 3 2 7" xfId="3836" xr:uid="{5DE2482C-58BB-48C3-BFAB-C7FEF5582713}"/>
    <cellStyle name="Normal 10 3 2 7 2" xfId="8669" xr:uid="{8DB17317-09E6-4641-BC0A-ED4C68F648C6}"/>
    <cellStyle name="Normal 10 3 2 7 2 2" xfId="19049" xr:uid="{353414D2-5965-4C88-9155-5637FB721339}"/>
    <cellStyle name="Normal 10 3 2 7 3" xfId="11502" xr:uid="{A50C2AEA-0E22-4976-9959-F2741F1D478D}"/>
    <cellStyle name="Normal 10 3 2 7 3 2" xfId="21882" xr:uid="{6537CBDA-0B47-4A02-9559-AE5B06F9477F}"/>
    <cellStyle name="Normal 10 3 2 7 4" xfId="16216" xr:uid="{D36FE6EB-A15E-44F2-8054-6C2B99B90891}"/>
    <cellStyle name="Normal 10 3 2 8" xfId="4992" xr:uid="{AABF2103-4513-4583-A363-6F64B000444F}"/>
    <cellStyle name="Normal 10 3 2 8 2" xfId="14287" xr:uid="{7022F2AB-98F8-4CC8-95C8-F55383562AED}"/>
    <cellStyle name="Normal 10 3 2 9" xfId="6740" xr:uid="{1FB954EC-E729-41E3-BF60-916B01A6773C}"/>
    <cellStyle name="Normal 10 3 2 9 2" xfId="17120" xr:uid="{066F68D1-A22B-4004-9509-9E7EFB117A42}"/>
    <cellStyle name="Normal 10 3 3" xfId="634" xr:uid="{00000000-0005-0000-0000-000026040000}"/>
    <cellStyle name="Normal 10 3 3 10" xfId="24635" xr:uid="{FC8A1D8D-9502-4418-BE56-E62F82A545E2}"/>
    <cellStyle name="Normal 10 3 3 11" xfId="12695" xr:uid="{107F9FA7-0259-4E3D-8341-5FD559C59C48}"/>
    <cellStyle name="Normal 10 3 3 2" xfId="2708" xr:uid="{00000000-0005-0000-0000-000029030000}"/>
    <cellStyle name="Normal 10 3 3 2 2" xfId="3136" xr:uid="{00000000-0005-0000-0000-00002A030000}"/>
    <cellStyle name="Normal 10 3 3 2 2 2" xfId="6194" xr:uid="{CD6BC6DD-65A0-4460-A783-00734090C10A}"/>
    <cellStyle name="Normal 10 3 3 2 2 2 2" xfId="27548" xr:uid="{F6E9DF03-CA51-4FF2-BF49-97DE818A30D7}"/>
    <cellStyle name="Normal 10 3 3 2 2 2 3" xfId="15763" xr:uid="{0C0BC6BF-440D-42B6-9B31-E981D40669B5}"/>
    <cellStyle name="Normal 10 3 3 2 2 3" xfId="8216" xr:uid="{E70CDCB3-2C59-4855-AC91-BC2EE6F71F41}"/>
    <cellStyle name="Normal 10 3 3 2 2 3 2" xfId="18596" xr:uid="{B6009367-2002-477F-ADA8-D12A52FB6F22}"/>
    <cellStyle name="Normal 10 3 3 2 2 4" xfId="11049" xr:uid="{511DD6FF-718F-40CE-8B3D-66AD6CA908FC}"/>
    <cellStyle name="Normal 10 3 3 2 2 4 2" xfId="21429" xr:uid="{2E00B27A-A42E-4F8B-B13D-BBB37244772E}"/>
    <cellStyle name="Normal 10 3 3 2 2 5" xfId="25087" xr:uid="{6363B84C-CDDF-4381-9906-941F5A74FE90}"/>
    <cellStyle name="Normal 10 3 3 2 2 6" xfId="13657" xr:uid="{F1911E96-22FE-4804-BF2B-2DC39E7E8FCF}"/>
    <cellStyle name="Normal 10 3 3 2 3" xfId="4286" xr:uid="{1084E21D-2F01-48DF-8530-0DD6342FD1D6}"/>
    <cellStyle name="Normal 10 3 3 2 3 2" xfId="9058" xr:uid="{3A87375D-5DC6-42E2-ACD4-630770DB3433}"/>
    <cellStyle name="Normal 10 3 3 2 3 2 2" xfId="29101" xr:uid="{8FB4BF09-347C-4E03-9A17-26F38F50AD2F}"/>
    <cellStyle name="Normal 10 3 3 2 3 2 3" xfId="19438" xr:uid="{F2F6F10E-DE6A-4D03-A63B-95C80F4D8ECB}"/>
    <cellStyle name="Normal 10 3 3 2 3 3" xfId="11891" xr:uid="{B5FEBB2C-18BD-4B11-9079-92D4D09B2BB6}"/>
    <cellStyle name="Normal 10 3 3 2 3 3 2" xfId="22271" xr:uid="{192847B9-433A-4DBD-8D2A-7ECB95F601F6}"/>
    <cellStyle name="Normal 10 3 3 2 3 4" xfId="24209" xr:uid="{CE8311F5-474D-495D-8F29-9C610027580A}"/>
    <cellStyle name="Normal 10 3 3 2 3 5" xfId="16605" xr:uid="{AA0CBE19-0038-472F-BE01-2DE5D8879BD4}"/>
    <cellStyle name="Normal 10 3 3 2 4" xfId="5926" xr:uid="{49AE9B8B-60D5-412E-A13F-852B75B379C2}"/>
    <cellStyle name="Normal 10 3 3 2 4 2" xfId="28293" xr:uid="{F2CB1B38-AB99-424C-B821-A6989D844967}"/>
    <cellStyle name="Normal 10 3 3 2 4 3" xfId="15379" xr:uid="{8864088A-97F7-4F3D-A94D-BC5AD6843D58}"/>
    <cellStyle name="Normal 10 3 3 2 5" xfId="7832" xr:uid="{AC1960BB-B33A-452C-9BAB-4826B5F1C111}"/>
    <cellStyle name="Normal 10 3 3 2 5 2" xfId="18212" xr:uid="{9738F909-F88A-4DA2-9ADF-3E9855FAB67C}"/>
    <cellStyle name="Normal 10 3 3 2 6" xfId="10665" xr:uid="{1713B0A9-4DFC-43D7-B3CB-4E5CCC9FB9E3}"/>
    <cellStyle name="Normal 10 3 3 2 6 2" xfId="21045" xr:uid="{67AD1D3A-BC95-4F8F-9E67-E20FAC2AEDBB}"/>
    <cellStyle name="Normal 10 3 3 2 7" xfId="24701" xr:uid="{579A7D72-7FBB-4A0B-8AC2-8B77510F8FBA}"/>
    <cellStyle name="Normal 10 3 3 2 8" xfId="13129" xr:uid="{6FCAC9DB-4A81-42EC-A4AF-158C0FC5212E}"/>
    <cellStyle name="Normal 10 3 3 3" xfId="3137" xr:uid="{00000000-0005-0000-0000-00002B030000}"/>
    <cellStyle name="Normal 10 3 3 3 2" xfId="4444" xr:uid="{F11CDAB9-888A-47CC-A013-7F0EA6C8B225}"/>
    <cellStyle name="Normal 10 3 3 3 2 2" xfId="9216" xr:uid="{7538ED8B-886C-49A0-B978-7D4B6B68CB80}"/>
    <cellStyle name="Normal 10 3 3 3 2 2 2" xfId="29209" xr:uid="{64ED5053-508E-494D-8FC0-805F9147E2BE}"/>
    <cellStyle name="Normal 10 3 3 3 2 2 3" xfId="19596" xr:uid="{76FD16F7-01B8-4248-A574-98D03BECB22C}"/>
    <cellStyle name="Normal 10 3 3 3 2 3" xfId="12049" xr:uid="{D05F6A24-CCAD-4391-AE37-AE46768AE2AA}"/>
    <cellStyle name="Normal 10 3 3 3 2 3 2" xfId="22429" xr:uid="{9CB67378-A7E5-4DFF-8039-EA53630F68B4}"/>
    <cellStyle name="Normal 10 3 3 3 2 4" xfId="25688" xr:uid="{59D31921-BD7B-410B-995B-A240C490AAC4}"/>
    <cellStyle name="Normal 10 3 3 3 2 5" xfId="16763" xr:uid="{41C32BF1-2AEF-4FCB-B0FB-832D71E9265B}"/>
    <cellStyle name="Normal 10 3 3 3 3" xfId="6195" xr:uid="{38472D4B-C516-4A45-A07C-56DE8DF449E4}"/>
    <cellStyle name="Normal 10 3 3 3 3 2" xfId="26855" xr:uid="{D4921790-E0C7-425A-8388-42044F8799DA}"/>
    <cellStyle name="Normal 10 3 3 3 3 3" xfId="15764" xr:uid="{80E669C7-FC3B-4E63-B72A-C7C6CC2DDC7B}"/>
    <cellStyle name="Normal 10 3 3 3 4" xfId="8217" xr:uid="{0736BEBB-3583-4FED-9AE4-002B3151CD49}"/>
    <cellStyle name="Normal 10 3 3 3 4 2" xfId="18597" xr:uid="{E149C1C9-FD91-4C75-B8C4-600B9FBC45EB}"/>
    <cellStyle name="Normal 10 3 3 3 5" xfId="11050" xr:uid="{2990E9DE-F821-4438-BA00-5B96F3E4EC3D}"/>
    <cellStyle name="Normal 10 3 3 3 5 2" xfId="21430" xr:uid="{CDD16F88-02D7-4B9A-B06B-6A19C7C01B37}"/>
    <cellStyle name="Normal 10 3 3 3 6" xfId="23028" xr:uid="{0EF7FB8A-31D6-40C1-8A48-66E85E1AE895}"/>
    <cellStyle name="Normal 10 3 3 3 7" xfId="13658" xr:uid="{5D07802A-295C-40F9-9CCC-ED8C4ABAD191}"/>
    <cellStyle name="Normal 10 3 3 4" xfId="3135" xr:uid="{00000000-0005-0000-0000-00002C030000}"/>
    <cellStyle name="Normal 10 3 3 4 2" xfId="6193" xr:uid="{CC2E32D4-5362-4611-AF3F-C0F3B40A61C9}"/>
    <cellStyle name="Normal 10 3 3 4 2 2" xfId="27850" xr:uid="{E7631E61-E7EB-487E-AFA4-2FDCD2DEF47E}"/>
    <cellStyle name="Normal 10 3 3 4 2 3" xfId="15762" xr:uid="{2BF59D66-C81C-499C-A46A-B1E17B24526C}"/>
    <cellStyle name="Normal 10 3 3 4 3" xfId="8215" xr:uid="{4B1740DF-DA70-4371-8F14-AB8C840FB985}"/>
    <cellStyle name="Normal 10 3 3 4 3 2" xfId="18595" xr:uid="{A18AFC81-B1D5-4A27-9E55-AA891CB5A47D}"/>
    <cellStyle name="Normal 10 3 3 4 4" xfId="11048" xr:uid="{A00259E1-939B-4EE5-B516-39DDAEFB0C33}"/>
    <cellStyle name="Normal 10 3 3 4 4 2" xfId="21428" xr:uid="{82B9EB5A-BF13-4A91-B6C3-D4633F88A1BF}"/>
    <cellStyle name="Normal 10 3 3 4 5" xfId="23475" xr:uid="{88365AA0-F73F-4C93-85F9-8056223A3BB7}"/>
    <cellStyle name="Normal 10 3 3 4 6" xfId="13656" xr:uid="{7AC675F4-EDE3-49BF-9A92-3810128595BF}"/>
    <cellStyle name="Normal 10 3 3 5" xfId="2641" xr:uid="{00000000-0005-0000-0000-00002D030000}"/>
    <cellStyle name="Normal 10 3 3 5 2" xfId="5903" xr:uid="{7317C662-3FFA-44C0-8540-BB269EC96C05}"/>
    <cellStyle name="Normal 10 3 3 5 2 2" xfId="28030" xr:uid="{4CBB18E1-F517-4DFF-847C-0B3F7CD6D389}"/>
    <cellStyle name="Normal 10 3 3 5 2 3" xfId="15313" xr:uid="{D2D60040-57CB-48AC-A06D-BA5300FEA18D}"/>
    <cellStyle name="Normal 10 3 3 5 3" xfId="7766" xr:uid="{65C29C45-4F49-4B4C-ACD4-B306EBC5733B}"/>
    <cellStyle name="Normal 10 3 3 5 3 2" xfId="18146" xr:uid="{1EE2A97B-CBB0-483E-BFD9-E0EBA9854283}"/>
    <cellStyle name="Normal 10 3 3 5 4" xfId="10599" xr:uid="{538FCF69-8E10-4AE3-BF4A-413C4FDB95A5}"/>
    <cellStyle name="Normal 10 3 3 5 4 2" xfId="20979" xr:uid="{CA4C8EE0-D68A-423B-AF9F-FEB3A83A347E}"/>
    <cellStyle name="Normal 10 3 3 5 5" xfId="24263" xr:uid="{9EE9879A-47D9-4A6A-B4AB-0EA40920AE79}"/>
    <cellStyle name="Normal 10 3 3 5 6" xfId="13030" xr:uid="{B3FC1032-6990-49BF-84CD-EA042BF26A29}"/>
    <cellStyle name="Normal 10 3 3 6" xfId="4147" xr:uid="{720A314B-D736-4B55-91D2-0A9538020FD9}"/>
    <cellStyle name="Normal 10 3 3 6 2" xfId="8919" xr:uid="{146BDAE5-801A-4480-9109-EF36CF3B3DAA}"/>
    <cellStyle name="Normal 10 3 3 6 2 2" xfId="19299" xr:uid="{F8E6BE30-8223-49EA-B7BC-C94DE5882EE1}"/>
    <cellStyle name="Normal 10 3 3 6 3" xfId="11752" xr:uid="{A25CFEF2-6593-4B5E-BD21-853D15FEBE47}"/>
    <cellStyle name="Normal 10 3 3 6 3 2" xfId="22132" xr:uid="{E2B4B273-0C6E-46FC-9E81-7BEC7BDA1D81}"/>
    <cellStyle name="Normal 10 3 3 6 4" xfId="24871" xr:uid="{6DEEF9DD-47F9-4373-AAF8-CDDE7FDB613C}"/>
    <cellStyle name="Normal 10 3 3 6 5" xfId="16466" xr:uid="{6F742FA1-D46B-4D41-83A7-CE84B26DD2D2}"/>
    <cellStyle name="Normal 10 3 3 7" xfId="4994" xr:uid="{76F195E5-F9BA-4629-A81C-7B3E73E89933}"/>
    <cellStyle name="Normal 10 3 3 7 2" xfId="14289" xr:uid="{793A3B51-E81A-4FCA-A6B8-8CAA78409040}"/>
    <cellStyle name="Normal 10 3 3 8" xfId="6742" xr:uid="{BB120FCB-8F6F-4A47-B67F-5468A5DC608A}"/>
    <cellStyle name="Normal 10 3 3 8 2" xfId="17122" xr:uid="{85583FF8-70AD-437B-93D6-4F13048E3AF1}"/>
    <cellStyle name="Normal 10 3 3 9" xfId="9575" xr:uid="{41F6E2E7-A077-43F8-9D5A-AD836BAB6389}"/>
    <cellStyle name="Normal 10 3 3 9 2" xfId="19955" xr:uid="{114E6468-8F35-48AA-8672-BACA8957B9DF}"/>
    <cellStyle name="Normal 10 3 4" xfId="635" xr:uid="{00000000-0005-0000-0000-000027040000}"/>
    <cellStyle name="Normal 10 3 4 2" xfId="3138" xr:uid="{00000000-0005-0000-0000-00002F030000}"/>
    <cellStyle name="Normal 10 3 4 2 2" xfId="6196" xr:uid="{EC9CB456-353B-44ED-8A95-68E8A608ACEA}"/>
    <cellStyle name="Normal 10 3 4 2 2 2" xfId="26079" xr:uid="{75B4E989-52C1-44C7-8D64-9F4442940882}"/>
    <cellStyle name="Normal 10 3 4 2 2 3" xfId="15765" xr:uid="{89FB9AF6-D2C0-4323-B17D-0D9743F23090}"/>
    <cellStyle name="Normal 10 3 4 2 3" xfId="8218" xr:uid="{D9E85761-58C7-4D3B-A2E5-044FD81D648F}"/>
    <cellStyle name="Normal 10 3 4 2 3 2" xfId="18598" xr:uid="{3AD4567C-F8F1-4839-95DF-E6D1F272F4E9}"/>
    <cellStyle name="Normal 10 3 4 2 4" xfId="11051" xr:uid="{D5C8DE77-E2A0-4247-806C-9D1FB1DA9EF6}"/>
    <cellStyle name="Normal 10 3 4 2 4 2" xfId="21431" xr:uid="{77712E07-E454-4FD2-841B-CDCBB182B862}"/>
    <cellStyle name="Normal 10 3 4 2 5" xfId="23008" xr:uid="{BDA9C7EB-35AD-4DBD-98B6-607A7BF34470}"/>
    <cellStyle name="Normal 10 3 4 2 6" xfId="13659" xr:uid="{C702F0AE-C2AB-4C81-997D-9B38F9C4558A}"/>
    <cellStyle name="Normal 10 3 4 3" xfId="4284" xr:uid="{727D90BB-C968-4920-862C-C2445E4027CE}"/>
    <cellStyle name="Normal 10 3 4 3 2" xfId="9056" xr:uid="{863D40C7-53A3-4DDB-B49D-A4C79F4AD3D9}"/>
    <cellStyle name="Normal 10 3 4 3 2 2" xfId="29099" xr:uid="{64B61225-A459-4345-8D2E-74E1F3B1BE4D}"/>
    <cellStyle name="Normal 10 3 4 3 2 3" xfId="19436" xr:uid="{4EC32CE8-1524-4A45-B50A-B559E9C19604}"/>
    <cellStyle name="Normal 10 3 4 3 3" xfId="11889" xr:uid="{84BC5F95-4EFD-4694-AFF7-81748F31181C}"/>
    <cellStyle name="Normal 10 3 4 3 3 2" xfId="22269" xr:uid="{E621FF38-7BB4-4CAD-B98F-3ED2F043755D}"/>
    <cellStyle name="Normal 10 3 4 3 4" xfId="24841" xr:uid="{874E08A6-1CA2-4DFD-BF71-3686E26141B8}"/>
    <cellStyle name="Normal 10 3 4 3 5" xfId="16603" xr:uid="{F19BB2E2-EA6D-4675-BBF3-E9766FA2DA92}"/>
    <cellStyle name="Normal 10 3 4 4" xfId="4995" xr:uid="{B3771ED7-7A4F-40E1-87A2-DD284B4D1FB0}"/>
    <cellStyle name="Normal 10 3 4 4 2" xfId="27711" xr:uid="{80240733-1F28-42D8-B52E-02AE0A900E69}"/>
    <cellStyle name="Normal 10 3 4 4 3" xfId="14290" xr:uid="{BC0FB313-E332-491A-A5A7-6B4708A96082}"/>
    <cellStyle name="Normal 10 3 4 5" xfId="6743" xr:uid="{B3EB4B11-BE2B-43D1-B380-671FAA13BD8B}"/>
    <cellStyle name="Normal 10 3 4 5 2" xfId="17123" xr:uid="{5F8A9B4C-9FF1-4D8C-9496-FB59C5921250}"/>
    <cellStyle name="Normal 10 3 4 6" xfId="9576" xr:uid="{6E895E4C-005B-4662-9C39-27B82A4CC90B}"/>
    <cellStyle name="Normal 10 3 4 6 2" xfId="19956" xr:uid="{6EC62299-454E-4B07-ACE0-9500222FE647}"/>
    <cellStyle name="Normal 10 3 4 7" xfId="25261" xr:uid="{9EC4ACD6-11A5-4535-A452-6040A01BCAA4}"/>
    <cellStyle name="Normal 10 3 4 8" xfId="13127" xr:uid="{5F516308-ACFA-4B49-ACB9-72422E653091}"/>
    <cellStyle name="Normal 10 3 5" xfId="3139" xr:uid="{00000000-0005-0000-0000-000030030000}"/>
    <cellStyle name="Normal 10 3 5 2" xfId="4445" xr:uid="{62BD4B13-781A-4338-ADA1-0DC58DB46F2D}"/>
    <cellStyle name="Normal 10 3 5 2 2" xfId="9217" xr:uid="{D51671E0-8C4B-44E4-868D-63BEE2417B69}"/>
    <cellStyle name="Normal 10 3 5 2 2 2" xfId="29210" xr:uid="{6B1E295B-F988-45A4-BC42-71E89C2D3DF1}"/>
    <cellStyle name="Normal 10 3 5 2 2 3" xfId="19597" xr:uid="{023E5AED-B5A8-49BA-8431-DBEBB38239BE}"/>
    <cellStyle name="Normal 10 3 5 2 3" xfId="12050" xr:uid="{909C78E4-B07A-4982-B196-49877638CD02}"/>
    <cellStyle name="Normal 10 3 5 2 3 2" xfId="22430" xr:uid="{A6376CE5-989F-4195-817F-5BEAB3B9170C}"/>
    <cellStyle name="Normal 10 3 5 2 4" xfId="22917" xr:uid="{77B4ADC0-A2C8-40E6-9F1C-F642C569F62A}"/>
    <cellStyle name="Normal 10 3 5 2 5" xfId="16764" xr:uid="{9C623E23-6903-4F72-9EE1-85955EAC33BA}"/>
    <cellStyle name="Normal 10 3 5 3" xfId="6197" xr:uid="{CE4477DA-1B11-4CBA-AD1A-7D1380E3DD0C}"/>
    <cellStyle name="Normal 10 3 5 3 2" xfId="28359" xr:uid="{609100A2-1C49-43BA-AFFB-B525D809C074}"/>
    <cellStyle name="Normal 10 3 5 3 3" xfId="15766" xr:uid="{E3A4951F-3AAB-42EB-8126-F57A869F346F}"/>
    <cellStyle name="Normal 10 3 5 4" xfId="8219" xr:uid="{310D63A0-24A3-4583-9A58-6F43F74A70F5}"/>
    <cellStyle name="Normal 10 3 5 4 2" xfId="18599" xr:uid="{473F5B53-4F3E-4867-A798-E2C5F0893558}"/>
    <cellStyle name="Normal 10 3 5 5" xfId="11052" xr:uid="{7D0B090E-B73A-4CEB-B990-6AEF5FBDED22}"/>
    <cellStyle name="Normal 10 3 5 5 2" xfId="21432" xr:uid="{1679AD0C-73AF-4ABB-A95F-69279A289615}"/>
    <cellStyle name="Normal 10 3 5 6" xfId="23809" xr:uid="{D907B0AC-9064-445B-82B3-C52D4CD7D1A4}"/>
    <cellStyle name="Normal 10 3 5 7" xfId="13660" xr:uid="{0BFE96D1-7E73-457E-8B74-D53EC3A2F9E0}"/>
    <cellStyle name="Normal 10 3 6" xfId="2891" xr:uid="{00000000-0005-0000-0000-000031030000}"/>
    <cellStyle name="Normal 10 3 6 2" xfId="6077" xr:uid="{63A2D3D4-354F-449C-B873-B13D65947A08}"/>
    <cellStyle name="Normal 10 3 6 2 2" xfId="25916" xr:uid="{7DE0E2F3-70A6-43B5-93B0-198AD3C5775D}"/>
    <cellStyle name="Normal 10 3 6 2 3" xfId="15555" xr:uid="{C889F172-5532-4A43-BB5E-6EFA80DE8FAA}"/>
    <cellStyle name="Normal 10 3 6 3" xfId="8008" xr:uid="{AD5B01FF-F810-4694-8B59-D841ABAC3A1D}"/>
    <cellStyle name="Normal 10 3 6 3 2" xfId="18388" xr:uid="{58414A3F-B83C-40A9-87CD-F6D074149D43}"/>
    <cellStyle name="Normal 10 3 6 4" xfId="10841" xr:uid="{68254EF4-AEDE-4D34-B040-74F5D68FD5F5}"/>
    <cellStyle name="Normal 10 3 6 4 2" xfId="21221" xr:uid="{3271912B-DD9A-4C23-A609-AD4A7076B685}"/>
    <cellStyle name="Normal 10 3 6 5" xfId="24750" xr:uid="{AD44433C-85A8-4C20-9673-689AB694C163}"/>
    <cellStyle name="Normal 10 3 6 6" xfId="13393" xr:uid="{94555134-64E5-494E-AB15-1E9A2FAA925D}"/>
    <cellStyle name="Normal 10 3 7" xfId="2479" xr:uid="{00000000-0005-0000-0000-000032030000}"/>
    <cellStyle name="Normal 10 3 7 2" xfId="5767" xr:uid="{35DABF79-AA0F-4397-B432-85D30F5B920E}"/>
    <cellStyle name="Normal 10 3 7 2 2" xfId="26005" xr:uid="{FBC0DBAE-8A1D-42BA-BF39-C45491425BDB}"/>
    <cellStyle name="Normal 10 3 7 2 3" xfId="15151" xr:uid="{46D098F0-24F6-4176-88F8-57985AC6B38B}"/>
    <cellStyle name="Normal 10 3 7 3" xfId="7604" xr:uid="{FA9123AC-D647-47A4-9914-D64BDD0110B6}"/>
    <cellStyle name="Normal 10 3 7 3 2" xfId="17984" xr:uid="{38861170-D29E-45DC-8318-4891B525C210}"/>
    <cellStyle name="Normal 10 3 7 4" xfId="10437" xr:uid="{DC90A635-41B1-4961-ACC7-F29EBD1693E0}"/>
    <cellStyle name="Normal 10 3 7 4 2" xfId="20817" xr:uid="{AC535C21-3E7B-4184-A68E-5617BE88C281}"/>
    <cellStyle name="Normal 10 3 7 5" xfId="25491" xr:uid="{C7698235-9481-465F-B45D-D05D6DF59E2A}"/>
    <cellStyle name="Normal 10 3 7 6" xfId="12867" xr:uid="{DA3547F9-157C-4BFC-B3B8-8754CCE8ABEC}"/>
    <cellStyle name="Normal 10 3 8" xfId="2233" xr:uid="{00000000-0005-0000-0000-000021030000}"/>
    <cellStyle name="Normal 10 3 8 2" xfId="7360" xr:uid="{72DDA263-81F6-43F0-8CA4-35ED37362871}"/>
    <cellStyle name="Normal 10 3 8 2 2" xfId="17740" xr:uid="{D0A43869-7421-42CA-AF8E-1A675A7319A5}"/>
    <cellStyle name="Normal 10 3 8 3" xfId="10193" xr:uid="{249BBC59-308D-4AB7-994C-5BA0CB273377}"/>
    <cellStyle name="Normal 10 3 8 3 2" xfId="20573" xr:uid="{B2AE14CA-27EC-4C5A-96EC-CF5A0B662E47}"/>
    <cellStyle name="Normal 10 3 8 4" xfId="23521" xr:uid="{DDCD5947-88AE-4CE7-AD1A-EE9946108DAD}"/>
    <cellStyle name="Normal 10 3 8 5" xfId="14907" xr:uid="{02D250B9-C265-425D-9921-FF6CCCAE255F}"/>
    <cellStyle name="Normal 10 3 9" xfId="3906" xr:uid="{DFAFEC0D-1123-40C7-8396-37B72A42A4E3}"/>
    <cellStyle name="Normal 10 3 9 2" xfId="8738" xr:uid="{0F6D0A89-C57D-4D60-909D-6327E96986AB}"/>
    <cellStyle name="Normal 10 3 9 2 2" xfId="19118" xr:uid="{F5AC2B97-3B86-43D1-AC13-952EA5581640}"/>
    <cellStyle name="Normal 10 3 9 3" xfId="11571" xr:uid="{A4405A67-BCE0-4793-905D-62F3F5DB56A9}"/>
    <cellStyle name="Normal 10 3 9 3 2" xfId="21951" xr:uid="{C3E35E6D-E8DA-48DB-A53C-AD965A433A5D}"/>
    <cellStyle name="Normal 10 3 9 4" xfId="16285" xr:uid="{7A4E722F-1587-42FD-B760-787107CE8583}"/>
    <cellStyle name="Normal 10 4" xfId="636" xr:uid="{00000000-0005-0000-0000-000028040000}"/>
    <cellStyle name="Normal 10 4 10" xfId="6744" xr:uid="{5920DC48-8D65-4018-A698-5A50362A0AE9}"/>
    <cellStyle name="Normal 10 4 10 2" xfId="17124" xr:uid="{44F67FD2-AE53-45BF-A513-ADCA8928DB4C}"/>
    <cellStyle name="Normal 10 4 11" xfId="9577" xr:uid="{B50B7FAB-23C0-4688-A51D-D6CD38E5B80C}"/>
    <cellStyle name="Normal 10 4 11 2" xfId="19957" xr:uid="{125C44FF-B7ED-432F-81AE-C213AA8C7EA1}"/>
    <cellStyle name="Normal 10 4 12" xfId="24682" xr:uid="{07D436A0-15B4-481A-8FE0-DDD06F0E7513}"/>
    <cellStyle name="Normal 10 4 13" xfId="12445" xr:uid="{9AC2E468-90FE-4AEA-8091-0C552D6D5FFB}"/>
    <cellStyle name="Normal 10 4 2" xfId="637" xr:uid="{00000000-0005-0000-0000-000029040000}"/>
    <cellStyle name="Normal 10 4 2 10" xfId="9578" xr:uid="{D4EA277E-FCC7-408B-9F3A-15E2DCB74069}"/>
    <cellStyle name="Normal 10 4 2 10 2" xfId="19958" xr:uid="{D6C62D71-8F1E-42A7-908F-5455BBDA1460}"/>
    <cellStyle name="Normal 10 4 2 11" xfId="25128" xr:uid="{BBCCF5EB-D03B-4D18-8B03-4B5ACA3F8E52}"/>
    <cellStyle name="Normal 10 4 2 12" xfId="12538" xr:uid="{67D8D94B-B82C-4209-95DD-0E71EBF554E7}"/>
    <cellStyle name="Normal 10 4 2 2" xfId="638" xr:uid="{00000000-0005-0000-0000-00002A040000}"/>
    <cellStyle name="Normal 10 4 2 2 2" xfId="3141" xr:uid="{00000000-0005-0000-0000-000036030000}"/>
    <cellStyle name="Normal 10 4 2 2 2 2" xfId="6199" xr:uid="{06F2B0D2-BE3F-4D5B-AE7B-D9F8BAA9692B}"/>
    <cellStyle name="Normal 10 4 2 2 2 2 2" xfId="26132" xr:uid="{EFF958C4-7ABB-4414-90EB-6A9CA6062F73}"/>
    <cellStyle name="Normal 10 4 2 2 2 2 3" xfId="28300" xr:uid="{E8C8467E-3FA8-4BAD-BD59-FD8074EF5103}"/>
    <cellStyle name="Normal 10 4 2 2 2 2 4" xfId="15768" xr:uid="{82792F97-AF95-4AE6-AA11-BB1C251B447A}"/>
    <cellStyle name="Normal 10 4 2 2 2 3" xfId="8221" xr:uid="{E8796C8C-6CB8-435E-9FAA-835CE642407F}"/>
    <cellStyle name="Normal 10 4 2 2 2 3 2" xfId="28867" xr:uid="{5C8AB1BF-315E-4194-950D-C7136336B9A1}"/>
    <cellStyle name="Normal 10 4 2 2 2 3 3" xfId="18601" xr:uid="{151C9F4C-E7BF-4FEC-B6A0-55545E0CB77B}"/>
    <cellStyle name="Normal 10 4 2 2 2 4" xfId="11054" xr:uid="{311656CA-3B45-45CB-A8D1-CA97EE9093C5}"/>
    <cellStyle name="Normal 10 4 2 2 2 4 2" xfId="21434" xr:uid="{9F359290-AB77-40CE-84DD-0746890789C4}"/>
    <cellStyle name="Normal 10 4 2 2 2 5" xfId="24714" xr:uid="{F315BE77-CBE9-40FF-A827-0A56A7F13A4E}"/>
    <cellStyle name="Normal 10 4 2 2 2 6" xfId="13662" xr:uid="{FC7B5103-5216-4ECD-BF0E-B0BF8325ADC0}"/>
    <cellStyle name="Normal 10 4 2 2 3" xfId="4287" xr:uid="{B33BE118-5B4D-42C0-8D8A-297D42D660E7}"/>
    <cellStyle name="Normal 10 4 2 2 3 2" xfId="9059" xr:uid="{011992E4-0B30-44AE-A330-84E6552E89A3}"/>
    <cellStyle name="Normal 10 4 2 2 3 2 2" xfId="29102" xr:uid="{EB6DCA00-11B9-45E4-850C-5A399C944CBC}"/>
    <cellStyle name="Normal 10 4 2 2 3 2 3" xfId="19439" xr:uid="{1E17F9D3-6FD9-4450-99BC-C17CF8C82ACF}"/>
    <cellStyle name="Normal 10 4 2 2 3 3" xfId="11892" xr:uid="{97A9FCD3-A616-4251-8DFA-44C6F1ADE11B}"/>
    <cellStyle name="Normal 10 4 2 2 3 3 2" xfId="22272" xr:uid="{B101FA82-953C-48BB-A152-913C8A344D20}"/>
    <cellStyle name="Normal 10 4 2 2 3 4" xfId="24821" xr:uid="{4F0432A1-A14C-4239-BDE4-C460D67AE82C}"/>
    <cellStyle name="Normal 10 4 2 2 3 5" xfId="16606" xr:uid="{322B70BC-6257-49F5-B228-4413C8E07220}"/>
    <cellStyle name="Normal 10 4 2 2 4" xfId="4998" xr:uid="{DAC04E3E-B1F8-4219-8EEB-0CCC0602482F}"/>
    <cellStyle name="Normal 10 4 2 2 4 2" xfId="27181" xr:uid="{6D7294A7-36FD-411B-8AA4-9FEE1CBCAF8E}"/>
    <cellStyle name="Normal 10 4 2 2 4 3" xfId="14293" xr:uid="{A0DBF87B-3249-475F-9F52-469F0EC7E109}"/>
    <cellStyle name="Normal 10 4 2 2 5" xfId="6746" xr:uid="{A4EB902D-3F9F-482C-86AD-9B66CF3E6B6F}"/>
    <cellStyle name="Normal 10 4 2 2 5 2" xfId="17126" xr:uid="{360D45F0-3803-4399-8218-0E713D188873}"/>
    <cellStyle name="Normal 10 4 2 2 6" xfId="9579" xr:uid="{6837B5A4-4671-4052-B884-5815B8212445}"/>
    <cellStyle name="Normal 10 4 2 2 6 2" xfId="19959" xr:uid="{F386D1A6-ABF7-4A9B-80BB-1D559C002524}"/>
    <cellStyle name="Normal 10 4 2 2 7" xfId="23060" xr:uid="{562739F2-F603-449E-9354-410FD527F77C}"/>
    <cellStyle name="Normal 10 4 2 2 8" xfId="13131" xr:uid="{9088F7F0-E3D0-4740-BC17-78C6ECDB3265}"/>
    <cellStyle name="Normal 10 4 2 3" xfId="3142" xr:uid="{00000000-0005-0000-0000-000037030000}"/>
    <cellStyle name="Normal 10 4 2 3 2" xfId="4446" xr:uid="{993D9A1E-0007-45A2-BDBD-615C6FF77875}"/>
    <cellStyle name="Normal 10 4 2 3 2 2" xfId="9218" xr:uid="{796D87CC-9C72-4436-9930-353404431198}"/>
    <cellStyle name="Normal 10 4 2 3 2 2 2" xfId="29211" xr:uid="{C9ABEA5E-0955-415D-B46F-B2F425FD2BEA}"/>
    <cellStyle name="Normal 10 4 2 3 2 2 3" xfId="19598" xr:uid="{947B9434-2737-4894-9CC1-886C18DE310E}"/>
    <cellStyle name="Normal 10 4 2 3 2 3" xfId="12051" xr:uid="{0017D429-C5F7-490A-95D2-40E3BACD14ED}"/>
    <cellStyle name="Normal 10 4 2 3 2 3 2" xfId="22431" xr:uid="{E15CCBB8-A745-4C41-8B06-D2E218F02349}"/>
    <cellStyle name="Normal 10 4 2 3 2 4" xfId="25646" xr:uid="{8EA90F6A-A0A5-454C-8877-AE245AD0F1CD}"/>
    <cellStyle name="Normal 10 4 2 3 2 5" xfId="16765" xr:uid="{D1707C35-54BC-42A0-B0DB-1F0221CD4D31}"/>
    <cellStyle name="Normal 10 4 2 3 3" xfId="6200" xr:uid="{3DA9AEB0-7430-4CD8-9759-403B2B29CB6E}"/>
    <cellStyle name="Normal 10 4 2 3 3 2" xfId="26248" xr:uid="{3988C583-4C03-4BA0-AD61-B9CD7F2D84B7}"/>
    <cellStyle name="Normal 10 4 2 3 3 3" xfId="15769" xr:uid="{9E97FCAA-40EF-49B6-BAB0-C8A96DEE02DB}"/>
    <cellStyle name="Normal 10 4 2 3 4" xfId="8222" xr:uid="{F9E0C1BB-B07A-45D9-A20E-5C7E023AFF5B}"/>
    <cellStyle name="Normal 10 4 2 3 4 2" xfId="18602" xr:uid="{5A7EDB01-41B1-4940-A948-C970566C72FF}"/>
    <cellStyle name="Normal 10 4 2 3 5" xfId="11055" xr:uid="{EABB47FE-094A-474B-A42F-A7A3FC429DAA}"/>
    <cellStyle name="Normal 10 4 2 3 5 2" xfId="21435" xr:uid="{45C324ED-D85E-4D25-862F-2C30CCA2847A}"/>
    <cellStyle name="Normal 10 4 2 3 6" xfId="22955" xr:uid="{BDD945F4-126B-4310-A9CC-2F9EAEE48A6C}"/>
    <cellStyle name="Normal 10 4 2 3 7" xfId="13663" xr:uid="{3E05150E-F02D-4C9A-AF6B-FB73AF8C6753}"/>
    <cellStyle name="Normal 10 4 2 4" xfId="3140" xr:uid="{00000000-0005-0000-0000-000038030000}"/>
    <cellStyle name="Normal 10 4 2 4 2" xfId="6198" xr:uid="{F68DC60C-0CB8-4A45-BAC8-8424ACFD301F}"/>
    <cellStyle name="Normal 10 4 2 4 2 2" xfId="27849" xr:uid="{BD935948-09BD-4AA5-82A6-309D057C86D6}"/>
    <cellStyle name="Normal 10 4 2 4 2 3" xfId="15767" xr:uid="{A4908460-27B0-484F-92FF-93FF6395B6CD}"/>
    <cellStyle name="Normal 10 4 2 4 3" xfId="8220" xr:uid="{8DA40B03-6080-411D-A100-B17AD3AAEB20}"/>
    <cellStyle name="Normal 10 4 2 4 3 2" xfId="18600" xr:uid="{210C5264-BF80-42B2-94FF-154D54786E94}"/>
    <cellStyle name="Normal 10 4 2 4 4" xfId="11053" xr:uid="{1B409DD8-EB9C-4B23-A0A3-166A63E15783}"/>
    <cellStyle name="Normal 10 4 2 4 4 2" xfId="21433" xr:uid="{83A1F8ED-7D53-4A69-89E7-AE220B6CF328}"/>
    <cellStyle name="Normal 10 4 2 4 5" xfId="24870" xr:uid="{6EC4A12D-7401-478A-88CC-9CEAEB506704}"/>
    <cellStyle name="Normal 10 4 2 4 6" xfId="13661" xr:uid="{88C1FCDE-2E73-41E3-8E0D-E934FA0EA4CD}"/>
    <cellStyle name="Normal 10 4 2 5" xfId="2622" xr:uid="{00000000-0005-0000-0000-000039030000}"/>
    <cellStyle name="Normal 10 4 2 5 2" xfId="5884" xr:uid="{7917804F-2066-4009-AC2B-830867C24119}"/>
    <cellStyle name="Normal 10 4 2 5 2 2" xfId="27756" xr:uid="{D102A650-5E04-4406-B6B7-8060D68E0AB1}"/>
    <cellStyle name="Normal 10 4 2 5 2 3" xfId="15294" xr:uid="{A8C87728-B097-4C76-A74E-DDF95D9FEE7C}"/>
    <cellStyle name="Normal 10 4 2 5 3" xfId="7747" xr:uid="{4B540000-AE30-4A5F-ADEB-495A25D7A052}"/>
    <cellStyle name="Normal 10 4 2 5 3 2" xfId="18127" xr:uid="{45E63A77-7412-4FF8-A4B0-6E92CBB14507}"/>
    <cellStyle name="Normal 10 4 2 5 4" xfId="10580" xr:uid="{C2A5C0CF-02E0-40E3-BA57-074EAA4B0557}"/>
    <cellStyle name="Normal 10 4 2 5 4 2" xfId="20960" xr:uid="{26DADC33-1F0D-4A63-AC2E-045E04BC48F6}"/>
    <cellStyle name="Normal 10 4 2 5 5" xfId="23695" xr:uid="{990F2A7C-A315-40A3-9E57-81A6FF4430F8}"/>
    <cellStyle name="Normal 10 4 2 5 6" xfId="13010" xr:uid="{3484E672-7684-4267-BB0F-3C5E93887B9E}"/>
    <cellStyle name="Normal 10 4 2 6" xfId="2306" xr:uid="{00000000-0005-0000-0000-000034030000}"/>
    <cellStyle name="Normal 10 4 2 6 2" xfId="7433" xr:uid="{BE5C89C6-840C-4D3D-9726-B49AF4747209}"/>
    <cellStyle name="Normal 10 4 2 6 2 2" xfId="17813" xr:uid="{954947CA-450C-4C41-AB3A-EB4432C2DD6E}"/>
    <cellStyle name="Normal 10 4 2 6 3" xfId="10266" xr:uid="{01117BE3-C7B3-4B34-B74A-E7A6E6080D2D}"/>
    <cellStyle name="Normal 10 4 2 6 3 2" xfId="20646" xr:uid="{7D36C5F0-7A94-445A-9AB6-40883BD93440}"/>
    <cellStyle name="Normal 10 4 2 6 4" xfId="25348" xr:uid="{5FF42BE9-003E-4F23-A987-93A9A6D87DA6}"/>
    <cellStyle name="Normal 10 4 2 6 5" xfId="14980" xr:uid="{BBD008D9-0D26-492B-8B56-9A8562448128}"/>
    <cellStyle name="Normal 10 4 2 7" xfId="3837" xr:uid="{7142DFA1-FE94-4334-A0D7-6C68B979514B}"/>
    <cellStyle name="Normal 10 4 2 7 2" xfId="8670" xr:uid="{384817B5-8FD6-4447-BB73-A5B71EE33F12}"/>
    <cellStyle name="Normal 10 4 2 7 2 2" xfId="19050" xr:uid="{46EA25DB-CEB0-45D5-85EE-E6E6C3B22B7B}"/>
    <cellStyle name="Normal 10 4 2 7 3" xfId="11503" xr:uid="{B1C3691F-7152-4061-9FCA-DA33E83D3158}"/>
    <cellStyle name="Normal 10 4 2 7 3 2" xfId="21883" xr:uid="{33FCF75F-0A24-4BC5-923D-974A5A02D885}"/>
    <cellStyle name="Normal 10 4 2 7 4" xfId="16217" xr:uid="{38104868-A40D-4F57-8878-59FCCA185F3D}"/>
    <cellStyle name="Normal 10 4 2 8" xfId="4997" xr:uid="{F5620966-7500-46ED-ADF1-F39A527642D9}"/>
    <cellStyle name="Normal 10 4 2 8 2" xfId="14292" xr:uid="{D9E36E45-AB1F-4C71-B895-C81DBBE23A85}"/>
    <cellStyle name="Normal 10 4 2 9" xfId="6745" xr:uid="{3B20EA16-B0DA-4F52-80D8-4A1A0A0C6CA7}"/>
    <cellStyle name="Normal 10 4 2 9 2" xfId="17125" xr:uid="{D75970FD-2A89-47B8-99E7-A2D9AB51E08D}"/>
    <cellStyle name="Normal 10 4 3" xfId="639" xr:uid="{00000000-0005-0000-0000-00002B040000}"/>
    <cellStyle name="Normal 10 4 3 2" xfId="3143" xr:uid="{00000000-0005-0000-0000-00003B030000}"/>
    <cellStyle name="Normal 10 4 3 2 2" xfId="6201" xr:uid="{8F85BE44-7EF3-4891-845F-2DCD5C213315}"/>
    <cellStyle name="Normal 10 4 3 2 2 2" xfId="24702" xr:uid="{1F5188A0-6D56-4E17-B88D-A7F231F86F17}"/>
    <cellStyle name="Normal 10 4 3 2 2 3" xfId="25959" xr:uid="{081438D6-0364-449B-92F6-660801982FCC}"/>
    <cellStyle name="Normal 10 4 3 2 2 4" xfId="15770" xr:uid="{73B2B1C6-F505-4F47-89A5-6CD78220D768}"/>
    <cellStyle name="Normal 10 4 3 2 3" xfId="8223" xr:uid="{CB49CE44-5EDE-4732-AF65-C4DEDE36D4C3}"/>
    <cellStyle name="Normal 10 4 3 2 3 2" xfId="28868" xr:uid="{2DF24A94-F17A-48E4-9285-3B04406C1BF2}"/>
    <cellStyle name="Normal 10 4 3 2 3 3" xfId="18603" xr:uid="{78738C8F-D1EA-446D-9460-7CA52EF59C6F}"/>
    <cellStyle name="Normal 10 4 3 2 4" xfId="11056" xr:uid="{4029CED2-7EB8-4117-B79B-450103ADD0FA}"/>
    <cellStyle name="Normal 10 4 3 2 4 2" xfId="21436" xr:uid="{89715F7D-B3FC-47EA-A310-712CF50AEFEA}"/>
    <cellStyle name="Normal 10 4 3 2 5" xfId="25533" xr:uid="{6A394A0E-95C8-4E61-97DD-6E9845B52B8B}"/>
    <cellStyle name="Normal 10 4 3 2 6" xfId="13664" xr:uid="{8C4953EC-805E-4453-9DBF-E6316EA73EFA}"/>
    <cellStyle name="Normal 10 4 3 3" xfId="2709" xr:uid="{00000000-0005-0000-0000-00003C030000}"/>
    <cellStyle name="Normal 10 4 3 3 2" xfId="5927" xr:uid="{E87DED74-5821-4857-BC63-6E961DE4D68E}"/>
    <cellStyle name="Normal 10 4 3 3 2 2" xfId="26870" xr:uid="{1AB606FD-7B4A-4E77-9ED0-D6A0BE3B2D8A}"/>
    <cellStyle name="Normal 10 4 3 3 2 3" xfId="15380" xr:uid="{BECC7A84-5C45-406F-B230-8C7832F7B885}"/>
    <cellStyle name="Normal 10 4 3 3 3" xfId="7833" xr:uid="{E69B4CBA-360D-49EB-A290-5485BDB1CBD4}"/>
    <cellStyle name="Normal 10 4 3 3 3 2" xfId="18213" xr:uid="{ADC9A054-D12B-485F-B2B5-93D9AA501CFE}"/>
    <cellStyle name="Normal 10 4 3 3 4" xfId="10666" xr:uid="{599ACBAD-8074-481F-8522-B8A6AA968E3A}"/>
    <cellStyle name="Normal 10 4 3 3 4 2" xfId="21046" xr:uid="{AF954BE9-B8D8-488D-B848-D1C6059FC95C}"/>
    <cellStyle name="Normal 10 4 3 3 5" xfId="24080" xr:uid="{E1FA7AE9-4B99-48AE-A6C0-8B9A1136EE4D}"/>
    <cellStyle name="Normal 10 4 3 3 6" xfId="13130" xr:uid="{348E9538-5BF6-4A8B-B83B-885F374C5708}"/>
    <cellStyle name="Normal 10 4 3 4" xfId="4148" xr:uid="{070D1809-360B-4990-A48A-9E25559891D3}"/>
    <cellStyle name="Normal 10 4 3 4 2" xfId="8920" xr:uid="{C14CCB26-7312-4AD7-833C-AB9D9B8AAB42}"/>
    <cellStyle name="Normal 10 4 3 4 2 2" xfId="29019" xr:uid="{2BCAA687-A7A8-4059-BAD7-6FAFAC315C04}"/>
    <cellStyle name="Normal 10 4 3 4 2 3" xfId="19300" xr:uid="{B0FCB9C4-92EC-4CA7-8EB0-9A23ED324B83}"/>
    <cellStyle name="Normal 10 4 3 4 3" xfId="11753" xr:uid="{CD4AEE46-359D-48CB-9B99-8C7A97D1F520}"/>
    <cellStyle name="Normal 10 4 3 4 3 2" xfId="22133" xr:uid="{8DAD3DEC-E9A7-495A-89B7-F14352CB269B}"/>
    <cellStyle name="Normal 10 4 3 4 4" xfId="25015" xr:uid="{2902129C-7B15-4B58-83AE-8C5C219BCA07}"/>
    <cellStyle name="Normal 10 4 3 4 5" xfId="16467" xr:uid="{A188AB4A-1B58-4C30-8023-79EA61F360E0}"/>
    <cellStyle name="Normal 10 4 3 5" xfId="4999" xr:uid="{D198BE66-4998-4CAE-9F89-01324D1C2DE2}"/>
    <cellStyle name="Normal 10 4 3 5 2" xfId="27212" xr:uid="{E7120924-463D-4C57-B848-00559370920B}"/>
    <cellStyle name="Normal 10 4 3 5 3" xfId="14294" xr:uid="{A453E66D-77BC-4EB6-BE7F-5AAD45936D9F}"/>
    <cellStyle name="Normal 10 4 3 6" xfId="6747" xr:uid="{03C4DB5A-EABD-457E-A697-0F4671C8956C}"/>
    <cellStyle name="Normal 10 4 3 6 2" xfId="17127" xr:uid="{41EE90C5-6814-4D0A-9303-2F921AE41FCC}"/>
    <cellStyle name="Normal 10 4 3 7" xfId="9580" xr:uid="{4F105625-756E-480C-B94F-3F476E725CBC}"/>
    <cellStyle name="Normal 10 4 3 7 2" xfId="19960" xr:uid="{3F4E1114-A756-4379-96E3-1E614F3FC23F}"/>
    <cellStyle name="Normal 10 4 3 8" xfId="23735" xr:uid="{D3699B06-F6E4-4343-BA14-3AFD9E6C5024}"/>
    <cellStyle name="Normal 10 4 3 9" xfId="12696" xr:uid="{B2FFDC8E-DEA9-4E59-9738-598153DBA741}"/>
    <cellStyle name="Normal 10 4 4" xfId="640" xr:uid="{00000000-0005-0000-0000-00002C040000}"/>
    <cellStyle name="Normal 10 4 4 2" xfId="4447" xr:uid="{FED6DE40-C019-4713-873E-099153FC2462}"/>
    <cellStyle name="Normal 10 4 4 2 2" xfId="9219" xr:uid="{ADDE207E-B207-4521-AA01-418E8FD87EAC}"/>
    <cellStyle name="Normal 10 4 4 2 2 2" xfId="29212" xr:uid="{0117A776-8209-429E-B511-2166081CE8C5}"/>
    <cellStyle name="Normal 10 4 4 2 2 3" xfId="19599" xr:uid="{758C5FCF-8A69-40A6-A8FC-9F17C6AFC487}"/>
    <cellStyle name="Normal 10 4 4 2 3" xfId="12052" xr:uid="{0CB694A1-516B-435E-8AD8-D7D9EEE10627}"/>
    <cellStyle name="Normal 10 4 4 2 3 2" xfId="22432" xr:uid="{1F5E7C9E-7277-4887-8E27-6B294F10874B}"/>
    <cellStyle name="Normal 10 4 4 2 4" xfId="24844" xr:uid="{448F5F0F-3DCC-4A78-870C-B32C436A8893}"/>
    <cellStyle name="Normal 10 4 4 2 5" xfId="16766" xr:uid="{214A2348-DC70-4C8D-A503-8F33E34207FB}"/>
    <cellStyle name="Normal 10 4 4 3" xfId="5000" xr:uid="{4EC831B8-43EE-4E74-BE6D-34012E779941}"/>
    <cellStyle name="Normal 10 4 4 3 2" xfId="26612" xr:uid="{F2478B7F-F2C5-4DAB-B8D5-13B59E8F8C2C}"/>
    <cellStyle name="Normal 10 4 4 3 3" xfId="14295" xr:uid="{4BD185A4-710F-4A33-93A6-B29A09C48BC3}"/>
    <cellStyle name="Normal 10 4 4 4" xfId="6748" xr:uid="{ACF83967-AFFD-4259-B641-CDF2E52DB754}"/>
    <cellStyle name="Normal 10 4 4 4 2" xfId="17128" xr:uid="{B3998039-080B-449A-8BB8-E6DFB21D490A}"/>
    <cellStyle name="Normal 10 4 4 5" xfId="9581" xr:uid="{0315C2AD-26DD-44A0-BC81-2138529DB183}"/>
    <cellStyle name="Normal 10 4 4 5 2" xfId="19961" xr:uid="{D93830F2-A53A-48E8-9C81-32A1C026D838}"/>
    <cellStyle name="Normal 10 4 4 6" xfId="22691" xr:uid="{05A5BCF4-7269-4638-ADA4-BCC60A0C206E}"/>
    <cellStyle name="Normal 10 4 4 7" xfId="13665" xr:uid="{CD3F9ABD-7191-4096-9CF6-ECB8A76C26A1}"/>
    <cellStyle name="Normal 10 4 5" xfId="2892" xr:uid="{00000000-0005-0000-0000-00003E030000}"/>
    <cellStyle name="Normal 10 4 5 2" xfId="6078" xr:uid="{EE912FDA-3587-4907-B455-C7712AB88464}"/>
    <cellStyle name="Normal 10 4 5 2 2" xfId="24998" xr:uid="{F76EBA85-BD92-4A09-B34F-0106A2D1DA3C}"/>
    <cellStyle name="Normal 10 4 5 2 3" xfId="26003" xr:uid="{B764BD81-9438-4D8D-92F1-EB1BB9AF4B44}"/>
    <cellStyle name="Normal 10 4 5 2 4" xfId="15556" xr:uid="{D06332D8-C06B-43DF-BF3F-83CBA4628405}"/>
    <cellStyle name="Normal 10 4 5 3" xfId="8009" xr:uid="{CE8C9C37-020C-4A8B-94F1-20CBF2F8BF50}"/>
    <cellStyle name="Normal 10 4 5 3 2" xfId="27917" xr:uid="{840F7BC9-A550-48E0-B7AE-996D58D5931E}"/>
    <cellStyle name="Normal 10 4 5 3 3" xfId="18389" xr:uid="{123E7895-5FD6-4BD2-B883-866B21142F08}"/>
    <cellStyle name="Normal 10 4 5 4" xfId="10842" xr:uid="{6270DEFA-E90F-4669-AEEE-BABC43DA7B6F}"/>
    <cellStyle name="Normal 10 4 5 4 2" xfId="21222" xr:uid="{7F47293F-5670-4749-A092-33C076919B41}"/>
    <cellStyle name="Normal 10 4 5 5" xfId="23793" xr:uid="{358142E0-908E-4AAE-B622-B79C6883EFF6}"/>
    <cellStyle name="Normal 10 4 5 6" xfId="13394" xr:uid="{F7E2404C-B0F7-4039-9E3C-735C7B365134}"/>
    <cellStyle name="Normal 10 4 6" xfId="2459" xr:uid="{00000000-0005-0000-0000-00003F030000}"/>
    <cellStyle name="Normal 10 4 6 2" xfId="5751" xr:uid="{0F23FB93-E217-41B5-ABF7-350F5ACA6F09}"/>
    <cellStyle name="Normal 10 4 6 2 2" xfId="28044" xr:uid="{8F6684C6-94DC-4FB6-B196-01445336A2BA}"/>
    <cellStyle name="Normal 10 4 6 2 3" xfId="15131" xr:uid="{2DF106B1-9B11-4BE2-B006-712D322DCFB7}"/>
    <cellStyle name="Normal 10 4 6 3" xfId="7584" xr:uid="{82E8652B-3E60-4EBE-B46C-ADDBB56DA047}"/>
    <cellStyle name="Normal 10 4 6 3 2" xfId="17964" xr:uid="{436F72D8-A605-401A-908A-B0DBEA597B52}"/>
    <cellStyle name="Normal 10 4 6 4" xfId="10417" xr:uid="{A0533D02-5157-40E1-A203-2FECB84DE265}"/>
    <cellStyle name="Normal 10 4 6 4 2" xfId="20797" xr:uid="{79DB107B-E074-4A46-805C-95DF99F83734}"/>
    <cellStyle name="Normal 10 4 6 5" xfId="24672" xr:uid="{3D96A320-90F3-41AB-B2A1-89FF4A0B9F65}"/>
    <cellStyle name="Normal 10 4 6 6" xfId="12847" xr:uid="{08DCF182-B7AD-4771-9695-0E35C8C1E668}"/>
    <cellStyle name="Normal 10 4 7" xfId="2213" xr:uid="{00000000-0005-0000-0000-000033030000}"/>
    <cellStyle name="Normal 10 4 7 2" xfId="7340" xr:uid="{BE331FC6-BE1F-4BA6-AB16-71F52CB804EC}"/>
    <cellStyle name="Normal 10 4 7 2 2" xfId="17720" xr:uid="{0871289B-5172-4539-A590-E8E25D2E3C85}"/>
    <cellStyle name="Normal 10 4 7 3" xfId="10173" xr:uid="{E60D71B5-629D-4C19-AE8A-9AB81C5D8AD5}"/>
    <cellStyle name="Normal 10 4 7 3 2" xfId="20553" xr:uid="{FDCD28BB-B3A4-4792-9841-DCC21490CF0B}"/>
    <cellStyle name="Normal 10 4 7 4" xfId="23795" xr:uid="{3E0EE174-F350-44F2-9E95-FE2DB17BBCFF}"/>
    <cellStyle name="Normal 10 4 7 5" xfId="14887" xr:uid="{71D0AC05-FEF8-4414-B6D8-72B294B5EF98}"/>
    <cellStyle name="Normal 10 4 8" xfId="3907" xr:uid="{E3CE3152-8EE9-4765-97AE-16B5954DFA2E}"/>
    <cellStyle name="Normal 10 4 8 2" xfId="8739" xr:uid="{FBF29ED0-88FE-4D24-B021-2C77A98FAD44}"/>
    <cellStyle name="Normal 10 4 8 2 2" xfId="19119" xr:uid="{8E9E50EC-59FF-49B7-8FA7-842DC8E7714B}"/>
    <cellStyle name="Normal 10 4 8 3" xfId="11572" xr:uid="{94E00386-5F15-48F7-A089-4B70EBC6EC14}"/>
    <cellStyle name="Normal 10 4 8 3 2" xfId="21952" xr:uid="{22A81BC2-86F5-4CA8-B327-6A8EB93F4376}"/>
    <cellStyle name="Normal 10 4 8 4" xfId="16286" xr:uid="{B590C8A2-F06D-459F-9E43-58AD1DF85E43}"/>
    <cellStyle name="Normal 10 4 9" xfId="4996" xr:uid="{40C4E1E8-B710-44B3-B4BB-CE66911A92FA}"/>
    <cellStyle name="Normal 10 4 9 2" xfId="14291" xr:uid="{149E8972-AEFC-4542-8FFD-BE8B167B9E89}"/>
    <cellStyle name="Normal 10 5" xfId="641" xr:uid="{00000000-0005-0000-0000-00002D040000}"/>
    <cellStyle name="Normal 10 5 10" xfId="9582" xr:uid="{3D2B9324-A82E-4310-BA59-5AAAC4517DA5}"/>
    <cellStyle name="Normal 10 5 10 2" xfId="19962" xr:uid="{2A62569E-31BE-42E9-8263-EB5CA8F29318}"/>
    <cellStyle name="Normal 10 5 11" xfId="22742" xr:uid="{02FDCA8D-FC0E-421D-8178-10DA43CB3C64}"/>
    <cellStyle name="Normal 10 5 12" xfId="12539" xr:uid="{3E9093EA-65F2-4765-9D30-4458D25DA0AC}"/>
    <cellStyle name="Normal 10 5 2" xfId="642" xr:uid="{00000000-0005-0000-0000-00002E040000}"/>
    <cellStyle name="Normal 10 5 2 2" xfId="643" xr:uid="{00000000-0005-0000-0000-00002F040000}"/>
    <cellStyle name="Normal 10 5 2 2 2" xfId="5003" xr:uid="{13D49CC8-AF93-4DCC-BD3F-FEAC19EECBB2}"/>
    <cellStyle name="Normal 10 5 2 2 2 2" xfId="24669" xr:uid="{BB52119C-4708-4E9D-B6D8-6144069A5569}"/>
    <cellStyle name="Normal 10 5 2 2 2 3" xfId="26414" xr:uid="{4B6F5A75-3F2A-4C3B-A9D7-7C32620B3E88}"/>
    <cellStyle name="Normal 10 5 2 2 2 4" xfId="14298" xr:uid="{6A7D45E9-B50D-49D4-9206-BF6526123D9A}"/>
    <cellStyle name="Normal 10 5 2 2 3" xfId="6751" xr:uid="{1E5737D2-CB2F-4760-B114-DEA854BDCBAF}"/>
    <cellStyle name="Normal 10 5 2 2 3 2" xfId="27557" xr:uid="{DAD4E840-AE7B-4604-88DE-1DA4F46BC69D}"/>
    <cellStyle name="Normal 10 5 2 2 3 3" xfId="28231" xr:uid="{3903B8F2-BFE6-4927-92BC-837A5CA78D6C}"/>
    <cellStyle name="Normal 10 5 2 2 3 4" xfId="17131" xr:uid="{F1F2EFC7-890A-42A4-8F8F-1B2CDB6CC3EC}"/>
    <cellStyle name="Normal 10 5 2 2 4" xfId="9584" xr:uid="{CAD3B168-4B51-4F45-A4A6-B0EF52358EEC}"/>
    <cellStyle name="Normal 10 5 2 2 4 2" xfId="29362" xr:uid="{A58EEC2B-C5A6-4934-828C-ACC0AFE19E0D}"/>
    <cellStyle name="Normal 10 5 2 2 4 3" xfId="19964" xr:uid="{F3835EC0-EA80-433B-9448-5E8DA8E2DE32}"/>
    <cellStyle name="Normal 10 5 2 2 5" xfId="24433" xr:uid="{F7137F87-C20B-4970-8EB6-9521C484C005}"/>
    <cellStyle name="Normal 10 5 2 2 6" xfId="13666" xr:uid="{96944166-BF2D-4EC8-AF70-F2B3AC679B41}"/>
    <cellStyle name="Normal 10 5 2 3" xfId="2710" xr:uid="{00000000-0005-0000-0000-000043030000}"/>
    <cellStyle name="Normal 10 5 2 3 2" xfId="5928" xr:uid="{772520A7-40DF-45D0-9E4E-FD7AF4BB6A20}"/>
    <cellStyle name="Normal 10 5 2 3 2 2" xfId="27375" xr:uid="{7A3A82BE-EB4F-476B-B6FD-7DF6A1D7563E}"/>
    <cellStyle name="Normal 10 5 2 3 2 3" xfId="15381" xr:uid="{7C1A99EC-7531-413E-B4BB-B21DCD684756}"/>
    <cellStyle name="Normal 10 5 2 3 3" xfId="7834" xr:uid="{805BA3C6-0E3E-41ED-A52D-7F9F85B1D98D}"/>
    <cellStyle name="Normal 10 5 2 3 3 2" xfId="18214" xr:uid="{917B624F-01F8-4CA3-A25A-91E857DFFD2F}"/>
    <cellStyle name="Normal 10 5 2 3 4" xfId="10667" xr:uid="{9FAF3AC9-C2DE-40F2-9886-9CD6589B79B0}"/>
    <cellStyle name="Normal 10 5 2 3 4 2" xfId="21047" xr:uid="{82B45561-8EBB-40BF-92C0-375D1B890D86}"/>
    <cellStyle name="Normal 10 5 2 3 5" xfId="23285" xr:uid="{6A6ACFC4-79D8-40A9-B65B-0910BE26AEF2}"/>
    <cellStyle name="Normal 10 5 2 3 6" xfId="13132" xr:uid="{681CAA0D-E8B8-49BA-B0B3-28EF143CAD39}"/>
    <cellStyle name="Normal 10 5 2 4" xfId="4149" xr:uid="{4C14400C-E34E-4C01-8887-3A8C6B63E03D}"/>
    <cellStyle name="Normal 10 5 2 4 2" xfId="8921" xr:uid="{4C48EBA9-F59B-44C9-A24D-4C314E207F08}"/>
    <cellStyle name="Normal 10 5 2 4 2 2" xfId="29020" xr:uid="{850F509F-AFB1-43C9-A790-A6106DBEC02C}"/>
    <cellStyle name="Normal 10 5 2 4 2 3" xfId="19301" xr:uid="{DDEA77CE-47E8-4C55-B8CA-A51C47F69F9B}"/>
    <cellStyle name="Normal 10 5 2 4 3" xfId="11754" xr:uid="{8A2BC8F2-81EF-4856-B76C-10D0DB1454DD}"/>
    <cellStyle name="Normal 10 5 2 4 3 2" xfId="22134" xr:uid="{E7DDCA76-C229-4331-8EAB-786FA0788B6F}"/>
    <cellStyle name="Normal 10 5 2 4 4" xfId="24229" xr:uid="{9CBC4316-7037-4C1A-BDDA-46CE9450F7A3}"/>
    <cellStyle name="Normal 10 5 2 4 5" xfId="16468" xr:uid="{506FDB89-9F30-4141-8870-1C8528927F5A}"/>
    <cellStyle name="Normal 10 5 2 5" xfId="5002" xr:uid="{E18094E2-C432-45DE-95D6-D948243380F5}"/>
    <cellStyle name="Normal 10 5 2 5 2" xfId="27228" xr:uid="{6371D496-E745-437C-B631-0188C249A7EB}"/>
    <cellStyle name="Normal 10 5 2 5 3" xfId="14297" xr:uid="{51A22F7E-012E-46DF-8F82-3FEC58DCF068}"/>
    <cellStyle name="Normal 10 5 2 6" xfId="6750" xr:uid="{2A293268-34C3-48B4-9B72-611DF3FD6758}"/>
    <cellStyle name="Normal 10 5 2 6 2" xfId="17130" xr:uid="{F5AF693C-6D25-4EB1-80B9-1AED14FDC168}"/>
    <cellStyle name="Normal 10 5 2 7" xfId="9583" xr:uid="{80B9C11C-C180-499F-94BA-C2393C403DCA}"/>
    <cellStyle name="Normal 10 5 2 7 2" xfId="19963" xr:uid="{50467DCE-313E-4E47-9BF5-3DD2E127CD9A}"/>
    <cellStyle name="Normal 10 5 2 8" xfId="24850" xr:uid="{090F4E05-A381-40D4-83E2-B26A823EB859}"/>
    <cellStyle name="Normal 10 5 2 9" xfId="12697" xr:uid="{1183FED9-4BD0-4E2F-B2A2-2A128B767239}"/>
    <cellStyle name="Normal 10 5 3" xfId="644" xr:uid="{00000000-0005-0000-0000-000030040000}"/>
    <cellStyle name="Normal 10 5 3 2" xfId="4448" xr:uid="{0A89EA51-063E-43AC-A1E7-E9682E1A5497}"/>
    <cellStyle name="Normal 10 5 3 2 2" xfId="9220" xr:uid="{BEC788BE-A140-47A0-B3F9-6E478422E98D}"/>
    <cellStyle name="Normal 10 5 3 2 2 2" xfId="29213" xr:uid="{DABD82A6-5D8A-4CD2-A5BA-EA9936FF7A45}"/>
    <cellStyle name="Normal 10 5 3 2 2 3" xfId="19600" xr:uid="{1516450A-92D9-4C04-A5EF-E0289F31968B}"/>
    <cellStyle name="Normal 10 5 3 2 3" xfId="12053" xr:uid="{450FDA87-BE48-4598-9290-D9138991DE06}"/>
    <cellStyle name="Normal 10 5 3 2 3 2" xfId="22433" xr:uid="{BC9E09BB-F40E-48A8-BF2D-26B7FBEB0079}"/>
    <cellStyle name="Normal 10 5 3 2 4" xfId="23609" xr:uid="{E0D3A3F8-EB89-463E-A537-660C646B716F}"/>
    <cellStyle name="Normal 10 5 3 2 5" xfId="16767" xr:uid="{A73D3805-4815-48AE-91F3-8E8A74EFB2F3}"/>
    <cellStyle name="Normal 10 5 3 3" xfId="5004" xr:uid="{2370935C-0FC5-43A0-B006-381702E8725C}"/>
    <cellStyle name="Normal 10 5 3 3 2" xfId="25810" xr:uid="{D470DAD1-5445-4CFC-8A2E-461D6B61F8AB}"/>
    <cellStyle name="Normal 10 5 3 3 3" xfId="27073" xr:uid="{B3BFE8E5-F51E-4A6E-A205-5A81DABFDB4F}"/>
    <cellStyle name="Normal 10 5 3 3 4" xfId="14299" xr:uid="{F97CC1F0-6D94-4297-99C7-E2005BFF54E9}"/>
    <cellStyle name="Normal 10 5 3 4" xfId="6752" xr:uid="{E7AB4243-2699-44EE-86F7-5E6A13B8BF80}"/>
    <cellStyle name="Normal 10 5 3 4 2" xfId="23555" xr:uid="{AECD84E2-8C9B-4A09-845D-7B4BAC66D262}"/>
    <cellStyle name="Normal 10 5 3 4 3" xfId="25865" xr:uid="{967A894D-8409-42A0-9782-D490A7D8F21F}"/>
    <cellStyle name="Normal 10 5 3 4 4" xfId="17132" xr:uid="{0CD599A4-10FD-4AA5-B6CC-D23A883806A2}"/>
    <cellStyle name="Normal 10 5 3 5" xfId="9585" xr:uid="{C2C14DB3-8908-4AE5-9D05-EE391474FF2A}"/>
    <cellStyle name="Normal 10 5 3 5 2" xfId="29363" xr:uid="{E48737DB-D702-4530-90D0-CED34E2AC31F}"/>
    <cellStyle name="Normal 10 5 3 5 3" xfId="19965" xr:uid="{57DC1D03-C575-4F1F-B700-D45B4650807B}"/>
    <cellStyle name="Normal 10 5 3 6" xfId="22958" xr:uid="{8E3ADA48-1E77-4039-A3ED-B3239EEBB099}"/>
    <cellStyle name="Normal 10 5 3 7" xfId="13667" xr:uid="{F7C40710-1C7D-4DD7-9825-22D0FC919B80}"/>
    <cellStyle name="Normal 10 5 4" xfId="645" xr:uid="{00000000-0005-0000-0000-000031040000}"/>
    <cellStyle name="Normal 10 5 4 2" xfId="5005" xr:uid="{4342FE0B-AA8F-4CEF-8AD1-7F6AF0BAB1FB}"/>
    <cellStyle name="Normal 10 5 4 2 2" xfId="24354" xr:uid="{A6E43774-BD8C-4352-9908-2DD351546716}"/>
    <cellStyle name="Normal 10 5 4 2 3" xfId="28076" xr:uid="{1B7574FF-4C54-4A95-BA18-173F16F58F3C}"/>
    <cellStyle name="Normal 10 5 4 2 4" xfId="14300" xr:uid="{CA8685CF-F32A-49BA-A644-620267EB76E8}"/>
    <cellStyle name="Normal 10 5 4 3" xfId="6753" xr:uid="{8B908391-30BF-46C0-AA2C-C0D141E31238}"/>
    <cellStyle name="Normal 10 5 4 3 2" xfId="27126" xr:uid="{3F3BF598-F57C-483C-99A5-D3D11EB02E14}"/>
    <cellStyle name="Normal 10 5 4 3 3" xfId="17133" xr:uid="{873FA108-CC8F-47ED-A58C-0134C2E980E2}"/>
    <cellStyle name="Normal 10 5 4 4" xfId="9586" xr:uid="{1E2FBCC0-D82F-4FC5-8A20-6B8C1DB5846F}"/>
    <cellStyle name="Normal 10 5 4 4 2" xfId="19966" xr:uid="{3CD86438-3BE1-48B8-8F94-F0338F604759}"/>
    <cellStyle name="Normal 10 5 4 5" xfId="24983" xr:uid="{4E7198E2-82D7-4B8A-9BC2-CBA7836F1157}"/>
    <cellStyle name="Normal 10 5 4 6" xfId="13395" xr:uid="{7D5D3E02-3D43-4193-B040-52D83F08A6FC}"/>
    <cellStyle name="Normal 10 5 5" xfId="2519" xr:uid="{00000000-0005-0000-0000-000046030000}"/>
    <cellStyle name="Normal 10 5 5 2" xfId="5797" xr:uid="{BBA602D0-A568-4ACB-A67E-F91E93CC6FB9}"/>
    <cellStyle name="Normal 10 5 5 2 2" xfId="27274" xr:uid="{0B555C7B-8EB6-444C-87A4-233D442D0B8D}"/>
    <cellStyle name="Normal 10 5 5 2 3" xfId="15191" xr:uid="{AEB8587F-0FDA-4BC6-9D25-F9DCC8287AB3}"/>
    <cellStyle name="Normal 10 5 5 3" xfId="7644" xr:uid="{2258F18E-951D-40CC-939D-CC1294766736}"/>
    <cellStyle name="Normal 10 5 5 3 2" xfId="18024" xr:uid="{06AFD005-437F-4727-BAE7-1B77907A3A1E}"/>
    <cellStyle name="Normal 10 5 5 4" xfId="10477" xr:uid="{A582D02C-1155-4180-AF05-3E13FA4C7CF6}"/>
    <cellStyle name="Normal 10 5 5 4 2" xfId="20857" xr:uid="{876FD3E6-5094-4C04-8674-5EC01CA7F588}"/>
    <cellStyle name="Normal 10 5 5 5" xfId="22700" xr:uid="{C02C73A9-6AA3-4D62-9381-1FD4F2BFB20C}"/>
    <cellStyle name="Normal 10 5 5 6" xfId="12907" xr:uid="{35683F76-71DE-490F-88CF-96BBEFF827C0}"/>
    <cellStyle name="Normal 10 5 6" xfId="2307" xr:uid="{00000000-0005-0000-0000-000040030000}"/>
    <cellStyle name="Normal 10 5 6 2" xfId="7434" xr:uid="{FC3D809D-CE2E-4EF5-857E-C0DCF26C42B7}"/>
    <cellStyle name="Normal 10 5 6 2 2" xfId="28731" xr:uid="{5C524D39-9C2B-4775-B9F3-C1B576EC8853}"/>
    <cellStyle name="Normal 10 5 6 2 3" xfId="17814" xr:uid="{210D17FB-841F-4727-85E3-5FE3FCC4ADD0}"/>
    <cellStyle name="Normal 10 5 6 3" xfId="10267" xr:uid="{D7731DE1-1F39-414E-94E8-F93ADE22AD36}"/>
    <cellStyle name="Normal 10 5 6 3 2" xfId="20647" xr:uid="{6AB2DD84-FC1E-4FCE-9A41-8AEC43B77AAB}"/>
    <cellStyle name="Normal 10 5 6 4" xfId="23216" xr:uid="{76D85C28-61AE-4219-984D-F64C2F08EF9D}"/>
    <cellStyle name="Normal 10 5 6 5" xfId="14981" xr:uid="{C73A3F77-5F9B-499C-99C1-C10AACA792FB}"/>
    <cellStyle name="Normal 10 5 7" xfId="3908" xr:uid="{8F1ECAB9-B2D0-4C66-A8C8-D8DB6AE70677}"/>
    <cellStyle name="Normal 10 5 7 2" xfId="8740" xr:uid="{3B338859-2BB7-4162-AFF2-8CE799F2D2F0}"/>
    <cellStyle name="Normal 10 5 7 2 2" xfId="19120" xr:uid="{1B97DD6F-C6DE-4CAA-9607-CC5F4AB82DA6}"/>
    <cellStyle name="Normal 10 5 7 3" xfId="11573" xr:uid="{3774D303-F796-402A-B72D-4E421037825C}"/>
    <cellStyle name="Normal 10 5 7 3 2" xfId="21953" xr:uid="{74694248-7D61-4DFB-9E54-39B70FA0DFA2}"/>
    <cellStyle name="Normal 10 5 7 4" xfId="27267" xr:uid="{80689584-B09C-4DBC-87BF-32AC6A054E81}"/>
    <cellStyle name="Normal 10 5 7 5" xfId="16287" xr:uid="{6C2AA31C-BC46-426A-BCD1-F32302E9D9C0}"/>
    <cellStyle name="Normal 10 5 8" xfId="5001" xr:uid="{E8BB7741-C876-45CA-BF01-E4DE7743D2A4}"/>
    <cellStyle name="Normal 10 5 8 2" xfId="14296" xr:uid="{BF531C93-9C84-44B1-B904-F3017FB86359}"/>
    <cellStyle name="Normal 10 5 9" xfId="6749" xr:uid="{60DF6826-08A1-4306-AFE5-63AAD1DDEB6D}"/>
    <cellStyle name="Normal 10 5 9 2" xfId="17129" xr:uid="{E47FA28B-42D9-4FDB-980B-CAB964F7C739}"/>
    <cellStyle name="Normal 10 6" xfId="646" xr:uid="{00000000-0005-0000-0000-000032040000}"/>
    <cellStyle name="Normal 10 6 10" xfId="9587" xr:uid="{BF9B7503-A44F-4390-8711-F07ABCCD2540}"/>
    <cellStyle name="Normal 10 6 10 2" xfId="19967" xr:uid="{8D28974B-C0A7-4A9A-9372-EF4CD004BAA0}"/>
    <cellStyle name="Normal 10 6 11" xfId="22727" xr:uid="{5324FDD6-CA57-4197-9D3A-497320850AF3}"/>
    <cellStyle name="Normal 10 6 12" xfId="12540" xr:uid="{920E345F-4955-448A-AE07-68A5F8ACB112}"/>
    <cellStyle name="Normal 10 6 2" xfId="647" xr:uid="{00000000-0005-0000-0000-000033040000}"/>
    <cellStyle name="Normal 10 6 2 2" xfId="648" xr:uid="{00000000-0005-0000-0000-000034040000}"/>
    <cellStyle name="Normal 10 6 2 2 2" xfId="5008" xr:uid="{39B56996-BACF-4C65-A039-1E7FA06B282E}"/>
    <cellStyle name="Normal 10 6 2 2 2 2" xfId="23704" xr:uid="{FA70729C-931C-4F65-90D9-27DCECD14F7E}"/>
    <cellStyle name="Normal 10 6 2 2 2 3" xfId="26250" xr:uid="{5EE40F8D-F9A4-4B99-822E-0104FF14354B}"/>
    <cellStyle name="Normal 10 6 2 2 2 4" xfId="14303" xr:uid="{10A92140-0D30-4480-BE1A-B6DC52AB4AE1}"/>
    <cellStyle name="Normal 10 6 2 2 3" xfId="6756" xr:uid="{A3F6FFA8-BCE9-488B-9DAC-B79C01361B55}"/>
    <cellStyle name="Normal 10 6 2 2 3 2" xfId="27559" xr:uid="{110C6E9B-7D3A-4776-8589-104B17B83A69}"/>
    <cellStyle name="Normal 10 6 2 2 3 3" xfId="26634" xr:uid="{F8DD828C-3596-4401-950D-AEDD6C57E035}"/>
    <cellStyle name="Normal 10 6 2 2 3 4" xfId="17136" xr:uid="{8F5C6642-B6A5-4231-A1E7-37158AF94102}"/>
    <cellStyle name="Normal 10 6 2 2 4" xfId="9589" xr:uid="{305A9460-1FB6-4B41-8A6E-1AAE76A5C45A}"/>
    <cellStyle name="Normal 10 6 2 2 4 2" xfId="29364" xr:uid="{61129D0B-387D-43DF-A959-20681714EEBD}"/>
    <cellStyle name="Normal 10 6 2 2 4 3" xfId="19969" xr:uid="{77C006B7-64F7-4BAE-AB5B-40567A449837}"/>
    <cellStyle name="Normal 10 6 2 2 5" xfId="23512" xr:uid="{1B56C959-4940-425F-953A-BE4766795580}"/>
    <cellStyle name="Normal 10 6 2 2 6" xfId="13668" xr:uid="{19F67F96-623F-4268-81C2-6B6E4B910625}"/>
    <cellStyle name="Normal 10 6 2 3" xfId="2711" xr:uid="{00000000-0005-0000-0000-00004A030000}"/>
    <cellStyle name="Normal 10 6 2 3 2" xfId="5929" xr:uid="{5982D64B-25C3-4AA1-B3A0-5D662BD0F663}"/>
    <cellStyle name="Normal 10 6 2 3 2 2" xfId="27902" xr:uid="{7E953B40-9F92-4B00-85F0-A374002C4C29}"/>
    <cellStyle name="Normal 10 6 2 3 2 3" xfId="15382" xr:uid="{0CE8BE64-1BB4-466E-8F36-32925D194118}"/>
    <cellStyle name="Normal 10 6 2 3 3" xfId="7835" xr:uid="{E59735AA-3C3C-4813-AF49-F60A6B61A21D}"/>
    <cellStyle name="Normal 10 6 2 3 3 2" xfId="18215" xr:uid="{0DC37640-7389-4FC8-8837-844B7798AD45}"/>
    <cellStyle name="Normal 10 6 2 3 4" xfId="10668" xr:uid="{2E3654C4-1C74-4339-9077-F92F9F9760F7}"/>
    <cellStyle name="Normal 10 6 2 3 4 2" xfId="21048" xr:uid="{880B7BB3-86A3-475B-935A-15DA7BC57CF9}"/>
    <cellStyle name="Normal 10 6 2 3 5" xfId="25295" xr:uid="{95709B43-6BF3-48EB-A15D-1920011B77FD}"/>
    <cellStyle name="Normal 10 6 2 3 6" xfId="13133" xr:uid="{F97B7FDC-819B-42EA-A182-A16499E8E5BA}"/>
    <cellStyle name="Normal 10 6 2 4" xfId="4150" xr:uid="{EAC5EE57-A6D6-4D64-8CB4-5F4C05BE2785}"/>
    <cellStyle name="Normal 10 6 2 4 2" xfId="8922" xr:uid="{B5C4E55E-AC21-412A-98AF-BE94B7998617}"/>
    <cellStyle name="Normal 10 6 2 4 2 2" xfId="29021" xr:uid="{880A3DEA-76D8-4573-A4D0-5E4C9480521D}"/>
    <cellStyle name="Normal 10 6 2 4 2 3" xfId="19302" xr:uid="{DBBE1912-80A6-4A42-A3FC-441F30A86E8B}"/>
    <cellStyle name="Normal 10 6 2 4 3" xfId="11755" xr:uid="{8E1B8FA6-9491-4279-BC88-632B6882E82C}"/>
    <cellStyle name="Normal 10 6 2 4 3 2" xfId="22135" xr:uid="{FF12EACC-A967-47BE-BE98-85132AE840E3}"/>
    <cellStyle name="Normal 10 6 2 4 4" xfId="25069" xr:uid="{0E0762A2-528D-416B-9669-382F11E08718}"/>
    <cellStyle name="Normal 10 6 2 4 5" xfId="16469" xr:uid="{DE694583-FED0-46AA-85CF-E78DF760D596}"/>
    <cellStyle name="Normal 10 6 2 5" xfId="5007" xr:uid="{DF1F6823-25E7-4F05-B57E-1EB8AA24D56D}"/>
    <cellStyle name="Normal 10 6 2 5 2" xfId="26552" xr:uid="{A0F6A9B4-5712-4C48-BDE6-DCD858684072}"/>
    <cellStyle name="Normal 10 6 2 5 3" xfId="14302" xr:uid="{84ACA945-8CE1-4B7E-82F0-C166E3A49B8C}"/>
    <cellStyle name="Normal 10 6 2 6" xfId="6755" xr:uid="{9F471B51-AA82-43BA-A861-84BE83FCD1DC}"/>
    <cellStyle name="Normal 10 6 2 6 2" xfId="17135" xr:uid="{A8ED8A8A-D036-48DD-ABBA-ED8B778C2FE3}"/>
    <cellStyle name="Normal 10 6 2 7" xfId="9588" xr:uid="{25BBE8C9-962D-48BE-A0BD-CF2937216FEC}"/>
    <cellStyle name="Normal 10 6 2 7 2" xfId="19968" xr:uid="{BDC739E1-E4E4-4E6B-A607-0B284BF6181C}"/>
    <cellStyle name="Normal 10 6 2 8" xfId="24089" xr:uid="{A2D4E8B2-D1DA-4754-A7F5-B003BAD84636}"/>
    <cellStyle name="Normal 10 6 2 9" xfId="12698" xr:uid="{34815816-84EF-47F5-8A53-5BDEE672354A}"/>
    <cellStyle name="Normal 10 6 3" xfId="649" xr:uid="{00000000-0005-0000-0000-000035040000}"/>
    <cellStyle name="Normal 10 6 3 2" xfId="4449" xr:uid="{F34BD96A-DB02-481B-9106-BFF9E529D8D4}"/>
    <cellStyle name="Normal 10 6 3 2 2" xfId="9221" xr:uid="{B885A5E0-403D-44AF-9BE1-09DAF86C44C0}"/>
    <cellStyle name="Normal 10 6 3 2 2 2" xfId="29214" xr:uid="{C1E3D8E8-BE48-47A5-B322-D45967D645FE}"/>
    <cellStyle name="Normal 10 6 3 2 2 3" xfId="19601" xr:uid="{16BA06DF-F5B4-43E4-AB90-6062B7824A70}"/>
    <cellStyle name="Normal 10 6 3 2 3" xfId="12054" xr:uid="{9CE428CC-3F08-4A0B-AB7D-6EAE5E11E180}"/>
    <cellStyle name="Normal 10 6 3 2 3 2" xfId="22434" xr:uid="{8D085CAC-80A9-49FB-962B-432B8CE290D6}"/>
    <cellStyle name="Normal 10 6 3 2 4" xfId="24864" xr:uid="{B3055D71-81D0-437D-9D41-F2836BE07C9E}"/>
    <cellStyle name="Normal 10 6 3 2 5" xfId="16768" xr:uid="{4A766B7B-E0F0-456B-A7A7-B6061B2E056F}"/>
    <cellStyle name="Normal 10 6 3 3" xfId="5009" xr:uid="{B637C1DD-301C-44F4-B7A7-79AD509BD66D}"/>
    <cellStyle name="Normal 10 6 3 3 2" xfId="26761" xr:uid="{0A587C40-267B-43F6-8529-3D992534D524}"/>
    <cellStyle name="Normal 10 6 3 3 3" xfId="26383" xr:uid="{8A39AC38-4960-4189-A4F2-FEA8F3F1D7E7}"/>
    <cellStyle name="Normal 10 6 3 3 4" xfId="14304" xr:uid="{6636712E-787F-45E7-B7CE-7C4B22CF90BB}"/>
    <cellStyle name="Normal 10 6 3 4" xfId="6757" xr:uid="{521F4715-30F3-450A-8E70-59A4C856F53B}"/>
    <cellStyle name="Normal 10 6 3 4 2" xfId="28494" xr:uid="{68D5B81F-06F9-4F91-8DA7-F99E5FB63E70}"/>
    <cellStyle name="Normal 10 6 3 4 3" xfId="27730" xr:uid="{A66326AE-615D-4899-9097-F01331D0DC14}"/>
    <cellStyle name="Normal 10 6 3 4 4" xfId="17137" xr:uid="{DFE05748-833C-49B5-8FC2-581C2F669F45}"/>
    <cellStyle name="Normal 10 6 3 5" xfId="9590" xr:uid="{9BEA53C0-A74E-473E-95EB-6E1EFC8E46DA}"/>
    <cellStyle name="Normal 10 6 3 5 2" xfId="29365" xr:uid="{1B00EA1A-C873-4984-AD72-859ACAA6BCF7}"/>
    <cellStyle name="Normal 10 6 3 5 3" xfId="19970" xr:uid="{C54DFF6E-8683-4C6A-AE25-D82FB9F4C314}"/>
    <cellStyle name="Normal 10 6 3 6" xfId="23753" xr:uid="{C3E94CB5-A5A2-47A9-A8D2-C9F20271064B}"/>
    <cellStyle name="Normal 10 6 3 7" xfId="13669" xr:uid="{431234E6-A6AB-4CDD-9650-3B70FE740AD1}"/>
    <cellStyle name="Normal 10 6 4" xfId="650" xr:uid="{00000000-0005-0000-0000-000036040000}"/>
    <cellStyle name="Normal 10 6 4 2" xfId="5010" xr:uid="{CDC7742B-7B1D-44B1-A6C7-1F7BF825D790}"/>
    <cellStyle name="Normal 10 6 4 2 2" xfId="25619" xr:uid="{90403AD1-87A2-4A06-B8D4-461532C87A2B}"/>
    <cellStyle name="Normal 10 6 4 2 3" xfId="26949" xr:uid="{8F25B05A-6692-41D6-AC10-02DF8228ABF7}"/>
    <cellStyle name="Normal 10 6 4 2 4" xfId="14305" xr:uid="{DE45C426-2429-44FA-BF31-64B37C6D2B76}"/>
    <cellStyle name="Normal 10 6 4 3" xfId="6758" xr:uid="{8DD2C49C-88CC-4D1E-9FC3-B3DB4EDF03DE}"/>
    <cellStyle name="Normal 10 6 4 3 2" xfId="27045" xr:uid="{29447C94-2B87-406A-A6EC-A96BA26D6005}"/>
    <cellStyle name="Normal 10 6 4 3 3" xfId="17138" xr:uid="{DA62D91E-8730-4317-BBDC-371015900A8A}"/>
    <cellStyle name="Normal 10 6 4 4" xfId="9591" xr:uid="{8D5F5DC9-0F6D-4E91-BB28-C2224301C004}"/>
    <cellStyle name="Normal 10 6 4 4 2" xfId="19971" xr:uid="{BDE4E12D-F3FD-40EB-ADC3-760BA283CA50}"/>
    <cellStyle name="Normal 10 6 4 5" xfId="23636" xr:uid="{EA37B6BC-5E00-4185-891A-4FC7F30E6DE9}"/>
    <cellStyle name="Normal 10 6 4 6" xfId="13396" xr:uid="{AE8005BD-9DD0-4DFB-9025-EA49D1ED0B05}"/>
    <cellStyle name="Normal 10 6 5" xfId="2582" xr:uid="{00000000-0005-0000-0000-00004D030000}"/>
    <cellStyle name="Normal 10 6 5 2" xfId="5847" xr:uid="{FE6DE163-301C-4795-9D06-4A5573B6961C}"/>
    <cellStyle name="Normal 10 6 5 2 2" xfId="26621" xr:uid="{3B123A76-95AA-4AF0-B4E8-68558BE41F55}"/>
    <cellStyle name="Normal 10 6 5 2 3" xfId="15254" xr:uid="{508EC014-028B-40B4-A293-3AE342E1137C}"/>
    <cellStyle name="Normal 10 6 5 3" xfId="7707" xr:uid="{03F66AF6-0F94-47D4-BCE0-E4F38834EC61}"/>
    <cellStyle name="Normal 10 6 5 3 2" xfId="18087" xr:uid="{09400E10-ADC3-428B-86CB-4AF8165E69E4}"/>
    <cellStyle name="Normal 10 6 5 4" xfId="10540" xr:uid="{86986A51-A91C-4172-AC43-10C674BD080F}"/>
    <cellStyle name="Normal 10 6 5 4 2" xfId="20920" xr:uid="{22F9676A-0A99-40C1-8725-F5A266751B24}"/>
    <cellStyle name="Normal 10 6 5 5" xfId="23404" xr:uid="{E89352E2-534E-475D-8CD3-48D0129E04DA}"/>
    <cellStyle name="Normal 10 6 5 6" xfId="12970" xr:uid="{D3105435-CF6A-4D95-9759-F0B25EEDE91F}"/>
    <cellStyle name="Normal 10 6 6" xfId="2308" xr:uid="{00000000-0005-0000-0000-000047030000}"/>
    <cellStyle name="Normal 10 6 6 2" xfId="7435" xr:uid="{F1276FE4-3F1A-44B8-B22D-1BCFFE76D63A}"/>
    <cellStyle name="Normal 10 6 6 2 2" xfId="26779" xr:uid="{B0BBD40A-C10E-4E20-8B65-20FF403BF4C4}"/>
    <cellStyle name="Normal 10 6 6 2 3" xfId="17815" xr:uid="{C074B1F8-18E2-4DEE-A23E-D7FDFD521CA2}"/>
    <cellStyle name="Normal 10 6 6 3" xfId="10268" xr:uid="{285AAFDB-F04D-43BE-9987-4E22A93AECB8}"/>
    <cellStyle name="Normal 10 6 6 3 2" xfId="20648" xr:uid="{B193B365-E63E-4F24-A47E-36330FBA0B4B}"/>
    <cellStyle name="Normal 10 6 6 4" xfId="24798" xr:uid="{9786D1C4-93E6-461A-BB9A-2F390036C635}"/>
    <cellStyle name="Normal 10 6 6 5" xfId="14982" xr:uid="{958DBBFA-20D9-4A0B-BE07-59CAABDC4B74}"/>
    <cellStyle name="Normal 10 6 7" xfId="3909" xr:uid="{A60CFB81-47FF-43EC-B87D-7B2942726973}"/>
    <cellStyle name="Normal 10 6 7 2" xfId="8741" xr:uid="{117CF4B0-DC20-439A-9C13-DE813CBE2479}"/>
    <cellStyle name="Normal 10 6 7 2 2" xfId="19121" xr:uid="{6D224E80-2EC9-4682-B730-A7D49657996C}"/>
    <cellStyle name="Normal 10 6 7 3" xfId="11574" xr:uid="{6E3979E6-29FC-4AD6-A1C8-A556A0047BFD}"/>
    <cellStyle name="Normal 10 6 7 3 2" xfId="21954" xr:uid="{0D3647C2-022A-4930-85A8-0685315DF9D0}"/>
    <cellStyle name="Normal 10 6 7 4" xfId="26979" xr:uid="{1AFC1FBA-F9D5-46EC-A43F-0046A8D48EC0}"/>
    <cellStyle name="Normal 10 6 7 5" xfId="16288" xr:uid="{946ACEF6-C366-4EA0-B9A2-DD5644EA8DD7}"/>
    <cellStyle name="Normal 10 6 8" xfId="5006" xr:uid="{CFAADE8E-03E3-433D-842C-3097079E60E5}"/>
    <cellStyle name="Normal 10 6 8 2" xfId="14301" xr:uid="{BD482CB5-9EAB-4853-B0E2-071175A9790D}"/>
    <cellStyle name="Normal 10 6 9" xfId="6754" xr:uid="{2058E728-6CCA-4E62-8143-E5BCB0205D8E}"/>
    <cellStyle name="Normal 10 6 9 2" xfId="17134" xr:uid="{FAA1640A-AFD2-4287-AD13-70DFDB6442C3}"/>
    <cellStyle name="Normal 10 7" xfId="651" xr:uid="{00000000-0005-0000-0000-000037040000}"/>
    <cellStyle name="Normal 10 7 10" xfId="12541" xr:uid="{F821FDA3-12BC-4518-8F28-E452748F667F}"/>
    <cellStyle name="Normal 10 7 2" xfId="652" xr:uid="{00000000-0005-0000-0000-000038040000}"/>
    <cellStyle name="Normal 10 7 2 2" xfId="2893" xr:uid="{00000000-0005-0000-0000-000050030000}"/>
    <cellStyle name="Normal 10 7 2 2 2" xfId="6079" xr:uid="{CC2ECD8F-407B-4927-ABEA-D40D40D24F66}"/>
    <cellStyle name="Normal 10 7 2 2 2 2" xfId="27282" xr:uid="{882C2F25-DCBF-4694-AA17-02BB48F7B57E}"/>
    <cellStyle name="Normal 10 7 2 2 2 3" xfId="26433" xr:uid="{DF87DB64-E865-49CB-9FDC-157286E0647D}"/>
    <cellStyle name="Normal 10 7 2 2 2 4" xfId="15557" xr:uid="{7EA5F5C9-C78D-415C-9D6F-9362545C0D7C}"/>
    <cellStyle name="Normal 10 7 2 2 3" xfId="8010" xr:uid="{94FA797D-4915-4A54-A568-7FEF5F6F8D40}"/>
    <cellStyle name="Normal 10 7 2 2 3 2" xfId="28451" xr:uid="{AEE86EF5-1F81-4D7C-8A04-C59592590F03}"/>
    <cellStyle name="Normal 10 7 2 2 3 3" xfId="18390" xr:uid="{228C6A02-AE5C-4173-A679-937E957CD907}"/>
    <cellStyle name="Normal 10 7 2 2 4" xfId="10843" xr:uid="{CF1B72B4-4A3F-4F90-A469-E1241D344A7F}"/>
    <cellStyle name="Normal 10 7 2 2 4 2" xfId="21223" xr:uid="{45CCC362-57C6-49C0-993A-DE7C70B0BADB}"/>
    <cellStyle name="Normal 10 7 2 2 5" xfId="24894" xr:uid="{57C54EAD-27D1-4A4D-9B91-6F36FCFB2DFE}"/>
    <cellStyle name="Normal 10 7 2 2 6" xfId="13397" xr:uid="{5FF3E50C-48B5-4A13-A404-BC06F6BFCA6D}"/>
    <cellStyle name="Normal 10 7 2 3" xfId="5012" xr:uid="{FBDBE7E8-6F8E-4593-9927-D38559C06384}"/>
    <cellStyle name="Normal 10 7 2 3 2" xfId="25202" xr:uid="{992B24E4-E892-44B1-90A3-931ACC9D3048}"/>
    <cellStyle name="Normal 10 7 2 3 3" xfId="28700" xr:uid="{90F417C6-03DE-4C3A-92A9-AC7D5FE1C73C}"/>
    <cellStyle name="Normal 10 7 2 3 4" xfId="14307" xr:uid="{0CF190E2-42DC-4B88-88DA-17A866438CF3}"/>
    <cellStyle name="Normal 10 7 2 4" xfId="6760" xr:uid="{A0459E73-A983-4DDF-9714-8E97BD05D5D6}"/>
    <cellStyle name="Normal 10 7 2 4 2" xfId="28298" xr:uid="{A292C127-3B59-4345-8BF7-9EC1B8D0DC4A}"/>
    <cellStyle name="Normal 10 7 2 4 3" xfId="27532" xr:uid="{EAD04638-6469-4367-8D06-21510AA38F8E}"/>
    <cellStyle name="Normal 10 7 2 4 4" xfId="17140" xr:uid="{558ABC0A-95E8-4546-9D32-71B526151466}"/>
    <cellStyle name="Normal 10 7 2 5" xfId="9593" xr:uid="{1784AC74-1DFC-4771-AE3E-D68ED207F8EE}"/>
    <cellStyle name="Normal 10 7 2 5 2" xfId="29366" xr:uid="{CF24331F-8507-4C5D-BFCC-1D3F38373ABE}"/>
    <cellStyle name="Normal 10 7 2 5 3" xfId="19973" xr:uid="{C3ECC58A-68DB-4012-A294-0326A38AC199}"/>
    <cellStyle name="Normal 10 7 2 6" xfId="22778" xr:uid="{B22A62FB-71E1-4CEA-8DA1-514420CD1381}"/>
    <cellStyle name="Normal 10 7 2 7" xfId="12699" xr:uid="{E4679F30-9D82-48AD-8C5B-CE3E86709B40}"/>
    <cellStyle name="Normal 10 7 3" xfId="653" xr:uid="{00000000-0005-0000-0000-000039040000}"/>
    <cellStyle name="Normal 10 7 3 2" xfId="5013" xr:uid="{C88D703C-81D9-4E77-A9D3-E3A21517C11B}"/>
    <cellStyle name="Normal 10 7 3 2 2" xfId="26638" xr:uid="{D73DE642-9C95-4957-8D2E-3DF02C734610}"/>
    <cellStyle name="Normal 10 7 3 2 3" xfId="26236" xr:uid="{638ADA3B-9727-4610-9F27-6A8251079301}"/>
    <cellStyle name="Normal 10 7 3 2 4" xfId="14308" xr:uid="{97DB6D93-0FB0-40C0-8035-803DA0B0EED5}"/>
    <cellStyle name="Normal 10 7 3 3" xfId="6761" xr:uid="{4E8E6403-062F-4D33-B367-EFB72E124076}"/>
    <cellStyle name="Normal 10 7 3 3 2" xfId="26747" xr:uid="{50992C7C-F8DB-4CD2-A1D6-F4DB4AA7DF31}"/>
    <cellStyle name="Normal 10 7 3 3 3" xfId="26568" xr:uid="{5EE0FC62-3A65-427E-BAF7-A25739160E17}"/>
    <cellStyle name="Normal 10 7 3 3 4" xfId="17141" xr:uid="{A8AA640D-8C7D-4575-AAFC-4DAADC06BCDA}"/>
    <cellStyle name="Normal 10 7 3 4" xfId="9594" xr:uid="{EE2FC9AD-A65D-4B9A-8732-6B708047D937}"/>
    <cellStyle name="Normal 10 7 3 4 2" xfId="29367" xr:uid="{32611AD5-F7BB-4BC4-BCB9-A2E09C46AC95}"/>
    <cellStyle name="Normal 10 7 3 4 3" xfId="19974" xr:uid="{2B1A8C81-742B-46B5-84AD-00923842F051}"/>
    <cellStyle name="Normal 10 7 3 5" xfId="22871" xr:uid="{4DDD050D-7732-43E9-90C4-007065CD737D}"/>
    <cellStyle name="Normal 10 7 3 6" xfId="13134" xr:uid="{5F5A99A5-EF3A-4D04-B501-071509441D16}"/>
    <cellStyle name="Normal 10 7 4" xfId="2309" xr:uid="{00000000-0005-0000-0000-00004E030000}"/>
    <cellStyle name="Normal 10 7 4 2" xfId="7436" xr:uid="{BAF217EA-ABDC-42D9-9E6F-41A7B7DE8930}"/>
    <cellStyle name="Normal 10 7 4 2 2" xfId="28147" xr:uid="{A559740B-61C2-4534-A1F4-8F727F634966}"/>
    <cellStyle name="Normal 10 7 4 2 3" xfId="17816" xr:uid="{AB56073A-238B-40AC-BFBA-98C82DDD024F}"/>
    <cellStyle name="Normal 10 7 4 3" xfId="10269" xr:uid="{DDDC7BD6-B3FE-46EE-9E13-DD6DB8618B71}"/>
    <cellStyle name="Normal 10 7 4 3 2" xfId="20649" xr:uid="{C96C7EF9-3262-4674-BF86-7BD8EC2521DD}"/>
    <cellStyle name="Normal 10 7 4 4" xfId="23390" xr:uid="{458D4371-4EFE-4C1D-832F-9A8A629CD593}"/>
    <cellStyle name="Normal 10 7 4 5" xfId="14983" xr:uid="{B299F396-D6F3-4F44-804C-772EFBD69A4E}"/>
    <cellStyle name="Normal 10 7 5" xfId="3910" xr:uid="{61C603DD-50F2-47B0-BCA8-B5EB6B4B49E1}"/>
    <cellStyle name="Normal 10 7 5 2" xfId="8742" xr:uid="{B49ABC57-6C3A-4AA0-B697-397F7ABD4B90}"/>
    <cellStyle name="Normal 10 7 5 2 2" xfId="28970" xr:uid="{ECD4C1E9-2E16-4E43-BC25-666E2AB156C1}"/>
    <cellStyle name="Normal 10 7 5 2 3" xfId="19122" xr:uid="{17C24AE6-B0A5-4521-86AC-96BAD9EAE656}"/>
    <cellStyle name="Normal 10 7 5 3" xfId="11575" xr:uid="{C81BDC82-E733-4F9D-938D-25440A8EEDD4}"/>
    <cellStyle name="Normal 10 7 5 3 2" xfId="21955" xr:uid="{DE0AD418-101F-4343-93B5-357FED240FAF}"/>
    <cellStyle name="Normal 10 7 5 4" xfId="25690" xr:uid="{DA66FF33-3ED4-4FF5-884F-8E76CA287F4D}"/>
    <cellStyle name="Normal 10 7 5 5" xfId="16289" xr:uid="{3A0456F9-E35C-4571-BD66-61535D499AF1}"/>
    <cellStyle name="Normal 10 7 6" xfId="5011" xr:uid="{85677112-D774-4197-804C-C7161A506172}"/>
    <cellStyle name="Normal 10 7 6 2" xfId="26309" xr:uid="{7EF06433-0338-44F1-A066-86EA325F5537}"/>
    <cellStyle name="Normal 10 7 6 3" xfId="27162" xr:uid="{EAE7A6D8-C933-46E4-B21C-514D984637C4}"/>
    <cellStyle name="Normal 10 7 6 4" xfId="14306" xr:uid="{2B4195E4-819A-4BBE-99A5-78CA492C5487}"/>
    <cellStyle name="Normal 10 7 7" xfId="6759" xr:uid="{6CB15D54-D6BE-4B60-8229-8F91DBFF0962}"/>
    <cellStyle name="Normal 10 7 7 2" xfId="27450" xr:uid="{4345BBE0-7708-4EFA-B388-A2920912B8B0}"/>
    <cellStyle name="Normal 10 7 7 3" xfId="17139" xr:uid="{3FA8B168-32A7-44B9-A805-AC0D19DB1902}"/>
    <cellStyle name="Normal 10 7 8" xfId="9592" xr:uid="{A30B71C2-1253-4D9E-8E5A-96397D10B1A0}"/>
    <cellStyle name="Normal 10 7 8 2" xfId="19972" xr:uid="{68E2C79B-3351-427E-90A4-9F8EE4F19241}"/>
    <cellStyle name="Normal 10 7 9" xfId="22895" xr:uid="{EE917F65-BFB8-4AFD-A29D-EA140501DFF2}"/>
    <cellStyle name="Normal 10 8" xfId="654" xr:uid="{00000000-0005-0000-0000-00003A040000}"/>
    <cellStyle name="Normal 10 8 10" xfId="12542" xr:uid="{EE31A128-3B45-438F-9726-B19FCB184595}"/>
    <cellStyle name="Normal 10 8 2" xfId="655" xr:uid="{00000000-0005-0000-0000-00003B040000}"/>
    <cellStyle name="Normal 10 8 2 2" xfId="2894" xr:uid="{00000000-0005-0000-0000-000054030000}"/>
    <cellStyle name="Normal 10 8 2 2 2" xfId="6080" xr:uid="{A0CFB994-EA60-4B02-AA68-B03074C76735}"/>
    <cellStyle name="Normal 10 8 2 2 2 2" xfId="28399" xr:uid="{D5975A2B-9295-469A-A133-0EBC572336E0}"/>
    <cellStyle name="Normal 10 8 2 2 2 3" xfId="27064" xr:uid="{70555EC4-546F-41C0-B750-52D6A322269C}"/>
    <cellStyle name="Normal 10 8 2 2 2 4" xfId="15558" xr:uid="{794DBC6E-14A2-4734-99F7-70D117FBBAD0}"/>
    <cellStyle name="Normal 10 8 2 2 3" xfId="8011" xr:uid="{FBAF8402-64FF-45F9-A42F-592C594DC771}"/>
    <cellStyle name="Normal 10 8 2 2 3 2" xfId="25987" xr:uid="{9097DAC1-B209-4E21-AE4E-BCAE804BAEFE}"/>
    <cellStyle name="Normal 10 8 2 2 3 3" xfId="18391" xr:uid="{CAE71BF5-3F3D-4465-B553-BCFC6E73AF9D}"/>
    <cellStyle name="Normal 10 8 2 2 4" xfId="10844" xr:uid="{6FC633C3-D4A3-42B9-AFCB-1ECA9A33E754}"/>
    <cellStyle name="Normal 10 8 2 2 4 2" xfId="21224" xr:uid="{1D1CE3C8-1DB9-4DB7-A522-1FDDFAADDA5E}"/>
    <cellStyle name="Normal 10 8 2 2 5" xfId="24858" xr:uid="{EB632C0D-AD4B-4FCC-8228-E986BEAEE4B1}"/>
    <cellStyle name="Normal 10 8 2 2 6" xfId="13398" xr:uid="{4FED0E67-E53E-4A17-AAA0-0A54730B296C}"/>
    <cellStyle name="Normal 10 8 2 3" xfId="5015" xr:uid="{409B2478-6962-4107-A19E-0FB21C35F15C}"/>
    <cellStyle name="Normal 10 8 2 3 2" xfId="24767" xr:uid="{CFA91C3D-2253-4631-B07D-0522ADC66C9B}"/>
    <cellStyle name="Normal 10 8 2 3 3" xfId="28166" xr:uid="{972AC645-2F54-44C0-987C-BB9102FC5DE8}"/>
    <cellStyle name="Normal 10 8 2 3 4" xfId="14310" xr:uid="{2D2E11D5-34E7-4B68-A643-72F678070917}"/>
    <cellStyle name="Normal 10 8 2 4" xfId="6763" xr:uid="{1584479C-892A-4314-962F-4E68ADB6D5E5}"/>
    <cellStyle name="Normal 10 8 2 4 2" xfId="28375" xr:uid="{CA89F0A2-B79D-43E4-9223-BD20D06DFA40}"/>
    <cellStyle name="Normal 10 8 2 4 3" xfId="26654" xr:uid="{F72933AC-3920-49BC-A29A-2ADF779F0C81}"/>
    <cellStyle name="Normal 10 8 2 4 4" xfId="17143" xr:uid="{21D46F1C-F270-4F2E-B443-4BE2392A6BB7}"/>
    <cellStyle name="Normal 10 8 2 5" xfId="9596" xr:uid="{317A581C-C5FB-445B-93C4-0A1BE1730DE7}"/>
    <cellStyle name="Normal 10 8 2 5 2" xfId="29368" xr:uid="{D0F43B31-E562-48A9-9176-AA5F40F37B3C}"/>
    <cellStyle name="Normal 10 8 2 5 3" xfId="19976" xr:uid="{92C0130D-6161-4069-ACD0-5D1D49843D38}"/>
    <cellStyle name="Normal 10 8 2 6" xfId="24667" xr:uid="{8DE1D7DF-FF9D-4516-A4A3-9FF161B67641}"/>
    <cellStyle name="Normal 10 8 2 7" xfId="12700" xr:uid="{F3D7643F-E5BE-412E-90FF-8EDF06986B0A}"/>
    <cellStyle name="Normal 10 8 3" xfId="656" xr:uid="{00000000-0005-0000-0000-00003C040000}"/>
    <cellStyle name="Normal 10 8 3 2" xfId="5016" xr:uid="{CAE5D93E-5D45-48CC-B987-3875BFAADF96}"/>
    <cellStyle name="Normal 10 8 3 2 2" xfId="26530" xr:uid="{47C137B0-9F61-45C8-BF19-4E2E1C05E6FE}"/>
    <cellStyle name="Normal 10 8 3 2 3" xfId="27572" xr:uid="{E8F109B9-33A9-41CC-91A6-5AB2C9B69C61}"/>
    <cellStyle name="Normal 10 8 3 2 4" xfId="14311" xr:uid="{AB4E8A9C-01B8-438D-9B99-62BE1966F05F}"/>
    <cellStyle name="Normal 10 8 3 3" xfId="6764" xr:uid="{A22C5863-B2D3-4AEC-A96F-85228836E625}"/>
    <cellStyle name="Normal 10 8 3 3 2" xfId="26857" xr:uid="{6ABAE12B-5A3C-48EC-A6EA-795259A43F37}"/>
    <cellStyle name="Normal 10 8 3 3 3" xfId="26174" xr:uid="{64A3C3EE-5345-4EA9-A7ED-8F7696168E86}"/>
    <cellStyle name="Normal 10 8 3 3 4" xfId="17144" xr:uid="{734FADE0-5EE3-4874-8BF2-008752407627}"/>
    <cellStyle name="Normal 10 8 3 4" xfId="9597" xr:uid="{EB7E1E39-BF3C-4703-8287-CB441AAE210D}"/>
    <cellStyle name="Normal 10 8 3 4 2" xfId="29369" xr:uid="{B25A99E3-6995-487D-A1B1-71C4FF5FF6CF}"/>
    <cellStyle name="Normal 10 8 3 4 3" xfId="19977" xr:uid="{F471CF1F-0349-4DBC-9773-0612DF90A625}"/>
    <cellStyle name="Normal 10 8 3 5" xfId="23462" xr:uid="{D0EFAB01-FE0D-4A03-A9A3-CA9F0E3D1FE0}"/>
    <cellStyle name="Normal 10 8 3 6" xfId="13135" xr:uid="{35FEE4B3-836F-4F9E-9143-C316473FB6F6}"/>
    <cellStyle name="Normal 10 8 4" xfId="2310" xr:uid="{00000000-0005-0000-0000-000052030000}"/>
    <cellStyle name="Normal 10 8 4 2" xfId="7437" xr:uid="{8FF68166-9F49-494D-8462-25DE2B08EE2E}"/>
    <cellStyle name="Normal 10 8 4 2 2" xfId="26886" xr:uid="{4669CDC5-AE32-433E-B6A4-3AE4679915BE}"/>
    <cellStyle name="Normal 10 8 4 2 3" xfId="17817" xr:uid="{70364681-6142-4D63-B7DE-0F5B7101ADAD}"/>
    <cellStyle name="Normal 10 8 4 3" xfId="10270" xr:uid="{488C0532-C5F5-45E2-B7BD-5CA7C011EA91}"/>
    <cellStyle name="Normal 10 8 4 3 2" xfId="20650" xr:uid="{30FDD3FA-02F4-47DB-8A7A-CAC4633D2432}"/>
    <cellStyle name="Normal 10 8 4 4" xfId="24217" xr:uid="{5EFFEEF8-FFC8-4640-85FA-258239ACB54A}"/>
    <cellStyle name="Normal 10 8 4 5" xfId="14984" xr:uid="{C9A74A77-D189-4A5F-BE8B-C46B08914AE5}"/>
    <cellStyle name="Normal 10 8 5" xfId="3911" xr:uid="{C8F123DD-E0F6-4353-820B-E926F9972A75}"/>
    <cellStyle name="Normal 10 8 5 2" xfId="8743" xr:uid="{8F970CBC-8B8E-4BE5-91D5-B32D299E0C52}"/>
    <cellStyle name="Normal 10 8 5 2 2" xfId="28971" xr:uid="{1B312749-DA4D-4BFD-8951-FB227F931A60}"/>
    <cellStyle name="Normal 10 8 5 2 3" xfId="19123" xr:uid="{F076B2C6-4BA3-4F4A-9744-89DC8E5F2DA0}"/>
    <cellStyle name="Normal 10 8 5 3" xfId="11576" xr:uid="{DAE36C14-F7EF-42EC-9DDD-DA03FD75FAFE}"/>
    <cellStyle name="Normal 10 8 5 3 2" xfId="21956" xr:uid="{D7DADB29-3C49-4D5F-B11D-4483FA22B25D}"/>
    <cellStyle name="Normal 10 8 5 4" xfId="23051" xr:uid="{6A8155D8-4B40-41BD-8C49-098456DFD963}"/>
    <cellStyle name="Normal 10 8 5 5" xfId="16290" xr:uid="{02F3164E-78E2-46D4-9BA6-C9EC3EA0CA17}"/>
    <cellStyle name="Normal 10 8 6" xfId="5014" xr:uid="{73290ACF-874E-4463-BF29-35BF3C392A42}"/>
    <cellStyle name="Normal 10 8 6 2" xfId="27013" xr:uid="{05E55131-60F5-414F-90BD-5809515F18DE}"/>
    <cellStyle name="Normal 10 8 6 3" xfId="28623" xr:uid="{FA43042F-556E-47EF-BE99-43541F3F04F3}"/>
    <cellStyle name="Normal 10 8 6 4" xfId="14309" xr:uid="{7A1DFDA4-BFFE-4316-976D-5C0000D69D46}"/>
    <cellStyle name="Normal 10 8 7" xfId="6762" xr:uid="{833A8830-F59C-4B79-94D7-4628C3C62663}"/>
    <cellStyle name="Normal 10 8 7 2" xfId="27920" xr:uid="{545609B8-E434-4CC6-8A8F-8B96C19D7E3D}"/>
    <cellStyle name="Normal 10 8 7 3" xfId="17142" xr:uid="{DB5D6570-175C-4332-8757-3BF2DA3031F1}"/>
    <cellStyle name="Normal 10 8 8" xfId="9595" xr:uid="{D3C09DE8-C693-446C-B052-83ABF954DF2A}"/>
    <cellStyle name="Normal 10 8 8 2" xfId="19975" xr:uid="{1C13563C-18B1-4DF8-ABE6-F35F41AFD964}"/>
    <cellStyle name="Normal 10 8 9" xfId="24297" xr:uid="{B603D7A7-04B1-4ED7-88ED-BFC0E0C71988}"/>
    <cellStyle name="Normal 10 9" xfId="657" xr:uid="{00000000-0005-0000-0000-00003D040000}"/>
    <cellStyle name="Normal 10 9 10" xfId="12535" xr:uid="{6A35C548-C03B-41DB-89F5-E67E3EC2B6B8}"/>
    <cellStyle name="Normal 10 9 2" xfId="658" xr:uid="{00000000-0005-0000-0000-00003E040000}"/>
    <cellStyle name="Normal 10 9 2 2" xfId="5018" xr:uid="{44EA2E7B-0E28-4354-ADFF-C1824D0A66F5}"/>
    <cellStyle name="Normal 10 9 2 2 2" xfId="25680" xr:uid="{49F5C2C5-B8A4-4A2F-B8EF-288E2B6DD99D}"/>
    <cellStyle name="Normal 10 9 2 2 3" xfId="28070" xr:uid="{C5C0F6E1-80A2-467C-8197-E34ABA307372}"/>
    <cellStyle name="Normal 10 9 2 2 4" xfId="14313" xr:uid="{BC7474D3-290D-4433-9889-54AF8D03D824}"/>
    <cellStyle name="Normal 10 9 2 3" xfId="6766" xr:uid="{35CE7DCA-172E-41D1-AEDF-D6BDD15EF4BE}"/>
    <cellStyle name="Normal 10 9 2 3 2" xfId="26056" xr:uid="{037D4F64-AFC1-4B88-8F04-59F028158B0E}"/>
    <cellStyle name="Normal 10 9 2 3 3" xfId="26707" xr:uid="{727E0F45-F15A-4771-A83B-58D00358145B}"/>
    <cellStyle name="Normal 10 9 2 3 4" xfId="17146" xr:uid="{BEBCC9DC-6C69-4362-8885-4504A4A3058D}"/>
    <cellStyle name="Normal 10 9 2 4" xfId="9599" xr:uid="{3012AD1B-DAF3-4034-8022-9E938CE83436}"/>
    <cellStyle name="Normal 10 9 2 4 2" xfId="29370" xr:uid="{332065EF-1C3C-48D9-8992-87DE9C467AFE}"/>
    <cellStyle name="Normal 10 9 2 4 3" xfId="19979" xr:uid="{42CEACA7-1BC8-4363-853A-DF1FCF5E462A}"/>
    <cellStyle name="Normal 10 9 2 5" xfId="24586" xr:uid="{9CAE7B6A-39D2-4C48-9EE7-84D4FD6E1A64}"/>
    <cellStyle name="Normal 10 9 2 6" xfId="13670" xr:uid="{9DEB3DFF-343C-40F6-A724-425256BF1796}"/>
    <cellStyle name="Normal 10 9 3" xfId="659" xr:uid="{00000000-0005-0000-0000-00003F040000}"/>
    <cellStyle name="Normal 10 9 3 2" xfId="2704" xr:uid="{00000000-0005-0000-0000-000058030000}"/>
    <cellStyle name="Normal 10 9 3 2 2" xfId="7828" xr:uid="{2BC96A01-13A6-43CF-9A41-B31CCAED71FF}"/>
    <cellStyle name="Normal 10 9 3 2 2 2" xfId="18208" xr:uid="{D0E5DF64-B356-420C-A17C-FC4B250E48FB}"/>
    <cellStyle name="Normal 10 9 3 2 3" xfId="10661" xr:uid="{109CB8A7-E0E7-403C-BF11-6492C60BA467}"/>
    <cellStyle name="Normal 10 9 3 2 3 2" xfId="21041" xr:uid="{CB50AAB3-2FDA-4AE0-BAAD-EE57FEBDB697}"/>
    <cellStyle name="Normal 10 9 3 2 4" xfId="27812" xr:uid="{7DB748C1-9AD9-4060-ABE2-5B42446CC4E2}"/>
    <cellStyle name="Normal 10 9 3 2 5" xfId="15375" xr:uid="{8A1082E3-E28F-4BA8-BE5A-701F36954EB8}"/>
    <cellStyle name="Normal 10 9 3 3" xfId="3627" xr:uid="{00000000-0005-0000-0000-00003F040000}"/>
    <cellStyle name="Normal 10 9 3 4" xfId="5019" xr:uid="{0C061EC0-651E-4DB0-B891-F07E2F1BDD54}"/>
    <cellStyle name="Normal 10 9 3 4 2" xfId="29763" xr:uid="{7DD32FFB-9842-4328-84E5-E9D8D2B0F68E}"/>
    <cellStyle name="Normal 10 9 3 5" xfId="25108" xr:uid="{A45BE94C-D0DC-47D2-B563-6A624B103F55}"/>
    <cellStyle name="Normal 10 9 3 6" xfId="13122" xr:uid="{C69776D5-8F20-4F3F-A364-1CB5A543619C}"/>
    <cellStyle name="Normal 10 9 4" xfId="2303" xr:uid="{00000000-0005-0000-0000-000056030000}"/>
    <cellStyle name="Normal 10 9 4 2" xfId="7430" xr:uid="{9EF342DE-D374-45F9-84AF-CFDBD2020EC2}"/>
    <cellStyle name="Normal 10 9 4 2 2" xfId="26516" xr:uid="{47B76C65-A14F-45B4-86BE-32651113DE28}"/>
    <cellStyle name="Normal 10 9 4 2 3" xfId="17810" xr:uid="{6A00B2B1-1E41-43BF-844E-E441F7A086EB}"/>
    <cellStyle name="Normal 10 9 4 3" xfId="10263" xr:uid="{682143A9-6192-47B4-93BA-0CB37927D3EE}"/>
    <cellStyle name="Normal 10 9 4 3 2" xfId="20643" xr:uid="{53B223BB-7E51-48BD-B152-655A411727BD}"/>
    <cellStyle name="Normal 10 9 4 4" xfId="24827" xr:uid="{4B75FB7A-6443-4AD5-A663-73E034A91ED2}"/>
    <cellStyle name="Normal 10 9 4 5" xfId="14977" xr:uid="{B9FD1D9C-4B85-4425-9107-F3FAA7C3292F}"/>
    <cellStyle name="Normal 10 9 5" xfId="3834" xr:uid="{38BEE9A2-138A-41C8-B897-26528965E9DC}"/>
    <cellStyle name="Normal 10 9 5 2" xfId="8667" xr:uid="{B1742B3F-F04A-46A7-9828-8E973F14E9E6}"/>
    <cellStyle name="Normal 10 9 5 2 2" xfId="19047" xr:uid="{12F12C3C-1009-41E4-BBFA-73E7EDC440C5}"/>
    <cellStyle name="Normal 10 9 5 3" xfId="11500" xr:uid="{A752D179-299D-4CED-84AC-43D333648C84}"/>
    <cellStyle name="Normal 10 9 5 3 2" xfId="21880" xr:uid="{CE83D025-6021-4861-A652-A8E895DDA20B}"/>
    <cellStyle name="Normal 10 9 5 4" xfId="24304" xr:uid="{7E973DDE-E521-4FF7-8B24-244FD6CEED26}"/>
    <cellStyle name="Normal 10 9 5 5" xfId="16214" xr:uid="{4CE5572E-57F1-406B-B8C2-60A4D9CDF3DA}"/>
    <cellStyle name="Normal 10 9 6" xfId="5017" xr:uid="{AEAAFD5F-4136-4B13-B97E-E1E6C09730CD}"/>
    <cellStyle name="Normal 10 9 6 2" xfId="14312" xr:uid="{4C8CA4C8-5764-4A18-B6E2-6CF1E28FDB22}"/>
    <cellStyle name="Normal 10 9 7" xfId="6765" xr:uid="{8784D988-4DCD-4478-948C-0E41BDC10F40}"/>
    <cellStyle name="Normal 10 9 7 2" xfId="17145" xr:uid="{25522DA6-EE50-4885-8B3B-D83433D1611A}"/>
    <cellStyle name="Normal 10 9 8" xfId="9598" xr:uid="{27AEA380-710C-4BDB-900B-A2D1A307B94E}"/>
    <cellStyle name="Normal 10 9 8 2" xfId="19978" xr:uid="{30E46A4B-4D08-4DB9-B09C-757CA4C06A5D}"/>
    <cellStyle name="Normal 10 9 9" xfId="23673" xr:uid="{85013132-E928-4914-B06F-88A658A30795}"/>
    <cellStyle name="Normal 11" xfId="660" xr:uid="{00000000-0005-0000-0000-000040040000}"/>
    <cellStyle name="Normal 11 10" xfId="3912" xr:uid="{B5FFDD0D-8E0B-4ED0-8A0D-4B8007D11A86}"/>
    <cellStyle name="Normal 11 10 2" xfId="8744" xr:uid="{AAB818BF-5CBB-4811-A7E4-A58D68CC5CE6}"/>
    <cellStyle name="Normal 11 10 2 2" xfId="19124" xr:uid="{C4FDB22F-4B32-4AFE-B1AC-B26D9CF0FEB6}"/>
    <cellStyle name="Normal 11 10 3" xfId="11577" xr:uid="{D8EDAFB7-A8BA-4FFF-91B2-6F2F30E36C13}"/>
    <cellStyle name="Normal 11 10 3 2" xfId="21957" xr:uid="{482897BE-7CE2-40D9-842C-3D6ACA578724}"/>
    <cellStyle name="Normal 11 10 4" xfId="27743" xr:uid="{34AA4C46-2A82-4BEC-A34F-A934DFD40F05}"/>
    <cellStyle name="Normal 11 10 5" xfId="16291" xr:uid="{D3184AC5-B09E-4D07-9B20-2FC93E3C3148}"/>
    <cellStyle name="Normal 11 11" xfId="5020" xr:uid="{4441E4E4-3C73-4FAC-9B9C-BDA790075A13}"/>
    <cellStyle name="Normal 11 11 2" xfId="14314" xr:uid="{646FA8FC-F484-45CF-B8FB-D6C592D859AF}"/>
    <cellStyle name="Normal 11 12" xfId="6767" xr:uid="{A351784F-7502-4117-838D-712C558F09FF}"/>
    <cellStyle name="Normal 11 12 2" xfId="17147" xr:uid="{2569FF26-C820-41A3-B9C6-C00588A74406}"/>
    <cellStyle name="Normal 11 13" xfId="9600" xr:uid="{A86FF662-0F53-4B38-8D1E-BE7AAF8E4A33}"/>
    <cellStyle name="Normal 11 13 2" xfId="19980" xr:uid="{0FC1EA5E-0F5F-486C-9AF6-605A65B49914}"/>
    <cellStyle name="Normal 11 14" xfId="22816" xr:uid="{5833387D-E9A9-4441-B9FE-4D9EAFAC98D4}"/>
    <cellStyle name="Normal 11 15" xfId="12489" xr:uid="{7EFC5989-DA7E-48B8-880F-CC6997E49A5D}"/>
    <cellStyle name="Normal 11 2" xfId="661" xr:uid="{00000000-0005-0000-0000-000041040000}"/>
    <cellStyle name="Normal 11 2 10" xfId="12544" xr:uid="{7E869A50-9584-4C5E-9D24-F234CDB98485}"/>
    <cellStyle name="Normal 11 2 2" xfId="662" xr:uid="{00000000-0005-0000-0000-000042040000}"/>
    <cellStyle name="Normal 11 2 2 2" xfId="663" xr:uid="{00000000-0005-0000-0000-000043040000}"/>
    <cellStyle name="Normal 11 2 2 2 2" xfId="5023" xr:uid="{BA8DA40D-765F-4216-82AB-BCD7EFE51A86}"/>
    <cellStyle name="Normal 11 2 2 2 2 2" xfId="26768" xr:uid="{D7BC8985-AC76-484A-83F1-F401BDDEC26E}"/>
    <cellStyle name="Normal 11 2 2 2 2 3" xfId="26094" xr:uid="{395AE3D6-859A-4CE7-A280-6E488F1674D3}"/>
    <cellStyle name="Normal 11 2 2 2 2 4" xfId="14317" xr:uid="{B2FC0D89-6FFE-420A-BBC4-6244EB26879D}"/>
    <cellStyle name="Normal 11 2 2 2 3" xfId="6770" xr:uid="{6ED8C70E-7C6C-4CA0-891E-0EEECA17AA0B}"/>
    <cellStyle name="Normal 11 2 2 2 3 2" xfId="27562" xr:uid="{094EEDDA-A4DD-4F1C-ABB6-2BE7049EC4E0}"/>
    <cellStyle name="Normal 11 2 2 2 3 3" xfId="17150" xr:uid="{6439F4BB-E5F4-4187-B455-B2E1C3FE540A}"/>
    <cellStyle name="Normal 11 2 2 2 4" xfId="9603" xr:uid="{18713007-5CA2-4DE3-A579-91CDBA2B003D}"/>
    <cellStyle name="Normal 11 2 2 2 4 2" xfId="19983" xr:uid="{B954F003-7930-465D-BCF0-331C99E7F348}"/>
    <cellStyle name="Normal 11 2 2 2 5" xfId="22839" xr:uid="{71469C86-025B-4C88-9D43-019C15117EF9}"/>
    <cellStyle name="Normal 11 2 2 2 6" xfId="13400" xr:uid="{86A143AF-F29F-4F80-B659-86F5E63994C2}"/>
    <cellStyle name="Normal 11 2 2 3" xfId="5022" xr:uid="{3666E523-EAB3-4F61-8F2A-1ED85699C265}"/>
    <cellStyle name="Normal 11 2 2 3 2" xfId="25104" xr:uid="{A78CBC4B-639F-4CB4-8708-3B4C0F09661D}"/>
    <cellStyle name="Normal 11 2 2 3 3" xfId="28021" xr:uid="{429137E1-1FD7-4D02-BE96-8AE50CA8DCE0}"/>
    <cellStyle name="Normal 11 2 2 3 4" xfId="14316" xr:uid="{92DA86C5-C158-4A16-B7A1-8B534FB7D785}"/>
    <cellStyle name="Normal 11 2 2 4" xfId="6769" xr:uid="{E0CD5663-441D-498F-A2EB-60988238896E}"/>
    <cellStyle name="Normal 11 2 2 4 2" xfId="23149" xr:uid="{B44FB618-BE3C-4955-9D18-97BD37EE7801}"/>
    <cellStyle name="Normal 11 2 2 4 3" xfId="26286" xr:uid="{32FF9B93-DE82-4AF8-A8A0-FB357E510D26}"/>
    <cellStyle name="Normal 11 2 2 4 4" xfId="17149" xr:uid="{A617F348-0250-40A7-9E68-6603C4F1233F}"/>
    <cellStyle name="Normal 11 2 2 5" xfId="9602" xr:uid="{669B17C0-DD9D-485B-8A13-678C00CFD102}"/>
    <cellStyle name="Normal 11 2 2 5 2" xfId="29371" xr:uid="{5BED36D4-72D3-43BB-A326-B56F2A7DB586}"/>
    <cellStyle name="Normal 11 2 2 5 3" xfId="19982" xr:uid="{04AF60EA-E3B2-4C0D-888A-5643CF5F053A}"/>
    <cellStyle name="Normal 11 2 2 6" xfId="24037" xr:uid="{2A976BB5-7227-426B-BAF5-710F9FB7AD66}"/>
    <cellStyle name="Normal 11 2 2 7" xfId="12702" xr:uid="{B9B44B2F-09F4-4F5A-81A4-A363C3B08CD8}"/>
    <cellStyle name="Normal 11 2 3" xfId="664" xr:uid="{00000000-0005-0000-0000-000044040000}"/>
    <cellStyle name="Normal 11 2 3 2" xfId="5024" xr:uid="{8D7B7765-0EE9-4AB0-9533-6D02F1D32CA6}"/>
    <cellStyle name="Normal 11 2 3 2 2" xfId="24061" xr:uid="{13EE7752-BAC5-4761-8D52-865BD1687F8B}"/>
    <cellStyle name="Normal 11 2 3 2 3" xfId="26423" xr:uid="{3F65E947-7EC7-4CA6-9FA9-31FBAAC4DB31}"/>
    <cellStyle name="Normal 11 2 3 2 4" xfId="14318" xr:uid="{36110C57-00AC-439B-9109-7B28C2CE2368}"/>
    <cellStyle name="Normal 11 2 3 3" xfId="6771" xr:uid="{D2360609-4E98-41CE-9402-047DAEBF7659}"/>
    <cellStyle name="Normal 11 2 3 3 2" xfId="25745" xr:uid="{9BF657A4-76E3-4294-96AC-9699E9AD370A}"/>
    <cellStyle name="Normal 11 2 3 3 3" xfId="28561" xr:uid="{5B8552F4-CAA9-45AB-A23A-F3B977DEA90C}"/>
    <cellStyle name="Normal 11 2 3 3 4" xfId="17151" xr:uid="{1EE0F6BE-5908-4A06-8918-BCBC0962A927}"/>
    <cellStyle name="Normal 11 2 3 4" xfId="9604" xr:uid="{E227C0A7-82F8-433F-AAF0-F42C79778371}"/>
    <cellStyle name="Normal 11 2 3 4 2" xfId="29372" xr:uid="{47494459-9E4E-4E1E-9967-DF12DF0B497D}"/>
    <cellStyle name="Normal 11 2 3 4 3" xfId="19984" xr:uid="{FC34B077-EBC7-4E7B-B96A-5617E40A1C2B}"/>
    <cellStyle name="Normal 11 2 3 5" xfId="25354" xr:uid="{2C1C60BF-0ED5-4A71-A86B-258F3212A8ED}"/>
    <cellStyle name="Normal 11 2 3 6" xfId="13137" xr:uid="{CE0F4D07-EED5-46F9-80EE-7ECBB432934E}"/>
    <cellStyle name="Normal 11 2 4" xfId="665" xr:uid="{00000000-0005-0000-0000-000045040000}"/>
    <cellStyle name="Normal 11 2 4 2" xfId="6772" xr:uid="{6FC13055-6C37-4A68-84C0-0EF1382DF28E}"/>
    <cellStyle name="Normal 11 2 4 2 2" xfId="27255" xr:uid="{41EC3C82-FA1C-4CB9-A3E7-F65B4905A12C}"/>
    <cellStyle name="Normal 11 2 4 2 3" xfId="17152" xr:uid="{2AEBD2DB-F0C3-47CB-BEF5-8D3B2C03CCC4}"/>
    <cellStyle name="Normal 11 2 4 3" xfId="9605" xr:uid="{149F13F6-B3CB-4D97-A0CE-2FFA9F125BEF}"/>
    <cellStyle name="Normal 11 2 4 3 2" xfId="19985" xr:uid="{05C9874B-CE67-4883-ABF1-BF3E014ED98B}"/>
    <cellStyle name="Normal 11 2 4 4" xfId="24291" xr:uid="{7EA0A519-3A89-48B0-9F76-76FA7FC64127}"/>
    <cellStyle name="Normal 11 2 4 5" xfId="14319" xr:uid="{3B4D1103-8FD6-4B6F-A67D-2616A7686505}"/>
    <cellStyle name="Normal 11 2 5" xfId="3913" xr:uid="{6D6FC8A0-19C3-4AFB-B0F3-1A70299C8861}"/>
    <cellStyle name="Normal 11 2 5 2" xfId="8745" xr:uid="{F42E2E87-920C-451F-A729-A8A289DF4DA6}"/>
    <cellStyle name="Normal 11 2 5 2 2" xfId="28972" xr:uid="{54456655-4F9A-48B2-BDC1-89B46144FB14}"/>
    <cellStyle name="Normal 11 2 5 2 3" xfId="19125" xr:uid="{65BFA062-C9FB-4635-A3E3-75513F96D177}"/>
    <cellStyle name="Normal 11 2 5 3" xfId="11578" xr:uid="{1B5C27D1-9672-4C2A-AFF7-0103D9DCCFF8}"/>
    <cellStyle name="Normal 11 2 5 3 2" xfId="21958" xr:uid="{D4500874-26D1-47F2-BA91-E45F7B7C840F}"/>
    <cellStyle name="Normal 11 2 5 4" xfId="25611" xr:uid="{FF225065-C54F-40C4-9707-1FAC0F1087E9}"/>
    <cellStyle name="Normal 11 2 5 5" xfId="16292" xr:uid="{93EDE843-9A22-4B3F-A14C-23A596433670}"/>
    <cellStyle name="Normal 11 2 6" xfId="5021" xr:uid="{3D522979-40D5-4A0D-812B-B82FFA87AAE4}"/>
    <cellStyle name="Normal 11 2 6 2" xfId="25734" xr:uid="{A09E37DF-F035-4BCA-A2E3-7A1295B00C72}"/>
    <cellStyle name="Normal 11 2 6 3" xfId="26554" xr:uid="{2C88A89D-BE01-464B-ACA7-6C72CCE9D11C}"/>
    <cellStyle name="Normal 11 2 6 4" xfId="14315" xr:uid="{7644D493-7267-4E52-AE60-1BA38E58EDDC}"/>
    <cellStyle name="Normal 11 2 7" xfId="6768" xr:uid="{41A70720-8E2A-42FE-9FBA-A60213032968}"/>
    <cellStyle name="Normal 11 2 7 2" xfId="27774" xr:uid="{ECB8DF8A-84B3-4F5D-B320-3B309D58FA40}"/>
    <cellStyle name="Normal 11 2 7 3" xfId="17148" xr:uid="{D41CF98A-C869-4219-9D61-63C9438080EF}"/>
    <cellStyle name="Normal 11 2 8" xfId="9601" xr:uid="{03680630-C21E-427F-A1D7-05E958DC8ADA}"/>
    <cellStyle name="Normal 11 2 8 2" xfId="19981" xr:uid="{8E89BE1B-ADF8-4A58-B216-FE5A5BCD1E3C}"/>
    <cellStyle name="Normal 11 2 9" xfId="23177" xr:uid="{81460E23-6EB1-49D8-A645-1A3E44E65310}"/>
    <cellStyle name="Normal 11 3" xfId="666" xr:uid="{00000000-0005-0000-0000-000046040000}"/>
    <cellStyle name="Normal 11 3 10" xfId="12545" xr:uid="{DE5CB4EC-3856-4404-8BD5-694F19EB3F2D}"/>
    <cellStyle name="Normal 11 3 2" xfId="667" xr:uid="{00000000-0005-0000-0000-000047040000}"/>
    <cellStyle name="Normal 11 3 2 2" xfId="668" xr:uid="{00000000-0005-0000-0000-000048040000}"/>
    <cellStyle name="Normal 11 3 2 2 2" xfId="5027" xr:uid="{C586F6EF-9902-4006-9902-EFBD3D1B3642}"/>
    <cellStyle name="Normal 11 3 2 2 2 2" xfId="26769" xr:uid="{0E88BB26-8DE8-4727-8EE1-C4104993574F}"/>
    <cellStyle name="Normal 11 3 2 2 2 3" xfId="26175" xr:uid="{9B686E4D-46C1-400F-BDB0-7E4DF50065AF}"/>
    <cellStyle name="Normal 11 3 2 2 2 4" xfId="14322" xr:uid="{4C7A75A4-55C7-4E8D-9CC7-EAF58D0D639A}"/>
    <cellStyle name="Normal 11 3 2 2 3" xfId="6775" xr:uid="{61E2EB25-B676-4750-8EF4-67A1701A3DF1}"/>
    <cellStyle name="Normal 11 3 2 2 3 2" xfId="27563" xr:uid="{9975980D-517F-4D31-8D2C-7D36363CCB32}"/>
    <cellStyle name="Normal 11 3 2 2 3 3" xfId="17155" xr:uid="{FB084660-5EC1-4824-888F-AAD9D6A5A50B}"/>
    <cellStyle name="Normal 11 3 2 2 4" xfId="9608" xr:uid="{B93F1DC8-F2EB-4222-9E05-D11416E9425E}"/>
    <cellStyle name="Normal 11 3 2 2 4 2" xfId="19988" xr:uid="{FA781ABD-CA61-4631-8DAF-3991ED4F265C}"/>
    <cellStyle name="Normal 11 3 2 2 5" xfId="24449" xr:uid="{DAC33619-D368-4550-A016-8622F25A9985}"/>
    <cellStyle name="Normal 11 3 2 2 6" xfId="13401" xr:uid="{D18452EE-469E-4F40-A03A-DF8D1F87B9CF}"/>
    <cellStyle name="Normal 11 3 2 3" xfId="5026" xr:uid="{DBAD4C82-4BF6-469F-81BD-0D549C5FFEAE}"/>
    <cellStyle name="Normal 11 3 2 3 2" xfId="23761" xr:uid="{EC0EF743-3D30-43D1-B983-4201625E7AD6}"/>
    <cellStyle name="Normal 11 3 2 3 3" xfId="28497" xr:uid="{8E1709E5-F404-41D5-B7E0-7AEA04AEB1FD}"/>
    <cellStyle name="Normal 11 3 2 3 4" xfId="14321" xr:uid="{5A480C38-8B8B-4B06-8B69-93FA2FF2396C}"/>
    <cellStyle name="Normal 11 3 2 4" xfId="6774" xr:uid="{05A750AD-AE05-48AD-B276-D9CA212BFE29}"/>
    <cellStyle name="Normal 11 3 2 4 2" xfId="24829" xr:uid="{0BBCF30A-9949-44A1-B8C4-E0C4D4D5D345}"/>
    <cellStyle name="Normal 11 3 2 4 3" xfId="28614" xr:uid="{C01ED12D-4FAB-49DF-A5F2-D3A87905D3BD}"/>
    <cellStyle name="Normal 11 3 2 4 4" xfId="17154" xr:uid="{3B0486EB-1E20-4ED3-A24E-DD6F37DF8F78}"/>
    <cellStyle name="Normal 11 3 2 5" xfId="9607" xr:uid="{549D58CD-3A88-48EC-9E8F-308ACBA6E02D}"/>
    <cellStyle name="Normal 11 3 2 5 2" xfId="29373" xr:uid="{EA46AE19-808A-4B5C-B068-F29641C577CC}"/>
    <cellStyle name="Normal 11 3 2 5 3" xfId="19987" xr:uid="{6B09AE4B-A9F8-4E59-AF75-B41B85C3F703}"/>
    <cellStyle name="Normal 11 3 2 6" xfId="23838" xr:uid="{27B6450B-2151-40CE-BF23-437819165869}"/>
    <cellStyle name="Normal 11 3 2 7" xfId="12703" xr:uid="{AEE0F9C2-DBED-4C83-9B30-1BFF1EF0E86D}"/>
    <cellStyle name="Normal 11 3 3" xfId="669" xr:uid="{00000000-0005-0000-0000-000049040000}"/>
    <cellStyle name="Normal 11 3 3 2" xfId="5028" xr:uid="{8C06DBC2-DDA8-4EF3-BD25-C5AA42C4564D}"/>
    <cellStyle name="Normal 11 3 3 2 2" xfId="26770" xr:uid="{A25B506B-BAF3-4505-8C8B-22FF2B6837ED}"/>
    <cellStyle name="Normal 11 3 3 2 3" xfId="28292" xr:uid="{CB6A426F-82A5-4260-A673-F81C3686242E}"/>
    <cellStyle name="Normal 11 3 3 2 4" xfId="14323" xr:uid="{0935CDD8-A7DB-4461-A014-80E9BEF715E7}"/>
    <cellStyle name="Normal 11 3 3 3" xfId="6776" xr:uid="{A41BC5D5-5123-4ED0-95F1-D9D160AC9C9D}"/>
    <cellStyle name="Normal 11 3 3 3 2" xfId="27564" xr:uid="{1A5F9BCC-B8AF-4809-8026-C15ADB9475A0}"/>
    <cellStyle name="Normal 11 3 3 3 3" xfId="26756" xr:uid="{477DA55A-367C-46B8-AC6D-106F743997AE}"/>
    <cellStyle name="Normal 11 3 3 3 4" xfId="17156" xr:uid="{93677684-FB0B-435D-A229-1C0AA2DA0D95}"/>
    <cellStyle name="Normal 11 3 3 4" xfId="9609" xr:uid="{6F0DFD3F-9895-4D8B-A8F5-981B36E0833D}"/>
    <cellStyle name="Normal 11 3 3 4 2" xfId="29374" xr:uid="{37D965CF-A197-4014-AFCA-5E70F1CD73C5}"/>
    <cellStyle name="Normal 11 3 3 4 3" xfId="19989" xr:uid="{296E0623-3297-40EC-93A6-E57B3F4A63A3}"/>
    <cellStyle name="Normal 11 3 3 5" xfId="24235" xr:uid="{0D851AD1-5272-4B55-9B36-BC31461895C4}"/>
    <cellStyle name="Normal 11 3 3 6" xfId="13138" xr:uid="{72F81136-ACE5-4FE5-A423-15E999396A2B}"/>
    <cellStyle name="Normal 11 3 4" xfId="670" xr:uid="{00000000-0005-0000-0000-00004A040000}"/>
    <cellStyle name="Normal 11 3 4 2" xfId="6777" xr:uid="{525E3984-2309-474D-8E61-2FBEDEDD798E}"/>
    <cellStyle name="Normal 11 3 4 2 2" xfId="27240" xr:uid="{18DF850A-9BB7-49F7-87DC-E6724D416728}"/>
    <cellStyle name="Normal 11 3 4 2 3" xfId="17157" xr:uid="{D4BEB83E-59B7-466C-B2C6-BE7ED1AC57D3}"/>
    <cellStyle name="Normal 11 3 4 3" xfId="9610" xr:uid="{7B93175C-3CC7-4031-B187-09D083BC8DD3}"/>
    <cellStyle name="Normal 11 3 4 3 2" xfId="19990" xr:uid="{EA99FA9B-4552-4798-981D-D2D03430BACB}"/>
    <cellStyle name="Normal 11 3 4 4" xfId="22882" xr:uid="{BA692C8E-869D-49A4-9FBB-086A65872992}"/>
    <cellStyle name="Normal 11 3 4 5" xfId="14324" xr:uid="{429B78E7-79ED-4010-8247-8AE18B06BFDD}"/>
    <cellStyle name="Normal 11 3 5" xfId="3914" xr:uid="{5F8D0651-3182-4A9E-AA1E-9C3AA1F77872}"/>
    <cellStyle name="Normal 11 3 5 2" xfId="8746" xr:uid="{1E1AD780-6E4E-4309-A722-2ECEAD03D09D}"/>
    <cellStyle name="Normal 11 3 5 2 2" xfId="28973" xr:uid="{30B45775-90E9-42E7-8B5C-46CCA9BAF7D7}"/>
    <cellStyle name="Normal 11 3 5 2 3" xfId="19126" xr:uid="{B67135CF-3284-4839-AAB7-7A6E3C0EBE03}"/>
    <cellStyle name="Normal 11 3 5 3" xfId="11579" xr:uid="{BD6BA976-0F9A-4F2C-90BB-CC1A607DED1A}"/>
    <cellStyle name="Normal 11 3 5 3 2" xfId="21959" xr:uid="{DE7A4E47-0D13-4BFE-8D85-77E6EBB294CC}"/>
    <cellStyle name="Normal 11 3 5 4" xfId="24000" xr:uid="{FC38D255-9A66-4C5C-B6F8-2FA9BE087CEF}"/>
    <cellStyle name="Normal 11 3 5 5" xfId="16293" xr:uid="{7DBADBA1-71E0-4C63-BF7C-8B98471971B0}"/>
    <cellStyle name="Normal 11 3 6" xfId="5025" xr:uid="{D4B640ED-396F-451B-B450-FED05EC40CCF}"/>
    <cellStyle name="Normal 11 3 6 2" xfId="23499" xr:uid="{45C3B587-B34B-4C0C-88D8-F99AF9F39D21}"/>
    <cellStyle name="Normal 11 3 6 3" xfId="27394" xr:uid="{D818418A-E729-4CFB-82CD-736FF1664127}"/>
    <cellStyle name="Normal 11 3 6 4" xfId="14320" xr:uid="{6A686EA7-3EC9-44F1-A330-0BA34D3C04DE}"/>
    <cellStyle name="Normal 11 3 7" xfId="6773" xr:uid="{AFE4D348-22E3-4EB0-8EB2-3C3195851085}"/>
    <cellStyle name="Normal 11 3 7 2" xfId="27385" xr:uid="{35B54A7C-0AE2-4961-8813-85FFE7E9F321}"/>
    <cellStyle name="Normal 11 3 7 3" xfId="17153" xr:uid="{E8A39245-1E46-4E1B-BEC6-4CE9E1F208E1}"/>
    <cellStyle name="Normal 11 3 8" xfId="9606" xr:uid="{E413EBD7-91A4-4C65-A0EC-EBF30833767A}"/>
    <cellStyle name="Normal 11 3 8 2" xfId="19986" xr:uid="{1B735CB8-671D-4E0E-B092-914FB5F16E02}"/>
    <cellStyle name="Normal 11 3 9" xfId="24661" xr:uid="{2AE20C54-B79E-4CDD-8E85-0E151CBDC13D}"/>
    <cellStyle name="Normal 11 4" xfId="671" xr:uid="{00000000-0005-0000-0000-00004B040000}"/>
    <cellStyle name="Normal 11 4 10" xfId="12546" xr:uid="{32DA3DB1-B217-4604-9AFD-0F53DC3D9D79}"/>
    <cellStyle name="Normal 11 4 2" xfId="672" xr:uid="{00000000-0005-0000-0000-00004C040000}"/>
    <cellStyle name="Normal 11 4 2 2" xfId="2895" xr:uid="{00000000-0005-0000-0000-000064030000}"/>
    <cellStyle name="Normal 11 4 2 2 2" xfId="6081" xr:uid="{638AB7AD-2EFD-4587-8170-B6C9ABC8A860}"/>
    <cellStyle name="Normal 11 4 2 2 2 2" xfId="27505" xr:uid="{44BCF25B-3303-491B-9398-AC74199A8FB7}"/>
    <cellStyle name="Normal 11 4 2 2 2 3" xfId="27959" xr:uid="{421CA5BC-66DE-4C11-8560-8085836A964F}"/>
    <cellStyle name="Normal 11 4 2 2 2 4" xfId="15559" xr:uid="{77D678A6-FB04-499A-8D50-6CC3EF7377B6}"/>
    <cellStyle name="Normal 11 4 2 2 3" xfId="8012" xr:uid="{92A64233-E5FA-4DF0-9033-18F2C8D20752}"/>
    <cellStyle name="Normal 11 4 2 2 3 2" xfId="27483" xr:uid="{A24A71F0-CF05-4172-B496-E2FD313B6CA9}"/>
    <cellStyle name="Normal 11 4 2 2 3 3" xfId="18392" xr:uid="{8535BAF6-E18C-4E47-A456-D14F8A6AAF7D}"/>
    <cellStyle name="Normal 11 4 2 2 4" xfId="10845" xr:uid="{0E33385C-032E-4B16-86D0-C2EC2609EB17}"/>
    <cellStyle name="Normal 11 4 2 2 4 2" xfId="21225" xr:uid="{0A965AF9-165C-4F2E-A797-A6545CDDAC86}"/>
    <cellStyle name="Normal 11 4 2 2 5" xfId="24842" xr:uid="{6C4EF4A7-F04B-40EB-B0CB-D2FB244C5B1D}"/>
    <cellStyle name="Normal 11 4 2 2 6" xfId="13402" xr:uid="{FF490721-9360-45FF-B598-4A6DEAEF1BD9}"/>
    <cellStyle name="Normal 11 4 2 3" xfId="5030" xr:uid="{09D41346-65F9-4754-8981-A6AE4D6D2B71}"/>
    <cellStyle name="Normal 11 4 2 3 2" xfId="23139" xr:uid="{A5B4D553-00F5-4278-A192-BCA5460DB1D2}"/>
    <cellStyle name="Normal 11 4 2 3 3" xfId="27656" xr:uid="{DA2178ED-C0B4-47E7-9A18-D04930947376}"/>
    <cellStyle name="Normal 11 4 2 3 4" xfId="14326" xr:uid="{8C3C65EE-A230-4AE1-A48F-8F19DD39C15D}"/>
    <cellStyle name="Normal 11 4 2 4" xfId="6779" xr:uid="{3FC43918-8A16-43A7-86EC-EF093A22A354}"/>
    <cellStyle name="Normal 11 4 2 4 2" xfId="26986" xr:uid="{F9C89338-8822-49FE-A0F9-344C1828451B}"/>
    <cellStyle name="Normal 11 4 2 4 3" xfId="28197" xr:uid="{CAFE39BD-9339-49FD-BE1D-24FC802D2383}"/>
    <cellStyle name="Normal 11 4 2 4 4" xfId="17159" xr:uid="{BE195126-BF42-46F0-80F9-B7BDBD2D837F}"/>
    <cellStyle name="Normal 11 4 2 5" xfId="9612" xr:uid="{FA3BF229-151C-4960-B5B6-9BD084993B34}"/>
    <cellStyle name="Normal 11 4 2 5 2" xfId="29375" xr:uid="{C66D6D37-59E4-46D1-9486-9A0AA0B9946A}"/>
    <cellStyle name="Normal 11 4 2 5 3" xfId="19992" xr:uid="{15262610-0F77-49C1-8B94-420F88791E14}"/>
    <cellStyle name="Normal 11 4 2 6" xfId="23281" xr:uid="{9B5595E7-9D85-47DE-A5FF-B00EA32836C6}"/>
    <cellStyle name="Normal 11 4 2 7" xfId="12704" xr:uid="{CE0D822D-5F48-4257-89C6-FAE62D7003F1}"/>
    <cellStyle name="Normal 11 4 3" xfId="673" xr:uid="{00000000-0005-0000-0000-00004D040000}"/>
    <cellStyle name="Normal 11 4 3 2" xfId="5031" xr:uid="{0C5810A7-7868-4A70-B763-EFD90EACFF69}"/>
    <cellStyle name="Normal 11 4 3 2 2" xfId="27264" xr:uid="{95ED38D0-6E85-4036-B35C-1751487878B3}"/>
    <cellStyle name="Normal 11 4 3 2 3" xfId="28068" xr:uid="{04B9A4C7-6478-42D6-90BF-88A3E2705691}"/>
    <cellStyle name="Normal 11 4 3 2 4" xfId="14327" xr:uid="{5C58E733-5A2F-4AD8-8A2A-8E8AFD15AB66}"/>
    <cellStyle name="Normal 11 4 3 3" xfId="6780" xr:uid="{D2ABF370-7D95-4DC2-9860-4CF5DB0775BE}"/>
    <cellStyle name="Normal 11 4 3 3 2" xfId="27796" xr:uid="{8DB23A2A-405D-4EF1-BDCA-91298B2F4FDA}"/>
    <cellStyle name="Normal 11 4 3 3 3" xfId="28405" xr:uid="{542C35E4-DE9B-4FD1-AC17-9798A51217D5}"/>
    <cellStyle name="Normal 11 4 3 3 4" xfId="17160" xr:uid="{69FE33AE-1816-4A43-89F9-3170E4FBBB41}"/>
    <cellStyle name="Normal 11 4 3 4" xfId="9613" xr:uid="{DC1B4FCE-FA02-4419-A0F4-7832434EF505}"/>
    <cellStyle name="Normal 11 4 3 4 2" xfId="29376" xr:uid="{1B44CD20-4F94-4165-8758-24170B523D18}"/>
    <cellStyle name="Normal 11 4 3 4 3" xfId="19993" xr:uid="{6EEE6ED3-74BF-4802-9021-5CF73EF5E5E3}"/>
    <cellStyle name="Normal 11 4 3 5" xfId="23338" xr:uid="{913A5553-8E2D-491A-9ECD-001DA73C9D57}"/>
    <cellStyle name="Normal 11 4 3 6" xfId="13139" xr:uid="{D9C8ABD3-EB57-455D-B81C-45325FB4E9B5}"/>
    <cellStyle name="Normal 11 4 4" xfId="2312" xr:uid="{00000000-0005-0000-0000-000062030000}"/>
    <cellStyle name="Normal 11 4 4 2" xfId="7439" xr:uid="{394811E4-217E-4816-8676-94FAE0589D3B}"/>
    <cellStyle name="Normal 11 4 4 2 2" xfId="26727" xr:uid="{1AF97864-D37D-4037-84D1-6CCD2AE37F6A}"/>
    <cellStyle name="Normal 11 4 4 2 3" xfId="17819" xr:uid="{22C4DDA3-0E64-4F06-8798-CE2CF1C14E38}"/>
    <cellStyle name="Normal 11 4 4 3" xfId="10272" xr:uid="{9A3D01F3-3A79-4FC6-B0B3-6124229E4D93}"/>
    <cellStyle name="Normal 11 4 4 3 2" xfId="20652" xr:uid="{C29B0363-002B-411E-895A-035368462CED}"/>
    <cellStyle name="Normal 11 4 4 4" xfId="25165" xr:uid="{D83C62A1-72F3-433C-BBC3-3EA1C796A097}"/>
    <cellStyle name="Normal 11 4 4 5" xfId="14986" xr:uid="{E5B598D3-FBC0-4B13-8358-920035AFF140}"/>
    <cellStyle name="Normal 11 4 5" xfId="3915" xr:uid="{9902BB13-0532-49D2-AEAD-792FC1809C68}"/>
    <cellStyle name="Normal 11 4 5 2" xfId="8747" xr:uid="{15F0FC37-5EC8-4DBB-AB36-1807EBF63018}"/>
    <cellStyle name="Normal 11 4 5 2 2" xfId="28974" xr:uid="{8CB43262-9F07-43E1-A748-EC554C77FA7B}"/>
    <cellStyle name="Normal 11 4 5 2 3" xfId="19127" xr:uid="{75928AAB-E63A-4E0D-B91B-1CB56A039DA7}"/>
    <cellStyle name="Normal 11 4 5 3" xfId="11580" xr:uid="{0405A663-ADD8-4A00-B9EC-955BAA456DF8}"/>
    <cellStyle name="Normal 11 4 5 3 2" xfId="21960" xr:uid="{23CC4FBC-7AC6-4FC7-BB7E-4EC14EF4FD8B}"/>
    <cellStyle name="Normal 11 4 5 4" xfId="23502" xr:uid="{CFD8BA40-1C3D-4CC8-8CB4-2F43131FAC8C}"/>
    <cellStyle name="Normal 11 4 5 5" xfId="16294" xr:uid="{608C74BC-40EF-43E7-8644-7C6CDFA9BA1E}"/>
    <cellStyle name="Normal 11 4 6" xfId="5029" xr:uid="{530B1860-0E38-4AB1-82D5-34D2D503466A}"/>
    <cellStyle name="Normal 11 4 6 2" xfId="26626" xr:uid="{6E4FFAB8-89DA-48A3-860E-AECD758CC5DF}"/>
    <cellStyle name="Normal 11 4 6 3" xfId="28682" xr:uid="{3FB66B60-3A9D-4335-8BCD-F245C49E3A54}"/>
    <cellStyle name="Normal 11 4 6 4" xfId="14325" xr:uid="{D3CE1157-80D7-4098-A91E-25BC0F82AE7C}"/>
    <cellStyle name="Normal 11 4 7" xfId="6778" xr:uid="{FA6FE495-F3FF-4302-943D-6B551539A985}"/>
    <cellStyle name="Normal 11 4 7 2" xfId="26818" xr:uid="{C8C05CDF-F846-41C0-A7BD-E6BF2BBE40CA}"/>
    <cellStyle name="Normal 11 4 7 3" xfId="17158" xr:uid="{C919DAC2-5ED6-4CA6-9C63-167B91DD9B7C}"/>
    <cellStyle name="Normal 11 4 8" xfId="9611" xr:uid="{E9EBDB79-4531-45D4-BD3C-274B2FF4B4C8}"/>
    <cellStyle name="Normal 11 4 8 2" xfId="19991" xr:uid="{FFA46CB1-C19C-4FD7-86AB-486C0515D668}"/>
    <cellStyle name="Normal 11 4 9" xfId="24257" xr:uid="{E8D0F19D-FDF9-43A5-91F0-731DE19A0A38}"/>
    <cellStyle name="Normal 11 5" xfId="674" xr:uid="{00000000-0005-0000-0000-00004E040000}"/>
    <cellStyle name="Normal 11 5 10" xfId="12543" xr:uid="{51AC1F11-C3FE-4EE9-8A11-26E03486E04E}"/>
    <cellStyle name="Normal 11 5 2" xfId="675" xr:uid="{00000000-0005-0000-0000-00004F040000}"/>
    <cellStyle name="Normal 11 5 2 2" xfId="5033" xr:uid="{2ECDA429-4EC8-4F67-98C9-7D876071CA03}"/>
    <cellStyle name="Normal 11 5 2 2 2" xfId="23180" xr:uid="{D6939B94-C692-4BBC-915C-45AE47A84439}"/>
    <cellStyle name="Normal 11 5 2 2 3" xfId="28361" xr:uid="{D36EC450-F19F-4975-AFB9-0B6FBC0C572B}"/>
    <cellStyle name="Normal 11 5 2 2 4" xfId="14329" xr:uid="{5D1E616E-3750-4D32-8DF1-D7426BDEB46B}"/>
    <cellStyle name="Normal 11 5 2 3" xfId="6782" xr:uid="{D1E164DC-1B11-469A-A7D5-A802A85B6DB3}"/>
    <cellStyle name="Normal 11 5 2 3 2" xfId="27566" xr:uid="{88109015-6CD9-4DC7-AE64-38E719ED4739}"/>
    <cellStyle name="Normal 11 5 2 3 3" xfId="28264" xr:uid="{0F2F7947-5A46-4A3D-8922-F710568EAD34}"/>
    <cellStyle name="Normal 11 5 2 3 4" xfId="17162" xr:uid="{D65AD02B-E74C-4006-B96B-120B8260D3AF}"/>
    <cellStyle name="Normal 11 5 2 4" xfId="9615" xr:uid="{E3B27907-6F21-42C4-BE25-292AEB6116F5}"/>
    <cellStyle name="Normal 11 5 2 4 2" xfId="29377" xr:uid="{88499F2D-8EDE-4595-B670-5C59F4C4079E}"/>
    <cellStyle name="Normal 11 5 2 4 3" xfId="19995" xr:uid="{A0AC8923-E63F-4815-87E4-1F847DC99337}"/>
    <cellStyle name="Normal 11 5 2 5" xfId="22898" xr:uid="{10AC2A4C-25B8-407B-86EB-D23AC8AE782F}"/>
    <cellStyle name="Normal 11 5 2 6" xfId="13671" xr:uid="{76BB1F48-F840-4163-B2ED-D67E928F6313}"/>
    <cellStyle name="Normal 11 5 3" xfId="2712" xr:uid="{00000000-0005-0000-0000-000068030000}"/>
    <cellStyle name="Normal 11 5 3 2" xfId="5930" xr:uid="{6F92EF33-8D36-4526-A477-9E3E38C0EF3D}"/>
    <cellStyle name="Normal 11 5 3 2 2" xfId="28483" xr:uid="{3D87EF29-19C2-41BB-8C2A-1F71A97B2050}"/>
    <cellStyle name="Normal 11 5 3 2 3" xfId="15383" xr:uid="{61F7D16C-D0BE-4935-AD5F-5C37E576F00C}"/>
    <cellStyle name="Normal 11 5 3 3" xfId="7836" xr:uid="{DC9D65AA-0A05-4438-B41F-99F031A1D619}"/>
    <cellStyle name="Normal 11 5 3 3 2" xfId="18216" xr:uid="{39276640-D55F-4F75-835D-12F838513141}"/>
    <cellStyle name="Normal 11 5 3 4" xfId="10669" xr:uid="{37F29275-441E-4E18-BABE-CF5B89C41A13}"/>
    <cellStyle name="Normal 11 5 3 4 2" xfId="21049" xr:uid="{5843CE77-DEA0-46CE-BA6D-3AA8FC5A9BC7}"/>
    <cellStyle name="Normal 11 5 3 5" xfId="24016" xr:uid="{4F462E06-2789-43B4-9538-4BFEF5954722}"/>
    <cellStyle name="Normal 11 5 3 6" xfId="13136" xr:uid="{99B4E794-325F-4CD6-91D4-ACCEC952CE5D}"/>
    <cellStyle name="Normal 11 5 4" xfId="2311" xr:uid="{00000000-0005-0000-0000-000066030000}"/>
    <cellStyle name="Normal 11 5 4 2" xfId="7438" xr:uid="{35B10574-9D4D-4578-AC4E-A61C69771504}"/>
    <cellStyle name="Normal 11 5 4 2 2" xfId="27377" xr:uid="{C8368EE2-DA1F-43DE-8F75-E476DF764D55}"/>
    <cellStyle name="Normal 11 5 4 2 3" xfId="17818" xr:uid="{419A3659-2A11-44E1-A28C-26C85944F939}"/>
    <cellStyle name="Normal 11 5 4 3" xfId="10271" xr:uid="{C8B48D61-49CA-4B57-9C8B-DBD170D7F774}"/>
    <cellStyle name="Normal 11 5 4 3 2" xfId="20651" xr:uid="{DCC9D1B5-17C8-42D9-BC5F-22A86B416D42}"/>
    <cellStyle name="Normal 11 5 4 4" xfId="25360" xr:uid="{5C49BD4A-9C02-47AF-9DA1-A08A087E6962}"/>
    <cellStyle name="Normal 11 5 4 5" xfId="14985" xr:uid="{A07DE548-936A-4CB8-94E7-52FA4E3A9589}"/>
    <cellStyle name="Normal 11 5 5" xfId="3838" xr:uid="{D19BC1C9-2E10-4B47-B0C8-B6F0346CE62D}"/>
    <cellStyle name="Normal 11 5 5 2" xfId="8671" xr:uid="{98449998-45F3-41E3-BEFC-C7A5CD274203}"/>
    <cellStyle name="Normal 11 5 5 2 2" xfId="19051" xr:uid="{D9DFE239-6AE4-49FD-91BC-4D8FE9CC916D}"/>
    <cellStyle name="Normal 11 5 5 3" xfId="11504" xr:uid="{ECB60C65-AE28-4FD2-A77A-C8F5F5E542F8}"/>
    <cellStyle name="Normal 11 5 5 3 2" xfId="21884" xr:uid="{D537F629-95BF-4A91-AE3A-8202DF7F1EAD}"/>
    <cellStyle name="Normal 11 5 5 4" xfId="26819" xr:uid="{1132127F-3DB5-46A5-BB43-6BCF4B34D10F}"/>
    <cellStyle name="Normal 11 5 5 5" xfId="16218" xr:uid="{7BA8269A-E710-4EEF-BE55-A3B6C7D256FA}"/>
    <cellStyle name="Normal 11 5 6" xfId="5032" xr:uid="{ACC57913-C41D-415C-AB56-B836E90863CC}"/>
    <cellStyle name="Normal 11 5 6 2" xfId="14328" xr:uid="{3918465B-9A15-4C3E-9B12-CCF9B5CA9EF1}"/>
    <cellStyle name="Normal 11 5 7" xfId="6781" xr:uid="{BA1E19AF-9C0A-4A8D-8781-6A9D8108365F}"/>
    <cellStyle name="Normal 11 5 7 2" xfId="17161" xr:uid="{8BE4348E-2A2B-4371-99E8-1FAAFC57962E}"/>
    <cellStyle name="Normal 11 5 8" xfId="9614" xr:uid="{1EF09A24-7522-4965-91FA-F627EED0F86E}"/>
    <cellStyle name="Normal 11 5 8 2" xfId="19994" xr:uid="{36C7FCF1-DF08-49D1-B277-C0EA1EF462A2}"/>
    <cellStyle name="Normal 11 5 9" xfId="23310" xr:uid="{0BB148A3-0364-4042-9D78-23888DA62354}"/>
    <cellStyle name="Normal 11 6" xfId="676" xr:uid="{00000000-0005-0000-0000-000050040000}"/>
    <cellStyle name="Normal 11 6 2" xfId="3144" xr:uid="{00000000-0005-0000-0000-00006A030000}"/>
    <cellStyle name="Normal 11 6 2 2" xfId="6202" xr:uid="{BD2FB26E-5A54-4702-8AD8-BF4594B190BE}"/>
    <cellStyle name="Normal 11 6 2 2 2" xfId="27434" xr:uid="{8411C2E7-6F5C-4B86-9ABF-BFF24311035C}"/>
    <cellStyle name="Normal 11 6 2 2 3" xfId="27279" xr:uid="{99477210-CFF4-4DA4-9107-C7EDD774EF58}"/>
    <cellStyle name="Normal 11 6 2 2 4" xfId="15771" xr:uid="{2A1554A1-6644-46C6-AD6B-A491CE4466C2}"/>
    <cellStyle name="Normal 11 6 2 3" xfId="8224" xr:uid="{1977EEAB-C78B-4F89-A0A2-57B4FE295A7A}"/>
    <cellStyle name="Normal 11 6 2 3 2" xfId="28869" xr:uid="{9AEE0E77-4E08-48C3-9C2F-5E9C4C8DCA98}"/>
    <cellStyle name="Normal 11 6 2 3 3" xfId="18604" xr:uid="{4FB95FB6-A6BC-4810-A27B-07F758FEBEF0}"/>
    <cellStyle name="Normal 11 6 2 4" xfId="11057" xr:uid="{5DC9A81C-8400-4BF9-B424-33BD0E155F50}"/>
    <cellStyle name="Normal 11 6 2 4 2" xfId="21437" xr:uid="{3245FFD4-9E08-459A-805A-681AC8FDAD7D}"/>
    <cellStyle name="Normal 11 6 2 5" xfId="24379" xr:uid="{9788469F-2D8A-4D77-A45D-F5DD89018255}"/>
    <cellStyle name="Normal 11 6 2 6" xfId="13672" xr:uid="{6D5378A5-9F6A-4DD9-88B5-A35EDAE7891B}"/>
    <cellStyle name="Normal 11 6 3" xfId="2860" xr:uid="{00000000-0005-0000-0000-00006B030000}"/>
    <cellStyle name="Normal 11 6 3 2" xfId="6073" xr:uid="{15DD6167-203B-433F-A9E3-2A16E6DED355}"/>
    <cellStyle name="Normal 11 6 3 2 2" xfId="26195" xr:uid="{4BEDC51B-725A-4593-9E6F-94F99D7F80AA}"/>
    <cellStyle name="Normal 11 6 3 2 3" xfId="15529" xr:uid="{49E981A8-79E2-4F5A-B95F-10B2AB8193C5}"/>
    <cellStyle name="Normal 11 6 3 3" xfId="7982" xr:uid="{08214E28-A72D-40B5-A0FF-BBC0FE4C1529}"/>
    <cellStyle name="Normal 11 6 3 3 2" xfId="18362" xr:uid="{43EB3EFD-E78F-4679-BBDC-835B346BDB3B}"/>
    <cellStyle name="Normal 11 6 3 4" xfId="10815" xr:uid="{A1CE415C-D7A7-430E-B35E-FA2D26E8C63C}"/>
    <cellStyle name="Normal 11 6 3 4 2" xfId="21195" xr:uid="{3E53748C-901F-4ABE-B0FB-05984115E6B7}"/>
    <cellStyle name="Normal 11 6 3 5" xfId="24151" xr:uid="{D95C5E7B-8D7F-4AFD-9FFC-363BC5D9368F}"/>
    <cellStyle name="Normal 11 6 3 6" xfId="13349" xr:uid="{A7160CAA-E05C-42CC-9C4E-7CF2940DD71A}"/>
    <cellStyle name="Normal 11 6 4" xfId="4151" xr:uid="{8897D64D-3888-4BB8-9522-58EB076CD29F}"/>
    <cellStyle name="Normal 11 6 4 2" xfId="8923" xr:uid="{34FD39BE-6E6B-4AD5-BEC0-389BB156B5B3}"/>
    <cellStyle name="Normal 11 6 4 2 2" xfId="29022" xr:uid="{96374AE3-3679-4035-B9B3-F79B3DA14166}"/>
    <cellStyle name="Normal 11 6 4 2 3" xfId="19303" xr:uid="{217AB037-360E-43AE-B0B0-259481AA9338}"/>
    <cellStyle name="Normal 11 6 4 3" xfId="11756" xr:uid="{A9DA5D51-E46E-4BCB-8481-C81DCA54B20A}"/>
    <cellStyle name="Normal 11 6 4 3 2" xfId="22136" xr:uid="{2FF41ADB-2ECD-4F50-AC3B-147B5FE36219}"/>
    <cellStyle name="Normal 11 6 4 4" xfId="28485" xr:uid="{75AA98EB-F151-4117-9127-C1275A9C0006}"/>
    <cellStyle name="Normal 11 6 4 5" xfId="16470" xr:uid="{078E3D01-56AA-4595-9FB7-B04864440EC3}"/>
    <cellStyle name="Normal 11 6 5" xfId="5034" xr:uid="{CC1A95E0-B1E7-46CF-AFFF-52BB857E64C8}"/>
    <cellStyle name="Normal 11 6 5 2" xfId="27490" xr:uid="{64B45BFB-1BBC-4084-97A0-74B6A5E9A3EA}"/>
    <cellStyle name="Normal 11 6 5 3" xfId="14330" xr:uid="{FA70D1E4-E891-43DE-A664-7C2EE46E6787}"/>
    <cellStyle name="Normal 11 6 6" xfId="6783" xr:uid="{7D48E33C-69FE-439E-942C-4531C77FC840}"/>
    <cellStyle name="Normal 11 6 6 2" xfId="17163" xr:uid="{C9D6E1D2-24A2-448A-B67A-2510BAAC2BC4}"/>
    <cellStyle name="Normal 11 6 7" xfId="9616" xr:uid="{D7C41B80-F05F-49AC-9D45-D2A58C8503A3}"/>
    <cellStyle name="Normal 11 6 7 2" xfId="19996" xr:uid="{B05B765F-6156-4216-9857-FFAFC4C46E29}"/>
    <cellStyle name="Normal 11 6 8" xfId="25570" xr:uid="{F67A65D7-3B24-4110-8BA4-D4600D14EC47}"/>
    <cellStyle name="Normal 11 6 9" xfId="12701" xr:uid="{7B8BA89E-E580-44A4-B170-94A6475269B6}"/>
    <cellStyle name="Normal 11 7" xfId="677" xr:uid="{00000000-0005-0000-0000-000051040000}"/>
    <cellStyle name="Normal 11 7 2" xfId="5035" xr:uid="{E2F2A623-6DC7-4ADF-87D8-C8404433EF29}"/>
    <cellStyle name="Normal 11 7 2 2" xfId="24300" xr:uid="{6658F537-39AE-4CEA-A705-BFA760AE7921}"/>
    <cellStyle name="Normal 11 7 2 3" xfId="28288" xr:uid="{4AF7F0B1-F341-4D19-B61E-35484FCA54DA}"/>
    <cellStyle name="Normal 11 7 2 4" xfId="14331" xr:uid="{172FED5F-EF95-4CE1-895E-131F5BFE53E3}"/>
    <cellStyle name="Normal 11 7 3" xfId="6784" xr:uid="{C70B7F4A-CFDA-408D-8E8C-60D74F6957C8}"/>
    <cellStyle name="Normal 11 7 3 2" xfId="26916" xr:uid="{45EE320C-490B-472A-84F1-B3CD9D7A21FE}"/>
    <cellStyle name="Normal 11 7 3 3" xfId="17164" xr:uid="{DA37AFFF-3F63-4AF7-BA68-6F52E5231E45}"/>
    <cellStyle name="Normal 11 7 4" xfId="9617" xr:uid="{207D58B0-82A5-4E81-BBD0-2A00B8F9B192}"/>
    <cellStyle name="Normal 11 7 4 2" xfId="19997" xr:uid="{217F3421-304B-4632-AAD6-496D87CB8017}"/>
    <cellStyle name="Normal 11 7 5" xfId="24074" xr:uid="{17114C85-D6E0-4CA6-8C08-BE54408EB7E6}"/>
    <cellStyle name="Normal 11 7 6" xfId="13399" xr:uid="{FA874369-E5D4-4170-94AB-236BD918FFB8}"/>
    <cellStyle name="Normal 11 8" xfId="2652" xr:uid="{00000000-0005-0000-0000-00006D030000}"/>
    <cellStyle name="Normal 11 8 2" xfId="5914" xr:uid="{3C16B3C4-9BA2-4BA5-B56C-569FDC9C4593}"/>
    <cellStyle name="Normal 11 8 2 2" xfId="26112" xr:uid="{54BF3F3F-E486-4A98-8F86-41E336AFA9FE}"/>
    <cellStyle name="Normal 11 8 2 3" xfId="15324" xr:uid="{C9968FD0-A6FD-4FFC-8DD2-8D5D8F8B13DB}"/>
    <cellStyle name="Normal 11 8 3" xfId="7777" xr:uid="{1CBB693E-D222-4711-9277-F48DC820F811}"/>
    <cellStyle name="Normal 11 8 3 2" xfId="18157" xr:uid="{695EB2FB-8162-4F8F-AB9B-77C49AC9BC6D}"/>
    <cellStyle name="Normal 11 8 4" xfId="10610" xr:uid="{9DDBDCA2-A42D-46D7-A65A-9B5B5F7571DF}"/>
    <cellStyle name="Normal 11 8 4 2" xfId="20990" xr:uid="{E64107D0-E411-4EED-ABAC-042DFC620510}"/>
    <cellStyle name="Normal 11 8 5" xfId="24149" xr:uid="{DE3B9CCD-AB2F-43CC-8B21-43E9D3C24ECA}"/>
    <cellStyle name="Normal 11 8 6" xfId="13054" xr:uid="{683EF287-66DA-4C6E-89BD-CBED583B0E34}"/>
    <cellStyle name="Normal 11 9" xfId="2257" xr:uid="{00000000-0005-0000-0000-000059030000}"/>
    <cellStyle name="Normal 11 9 2" xfId="7384" xr:uid="{CC45CD05-6C38-4C8F-969D-40CD46DD4EC2}"/>
    <cellStyle name="Normal 11 9 2 2" xfId="27281" xr:uid="{72E147AB-D952-44EA-AF13-327D60A7B6A6}"/>
    <cellStyle name="Normal 11 9 2 3" xfId="17764" xr:uid="{8A41127B-A9DB-421D-8BAB-419AD756C79D}"/>
    <cellStyle name="Normal 11 9 3" xfId="10217" xr:uid="{1EAA9FB2-92CE-410F-B029-E2AE91B18BE7}"/>
    <cellStyle name="Normal 11 9 3 2" xfId="20597" xr:uid="{4321BE4B-2DA1-492D-8447-49E3C6028460}"/>
    <cellStyle name="Normal 11 9 4" xfId="23173" xr:uid="{9FB7D291-3478-42A8-8F80-95239D39C086}"/>
    <cellStyle name="Normal 11 9 5" xfId="14931" xr:uid="{9FD45EBF-AC69-4791-830E-35A1B66B4468}"/>
    <cellStyle name="Normal 12" xfId="678" xr:uid="{00000000-0005-0000-0000-000052040000}"/>
    <cellStyle name="Normal 12 10" xfId="22966" xr:uid="{033343EA-8A5A-4D18-A061-28041EF0DCC6}"/>
    <cellStyle name="Normal 12 11" xfId="12497" xr:uid="{C76A44B9-FF9F-49AA-868F-89A514942165}"/>
    <cellStyle name="Normal 12 2" xfId="679" xr:uid="{00000000-0005-0000-0000-000053040000}"/>
    <cellStyle name="Normal 12 2 2" xfId="5037" xr:uid="{AD475A3E-73E0-4B12-B0FE-634B3B93A6DB}"/>
    <cellStyle name="Normal 12 2 2 2" xfId="25711" xr:uid="{7DEF7E45-F8D2-4063-B834-3C42CF35FB5A}"/>
    <cellStyle name="Normal 12 2 2 3" xfId="28325" xr:uid="{47B5D16A-CAC2-48DD-97F0-0C9E4E57B817}"/>
    <cellStyle name="Normal 12 2 2 4" xfId="14333" xr:uid="{073FA9A3-B4A4-40BF-82B1-D44419344B16}"/>
    <cellStyle name="Normal 12 2 3" xfId="6786" xr:uid="{7E55DEA3-BC79-4550-9BF7-EE947CFB9519}"/>
    <cellStyle name="Normal 12 2 3 2" xfId="26154" xr:uid="{81BE5766-15C6-4192-B29B-386BCB362BB7}"/>
    <cellStyle name="Normal 12 2 3 3" xfId="28619" xr:uid="{41EE9D90-22B5-4D91-B56D-7AEBE4D80B29}"/>
    <cellStyle name="Normal 12 2 3 4" xfId="17166" xr:uid="{EB77552A-3E39-4B3A-B257-4C2ECD7599FC}"/>
    <cellStyle name="Normal 12 2 4" xfId="9619" xr:uid="{F376DB83-EF64-4A8A-8A23-F57AF8F0224E}"/>
    <cellStyle name="Normal 12 2 4 2" xfId="29378" xr:uid="{16BF253E-C692-4009-9718-45A3A081B9C4}"/>
    <cellStyle name="Normal 12 2 4 3" xfId="19999" xr:uid="{C7955B86-9016-4C69-83B8-7A3A2A612F4F}"/>
    <cellStyle name="Normal 12 2 5" xfId="23085" xr:uid="{01633C0A-A72D-4EE4-9F1A-3DF12E369B3B}"/>
    <cellStyle name="Normal 12 2 6" xfId="13350" xr:uid="{04ADC0D9-B86A-46C2-99CE-0C892D77FB6D}"/>
    <cellStyle name="Normal 12 3" xfId="3145" xr:uid="{00000000-0005-0000-0000-000070030000}"/>
    <cellStyle name="Normal 12 3 2" xfId="6203" xr:uid="{7D022FC5-7870-45D9-8D59-60C6C14ADAA5}"/>
    <cellStyle name="Normal 12 3 2 2" xfId="22822" xr:uid="{A94978FC-D56E-43B3-9DC5-0274A2631273}"/>
    <cellStyle name="Normal 12 3 2 3" xfId="28692" xr:uid="{B751A062-B9D7-469D-A5F7-D39FB081053B}"/>
    <cellStyle name="Normal 12 3 2 4" xfId="15772" xr:uid="{12715E97-5114-4E2C-8FB6-DE55CB85D0A7}"/>
    <cellStyle name="Normal 12 3 3" xfId="8225" xr:uid="{280E29AF-96C5-490F-A35E-4FE1D8B8925E}"/>
    <cellStyle name="Normal 12 3 3 2" xfId="28870" xr:uid="{DB1364C7-AF5D-4030-A5A3-4EC5C448E437}"/>
    <cellStyle name="Normal 12 3 3 3" xfId="18605" xr:uid="{4A4433A0-54AB-4011-AC64-8F7A09961B7A}"/>
    <cellStyle name="Normal 12 3 4" xfId="11058" xr:uid="{967ED9CC-BE3E-49B9-B845-28C03999D68A}"/>
    <cellStyle name="Normal 12 3 4 2" xfId="21438" xr:uid="{709F180A-4DE2-4C8B-8544-6FE558FA0956}"/>
    <cellStyle name="Normal 12 3 5" xfId="23531" xr:uid="{D5234BF6-12FD-419A-8C41-7A9641DE3930}"/>
    <cellStyle name="Normal 12 3 6" xfId="13673" xr:uid="{0E151977-D1A2-40E0-AF8A-9538AD77A839}"/>
    <cellStyle name="Normal 12 4" xfId="2660" xr:uid="{00000000-0005-0000-0000-000071030000}"/>
    <cellStyle name="Normal 12 4 2" xfId="5920" xr:uid="{770C451C-813B-4FF8-B587-13F9DBD1EDDF}"/>
    <cellStyle name="Normal 12 4 2 2" xfId="26366" xr:uid="{A71634E2-0DF5-493D-84C0-FC73DA14EE97}"/>
    <cellStyle name="Normal 12 4 2 3" xfId="15332" xr:uid="{CC0B48EF-C0F2-4E06-A1BC-09A8A75F57FE}"/>
    <cellStyle name="Normal 12 4 3" xfId="7785" xr:uid="{BE42800C-35A8-4D46-A402-C7092A9B236B}"/>
    <cellStyle name="Normal 12 4 3 2" xfId="18165" xr:uid="{7B232A74-B0B6-4F4E-96AB-6D93C640B5A0}"/>
    <cellStyle name="Normal 12 4 4" xfId="10618" xr:uid="{FA08CA2A-FAAF-443C-9DDE-1D77E1DEA92C}"/>
    <cellStyle name="Normal 12 4 4 2" xfId="20998" xr:uid="{92F78D94-E3D1-471E-BEDA-A74745FCF85D}"/>
    <cellStyle name="Normal 12 4 5" xfId="23751" xr:uid="{DD1E9B09-6FEC-4C59-9677-7A102651FFEB}"/>
    <cellStyle name="Normal 12 4 6" xfId="13062" xr:uid="{A5C88BF8-7A2F-4C5B-A0D7-BBF24B97022B}"/>
    <cellStyle name="Normal 12 5" xfId="2265" xr:uid="{00000000-0005-0000-0000-00006E030000}"/>
    <cellStyle name="Normal 12 5 2" xfId="7392" xr:uid="{7E50454D-933B-4840-8B3F-BB52394ED944}"/>
    <cellStyle name="Normal 12 5 2 2" xfId="17772" xr:uid="{4048479F-63F7-41DF-BC82-7A11D85C922E}"/>
    <cellStyle name="Normal 12 5 3" xfId="10225" xr:uid="{F12FA1EC-A2E7-45E9-BE43-2774C2E1BC84}"/>
    <cellStyle name="Normal 12 5 3 2" xfId="20605" xr:uid="{B9D70D8E-2672-4BF9-9869-6734F15C2519}"/>
    <cellStyle name="Normal 12 5 4" xfId="24478" xr:uid="{DFAA973F-326E-446E-A2AD-301ABEE1A675}"/>
    <cellStyle name="Normal 12 5 5" xfId="14939" xr:uid="{10721356-729C-4D58-94C5-73C19FEC5DA1}"/>
    <cellStyle name="Normal 12 6" xfId="3788" xr:uid="{FC5D471A-BA1A-4CEB-A00A-3C532FA45458}"/>
    <cellStyle name="Normal 12 6 2" xfId="8627" xr:uid="{4A058FC5-A2EB-4011-AFB4-00F15F2B6912}"/>
    <cellStyle name="Normal 12 6 2 2" xfId="19007" xr:uid="{317FE9FD-0925-4241-B2DD-16B933DBA824}"/>
    <cellStyle name="Normal 12 6 3" xfId="11460" xr:uid="{F70DC20A-4CB9-48B4-9B61-85C555A8C8E9}"/>
    <cellStyle name="Normal 12 6 3 2" xfId="21840" xr:uid="{0810842A-5B40-4B7C-9C40-6719AEEE95F9}"/>
    <cellStyle name="Normal 12 6 4" xfId="16174" xr:uid="{5BB47EA7-B128-4837-9360-E10735DAAB63}"/>
    <cellStyle name="Normal 12 7" xfId="5036" xr:uid="{D8E44DB6-B01F-4F4D-BD68-0CD5A36983BA}"/>
    <cellStyle name="Normal 12 7 2" xfId="14332" xr:uid="{8BB7854B-15D0-42A0-B9E8-58D48B1E44D2}"/>
    <cellStyle name="Normal 12 8" xfId="6785" xr:uid="{A16B3C71-8F9F-450E-843E-AC7EFF0240D8}"/>
    <cellStyle name="Normal 12 8 2" xfId="17165" xr:uid="{B73FF3CB-5A5C-4E83-9F3D-74B341F1AA0B}"/>
    <cellStyle name="Normal 12 9" xfId="9618" xr:uid="{1F8F4189-B832-4E1E-A1D8-D39FD28B04F1}"/>
    <cellStyle name="Normal 12 9 2" xfId="19998" xr:uid="{8DD72BD7-34D7-44AA-991F-BA6B4ED22B16}"/>
    <cellStyle name="Normal 13" xfId="680" xr:uid="{00000000-0005-0000-0000-000054040000}"/>
    <cellStyle name="Normal 13 2" xfId="2858" xr:uid="{00000000-0005-0000-0000-000073030000}"/>
    <cellStyle name="Normal 13 2 2" xfId="6071" xr:uid="{AA45E48B-09ED-4685-8AB6-AA6F639FBB2D}"/>
    <cellStyle name="Normal 13 2 2 2" xfId="27454" xr:uid="{0ECDDCD3-2C26-43D1-B28A-9066ED64A0C3}"/>
    <cellStyle name="Normal 13 2 2 3" xfId="15527" xr:uid="{5315A895-933C-4175-B1C5-5A178C13C8AC}"/>
    <cellStyle name="Normal 13 2 3" xfId="7980" xr:uid="{D6ED7299-EB16-4696-9CA3-92A77439F31C}"/>
    <cellStyle name="Normal 13 2 3 2" xfId="18360" xr:uid="{D5E1AFA7-D19D-42A0-9BA6-AB9511E67ADC}"/>
    <cellStyle name="Normal 13 2 4" xfId="10813" xr:uid="{A6E33D61-2B9E-43E3-8C2E-E87F8B37CAB6}"/>
    <cellStyle name="Normal 13 2 4 2" xfId="21193" xr:uid="{0F36D579-9F20-4F18-916E-96830EF010CE}"/>
    <cellStyle name="Normal 13 2 5" xfId="25077" xr:uid="{4FF1AE43-EA66-47B5-B73F-454B5E6A16AC}"/>
    <cellStyle name="Normal 13 2 6" xfId="13347" xr:uid="{D4F3D36C-A7FC-4FDC-AAE9-E1EEBC23B8B9}"/>
    <cellStyle name="Normal 13 3" xfId="5038" xr:uid="{5EF0DBC1-19E6-4D57-AA65-7566483BF4E3}"/>
    <cellStyle name="Normal 13 3 2" xfId="23888" xr:uid="{BAF24BDA-9EA4-4E49-9C2F-0A1B24FBA196}"/>
    <cellStyle name="Normal 13 3 3" xfId="14334" xr:uid="{9DE4D361-8895-4AF1-9B4A-485DAAF66D82}"/>
    <cellStyle name="Normal 13 3 4" xfId="30032" xr:uid="{A3EAF4AB-5115-481D-A447-9586BF9ECF1A}"/>
    <cellStyle name="Normal 13 4" xfId="6787" xr:uid="{E5B61214-23AE-4E08-9C32-6624FB8807D7}"/>
    <cellStyle name="Normal 13 4 2" xfId="24751" xr:uid="{30EAA314-B589-4A22-96C7-402013D2E5F1}"/>
    <cellStyle name="Normal 13 4 3" xfId="17167" xr:uid="{CD1AFCFF-8A29-40F4-BCB3-13A9938CCB65}"/>
    <cellStyle name="Normal 13 5" xfId="9620" xr:uid="{A64C81F3-8753-4787-8678-DA3C0B4E0D5D}"/>
    <cellStyle name="Normal 13 5 2" xfId="20000" xr:uid="{6AD10095-07EB-44EC-BF77-DAA26E917E4A}"/>
    <cellStyle name="Normal 13 6" xfId="24644" xr:uid="{C31D4092-6773-469F-B36E-534BE4E414D1}"/>
    <cellStyle name="Normal 13 7" xfId="12655" xr:uid="{8816A397-40EB-4D81-AB75-F4B738433536}"/>
    <cellStyle name="Normal 14" xfId="681" xr:uid="{00000000-0005-0000-0000-000055040000}"/>
    <cellStyle name="Normal 14 2" xfId="5039" xr:uid="{0D3D8E5F-1EDF-435C-B1B0-BD478797D276}"/>
    <cellStyle name="Normal 14 2 2" xfId="24479" xr:uid="{C034AB12-76B5-486A-9894-6A048BC7366A}"/>
    <cellStyle name="Normal 14 2 3" xfId="27543" xr:uid="{2A7A1040-187C-4B84-82AB-F3A4C14E60F4}"/>
    <cellStyle name="Normal 14 2 4" xfId="14335" xr:uid="{1F912A46-1F27-4E86-990F-1ED3312AE108}"/>
    <cellStyle name="Normal 14 3" xfId="6788" xr:uid="{F3711F9B-2A3C-4CD8-BBD7-40DE750693A8}"/>
    <cellStyle name="Normal 14 3 2" xfId="26277" xr:uid="{2E219A78-E01D-45C7-835F-4A082BBDE51C}"/>
    <cellStyle name="Normal 14 3 3" xfId="17168" xr:uid="{98E27F91-1457-4546-AA50-24A60B093E5D}"/>
    <cellStyle name="Normal 14 4" xfId="9621" xr:uid="{24ACE589-6F58-480C-A0A9-E0CCB13410CC}"/>
    <cellStyle name="Normal 14 4 2" xfId="20001" xr:uid="{34A16C81-10AF-4836-996D-F492EE7E1506}"/>
    <cellStyle name="Normal 14 5" xfId="24461" xr:uid="{B2C5D97A-D174-4AE7-8B7D-B2C708EFC8E7}"/>
    <cellStyle name="Normal 14 6" xfId="13353" xr:uid="{A6F71BD5-6E29-429D-86A0-A3FE750FA4A2}"/>
    <cellStyle name="Normal 15" xfId="2427" xr:uid="{00000000-0005-0000-0000-000075030000}"/>
    <cellStyle name="Normal 15 2" xfId="23096" xr:uid="{2C9AB8CE-D120-4791-BB69-A1D95A2CF072}"/>
    <cellStyle name="Normal 15 3" xfId="25235" xr:uid="{43C97933-000E-4EB9-ADD0-F68EC944A8A0}"/>
    <cellStyle name="Normal 15 4" xfId="29986" xr:uid="{4C44E769-B72D-47F8-BFD8-967FDABB778E}"/>
    <cellStyle name="Normal 16" xfId="2426" xr:uid="{00000000-0005-0000-0000-000076030000}"/>
    <cellStyle name="Normal 16 2" xfId="5726" xr:uid="{B477EC25-0A93-45EF-93C3-5F54D32200CD}"/>
    <cellStyle name="Normal 16 2 2" xfId="28320" xr:uid="{D5DCF4FC-BC09-4702-B3D6-AB3F7724FBFD}"/>
    <cellStyle name="Normal 16 2 3" xfId="15100" xr:uid="{29037CB6-2C9A-47AC-9730-FFD64DBF95FD}"/>
    <cellStyle name="Normal 16 3" xfId="7553" xr:uid="{63D701BD-ABDA-4964-8C51-6402DDBE271A}"/>
    <cellStyle name="Normal 16 3 2" xfId="17933" xr:uid="{9D219CFE-1969-42B2-A553-D5847A6DA9DD}"/>
    <cellStyle name="Normal 16 4" xfId="10386" xr:uid="{D2522661-93A0-4956-9697-D1730F5CFA20}"/>
    <cellStyle name="Normal 16 4 2" xfId="20766" xr:uid="{5137FD37-CDFD-4897-8D9B-C3DCFC154183}"/>
    <cellStyle name="Normal 16 5" xfId="25182" xr:uid="{7A977A69-078F-4B3B-A863-D178A5FF7356}"/>
    <cellStyle name="Normal 16 6" xfId="12813" xr:uid="{29E9BBF2-7804-4601-B0CA-D6862E03B065}"/>
    <cellStyle name="Normal 17" xfId="4846" xr:uid="{4EC3EDA1-0B49-4397-ACE6-F65BB86475E3}"/>
    <cellStyle name="Normal 17 2" xfId="26265" xr:uid="{F9058EFE-70AF-4C20-8F8B-416CE835CA40}"/>
    <cellStyle name="Normal 17 3" xfId="14134" xr:uid="{19AEF679-6457-4A98-AD6A-ED8181B653C8}"/>
    <cellStyle name="Normal 17 4" xfId="29614" xr:uid="{1408406F-0F3E-4B32-8FAF-E9953EA12EC1}"/>
    <cellStyle name="Normal 17 5" xfId="29589" xr:uid="{4ED93E39-21EF-4DCF-B005-6E3097EA06BD}"/>
    <cellStyle name="Normal 17 5 2" xfId="29641" xr:uid="{45B16796-CAAF-4DF6-B906-098BDC71E282}"/>
    <cellStyle name="Normal 17 5 2 2" xfId="30108" xr:uid="{F7E39ECD-4D10-4D07-8F21-75FAF9DEBFA7}"/>
    <cellStyle name="Normal 17 5 3" xfId="30383" xr:uid="{B45CE350-A162-4B94-B9BF-8DDA18EE9D32}"/>
    <cellStyle name="Normal 17 5 4" xfId="30370" xr:uid="{8603D28E-B236-4EC6-AE4B-CCA2E34ECDF2}"/>
    <cellStyle name="Normal 17 5 4 2" xfId="31709" xr:uid="{8378316B-0AEB-4628-8314-F5A160EE652A}"/>
    <cellStyle name="Normal 17 6" xfId="29639" xr:uid="{2615603F-F587-465C-9DB1-DFE5AAD13470}"/>
    <cellStyle name="Normal 17 6 2" xfId="30107" xr:uid="{1CE297B0-511C-45BD-82B6-9F5EFC6F4E9E}"/>
    <cellStyle name="Normal 17 7" xfId="30353" xr:uid="{B6AE06BD-E46D-4EF1-88E1-B52B46EEF606}"/>
    <cellStyle name="Normal 17 7 2" xfId="31693" xr:uid="{715E5696-15DC-46D7-B1F6-6B19405350CB}"/>
    <cellStyle name="Normal 18" xfId="6587" xr:uid="{41350291-B8D4-4B0F-BB97-B6A2FEFF55C8}"/>
    <cellStyle name="Normal 18 2" xfId="16967" xr:uid="{A08ADA9E-880A-423A-BC21-A77F0F152E4B}"/>
    <cellStyle name="Normal 19" xfId="9420" xr:uid="{EEFE1ADD-8068-4691-A806-69EFDD9F49C8}"/>
    <cellStyle name="Normal 19 2" xfId="19800" xr:uid="{B56B06F7-E066-401E-BD37-8901D45D37C2}"/>
    <cellStyle name="Normal 2" xfId="682" xr:uid="{00000000-0005-0000-0000-000056040000}"/>
    <cellStyle name="Normal 2 10" xfId="683" xr:uid="{00000000-0005-0000-0000-000057040000}"/>
    <cellStyle name="Normal 2 10 10" xfId="9622" xr:uid="{6A978DBD-1903-4566-A76F-D9BD2824005F}"/>
    <cellStyle name="Normal 2 10 10 2" xfId="20002" xr:uid="{FCAF2797-04A4-45F3-AAB4-4974094B7C05}"/>
    <cellStyle name="Normal 2 10 11" xfId="24310" xr:uid="{7CE40F8D-2C6C-40A0-827F-401595517E6B}"/>
    <cellStyle name="Normal 2 10 12" xfId="12547" xr:uid="{D8F2B4BC-75C0-46DD-AA3E-912AAFB27616}"/>
    <cellStyle name="Normal 2 10 2" xfId="684" xr:uid="{00000000-0005-0000-0000-000058040000}"/>
    <cellStyle name="Normal 2 10 2 10" xfId="12705" xr:uid="{03590174-D100-4823-9470-1F863032040F}"/>
    <cellStyle name="Normal 2 10 2 2" xfId="685" xr:uid="{00000000-0005-0000-0000-000059040000}"/>
    <cellStyle name="Normal 2 10 2 2 2" xfId="5042" xr:uid="{4B1D97E6-96DB-48FB-BE29-9C4A808EEAF1}"/>
    <cellStyle name="Normal 2 10 2 2 2 2" xfId="25028" xr:uid="{85EF3525-AC41-4E56-B053-2013675EAF5F}"/>
    <cellStyle name="Normal 2 10 2 2 2 3" xfId="27771" xr:uid="{E3908DE8-2AA8-4280-BAA0-A0384637A422}"/>
    <cellStyle name="Normal 2 10 2 2 2 4" xfId="14338" xr:uid="{715D0DB7-0BAC-4BB5-8734-41CF55C22CDC}"/>
    <cellStyle name="Normal 2 10 2 2 3" xfId="6791" xr:uid="{0E5A8F5D-0961-4D45-9D50-F9720832934F}"/>
    <cellStyle name="Normal 2 10 2 2 3 2" xfId="27570" xr:uid="{FC2BD4B1-3FF0-4C9B-B62C-30EB7E056146}"/>
    <cellStyle name="Normal 2 10 2 2 3 3" xfId="28315" xr:uid="{2E712B32-BDE8-415B-A965-6709DFF53A01}"/>
    <cellStyle name="Normal 2 10 2 2 3 4" xfId="17171" xr:uid="{7732C903-252A-4177-B4EE-01EA203637C3}"/>
    <cellStyle name="Normal 2 10 2 2 4" xfId="9624" xr:uid="{90E5D0CC-8E0F-4145-AD1C-7A6B585F163D}"/>
    <cellStyle name="Normal 2 10 2 2 4 2" xfId="29379" xr:uid="{48816090-0EC0-4318-9EF0-31208B402F94}"/>
    <cellStyle name="Normal 2 10 2 2 4 3" xfId="20004" xr:uid="{BAC9179B-5B3E-4B5E-946C-494A9C64BE30}"/>
    <cellStyle name="Normal 2 10 2 2 5" xfId="24023" xr:uid="{69D296D9-4E64-4349-A6C1-12380EBC0D27}"/>
    <cellStyle name="Normal 2 10 2 2 6" xfId="13674" xr:uid="{21AB60BC-1520-40B2-80EB-15E14175247D}"/>
    <cellStyle name="Normal 2 10 2 3" xfId="2713" xr:uid="{00000000-0005-0000-0000-00007B030000}"/>
    <cellStyle name="Normal 2 10 2 3 2" xfId="5931" xr:uid="{6F9B445A-F519-4F2B-841F-0828963C8272}"/>
    <cellStyle name="Normal 2 10 2 3 2 2" xfId="27658" xr:uid="{84CDA419-4F55-43FC-ADC1-410564068752}"/>
    <cellStyle name="Normal 2 10 2 3 2 3" xfId="15384" xr:uid="{4BF48A87-A58E-48C5-B237-DBBC0B37BCFF}"/>
    <cellStyle name="Normal 2 10 2 3 3" xfId="7837" xr:uid="{756D2142-0636-4E39-AA65-B82595E47ED9}"/>
    <cellStyle name="Normal 2 10 2 3 3 2" xfId="18217" xr:uid="{8974FC1F-3940-4551-8566-90BF8E1DBE46}"/>
    <cellStyle name="Normal 2 10 2 3 4" xfId="10670" xr:uid="{981C3D8B-0BC7-4C56-8B70-DF9DCC096F32}"/>
    <cellStyle name="Normal 2 10 2 3 4 2" xfId="21050" xr:uid="{04A75ED6-0273-48B9-957F-A9EF01D42227}"/>
    <cellStyle name="Normal 2 10 2 3 5" xfId="23046" xr:uid="{A8EBECA3-327C-48A7-853D-6A48EDFE396E}"/>
    <cellStyle name="Normal 2 10 2 3 6" xfId="13140" xr:uid="{C2DFDE86-C1D5-41D4-BE4E-0A9C42D6D918}"/>
    <cellStyle name="Normal 2 10 2 4" xfId="2421" xr:uid="{00000000-0005-0000-0000-000079030000}"/>
    <cellStyle name="Normal 2 10 2 4 2" xfId="7548" xr:uid="{3B36CAC2-FF81-448A-95FB-1AA5EF72530D}"/>
    <cellStyle name="Normal 2 10 2 4 2 2" xfId="27934" xr:uid="{D2FE575E-6C08-4270-98DA-54828BC91846}"/>
    <cellStyle name="Normal 2 10 2 4 2 3" xfId="17928" xr:uid="{F6D443BF-C32A-492D-865E-6B60716A332A}"/>
    <cellStyle name="Normal 2 10 2 4 3" xfId="10381" xr:uid="{78384D6C-1B9B-4ED5-A6E0-75FBD89CE93B}"/>
    <cellStyle name="Normal 2 10 2 4 3 2" xfId="20761" xr:uid="{B112BDC5-E73D-4943-A297-053DD2012967}"/>
    <cellStyle name="Normal 2 10 2 4 4" xfId="24925" xr:uid="{54163CFA-A981-416D-A52A-8376976FC0C9}"/>
    <cellStyle name="Normal 2 10 2 4 5" xfId="15095" xr:uid="{5725EBF2-79D5-45F0-9961-B3DD42B887C3}"/>
    <cellStyle name="Normal 2 10 2 5" xfId="3917" xr:uid="{BD5E7341-68BF-4756-8305-A435157C6732}"/>
    <cellStyle name="Normal 2 10 2 5 2" xfId="8749" xr:uid="{7215D1F5-0354-459D-8EC2-14DB0923EF4F}"/>
    <cellStyle name="Normal 2 10 2 5 2 2" xfId="19129" xr:uid="{1B946FF3-D8FF-49C9-8E18-EDA76F7B3291}"/>
    <cellStyle name="Normal 2 10 2 5 3" xfId="11582" xr:uid="{A2149190-495C-499F-817F-63A921074BCE}"/>
    <cellStyle name="Normal 2 10 2 5 3 2" xfId="21962" xr:uid="{CCB3DD2F-6369-4CCF-A0BB-9B6FD6A06564}"/>
    <cellStyle name="Normal 2 10 2 5 4" xfId="26100" xr:uid="{12B3E98C-809D-4A86-BBB9-BCD3ED4B0349}"/>
    <cellStyle name="Normal 2 10 2 5 5" xfId="16296" xr:uid="{12D5A544-ABFE-4F3E-BCE3-3E0259E3DDDD}"/>
    <cellStyle name="Normal 2 10 2 6" xfId="5041" xr:uid="{D5B2E7E1-955B-4DE0-AE72-078AEA147FA3}"/>
    <cellStyle name="Normal 2 10 2 6 2" xfId="14337" xr:uid="{B1481CA9-47DB-478D-B9E6-EDCB74F5F9FE}"/>
    <cellStyle name="Normal 2 10 2 7" xfId="6790" xr:uid="{836EDE06-7085-4C14-AD6D-C9F5F92FC2A3}"/>
    <cellStyle name="Normal 2 10 2 7 2" xfId="17170" xr:uid="{38C9EFBA-9DB9-48BD-96E0-0CB7D0C9787F}"/>
    <cellStyle name="Normal 2 10 2 8" xfId="9623" xr:uid="{B9D44309-A423-4CC3-8623-A597779FE67A}"/>
    <cellStyle name="Normal 2 10 2 8 2" xfId="20003" xr:uid="{D7D18A0B-24F2-45BA-8A57-C998D2A2B2F1}"/>
    <cellStyle name="Normal 2 10 2 9" xfId="23587" xr:uid="{8CE583E1-4E59-4591-9A6A-677E69EF0669}"/>
    <cellStyle name="Normal 2 10 3" xfId="686" xr:uid="{00000000-0005-0000-0000-00005A040000}"/>
    <cellStyle name="Normal 2 10 3 2" xfId="4450" xr:uid="{056BFCF5-1274-4918-A4DB-F87B2191CBDF}"/>
    <cellStyle name="Normal 2 10 3 2 2" xfId="9222" xr:uid="{050CFBA6-16B7-4853-A509-E414C781678D}"/>
    <cellStyle name="Normal 2 10 3 2 2 2" xfId="29215" xr:uid="{2BA3FFC7-FF5D-4274-8170-8C001DC032FF}"/>
    <cellStyle name="Normal 2 10 3 2 2 3" xfId="19602" xr:uid="{3F2C4159-088E-40FF-8CC1-40E4F01F2175}"/>
    <cellStyle name="Normal 2 10 3 2 3" xfId="12055" xr:uid="{1737CD57-5D2B-42D0-AF93-FA54A6266609}"/>
    <cellStyle name="Normal 2 10 3 2 3 2" xfId="22435" xr:uid="{92A273E8-584A-4750-B49B-6A439EE7CDCF}"/>
    <cellStyle name="Normal 2 10 3 2 4" xfId="25659" xr:uid="{939EA17D-5404-42BF-9BCE-F96FB7F08C8C}"/>
    <cellStyle name="Normal 2 10 3 2 5" xfId="16769" xr:uid="{5BD07587-E792-4E60-81B5-E88AF2F62CBA}"/>
    <cellStyle name="Normal 2 10 3 3" xfId="5043" xr:uid="{A07D5222-E95C-4645-B95C-D413E152A2E0}"/>
    <cellStyle name="Normal 2 10 3 3 2" xfId="24508" xr:uid="{E4FB581A-5B57-460F-9BFE-9BBB58D36D54}"/>
    <cellStyle name="Normal 2 10 3 3 3" xfId="26534" xr:uid="{EB907162-DEC4-4F5E-9493-D102550CE772}"/>
    <cellStyle name="Normal 2 10 3 3 4" xfId="14339" xr:uid="{42913208-0214-447A-AAC1-150923146ADA}"/>
    <cellStyle name="Normal 2 10 3 4" xfId="6792" xr:uid="{C7792434-52BD-4AF3-90AC-0E6F0DB2DE3B}"/>
    <cellStyle name="Normal 2 10 3 4 2" xfId="24388" xr:uid="{ACBB8426-ADCF-4399-A188-1C03473A4B6F}"/>
    <cellStyle name="Normal 2 10 3 4 3" xfId="25866" xr:uid="{C99A89DD-C295-4A1A-AEFA-162926ACA3B9}"/>
    <cellStyle name="Normal 2 10 3 4 4" xfId="17172" xr:uid="{0F2D2FA9-4751-42CD-9D77-7FED9BC3B7DD}"/>
    <cellStyle name="Normal 2 10 3 5" xfId="9625" xr:uid="{D3E6235E-5788-4E8F-827B-7F0456FA5E08}"/>
    <cellStyle name="Normal 2 10 3 5 2" xfId="29380" xr:uid="{23296332-AF0F-4B31-8C10-BDC4A4C91A07}"/>
    <cellStyle name="Normal 2 10 3 5 3" xfId="20005" xr:uid="{0A543DC3-5871-41AF-A95F-CCCD8399027A}"/>
    <cellStyle name="Normal 2 10 3 6" xfId="23882" xr:uid="{88A6EF82-244A-4931-A304-409A70362C02}"/>
    <cellStyle name="Normal 2 10 3 7" xfId="13675" xr:uid="{35D9751C-52C4-44B3-AE92-A0BE2C32FF41}"/>
    <cellStyle name="Normal 2 10 4" xfId="687" xr:uid="{00000000-0005-0000-0000-00005B040000}"/>
    <cellStyle name="Normal 2 10 4 2" xfId="5044" xr:uid="{F0F1627E-1D02-477B-9062-80DFA671F4A1}"/>
    <cellStyle name="Normal 2 10 4 2 2" xfId="25679" xr:uid="{EFD2D526-1985-4BBF-B4E7-627FD67D47DC}"/>
    <cellStyle name="Normal 2 10 4 2 3" xfId="27924" xr:uid="{C17E5783-7881-49DD-859E-5D6DC5FCDACD}"/>
    <cellStyle name="Normal 2 10 4 2 4" xfId="14340" xr:uid="{0D9E0302-872C-41EE-AAD3-1D698F8F637D}"/>
    <cellStyle name="Normal 2 10 4 3" xfId="6793" xr:uid="{2E122C95-0419-48D1-B781-FE19679BDA09}"/>
    <cellStyle name="Normal 2 10 4 3 2" xfId="26673" xr:uid="{756C9BF8-7F4E-4D5D-BFEA-0DC97959D1C8}"/>
    <cellStyle name="Normal 2 10 4 3 3" xfId="17173" xr:uid="{6C9C85BD-F9DC-424A-8FA1-5460624278FD}"/>
    <cellStyle name="Normal 2 10 4 4" xfId="9626" xr:uid="{326FC538-9A19-44D5-B746-510789696F5A}"/>
    <cellStyle name="Normal 2 10 4 4 2" xfId="20006" xr:uid="{C629BCCB-DEA1-46F1-8FCC-A0F4FCAC0B9B}"/>
    <cellStyle name="Normal 2 10 4 5" xfId="24326" xr:uid="{D3B42B4B-9B2D-4347-967B-69A50EED4634}"/>
    <cellStyle name="Normal 2 10 4 6" xfId="13403" xr:uid="{0F9FA0E0-BEE7-41CF-AF3D-4AB2C0132119}"/>
    <cellStyle name="Normal 2 10 5" xfId="2504" xr:uid="{00000000-0005-0000-0000-00007E030000}"/>
    <cellStyle name="Normal 2 10 5 2" xfId="5784" xr:uid="{35CEC759-4A6C-40CC-BF8A-236861E32D53}"/>
    <cellStyle name="Normal 2 10 5 2 2" xfId="28492" xr:uid="{45F6E169-BB30-4E7B-9E02-EE4370FD78A0}"/>
    <cellStyle name="Normal 2 10 5 2 3" xfId="15176" xr:uid="{1C2128C8-39D5-467D-B67D-C52C1ACE183E}"/>
    <cellStyle name="Normal 2 10 5 3" xfId="7629" xr:uid="{58E3CCDA-41AC-456B-8B87-365313B280B1}"/>
    <cellStyle name="Normal 2 10 5 3 2" xfId="18009" xr:uid="{3B8B6460-2202-4356-BD8D-D6C673D66CAF}"/>
    <cellStyle name="Normal 2 10 5 4" xfId="10462" xr:uid="{7BD48EB6-81F0-4168-9D24-324DCFC2998C}"/>
    <cellStyle name="Normal 2 10 5 4 2" xfId="20842" xr:uid="{E05399EA-7298-4A1B-8A5D-E719A730BCFD}"/>
    <cellStyle name="Normal 2 10 5 5" xfId="23022" xr:uid="{A4F06588-7611-44B0-941D-2B3DAE839F8A}"/>
    <cellStyle name="Normal 2 10 5 6" xfId="12892" xr:uid="{77731914-FBAD-4C62-8728-7EB91800362C}"/>
    <cellStyle name="Normal 2 10 6" xfId="2313" xr:uid="{00000000-0005-0000-0000-000078030000}"/>
    <cellStyle name="Normal 2 10 6 2" xfId="7440" xr:uid="{823EDB6F-E493-41CE-A857-F74FF97C3104}"/>
    <cellStyle name="Normal 2 10 6 2 2" xfId="28349" xr:uid="{F9D97EDC-77FD-4C92-8C2F-CB40999DFDDD}"/>
    <cellStyle name="Normal 2 10 6 2 3" xfId="17820" xr:uid="{F5C772A3-31A2-4AF6-92E9-FDFC9BB82E61}"/>
    <cellStyle name="Normal 2 10 6 3" xfId="10273" xr:uid="{97712D6C-5236-40BF-BEE6-725451375070}"/>
    <cellStyle name="Normal 2 10 6 3 2" xfId="20653" xr:uid="{68EC7E14-846C-47E4-A899-7D9526CC3A2A}"/>
    <cellStyle name="Normal 2 10 6 4" xfId="24083" xr:uid="{4D8E30FC-2E63-43FE-A0C3-711DD8F4D046}"/>
    <cellStyle name="Normal 2 10 6 5" xfId="14987" xr:uid="{1181DD5C-0855-4543-8E8D-3FA0D1405AC4}"/>
    <cellStyle name="Normal 2 10 7" xfId="3787" xr:uid="{518FA295-D8E6-4FED-B958-7995796B86E0}"/>
    <cellStyle name="Normal 2 10 7 2" xfId="8626" xr:uid="{DF8E0C14-C08B-4D4E-8B85-5D64FADE70B5}"/>
    <cellStyle name="Normal 2 10 7 2 2" xfId="19006" xr:uid="{ACBA6765-E82B-40E4-8880-08D673526B82}"/>
    <cellStyle name="Normal 2 10 7 3" xfId="11459" xr:uid="{B3B5DF78-D8AF-4EDA-998E-39990D31FCD8}"/>
    <cellStyle name="Normal 2 10 7 3 2" xfId="21839" xr:uid="{92F6B062-43CF-4C49-BC32-F58100DAAC0E}"/>
    <cellStyle name="Normal 2 10 7 4" xfId="26544" xr:uid="{740D2E73-59CD-42D3-B046-5A1CFF56CCE5}"/>
    <cellStyle name="Normal 2 10 7 5" xfId="16173" xr:uid="{E850A9D8-B814-422E-8901-B9B7BCB32F8B}"/>
    <cellStyle name="Normal 2 10 8" xfId="5040" xr:uid="{8B8E9146-C08B-4340-A020-2D969D66A976}"/>
    <cellStyle name="Normal 2 10 8 2" xfId="14336" xr:uid="{E740B02E-4A03-4B04-9557-5007D61D822E}"/>
    <cellStyle name="Normal 2 10 9" xfId="6789" xr:uid="{93F39D5F-0B91-48F9-A606-E5256C9A4BF8}"/>
    <cellStyle name="Normal 2 10 9 2" xfId="17169" xr:uid="{02CFE5B8-BBCE-4940-BE7B-08B07D6A68F7}"/>
    <cellStyle name="Normal 2 11" xfId="688" xr:uid="{00000000-0005-0000-0000-00005C040000}"/>
    <cellStyle name="Normal 2 11 10" xfId="9627" xr:uid="{7548FCAA-9289-4A47-BA79-68BAFF6D3460}"/>
    <cellStyle name="Normal 2 11 10 2" xfId="20007" xr:uid="{A173D02A-D76A-45AF-9D7E-CF93B835499F}"/>
    <cellStyle name="Normal 2 11 11" xfId="23297" xr:uid="{17368848-A1E5-4BD5-A1FE-E3698DB59D92}"/>
    <cellStyle name="Normal 2 11 12" xfId="12548" xr:uid="{CDFC12FC-8415-4608-AA79-491AC8CBA97C}"/>
    <cellStyle name="Normal 2 11 2" xfId="689" xr:uid="{00000000-0005-0000-0000-00005D040000}"/>
    <cellStyle name="Normal 2 11 2 2" xfId="690" xr:uid="{00000000-0005-0000-0000-00005E040000}"/>
    <cellStyle name="Normal 2 11 2 2 2" xfId="5047" xr:uid="{A121F22B-E9DC-42F4-B6C5-AB0316A4170F}"/>
    <cellStyle name="Normal 2 11 2 2 2 2" xfId="24721" xr:uid="{FB5F1BBE-6AB3-41AF-8185-463AD36EB213}"/>
    <cellStyle name="Normal 2 11 2 2 2 3" xfId="26690" xr:uid="{FF9964BB-61F7-4489-80BE-4BF8BFA0CAFD}"/>
    <cellStyle name="Normal 2 11 2 2 2 4" xfId="14343" xr:uid="{85C26CF3-9A61-41B4-9EFA-809A6A39FA16}"/>
    <cellStyle name="Normal 2 11 2 2 3" xfId="6796" xr:uid="{463C792A-969D-45EA-890B-D4320993EA6A}"/>
    <cellStyle name="Normal 2 11 2 2 3 2" xfId="27573" xr:uid="{2450452C-7EDC-4CDD-8592-E8D48DD6E376}"/>
    <cellStyle name="Normal 2 11 2 2 3 3" xfId="26775" xr:uid="{441DF291-444B-43E1-A2AC-6EDBE1179BC5}"/>
    <cellStyle name="Normal 2 11 2 2 3 4" xfId="17176" xr:uid="{E6E690B2-CFF4-4E20-8FE2-C1CE4943C2CE}"/>
    <cellStyle name="Normal 2 11 2 2 4" xfId="9629" xr:uid="{DB6D3923-1ED3-4A63-89AA-B99AC5FED05C}"/>
    <cellStyle name="Normal 2 11 2 2 4 2" xfId="29381" xr:uid="{70BD47A4-93BD-4240-828D-C84766DEECF7}"/>
    <cellStyle name="Normal 2 11 2 2 4 3" xfId="20009" xr:uid="{0E3F1D15-7B3C-4D4B-8FE1-584FDBF7F8E3}"/>
    <cellStyle name="Normal 2 11 2 2 5" xfId="24825" xr:uid="{EBA2E477-AD16-452A-88E4-24DD740FE92F}"/>
    <cellStyle name="Normal 2 11 2 2 6" xfId="13676" xr:uid="{0C357037-5A12-4E9F-A359-B6EE41BB8FAC}"/>
    <cellStyle name="Normal 2 11 2 3" xfId="2714" xr:uid="{00000000-0005-0000-0000-000082030000}"/>
    <cellStyle name="Normal 2 11 2 3 2" xfId="5932" xr:uid="{9A09F166-FA77-4869-954E-ADAB91502713}"/>
    <cellStyle name="Normal 2 11 2 3 2 2" xfId="27084" xr:uid="{D2CD80BB-9D3A-4852-8F45-D9B4481616CB}"/>
    <cellStyle name="Normal 2 11 2 3 2 3" xfId="15385" xr:uid="{F33F2DAC-F98D-48AB-8924-842E8DBA5A51}"/>
    <cellStyle name="Normal 2 11 2 3 3" xfId="7838" xr:uid="{B4A9C05E-4CE1-4774-BB3D-6872279E97A9}"/>
    <cellStyle name="Normal 2 11 2 3 3 2" xfId="18218" xr:uid="{B64314EC-7446-45FD-9DDF-84AD8E4E2989}"/>
    <cellStyle name="Normal 2 11 2 3 4" xfId="10671" xr:uid="{57A0FED7-EE91-4F36-B209-B14BD447FFDB}"/>
    <cellStyle name="Normal 2 11 2 3 4 2" xfId="21051" xr:uid="{4C7B949E-1FB9-4AAC-8BF3-235375D74781}"/>
    <cellStyle name="Normal 2 11 2 3 5" xfId="25372" xr:uid="{0DCA70EE-9F8E-474B-9424-83BEB2617289}"/>
    <cellStyle name="Normal 2 11 2 3 6" xfId="13141" xr:uid="{31C34A61-71BC-4FA9-A305-6233FF33ADB2}"/>
    <cellStyle name="Normal 2 11 2 4" xfId="4152" xr:uid="{6318FECA-3F45-4155-812A-21138AD32A2F}"/>
    <cellStyle name="Normal 2 11 2 4 2" xfId="8924" xr:uid="{B9EC27BE-90BB-40FA-83FF-1CD425CCCAAF}"/>
    <cellStyle name="Normal 2 11 2 4 2 2" xfId="29023" xr:uid="{3A3C317C-E6AC-433D-BEFA-7B1878C467AC}"/>
    <cellStyle name="Normal 2 11 2 4 2 3" xfId="19304" xr:uid="{0A00667E-00DE-44A3-AE8F-86910B1AEDDC}"/>
    <cellStyle name="Normal 2 11 2 4 3" xfId="11757" xr:uid="{D08207BA-352E-413A-819E-FA704D7726FA}"/>
    <cellStyle name="Normal 2 11 2 4 3 2" xfId="22137" xr:uid="{F91428F8-9EF9-4878-98DE-CE6DE92C1F16}"/>
    <cellStyle name="Normal 2 11 2 4 4" xfId="24822" xr:uid="{B6F9C03E-37D1-4BF4-A756-E837032DF0A1}"/>
    <cellStyle name="Normal 2 11 2 4 5" xfId="16471" xr:uid="{BEF11B16-C78A-4FD0-AFBE-C19E85D82267}"/>
    <cellStyle name="Normal 2 11 2 5" xfId="5046" xr:uid="{2109241C-B5BC-4E24-B38E-4BB82FE72988}"/>
    <cellStyle name="Normal 2 11 2 5 2" xfId="27694" xr:uid="{5798BFE2-BADB-43AD-945A-44D3BCAF67DE}"/>
    <cellStyle name="Normal 2 11 2 5 3" xfId="14342" xr:uid="{B3AFDC84-0E9C-4CF5-A8AB-E3F38705A0A1}"/>
    <cellStyle name="Normal 2 11 2 6" xfId="6795" xr:uid="{40B32340-8D5B-460B-8831-8EF4ACC8C41B}"/>
    <cellStyle name="Normal 2 11 2 6 2" xfId="17175" xr:uid="{996A3F2C-39EB-4707-A2F2-F78D870EB6E8}"/>
    <cellStyle name="Normal 2 11 2 7" xfId="9628" xr:uid="{52B71E2C-50C5-44A7-90E1-88009A44BF23}"/>
    <cellStyle name="Normal 2 11 2 7 2" xfId="20008" xr:uid="{A438D991-6F78-4109-A30C-894D3D31F343}"/>
    <cellStyle name="Normal 2 11 2 8" xfId="24105" xr:uid="{AF03A40D-7B56-4DA0-ADCC-41B065F1C27F}"/>
    <cellStyle name="Normal 2 11 2 9" xfId="12706" xr:uid="{5B829EA5-7AAB-4415-9D70-13C1EC52E975}"/>
    <cellStyle name="Normal 2 11 3" xfId="691" xr:uid="{00000000-0005-0000-0000-00005F040000}"/>
    <cellStyle name="Normal 2 11 3 2" xfId="4451" xr:uid="{E4AA06BD-7FE9-48CD-90B1-A362FCBD00C8}"/>
    <cellStyle name="Normal 2 11 3 2 2" xfId="9223" xr:uid="{F0550F66-C55F-492A-A3AD-90BFD7C6BBDC}"/>
    <cellStyle name="Normal 2 11 3 2 2 2" xfId="29216" xr:uid="{37E09FE3-3014-4F20-BFD7-8E250D838089}"/>
    <cellStyle name="Normal 2 11 3 2 2 3" xfId="19603" xr:uid="{3C72F442-633A-4228-8991-E78B9EB79B03}"/>
    <cellStyle name="Normal 2 11 3 2 3" xfId="12056" xr:uid="{B946B2CC-E385-4F3B-AAC6-D354A5957472}"/>
    <cellStyle name="Normal 2 11 3 2 3 2" xfId="22436" xr:uid="{E93E7978-5662-40B0-81D3-620034DA0316}"/>
    <cellStyle name="Normal 2 11 3 2 4" xfId="25493" xr:uid="{D84B4758-CB8C-4D79-8E7D-7EE6146C1370}"/>
    <cellStyle name="Normal 2 11 3 2 5" xfId="16770" xr:uid="{095285EF-4D64-4392-9B31-8190D4A20ED2}"/>
    <cellStyle name="Normal 2 11 3 3" xfId="5048" xr:uid="{E89A2EE6-1ED1-47F2-B0C8-EA5ED086468D}"/>
    <cellStyle name="Normal 2 11 3 3 2" xfId="26776" xr:uid="{8827C68F-BD88-4085-8760-A7E1A3FA6C26}"/>
    <cellStyle name="Normal 2 11 3 3 3" xfId="28721" xr:uid="{662A2953-B65F-4D77-BC6A-49B049514D0B}"/>
    <cellStyle name="Normal 2 11 3 3 4" xfId="14344" xr:uid="{FCA7E365-B79A-448B-BA9F-C1559274F769}"/>
    <cellStyle name="Normal 2 11 3 4" xfId="6797" xr:uid="{C614A644-0336-47E7-A754-B93549ACD5B1}"/>
    <cellStyle name="Normal 2 11 3 4 2" xfId="26105" xr:uid="{BD6077F8-424E-45BA-890F-381664F411F8}"/>
    <cellStyle name="Normal 2 11 3 4 3" xfId="27928" xr:uid="{91779748-978F-4488-92EC-023F7053C0F9}"/>
    <cellStyle name="Normal 2 11 3 4 4" xfId="17177" xr:uid="{E121E7C8-2AD4-413C-B568-6D6773F8980D}"/>
    <cellStyle name="Normal 2 11 3 5" xfId="9630" xr:uid="{A96993EA-D2CD-46B2-AA33-7CA4B13204C7}"/>
    <cellStyle name="Normal 2 11 3 5 2" xfId="29382" xr:uid="{F415137C-BA0B-471C-A285-A0165AA071B4}"/>
    <cellStyle name="Normal 2 11 3 5 3" xfId="20010" xr:uid="{69F6D4C8-E326-4E7C-A2F4-77FAD8FE2A55}"/>
    <cellStyle name="Normal 2 11 3 6" xfId="25040" xr:uid="{24C1CE92-4BC4-4CB8-9D5C-F637E06C03CE}"/>
    <cellStyle name="Normal 2 11 3 7" xfId="13677" xr:uid="{C070D5ED-9226-4525-8A50-EBFAA8BEBDF9}"/>
    <cellStyle name="Normal 2 11 4" xfId="692" xr:uid="{00000000-0005-0000-0000-000060040000}"/>
    <cellStyle name="Normal 2 11 4 2" xfId="5049" xr:uid="{B459AB12-4828-4AA2-8E40-F8B486715A2D}"/>
    <cellStyle name="Normal 2 11 4 2 2" xfId="25262" xr:uid="{5E960269-814D-4456-95E2-655708844D34}"/>
    <cellStyle name="Normal 2 11 4 2 3" xfId="26090" xr:uid="{2C256AD7-078B-4201-9285-BA4F52ED228D}"/>
    <cellStyle name="Normal 2 11 4 2 4" xfId="14345" xr:uid="{6A39B338-3722-45EB-8A96-EA61AD7CBAA7}"/>
    <cellStyle name="Normal 2 11 4 3" xfId="6798" xr:uid="{3CF92346-50DA-4EB4-9C5C-3CCF6DDBC05C}"/>
    <cellStyle name="Normal 2 11 4 3 2" xfId="28543" xr:uid="{B32E054C-5B25-4561-AF31-1988B222402D}"/>
    <cellStyle name="Normal 2 11 4 3 3" xfId="17178" xr:uid="{5B29483F-8037-4C59-95DF-1295B2B45F5D}"/>
    <cellStyle name="Normal 2 11 4 4" xfId="9631" xr:uid="{8C4681F5-AAAA-46E5-9AF1-527E58636B02}"/>
    <cellStyle name="Normal 2 11 4 4 2" xfId="20011" xr:uid="{E0A811DB-F42D-4E4B-B5CF-B8996681460E}"/>
    <cellStyle name="Normal 2 11 4 5" xfId="23098" xr:uid="{C8991AE7-7C46-4C24-A122-733EF8D1EDE0}"/>
    <cellStyle name="Normal 2 11 4 6" xfId="13404" xr:uid="{62845E8B-48F5-4245-B069-A95A01B8AF7B}"/>
    <cellStyle name="Normal 2 11 5" xfId="2564" xr:uid="{00000000-0005-0000-0000-000085030000}"/>
    <cellStyle name="Normal 2 11 5 2" xfId="5833" xr:uid="{3843DFB2-AF84-43EE-B4D8-AE7AFCBBA700}"/>
    <cellStyle name="Normal 2 11 5 2 2" xfId="27269" xr:uid="{8D4F960F-5476-4E3F-B11B-250FAC601B6D}"/>
    <cellStyle name="Normal 2 11 5 2 3" xfId="15236" xr:uid="{D0010BDF-DB6D-45C2-9BF5-B06545F845E0}"/>
    <cellStyle name="Normal 2 11 5 3" xfId="7689" xr:uid="{44B9F64B-A6E0-4186-B934-BA18663C252F}"/>
    <cellStyle name="Normal 2 11 5 3 2" xfId="18069" xr:uid="{97428237-8D3A-49DB-965A-577A4C3636D2}"/>
    <cellStyle name="Normal 2 11 5 4" xfId="10522" xr:uid="{671E1D28-6DC0-42BC-B9C0-60C548BCDE3F}"/>
    <cellStyle name="Normal 2 11 5 4 2" xfId="20902" xr:uid="{A880F3B5-688A-4283-B8C5-7C7FE41008B3}"/>
    <cellStyle name="Normal 2 11 5 5" xfId="23035" xr:uid="{3E971D98-ED51-449C-8034-B00CD32D0621}"/>
    <cellStyle name="Normal 2 11 5 6" xfId="12952" xr:uid="{E1E1477C-2118-45A7-9CD4-049AB2E9D66F}"/>
    <cellStyle name="Normal 2 11 6" xfId="2314" xr:uid="{00000000-0005-0000-0000-00007F030000}"/>
    <cellStyle name="Normal 2 11 6 2" xfId="7441" xr:uid="{69E11F5C-F7BF-4C8E-AD28-0E8B14D6579A}"/>
    <cellStyle name="Normal 2 11 6 2 2" xfId="26938" xr:uid="{9E12E909-DDE7-4313-AB68-987C5001D703}"/>
    <cellStyle name="Normal 2 11 6 2 3" xfId="17821" xr:uid="{373AEC07-D39E-4183-8813-DBA35C3F2492}"/>
    <cellStyle name="Normal 2 11 6 3" xfId="10274" xr:uid="{539AB551-65C7-4741-B5A2-D5FCDB5026CD}"/>
    <cellStyle name="Normal 2 11 6 3 2" xfId="20654" xr:uid="{A8188C4A-C06A-45AD-B4D1-6BC021A6D367}"/>
    <cellStyle name="Normal 2 11 6 4" xfId="22766" xr:uid="{116E2B37-4337-40A3-B329-BE5487142260}"/>
    <cellStyle name="Normal 2 11 6 5" xfId="14988" xr:uid="{67241E7E-C338-4013-BCAF-399ABDFB593E}"/>
    <cellStyle name="Normal 2 11 7" xfId="3918" xr:uid="{06BB3BE3-9D12-4985-BD31-756EEB205484}"/>
    <cellStyle name="Normal 2 11 7 2" xfId="8750" xr:uid="{F57683C8-A1C4-4944-8FD6-7F4EE5939C8F}"/>
    <cellStyle name="Normal 2 11 7 2 2" xfId="19130" xr:uid="{CE16FD75-23A0-4DCC-BFCD-A73B6318A001}"/>
    <cellStyle name="Normal 2 11 7 3" xfId="11583" xr:uid="{82F203D4-7521-454E-A00F-E5AD75C1763C}"/>
    <cellStyle name="Normal 2 11 7 3 2" xfId="21963" xr:uid="{FB0B6F23-F158-4F56-B6D4-B7BC8BEDF650}"/>
    <cellStyle name="Normal 2 11 7 4" xfId="26486" xr:uid="{DBD1EC51-B97B-4FB0-A2A1-503AD5AA6633}"/>
    <cellStyle name="Normal 2 11 7 5" xfId="16297" xr:uid="{C552E4D6-655E-41D0-87B8-4B144DD82BBF}"/>
    <cellStyle name="Normal 2 11 8" xfId="5045" xr:uid="{1F883003-EC5B-4260-8FC9-7C6DB9ABE434}"/>
    <cellStyle name="Normal 2 11 8 2" xfId="14341" xr:uid="{C0136DF8-21E1-4D0E-9F14-3B063A768726}"/>
    <cellStyle name="Normal 2 11 9" xfId="6794" xr:uid="{44DE699F-26F4-406B-AC29-3FB1BDB84D9D}"/>
    <cellStyle name="Normal 2 11 9 2" xfId="17174" xr:uid="{17C94238-CFBE-4971-BCCC-B358BCF6191F}"/>
    <cellStyle name="Normal 2 12" xfId="693" xr:uid="{00000000-0005-0000-0000-000061040000}"/>
    <cellStyle name="Normal 2 12 10" xfId="24315" xr:uid="{C4B1694A-5BCF-45DE-9B73-CFCDB20B6893}"/>
    <cellStyle name="Normal 2 12 11" xfId="12549" xr:uid="{BFFFDA71-7163-41DB-9A19-3654BD8B95EB}"/>
    <cellStyle name="Normal 2 12 2" xfId="694" xr:uid="{00000000-0005-0000-0000-000062040000}"/>
    <cellStyle name="Normal 2 12 2 2" xfId="3146" xr:uid="{00000000-0005-0000-0000-000088030000}"/>
    <cellStyle name="Normal 2 12 2 2 2" xfId="6204" xr:uid="{6C071AA9-8052-4A19-BBC4-C8E53F832150}"/>
    <cellStyle name="Normal 2 12 2 2 2 2" xfId="25990" xr:uid="{F695E4B9-4BC3-47BC-9CA0-3B7921F5510E}"/>
    <cellStyle name="Normal 2 12 2 2 2 3" xfId="27230" xr:uid="{38AFDA61-A737-403B-A881-135D42BED6E6}"/>
    <cellStyle name="Normal 2 12 2 2 2 4" xfId="15773" xr:uid="{FD12E452-2EC6-4BC0-9A90-3CB71518575D}"/>
    <cellStyle name="Normal 2 12 2 2 3" xfId="8226" xr:uid="{EC34CF9E-73C1-4F11-877E-764BEF518540}"/>
    <cellStyle name="Normal 2 12 2 2 3 2" xfId="28871" xr:uid="{6779F0AC-58B0-4A9E-9D88-CC257E668B5C}"/>
    <cellStyle name="Normal 2 12 2 2 3 3" xfId="18606" xr:uid="{A4154F23-51F5-449E-8A05-FDD905E69D20}"/>
    <cellStyle name="Normal 2 12 2 2 4" xfId="11059" xr:uid="{D0A10C70-916A-4888-9EEA-ED28F8E4FF6D}"/>
    <cellStyle name="Normal 2 12 2 2 4 2" xfId="21439" xr:uid="{CF5B5B14-00CE-4717-B460-9F1F01FE11E2}"/>
    <cellStyle name="Normal 2 12 2 2 5" xfId="23632" xr:uid="{26CF3B86-1C4D-4D2A-A134-D8A6565FFB65}"/>
    <cellStyle name="Normal 2 12 2 2 6" xfId="13678" xr:uid="{873C0DE1-ED71-4AE4-AD00-59466186DF89}"/>
    <cellStyle name="Normal 2 12 2 3" xfId="4153" xr:uid="{D6D889A8-360D-4F80-BE4E-266A6A20A4BF}"/>
    <cellStyle name="Normal 2 12 2 3 2" xfId="8925" xr:uid="{A16E22F0-1D4D-45A4-AA47-286B6C3ADAA3}"/>
    <cellStyle name="Normal 2 12 2 3 2 2" xfId="29024" xr:uid="{83CBF888-FA03-447F-8596-28C7633A1CC7}"/>
    <cellStyle name="Normal 2 12 2 3 2 3" xfId="19305" xr:uid="{538EA8EF-BD3F-48CE-8778-1FD143DD9B26}"/>
    <cellStyle name="Normal 2 12 2 3 3" xfId="11758" xr:uid="{F3A7152B-C212-4717-A9E4-13C63A060CD2}"/>
    <cellStyle name="Normal 2 12 2 3 3 2" xfId="22138" xr:uid="{CD431837-B461-4DAD-AEF5-D8B2EA3EC706}"/>
    <cellStyle name="Normal 2 12 2 3 4" xfId="25526" xr:uid="{7C6351C7-1DF0-49F4-89CA-46204D01BE09}"/>
    <cellStyle name="Normal 2 12 2 3 5" xfId="16472" xr:uid="{B1C6F4CE-8387-4716-88CE-B2A151364380}"/>
    <cellStyle name="Normal 2 12 2 4" xfId="5051" xr:uid="{F62C2ABC-1BB4-4029-953A-D59273C67F6E}"/>
    <cellStyle name="Normal 2 12 2 4 2" xfId="26666" xr:uid="{0B9CEAF7-1404-42E7-A05F-D198DDED00CE}"/>
    <cellStyle name="Normal 2 12 2 4 3" xfId="26013" xr:uid="{9DEAB642-BE4E-4E78-A67E-70699AD08010}"/>
    <cellStyle name="Normal 2 12 2 4 4" xfId="14347" xr:uid="{48070E90-91AC-435A-A5A8-EE27C64ECD30}"/>
    <cellStyle name="Normal 2 12 2 5" xfId="6800" xr:uid="{BDA83EE7-03C3-42D1-A66E-72EC9F67172F}"/>
    <cellStyle name="Normal 2 12 2 5 2" xfId="27693" xr:uid="{687265EA-AABC-48CA-A712-B105A5D5D19F}"/>
    <cellStyle name="Normal 2 12 2 5 3" xfId="17180" xr:uid="{82FC7CC3-B637-4692-A214-3CD7CFD6DF5D}"/>
    <cellStyle name="Normal 2 12 2 6" xfId="9633" xr:uid="{1638419B-06C1-42AB-9F98-77B9A86A3617}"/>
    <cellStyle name="Normal 2 12 2 6 2" xfId="20013" xr:uid="{6079A914-03B8-4C16-8E6F-9BCDF6ACEFB3}"/>
    <cellStyle name="Normal 2 12 2 7" xfId="23841" xr:uid="{7C71DCE9-5F17-4CC9-9737-9F99AF9F3569}"/>
    <cellStyle name="Normal 2 12 2 8" xfId="12707" xr:uid="{8DDC709A-75C5-4897-9B52-E8F6F1A3181B}"/>
    <cellStyle name="Normal 2 12 3" xfId="695" xr:uid="{00000000-0005-0000-0000-000063040000}"/>
    <cellStyle name="Normal 2 12 3 2" xfId="5052" xr:uid="{CCC813CD-B7C3-42C7-A528-E5AC42534405}"/>
    <cellStyle name="Normal 2 12 3 2 2" xfId="25267" xr:uid="{A77A91DB-57CE-4117-B9A7-D2B1DBB076DB}"/>
    <cellStyle name="Normal 2 12 3 2 3" xfId="28129" xr:uid="{F62CBC98-6ADF-4C8A-8ADE-D1476DB1C7F4}"/>
    <cellStyle name="Normal 2 12 3 2 4" xfId="14348" xr:uid="{1A6A9825-4FB8-448D-8E8D-BB1048C7D29A}"/>
    <cellStyle name="Normal 2 12 3 3" xfId="6801" xr:uid="{1CFA7D1D-7493-40E9-BCE4-7710842CBAFE}"/>
    <cellStyle name="Normal 2 12 3 3 2" xfId="28733" xr:uid="{41CD5769-6139-4791-9F18-3E8DFDE530F4}"/>
    <cellStyle name="Normal 2 12 3 3 3" xfId="28263" xr:uid="{C966000D-184A-49D0-A2FF-DE2BB300B107}"/>
    <cellStyle name="Normal 2 12 3 3 4" xfId="17181" xr:uid="{EBA3E272-AFDC-446B-977E-9F575C9FF67C}"/>
    <cellStyle name="Normal 2 12 3 4" xfId="9634" xr:uid="{C2EE0B6B-E4B6-4424-B574-89BE29F83862}"/>
    <cellStyle name="Normal 2 12 3 4 2" xfId="26926" xr:uid="{D86BA0A1-F63D-4904-BE59-A0269A7B455F}"/>
    <cellStyle name="Normal 2 12 3 4 3" xfId="29383" xr:uid="{787C53C1-CC97-472E-BB39-879554D19472}"/>
    <cellStyle name="Normal 2 12 3 4 4" xfId="20014" xr:uid="{CD4337CD-DEB4-435A-8FF3-AA4B0D6DFDB8}"/>
    <cellStyle name="Normal 2 12 3 5" xfId="24528" xr:uid="{A71F60CB-D922-4F5A-9AD6-54A8BDC0EB0C}"/>
    <cellStyle name="Normal 2 12 3 6" xfId="26866" xr:uid="{1D230C7E-42DC-4938-B1D1-54C79D0144FB}"/>
    <cellStyle name="Normal 2 12 3 7" xfId="13405" xr:uid="{87A5CEEB-4A97-4BFC-BAA5-FB0FCC8F2AB3}"/>
    <cellStyle name="Normal 2 12 4" xfId="2715" xr:uid="{00000000-0005-0000-0000-00008A030000}"/>
    <cellStyle name="Normal 2 12 4 2" xfId="5933" xr:uid="{6EDD2CC7-2227-43CD-82A7-24FAE130A86C}"/>
    <cellStyle name="Normal 2 12 4 2 2" xfId="26960" xr:uid="{024009E2-69BC-4D14-85E4-41DAC904AAC2}"/>
    <cellStyle name="Normal 2 12 4 2 3" xfId="15386" xr:uid="{038E392B-4452-45D1-8175-0D0EF474C8A6}"/>
    <cellStyle name="Normal 2 12 4 3" xfId="7839" xr:uid="{E0B3EA40-2C1C-44F2-B694-F9521881BF73}"/>
    <cellStyle name="Normal 2 12 4 3 2" xfId="18219" xr:uid="{B472CFE4-A8DF-4F8A-BE9A-CF47B3E19988}"/>
    <cellStyle name="Normal 2 12 4 4" xfId="10672" xr:uid="{D99342C7-A30D-4D14-8108-8C3DECC0681A}"/>
    <cellStyle name="Normal 2 12 4 4 2" xfId="21052" xr:uid="{C3B3BD40-4897-4BAB-AE6F-B5D7241EEB89}"/>
    <cellStyle name="Normal 2 12 4 5" xfId="23047" xr:uid="{403BE773-368D-4016-90E9-A4AFA6A0328E}"/>
    <cellStyle name="Normal 2 12 4 6" xfId="13142" xr:uid="{35741350-EEE0-4A6C-A2C8-88454173C03D}"/>
    <cellStyle name="Normal 2 12 5" xfId="2315" xr:uid="{00000000-0005-0000-0000-000086030000}"/>
    <cellStyle name="Normal 2 12 5 2" xfId="7442" xr:uid="{DC74244F-CEF2-40BA-8E8B-AA2F626EA3B1}"/>
    <cellStyle name="Normal 2 12 5 2 2" xfId="27191" xr:uid="{12ED516D-C73E-4159-ABAD-D572C6B0472C}"/>
    <cellStyle name="Normal 2 12 5 2 3" xfId="17822" xr:uid="{A3327FF1-3D14-4461-8F48-9B893F7E937A}"/>
    <cellStyle name="Normal 2 12 5 3" xfId="10275" xr:uid="{2F6BF530-90FD-4764-B767-726AEAE083C0}"/>
    <cellStyle name="Normal 2 12 5 3 2" xfId="20655" xr:uid="{086AB441-B602-4A8B-8825-81A7CE08EDE3}"/>
    <cellStyle name="Normal 2 12 5 4" xfId="23383" xr:uid="{1930B0EF-6E92-4AD4-91BE-C5868B2324D3}"/>
    <cellStyle name="Normal 2 12 5 5" xfId="14989" xr:uid="{24197653-0156-4DCD-AAC4-185551D9B75C}"/>
    <cellStyle name="Normal 2 12 6" xfId="3919" xr:uid="{862F9C56-87FC-4028-AEE0-D599749BAE49}"/>
    <cellStyle name="Normal 2 12 6 2" xfId="8751" xr:uid="{4FE3C1CA-2370-4773-903B-43E21AD7A1A4}"/>
    <cellStyle name="Normal 2 12 6 2 2" xfId="28975" xr:uid="{88234ACF-7E58-4A8D-8098-E71BB925D1F5}"/>
    <cellStyle name="Normal 2 12 6 2 3" xfId="19131" xr:uid="{8A0FA511-4F05-41B9-9E2A-8EDE7BD4E1C5}"/>
    <cellStyle name="Normal 2 12 6 3" xfId="11584" xr:uid="{42E6267B-FCAD-4BAE-BAD2-0197454CED5A}"/>
    <cellStyle name="Normal 2 12 6 3 2" xfId="21964" xr:uid="{9BEE1500-3526-4456-B1DE-487CBCA099FF}"/>
    <cellStyle name="Normal 2 12 6 4" xfId="27262" xr:uid="{9509CF65-F4CD-4A01-B23A-D9B9F2577566}"/>
    <cellStyle name="Normal 2 12 6 5" xfId="16298" xr:uid="{32B63F1B-CB00-443A-B658-9EF61CC085BF}"/>
    <cellStyle name="Normal 2 12 7" xfId="5050" xr:uid="{205DCC1C-D8B2-45D1-9E98-A8EC02216FA7}"/>
    <cellStyle name="Normal 2 12 7 2" xfId="27217" xr:uid="{0DCF1CAA-9412-4493-867B-E55880945362}"/>
    <cellStyle name="Normal 2 12 7 3" xfId="14346" xr:uid="{45B08D12-5F3A-46E1-8825-F340495B8EA6}"/>
    <cellStyle name="Normal 2 12 8" xfId="6799" xr:uid="{3E9A390C-A202-4D43-8789-BFABD91A663E}"/>
    <cellStyle name="Normal 2 12 8 2" xfId="17179" xr:uid="{D6CDDCE8-823E-46BE-93B7-C9BAD3FB48F6}"/>
    <cellStyle name="Normal 2 12 9" xfId="9632" xr:uid="{9A2B37B7-75C6-4AB4-A526-78B3BAB40987}"/>
    <cellStyle name="Normal 2 12 9 2" xfId="20012" xr:uid="{FD04D961-0A2A-4BFA-9186-70C7CDAB289E}"/>
    <cellStyle name="Normal 2 13" xfId="696" xr:uid="{00000000-0005-0000-0000-000064040000}"/>
    <cellStyle name="Normal 2 13 10" xfId="12550" xr:uid="{607C6339-EF34-4CA7-B007-093589A9DFF1}"/>
    <cellStyle name="Normal 2 13 2" xfId="697" xr:uid="{00000000-0005-0000-0000-000065040000}"/>
    <cellStyle name="Normal 2 13 2 2" xfId="2896" xr:uid="{00000000-0005-0000-0000-00008D030000}"/>
    <cellStyle name="Normal 2 13 2 2 2" xfId="6082" xr:uid="{E7CD39CE-381A-480F-8304-93B35A1E0682}"/>
    <cellStyle name="Normal 2 13 2 2 2 2" xfId="28010" xr:uid="{9854EA64-D986-4B49-A540-0ECA80FCEA37}"/>
    <cellStyle name="Normal 2 13 2 2 2 3" xfId="26643" xr:uid="{3F1FD5B6-B6CD-4ACB-81A0-D882C93C8B85}"/>
    <cellStyle name="Normal 2 13 2 2 2 4" xfId="15560" xr:uid="{870D363D-9308-4DD1-890B-6775A99DE0C9}"/>
    <cellStyle name="Normal 2 13 2 2 3" xfId="8013" xr:uid="{25095A88-A81D-42AE-AF2C-DBADA90D3AC1}"/>
    <cellStyle name="Normal 2 13 2 2 3 2" xfId="27898" xr:uid="{312B33F7-0587-48D5-B937-0C1DDA6D7348}"/>
    <cellStyle name="Normal 2 13 2 2 3 3" xfId="18393" xr:uid="{E002EEA5-C0DA-4285-A382-40BA20D929BD}"/>
    <cellStyle name="Normal 2 13 2 2 4" xfId="10846" xr:uid="{71BB9C2D-DF6D-459D-95F5-030FDE47A73E}"/>
    <cellStyle name="Normal 2 13 2 2 4 2" xfId="21226" xr:uid="{C52CE360-551D-43D7-8E1F-982CAD2A7CE3}"/>
    <cellStyle name="Normal 2 13 2 2 5" xfId="24831" xr:uid="{17456269-B238-4D4B-AB28-04A2ABB60D54}"/>
    <cellStyle name="Normal 2 13 2 2 6" xfId="13406" xr:uid="{38B46987-3AED-480E-8634-DEC961362DBF}"/>
    <cellStyle name="Normal 2 13 2 3" xfId="5054" xr:uid="{C9DD66FA-B797-44BE-9410-5751FBD68DB7}"/>
    <cellStyle name="Normal 2 13 2 3 2" xfId="25401" xr:uid="{D76BF7DB-D0CE-4DA6-8D43-039205485AB8}"/>
    <cellStyle name="Normal 2 13 2 3 3" xfId="28712" xr:uid="{A8A6D2A8-1314-49BF-8395-21ABE9006B2F}"/>
    <cellStyle name="Normal 2 13 2 3 4" xfId="14350" xr:uid="{3E9E1CEC-20B8-4297-AF85-22B2129D76E3}"/>
    <cellStyle name="Normal 2 13 2 4" xfId="6803" xr:uid="{5B4DBFDA-5B2E-45CA-A5D1-EE20766DBB63}"/>
    <cellStyle name="Normal 2 13 2 4 2" xfId="26582" xr:uid="{3C5FB58E-3930-4A1D-AAA5-9891C20A8A77}"/>
    <cellStyle name="Normal 2 13 2 4 3" xfId="26782" xr:uid="{D38BDE4A-B84E-4801-ADA2-55FE88D7D48E}"/>
    <cellStyle name="Normal 2 13 2 4 4" xfId="17183" xr:uid="{35B851E9-70DE-4CEE-AE83-D37F0EA6D399}"/>
    <cellStyle name="Normal 2 13 2 5" xfId="9636" xr:uid="{955ACF57-2DC0-4076-81F5-1243B7117EF2}"/>
    <cellStyle name="Normal 2 13 2 5 2" xfId="29384" xr:uid="{4DA17BA7-05FA-4293-AD12-06B398A16DA6}"/>
    <cellStyle name="Normal 2 13 2 5 3" xfId="20016" xr:uid="{213CDD61-EBBA-4353-A7AD-8D16FE7D192B}"/>
    <cellStyle name="Normal 2 13 2 6" xfId="23569" xr:uid="{A0A782DB-AEF9-44EF-BB70-DDB14D6F3F53}"/>
    <cellStyle name="Normal 2 13 2 7" xfId="12708" xr:uid="{49B418C9-0409-418F-8BC6-D6E3895FCCE4}"/>
    <cellStyle name="Normal 2 13 3" xfId="698" xr:uid="{00000000-0005-0000-0000-000066040000}"/>
    <cellStyle name="Normal 2 13 3 2" xfId="5055" xr:uid="{16B57749-BC2F-4EBA-8A66-16C913CCE0A7}"/>
    <cellStyle name="Normal 2 13 3 2 2" xfId="26676" xr:uid="{4CE37BDF-DDA6-4EF4-A8BE-19F02199E1C5}"/>
    <cellStyle name="Normal 2 13 3 2 3" xfId="26170" xr:uid="{C0B932BA-994D-4246-B559-E24B1500E6E2}"/>
    <cellStyle name="Normal 2 13 3 2 4" xfId="14351" xr:uid="{4B9D994D-9B7F-4BAE-9A81-F34F5BDEB577}"/>
    <cellStyle name="Normal 2 13 3 3" xfId="6804" xr:uid="{629CD0E2-4D5B-451A-B552-F635A4777AA9}"/>
    <cellStyle name="Normal 2 13 3 3 2" xfId="27353" xr:uid="{38F693FB-6BC9-4DE0-96E1-669B38E1019A}"/>
    <cellStyle name="Normal 2 13 3 3 3" xfId="27786" xr:uid="{9680442B-8245-4246-A718-160A9B4BF8B1}"/>
    <cellStyle name="Normal 2 13 3 3 4" xfId="17184" xr:uid="{8323F49B-5484-4FB6-A4F9-5C80BEBC965C}"/>
    <cellStyle name="Normal 2 13 3 4" xfId="9637" xr:uid="{F3E931C3-F020-4CB7-9A99-B88618CE1F14}"/>
    <cellStyle name="Normal 2 13 3 4 2" xfId="29385" xr:uid="{D01D4042-F080-4C53-BD18-CDD381A6175C}"/>
    <cellStyle name="Normal 2 13 3 4 3" xfId="20017" xr:uid="{6DB56589-5B17-4810-8000-63FFF2681DCE}"/>
    <cellStyle name="Normal 2 13 3 5" xfId="23213" xr:uid="{7BF45036-8F2B-49EA-B7BD-11796D6E0761}"/>
    <cellStyle name="Normal 2 13 3 6" xfId="13143" xr:uid="{F3A004A6-7AA8-48A4-9171-2AFF8C2B85B7}"/>
    <cellStyle name="Normal 2 13 4" xfId="2316" xr:uid="{00000000-0005-0000-0000-00008B030000}"/>
    <cellStyle name="Normal 2 13 4 2" xfId="7443" xr:uid="{9FDCFD15-2045-4A73-B622-AAF6F3D2DB93}"/>
    <cellStyle name="Normal 2 13 4 2 2" xfId="27133" xr:uid="{BF7D1718-C9FB-4127-BC76-F04B7B5D282A}"/>
    <cellStyle name="Normal 2 13 4 2 3" xfId="17823" xr:uid="{21DDEA4D-1D09-4C5B-962F-FF6625B56D26}"/>
    <cellStyle name="Normal 2 13 4 3" xfId="10276" xr:uid="{940BD426-6BBD-4FF7-93CB-9B9049819199}"/>
    <cellStyle name="Normal 2 13 4 3 2" xfId="20656" xr:uid="{3E70BC60-4938-42BA-ADAC-D4256578727F}"/>
    <cellStyle name="Normal 2 13 4 4" xfId="23222" xr:uid="{BDD319B5-62A8-4F8E-837C-6526D1A0B017}"/>
    <cellStyle name="Normal 2 13 4 5" xfId="14990" xr:uid="{E57267F2-BDCA-4007-B707-B4B798846748}"/>
    <cellStyle name="Normal 2 13 5" xfId="3920" xr:uid="{AC20E962-BB90-4FD9-AACA-F35BDE47B5CC}"/>
    <cellStyle name="Normal 2 13 5 2" xfId="8752" xr:uid="{B76659DB-71A3-4D9A-81B3-85C900BAE2A4}"/>
    <cellStyle name="Normal 2 13 5 2 2" xfId="28976" xr:uid="{ABE0CF6F-4A69-4581-B8E2-387E2E91F688}"/>
    <cellStyle name="Normal 2 13 5 2 3" xfId="19132" xr:uid="{2EEF2137-3ACA-45D2-BDD9-EC95A5EF6D5A}"/>
    <cellStyle name="Normal 2 13 5 3" xfId="11585" xr:uid="{B612831D-FB7F-41B9-906D-ADCD843F1893}"/>
    <cellStyle name="Normal 2 13 5 3 2" xfId="21965" xr:uid="{E4933414-0080-41AE-BF13-7DEFA8A01D4A}"/>
    <cellStyle name="Normal 2 13 5 4" xfId="24187" xr:uid="{93C18363-F828-42DA-900A-A93383C46AF8}"/>
    <cellStyle name="Normal 2 13 5 5" xfId="16299" xr:uid="{8071185E-916E-422A-8C47-1CEDA5601695}"/>
    <cellStyle name="Normal 2 13 6" xfId="5053" xr:uid="{7B2222A7-5518-4240-ABEF-BB54564377AF}"/>
    <cellStyle name="Normal 2 13 6 2" xfId="28665" xr:uid="{509D706F-B397-497B-B228-7E14A9FD0E9D}"/>
    <cellStyle name="Normal 2 13 6 3" xfId="28527" xr:uid="{995C575B-22C2-4EB5-9366-2DA73AF2183D}"/>
    <cellStyle name="Normal 2 13 6 4" xfId="14349" xr:uid="{B52B2403-5BC0-40BA-9B3C-4D3583CA869C}"/>
    <cellStyle name="Normal 2 13 7" xfId="6802" xr:uid="{51956793-B0A0-42C4-AF73-0CD50D0F0060}"/>
    <cellStyle name="Normal 2 13 7 2" xfId="25838" xr:uid="{B020079B-E1E3-4D6B-892E-4E6785B372D3}"/>
    <cellStyle name="Normal 2 13 7 3" xfId="17182" xr:uid="{6FABBDF4-5A02-47AC-8BBA-64ED8D97D7BD}"/>
    <cellStyle name="Normal 2 13 8" xfId="9635" xr:uid="{29066DE0-0AC4-40A5-A210-1F32B4403DD1}"/>
    <cellStyle name="Normal 2 13 8 2" xfId="20015" xr:uid="{40C4E7B4-633A-405F-98B9-71C300C04F3E}"/>
    <cellStyle name="Normal 2 13 9" xfId="23537" xr:uid="{E3D13D6F-55A0-45A0-8F71-C656C2403A8B}"/>
    <cellStyle name="Normal 2 14" xfId="699" xr:uid="{00000000-0005-0000-0000-000067040000}"/>
    <cellStyle name="Normal 2 14 10" xfId="12498" xr:uid="{E4B5DED5-9547-46A4-84B7-2070BD7594F5}"/>
    <cellStyle name="Normal 2 14 2" xfId="700" xr:uid="{00000000-0005-0000-0000-000068040000}"/>
    <cellStyle name="Normal 2 14 2 2" xfId="5057" xr:uid="{1363D8E9-2358-4A8D-9C52-EE95A4EF83AB}"/>
    <cellStyle name="Normal 2 14 2 2 2" xfId="23647" xr:uid="{858CFCC9-7183-4B2F-B333-E1BC88013BC4}"/>
    <cellStyle name="Normal 2 14 2 2 3" xfId="26030" xr:uid="{40B98B3B-FF7B-495D-BA61-32A07F1C7778}"/>
    <cellStyle name="Normal 2 14 2 2 4" xfId="14353" xr:uid="{AEA686FA-6D4B-45CB-AA24-5FCE2B657FDE}"/>
    <cellStyle name="Normal 2 14 2 3" xfId="6806" xr:uid="{B71CAB16-0D84-48BE-9FE6-E95E192B92BF}"/>
    <cellStyle name="Normal 2 14 2 3 2" xfId="26481" xr:uid="{4F89B049-78E2-40D9-B8C7-1D736BF01293}"/>
    <cellStyle name="Normal 2 14 2 3 3" xfId="17186" xr:uid="{EFE3F972-A6A9-417F-8812-50DAFD47C87F}"/>
    <cellStyle name="Normal 2 14 2 4" xfId="9639" xr:uid="{6CA6BDB9-9B84-4635-8818-F3FF250B3FF6}"/>
    <cellStyle name="Normal 2 14 2 4 2" xfId="20019" xr:uid="{8DA8322E-FA58-48C2-9857-5F86B153E87A}"/>
    <cellStyle name="Normal 2 14 2 5" xfId="24374" xr:uid="{CEF9AF8D-2CF6-4C9A-8003-3940DE7E9F12}"/>
    <cellStyle name="Normal 2 14 2 6" xfId="13679" xr:uid="{174C2A17-2022-4783-8EFD-559BCAD0B7C8}"/>
    <cellStyle name="Normal 2 14 3" xfId="2866" xr:uid="{00000000-0005-0000-0000-000091030000}"/>
    <cellStyle name="Normal 2 14 3 2" xfId="6074" xr:uid="{433CEF8A-6A09-4ED8-AB5B-0926C5EB880D}"/>
    <cellStyle name="Normal 2 14 3 2 2" xfId="28115" xr:uid="{ED8068E4-02E9-4FD7-B3C2-595B9801CF8B}"/>
    <cellStyle name="Normal 2 14 3 2 3" xfId="15530" xr:uid="{FD6EB884-8A67-412A-97AB-66F0E8320116}"/>
    <cellStyle name="Normal 2 14 3 3" xfId="7983" xr:uid="{BA1B966F-DF06-49F3-9029-ABF63BD6DC72}"/>
    <cellStyle name="Normal 2 14 3 3 2" xfId="18363" xr:uid="{B5AA080D-5C5E-4BF3-A5AF-C3BA3DFBB6E8}"/>
    <cellStyle name="Normal 2 14 3 4" xfId="10816" xr:uid="{08498F0A-B8A9-456B-824D-8206B1236DB3}"/>
    <cellStyle name="Normal 2 14 3 4 2" xfId="21196" xr:uid="{49E6165B-1E45-482D-A6DA-B1691A0050C5}"/>
    <cellStyle name="Normal 2 14 3 5" xfId="23791" xr:uid="{D5072974-2C03-4927-BE24-8778772FACC3}"/>
    <cellStyle name="Normal 2 14 3 6" xfId="13351" xr:uid="{7CB9BDEC-71AE-46E8-AC9D-08D2EC46FF1D}"/>
    <cellStyle name="Normal 2 14 4" xfId="2266" xr:uid="{00000000-0005-0000-0000-00008F030000}"/>
    <cellStyle name="Normal 2 14 4 2" xfId="7393" xr:uid="{0B907001-6677-447A-A6C2-0B09DF739454}"/>
    <cellStyle name="Normal 2 14 4 2 2" xfId="28254" xr:uid="{C0F8C62A-F16A-4B3C-AF8B-30750ECC8415}"/>
    <cellStyle name="Normal 2 14 4 2 3" xfId="17773" xr:uid="{3C0F6D6B-5410-44C0-A2DB-223EC0D3F1BC}"/>
    <cellStyle name="Normal 2 14 4 3" xfId="10226" xr:uid="{08302955-BB10-41D8-909E-3E8424E9FBB3}"/>
    <cellStyle name="Normal 2 14 4 3 2" xfId="20606" xr:uid="{3013B32C-E195-4AA3-8280-F836F29D0E34}"/>
    <cellStyle name="Normal 2 14 4 4" xfId="23520" xr:uid="{C86BF460-B055-49D0-BA39-328E04DA1CEE}"/>
    <cellStyle name="Normal 2 14 4 5" xfId="14940" xr:uid="{355B811E-59FE-40CC-B377-45F176EF503D}"/>
    <cellStyle name="Normal 2 14 5" xfId="3809" xr:uid="{D9DAA485-8357-442D-9B98-92C0F260699D}"/>
    <cellStyle name="Normal 2 14 5 2" xfId="8644" xr:uid="{FFA257BC-0620-463A-8892-FF98F7E2FEA9}"/>
    <cellStyle name="Normal 2 14 5 2 2" xfId="19024" xr:uid="{C254367F-4AEE-4169-94FB-52330374D4F4}"/>
    <cellStyle name="Normal 2 14 5 3" xfId="11477" xr:uid="{CC096F01-573E-4C8E-A134-F943EA1CE1B8}"/>
    <cellStyle name="Normal 2 14 5 3 2" xfId="21857" xr:uid="{440DB34D-A26C-498E-BEAB-741B827F6018}"/>
    <cellStyle name="Normal 2 14 5 4" xfId="26723" xr:uid="{72278402-EFDA-4577-8A0D-2FF38D6C0467}"/>
    <cellStyle name="Normal 2 14 5 5" xfId="16191" xr:uid="{23538F8E-01F0-4BE4-968D-C2682A3143FB}"/>
    <cellStyle name="Normal 2 14 6" xfId="5056" xr:uid="{003AE1A6-2D71-41E4-8367-493182C6B595}"/>
    <cellStyle name="Normal 2 14 6 2" xfId="14352" xr:uid="{5DC8EE2A-B3AE-479B-8C67-FF5DB3DD5D9A}"/>
    <cellStyle name="Normal 2 14 7" xfId="6805" xr:uid="{BFD99BEB-92C6-46EC-A90C-D7FFF9A4A6DD}"/>
    <cellStyle name="Normal 2 14 7 2" xfId="17185" xr:uid="{C535D681-CD2F-4176-A2D3-4607F3A12937}"/>
    <cellStyle name="Normal 2 14 8" xfId="9638" xr:uid="{4CC85F6F-785C-4071-B5FD-E355E9959BC3}"/>
    <cellStyle name="Normal 2 14 8 2" xfId="20018" xr:uid="{245A27DE-B47D-4235-8FF5-2773DE19B130}"/>
    <cellStyle name="Normal 2 14 9" xfId="25428" xr:uid="{55DD9E7F-4A86-4C45-BB96-9BFBCE3F7FCB}"/>
    <cellStyle name="Normal 2 15" xfId="701" xr:uid="{00000000-0005-0000-0000-000069040000}"/>
    <cellStyle name="Normal 2 15 2" xfId="702" xr:uid="{00000000-0005-0000-0000-00006A040000}"/>
    <cellStyle name="Normal 2 15 2 2" xfId="5059" xr:uid="{2BFEB100-9E5C-4387-B323-D67574CF9B7E}"/>
    <cellStyle name="Normal 2 15 2 2 2" xfId="26555" xr:uid="{A2B43DCB-B00A-482D-A40B-EE72A1E43D53}"/>
    <cellStyle name="Normal 2 15 2 2 3" xfId="14355" xr:uid="{3D68C065-92F3-43AB-99E1-4F65DB8487D7}"/>
    <cellStyle name="Normal 2 15 2 3" xfId="6808" xr:uid="{7B49F8A6-84DA-45DA-9ABE-2256DFC46515}"/>
    <cellStyle name="Normal 2 15 2 3 2" xfId="17188" xr:uid="{CAA3F761-7097-401C-A1B3-3B23208D0B9D}"/>
    <cellStyle name="Normal 2 15 2 4" xfId="9641" xr:uid="{5527F7A9-E05B-4E2E-9705-E11411FA6C58}"/>
    <cellStyle name="Normal 2 15 2 4 2" xfId="20021" xr:uid="{7503549F-4A4C-4279-AD31-4F76F925ABC4}"/>
    <cellStyle name="Normal 2 15 2 5" xfId="22893" xr:uid="{39EF4E33-F99E-4775-AB98-C096AB7B8D4D}"/>
    <cellStyle name="Normal 2 15 2 6" xfId="13354" xr:uid="{31590658-156D-4AB2-BE37-F7F99165142D}"/>
    <cellStyle name="Normal 2 15 3" xfId="5058" xr:uid="{2CBAD390-B99A-43FD-9248-D8EFF22F6AC0}"/>
    <cellStyle name="Normal 2 15 3 2" xfId="25723" xr:uid="{6A9C28D9-3083-46F9-BD79-130EB0FE65BE}"/>
    <cellStyle name="Normal 2 15 3 3" xfId="27309" xr:uid="{74C16C77-A14C-43B2-98C1-C7ADD053C533}"/>
    <cellStyle name="Normal 2 15 3 4" xfId="14354" xr:uid="{5D2F0C45-D806-4776-8CAB-00970BA81410}"/>
    <cellStyle name="Normal 2 15 4" xfId="6807" xr:uid="{6D31F998-186C-4A82-B044-AB8AC20D8683}"/>
    <cellStyle name="Normal 2 15 4 2" xfId="25635" xr:uid="{91E43EBE-1915-4800-B7E0-94D2E29B09F0}"/>
    <cellStyle name="Normal 2 15 4 3" xfId="17187" xr:uid="{623333CB-EDDB-4765-A904-CE9FBC3BF16B}"/>
    <cellStyle name="Normal 2 15 5" xfId="9640" xr:uid="{B7199FFC-96E7-4347-B276-3A7FC63208A7}"/>
    <cellStyle name="Normal 2 15 5 2" xfId="20020" xr:uid="{95357289-5930-45E0-BAB5-2E572F5D4028}"/>
    <cellStyle name="Normal 2 15 6" xfId="24645" xr:uid="{228E92B8-911F-4BEC-90AB-1F2260168AC5}"/>
    <cellStyle name="Normal 2 15 7" xfId="12656" xr:uid="{5EFFA12E-06D8-49A5-8274-9AAF4DD80AA9}"/>
    <cellStyle name="Normal 2 16" xfId="703" xr:uid="{00000000-0005-0000-0000-00006B040000}"/>
    <cellStyle name="Normal 2 16 2" xfId="5060" xr:uid="{51280BA4-E357-4EC2-9A34-789C36438E69}"/>
    <cellStyle name="Normal 2 16 2 2" xfId="25753" xr:uid="{CCCD803B-7AE1-4D41-ABE9-B9F6DA72F6FB}"/>
    <cellStyle name="Normal 2 16 2 3" xfId="14356" xr:uid="{8F0649BB-FB29-4495-8867-9DADDE3172C1}"/>
    <cellStyle name="Normal 2 16 3" xfId="6809" xr:uid="{4AF8C3FB-1633-48BC-AC40-61D949CAD707}"/>
    <cellStyle name="Normal 2 16 3 2" xfId="25305" xr:uid="{5BB29FFF-05A9-49BD-9902-2A0D82D89346}"/>
    <cellStyle name="Normal 2 16 3 3" xfId="17189" xr:uid="{A72A8BC0-DA84-4C90-9A1A-1B149D8DB9CF}"/>
    <cellStyle name="Normal 2 16 4" xfId="9642" xr:uid="{7769E6A8-C929-46BD-9D9B-0CE77F82B4BD}"/>
    <cellStyle name="Normal 2 16 4 2" xfId="20022" xr:uid="{1B964D72-BC3E-4B50-B774-79758B8AF137}"/>
    <cellStyle name="Normal 2 16 5" xfId="25117" xr:uid="{39C6474D-79C0-4B4E-B2DD-74132C6BA907}"/>
    <cellStyle name="Normal 2 16 6" xfId="12815" xr:uid="{6C7A0E04-A236-4994-AD69-90C1FC6ADB2C}"/>
    <cellStyle name="Normal 2 17" xfId="704" xr:uid="{00000000-0005-0000-0000-00006C040000}"/>
    <cellStyle name="Normal 2 17 2" xfId="6810" xr:uid="{1585CA1A-B0BC-44CA-B92E-8C4A5C1CAD0A}"/>
    <cellStyle name="Normal 2 17 2 2" xfId="24636" xr:uid="{3ED16BA5-56C6-4154-967B-867B46BD49CE}"/>
    <cellStyle name="Normal 2 17 2 3" xfId="17190" xr:uid="{568842C7-4E9D-4D74-8F9A-50A419319891}"/>
    <cellStyle name="Normal 2 17 3" xfId="9643" xr:uid="{68A23A47-558E-4E49-9C63-20825D5B2438}"/>
    <cellStyle name="Normal 2 17 3 2" xfId="22674" xr:uid="{B1FAF7FF-9E8C-4DA4-A408-DDB7E7A7F771}"/>
    <cellStyle name="Normal 2 17 3 3" xfId="20023" xr:uid="{E61D0583-2D14-4241-9338-5AB767513FAC}"/>
    <cellStyle name="Normal 2 17 4" xfId="22655" xr:uid="{2D14B024-0C15-4849-A1C9-CC6835BF0F10}"/>
    <cellStyle name="Normal 2 17 5" xfId="26000" xr:uid="{48156FCF-7B74-410D-844E-48DE9A4DB097}"/>
    <cellStyle name="Normal 2 17 6" xfId="14357" xr:uid="{0FDB1D7D-3738-4279-AFC1-D13102CF7782}"/>
    <cellStyle name="Normal 2 18" xfId="3779" xr:uid="{687AD789-15F4-45FC-8C5E-5A0C50946765}"/>
    <cellStyle name="Normal 2 18 2" xfId="8619" xr:uid="{D0E1F64E-A739-4764-9D73-CF87B51A5F00}"/>
    <cellStyle name="Normal 2 18 2 2" xfId="25821" xr:uid="{BEE5FA88-0071-4F52-8AB1-13C8648A6374}"/>
    <cellStyle name="Normal 2 18 2 3" xfId="18999" xr:uid="{F51F4F5B-90B2-4451-9A34-FF469B481271}"/>
    <cellStyle name="Normal 2 18 2 4" xfId="31001" xr:uid="{F18E5E9C-D8D8-4F69-9CEA-1EB84E6CB813}"/>
    <cellStyle name="Normal 2 18 2 5" xfId="30916" xr:uid="{C8A5B2B3-A9B4-4CC3-9248-93D24488B8AF}"/>
    <cellStyle name="Normal 2 18 3" xfId="11452" xr:uid="{CDA90886-5D08-49E0-9163-5C00974CD9B6}"/>
    <cellStyle name="Normal 2 18 3 2" xfId="24301" xr:uid="{0C326032-0FD6-4917-9657-495AC37DBBE3}"/>
    <cellStyle name="Normal 2 18 3 3" xfId="21832" xr:uid="{8A722C41-4A34-4A02-A2B3-53A584E5910E}"/>
    <cellStyle name="Normal 2 18 4" xfId="25129" xr:uid="{BA8BD175-2F83-4035-AE66-B7D2C8E6709A}"/>
    <cellStyle name="Normal 2 18 5" xfId="24076" xr:uid="{FE883123-03AC-49F1-B7FA-8A98A4DAAC28}"/>
    <cellStyle name="Normal 2 18 6" xfId="16166" xr:uid="{184E429F-5396-4319-8D7D-B20F7B31B908}"/>
    <cellStyle name="Normal 2 19" xfId="12346" xr:uid="{2851D229-502A-4D82-8490-01DA0EBA2159}"/>
    <cellStyle name="Normal 2 19 2" xfId="24058" xr:uid="{C9B81072-9CE2-4F0C-B5E2-CE8D5CE0A9C0}"/>
    <cellStyle name="Normal 2 19 3" xfId="24240" xr:uid="{1066F9CC-788C-4F68-89FE-9B9F75C44A5D}"/>
    <cellStyle name="Normal 2 19 4" xfId="25829" xr:uid="{5058E664-5536-45CD-84E0-6FADFD894F75}"/>
    <cellStyle name="Normal 2 19 5" xfId="24509" xr:uid="{D329221E-E5FF-44FA-92BC-FF4B1867B2F5}"/>
    <cellStyle name="Normal 2 19 6" xfId="29617" xr:uid="{903768B7-2C41-46B2-A4D0-9D86B34D41A4}"/>
    <cellStyle name="Normal 2 19 7" xfId="29591" xr:uid="{8AF71700-81D8-4687-AC91-003585AB8325}"/>
    <cellStyle name="Normal 2 19 7 2" xfId="30106" xr:uid="{C4AE6AE8-64C8-4402-93EB-4E613E643CC2}"/>
    <cellStyle name="Normal 2 19 8" xfId="31112" xr:uid="{AD9EAF03-CE2E-4033-B917-F2FC89D9335A}"/>
    <cellStyle name="Normal 2 19 8 2" xfId="31695" xr:uid="{E7154EF1-2601-4A7C-8056-AA513484E4A7}"/>
    <cellStyle name="Normal 2 2" xfId="705" xr:uid="{00000000-0005-0000-0000-00006D040000}"/>
    <cellStyle name="Normal 2 2 10" xfId="706" xr:uid="{00000000-0005-0000-0000-00006E040000}"/>
    <cellStyle name="Normal 2 2 10 10" xfId="9645" xr:uid="{AA7C8D4E-8A4E-47BF-9CCA-4873F35B795C}"/>
    <cellStyle name="Normal 2 2 10 10 2" xfId="20025" xr:uid="{98345C2A-DAC5-4825-A0A8-021C089C2AF2}"/>
    <cellStyle name="Normal 2 2 10 11" xfId="24552" xr:uid="{505E598B-1912-43BF-8BA3-279748371E41}"/>
    <cellStyle name="Normal 2 2 10 12" xfId="12551" xr:uid="{69C35B79-29A5-43FB-862C-7335567D3235}"/>
    <cellStyle name="Normal 2 2 10 2" xfId="707" xr:uid="{00000000-0005-0000-0000-00006F040000}"/>
    <cellStyle name="Normal 2 2 10 2 2" xfId="708" xr:uid="{00000000-0005-0000-0000-000070040000}"/>
    <cellStyle name="Normal 2 2 10 2 2 2" xfId="5064" xr:uid="{E5DB27A1-F095-4B0D-B1FE-17B19E42AD2F}"/>
    <cellStyle name="Normal 2 2 10 2 2 2 2" xfId="24800" xr:uid="{FBA8B858-5805-4A81-83DE-365226052A35}"/>
    <cellStyle name="Normal 2 2 10 2 2 2 3" xfId="25900" xr:uid="{00543A6A-1BC8-44D0-9D96-E92831C3A63A}"/>
    <cellStyle name="Normal 2 2 10 2 2 2 4" xfId="14361" xr:uid="{F19CDEC1-13FD-4EE2-ADEF-DEEB1E15C467}"/>
    <cellStyle name="Normal 2 2 10 2 2 3" xfId="6814" xr:uid="{99174851-CC96-4A4C-91C6-5EB30DC24C04}"/>
    <cellStyle name="Normal 2 2 10 2 2 3 2" xfId="27579" xr:uid="{AF3C2EFA-9EB6-4B79-9DA5-FC9B9457BE6D}"/>
    <cellStyle name="Normal 2 2 10 2 2 3 3" xfId="27904" xr:uid="{BA4D5C2E-54AF-42B6-B1E0-A312C4F38B4D}"/>
    <cellStyle name="Normal 2 2 10 2 2 3 4" xfId="17194" xr:uid="{7F1932C3-573D-48A4-9694-EF8B0597E5E4}"/>
    <cellStyle name="Normal 2 2 10 2 2 4" xfId="9647" xr:uid="{2B8E2916-1FAD-4174-93AD-4FDDE1DA699C}"/>
    <cellStyle name="Normal 2 2 10 2 2 4 2" xfId="29386" xr:uid="{D9B05DEC-3C44-4ABB-92C4-B01E058A307D}"/>
    <cellStyle name="Normal 2 2 10 2 2 4 3" xfId="20027" xr:uid="{E1D17510-D4F8-4DF8-9C86-54A85495661A}"/>
    <cellStyle name="Normal 2 2 10 2 2 5" xfId="24649" xr:uid="{2863DE93-E0E9-4DCA-A783-915B8B2D6A3A}"/>
    <cellStyle name="Normal 2 2 10 2 2 6" xfId="13680" xr:uid="{DA987683-831F-4677-BAD2-DC6A81293BDA}"/>
    <cellStyle name="Normal 2 2 10 2 3" xfId="2717" xr:uid="{00000000-0005-0000-0000-000099030000}"/>
    <cellStyle name="Normal 2 2 10 2 3 2" xfId="5935" xr:uid="{107F8361-8D14-48E4-B386-6681F6985830}"/>
    <cellStyle name="Normal 2 2 10 2 3 2 2" xfId="27980" xr:uid="{439563EB-CDA5-4BE7-8F09-47FBE716BB3B}"/>
    <cellStyle name="Normal 2 2 10 2 3 2 3" xfId="15388" xr:uid="{AB8BAA13-0168-4B0A-A122-BEA762FA4220}"/>
    <cellStyle name="Normal 2 2 10 2 3 3" xfId="7841" xr:uid="{63CB1A3F-51C9-40AA-BDFC-374A71D849BD}"/>
    <cellStyle name="Normal 2 2 10 2 3 3 2" xfId="18221" xr:uid="{E506574E-4CD6-4127-960A-7E103336C974}"/>
    <cellStyle name="Normal 2 2 10 2 3 4" xfId="10674" xr:uid="{09130169-8034-4D96-85F9-4356246BFE9D}"/>
    <cellStyle name="Normal 2 2 10 2 3 4 2" xfId="21054" xr:uid="{1F5D3BB1-A60B-4476-8120-9E675D91B416}"/>
    <cellStyle name="Normal 2 2 10 2 3 5" xfId="25026" xr:uid="{4FFB09B8-3AF9-4044-A95D-D1F4BFC266C5}"/>
    <cellStyle name="Normal 2 2 10 2 3 6" xfId="13145" xr:uid="{88DEC1F8-E74A-47F2-B634-04FE49086530}"/>
    <cellStyle name="Normal 2 2 10 2 4" xfId="4154" xr:uid="{E764446D-83C9-4004-865D-359BF5B5F454}"/>
    <cellStyle name="Normal 2 2 10 2 4 2" xfId="8926" xr:uid="{13B6B776-8552-4F27-A149-221E36F04BD2}"/>
    <cellStyle name="Normal 2 2 10 2 4 2 2" xfId="29025" xr:uid="{68438DB2-A994-485C-B68E-63993A56C537}"/>
    <cellStyle name="Normal 2 2 10 2 4 2 3" xfId="19306" xr:uid="{B3CE92A7-987B-4043-8629-8C2E39A98538}"/>
    <cellStyle name="Normal 2 2 10 2 4 3" xfId="11759" xr:uid="{D0E1A260-329B-4663-B10B-AA9B56A80EFF}"/>
    <cellStyle name="Normal 2 2 10 2 4 3 2" xfId="22139" xr:uid="{B6CF3B47-D87D-45BB-87DF-85B77E70452A}"/>
    <cellStyle name="Normal 2 2 10 2 4 4" xfId="22992" xr:uid="{938AAFBC-6206-4672-B3C4-A0BA08185F9C}"/>
    <cellStyle name="Normal 2 2 10 2 4 5" xfId="16473" xr:uid="{90BFF79D-AAD0-4A91-BEBE-C3458FE2D30F}"/>
    <cellStyle name="Normal 2 2 10 2 5" xfId="5063" xr:uid="{7C5CCD42-756E-44AA-B35D-0888BE67E4DC}"/>
    <cellStyle name="Normal 2 2 10 2 5 2" xfId="26499" xr:uid="{8B0F7587-3D90-44A9-9D4E-94008281CF70}"/>
    <cellStyle name="Normal 2 2 10 2 5 3" xfId="14360" xr:uid="{6BB59D92-C073-4562-AF8F-C02AD369E213}"/>
    <cellStyle name="Normal 2 2 10 2 6" xfId="6813" xr:uid="{064FAEDA-6750-41CD-8BA4-6A0D5049602B}"/>
    <cellStyle name="Normal 2 2 10 2 6 2" xfId="17193" xr:uid="{837E47D0-0D94-4D5F-8367-141ABA0D4D67}"/>
    <cellStyle name="Normal 2 2 10 2 7" xfId="9646" xr:uid="{1E27734E-7094-4271-96C0-49C3F5B2DE9F}"/>
    <cellStyle name="Normal 2 2 10 2 7 2" xfId="20026" xr:uid="{81815907-AA58-4EF1-B4BC-87EBA1A0663F}"/>
    <cellStyle name="Normal 2 2 10 2 8" xfId="24488" xr:uid="{B0AB4854-A5AA-4971-A35C-FD6795C66512}"/>
    <cellStyle name="Normal 2 2 10 2 9" xfId="12709" xr:uid="{443C35AA-3E7C-4729-9C69-8DD456AB955A}"/>
    <cellStyle name="Normal 2 2 10 3" xfId="709" xr:uid="{00000000-0005-0000-0000-000071040000}"/>
    <cellStyle name="Normal 2 2 10 3 2" xfId="4452" xr:uid="{42C8B070-231B-4968-AE45-24977E7CDEBF}"/>
    <cellStyle name="Normal 2 2 10 3 2 2" xfId="9224" xr:uid="{B3100822-4B11-4BA9-940F-F2078324B99E}"/>
    <cellStyle name="Normal 2 2 10 3 2 2 2" xfId="29217" xr:uid="{398D0ABA-3928-427C-8C30-89730A5D7A3C}"/>
    <cellStyle name="Normal 2 2 10 3 2 2 3" xfId="19604" xr:uid="{AD153CD0-B2EC-4F34-96CD-AC815A48A242}"/>
    <cellStyle name="Normal 2 2 10 3 2 3" xfId="12057" xr:uid="{2B843B58-7B92-4A52-B7B1-0B052D6B6194}"/>
    <cellStyle name="Normal 2 2 10 3 2 3 2" xfId="22437" xr:uid="{3AD3D460-9B74-4C95-B9E1-A22A6F72193D}"/>
    <cellStyle name="Normal 2 2 10 3 2 4" xfId="23109" xr:uid="{6419FB7A-3DCF-4E03-99E4-C92D33E270D2}"/>
    <cellStyle name="Normal 2 2 10 3 2 5" xfId="16771" xr:uid="{57F08712-9C9F-4D18-8F3C-BB0511D0669C}"/>
    <cellStyle name="Normal 2 2 10 3 3" xfId="5065" xr:uid="{4A72CBA2-F61E-430F-AD4A-4CD853A42699}"/>
    <cellStyle name="Normal 2 2 10 3 3 2" xfId="26780" xr:uid="{F84AF31A-FE99-4562-B39C-4E385FDC17F3}"/>
    <cellStyle name="Normal 2 2 10 3 3 3" xfId="27558" xr:uid="{44CDE390-F64D-4A78-A0D1-B0C47C36573E}"/>
    <cellStyle name="Normal 2 2 10 3 3 4" xfId="14362" xr:uid="{2E7DDF77-9C26-42DB-8D72-47296D039541}"/>
    <cellStyle name="Normal 2 2 10 3 4" xfId="6815" xr:uid="{9D5CA963-1CB6-4841-BECA-773E3EF2CAA0}"/>
    <cellStyle name="Normal 2 2 10 3 4 2" xfId="26618" xr:uid="{789273C5-3E89-4F22-BC58-9FB25ED07422}"/>
    <cellStyle name="Normal 2 2 10 3 4 3" xfId="27222" xr:uid="{CF839B75-0BF5-4802-B3D9-B5A7B178CBC5}"/>
    <cellStyle name="Normal 2 2 10 3 4 4" xfId="17195" xr:uid="{ED4B26D7-2591-4F59-88AA-D0D54072C88D}"/>
    <cellStyle name="Normal 2 2 10 3 5" xfId="9648" xr:uid="{9019F8E2-FD32-4731-A2A8-6681B973D239}"/>
    <cellStyle name="Normal 2 2 10 3 5 2" xfId="29387" xr:uid="{65370D3C-9EB5-4761-8E5F-554AF99B3F9B}"/>
    <cellStyle name="Normal 2 2 10 3 5 3" xfId="20028" xr:uid="{BA430A4F-FF72-4303-9A89-E1A48B406065}"/>
    <cellStyle name="Normal 2 2 10 3 6" xfId="24518" xr:uid="{49067D6F-8843-4DD1-BAE8-7FA2BF07E820}"/>
    <cellStyle name="Normal 2 2 10 3 7" xfId="13681" xr:uid="{6339AC71-D4C9-41B9-A9DB-829F6C8BF374}"/>
    <cellStyle name="Normal 2 2 10 4" xfId="710" xr:uid="{00000000-0005-0000-0000-000072040000}"/>
    <cellStyle name="Normal 2 2 10 4 2" xfId="5066" xr:uid="{43FAF4F6-5944-411B-9C6E-4A883C4EBCCF}"/>
    <cellStyle name="Normal 2 2 10 4 2 2" xfId="24153" xr:uid="{0FF8B60A-773E-488B-9CA4-80B69D49D6F0}"/>
    <cellStyle name="Normal 2 2 10 4 2 3" xfId="28727" xr:uid="{0044B5AD-CC47-4AD7-9BAC-85830A68790F}"/>
    <cellStyle name="Normal 2 2 10 4 2 4" xfId="14363" xr:uid="{63833D4F-15C8-4AB3-85D1-56CFFDC43AAB}"/>
    <cellStyle name="Normal 2 2 10 4 3" xfId="6816" xr:uid="{6F8A17C8-5B7C-4D0A-89CE-3313691FEA10}"/>
    <cellStyle name="Normal 2 2 10 4 3 2" xfId="28598" xr:uid="{A29D8535-73B2-441D-AB06-3782139610D9}"/>
    <cellStyle name="Normal 2 2 10 4 3 3" xfId="17196" xr:uid="{BF3BCAE3-A914-4FAF-8660-894DFDDE4948}"/>
    <cellStyle name="Normal 2 2 10 4 4" xfId="9649" xr:uid="{F6AF43C2-38D3-4B63-9AFB-550F9CC18867}"/>
    <cellStyle name="Normal 2 2 10 4 4 2" xfId="20029" xr:uid="{0C94FB6B-3908-46B9-B035-AA01DE88862A}"/>
    <cellStyle name="Normal 2 2 10 4 5" xfId="24027" xr:uid="{EDDD3FD3-3F21-4BBB-A21E-5363C936A286}"/>
    <cellStyle name="Normal 2 2 10 4 6" xfId="13407" xr:uid="{52461BEE-55D6-4F43-9398-5A297151B16A}"/>
    <cellStyle name="Normal 2 2 10 5" xfId="2565" xr:uid="{00000000-0005-0000-0000-00009C030000}"/>
    <cellStyle name="Normal 2 2 10 5 2" xfId="5834" xr:uid="{F90F4BDD-8B44-417F-9C44-F07B562A1590}"/>
    <cellStyle name="Normal 2 2 10 5 2 2" xfId="26793" xr:uid="{C347E35F-955F-4394-8027-29A455EB4226}"/>
    <cellStyle name="Normal 2 2 10 5 2 3" xfId="15237" xr:uid="{8D2EC9C0-8C74-410D-8868-1302CCCBA839}"/>
    <cellStyle name="Normal 2 2 10 5 3" xfId="7690" xr:uid="{FAD042E3-0A5D-44D0-9B55-4A5BF2609101}"/>
    <cellStyle name="Normal 2 2 10 5 3 2" xfId="18070" xr:uid="{80FFC775-E0A3-405C-9250-A0FE081BCED3}"/>
    <cellStyle name="Normal 2 2 10 5 4" xfId="10523" xr:uid="{271EE65C-4308-4093-A0CA-EBD53146ED2E}"/>
    <cellStyle name="Normal 2 2 10 5 4 2" xfId="20903" xr:uid="{957E9CC8-329E-4D48-BD47-CE43D3C79F5C}"/>
    <cellStyle name="Normal 2 2 10 5 5" xfId="22944" xr:uid="{7FF42F5A-F766-492C-B313-F86840EA921E}"/>
    <cellStyle name="Normal 2 2 10 5 6" xfId="12953" xr:uid="{AFEA08B3-64BD-49F2-A894-F862B4F7670C}"/>
    <cellStyle name="Normal 2 2 10 6" xfId="2317" xr:uid="{00000000-0005-0000-0000-000096030000}"/>
    <cellStyle name="Normal 2 2 10 6 2" xfId="7444" xr:uid="{49339BE6-5FE9-42AE-9BC6-6DD209B051E8}"/>
    <cellStyle name="Normal 2 2 10 6 2 2" xfId="27932" xr:uid="{7D37FA61-88A9-417F-9E00-1067742685F6}"/>
    <cellStyle name="Normal 2 2 10 6 2 3" xfId="17824" xr:uid="{8BA1A808-3FDE-44C7-9142-154BE5F5E6B6}"/>
    <cellStyle name="Normal 2 2 10 6 3" xfId="10277" xr:uid="{2A7065D5-296E-44B5-86F3-53A1D5651C31}"/>
    <cellStyle name="Normal 2 2 10 6 3 2" xfId="20657" xr:uid="{0CDD9D9A-C9E9-419B-BFC8-FB6779F563E0}"/>
    <cellStyle name="Normal 2 2 10 6 4" xfId="24891" xr:uid="{946DE919-8989-49F0-8624-F124357DCEE6}"/>
    <cellStyle name="Normal 2 2 10 6 5" xfId="14991" xr:uid="{A42EDF13-7335-4FE4-9A95-547834990660}"/>
    <cellStyle name="Normal 2 2 10 7" xfId="3922" xr:uid="{498F4368-C384-4172-A5C5-389852219A0E}"/>
    <cellStyle name="Normal 2 2 10 7 2" xfId="8754" xr:uid="{7A29565A-49DE-496F-9B46-A14210F21EEC}"/>
    <cellStyle name="Normal 2 2 10 7 2 2" xfId="19134" xr:uid="{62EC0076-2ADE-4D86-9020-4C074AF71ABC}"/>
    <cellStyle name="Normal 2 2 10 7 3" xfId="11587" xr:uid="{0B8A006D-0451-4A93-A9DD-3B02EF3D4ED5}"/>
    <cellStyle name="Normal 2 2 10 7 3 2" xfId="21967" xr:uid="{1E17511E-8D69-4181-BF2A-8594B5C37FFA}"/>
    <cellStyle name="Normal 2 2 10 7 4" xfId="26887" xr:uid="{EE14755E-4017-4A11-B3B3-C3690CBE6087}"/>
    <cellStyle name="Normal 2 2 10 7 5" xfId="16301" xr:uid="{774583A9-CB71-49DF-9DC4-54BB1C00CF1D}"/>
    <cellStyle name="Normal 2 2 10 8" xfId="5062" xr:uid="{9A8CA319-5397-4A04-92EC-15A8A45212D4}"/>
    <cellStyle name="Normal 2 2 10 8 2" xfId="14359" xr:uid="{C8D3DA57-87D8-4704-97B7-6849991807F7}"/>
    <cellStyle name="Normal 2 2 10 9" xfId="6812" xr:uid="{6AB13237-9298-49AB-B12E-5BEA92D8EA25}"/>
    <cellStyle name="Normal 2 2 10 9 2" xfId="17192" xr:uid="{54002836-6CE1-4C08-BFD8-E939A1F4DFF9}"/>
    <cellStyle name="Normal 2 2 11" xfId="711" xr:uid="{00000000-0005-0000-0000-000073040000}"/>
    <cellStyle name="Normal 2 2 11 10" xfId="24716" xr:uid="{F360E3F7-4553-4010-BCA7-6D1AE9B901A1}"/>
    <cellStyle name="Normal 2 2 11 11" xfId="12552" xr:uid="{0081C13F-8DD0-413F-9503-D5C8BA41F1B0}"/>
    <cellStyle name="Normal 2 2 11 2" xfId="712" xr:uid="{00000000-0005-0000-0000-000074040000}"/>
    <cellStyle name="Normal 2 2 11 2 2" xfId="3147" xr:uid="{00000000-0005-0000-0000-00009F030000}"/>
    <cellStyle name="Normal 2 2 11 2 2 2" xfId="6205" xr:uid="{FF317ED0-C3C5-4BBA-96D4-A4FA9F71D13C}"/>
    <cellStyle name="Normal 2 2 11 2 2 2 2" xfId="26614" xr:uid="{C3C86F65-1009-45B4-ADDC-6A57ED7AC03D}"/>
    <cellStyle name="Normal 2 2 11 2 2 2 3" xfId="27337" xr:uid="{6C543D13-686B-42FE-9BED-916A8DF160CA}"/>
    <cellStyle name="Normal 2 2 11 2 2 2 4" xfId="15774" xr:uid="{F56D3B67-4334-45F9-8EA7-AB3AD0ED3090}"/>
    <cellStyle name="Normal 2 2 11 2 2 3" xfId="8227" xr:uid="{90B187A8-9982-44B7-9857-A6B63355AC82}"/>
    <cellStyle name="Normal 2 2 11 2 2 3 2" xfId="28872" xr:uid="{7EB596B2-7B15-4D64-83F3-AC9014D1750B}"/>
    <cellStyle name="Normal 2 2 11 2 2 3 3" xfId="18607" xr:uid="{8E5CC260-40CB-4E67-9E15-4F95D03C0961}"/>
    <cellStyle name="Normal 2 2 11 2 2 4" xfId="11060" xr:uid="{0C11086F-936F-4562-A968-407CE5092957}"/>
    <cellStyle name="Normal 2 2 11 2 2 4 2" xfId="21440" xr:uid="{ADB81A79-B7E1-43EB-BA27-D0C539476A90}"/>
    <cellStyle name="Normal 2 2 11 2 2 5" xfId="23265" xr:uid="{0F54DA92-1F69-4FE6-B714-AD6A3B712B6E}"/>
    <cellStyle name="Normal 2 2 11 2 2 6" xfId="13682" xr:uid="{66B84033-BF7F-481B-9AFA-9567FEF2CBE8}"/>
    <cellStyle name="Normal 2 2 11 2 3" xfId="4155" xr:uid="{00F1D4EF-91CF-40E8-B6B5-67F1D0D3D9FB}"/>
    <cellStyle name="Normal 2 2 11 2 3 2" xfId="8927" xr:uid="{0790826B-CA55-4CA9-B627-8A167494FAF5}"/>
    <cellStyle name="Normal 2 2 11 2 3 2 2" xfId="29026" xr:uid="{A608EEA1-12E2-4A50-AA92-15B6A6B67A09}"/>
    <cellStyle name="Normal 2 2 11 2 3 2 3" xfId="19307" xr:uid="{EA885710-01F3-4985-8E77-B95014EDAAF3}"/>
    <cellStyle name="Normal 2 2 11 2 3 3" xfId="11760" xr:uid="{858F1373-6516-4269-95EA-069E9EA42B73}"/>
    <cellStyle name="Normal 2 2 11 2 3 3 2" xfId="22140" xr:uid="{5A6A1CE6-03AA-488A-81B0-1F53FD50E577}"/>
    <cellStyle name="Normal 2 2 11 2 3 4" xfId="25220" xr:uid="{530BCB53-2788-48FC-8732-7713CE1DDE0F}"/>
    <cellStyle name="Normal 2 2 11 2 3 5" xfId="16474" xr:uid="{EB502878-9D72-4A66-8CC3-6FE968AF4A80}"/>
    <cellStyle name="Normal 2 2 11 2 4" xfId="5068" xr:uid="{C97103D0-552A-43CA-9D7F-000BE4CCD9EA}"/>
    <cellStyle name="Normal 2 2 11 2 4 2" xfId="27909" xr:uid="{5350DF39-5008-4E85-A8E3-EA51D3E70538}"/>
    <cellStyle name="Normal 2 2 11 2 4 3" xfId="26437" xr:uid="{45D098FC-3762-4A95-8E63-9E90376ED403}"/>
    <cellStyle name="Normal 2 2 11 2 4 4" xfId="14365" xr:uid="{852E6F0C-3895-4C89-86AC-0372EC1A09FB}"/>
    <cellStyle name="Normal 2 2 11 2 5" xfId="6818" xr:uid="{541B02AB-102A-4D2C-B7E2-2CAFA7B83913}"/>
    <cellStyle name="Normal 2 2 11 2 5 2" xfId="27589" xr:uid="{2B54EA2A-F5D7-4647-A3C3-89DA672DC2B2}"/>
    <cellStyle name="Normal 2 2 11 2 5 3" xfId="17198" xr:uid="{F7667B26-C2B3-4730-BA59-8727ECB0A4C1}"/>
    <cellStyle name="Normal 2 2 11 2 6" xfId="9651" xr:uid="{42FEB642-99A6-4F20-9405-ED218DBCD43E}"/>
    <cellStyle name="Normal 2 2 11 2 6 2" xfId="20031" xr:uid="{2D652F2E-72EB-4499-AC69-741A8BA79020}"/>
    <cellStyle name="Normal 2 2 11 2 7" xfId="22928" xr:uid="{9D773C07-20EF-400A-A5CD-96C731A65415}"/>
    <cellStyle name="Normal 2 2 11 2 8" xfId="12710" xr:uid="{557D45CE-8F42-4ABE-9E84-82DBCC416DEF}"/>
    <cellStyle name="Normal 2 2 11 3" xfId="713" xr:uid="{00000000-0005-0000-0000-000075040000}"/>
    <cellStyle name="Normal 2 2 11 3 2" xfId="5069" xr:uid="{0955E37E-640E-43B0-BD50-B8A99418383A}"/>
    <cellStyle name="Normal 2 2 11 3 2 2" xfId="22754" xr:uid="{2BEE5CBA-6AF4-40AF-B0DB-8908603C96C7}"/>
    <cellStyle name="Normal 2 2 11 3 2 3" xfId="27058" xr:uid="{4D557C4E-47EB-4C41-A11C-E40E615CDB78}"/>
    <cellStyle name="Normal 2 2 11 3 2 4" xfId="14366" xr:uid="{4016AE17-1A41-4C9A-98F4-1B4611B620B6}"/>
    <cellStyle name="Normal 2 2 11 3 3" xfId="6819" xr:uid="{00BD513C-FB94-428B-876A-E8EF0C4F55EF}"/>
    <cellStyle name="Normal 2 2 11 3 3 2" xfId="27765" xr:uid="{7ABA0B96-13D5-447B-85CC-329AC2C6D123}"/>
    <cellStyle name="Normal 2 2 11 3 3 3" xfId="26115" xr:uid="{D8E70133-ADC3-46CD-9CF8-B13AD605DBE3}"/>
    <cellStyle name="Normal 2 2 11 3 3 4" xfId="17199" xr:uid="{17775DBB-41D4-400E-94BF-23CFF9786007}"/>
    <cellStyle name="Normal 2 2 11 3 4" xfId="9652" xr:uid="{E8608BBB-BA40-49FE-9FE2-9263E842B72E}"/>
    <cellStyle name="Normal 2 2 11 3 4 2" xfId="27884" xr:uid="{A559915D-1C89-4A10-9523-59AE7D14C0BE}"/>
    <cellStyle name="Normal 2 2 11 3 4 3" xfId="29388" xr:uid="{3F8F59DF-F173-4A24-8C68-4AD13CC6FB4D}"/>
    <cellStyle name="Normal 2 2 11 3 4 4" xfId="20032" xr:uid="{4A8FE24E-E0C9-4A18-A18A-3252FA41CA10}"/>
    <cellStyle name="Normal 2 2 11 3 5" xfId="23891" xr:uid="{A43DAE62-9E93-4920-8A90-84070D82DB45}"/>
    <cellStyle name="Normal 2 2 11 3 6" xfId="26875" xr:uid="{993D1EDA-F7F0-4197-9D42-8112A38CDE4E}"/>
    <cellStyle name="Normal 2 2 11 3 7" xfId="13408" xr:uid="{0077151E-73EA-4320-85DE-C40187F66014}"/>
    <cellStyle name="Normal 2 2 11 4" xfId="2718" xr:uid="{00000000-0005-0000-0000-0000A1030000}"/>
    <cellStyle name="Normal 2 2 11 4 2" xfId="5936" xr:uid="{63E0683B-ACD4-4AA2-90DC-DB6AEBFA2948}"/>
    <cellStyle name="Normal 2 2 11 4 2 2" xfId="26141" xr:uid="{E537ED85-99E9-4A2C-ADE8-0473EAF8C191}"/>
    <cellStyle name="Normal 2 2 11 4 2 3" xfId="15389" xr:uid="{7E1EF9F7-FD04-4E90-BE93-DE2066F7588A}"/>
    <cellStyle name="Normal 2 2 11 4 3" xfId="7842" xr:uid="{FF13673E-D845-4C55-B7C8-00D6EF36B7D1}"/>
    <cellStyle name="Normal 2 2 11 4 3 2" xfId="18222" xr:uid="{D5B33116-A451-467B-9CE8-8F15637E1DCE}"/>
    <cellStyle name="Normal 2 2 11 4 4" xfId="10675" xr:uid="{93731593-600F-4279-9BC7-1C337825ADA4}"/>
    <cellStyle name="Normal 2 2 11 4 4 2" xfId="21055" xr:uid="{86328D34-6873-4657-BB4D-1FF619BF9538}"/>
    <cellStyle name="Normal 2 2 11 4 5" xfId="24616" xr:uid="{FFEC11AB-DB5A-4402-9B21-590F99BB08F6}"/>
    <cellStyle name="Normal 2 2 11 4 6" xfId="13146" xr:uid="{7C3F6871-62B6-4B36-8448-9E73B188E3DE}"/>
    <cellStyle name="Normal 2 2 11 5" xfId="2318" xr:uid="{00000000-0005-0000-0000-00009D030000}"/>
    <cellStyle name="Normal 2 2 11 5 2" xfId="7445" xr:uid="{7A3307D6-3912-4C07-B0F6-72C6E4F3B661}"/>
    <cellStyle name="Normal 2 2 11 5 2 2" xfId="25947" xr:uid="{1FFCC7DB-DE91-465E-A767-AAEF631C5C7D}"/>
    <cellStyle name="Normal 2 2 11 5 2 3" xfId="17825" xr:uid="{D00543A4-5E81-4315-ABFC-3BE08527D330}"/>
    <cellStyle name="Normal 2 2 11 5 3" xfId="10278" xr:uid="{CAE4606C-9F99-412B-B7A9-5DB4111EB00D}"/>
    <cellStyle name="Normal 2 2 11 5 3 2" xfId="20658" xr:uid="{0FF4E45D-E5E1-40C8-B569-7E751AA1A551}"/>
    <cellStyle name="Normal 2 2 11 5 4" xfId="24919" xr:uid="{121CDEFB-55B8-40A6-A06C-5FDF46209248}"/>
    <cellStyle name="Normal 2 2 11 5 5" xfId="14992" xr:uid="{7F643549-6605-400C-8C36-DF20AF78D7FB}"/>
    <cellStyle name="Normal 2 2 11 6" xfId="3923" xr:uid="{B8846A1D-2C16-48D2-8A11-823ADBAB4F28}"/>
    <cellStyle name="Normal 2 2 11 6 2" xfId="8755" xr:uid="{91A10251-2EEC-445C-82E3-E53D5D0CA3A7}"/>
    <cellStyle name="Normal 2 2 11 6 2 2" xfId="28977" xr:uid="{39F5A64B-9A16-4AC9-8402-214E3758C73A}"/>
    <cellStyle name="Normal 2 2 11 6 2 3" xfId="19135" xr:uid="{D8663FF4-7F2C-4388-B7A9-17831C9372D7}"/>
    <cellStyle name="Normal 2 2 11 6 3" xfId="11588" xr:uid="{D8BC32F4-4140-4BD2-BC51-A4794D42B1FF}"/>
    <cellStyle name="Normal 2 2 11 6 3 2" xfId="21968" xr:uid="{4644D31E-EB41-48D5-B4E9-516AFEBE10EF}"/>
    <cellStyle name="Normal 2 2 11 6 4" xfId="27278" xr:uid="{75C8AD18-4AFE-4842-A978-28943ACC31D9}"/>
    <cellStyle name="Normal 2 2 11 6 5" xfId="16302" xr:uid="{8E42CAA9-3BBD-4E3B-9F0B-24760E32739D}"/>
    <cellStyle name="Normal 2 2 11 7" xfId="5067" xr:uid="{B2DA2C86-A69D-4363-A409-5F20A56822C5}"/>
    <cellStyle name="Normal 2 2 11 7 2" xfId="26478" xr:uid="{8DA8B6FD-9B1D-46D4-BB5E-72F6E93EFE7C}"/>
    <cellStyle name="Normal 2 2 11 7 3" xfId="14364" xr:uid="{B631ECBF-56E4-4E7E-A0A4-2E50DFF99648}"/>
    <cellStyle name="Normal 2 2 11 8" xfId="6817" xr:uid="{0A45DC38-A460-417D-B5FF-5914C4641DB3}"/>
    <cellStyle name="Normal 2 2 11 8 2" xfId="17197" xr:uid="{F9AC5293-430A-4340-83DE-C9501E3F8EAB}"/>
    <cellStyle name="Normal 2 2 11 9" xfId="9650" xr:uid="{AEFEC1A8-311C-4583-9866-B998AF29808A}"/>
    <cellStyle name="Normal 2 2 11 9 2" xfId="20030" xr:uid="{36E210C7-88C1-4054-AA67-CA222587FB4B}"/>
    <cellStyle name="Normal 2 2 12" xfId="714" xr:uid="{00000000-0005-0000-0000-000076040000}"/>
    <cellStyle name="Normal 2 2 12 10" xfId="12553" xr:uid="{1065672E-2A58-4FF3-B14F-7A5A656F2C14}"/>
    <cellStyle name="Normal 2 2 12 2" xfId="715" xr:uid="{00000000-0005-0000-0000-000077040000}"/>
    <cellStyle name="Normal 2 2 12 2 2" xfId="2897" xr:uid="{00000000-0005-0000-0000-0000A4030000}"/>
    <cellStyle name="Normal 2 2 12 2 2 2" xfId="6083" xr:uid="{87D14F9D-0490-40A1-B2DF-6C3236D91088}"/>
    <cellStyle name="Normal 2 2 12 2 2 2 2" xfId="27092" xr:uid="{C3153807-B2E2-4D54-8253-7DBAF51F2DE7}"/>
    <cellStyle name="Normal 2 2 12 2 2 2 3" xfId="26700" xr:uid="{C8350D81-427F-46C9-AD88-E335CC47A38B}"/>
    <cellStyle name="Normal 2 2 12 2 2 2 4" xfId="15561" xr:uid="{39752D66-A282-4578-9662-B9863F6E05F0}"/>
    <cellStyle name="Normal 2 2 12 2 2 3" xfId="8014" xr:uid="{0D9E3B43-EDE7-49DA-AC95-C8D84130DC72}"/>
    <cellStyle name="Normal 2 2 12 2 2 3 2" xfId="27686" xr:uid="{AB1AF7C7-2D5A-48E6-8BF5-E5578B2E77B5}"/>
    <cellStyle name="Normal 2 2 12 2 2 3 3" xfId="18394" xr:uid="{1AFB2ABE-54F2-4B73-BE53-A072DAF3C08C}"/>
    <cellStyle name="Normal 2 2 12 2 2 4" xfId="10847" xr:uid="{4AE1C396-5D59-4371-B09F-AFF16EEF18AE}"/>
    <cellStyle name="Normal 2 2 12 2 2 4 2" xfId="21227" xr:uid="{3288323C-DEC5-4597-ACA5-E75281895242}"/>
    <cellStyle name="Normal 2 2 12 2 2 5" xfId="22930" xr:uid="{451C44D4-D385-49D8-8775-BDE566AC57E3}"/>
    <cellStyle name="Normal 2 2 12 2 2 6" xfId="13409" xr:uid="{CD1B9E5A-8689-4A5D-825F-CA09B31EB215}"/>
    <cellStyle name="Normal 2 2 12 2 3" xfId="5071" xr:uid="{E9CA4D25-7E66-4D37-9C3D-EE609FBB5CD4}"/>
    <cellStyle name="Normal 2 2 12 2 3 2" xfId="25614" xr:uid="{C82A4E5B-713A-4F0B-9C44-41515AA8671E}"/>
    <cellStyle name="Normal 2 2 12 2 3 3" xfId="28120" xr:uid="{D1426DE1-404F-476D-AA0E-23A2566C7733}"/>
    <cellStyle name="Normal 2 2 12 2 3 4" xfId="14368" xr:uid="{201E6DFB-DAAA-47D2-93D5-7D35EEF5EE4A}"/>
    <cellStyle name="Normal 2 2 12 2 4" xfId="6821" xr:uid="{9CE24DF9-8A53-40A5-9B9F-A4ED79DBA681}"/>
    <cellStyle name="Normal 2 2 12 2 4 2" xfId="25847" xr:uid="{DB2D1C67-6117-442B-B678-0E475AA7346F}"/>
    <cellStyle name="Normal 2 2 12 2 4 3" xfId="27933" xr:uid="{51025091-3DC7-4B0E-B201-8992EE577B4E}"/>
    <cellStyle name="Normal 2 2 12 2 4 4" xfId="17201" xr:uid="{83106FBE-5519-470B-B973-DC7EFE978364}"/>
    <cellStyle name="Normal 2 2 12 2 5" xfId="9654" xr:uid="{0B7EACDA-BBDF-48E1-8FE2-FC3073D2F396}"/>
    <cellStyle name="Normal 2 2 12 2 5 2" xfId="29389" xr:uid="{EBF4D029-387B-44E3-9D2A-2D2346652B52}"/>
    <cellStyle name="Normal 2 2 12 2 5 3" xfId="20034" xr:uid="{C0C59DC8-A38B-49A7-8B9B-B6BAEE89D21E}"/>
    <cellStyle name="Normal 2 2 12 2 6" xfId="23522" xr:uid="{58EB0826-388D-445A-8CD5-082685758BAB}"/>
    <cellStyle name="Normal 2 2 12 2 7" xfId="12711" xr:uid="{D90D89C1-CD52-404E-8854-9A6CE05D6A25}"/>
    <cellStyle name="Normal 2 2 12 3" xfId="716" xr:uid="{00000000-0005-0000-0000-000078040000}"/>
    <cellStyle name="Normal 2 2 12 3 2" xfId="5072" xr:uid="{3B181DA7-558B-4F08-91C6-2EF108D18741}"/>
    <cellStyle name="Normal 2 2 12 3 2 2" xfId="26076" xr:uid="{DADFDF4C-031A-4E25-9D4F-90085FBCDD66}"/>
    <cellStyle name="Normal 2 2 12 3 2 3" xfId="27302" xr:uid="{7C3C2C6B-A376-4C08-B672-72DD1C6DDA24}"/>
    <cellStyle name="Normal 2 2 12 3 2 4" xfId="14369" xr:uid="{87AA43E2-ABF6-4CF1-95E1-324AB002C98D}"/>
    <cellStyle name="Normal 2 2 12 3 3" xfId="6822" xr:uid="{E2C41153-FFAB-4ED0-AB8B-6014853786DF}"/>
    <cellStyle name="Normal 2 2 12 3 3 2" xfId="27509" xr:uid="{CC38DC81-9159-4D28-B7A4-DAC637FEB901}"/>
    <cellStyle name="Normal 2 2 12 3 3 3" xfId="27088" xr:uid="{7EF38C80-B0D3-4DFD-9A0A-41F57020FEC4}"/>
    <cellStyle name="Normal 2 2 12 3 3 4" xfId="17202" xr:uid="{26E52485-6547-4818-9BE2-E34CFBD2E42B}"/>
    <cellStyle name="Normal 2 2 12 3 4" xfId="9655" xr:uid="{6F87446E-73B0-415B-B3DF-BCDB2932CF02}"/>
    <cellStyle name="Normal 2 2 12 3 4 2" xfId="29390" xr:uid="{E1AB4123-829E-472B-8201-5042441F9D0E}"/>
    <cellStyle name="Normal 2 2 12 3 4 3" xfId="20035" xr:uid="{B5528FC7-B11C-4B89-AD12-5EA5CEA3F156}"/>
    <cellStyle name="Normal 2 2 12 3 5" xfId="23589" xr:uid="{E4661236-05E0-4733-83E4-BF38DCBD5CFB}"/>
    <cellStyle name="Normal 2 2 12 3 6" xfId="13147" xr:uid="{59784323-D983-4403-A797-10888BEA3561}"/>
    <cellStyle name="Normal 2 2 12 4" xfId="2319" xr:uid="{00000000-0005-0000-0000-0000A2030000}"/>
    <cellStyle name="Normal 2 2 12 4 2" xfId="7446" xr:uid="{BC4AB11F-05B5-41C6-848E-34FE761CDCF0}"/>
    <cellStyle name="Normal 2 2 12 4 2 2" xfId="27510" xr:uid="{1D0CBB2E-B506-46BE-9D6B-6EAEAD8F035C}"/>
    <cellStyle name="Normal 2 2 12 4 2 3" xfId="17826" xr:uid="{F50110FA-FA26-4B8F-BD48-D96B1E0B9EFD}"/>
    <cellStyle name="Normal 2 2 12 4 3" xfId="10279" xr:uid="{04089D3B-4538-4C52-A27C-4A9708A69974}"/>
    <cellStyle name="Normal 2 2 12 4 3 2" xfId="20659" xr:uid="{2E0D2A35-A4E4-431F-A576-04C14ABCDA3C}"/>
    <cellStyle name="Normal 2 2 12 4 4" xfId="23711" xr:uid="{93C07792-30FE-4B44-9573-26AEFF3A7BF0}"/>
    <cellStyle name="Normal 2 2 12 4 5" xfId="14993" xr:uid="{51B5B4D7-F9FA-4226-9AA7-18D07081935F}"/>
    <cellStyle name="Normal 2 2 12 5" xfId="3924" xr:uid="{80B48330-8868-42AD-8BDC-4ABE101D7FE5}"/>
    <cellStyle name="Normal 2 2 12 5 2" xfId="8756" xr:uid="{0552D940-71B3-43C0-B2DB-648923AA1A54}"/>
    <cellStyle name="Normal 2 2 12 5 2 2" xfId="28978" xr:uid="{B40DC248-C826-4482-AFB1-2C50FE8E20F9}"/>
    <cellStyle name="Normal 2 2 12 5 2 3" xfId="19136" xr:uid="{0DBB2F03-198E-4EA9-9FCB-52E1EB65A82B}"/>
    <cellStyle name="Normal 2 2 12 5 3" xfId="11589" xr:uid="{F8030501-846D-475A-A3BE-5B1CA040C545}"/>
    <cellStyle name="Normal 2 2 12 5 3 2" xfId="21969" xr:uid="{93B94236-8E68-420A-B001-78A4B3C4C0E4}"/>
    <cellStyle name="Normal 2 2 12 5 4" xfId="23011" xr:uid="{FF2626A7-2135-440A-A877-AEE80954058E}"/>
    <cellStyle name="Normal 2 2 12 5 5" xfId="16303" xr:uid="{E8CC1F3D-DAFB-4840-966E-72DE70B7AF30}"/>
    <cellStyle name="Normal 2 2 12 6" xfId="5070" xr:uid="{084EAE70-9054-40F8-BFE2-D35318827036}"/>
    <cellStyle name="Normal 2 2 12 6 2" xfId="28310" xr:uid="{E571C781-2D2F-4739-921B-7BDC8F0ACB39}"/>
    <cellStyle name="Normal 2 2 12 6 3" xfId="26135" xr:uid="{68DF8A38-4DBF-4086-9398-2C368CB90CBF}"/>
    <cellStyle name="Normal 2 2 12 6 4" xfId="14367" xr:uid="{E415832E-07C5-4280-9D6D-23D0D3FCCF5E}"/>
    <cellStyle name="Normal 2 2 12 7" xfId="6820" xr:uid="{BF3DB480-ACE2-4974-AD3C-1760B38EE11C}"/>
    <cellStyle name="Normal 2 2 12 7 2" xfId="26794" xr:uid="{64BE9471-4482-46F0-B926-F236CF48DE7A}"/>
    <cellStyle name="Normal 2 2 12 7 3" xfId="17200" xr:uid="{CDA13340-5781-4640-96A4-DAC67D8249D7}"/>
    <cellStyle name="Normal 2 2 12 8" xfId="9653" xr:uid="{EC8A2C6E-8145-4C6B-98CD-6625A6067AC5}"/>
    <cellStyle name="Normal 2 2 12 8 2" xfId="20033" xr:uid="{E34FB326-D462-4975-BFF1-2D6B474B3857}"/>
    <cellStyle name="Normal 2 2 12 9" xfId="24820" xr:uid="{92E2412E-AE0B-4E04-8A02-EE933A9D2232}"/>
    <cellStyle name="Normal 2 2 13" xfId="717" xr:uid="{00000000-0005-0000-0000-000079040000}"/>
    <cellStyle name="Normal 2 2 13 10" xfId="12499" xr:uid="{61170B46-1634-41C8-94F6-182BD1D0ECF0}"/>
    <cellStyle name="Normal 2 2 13 2" xfId="3148" xr:uid="{00000000-0005-0000-0000-0000A7030000}"/>
    <cellStyle name="Normal 2 2 13 2 2" xfId="6206" xr:uid="{1BE0B72C-EB5F-4A68-ADBB-776D2ABC6E28}"/>
    <cellStyle name="Normal 2 2 13 2 2 2" xfId="22859" xr:uid="{53D22A31-D144-49D0-91AA-1D8AA931FF1F}"/>
    <cellStyle name="Normal 2 2 13 2 2 3" xfId="26299" xr:uid="{D8911CED-764F-48E2-9168-73042C5D13ED}"/>
    <cellStyle name="Normal 2 2 13 2 2 4" xfId="15775" xr:uid="{E725DF8F-2486-44A0-9DDC-35451486C16E}"/>
    <cellStyle name="Normal 2 2 13 2 3" xfId="8228" xr:uid="{8FE612A1-40D0-4D13-BCB0-0744C78DD892}"/>
    <cellStyle name="Normal 2 2 13 2 3 2" xfId="26186" xr:uid="{06BF066D-2D8C-4346-B71C-B793C1B4A8CB}"/>
    <cellStyle name="Normal 2 2 13 2 3 3" xfId="28873" xr:uid="{8129AB89-2906-47C8-9BA7-89EE51578157}"/>
    <cellStyle name="Normal 2 2 13 2 3 4" xfId="18608" xr:uid="{64C64456-37D7-4EE3-92B2-E77B6817AC99}"/>
    <cellStyle name="Normal 2 2 13 2 4" xfId="11061" xr:uid="{FD08E1CF-839E-4985-96D9-9AA4F72A3267}"/>
    <cellStyle name="Normal 2 2 13 2 4 2" xfId="29476" xr:uid="{038BD399-35D3-48F3-8F87-83353631008F}"/>
    <cellStyle name="Normal 2 2 13 2 4 3" xfId="21441" xr:uid="{535D86DE-691C-4D4C-97D3-6C9A8B1E520E}"/>
    <cellStyle name="Normal 2 2 13 2 5" xfId="25158" xr:uid="{C24663EF-B84A-4159-827E-04DA4C4C0947}"/>
    <cellStyle name="Normal 2 2 13 2 6" xfId="13683" xr:uid="{D7D50C91-20D1-4F4F-B216-79150BA26CFA}"/>
    <cellStyle name="Normal 2 2 13 3" xfId="2716" xr:uid="{00000000-0005-0000-0000-0000A8030000}"/>
    <cellStyle name="Normal 2 2 13 3 2" xfId="5934" xr:uid="{D0C06B45-2A7E-4AB6-A718-198594DC2508}"/>
    <cellStyle name="Normal 2 2 13 3 2 2" xfId="27395" xr:uid="{6491416E-F12A-4584-81F1-655F94FF171F}"/>
    <cellStyle name="Normal 2 2 13 3 2 3" xfId="15387" xr:uid="{ED351527-011C-4C1E-AC63-0808C644313D}"/>
    <cellStyle name="Normal 2 2 13 3 3" xfId="7840" xr:uid="{906AFB7C-6C05-4D62-9036-BCB3EF4B597A}"/>
    <cellStyle name="Normal 2 2 13 3 3 2" xfId="18220" xr:uid="{70736B79-02B6-4245-8B46-CAAAA5DE7056}"/>
    <cellStyle name="Normal 2 2 13 3 4" xfId="10673" xr:uid="{2CB8B3FA-0C80-47EE-9634-14D33F0FA550}"/>
    <cellStyle name="Normal 2 2 13 3 4 2" xfId="21053" xr:uid="{F769EB83-E13C-416F-9B09-5D4D5057E829}"/>
    <cellStyle name="Normal 2 2 13 3 5" xfId="25240" xr:uid="{6C3C5C07-9AFA-4E02-B0A6-FA91BFF57E6E}"/>
    <cellStyle name="Normal 2 2 13 3 6" xfId="13144" xr:uid="{1162147A-342C-4981-8B63-09F1ABF2E97A}"/>
    <cellStyle name="Normal 2 2 13 4" xfId="2267" xr:uid="{00000000-0005-0000-0000-0000A6030000}"/>
    <cellStyle name="Normal 2 2 13 4 2" xfId="7394" xr:uid="{89FD8668-7FA1-4059-9FE1-C4A120F59806}"/>
    <cellStyle name="Normal 2 2 13 4 2 2" xfId="26380" xr:uid="{30E68958-E569-42E9-BA2F-E453205D9189}"/>
    <cellStyle name="Normal 2 2 13 4 2 3" xfId="17774" xr:uid="{C11B38C0-F736-4D86-A774-66F20C82FCF6}"/>
    <cellStyle name="Normal 2 2 13 4 3" xfId="10227" xr:uid="{C380EA43-0880-44F7-916A-3D91415E0C58}"/>
    <cellStyle name="Normal 2 2 13 4 3 2" xfId="20607" xr:uid="{1B250137-71E8-4861-B427-84820C9A4C85}"/>
    <cellStyle name="Normal 2 2 13 4 4" xfId="25248" xr:uid="{0774F863-049F-497C-9A81-59CA0A5BAD79}"/>
    <cellStyle name="Normal 2 2 13 4 5" xfId="14941" xr:uid="{9D586C60-AB7D-471D-9DEB-58BC88B4A903}"/>
    <cellStyle name="Normal 2 2 13 5" xfId="3921" xr:uid="{88D0797E-A6BF-4D0F-A6C0-FD36B77BCA0E}"/>
    <cellStyle name="Normal 2 2 13 5 2" xfId="8753" xr:uid="{03051166-9FC1-44DA-988E-9FADE5847749}"/>
    <cellStyle name="Normal 2 2 13 5 2 2" xfId="19133" xr:uid="{7E7697FE-260A-4D9E-AA2B-095703FCCC3B}"/>
    <cellStyle name="Normal 2 2 13 5 3" xfId="11586" xr:uid="{94226967-A082-4D5A-8487-E119D38878D8}"/>
    <cellStyle name="Normal 2 2 13 5 3 2" xfId="21966" xr:uid="{8E1EFF97-26F7-4B56-B54B-BA8AE98EEF0A}"/>
    <cellStyle name="Normal 2 2 13 5 4" xfId="28465" xr:uid="{C6513DD1-384B-4C82-BAD2-CE01468518F9}"/>
    <cellStyle name="Normal 2 2 13 5 5" xfId="16300" xr:uid="{CE55F6FE-2C4D-414D-8412-7E9EC598D893}"/>
    <cellStyle name="Normal 2 2 13 6" xfId="5073" xr:uid="{B3B3FD30-0DA2-4D0B-90F4-16E1CD25FDF6}"/>
    <cellStyle name="Normal 2 2 13 6 2" xfId="14370" xr:uid="{13419BAA-B656-4198-A9F7-5A4FD8DA4709}"/>
    <cellStyle name="Normal 2 2 13 7" xfId="6823" xr:uid="{CEB21734-C8F9-465C-B46A-FCCCCCE8CFCF}"/>
    <cellStyle name="Normal 2 2 13 7 2" xfId="17203" xr:uid="{706C0D92-3F15-4226-8081-848ED9C101B0}"/>
    <cellStyle name="Normal 2 2 13 8" xfId="9656" xr:uid="{C8721B46-B374-4413-9AE3-932F85723B3E}"/>
    <cellStyle name="Normal 2 2 13 8 2" xfId="20036" xr:uid="{FEB40EA4-6CE0-42DE-A328-4F68BE1326E9}"/>
    <cellStyle name="Normal 2 2 13 9" xfId="24745" xr:uid="{C60147FB-826F-443F-AA1A-C1D4BD123A46}"/>
    <cellStyle name="Normal 2 2 14" xfId="718" xr:uid="{00000000-0005-0000-0000-00007A040000}"/>
    <cellStyle name="Normal 2 2 14 2" xfId="3149" xr:uid="{00000000-0005-0000-0000-0000AA030000}"/>
    <cellStyle name="Normal 2 2 14 2 2" xfId="6207" xr:uid="{8F05DB9B-6A25-4038-B62A-F4C873DD9350}"/>
    <cellStyle name="Normal 2 2 14 2 2 2" xfId="28571" xr:uid="{33B1D394-50B2-48C6-8C60-F743ED085D4B}"/>
    <cellStyle name="Normal 2 2 14 2 2 3" xfId="15776" xr:uid="{9F35178A-3720-4778-B1B0-CC80F28CC6AB}"/>
    <cellStyle name="Normal 2 2 14 2 3" xfId="8229" xr:uid="{2044CE16-91FB-4D80-914A-CE644F87D8F4}"/>
    <cellStyle name="Normal 2 2 14 2 3 2" xfId="18609" xr:uid="{D2404AF2-005E-4188-9906-4F235B286828}"/>
    <cellStyle name="Normal 2 2 14 2 4" xfId="11062" xr:uid="{978E363D-3991-4448-883D-E2E7811566D6}"/>
    <cellStyle name="Normal 2 2 14 2 4 2" xfId="21442" xr:uid="{7CD9C325-1851-4180-A5CB-3E7F4E214531}"/>
    <cellStyle name="Normal 2 2 14 2 5" xfId="25280" xr:uid="{0E9922C5-37E1-4CFC-A1AD-C203AD371C98}"/>
    <cellStyle name="Normal 2 2 14 2 6" xfId="13684" xr:uid="{FA8C0126-C36E-4F2D-B7DC-A80CBCD032BF}"/>
    <cellStyle name="Normal 2 2 14 3" xfId="4114" xr:uid="{602DFCFD-72D5-44D7-ACF2-C21656B95719}"/>
    <cellStyle name="Normal 2 2 14 3 2" xfId="8886" xr:uid="{2CCE2982-B565-4F22-8E33-8D5CA20D7F6E}"/>
    <cellStyle name="Normal 2 2 14 3 2 2" xfId="29001" xr:uid="{2C74AD77-220B-4613-8EF4-23EA7DCE53B9}"/>
    <cellStyle name="Normal 2 2 14 3 2 3" xfId="19266" xr:uid="{CA98168B-B65C-4AA5-94DF-F59345996913}"/>
    <cellStyle name="Normal 2 2 14 3 3" xfId="11719" xr:uid="{78412A5D-245A-4544-97D0-24E00F40E1FB}"/>
    <cellStyle name="Normal 2 2 14 3 3 2" xfId="22099" xr:uid="{76B852D3-6881-4247-B526-76ED020D3A4D}"/>
    <cellStyle name="Normal 2 2 14 3 4" xfId="25692" xr:uid="{75B9DCA7-9735-49CB-B831-5B7CB6738F60}"/>
    <cellStyle name="Normal 2 2 14 3 5" xfId="16433" xr:uid="{0D9D12F8-7C95-49C3-93C2-5B61176932CC}"/>
    <cellStyle name="Normal 2 2 14 4" xfId="5074" xr:uid="{0FE830B5-3A30-4425-8BA3-1607EFF37B17}"/>
    <cellStyle name="Normal 2 2 14 4 2" xfId="25634" xr:uid="{CA7AE7FF-9709-40FF-9F56-95356DE17C7B}"/>
    <cellStyle name="Normal 2 2 14 4 3" xfId="26939" xr:uid="{C80C593B-D2C3-4351-A7D5-8F610999EDE7}"/>
    <cellStyle name="Normal 2 2 14 4 4" xfId="14371" xr:uid="{1BB74058-6697-4959-92B2-21F05B0323C1}"/>
    <cellStyle name="Normal 2 2 14 5" xfId="6824" xr:uid="{C93C6F00-7AA6-4DFD-83A2-657CD0BC4C50}"/>
    <cellStyle name="Normal 2 2 14 5 2" xfId="28718" xr:uid="{8A97C4F5-E096-4825-9758-77B6F6DA2CD0}"/>
    <cellStyle name="Normal 2 2 14 5 3" xfId="17204" xr:uid="{BE1AB2A4-25C8-48F8-AD75-90D61AD378D0}"/>
    <cellStyle name="Normal 2 2 14 6" xfId="9657" xr:uid="{74930A9B-473A-4A6C-8087-6DB80EE741A5}"/>
    <cellStyle name="Normal 2 2 14 6 2" xfId="20037" xr:uid="{24AF2EAD-E8F1-441C-8B69-9B4ADD7029B5}"/>
    <cellStyle name="Normal 2 2 14 7" xfId="25035" xr:uid="{BEC619D2-5B98-42AF-BBF7-4FB6E12567A9}"/>
    <cellStyle name="Normal 2 2 14 8" xfId="12657" xr:uid="{63162DEC-A129-4FF9-A03A-433E2293C74C}"/>
    <cellStyle name="Normal 2 2 15" xfId="719" xr:uid="{00000000-0005-0000-0000-00007B040000}"/>
    <cellStyle name="Normal 2 2 15 2" xfId="5075" xr:uid="{99306018-F539-426E-AFF6-71AB4177B221}"/>
    <cellStyle name="Normal 2 2 15 2 2" xfId="24898" xr:uid="{E75E3B17-5623-440A-8AC2-87E8488F28F8}"/>
    <cellStyle name="Normal 2 2 15 2 3" xfId="27594" xr:uid="{0DEC1CF2-4696-41D2-BDF1-5213B9DC73D4}"/>
    <cellStyle name="Normal 2 2 15 2 4" xfId="14372" xr:uid="{8A48EF3E-8497-433A-B4E0-FC09E0C9B29D}"/>
    <cellStyle name="Normal 2 2 15 3" xfId="6825" xr:uid="{2AFC4162-E263-4598-B568-AA1597C44A31}"/>
    <cellStyle name="Normal 2 2 15 3 2" xfId="23601" xr:uid="{25F08F60-A152-4AFF-9E13-906EB14A6DBF}"/>
    <cellStyle name="Normal 2 2 15 3 3" xfId="17205" xr:uid="{C4B807F5-A277-4249-AB06-7D0E0B3D6BF2}"/>
    <cellStyle name="Normal 2 2 15 4" xfId="9658" xr:uid="{F7968E4B-B502-4F1E-82C8-90DBD07CB023}"/>
    <cellStyle name="Normal 2 2 15 4 2" xfId="20038" xr:uid="{6CBDC6EB-DB76-4B70-AB04-21547ACF243C}"/>
    <cellStyle name="Normal 2 2 15 5" xfId="25483" xr:uid="{F089609E-A798-4813-922E-69531170DBF7}"/>
    <cellStyle name="Normal 2 2 15 6" xfId="13355" xr:uid="{1F482952-DA57-4E9F-823C-05C97A7B78EE}"/>
    <cellStyle name="Normal 2 2 16" xfId="2430" xr:uid="{00000000-0005-0000-0000-0000AC030000}"/>
    <cellStyle name="Normal 2 2 16 2" xfId="5727" xr:uid="{E66317E7-6FD0-4B91-B500-9D3330F0A614}"/>
    <cellStyle name="Normal 2 2 16 2 2" xfId="26391" xr:uid="{ABDA310A-0346-4DC4-984F-29ED74B584EF}"/>
    <cellStyle name="Normal 2 2 16 2 3" xfId="15102" xr:uid="{A6040207-EB44-4575-8EA9-C4CE90C60DC5}"/>
    <cellStyle name="Normal 2 2 16 3" xfId="7555" xr:uid="{1514F63C-9927-45A2-B5F6-B96FBA1E7225}"/>
    <cellStyle name="Normal 2 2 16 3 2" xfId="17935" xr:uid="{E0721F0A-358B-4AE8-9224-B0BFCC2F56D7}"/>
    <cellStyle name="Normal 2 2 16 4" xfId="10388" xr:uid="{FF4F799A-66E3-4F40-B618-37BB9F15E6A9}"/>
    <cellStyle name="Normal 2 2 16 4 2" xfId="20768" xr:uid="{C773C84F-6066-46CF-883F-384DBDBBE522}"/>
    <cellStyle name="Normal 2 2 16 5" xfId="25422" xr:uid="{A63BB850-207E-4F37-B731-B70170A9DB5E}"/>
    <cellStyle name="Normal 2 2 16 6" xfId="12816" xr:uid="{7EF3574B-DB58-4C59-B778-7C91746B762A}"/>
    <cellStyle name="Normal 2 2 17" xfId="2157" xr:uid="{00000000-0005-0000-0000-000095030000}"/>
    <cellStyle name="Normal 2 2 17 2" xfId="7284" xr:uid="{B4EC62D9-AF82-4025-970D-EA4C3E026774}"/>
    <cellStyle name="Normal 2 2 17 2 2" xfId="26238" xr:uid="{6DAF2BCE-0C86-4D88-9E2F-78E919AFD190}"/>
    <cellStyle name="Normal 2 2 17 2 3" xfId="17664" xr:uid="{1E015E8D-58DC-456F-BDFE-E140A635E965}"/>
    <cellStyle name="Normal 2 2 17 3" xfId="10117" xr:uid="{2EC4786D-A0A0-483A-9CB6-2C0C04AACC31}"/>
    <cellStyle name="Normal 2 2 17 3 2" xfId="20497" xr:uid="{0E6F1898-8781-4A3A-BF71-DBEE4D01B0BB}"/>
    <cellStyle name="Normal 2 2 17 4" xfId="23736" xr:uid="{A8D75A14-F8ED-4363-B00E-9520DBE2BB4B}"/>
    <cellStyle name="Normal 2 2 17 5" xfId="14831" xr:uid="{B1CA58E7-00A2-41F1-9A0F-BDFFC5AAD87E}"/>
    <cellStyle name="Normal 2 2 18" xfId="3780" xr:uid="{1A373675-4207-447F-B1B4-24466C74361E}"/>
    <cellStyle name="Normal 2 2 18 2" xfId="8620" xr:uid="{A213806B-ABAF-492B-B6D9-CA5737F09E61}"/>
    <cellStyle name="Normal 2 2 18 2 2" xfId="19000" xr:uid="{160AAC24-51E3-424E-AD27-F18D3F8AE720}"/>
    <cellStyle name="Normal 2 2 18 3" xfId="11453" xr:uid="{5ACF6E83-7460-44A6-9393-BEDF0BFE2652}"/>
    <cellStyle name="Normal 2 2 18 3 2" xfId="21833" xr:uid="{16E87DC4-FD90-46D1-A322-126D2F2E83E0}"/>
    <cellStyle name="Normal 2 2 18 4" xfId="24738" xr:uid="{AA2FF3AD-A4EF-4B36-8436-1AADB93BDB37}"/>
    <cellStyle name="Normal 2 2 18 5" xfId="16167" xr:uid="{AC157D38-856C-4580-B563-DCA32EBD428F}"/>
    <cellStyle name="Normal 2 2 19" xfId="5061" xr:uid="{BC3E59D0-D094-48BD-81F3-E96859DFE0F0}"/>
    <cellStyle name="Normal 2 2 19 2" xfId="14358" xr:uid="{AD30DF1C-1582-45A7-99EE-46D101CF8C51}"/>
    <cellStyle name="Normal 2 2 2" xfId="720" xr:uid="{00000000-0005-0000-0000-00007C040000}"/>
    <cellStyle name="Normal 2 2 2 2" xfId="29565" xr:uid="{0140F41A-A7F6-4E64-8D0A-7ADB50A575AD}"/>
    <cellStyle name="Normal 2 2 20" xfId="6811" xr:uid="{9AA093BE-465D-42F9-802A-DCF38D2C3E24}"/>
    <cellStyle name="Normal 2 2 20 2" xfId="17191" xr:uid="{B7BD99B6-0B8B-4E45-BB86-E9AAD9928BCD}"/>
    <cellStyle name="Normal 2 2 21" xfId="9644" xr:uid="{0A98CF2D-EF20-429F-B97D-47442972AF38}"/>
    <cellStyle name="Normal 2 2 21 2" xfId="20024" xr:uid="{A91E6670-104C-49CF-BFCC-DB2F2A80100C}"/>
    <cellStyle name="Normal 2 2 22" xfId="23645" xr:uid="{0A2E6619-5DD4-4182-B404-64DD36161338}"/>
    <cellStyle name="Normal 2 2 23" xfId="12388" xr:uid="{D5F2CF02-A24D-4B70-BA42-D7D7D8C7B161}"/>
    <cellStyle name="Normal 2 2 3" xfId="721" xr:uid="{00000000-0005-0000-0000-00007D040000}"/>
    <cellStyle name="Normal 2 2 4" xfId="722" xr:uid="{00000000-0005-0000-0000-00007E040000}"/>
    <cellStyle name="Normal 2 2 4 10" xfId="723" xr:uid="{00000000-0005-0000-0000-00007F040000}"/>
    <cellStyle name="Normal 2 2 4 10 2" xfId="3150" xr:uid="{00000000-0005-0000-0000-0000B1030000}"/>
    <cellStyle name="Normal 2 2 4 10 2 2" xfId="6208" xr:uid="{D7D969D3-4E61-4406-BF24-BF599DCF1FAF}"/>
    <cellStyle name="Normal 2 2 4 10 2 2 2" xfId="26540" xr:uid="{E88740FE-679A-4BE2-AB30-5E1E4717FB7B}"/>
    <cellStyle name="Normal 2 2 4 10 2 2 3" xfId="15777" xr:uid="{F38DC642-4549-412E-BBDA-A3A6DD21FAE8}"/>
    <cellStyle name="Normal 2 2 4 10 2 3" xfId="8230" xr:uid="{D6982DF3-9915-4EEC-9953-5C07FCBC40B5}"/>
    <cellStyle name="Normal 2 2 4 10 2 3 2" xfId="18610" xr:uid="{0946FFCE-0946-4566-BB07-7342E0525B8C}"/>
    <cellStyle name="Normal 2 2 4 10 2 4" xfId="11063" xr:uid="{526B7178-26B3-4B9F-BAE8-574354D1F0EB}"/>
    <cellStyle name="Normal 2 2 4 10 2 4 2" xfId="21443" xr:uid="{AC1455A0-CF64-4E90-A7EF-26CE4100BB90}"/>
    <cellStyle name="Normal 2 2 4 10 2 5" xfId="24283" xr:uid="{3C5BC3D8-8C4D-426E-8F06-8F3538AF29AB}"/>
    <cellStyle name="Normal 2 2 4 10 2 6" xfId="13685" xr:uid="{48B9F930-0C25-4581-8E69-79189B949E6F}"/>
    <cellStyle name="Normal 2 2 4 10 3" xfId="4156" xr:uid="{0FD2C3DC-255B-49BE-9FF6-4AC92C7D63F7}"/>
    <cellStyle name="Normal 2 2 4 10 3 2" xfId="8928" xr:uid="{80F2C0FB-F1DC-4258-AD0E-0DD06142707D}"/>
    <cellStyle name="Normal 2 2 4 10 3 2 2" xfId="29027" xr:uid="{37D72171-B24D-4194-B4D3-0A959E954D4C}"/>
    <cellStyle name="Normal 2 2 4 10 3 2 3" xfId="19308" xr:uid="{0681EC7E-E68D-4E35-B1B5-2655A10948DE}"/>
    <cellStyle name="Normal 2 2 4 10 3 3" xfId="11761" xr:uid="{FB782192-D2F5-470E-9650-80D7248ADBA5}"/>
    <cellStyle name="Normal 2 2 4 10 3 3 2" xfId="22141" xr:uid="{6E3AFC5A-8E1D-454F-B124-8B28C999AE87}"/>
    <cellStyle name="Normal 2 2 4 10 3 4" xfId="25697" xr:uid="{960F127A-99EC-4F61-836C-569C208D49CA}"/>
    <cellStyle name="Normal 2 2 4 10 3 5" xfId="16475" xr:uid="{9FDA4D38-87A1-433B-9B04-BCCC15C7061F}"/>
    <cellStyle name="Normal 2 2 4 10 4" xfId="5077" xr:uid="{1FCF3AF0-FBC6-4D63-B3BA-20A01A6167FF}"/>
    <cellStyle name="Normal 2 2 4 10 4 2" xfId="24033" xr:uid="{1E9FBC44-0CCC-4A72-9906-A1159634CC09}"/>
    <cellStyle name="Normal 2 2 4 10 4 3" xfId="26852" xr:uid="{C9EF5E2D-A247-4207-82D8-EEE74AFA64FD}"/>
    <cellStyle name="Normal 2 2 4 10 4 4" xfId="14374" xr:uid="{A90D1DCD-BBBB-4311-AE23-3B6BA1E3AF5D}"/>
    <cellStyle name="Normal 2 2 4 10 5" xfId="6827" xr:uid="{3A3629AD-74B0-46DD-930A-D13A43E4B5A8}"/>
    <cellStyle name="Normal 2 2 4 10 5 2" xfId="27194" xr:uid="{EE7C6482-5934-4C5E-8210-9C33C60F11DA}"/>
    <cellStyle name="Normal 2 2 4 10 5 3" xfId="17207" xr:uid="{2EA77B2A-9F6B-494B-9CDD-F0DCBF707307}"/>
    <cellStyle name="Normal 2 2 4 10 6" xfId="9660" xr:uid="{C57FB809-5FE2-45E4-ACDC-C1DBA03283E4}"/>
    <cellStyle name="Normal 2 2 4 10 6 2" xfId="20040" xr:uid="{CDB3F3D8-A21A-4F07-ADB0-05173762F68D}"/>
    <cellStyle name="Normal 2 2 4 10 7" xfId="22880" xr:uid="{5CF308C9-6D51-4643-9E2C-5CA6A840CF6A}"/>
    <cellStyle name="Normal 2 2 4 10 8" xfId="12712" xr:uid="{E7A9E7AD-6F08-45B4-9A3F-FF2B6DF2184A}"/>
    <cellStyle name="Normal 2 2 4 11" xfId="724" xr:uid="{00000000-0005-0000-0000-000080040000}"/>
    <cellStyle name="Normal 2 2 4 11 2" xfId="5078" xr:uid="{B2B51439-26A5-4C50-95D8-D9A322E62328}"/>
    <cellStyle name="Normal 2 2 4 11 2 2" xfId="25678" xr:uid="{C402C1D2-4423-4CDA-ADCF-C57202F1D021}"/>
    <cellStyle name="Normal 2 2 4 11 2 3" xfId="26359" xr:uid="{056DCAAC-24E9-43A1-82A6-0C9A315D56AD}"/>
    <cellStyle name="Normal 2 2 4 11 2 4" xfId="14375" xr:uid="{872521E7-6E08-4614-B377-4B95D2864DA4}"/>
    <cellStyle name="Normal 2 2 4 11 3" xfId="6828" xr:uid="{7C2751A7-702E-4DF4-9E80-C1AE00BF3135}"/>
    <cellStyle name="Normal 2 2 4 11 3 2" xfId="27643" xr:uid="{19F6A390-B923-463C-9013-7110AED7F8C9}"/>
    <cellStyle name="Normal 2 2 4 11 3 3" xfId="17208" xr:uid="{AC1AC1C8-1FF9-407E-943E-53543251EF25}"/>
    <cellStyle name="Normal 2 2 4 11 4" xfId="9661" xr:uid="{19073B8C-2791-4F34-812F-A2DE9320F133}"/>
    <cellStyle name="Normal 2 2 4 11 4 2" xfId="20041" xr:uid="{34810A10-8551-4547-9322-99F6D9A4A5EA}"/>
    <cellStyle name="Normal 2 2 4 11 5" xfId="23142" xr:uid="{416C81B3-0819-4BF8-9A30-32B0AC090322}"/>
    <cellStyle name="Normal 2 2 4 11 6" xfId="13410" xr:uid="{FC688F8D-7DA8-4750-8693-6F6C1C293274}"/>
    <cellStyle name="Normal 2 2 4 12" xfId="2437" xr:uid="{00000000-0005-0000-0000-0000B3030000}"/>
    <cellStyle name="Normal 2 2 4 12 2" xfId="5732" xr:uid="{1CA93B62-87E4-4705-96DD-F355FB40FC33}"/>
    <cellStyle name="Normal 2 2 4 12 2 2" xfId="27529" xr:uid="{693F9F83-E752-4F7D-B8DA-264691227F4E}"/>
    <cellStyle name="Normal 2 2 4 12 2 3" xfId="15109" xr:uid="{F5B0BC0C-3FEA-4385-B77E-05F42AF9B996}"/>
    <cellStyle name="Normal 2 2 4 12 3" xfId="7562" xr:uid="{D54A0966-299F-4FC9-8FED-1E10BBEC96F3}"/>
    <cellStyle name="Normal 2 2 4 12 3 2" xfId="17942" xr:uid="{26E2A7A7-1EAB-45EE-920C-AD013DF7E206}"/>
    <cellStyle name="Normal 2 2 4 12 4" xfId="10395" xr:uid="{C84F7657-F60B-4659-BC49-8D0BE4A04CC6}"/>
    <cellStyle name="Normal 2 2 4 12 4 2" xfId="20775" xr:uid="{5769F3AE-2EF9-48C9-AB5C-93E5211D5A0F}"/>
    <cellStyle name="Normal 2 2 4 12 5" xfId="24008" xr:uid="{FABCEE1E-7C42-4836-8C1F-79CA52228F4A}"/>
    <cellStyle name="Normal 2 2 4 12 6" xfId="12824" xr:uid="{676C421A-797B-4EB2-918A-9AC76E6E9645}"/>
    <cellStyle name="Normal 2 2 4 13" xfId="2167" xr:uid="{00000000-0005-0000-0000-0000AF030000}"/>
    <cellStyle name="Normal 2 2 4 13 2" xfId="7294" xr:uid="{F1BFA181-64C5-4E4A-ABD0-7974201F6931}"/>
    <cellStyle name="Normal 2 2 4 13 2 2" xfId="26398" xr:uid="{C5112DC9-9925-499D-B2E9-335E18D7B2D2}"/>
    <cellStyle name="Normal 2 2 4 13 2 3" xfId="17674" xr:uid="{F344F0F8-8DF6-4F0A-BAB4-42D5F92328BF}"/>
    <cellStyle name="Normal 2 2 4 13 3" xfId="10127" xr:uid="{E442D80D-08EC-4EAA-BC94-B6780007F958}"/>
    <cellStyle name="Normal 2 2 4 13 3 2" xfId="20507" xr:uid="{246E3730-AF31-49D0-A8E0-7E7785E2D887}"/>
    <cellStyle name="Normal 2 2 4 13 4" xfId="23599" xr:uid="{D26C7D18-001A-43BB-9815-B9CF2762C3E7}"/>
    <cellStyle name="Normal 2 2 4 13 5" xfId="14841" xr:uid="{A06D253D-74AA-4949-A3C4-488C2ED85076}"/>
    <cellStyle name="Normal 2 2 4 14" xfId="3927" xr:uid="{9224FE76-AF9F-40C7-9E4B-7A38724FA954}"/>
    <cellStyle name="Normal 2 2 4 14 2" xfId="8759" xr:uid="{6E95594E-0165-4B4D-ADF3-14A3EE4DDC8E}"/>
    <cellStyle name="Normal 2 2 4 14 2 2" xfId="19139" xr:uid="{2422C39E-40B6-44E7-8B83-F4CBD35700F8}"/>
    <cellStyle name="Normal 2 2 4 14 3" xfId="11592" xr:uid="{BC9F1DA9-C5F5-42AD-BD86-0A771A3DF603}"/>
    <cellStyle name="Normal 2 2 4 14 3 2" xfId="21972" xr:uid="{4D8611E8-F2C4-448E-BE12-76FC605A333A}"/>
    <cellStyle name="Normal 2 2 4 14 4" xfId="27370" xr:uid="{FE9CCE05-EF0F-418B-AE5C-0376211A82BB}"/>
    <cellStyle name="Normal 2 2 4 14 5" xfId="16306" xr:uid="{10BBC8C1-DA61-4642-8926-FA9976CAA80E}"/>
    <cellStyle name="Normal 2 2 4 15" xfId="5076" xr:uid="{3F321B4F-E47A-4304-B738-AE2327016E19}"/>
    <cellStyle name="Normal 2 2 4 15 2" xfId="14373" xr:uid="{AE14D018-34CD-4C44-BCC8-1E57CECF4998}"/>
    <cellStyle name="Normal 2 2 4 16" xfId="6826" xr:uid="{1BB3EEC8-AF94-4899-A302-68D57360357C}"/>
    <cellStyle name="Normal 2 2 4 16 2" xfId="17206" xr:uid="{A687550A-8C82-42DC-9A95-3E243EE3767B}"/>
    <cellStyle name="Normal 2 2 4 17" xfId="9659" xr:uid="{C6FCDE00-F4C5-44DE-844A-7083A1A96C98}"/>
    <cellStyle name="Normal 2 2 4 17 2" xfId="20039" xr:uid="{B61EA2A4-DD29-4E0D-90E6-932E4981EC6A}"/>
    <cellStyle name="Normal 2 2 4 18" xfId="23385" xr:uid="{E36E8115-6050-4A3E-9EF7-52F5E1BB4ED5}"/>
    <cellStyle name="Normal 2 2 4 19" xfId="12399" xr:uid="{7149CC92-E14B-4B1D-A89B-503FF7AF0A7B}"/>
    <cellStyle name="Normal 2 2 4 2" xfId="725" xr:uid="{00000000-0005-0000-0000-000081040000}"/>
    <cellStyle name="Normal 2 2 4 2 10" xfId="5079" xr:uid="{082F0210-4C72-422F-80F9-ACC646677EA2}"/>
    <cellStyle name="Normal 2 2 4 2 10 2" xfId="14376" xr:uid="{94822CAF-2092-49A9-B8CD-410DA0A1A116}"/>
    <cellStyle name="Normal 2 2 4 2 11" xfId="6829" xr:uid="{242FD371-17D0-477D-B9D8-109C3D143C7C}"/>
    <cellStyle name="Normal 2 2 4 2 11 2" xfId="17209" xr:uid="{065C0B98-270C-4FA0-BFD9-19E1970F6214}"/>
    <cellStyle name="Normal 2 2 4 2 12" xfId="9662" xr:uid="{9EC68AC5-DB34-4CC7-9026-D9E313DA6B00}"/>
    <cellStyle name="Normal 2 2 4 2 12 2" xfId="20042" xr:uid="{9D0222BA-8F09-45F6-B777-449CA78646CA}"/>
    <cellStyle name="Normal 2 2 4 2 13" xfId="24969" xr:uid="{0C738B10-8E93-4856-BCB1-B19FD7867AA7}"/>
    <cellStyle name="Normal 2 2 4 2 14" xfId="12422" xr:uid="{384D961C-EC37-4EA2-A57F-262696283CE4}"/>
    <cellStyle name="Normal 2 2 4 2 2" xfId="726" xr:uid="{00000000-0005-0000-0000-000082040000}"/>
    <cellStyle name="Normal 2 2 4 2 2 10" xfId="6830" xr:uid="{BE5F802E-0A33-4C0C-B22F-904F96F5C12D}"/>
    <cellStyle name="Normal 2 2 4 2 2 10 2" xfId="17210" xr:uid="{0E0A262A-9010-4CD1-BFCB-467216AADD64}"/>
    <cellStyle name="Normal 2 2 4 2 2 11" xfId="9663" xr:uid="{ABFE3BC2-408D-4C96-99C4-97DE3C927B68}"/>
    <cellStyle name="Normal 2 2 4 2 2 11 2" xfId="20043" xr:uid="{7F457473-275E-44E9-8293-D49E2EC6900B}"/>
    <cellStyle name="Normal 2 2 4 2 2 12" xfId="23568" xr:uid="{714019CF-C46E-40AB-935E-1D4B4ECBD1B9}"/>
    <cellStyle name="Normal 2 2 4 2 2 13" xfId="12482" xr:uid="{18DB36CC-DB17-43E4-811E-FC915DA0DCCC}"/>
    <cellStyle name="Normal 2 2 4 2 2 2" xfId="727" xr:uid="{00000000-0005-0000-0000-000083040000}"/>
    <cellStyle name="Normal 2 2 4 2 2 2 10" xfId="13047" xr:uid="{B75C6799-77DF-49EF-B0AB-0CAF2F2B5AA6}"/>
    <cellStyle name="Normal 2 2 4 2 2 2 2" xfId="2722" xr:uid="{00000000-0005-0000-0000-0000B7030000}"/>
    <cellStyle name="Normal 2 2 4 2 2 2 2 2" xfId="3153" xr:uid="{00000000-0005-0000-0000-0000B8030000}"/>
    <cellStyle name="Normal 2 2 4 2 2 2 2 2 2" xfId="6211" xr:uid="{2699C163-FD31-4EAE-A8F7-B64A6502ECF7}"/>
    <cellStyle name="Normal 2 2 4 2 2 2 2 2 2 2" xfId="27310" xr:uid="{979CD163-8371-46E5-A003-E51E3D7A9388}"/>
    <cellStyle name="Normal 2 2 4 2 2 2 2 2 2 3" xfId="15780" xr:uid="{F6DCBA35-A6CE-45ED-8A34-3DB0D43A58A2}"/>
    <cellStyle name="Normal 2 2 4 2 2 2 2 2 3" xfId="8233" xr:uid="{F0D0C146-855C-4C83-8150-0B386D5B8ED4}"/>
    <cellStyle name="Normal 2 2 4 2 2 2 2 2 3 2" xfId="18613" xr:uid="{6399A8DE-701C-4DB0-91AB-D921947BE8E1}"/>
    <cellStyle name="Normal 2 2 4 2 2 2 2 2 4" xfId="11066" xr:uid="{1E9C24A1-9573-4B38-8468-E68552F1F4BA}"/>
    <cellStyle name="Normal 2 2 4 2 2 2 2 2 4 2" xfId="21446" xr:uid="{6EA31103-5C99-4B3E-AD13-B9D29EBA98AE}"/>
    <cellStyle name="Normal 2 2 4 2 2 2 2 2 5" xfId="25299" xr:uid="{2DD1FCC2-D5B0-44E4-80A1-FF322D89482A}"/>
    <cellStyle name="Normal 2 2 4 2 2 2 2 2 6" xfId="13688" xr:uid="{00D91A39-C71B-4EF1-940F-2B85EFA0B76C}"/>
    <cellStyle name="Normal 2 2 4 2 2 2 2 3" xfId="4289" xr:uid="{EB4C999B-FD68-43F3-85D7-E9F10D41EA3E}"/>
    <cellStyle name="Normal 2 2 4 2 2 2 2 3 2" xfId="9061" xr:uid="{D55F9012-33D5-4D08-A084-FDFFB9E1BD7C}"/>
    <cellStyle name="Normal 2 2 4 2 2 2 2 3 2 2" xfId="29104" xr:uid="{0037F71B-AF57-417B-B0C1-9187E1724F27}"/>
    <cellStyle name="Normal 2 2 4 2 2 2 2 3 2 3" xfId="19441" xr:uid="{35B5BCF0-9220-4EAF-8043-00F118D02DCA}"/>
    <cellStyle name="Normal 2 2 4 2 2 2 2 3 3" xfId="11894" xr:uid="{15FFEA8F-AD61-42BA-B4DF-77F494056622}"/>
    <cellStyle name="Normal 2 2 4 2 2 2 2 3 3 2" xfId="22274" xr:uid="{DDAA0DAD-3748-447D-859F-158EAAB2B3D1}"/>
    <cellStyle name="Normal 2 2 4 2 2 2 2 3 4" xfId="25557" xr:uid="{88F7A1A7-A134-4BD9-BEF1-7FA3B8A59D87}"/>
    <cellStyle name="Normal 2 2 4 2 2 2 2 3 5" xfId="16608" xr:uid="{EB03052E-F658-45EF-B3DB-852A4C7BB8AE}"/>
    <cellStyle name="Normal 2 2 4 2 2 2 2 4" xfId="5940" xr:uid="{CB7445F3-EDE3-4EE8-B6F9-3A408AAD304B}"/>
    <cellStyle name="Normal 2 2 4 2 2 2 2 4 2" xfId="26545" xr:uid="{88071224-704B-408D-9737-7F52197591E3}"/>
    <cellStyle name="Normal 2 2 4 2 2 2 2 4 3" xfId="15393" xr:uid="{78E75524-9F07-495E-8BF3-3BAF4F5DD576}"/>
    <cellStyle name="Normal 2 2 4 2 2 2 2 5" xfId="7846" xr:uid="{5D107997-4F67-464D-A286-B2B2A0262103}"/>
    <cellStyle name="Normal 2 2 4 2 2 2 2 5 2" xfId="18226" xr:uid="{AA40D164-9E2D-4A13-910B-3D371DE141C5}"/>
    <cellStyle name="Normal 2 2 4 2 2 2 2 6" xfId="10679" xr:uid="{18926BE6-A7E2-4432-B7DE-3E917506226E}"/>
    <cellStyle name="Normal 2 2 4 2 2 2 2 6 2" xfId="21059" xr:uid="{5DB5DD18-242B-488B-BD94-C1C85C86F788}"/>
    <cellStyle name="Normal 2 2 4 2 2 2 2 7" xfId="23628" xr:uid="{83E0FFC2-481C-45AE-8A7D-75DA91E86A48}"/>
    <cellStyle name="Normal 2 2 4 2 2 2 2 8" xfId="13151" xr:uid="{C5B5A001-DC74-4D19-AFCD-13258C952985}"/>
    <cellStyle name="Normal 2 2 4 2 2 2 3" xfId="3154" xr:uid="{00000000-0005-0000-0000-0000B9030000}"/>
    <cellStyle name="Normal 2 2 4 2 2 2 3 2" xfId="4453" xr:uid="{4A97CEB2-5003-4355-8B57-CF23B36F416D}"/>
    <cellStyle name="Normal 2 2 4 2 2 2 3 2 2" xfId="9225" xr:uid="{F5720346-86C9-4C63-BA2E-BAE188667089}"/>
    <cellStyle name="Normal 2 2 4 2 2 2 3 2 2 2" xfId="19605" xr:uid="{9305AE05-2DFF-4B0F-A9D4-8809704FA2E9}"/>
    <cellStyle name="Normal 2 2 4 2 2 2 3 2 3" xfId="12058" xr:uid="{ECFF396C-25C3-49B8-AA48-4D7D1EBC0BDB}"/>
    <cellStyle name="Normal 2 2 4 2 2 2 3 2 3 2" xfId="22438" xr:uid="{2BC92043-679A-4766-9259-2405F2EA928F}"/>
    <cellStyle name="Normal 2 2 4 2 2 2 3 2 4" xfId="26058" xr:uid="{ED0E0944-5CEF-4C9C-AA0F-E258430D90A9}"/>
    <cellStyle name="Normal 2 2 4 2 2 2 3 2 5" xfId="16772" xr:uid="{55BE370F-B348-471C-8745-E120F97BE2A0}"/>
    <cellStyle name="Normal 2 2 4 2 2 2 3 3" xfId="6212" xr:uid="{CF2B2C7D-8D4A-4128-AE44-E970B94FCAE1}"/>
    <cellStyle name="Normal 2 2 4 2 2 2 3 3 2" xfId="15781" xr:uid="{B75D01FD-8740-465A-8152-A77BC1D4819D}"/>
    <cellStyle name="Normal 2 2 4 2 2 2 3 4" xfId="8234" xr:uid="{CEBD421D-9A20-422F-AC86-CA9DEA90F093}"/>
    <cellStyle name="Normal 2 2 4 2 2 2 3 4 2" xfId="18614" xr:uid="{1B2C86E2-3FE6-4F5C-BA72-F9B27B3FBC4B}"/>
    <cellStyle name="Normal 2 2 4 2 2 2 3 5" xfId="11067" xr:uid="{505C8031-27A6-4614-A3C4-177C0D99977D}"/>
    <cellStyle name="Normal 2 2 4 2 2 2 3 5 2" xfId="21447" xr:uid="{4C04D953-6EF7-4BBC-BA46-8EFDD1D1EA4D}"/>
    <cellStyle name="Normal 2 2 4 2 2 2 3 6" xfId="24288" xr:uid="{171037B2-2BB0-4C29-BBCE-68189D2748E9}"/>
    <cellStyle name="Normal 2 2 4 2 2 2 3 7" xfId="13689" xr:uid="{271CF764-F5C9-47CB-857B-A73B69E6962C}"/>
    <cellStyle name="Normal 2 2 4 2 2 2 4" xfId="3152" xr:uid="{00000000-0005-0000-0000-0000BA030000}"/>
    <cellStyle name="Normal 2 2 4 2 2 2 4 2" xfId="6210" xr:uid="{E91A0431-FCC1-463D-BD9C-F55AA905BE01}"/>
    <cellStyle name="Normal 2 2 4 2 2 2 4 2 2" xfId="27582" xr:uid="{7798AA59-ECF7-4EA6-AE66-36AF8239076A}"/>
    <cellStyle name="Normal 2 2 4 2 2 2 4 2 3" xfId="15779" xr:uid="{3D255CEF-B0D7-4594-8D79-B28B7B704CE7}"/>
    <cellStyle name="Normal 2 2 4 2 2 2 4 3" xfId="8232" xr:uid="{0CD3A607-C712-4534-B9B7-8F82DE39D3A1}"/>
    <cellStyle name="Normal 2 2 4 2 2 2 4 3 2" xfId="18612" xr:uid="{847B1C1E-5B45-4EA7-9A71-E2F0ED75139E}"/>
    <cellStyle name="Normal 2 2 4 2 2 2 4 4" xfId="11065" xr:uid="{314174BA-CE9E-4BBB-86B5-4BE1B74BFD55}"/>
    <cellStyle name="Normal 2 2 4 2 2 2 4 4 2" xfId="21445" xr:uid="{BF5AEE3C-78FF-46DD-B096-C3648047178D}"/>
    <cellStyle name="Normal 2 2 4 2 2 2 4 5" xfId="24463" xr:uid="{CE55173A-4A4F-4D6C-9EB6-0BBA474A68A0}"/>
    <cellStyle name="Normal 2 2 4 2 2 2 4 6" xfId="13687" xr:uid="{BBE612DB-E7AA-4BE9-B15F-44A38468F16D}"/>
    <cellStyle name="Normal 2 2 4 2 2 2 5" xfId="4246" xr:uid="{A5837D72-58FA-4ACE-83A8-4C32A870CADD}"/>
    <cellStyle name="Normal 2 2 4 2 2 2 5 2" xfId="9018" xr:uid="{3911FCCB-8233-454F-8863-A3272D932E7B}"/>
    <cellStyle name="Normal 2 2 4 2 2 2 5 2 2" xfId="29089" xr:uid="{559997CF-28FA-4C70-AEF7-995D956D328F}"/>
    <cellStyle name="Normal 2 2 4 2 2 2 5 2 3" xfId="19398" xr:uid="{6AA6EA60-8522-44FD-82C6-A119F68309F5}"/>
    <cellStyle name="Normal 2 2 4 2 2 2 5 3" xfId="11851" xr:uid="{E81DFAA3-3FDC-4207-982E-6BBCB881398F}"/>
    <cellStyle name="Normal 2 2 4 2 2 2 5 3 2" xfId="22231" xr:uid="{F4A4E475-A61A-492B-AD1A-F651E84955C9}"/>
    <cellStyle name="Normal 2 2 4 2 2 2 5 4" xfId="23356" xr:uid="{4A63525E-46BF-4176-BD63-81BE8045E9C6}"/>
    <cellStyle name="Normal 2 2 4 2 2 2 5 5" xfId="16565" xr:uid="{B6518A45-8C55-4D40-819C-2C376C91C8EE}"/>
    <cellStyle name="Normal 2 2 4 2 2 2 6" xfId="5081" xr:uid="{47FC8CF6-B486-4972-BA38-F5EDBBDDAC10}"/>
    <cellStyle name="Normal 2 2 4 2 2 2 6 2" xfId="28157" xr:uid="{9FFF3425-5AF2-4761-BE08-7EC4173D3F76}"/>
    <cellStyle name="Normal 2 2 4 2 2 2 6 3" xfId="14378" xr:uid="{335F4B5E-37F6-4AD8-9623-4B17805DE4A7}"/>
    <cellStyle name="Normal 2 2 4 2 2 2 7" xfId="6831" xr:uid="{EBF1790C-9A9E-4FDA-99F8-75F26B66D02D}"/>
    <cellStyle name="Normal 2 2 4 2 2 2 7 2" xfId="17211" xr:uid="{2C60DF07-AFD6-4899-B1D4-DE65F15B1770}"/>
    <cellStyle name="Normal 2 2 4 2 2 2 8" xfId="9664" xr:uid="{C51E09DB-C633-47B9-8D83-AA8B5E1C1EF6}"/>
    <cellStyle name="Normal 2 2 4 2 2 2 8 2" xfId="20044" xr:uid="{B55AE1A0-B807-4104-AD5F-DF983DAA81AF}"/>
    <cellStyle name="Normal 2 2 4 2 2 2 9" xfId="23563" xr:uid="{2519DEBA-4290-4708-B313-1F513235CCFB}"/>
    <cellStyle name="Normal 2 2 4 2 2 3" xfId="2721" xr:uid="{00000000-0005-0000-0000-0000BB030000}"/>
    <cellStyle name="Normal 2 2 4 2 2 3 2" xfId="3155" xr:uid="{00000000-0005-0000-0000-0000BC030000}"/>
    <cellStyle name="Normal 2 2 4 2 2 3 2 2" xfId="6213" xr:uid="{E71CCDBE-A511-45EC-9137-4294D00A3932}"/>
    <cellStyle name="Normal 2 2 4 2 2 3 2 2 2" xfId="25955" xr:uid="{622D5F88-FF21-4BA9-ADB2-3C2824DEFF04}"/>
    <cellStyle name="Normal 2 2 4 2 2 3 2 2 3" xfId="15782" xr:uid="{7866CC56-376B-4590-9306-7811498CB6B8}"/>
    <cellStyle name="Normal 2 2 4 2 2 3 2 3" xfId="8235" xr:uid="{07E27873-EAB3-4DFE-8C19-8F30AA3B3052}"/>
    <cellStyle name="Normal 2 2 4 2 2 3 2 3 2" xfId="18615" xr:uid="{AF9E421E-67EC-4F27-9E84-047FCB4FE572}"/>
    <cellStyle name="Normal 2 2 4 2 2 3 2 4" xfId="11068" xr:uid="{023DF42C-3068-40E6-BBA8-6E262468578C}"/>
    <cellStyle name="Normal 2 2 4 2 2 3 2 4 2" xfId="21448" xr:uid="{7174D068-6883-470E-A0A5-DA37122A2777}"/>
    <cellStyle name="Normal 2 2 4 2 2 3 2 5" xfId="23927" xr:uid="{2562E55E-8274-403D-B64C-DC58F9E1C9E8}"/>
    <cellStyle name="Normal 2 2 4 2 2 3 2 6" xfId="13690" xr:uid="{B836E300-9378-4951-82EB-4DDBB1393F70}"/>
    <cellStyle name="Normal 2 2 4 2 2 3 3" xfId="4288" xr:uid="{532B6416-E1AF-42E2-83CC-09B1192EA672}"/>
    <cellStyle name="Normal 2 2 4 2 2 3 3 2" xfId="9060" xr:uid="{EC143838-7391-4B15-9DD0-BA807430AB81}"/>
    <cellStyle name="Normal 2 2 4 2 2 3 3 2 2" xfId="29103" xr:uid="{7F65475A-E3E1-406B-890B-AEFDBE121E83}"/>
    <cellStyle name="Normal 2 2 4 2 2 3 3 2 3" xfId="19440" xr:uid="{0F5C69B9-7445-41F9-930F-53777E6EAC14}"/>
    <cellStyle name="Normal 2 2 4 2 2 3 3 3" xfId="11893" xr:uid="{468137D7-7E07-42F8-910E-692041FBE6F2}"/>
    <cellStyle name="Normal 2 2 4 2 2 3 3 3 2" xfId="22273" xr:uid="{33261F64-5DDC-4BB0-9A2A-BD3F4E05BDBB}"/>
    <cellStyle name="Normal 2 2 4 2 2 3 3 4" xfId="23532" xr:uid="{AC9474BA-6BE0-4E77-90A2-7F6257FC8D5C}"/>
    <cellStyle name="Normal 2 2 4 2 2 3 3 5" xfId="16607" xr:uid="{DE13A975-C627-4FF1-B28C-7DEB8A7E81CB}"/>
    <cellStyle name="Normal 2 2 4 2 2 3 4" xfId="5939" xr:uid="{F1175C17-8A92-44F1-B138-AC745586A597}"/>
    <cellStyle name="Normal 2 2 4 2 2 3 4 2" xfId="28185" xr:uid="{5AEBB01A-7D83-4CAE-99D5-D5C0545F0400}"/>
    <cellStyle name="Normal 2 2 4 2 2 3 4 3" xfId="15392" xr:uid="{F668E040-A025-46A1-8A8E-AA168A3620CF}"/>
    <cellStyle name="Normal 2 2 4 2 2 3 5" xfId="7845" xr:uid="{5A74DDD8-F7C1-4489-B7BF-C018EF908A51}"/>
    <cellStyle name="Normal 2 2 4 2 2 3 5 2" xfId="18225" xr:uid="{D5AE22DE-B013-4403-96C7-3EBF811005EA}"/>
    <cellStyle name="Normal 2 2 4 2 2 3 6" xfId="10678" xr:uid="{5F3C90A9-0021-45AF-A681-54A1EC48DD82}"/>
    <cellStyle name="Normal 2 2 4 2 2 3 6 2" xfId="21058" xr:uid="{1B7B70CA-7443-44A0-8740-97A89863AA0C}"/>
    <cellStyle name="Normal 2 2 4 2 2 3 7" xfId="23377" xr:uid="{254CF21A-F962-4C43-844D-B0F1B8A8A487}"/>
    <cellStyle name="Normal 2 2 4 2 2 3 8" xfId="13150" xr:uid="{90D1D134-855A-4F6D-BAE2-F2146545F8C0}"/>
    <cellStyle name="Normal 2 2 4 2 2 4" xfId="3156" xr:uid="{00000000-0005-0000-0000-0000BD030000}"/>
    <cellStyle name="Normal 2 2 4 2 2 4 2" xfId="4454" xr:uid="{D31ECB7F-F17E-42F8-B936-3BE6C6095BEC}"/>
    <cellStyle name="Normal 2 2 4 2 2 4 2 2" xfId="9226" xr:uid="{EB4AD320-1ECF-4D1E-9848-5956DEAE50ED}"/>
    <cellStyle name="Normal 2 2 4 2 2 4 2 2 2" xfId="19606" xr:uid="{57484C8E-A8FE-4895-934A-C9451297BB0C}"/>
    <cellStyle name="Normal 2 2 4 2 2 4 2 3" xfId="12059" xr:uid="{15235E2B-8571-4A74-A144-F9D9E0AA927E}"/>
    <cellStyle name="Normal 2 2 4 2 2 4 2 3 2" xfId="22439" xr:uid="{5C86E97E-7370-44AF-86BD-20021B9D7D69}"/>
    <cellStyle name="Normal 2 2 4 2 2 4 2 4" xfId="25897" xr:uid="{854538DB-A2EA-425F-AFD9-5652C6107723}"/>
    <cellStyle name="Normal 2 2 4 2 2 4 2 5" xfId="16773" xr:uid="{CF930C04-3313-4181-A114-8330FD14F551}"/>
    <cellStyle name="Normal 2 2 4 2 2 4 3" xfId="6214" xr:uid="{CD40CAC9-9E42-4AC8-85F3-B5103FCCDD0D}"/>
    <cellStyle name="Normal 2 2 4 2 2 4 3 2" xfId="15783" xr:uid="{8780E0F3-6CDD-4337-BAE4-EB9EB4BE57C6}"/>
    <cellStyle name="Normal 2 2 4 2 2 4 4" xfId="8236" xr:uid="{F075D409-C758-4478-B09B-E66243D7D14C}"/>
    <cellStyle name="Normal 2 2 4 2 2 4 4 2" xfId="18616" xr:uid="{12B53BBF-199C-4CAD-96D3-C0B66EAD64E8}"/>
    <cellStyle name="Normal 2 2 4 2 2 4 5" xfId="11069" xr:uid="{5A0534AB-A9DA-46E2-B0AE-4C734142AB01}"/>
    <cellStyle name="Normal 2 2 4 2 2 4 5 2" xfId="21449" xr:uid="{E11B5D29-5E1D-482A-80F9-DD81AAE2A100}"/>
    <cellStyle name="Normal 2 2 4 2 2 4 6" xfId="22836" xr:uid="{F355649C-0759-4C44-A8E7-F4F596869D20}"/>
    <cellStyle name="Normal 2 2 4 2 2 4 7" xfId="13691" xr:uid="{DBA412D2-DB80-4C7A-BC79-A8E74C2F9856}"/>
    <cellStyle name="Normal 2 2 4 2 2 5" xfId="3151" xr:uid="{00000000-0005-0000-0000-0000BE030000}"/>
    <cellStyle name="Normal 2 2 4 2 2 5 2" xfId="6209" xr:uid="{618D1D94-107E-44CF-AA1E-6A06B104CAE9}"/>
    <cellStyle name="Normal 2 2 4 2 2 5 2 2" xfId="26461" xr:uid="{A029499B-D5E3-44F3-8A69-9F2DCF13D404}"/>
    <cellStyle name="Normal 2 2 4 2 2 5 2 3" xfId="15778" xr:uid="{6F6DB294-D076-489F-BC5F-91BDF121C51B}"/>
    <cellStyle name="Normal 2 2 4 2 2 5 3" xfId="8231" xr:uid="{ACE1619D-C6AC-4A41-959F-78832DFE1FFD}"/>
    <cellStyle name="Normal 2 2 4 2 2 5 3 2" xfId="18611" xr:uid="{E47AD77C-F5DF-4D81-B6BE-C15CCB65D6D6}"/>
    <cellStyle name="Normal 2 2 4 2 2 5 4" xfId="11064" xr:uid="{0FA6119F-1A0C-487E-82A8-BDBD6597F767}"/>
    <cellStyle name="Normal 2 2 4 2 2 5 4 2" xfId="21444" xr:uid="{3E9CFA26-34F8-41EF-BF82-4D42604E8B93}"/>
    <cellStyle name="Normal 2 2 4 2 2 5 5" xfId="23451" xr:uid="{12EE21C7-E8D0-43FF-8A01-E77B1BB12DFE}"/>
    <cellStyle name="Normal 2 2 4 2 2 5 6" xfId="13686" xr:uid="{6EAC6775-9A55-4C60-A018-12D794A91A63}"/>
    <cellStyle name="Normal 2 2 4 2 2 6" xfId="2556" xr:uid="{00000000-0005-0000-0000-0000BF030000}"/>
    <cellStyle name="Normal 2 2 4 2 2 6 2" xfId="5826" xr:uid="{F2196EFF-4174-4140-908D-57A5DEF88B4E}"/>
    <cellStyle name="Normal 2 2 4 2 2 6 2 2" xfId="27747" xr:uid="{5FCDB675-1C76-42FB-920F-6D13460C5D38}"/>
    <cellStyle name="Normal 2 2 4 2 2 6 2 3" xfId="15228" xr:uid="{B4005584-B072-4CB9-84C6-79406B33ECF4}"/>
    <cellStyle name="Normal 2 2 4 2 2 6 3" xfId="7681" xr:uid="{BE402371-848C-4CE7-9765-6C156D82E772}"/>
    <cellStyle name="Normal 2 2 4 2 2 6 3 2" xfId="18061" xr:uid="{9F3895C7-4D6D-47E6-B687-46076222C947}"/>
    <cellStyle name="Normal 2 2 4 2 2 6 4" xfId="10514" xr:uid="{7AE1DE80-25B3-4C00-97DF-DBD27601E652}"/>
    <cellStyle name="Normal 2 2 4 2 2 6 4 2" xfId="20894" xr:uid="{8721C51B-DFE3-4D00-B8EC-56FC3E931C64}"/>
    <cellStyle name="Normal 2 2 4 2 2 6 5" xfId="25580" xr:uid="{FEE6F374-2430-40BD-B012-CC0B8883E86E}"/>
    <cellStyle name="Normal 2 2 4 2 2 6 6" xfId="12944" xr:uid="{B721A15B-6509-477A-A1E0-530863601813}"/>
    <cellStyle name="Normal 2 2 4 2 2 7" xfId="2250" xr:uid="{00000000-0005-0000-0000-0000B5030000}"/>
    <cellStyle name="Normal 2 2 4 2 2 7 2" xfId="7377" xr:uid="{7322D2C7-5B3C-4E9C-94C9-09023A49B850}"/>
    <cellStyle name="Normal 2 2 4 2 2 7 2 2" xfId="17757" xr:uid="{CEAE7E0A-B11D-4CA8-BE3C-D1FD62F72706}"/>
    <cellStyle name="Normal 2 2 4 2 2 7 3" xfId="10210" xr:uid="{4DC9D3FD-899D-439E-9756-E8909AD65FD1}"/>
    <cellStyle name="Normal 2 2 4 2 2 7 3 2" xfId="20590" xr:uid="{720FB1B8-01B7-4754-AD97-FAF561815584}"/>
    <cellStyle name="Normal 2 2 4 2 2 7 4" xfId="22961" xr:uid="{3D743B37-7539-46DD-89B6-0C47060567BC}"/>
    <cellStyle name="Normal 2 2 4 2 2 7 5" xfId="14924" xr:uid="{47E46C3A-2B1A-4572-BFD4-D629EC5B57FE}"/>
    <cellStyle name="Normal 2 2 4 2 2 8" xfId="3801" xr:uid="{6A30176C-DD0C-4612-B71D-4A3D00BA024F}"/>
    <cellStyle name="Normal 2 2 4 2 2 8 2" xfId="8637" xr:uid="{4056E821-8729-4119-BA4D-378C7358BEC6}"/>
    <cellStyle name="Normal 2 2 4 2 2 8 2 2" xfId="19017" xr:uid="{9637E5B6-D8FE-4263-B9A5-367EB34CF628}"/>
    <cellStyle name="Normal 2 2 4 2 2 8 3" xfId="11470" xr:uid="{5818410A-B52B-47AC-A336-512452EFCCB4}"/>
    <cellStyle name="Normal 2 2 4 2 2 8 3 2" xfId="21850" xr:uid="{D76487B1-A11A-4A1F-9C3C-E8DB63A10ED6}"/>
    <cellStyle name="Normal 2 2 4 2 2 8 4" xfId="16184" xr:uid="{9BE97DD1-8084-482A-BECD-99F93C470751}"/>
    <cellStyle name="Normal 2 2 4 2 2 9" xfId="5080" xr:uid="{1236D320-5B06-4478-AAF3-4B2E5BE0E489}"/>
    <cellStyle name="Normal 2 2 4 2 2 9 2" xfId="14377" xr:uid="{8DBF017B-9133-4929-8C04-9A8AA0829C93}"/>
    <cellStyle name="Normal 2 2 4 2 3" xfId="728" xr:uid="{00000000-0005-0000-0000-000084040000}"/>
    <cellStyle name="Normal 2 2 4 2 3 10" xfId="9665" xr:uid="{137A06F2-9AAE-40E7-AE22-97F5F1BE99E1}"/>
    <cellStyle name="Normal 2 2 4 2 3 10 2" xfId="20045" xr:uid="{025ED9FD-5072-439D-9430-47E4292AD7C9}"/>
    <cellStyle name="Normal 2 2 4 2 3 11" xfId="23041" xr:uid="{235C0F80-384A-419B-9486-8C753C5A3951}"/>
    <cellStyle name="Normal 2 2 4 2 3 12" xfId="12555" xr:uid="{28B82401-46F6-4C42-B730-CD28F76A03E8}"/>
    <cellStyle name="Normal 2 2 4 2 3 2" xfId="2723" xr:uid="{00000000-0005-0000-0000-0000C1030000}"/>
    <cellStyle name="Normal 2 2 4 2 3 2 2" xfId="3158" xr:uid="{00000000-0005-0000-0000-0000C2030000}"/>
    <cellStyle name="Normal 2 2 4 2 3 2 2 2" xfId="6216" xr:uid="{66D33B85-2A81-416A-AD46-3B9315192992}"/>
    <cellStyle name="Normal 2 2 4 2 3 2 2 2 2" xfId="27855" xr:uid="{5E967662-6A04-49F4-879A-7449CBCEE179}"/>
    <cellStyle name="Normal 2 2 4 2 3 2 2 2 3" xfId="15785" xr:uid="{C8D5E1CE-4F41-4562-A8EF-D042F4D4BC44}"/>
    <cellStyle name="Normal 2 2 4 2 3 2 2 3" xfId="8238" xr:uid="{AB7EDDB6-A68C-452D-9EB7-082C7E72F8C3}"/>
    <cellStyle name="Normal 2 2 4 2 3 2 2 3 2" xfId="18618" xr:uid="{C40C6339-F8E8-4409-8B71-362FA6BA542A}"/>
    <cellStyle name="Normal 2 2 4 2 3 2 2 4" xfId="11071" xr:uid="{D7010550-EAA3-458B-9CDD-2BE9418C860F}"/>
    <cellStyle name="Normal 2 2 4 2 3 2 2 4 2" xfId="21451" xr:uid="{C71421EA-067D-41C4-B02B-C20DD3DCA8A1}"/>
    <cellStyle name="Normal 2 2 4 2 3 2 2 5" xfId="23766" xr:uid="{ABC7261B-63A8-4DA9-9D02-BAAAA1BD8FFD}"/>
    <cellStyle name="Normal 2 2 4 2 3 2 2 6" xfId="13693" xr:uid="{A73CA4DE-74D7-4551-81AD-B5E01A232169}"/>
    <cellStyle name="Normal 2 2 4 2 3 2 3" xfId="4290" xr:uid="{BD3BFC28-8A02-4D45-BB9E-50A4D3B84292}"/>
    <cellStyle name="Normal 2 2 4 2 3 2 3 2" xfId="9062" xr:uid="{CD90A5CA-7C3C-4B16-9B47-4B8052078D1C}"/>
    <cellStyle name="Normal 2 2 4 2 3 2 3 2 2" xfId="29105" xr:uid="{30107FE3-C4A2-41B7-A790-77D344D282FC}"/>
    <cellStyle name="Normal 2 2 4 2 3 2 3 2 3" xfId="19442" xr:uid="{427E193C-89AF-4104-A9DD-86A5CE8C51A8}"/>
    <cellStyle name="Normal 2 2 4 2 3 2 3 3" xfId="11895" xr:uid="{0DDEC6CD-D410-4905-9F0A-2B8F9BFB81E3}"/>
    <cellStyle name="Normal 2 2 4 2 3 2 3 3 2" xfId="22275" xr:uid="{F678408C-20CD-4456-A14D-365F845CF170}"/>
    <cellStyle name="Normal 2 2 4 2 3 2 3 4" xfId="24573" xr:uid="{A6A98DBF-49BB-4916-8A98-E19DC87ABACC}"/>
    <cellStyle name="Normal 2 2 4 2 3 2 3 5" xfId="16609" xr:uid="{5917F770-B013-4C4C-A0FD-558297F36532}"/>
    <cellStyle name="Normal 2 2 4 2 3 2 4" xfId="5941" xr:uid="{1C5B2A3E-FF54-48BD-8D3B-9A7F4AACF0C8}"/>
    <cellStyle name="Normal 2 2 4 2 3 2 4 2" xfId="28136" xr:uid="{7131533B-38BF-4DFE-9DB1-42DCA1AC2C3E}"/>
    <cellStyle name="Normal 2 2 4 2 3 2 4 3" xfId="15394" xr:uid="{89A5315B-242A-4C32-8140-3E3AD5692490}"/>
    <cellStyle name="Normal 2 2 4 2 3 2 5" xfId="7847" xr:uid="{F0B5BE23-5203-4072-A38A-0F1423B4EA2D}"/>
    <cellStyle name="Normal 2 2 4 2 3 2 5 2" xfId="18227" xr:uid="{3FF81DB4-D6A0-44B5-8826-DCB93F432D0C}"/>
    <cellStyle name="Normal 2 2 4 2 3 2 6" xfId="10680" xr:uid="{7228B68C-7F2C-4A9A-988D-45760A04CA25}"/>
    <cellStyle name="Normal 2 2 4 2 3 2 6 2" xfId="21060" xr:uid="{D46540AE-7316-4109-942F-AA2BBDB038FA}"/>
    <cellStyle name="Normal 2 2 4 2 3 2 7" xfId="23137" xr:uid="{5E9C447A-02A9-4E08-BDA6-6FEA1E041AA6}"/>
    <cellStyle name="Normal 2 2 4 2 3 2 8" xfId="13152" xr:uid="{54E1DE7E-B85C-4CED-BFC6-3289733923E4}"/>
    <cellStyle name="Normal 2 2 4 2 3 3" xfId="3159" xr:uid="{00000000-0005-0000-0000-0000C3030000}"/>
    <cellStyle name="Normal 2 2 4 2 3 3 2" xfId="4455" xr:uid="{5248CC53-CC7A-4521-91BA-5DE56FF28C9D}"/>
    <cellStyle name="Normal 2 2 4 2 3 3 2 2" xfId="9227" xr:uid="{495C9C38-0F1A-46C6-8AE7-A932D2D2165C}"/>
    <cellStyle name="Normal 2 2 4 2 3 3 2 2 2" xfId="29218" xr:uid="{59CF6D59-8891-4798-9E6C-1166DE93EA9D}"/>
    <cellStyle name="Normal 2 2 4 2 3 3 2 2 3" xfId="19607" xr:uid="{E6BFEC40-DF17-4C6F-BC0E-C81B751B73AF}"/>
    <cellStyle name="Normal 2 2 4 2 3 3 2 3" xfId="12060" xr:uid="{D36FA740-A532-4B07-8BB1-EA8595F86055}"/>
    <cellStyle name="Normal 2 2 4 2 3 3 2 3 2" xfId="22440" xr:uid="{00C91EF7-A65D-407E-976E-DAFED77B341E}"/>
    <cellStyle name="Normal 2 2 4 2 3 3 2 4" xfId="23195" xr:uid="{57DED316-0EEB-4F17-B299-A1D8ED799983}"/>
    <cellStyle name="Normal 2 2 4 2 3 3 2 5" xfId="16774" xr:uid="{6E1C6F5C-2A6C-4229-A54C-806C33C3FCEA}"/>
    <cellStyle name="Normal 2 2 4 2 3 3 3" xfId="6217" xr:uid="{AFFD9ADB-3225-48AD-BBED-70A8BCBF3ADB}"/>
    <cellStyle name="Normal 2 2 4 2 3 3 3 2" xfId="27881" xr:uid="{238C539D-D95E-4BF8-ABE6-C387C7BC20C2}"/>
    <cellStyle name="Normal 2 2 4 2 3 3 3 3" xfId="15786" xr:uid="{76975D4A-7E3C-4564-AA51-F00EDB647832}"/>
    <cellStyle name="Normal 2 2 4 2 3 3 4" xfId="8239" xr:uid="{EA813DCE-C5A7-40A8-8D2E-4D8CC5A07749}"/>
    <cellStyle name="Normal 2 2 4 2 3 3 4 2" xfId="18619" xr:uid="{739FB499-24ED-426E-93BE-AEA94F51E9A4}"/>
    <cellStyle name="Normal 2 2 4 2 3 3 5" xfId="11072" xr:uid="{AC742C09-C1E1-4DE8-9459-618BD82FF5FD}"/>
    <cellStyle name="Normal 2 2 4 2 3 3 5 2" xfId="21452" xr:uid="{720EDA05-FA92-472F-8C79-AA2F3C789D28}"/>
    <cellStyle name="Normal 2 2 4 2 3 3 6" xfId="25552" xr:uid="{AFD675E3-2BBF-4944-A20C-869E3EC374A7}"/>
    <cellStyle name="Normal 2 2 4 2 3 3 7" xfId="13694" xr:uid="{B4F7B5C4-69E9-48FD-92CF-48DBC77932FF}"/>
    <cellStyle name="Normal 2 2 4 2 3 4" xfId="3157" xr:uid="{00000000-0005-0000-0000-0000C4030000}"/>
    <cellStyle name="Normal 2 2 4 2 3 4 2" xfId="6215" xr:uid="{68A4C56B-52D9-48AA-ACA8-17EE6BC59CDD}"/>
    <cellStyle name="Normal 2 2 4 2 3 4 2 2" xfId="28024" xr:uid="{381603AB-51F4-4558-BF47-113DE99AE6E9}"/>
    <cellStyle name="Normal 2 2 4 2 3 4 2 3" xfId="15784" xr:uid="{E1BDD14A-692C-4F04-BE73-518FE4FA805C}"/>
    <cellStyle name="Normal 2 2 4 2 3 4 3" xfId="8237" xr:uid="{3A17D46A-29E8-4E76-8E19-EF54ACD4B71C}"/>
    <cellStyle name="Normal 2 2 4 2 3 4 3 2" xfId="18617" xr:uid="{C05099B4-AEE6-4492-A998-3E509271EBC2}"/>
    <cellStyle name="Normal 2 2 4 2 3 4 4" xfId="11070" xr:uid="{2C6AF62C-0AFA-4C56-8B81-6CD5554000E7}"/>
    <cellStyle name="Normal 2 2 4 2 3 4 4 2" xfId="21450" xr:uid="{46ECBCB4-4140-48FB-B3BB-76BB4596D026}"/>
    <cellStyle name="Normal 2 2 4 2 3 4 5" xfId="25355" xr:uid="{41420271-C229-4F12-A8C3-C45E90D69C07}"/>
    <cellStyle name="Normal 2 2 4 2 3 4 6" xfId="13692" xr:uid="{5817FFAA-34D2-4D74-BC0B-898F7709E16F}"/>
    <cellStyle name="Normal 2 2 4 2 3 5" xfId="2599" xr:uid="{00000000-0005-0000-0000-0000C5030000}"/>
    <cellStyle name="Normal 2 2 4 2 3 5 2" xfId="5864" xr:uid="{8A4BEA37-8FD8-4397-8FA6-1776F135E90E}"/>
    <cellStyle name="Normal 2 2 4 2 3 5 2 2" xfId="26605" xr:uid="{2B0A737C-5946-46D8-86A1-CE639C6376D8}"/>
    <cellStyle name="Normal 2 2 4 2 3 5 2 3" xfId="15271" xr:uid="{7714C8BD-4C09-49E4-A675-4A2A3A7EBE2F}"/>
    <cellStyle name="Normal 2 2 4 2 3 5 3" xfId="7724" xr:uid="{83312644-C190-4DE2-A05A-D2CB02D84EED}"/>
    <cellStyle name="Normal 2 2 4 2 3 5 3 2" xfId="18104" xr:uid="{E3E3A4D0-5FC6-442F-8EF7-1801A6DD01FC}"/>
    <cellStyle name="Normal 2 2 4 2 3 5 4" xfId="10557" xr:uid="{85A274E6-AB1F-421D-855F-FF5BC5D9A45A}"/>
    <cellStyle name="Normal 2 2 4 2 3 5 4 2" xfId="20937" xr:uid="{0C36F9B6-1F8A-40FD-8CA3-3E459FA87A3E}"/>
    <cellStyle name="Normal 2 2 4 2 3 5 5" xfId="23387" xr:uid="{93DA55E4-4537-4916-907E-0392790EAEF6}"/>
    <cellStyle name="Normal 2 2 4 2 3 5 6" xfId="12987" xr:uid="{3F549D23-DCC2-4F1B-ABBC-AC856BB18B35}"/>
    <cellStyle name="Normal 2 2 4 2 3 6" xfId="2321" xr:uid="{00000000-0005-0000-0000-0000C0030000}"/>
    <cellStyle name="Normal 2 2 4 2 3 6 2" xfId="7448" xr:uid="{9976F5AD-B946-4435-AF60-3F82B981EB91}"/>
    <cellStyle name="Normal 2 2 4 2 3 6 2 2" xfId="17828" xr:uid="{4E4FFECD-97F5-470F-A1F7-7D7112862757}"/>
    <cellStyle name="Normal 2 2 4 2 3 6 3" xfId="10281" xr:uid="{1CDBB532-7859-4A0D-BE5C-33FAED3D78BC}"/>
    <cellStyle name="Normal 2 2 4 2 3 6 3 2" xfId="20661" xr:uid="{9C4A01FD-2C23-458A-9657-67354914F195}"/>
    <cellStyle name="Normal 2 2 4 2 3 6 4" xfId="23664" xr:uid="{EC7BBC41-7451-484B-907E-BC4354195EF3}"/>
    <cellStyle name="Normal 2 2 4 2 3 6 5" xfId="14995" xr:uid="{66E40264-68CC-4F11-9621-02ACE31AE67B}"/>
    <cellStyle name="Normal 2 2 4 2 3 7" xfId="3840" xr:uid="{23EA705F-20C4-43AA-891D-3014BAC31BE4}"/>
    <cellStyle name="Normal 2 2 4 2 3 7 2" xfId="8673" xr:uid="{CF216A4A-E3FC-4ECD-A076-6EC7214B2585}"/>
    <cellStyle name="Normal 2 2 4 2 3 7 2 2" xfId="19053" xr:uid="{361070C4-EC75-4E4E-A83D-2952936E361E}"/>
    <cellStyle name="Normal 2 2 4 2 3 7 3" xfId="11506" xr:uid="{D9D67743-BBE3-4E16-A716-8FD7CE5A3935}"/>
    <cellStyle name="Normal 2 2 4 2 3 7 3 2" xfId="21886" xr:uid="{5F7EE2D8-B053-409E-95A2-9E1F6D1C462B}"/>
    <cellStyle name="Normal 2 2 4 2 3 7 4" xfId="16220" xr:uid="{988D23EC-7AE1-4359-B886-63B78F6D9286}"/>
    <cellStyle name="Normal 2 2 4 2 3 8" xfId="5082" xr:uid="{0B217810-9819-4D72-9703-40033B207891}"/>
    <cellStyle name="Normal 2 2 4 2 3 8 2" xfId="14379" xr:uid="{F6CE234F-EEC7-4AC8-BDD8-8BCB9B71EFE2}"/>
    <cellStyle name="Normal 2 2 4 2 3 9" xfId="6832" xr:uid="{CF338C0A-9C5A-40B4-803E-7787754A9871}"/>
    <cellStyle name="Normal 2 2 4 2 3 9 2" xfId="17212" xr:uid="{F700A31A-79C3-457A-A22E-BAFCB9786A30}"/>
    <cellStyle name="Normal 2 2 4 2 4" xfId="729" xr:uid="{00000000-0005-0000-0000-000085040000}"/>
    <cellStyle name="Normal 2 2 4 2 4 2" xfId="3160" xr:uid="{00000000-0005-0000-0000-0000C7030000}"/>
    <cellStyle name="Normal 2 2 4 2 4 2 2" xfId="6218" xr:uid="{80E48B82-3C34-40D3-9788-1D0DC13EFE6C}"/>
    <cellStyle name="Normal 2 2 4 2 4 2 2 2" xfId="27684" xr:uid="{1ACFCBBA-A51F-4249-9BD9-04D756965607}"/>
    <cellStyle name="Normal 2 2 4 2 4 2 2 3" xfId="15787" xr:uid="{81BA7999-FD7D-4CBD-B441-EC403C2A8945}"/>
    <cellStyle name="Normal 2 2 4 2 4 2 3" xfId="8240" xr:uid="{1BCB77AB-A035-4619-912F-68B8A65D1029}"/>
    <cellStyle name="Normal 2 2 4 2 4 2 3 2" xfId="18620" xr:uid="{2382335A-E3B0-40B3-A2FD-A29A63008124}"/>
    <cellStyle name="Normal 2 2 4 2 4 2 4" xfId="11073" xr:uid="{5F1C3224-08D4-435B-854B-F040467BF595}"/>
    <cellStyle name="Normal 2 2 4 2 4 2 4 2" xfId="21453" xr:uid="{AD30834A-3033-43EA-9F97-1EBB7381F8AE}"/>
    <cellStyle name="Normal 2 2 4 2 4 2 5" xfId="23002" xr:uid="{BE504945-8FD7-4F3D-B0E7-ADE7D69CD6EE}"/>
    <cellStyle name="Normal 2 2 4 2 4 2 6" xfId="13695" xr:uid="{F97A643D-40DB-431D-9772-81B29E66EFDA}"/>
    <cellStyle name="Normal 2 2 4 2 4 3" xfId="2720" xr:uid="{00000000-0005-0000-0000-0000C8030000}"/>
    <cellStyle name="Normal 2 2 4 2 4 3 2" xfId="5938" xr:uid="{6A8F2C84-EAC0-4E94-8D03-05CD3BC2E25D}"/>
    <cellStyle name="Normal 2 2 4 2 4 3 2 2" xfId="28707" xr:uid="{773E2714-BAA3-46A3-A053-B0C03B71BF19}"/>
    <cellStyle name="Normal 2 2 4 2 4 3 2 3" xfId="15391" xr:uid="{92EFF602-C511-45B1-9C01-DFB5E725DB28}"/>
    <cellStyle name="Normal 2 2 4 2 4 3 3" xfId="7844" xr:uid="{5FDAFDE8-4BFF-4804-AC58-584CFB114ED7}"/>
    <cellStyle name="Normal 2 2 4 2 4 3 3 2" xfId="18224" xr:uid="{689C8253-79CB-448D-98D3-AF66C2344D49}"/>
    <cellStyle name="Normal 2 2 4 2 4 3 4" xfId="10677" xr:uid="{18CF8772-8474-4A17-9CC2-CC41FFF96740}"/>
    <cellStyle name="Normal 2 2 4 2 4 3 4 2" xfId="21057" xr:uid="{79C2AF01-6A9A-4064-916D-A4A44190100B}"/>
    <cellStyle name="Normal 2 2 4 2 4 3 5" xfId="23240" xr:uid="{5031D9C5-652F-405D-9401-4F4ABD2E7DED}"/>
    <cellStyle name="Normal 2 2 4 2 4 3 6" xfId="13149" xr:uid="{3DCC7B6D-7B4F-4493-AAF2-5426EBE62873}"/>
    <cellStyle name="Normal 2 2 4 2 4 4" xfId="4157" xr:uid="{F97839D7-2F29-47B5-9650-9F95C736EDCE}"/>
    <cellStyle name="Normal 2 2 4 2 4 4 2" xfId="8929" xr:uid="{AFC92C82-B247-40B9-B5C4-000C1625DEC4}"/>
    <cellStyle name="Normal 2 2 4 2 4 4 2 2" xfId="19309" xr:uid="{11AB5E93-4EC5-4318-BEA2-8C1CD6B827EE}"/>
    <cellStyle name="Normal 2 2 4 2 4 4 3" xfId="11762" xr:uid="{DE6D08B3-D675-4A4A-9318-0CB51C55BD64}"/>
    <cellStyle name="Normal 2 2 4 2 4 4 3 2" xfId="22142" xr:uid="{55B23CBF-F06B-400C-B16E-7405E0D79965}"/>
    <cellStyle name="Normal 2 2 4 2 4 4 4" xfId="23937" xr:uid="{C28303E9-FE5B-41B5-8155-14EE36B0189E}"/>
    <cellStyle name="Normal 2 2 4 2 4 4 5" xfId="16476" xr:uid="{F38E235E-14B3-4379-A37E-2EA5BF4A5665}"/>
    <cellStyle name="Normal 2 2 4 2 4 5" xfId="5083" xr:uid="{A3A9E2AA-4F4D-465A-B580-3F74DCCEDF9C}"/>
    <cellStyle name="Normal 2 2 4 2 4 5 2" xfId="14380" xr:uid="{35F31F88-1FDD-459C-8290-8E093FA91295}"/>
    <cellStyle name="Normal 2 2 4 2 4 6" xfId="6833" xr:uid="{A7E96CBD-4BE6-4DB3-8A5F-607C9832827D}"/>
    <cellStyle name="Normal 2 2 4 2 4 6 2" xfId="17213" xr:uid="{47CC1DFF-70A8-4A45-B4CD-64C88620F661}"/>
    <cellStyle name="Normal 2 2 4 2 4 7" xfId="9666" xr:uid="{8C2793AA-1772-4408-B90E-B93D6CE30AD9}"/>
    <cellStyle name="Normal 2 2 4 2 4 7 2" xfId="20046" xr:uid="{D8D64D40-46D3-455B-8DC8-0F62A5372256}"/>
    <cellStyle name="Normal 2 2 4 2 4 8" xfId="25418" xr:uid="{09A46CB1-6C09-4A09-B6F6-4AA5BB78A2F2}"/>
    <cellStyle name="Normal 2 2 4 2 4 9" xfId="12713" xr:uid="{B0B5D202-6FFA-450B-BFB2-710CF2322D3C}"/>
    <cellStyle name="Normal 2 2 4 2 5" xfId="3161" xr:uid="{00000000-0005-0000-0000-0000C9030000}"/>
    <cellStyle name="Normal 2 2 4 2 5 2" xfId="4456" xr:uid="{6B641034-A6D4-477C-91CE-CECB14E4E9B0}"/>
    <cellStyle name="Normal 2 2 4 2 5 2 2" xfId="9228" xr:uid="{C88BDFF1-AD84-40D9-A63B-ED38DE18688B}"/>
    <cellStyle name="Normal 2 2 4 2 5 2 2 2" xfId="29219" xr:uid="{EFD13CD5-DA52-4A0A-9C16-F47348A3E03C}"/>
    <cellStyle name="Normal 2 2 4 2 5 2 2 3" xfId="19608" xr:uid="{A011B15C-1D8B-4917-8231-B758BEDC2B86}"/>
    <cellStyle name="Normal 2 2 4 2 5 2 3" xfId="12061" xr:uid="{C4E6AA50-CE78-4A94-9EA7-BD5DCB6D4CA9}"/>
    <cellStyle name="Normal 2 2 4 2 5 2 3 2" xfId="22441" xr:uid="{0DDA0262-690B-4EDE-AB00-49E8CA5E6D27}"/>
    <cellStyle name="Normal 2 2 4 2 5 2 4" xfId="24973" xr:uid="{7E25945D-41CB-4E5A-820E-5BAA229DBC97}"/>
    <cellStyle name="Normal 2 2 4 2 5 2 5" xfId="16775" xr:uid="{9A0B81B3-A948-4C12-ADFB-C3421C8B185C}"/>
    <cellStyle name="Normal 2 2 4 2 5 3" xfId="6219" xr:uid="{2F6E5A96-78D7-44C5-8D92-FCCC456F2684}"/>
    <cellStyle name="Normal 2 2 4 2 5 3 2" xfId="27354" xr:uid="{2D6D48EF-4F10-496B-AACA-4573B8589BBF}"/>
    <cellStyle name="Normal 2 2 4 2 5 3 3" xfId="15788" xr:uid="{86AD331C-9AB0-47A8-9A7A-C7486D49AB31}"/>
    <cellStyle name="Normal 2 2 4 2 5 4" xfId="8241" xr:uid="{5FCE930C-43B9-4DD9-825D-6CC12983D69F}"/>
    <cellStyle name="Normal 2 2 4 2 5 4 2" xfId="18621" xr:uid="{EB21A1C8-EB3C-49AA-AEEF-D47868D4CBE2}"/>
    <cellStyle name="Normal 2 2 4 2 5 5" xfId="11074" xr:uid="{B9F1B30D-3D24-42D5-9386-700A96C32E84}"/>
    <cellStyle name="Normal 2 2 4 2 5 5 2" xfId="21454" xr:uid="{4A0EA96A-E493-482C-B1B6-29177EC8A5F8}"/>
    <cellStyle name="Normal 2 2 4 2 5 6" xfId="24407" xr:uid="{D7B92CD4-E5ED-4ECE-8101-81AC5355AB1B}"/>
    <cellStyle name="Normal 2 2 4 2 5 7" xfId="13696" xr:uid="{C1337A35-F0AE-4195-88CB-6C0A47B6366C}"/>
    <cellStyle name="Normal 2 2 4 2 6" xfId="2898" xr:uid="{00000000-0005-0000-0000-0000CA030000}"/>
    <cellStyle name="Normal 2 2 4 2 6 2" xfId="6084" xr:uid="{EBE5517C-7808-4345-9A38-9B97D2A6E130}"/>
    <cellStyle name="Normal 2 2 4 2 6 2 2" xfId="27218" xr:uid="{717C1686-189F-4691-8E58-D1CBE5560D47}"/>
    <cellStyle name="Normal 2 2 4 2 6 2 3" xfId="15562" xr:uid="{0116A452-050C-46B3-8C7C-E99748F1BBC9}"/>
    <cellStyle name="Normal 2 2 4 2 6 3" xfId="8015" xr:uid="{DE012C2A-BD69-42B9-9D9B-D2DB0780C457}"/>
    <cellStyle name="Normal 2 2 4 2 6 3 2" xfId="18395" xr:uid="{92588661-0624-4D50-9828-761A157D2C29}"/>
    <cellStyle name="Normal 2 2 4 2 6 4" xfId="10848" xr:uid="{B3F965D0-CCBC-4392-964E-DF1BA2897A48}"/>
    <cellStyle name="Normal 2 2 4 2 6 4 2" xfId="21228" xr:uid="{EB95EE1A-66C9-44EE-8B7C-5F37544274F5}"/>
    <cellStyle name="Normal 2 2 4 2 6 5" xfId="24441" xr:uid="{560D1163-7E8A-40FB-997E-B3319AA422B3}"/>
    <cellStyle name="Normal 2 2 4 2 6 6" xfId="13411" xr:uid="{FF272E99-C8F8-4F05-B531-C8983C3D0D16}"/>
    <cellStyle name="Normal 2 2 4 2 7" xfId="2496" xr:uid="{00000000-0005-0000-0000-0000CB030000}"/>
    <cellStyle name="Normal 2 2 4 2 7 2" xfId="5779" xr:uid="{31309030-C44A-4DF6-A717-986C7DE4CB36}"/>
    <cellStyle name="Normal 2 2 4 2 7 2 2" xfId="25948" xr:uid="{33378617-B315-4FCA-B3E9-D33061B3F3C3}"/>
    <cellStyle name="Normal 2 2 4 2 7 2 3" xfId="15168" xr:uid="{B3326B84-62F2-4589-89AE-E1C741FC3BA2}"/>
    <cellStyle name="Normal 2 2 4 2 7 3" xfId="7621" xr:uid="{1419194F-CCE5-4A12-98E7-D2CF81EE53EF}"/>
    <cellStyle name="Normal 2 2 4 2 7 3 2" xfId="18001" xr:uid="{9656D95C-BB17-4E84-BA1F-034D72243BE1}"/>
    <cellStyle name="Normal 2 2 4 2 7 4" xfId="10454" xr:uid="{30E631D4-416A-455F-8A36-835A7E61AA0A}"/>
    <cellStyle name="Normal 2 2 4 2 7 4 2" xfId="20834" xr:uid="{E5F4A594-FA20-459E-8207-87DD2B6963ED}"/>
    <cellStyle name="Normal 2 2 4 2 7 5" xfId="24471" xr:uid="{2D345C72-3362-4EE5-AD33-91830D3EE00C}"/>
    <cellStyle name="Normal 2 2 4 2 7 6" xfId="12884" xr:uid="{D2242D32-BCD5-49B5-BD4D-6B412D8A36D1}"/>
    <cellStyle name="Normal 2 2 4 2 8" xfId="2190" xr:uid="{00000000-0005-0000-0000-0000B4030000}"/>
    <cellStyle name="Normal 2 2 4 2 8 2" xfId="7317" xr:uid="{360FC0EA-CF34-4040-B06B-83B5FB05D733}"/>
    <cellStyle name="Normal 2 2 4 2 8 2 2" xfId="17697" xr:uid="{73699C6E-C478-4F6B-AC38-229215922BFB}"/>
    <cellStyle name="Normal 2 2 4 2 8 3" xfId="10150" xr:uid="{44C70DFB-C5E9-4553-9F0F-622C6C402CB7}"/>
    <cellStyle name="Normal 2 2 4 2 8 3 2" xfId="20530" xr:uid="{55398FB5-6050-4E90-997B-8A9B9EFCAA27}"/>
    <cellStyle name="Normal 2 2 4 2 8 4" xfId="23006" xr:uid="{B66B3ADA-BFAF-45E3-B609-DABEFAC8AE24}"/>
    <cellStyle name="Normal 2 2 4 2 8 5" xfId="14864" xr:uid="{7B5D2042-9F94-4749-83CE-20242B6C78AA}"/>
    <cellStyle name="Normal 2 2 4 2 9" xfId="3928" xr:uid="{77B8B384-9D18-403A-B06F-12A51804B35C}"/>
    <cellStyle name="Normal 2 2 4 2 9 2" xfId="8760" xr:uid="{7755C901-2831-4F5A-B0A4-12186FA7A94A}"/>
    <cellStyle name="Normal 2 2 4 2 9 2 2" xfId="19140" xr:uid="{0FC10658-EF09-4DDA-992A-E98D96F8C54B}"/>
    <cellStyle name="Normal 2 2 4 2 9 3" xfId="11593" xr:uid="{D51FF9B7-F4D6-460B-9746-17D7FB36CD54}"/>
    <cellStyle name="Normal 2 2 4 2 9 3 2" xfId="21973" xr:uid="{0EE2E39E-C03E-4DE9-A76D-BA6523F548F1}"/>
    <cellStyle name="Normal 2 2 4 2 9 4" xfId="16307" xr:uid="{65EC3690-704E-47BD-A65D-BDEBD001C6C1}"/>
    <cellStyle name="Normal 2 2 4 3" xfId="730" xr:uid="{00000000-0005-0000-0000-000086040000}"/>
    <cellStyle name="Normal 2 2 4 3 10" xfId="5084" xr:uid="{3059EF97-232C-42F5-8B53-D6134C3313AA}"/>
    <cellStyle name="Normal 2 2 4 3 10 2" xfId="14381" xr:uid="{0AA44285-8348-4AEA-B139-0B4B710CF248}"/>
    <cellStyle name="Normal 2 2 4 3 11" xfId="6834" xr:uid="{A5F7D9AC-56F7-4DE8-8E78-E478BFFA8DE0}"/>
    <cellStyle name="Normal 2 2 4 3 11 2" xfId="17214" xr:uid="{ED8F7ACA-68F6-4A91-8D3B-A144DEAE3E6C}"/>
    <cellStyle name="Normal 2 2 4 3 12" xfId="9667" xr:uid="{3E967C1F-FC5E-4FFA-9158-E0CE5F932165}"/>
    <cellStyle name="Normal 2 2 4 3 12 2" xfId="20047" xr:uid="{71C901C3-1818-438E-A876-F2F1AAA5B5D5}"/>
    <cellStyle name="Normal 2 2 4 3 13" xfId="23261" xr:uid="{0686F330-0275-48BC-8744-E0DB747F821D}"/>
    <cellStyle name="Normal 2 2 4 3 14" xfId="12459" xr:uid="{10887C6C-5FAB-40D5-82E6-32A4C52AAFD2}"/>
    <cellStyle name="Normal 2 2 4 3 2" xfId="731" xr:uid="{00000000-0005-0000-0000-000087040000}"/>
    <cellStyle name="Normal 2 2 4 3 2 10" xfId="9668" xr:uid="{21E94FA6-12AC-4D04-852F-FC1D262DD70B}"/>
    <cellStyle name="Normal 2 2 4 3 2 10 2" xfId="20048" xr:uid="{FB4673F3-C970-4EDA-9105-0CBDA575E2D7}"/>
    <cellStyle name="Normal 2 2 4 3 2 11" xfId="25102" xr:uid="{E8DEBEDF-D8F1-4968-9CE0-0C098C4223E3}"/>
    <cellStyle name="Normal 2 2 4 3 2 12" xfId="12556" xr:uid="{916C9A0D-AFD0-49AF-B15E-B62E35C99B0A}"/>
    <cellStyle name="Normal 2 2 4 3 2 2" xfId="732" xr:uid="{00000000-0005-0000-0000-000088040000}"/>
    <cellStyle name="Normal 2 2 4 3 2 2 2" xfId="3163" xr:uid="{00000000-0005-0000-0000-0000CF030000}"/>
    <cellStyle name="Normal 2 2 4 3 2 2 2 2" xfId="6221" xr:uid="{26C0A590-91FA-45F9-A1D0-B827B251085C}"/>
    <cellStyle name="Normal 2 2 4 3 2 2 2 2 2" xfId="27919" xr:uid="{71FF5FC3-1A8D-4D83-8D2D-16C36B6F2A51}"/>
    <cellStyle name="Normal 2 2 4 3 2 2 2 2 3" xfId="26133" xr:uid="{2EC56C41-CD9A-40C7-8937-ADB7A313DE94}"/>
    <cellStyle name="Normal 2 2 4 3 2 2 2 2 4" xfId="15790" xr:uid="{6AB1EC09-C0CB-4409-AFEE-D27033E15864}"/>
    <cellStyle name="Normal 2 2 4 3 2 2 2 3" xfId="8243" xr:uid="{5D4BDDD8-1A86-4178-9196-CFA33212C2B7}"/>
    <cellStyle name="Normal 2 2 4 3 2 2 2 3 2" xfId="28874" xr:uid="{2F29D525-AAE6-4F18-9BED-6F63C9836854}"/>
    <cellStyle name="Normal 2 2 4 3 2 2 2 3 3" xfId="18623" xr:uid="{CA78F776-1862-4665-9DBB-ECE0D2A7B947}"/>
    <cellStyle name="Normal 2 2 4 3 2 2 2 4" xfId="11076" xr:uid="{3A9C77D3-6F36-47E7-A8B7-BA68FE6F2D21}"/>
    <cellStyle name="Normal 2 2 4 3 2 2 2 4 2" xfId="21456" xr:uid="{C628A8E1-27CF-4C5A-A9DA-61E218083264}"/>
    <cellStyle name="Normal 2 2 4 3 2 2 2 5" xfId="24081" xr:uid="{FCB705DE-50A7-4201-ABC1-427567871AAC}"/>
    <cellStyle name="Normal 2 2 4 3 2 2 2 6" xfId="13698" xr:uid="{02A6371B-FBDA-487C-A6D8-975E10908147}"/>
    <cellStyle name="Normal 2 2 4 3 2 2 3" xfId="4292" xr:uid="{07B1601E-3DBF-46BB-A7DD-195EEEFD7FD4}"/>
    <cellStyle name="Normal 2 2 4 3 2 2 3 2" xfId="9064" xr:uid="{B4CD8E1A-C4F3-41B5-AC9E-993474979B09}"/>
    <cellStyle name="Normal 2 2 4 3 2 2 3 2 2" xfId="29107" xr:uid="{A3F9DD3E-5183-4DC5-81BE-2027DB9938ED}"/>
    <cellStyle name="Normal 2 2 4 3 2 2 3 2 3" xfId="19444" xr:uid="{70809F72-09CB-4299-B6CD-9816DE603F43}"/>
    <cellStyle name="Normal 2 2 4 3 2 2 3 3" xfId="11897" xr:uid="{6E20FC59-DBAC-4007-ADEC-AEFDF951EBC9}"/>
    <cellStyle name="Normal 2 2 4 3 2 2 3 3 2" xfId="22277" xr:uid="{5E705BC8-1D4A-42C8-A708-7B83689B7053}"/>
    <cellStyle name="Normal 2 2 4 3 2 2 3 4" xfId="24211" xr:uid="{078D9B0D-52F5-423F-9549-99DB14E66069}"/>
    <cellStyle name="Normal 2 2 4 3 2 2 3 5" xfId="16611" xr:uid="{E42C96D1-F37F-4BD6-A47D-C7EAF8855C14}"/>
    <cellStyle name="Normal 2 2 4 3 2 2 4" xfId="5086" xr:uid="{3A477A92-907E-4C46-A096-06F2EB0A805D}"/>
    <cellStyle name="Normal 2 2 4 3 2 2 4 2" xfId="26034" xr:uid="{B14913F4-850F-4665-B7F3-26E7E7B342A5}"/>
    <cellStyle name="Normal 2 2 4 3 2 2 4 3" xfId="14383" xr:uid="{C0F55250-55D9-4CCC-9FBC-E1E474279F8C}"/>
    <cellStyle name="Normal 2 2 4 3 2 2 5" xfId="6836" xr:uid="{7FD871C6-3A32-474F-B802-222A10471E41}"/>
    <cellStyle name="Normal 2 2 4 3 2 2 5 2" xfId="17216" xr:uid="{3F6631FC-741E-4F25-8958-635B0FBD3528}"/>
    <cellStyle name="Normal 2 2 4 3 2 2 6" xfId="9669" xr:uid="{2AE24CB6-BC9C-457B-845A-8D006269537F}"/>
    <cellStyle name="Normal 2 2 4 3 2 2 6 2" xfId="20049" xr:uid="{15CCDE29-825B-47FF-BC5E-09ACEDA7BD60}"/>
    <cellStyle name="Normal 2 2 4 3 2 2 7" xfId="23932" xr:uid="{30C65FB4-58DF-4101-9415-A1C3411180C9}"/>
    <cellStyle name="Normal 2 2 4 3 2 2 8" xfId="13154" xr:uid="{3BD4FE24-3675-48D9-8C8D-3DA74E8F242A}"/>
    <cellStyle name="Normal 2 2 4 3 2 3" xfId="3164" xr:uid="{00000000-0005-0000-0000-0000D0030000}"/>
    <cellStyle name="Normal 2 2 4 3 2 3 2" xfId="4457" xr:uid="{6ECB643E-2057-4553-BD8F-AD024F4885D9}"/>
    <cellStyle name="Normal 2 2 4 3 2 3 2 2" xfId="9229" xr:uid="{C6B779D1-C9C9-4636-9F77-87A507038BD4}"/>
    <cellStyle name="Normal 2 2 4 3 2 3 2 2 2" xfId="29220" xr:uid="{0A5239C5-AA28-4786-9D59-A31E79F75B9B}"/>
    <cellStyle name="Normal 2 2 4 3 2 3 2 2 3" xfId="19609" xr:uid="{60571E30-4C62-4014-95CE-71B2BFD014CF}"/>
    <cellStyle name="Normal 2 2 4 3 2 3 2 3" xfId="12062" xr:uid="{F18DABCF-FD8C-4ED6-953F-84B87DD582E5}"/>
    <cellStyle name="Normal 2 2 4 3 2 3 2 3 2" xfId="22442" xr:uid="{08847699-7074-47A9-9945-C533DCEE5CE8}"/>
    <cellStyle name="Normal 2 2 4 3 2 3 2 4" xfId="25230" xr:uid="{936D4E5A-43D0-4F27-97DE-9C79FE9E276F}"/>
    <cellStyle name="Normal 2 2 4 3 2 3 2 5" xfId="16776" xr:uid="{9B509FC5-8E86-487F-9EE2-EFDB4623DC6F}"/>
    <cellStyle name="Normal 2 2 4 3 2 3 3" xfId="6222" xr:uid="{E9024C08-908A-402F-BF49-66143836B8BE}"/>
    <cellStyle name="Normal 2 2 4 3 2 3 3 2" xfId="28666" xr:uid="{BAEA2FF9-2083-431A-B9C8-6DF3E29FB3EA}"/>
    <cellStyle name="Normal 2 2 4 3 2 3 3 3" xfId="15791" xr:uid="{36C048B4-878F-420D-93AA-2CBD17EAFC20}"/>
    <cellStyle name="Normal 2 2 4 3 2 3 4" xfId="8244" xr:uid="{05B8AE77-5A94-4141-9021-064B6755F9FA}"/>
    <cellStyle name="Normal 2 2 4 3 2 3 4 2" xfId="18624" xr:uid="{C9A2A75F-CEF3-4DA5-8DA3-C2DFDC1C974C}"/>
    <cellStyle name="Normal 2 2 4 3 2 3 5" xfId="11077" xr:uid="{473B2FDE-74B4-4F4D-8BC1-D967B6573F60}"/>
    <cellStyle name="Normal 2 2 4 3 2 3 5 2" xfId="21457" xr:uid="{1F7EAFA3-0ACB-40E8-BBDD-8F323DBAB262}"/>
    <cellStyle name="Normal 2 2 4 3 2 3 6" xfId="23445" xr:uid="{D763C4D2-87C6-46B4-B78A-F133E50DE6EB}"/>
    <cellStyle name="Normal 2 2 4 3 2 3 7" xfId="13699" xr:uid="{FCE565A6-FF94-4CFE-B2D9-64C5F9FDD6F7}"/>
    <cellStyle name="Normal 2 2 4 3 2 4" xfId="3162" xr:uid="{00000000-0005-0000-0000-0000D1030000}"/>
    <cellStyle name="Normal 2 2 4 3 2 4 2" xfId="6220" xr:uid="{DDD380AD-F8A6-4E82-ABDB-A89D39D39C8A}"/>
    <cellStyle name="Normal 2 2 4 3 2 4 2 2" xfId="28523" xr:uid="{7BCE47EA-961D-45CB-B9BB-D5D815E0D30C}"/>
    <cellStyle name="Normal 2 2 4 3 2 4 2 3" xfId="15789" xr:uid="{4DD44714-6D4E-4029-AB9C-DD35E6BB20E8}"/>
    <cellStyle name="Normal 2 2 4 3 2 4 3" xfId="8242" xr:uid="{A2823BCA-1871-45A0-8C28-B3B038F07FFC}"/>
    <cellStyle name="Normal 2 2 4 3 2 4 3 2" xfId="18622" xr:uid="{E72ED07E-6DE5-4280-B557-A205A74D5352}"/>
    <cellStyle name="Normal 2 2 4 3 2 4 4" xfId="11075" xr:uid="{5C806EF6-2EF1-4031-A31C-D976D50AEC63}"/>
    <cellStyle name="Normal 2 2 4 3 2 4 4 2" xfId="21455" xr:uid="{31F5F408-FA18-44E7-BE38-79B696F04B1E}"/>
    <cellStyle name="Normal 2 2 4 3 2 4 5" xfId="23170" xr:uid="{215FB270-2EB6-4081-84EF-9B9CB09BD67D}"/>
    <cellStyle name="Normal 2 2 4 3 2 4 6" xfId="13697" xr:uid="{D216EE99-5BF9-44A0-8CE3-DF3BDD6A932E}"/>
    <cellStyle name="Normal 2 2 4 3 2 5" xfId="2533" xr:uid="{00000000-0005-0000-0000-0000D2030000}"/>
    <cellStyle name="Normal 2 2 4 3 2 5 2" xfId="5807" xr:uid="{ABA7F4F9-1855-49AC-8957-1FEA0DC3DB39}"/>
    <cellStyle name="Normal 2 2 4 3 2 5 2 2" xfId="26055" xr:uid="{226B60CD-1EE2-4CC0-9990-7A820F86F183}"/>
    <cellStyle name="Normal 2 2 4 3 2 5 2 3" xfId="15205" xr:uid="{7DB3FF16-ACC1-4DD9-A040-1F9A32834FEB}"/>
    <cellStyle name="Normal 2 2 4 3 2 5 3" xfId="7658" xr:uid="{36F3AEF2-E753-4C43-9BA9-54DAC791480F}"/>
    <cellStyle name="Normal 2 2 4 3 2 5 3 2" xfId="18038" xr:uid="{EF43BF01-89A1-4F33-8776-E57D1EA73B9D}"/>
    <cellStyle name="Normal 2 2 4 3 2 5 4" xfId="10491" xr:uid="{6641D8B0-3129-44AC-AF93-12FF2A7D8237}"/>
    <cellStyle name="Normal 2 2 4 3 2 5 4 2" xfId="20871" xr:uid="{DF1F54C4-01C1-4352-B717-6C4D25DB9831}"/>
    <cellStyle name="Normal 2 2 4 3 2 5 5" xfId="24189" xr:uid="{1EDD6420-E7E5-4A43-BDEA-F70068981CA2}"/>
    <cellStyle name="Normal 2 2 4 3 2 5 6" xfId="12921" xr:uid="{4173A2E7-EB72-49EC-BEA0-01AEA58AE056}"/>
    <cellStyle name="Normal 2 2 4 3 2 6" xfId="2322" xr:uid="{00000000-0005-0000-0000-0000CD030000}"/>
    <cellStyle name="Normal 2 2 4 3 2 6 2" xfId="7449" xr:uid="{EBC63B61-750D-47DC-9110-0E2E94C4DDE8}"/>
    <cellStyle name="Normal 2 2 4 3 2 6 2 2" xfId="17829" xr:uid="{60A00CEB-4AA0-4D5F-80AA-A7BD95F2B89C}"/>
    <cellStyle name="Normal 2 2 4 3 2 6 3" xfId="10282" xr:uid="{85809369-768D-4E58-B75D-2168E11307D9}"/>
    <cellStyle name="Normal 2 2 4 3 2 6 3 2" xfId="20662" xr:uid="{7E852C4D-A675-4788-8064-88E8ECC07D92}"/>
    <cellStyle name="Normal 2 2 4 3 2 6 4" xfId="24216" xr:uid="{21A06A83-CF38-4707-A922-B96C499715B5}"/>
    <cellStyle name="Normal 2 2 4 3 2 6 5" xfId="14996" xr:uid="{F334D071-8667-43E8-8B44-C2FC25DB8516}"/>
    <cellStyle name="Normal 2 2 4 3 2 7" xfId="3841" xr:uid="{69D28288-5F70-4C1A-912E-84318F7A6C44}"/>
    <cellStyle name="Normal 2 2 4 3 2 7 2" xfId="8674" xr:uid="{F72F5C99-3A99-48D9-9A4B-CC2AEA1465DE}"/>
    <cellStyle name="Normal 2 2 4 3 2 7 2 2" xfId="19054" xr:uid="{86FE62B0-B63C-4434-8AB8-6DFE92940595}"/>
    <cellStyle name="Normal 2 2 4 3 2 7 3" xfId="11507" xr:uid="{6011C382-14FA-4577-95CC-BF29326EA706}"/>
    <cellStyle name="Normal 2 2 4 3 2 7 3 2" xfId="21887" xr:uid="{E5EB3F4E-A042-4209-AFBC-A3D59D5E05A5}"/>
    <cellStyle name="Normal 2 2 4 3 2 7 4" xfId="16221" xr:uid="{EC9B803B-DB72-4E56-ABCF-8BA68EF9B496}"/>
    <cellStyle name="Normal 2 2 4 3 2 8" xfId="5085" xr:uid="{1E76D4DE-19AD-44C1-8278-CC2A700AC1A1}"/>
    <cellStyle name="Normal 2 2 4 3 2 8 2" xfId="14382" xr:uid="{9DD4F671-417E-4F42-B947-374FF1773813}"/>
    <cellStyle name="Normal 2 2 4 3 2 9" xfId="6835" xr:uid="{5FDD0368-EF99-43F3-B5FE-42391F0DB1E2}"/>
    <cellStyle name="Normal 2 2 4 3 2 9 2" xfId="17215" xr:uid="{A514DBD5-8E02-4554-AA8F-41A4D07D35F6}"/>
    <cellStyle name="Normal 2 2 4 3 3" xfId="733" xr:uid="{00000000-0005-0000-0000-000089040000}"/>
    <cellStyle name="Normal 2 2 4 3 3 10" xfId="22850" xr:uid="{CEC1A341-924B-422F-8F57-0FC5F69460C1}"/>
    <cellStyle name="Normal 2 2 4 3 3 11" xfId="12714" xr:uid="{821D4DDC-A1CE-48F9-A986-7F81534829F1}"/>
    <cellStyle name="Normal 2 2 4 3 3 2" xfId="2724" xr:uid="{00000000-0005-0000-0000-0000D4030000}"/>
    <cellStyle name="Normal 2 2 4 3 3 2 2" xfId="3166" xr:uid="{00000000-0005-0000-0000-0000D5030000}"/>
    <cellStyle name="Normal 2 2 4 3 3 2 2 2" xfId="6224" xr:uid="{283A9E77-7630-4E85-B3E3-382FA161C6A3}"/>
    <cellStyle name="Normal 2 2 4 3 3 2 2 2 2" xfId="27992" xr:uid="{50DC885E-21A8-4DF1-BE95-A351E47FAAAE}"/>
    <cellStyle name="Normal 2 2 4 3 3 2 2 2 3" xfId="15793" xr:uid="{7D2BD9E7-1380-4EEF-B550-3E5D22FB4D1A}"/>
    <cellStyle name="Normal 2 2 4 3 3 2 2 3" xfId="8246" xr:uid="{ACFA4F86-5619-49E0-BE79-C658653E8ED8}"/>
    <cellStyle name="Normal 2 2 4 3 3 2 2 3 2" xfId="18626" xr:uid="{171EB711-32D2-4306-8780-2AAE1FAC0DF7}"/>
    <cellStyle name="Normal 2 2 4 3 3 2 2 4" xfId="11079" xr:uid="{270972CF-11F5-4D55-8A19-0A683006258D}"/>
    <cellStyle name="Normal 2 2 4 3 3 2 2 4 2" xfId="21459" xr:uid="{2F457793-A942-4A5E-80D2-59400D3A6DA1}"/>
    <cellStyle name="Normal 2 2 4 3 3 2 2 5" xfId="24772" xr:uid="{3079E039-2E5E-47E5-B7DB-68754BE3B129}"/>
    <cellStyle name="Normal 2 2 4 3 3 2 2 6" xfId="13701" xr:uid="{D2C1D659-440D-4D93-A0F9-F37D81F65679}"/>
    <cellStyle name="Normal 2 2 4 3 3 2 3" xfId="4293" xr:uid="{191A8EF1-D13D-4414-A376-D351141EE398}"/>
    <cellStyle name="Normal 2 2 4 3 3 2 3 2" xfId="9065" xr:uid="{6DB2C5DE-ED2A-425C-BF46-83DAAF4958F7}"/>
    <cellStyle name="Normal 2 2 4 3 3 2 3 2 2" xfId="29108" xr:uid="{14F8D509-7648-489D-A2C1-DB7949934A4C}"/>
    <cellStyle name="Normal 2 2 4 3 3 2 3 2 3" xfId="19445" xr:uid="{0DA404BA-7113-452E-8E1F-995F73F6052B}"/>
    <cellStyle name="Normal 2 2 4 3 3 2 3 3" xfId="11898" xr:uid="{3079DFBF-0BA1-4C9C-9B1C-E8940662EB4F}"/>
    <cellStyle name="Normal 2 2 4 3 3 2 3 3 2" xfId="22278" xr:uid="{05F3A403-F906-4885-B14E-FE3B95731D51}"/>
    <cellStyle name="Normal 2 2 4 3 3 2 3 4" xfId="23403" xr:uid="{A48E663D-0C61-47F3-938C-93FDD88C7C7F}"/>
    <cellStyle name="Normal 2 2 4 3 3 2 3 5" xfId="16612" xr:uid="{76D81495-0662-4D09-AC35-D3BE53AB8C7E}"/>
    <cellStyle name="Normal 2 2 4 3 3 2 4" xfId="5942" xr:uid="{DD9D754C-CD03-4D8D-99F5-3776484004E2}"/>
    <cellStyle name="Normal 2 2 4 3 3 2 4 2" xfId="28032" xr:uid="{FE2E8B85-9DB5-48A5-84A3-EDCC66B0F52C}"/>
    <cellStyle name="Normal 2 2 4 3 3 2 4 3" xfId="15395" xr:uid="{006CE858-8570-4565-AC38-80D34CDD1B77}"/>
    <cellStyle name="Normal 2 2 4 3 3 2 5" xfId="7848" xr:uid="{9CA07D88-C91C-4916-8575-D646B4667FCC}"/>
    <cellStyle name="Normal 2 2 4 3 3 2 5 2" xfId="18228" xr:uid="{21F92027-9D25-4378-9D33-35634CB8166B}"/>
    <cellStyle name="Normal 2 2 4 3 3 2 6" xfId="10681" xr:uid="{5C66D779-9D41-4548-BFEF-07C570BC3BA8}"/>
    <cellStyle name="Normal 2 2 4 3 3 2 6 2" xfId="21061" xr:uid="{E15CF1AE-71E8-4D9B-A044-EE6DD83F58CC}"/>
    <cellStyle name="Normal 2 2 4 3 3 2 7" xfId="22840" xr:uid="{72C6AD08-1003-4FE9-976D-CFB249A8A42C}"/>
    <cellStyle name="Normal 2 2 4 3 3 2 8" xfId="13155" xr:uid="{F75B8599-18D7-4F1D-AE74-0C7B4E013C69}"/>
    <cellStyle name="Normal 2 2 4 3 3 3" xfId="3167" xr:uid="{00000000-0005-0000-0000-0000D6030000}"/>
    <cellStyle name="Normal 2 2 4 3 3 3 2" xfId="4458" xr:uid="{A3B66D1A-ABAB-4E21-BEC4-DEE2A14EAF2C}"/>
    <cellStyle name="Normal 2 2 4 3 3 3 2 2" xfId="9230" xr:uid="{FE138AC9-67BB-417E-8BD0-B6614706E5F3}"/>
    <cellStyle name="Normal 2 2 4 3 3 3 2 2 2" xfId="29221" xr:uid="{8AF273BF-B452-4F75-A237-9E2096E8BFE2}"/>
    <cellStyle name="Normal 2 2 4 3 3 3 2 2 3" xfId="19610" xr:uid="{331115A6-9939-4BD6-A159-B320B65B8266}"/>
    <cellStyle name="Normal 2 2 4 3 3 3 2 3" xfId="12063" xr:uid="{6E2E4BDD-099B-4693-A400-2D4A93C14353}"/>
    <cellStyle name="Normal 2 2 4 3 3 3 2 3 2" xfId="22443" xr:uid="{0DAF4A85-5470-4DB3-BC38-503C5C360503}"/>
    <cellStyle name="Normal 2 2 4 3 3 3 2 4" xfId="25797" xr:uid="{2A946675-A47E-4F59-B65E-4319D4DA4E8C}"/>
    <cellStyle name="Normal 2 2 4 3 3 3 2 5" xfId="16777" xr:uid="{EAFD58DF-5A4C-44DD-A876-798163A7FC31}"/>
    <cellStyle name="Normal 2 2 4 3 3 3 3" xfId="6225" xr:uid="{DE7F496F-0F4D-41B7-9F34-CC358E61B5F6}"/>
    <cellStyle name="Normal 2 2 4 3 3 3 3 2" xfId="28728" xr:uid="{C5DFB8F9-E611-4B43-91C9-0CE06620CFAC}"/>
    <cellStyle name="Normal 2 2 4 3 3 3 3 3" xfId="15794" xr:uid="{B7C6DBD8-325B-48E4-B648-5FA4E1C65FB1}"/>
    <cellStyle name="Normal 2 2 4 3 3 3 4" xfId="8247" xr:uid="{0B9B40C3-93CA-40D3-9465-97B46D9B4F09}"/>
    <cellStyle name="Normal 2 2 4 3 3 3 4 2" xfId="18627" xr:uid="{98E2589F-7DF8-4E91-9ED6-8316ED8072AA}"/>
    <cellStyle name="Normal 2 2 4 3 3 3 5" xfId="11080" xr:uid="{E4D218ED-BE0A-467A-BD31-7FAB60C1D2D9}"/>
    <cellStyle name="Normal 2 2 4 3 3 3 5 2" xfId="21460" xr:uid="{A40EF03E-A29D-42C7-9CBB-E1C1D1AF4BCA}"/>
    <cellStyle name="Normal 2 2 4 3 3 3 6" xfId="25492" xr:uid="{C59BF053-2A90-4F10-83E3-74DA0261C7A4}"/>
    <cellStyle name="Normal 2 2 4 3 3 3 7" xfId="13702" xr:uid="{16435DC8-AC74-4B76-BF49-7459A28D3542}"/>
    <cellStyle name="Normal 2 2 4 3 3 4" xfId="3165" xr:uid="{00000000-0005-0000-0000-0000D7030000}"/>
    <cellStyle name="Normal 2 2 4 3 3 4 2" xfId="6223" xr:uid="{D1BB231E-944E-4CD7-9320-0D3458026B6E}"/>
    <cellStyle name="Normal 2 2 4 3 3 4 2 2" xfId="28588" xr:uid="{9A57680E-5D61-4F34-A2B4-F3338BCBFC38}"/>
    <cellStyle name="Normal 2 2 4 3 3 4 2 3" xfId="15792" xr:uid="{6D13F63D-7DAD-476A-8C9C-F3576C8D746C}"/>
    <cellStyle name="Normal 2 2 4 3 3 4 3" xfId="8245" xr:uid="{6D920A5E-3220-4E74-9932-CCACE8C593F1}"/>
    <cellStyle name="Normal 2 2 4 3 3 4 3 2" xfId="18625" xr:uid="{A6AE1770-21CF-43EE-870E-D28640A55474}"/>
    <cellStyle name="Normal 2 2 4 3 3 4 4" xfId="11078" xr:uid="{8E6CA02C-A105-4C6B-9239-667DDF682A05}"/>
    <cellStyle name="Normal 2 2 4 3 3 4 4 2" xfId="21458" xr:uid="{C4A6AC0A-A935-4842-89AA-29282D55441C}"/>
    <cellStyle name="Normal 2 2 4 3 3 4 5" xfId="24046" xr:uid="{CD5376F9-06E6-4DA5-A04A-7F331A2D8C16}"/>
    <cellStyle name="Normal 2 2 4 3 3 4 6" xfId="13700" xr:uid="{260C9978-BE48-4395-8152-B9EBF5CDF420}"/>
    <cellStyle name="Normal 2 2 4 3 3 5" xfId="2635" xr:uid="{00000000-0005-0000-0000-0000D8030000}"/>
    <cellStyle name="Normal 2 2 4 3 3 5 2" xfId="5897" xr:uid="{62BB0CE7-C56D-499D-8000-CF4A2E9AB2A8}"/>
    <cellStyle name="Normal 2 2 4 3 3 5 2 2" xfId="26640" xr:uid="{8016F2D5-18E9-42FC-B1B3-1F0EE505FE60}"/>
    <cellStyle name="Normal 2 2 4 3 3 5 2 3" xfId="15307" xr:uid="{91C83F88-50C8-4F96-8471-6B29CE261260}"/>
    <cellStyle name="Normal 2 2 4 3 3 5 3" xfId="7760" xr:uid="{956AF1D3-332F-4758-9A6A-C84F119C9CF1}"/>
    <cellStyle name="Normal 2 2 4 3 3 5 3 2" xfId="18140" xr:uid="{2203E712-C440-49BB-A583-8188FADBEACF}"/>
    <cellStyle name="Normal 2 2 4 3 3 5 4" xfId="10593" xr:uid="{0DED0F32-A4AF-4497-AA27-66ED0B92261A}"/>
    <cellStyle name="Normal 2 2 4 3 3 5 4 2" xfId="20973" xr:uid="{38DB6BB6-B8C3-4AED-B2C2-12D996747E28}"/>
    <cellStyle name="Normal 2 2 4 3 3 5 5" xfId="23456" xr:uid="{7F77F9B4-6556-4DF9-87F8-804E4AA5F2C7}"/>
    <cellStyle name="Normal 2 2 4 3 3 5 6" xfId="13024" xr:uid="{4C4C2593-02AF-44F4-AE3C-9D78009787D3}"/>
    <cellStyle name="Normal 2 2 4 3 3 6" xfId="4158" xr:uid="{EBDB3A89-EBAD-4B1E-8181-2FF9550A4D1D}"/>
    <cellStyle name="Normal 2 2 4 3 3 6 2" xfId="8930" xr:uid="{9F1ADC49-7665-460F-8E15-004CC432AD29}"/>
    <cellStyle name="Normal 2 2 4 3 3 6 2 2" xfId="19310" xr:uid="{918BD120-0F49-4AAE-BD85-BDF44CF56A20}"/>
    <cellStyle name="Normal 2 2 4 3 3 6 3" xfId="11763" xr:uid="{DAA9725E-3634-43D0-8915-9B847C77881D}"/>
    <cellStyle name="Normal 2 2 4 3 3 6 3 2" xfId="22143" xr:uid="{61EE808C-906E-44FF-AF90-16BEFB93B86B}"/>
    <cellStyle name="Normal 2 2 4 3 3 6 4" xfId="23581" xr:uid="{D4DB859A-A753-4FF2-855A-E2B4FD3C926C}"/>
    <cellStyle name="Normal 2 2 4 3 3 6 5" xfId="16477" xr:uid="{69E73FD2-9FCF-4424-A9F5-91CF56A87E55}"/>
    <cellStyle name="Normal 2 2 4 3 3 7" xfId="5087" xr:uid="{5B35F721-CC05-4F6C-9E95-39FAFC246746}"/>
    <cellStyle name="Normal 2 2 4 3 3 7 2" xfId="14384" xr:uid="{8A5093C6-FEA8-4D14-8BBC-0D67C682D0B7}"/>
    <cellStyle name="Normal 2 2 4 3 3 8" xfId="6837" xr:uid="{D426F11E-EFF8-43D8-9175-D5D65ABAE0C9}"/>
    <cellStyle name="Normal 2 2 4 3 3 8 2" xfId="17217" xr:uid="{3F6B70EE-BA74-4290-B633-7DA248AF6262}"/>
    <cellStyle name="Normal 2 2 4 3 3 9" xfId="9670" xr:uid="{229FE26D-1023-4A4D-A1C7-4055EDE62281}"/>
    <cellStyle name="Normal 2 2 4 3 3 9 2" xfId="20050" xr:uid="{504CD759-BF66-4E2B-81BB-E4A7ACAF66AE}"/>
    <cellStyle name="Normal 2 2 4 3 4" xfId="734" xr:uid="{00000000-0005-0000-0000-00008A040000}"/>
    <cellStyle name="Normal 2 2 4 3 4 2" xfId="3168" xr:uid="{00000000-0005-0000-0000-0000DA030000}"/>
    <cellStyle name="Normal 2 2 4 3 4 2 2" xfId="6226" xr:uid="{F765A875-AD5D-4C75-89E3-B8DA94E1753C}"/>
    <cellStyle name="Normal 2 2 4 3 4 2 2 2" xfId="27652" xr:uid="{252BA372-D21C-4DDE-845C-77AD841EC16F}"/>
    <cellStyle name="Normal 2 2 4 3 4 2 2 3" xfId="15795" xr:uid="{C271E321-8DC5-4A7F-A305-A8B025AB3CFA}"/>
    <cellStyle name="Normal 2 2 4 3 4 2 3" xfId="8248" xr:uid="{F9E7A9E0-7922-4E92-B3B1-BCBF9E3E4303}"/>
    <cellStyle name="Normal 2 2 4 3 4 2 3 2" xfId="18628" xr:uid="{14EFE4A3-625C-4E93-9608-332A8C3FB2D8}"/>
    <cellStyle name="Normal 2 2 4 3 4 2 4" xfId="11081" xr:uid="{1772275B-840F-4255-B9C0-A38062491EBD}"/>
    <cellStyle name="Normal 2 2 4 3 4 2 4 2" xfId="21461" xr:uid="{75EB25FD-3545-4591-BFCE-C128F8B5B590}"/>
    <cellStyle name="Normal 2 2 4 3 4 2 5" xfId="25442" xr:uid="{0FDC8DA2-1FDB-42FF-A72C-C284E265754E}"/>
    <cellStyle name="Normal 2 2 4 3 4 2 6" xfId="13703" xr:uid="{F6DEB117-66E8-499B-B0B1-CCEB661EEE63}"/>
    <cellStyle name="Normal 2 2 4 3 4 3" xfId="4291" xr:uid="{8FE3214D-0C93-4573-8449-E1F34DDE5BD5}"/>
    <cellStyle name="Normal 2 2 4 3 4 3 2" xfId="9063" xr:uid="{0BD680EC-C15A-44A0-B8A1-9EC9551196AE}"/>
    <cellStyle name="Normal 2 2 4 3 4 3 2 2" xfId="29106" xr:uid="{01535E38-C64E-4233-98FB-B5D4783F9A11}"/>
    <cellStyle name="Normal 2 2 4 3 4 3 2 3" xfId="19443" xr:uid="{C66CE573-D87F-454F-954C-3B2403130A23}"/>
    <cellStyle name="Normal 2 2 4 3 4 3 3" xfId="11896" xr:uid="{0B621841-4F60-43DF-AEA9-E96B25EAD65C}"/>
    <cellStyle name="Normal 2 2 4 3 4 3 3 2" xfId="22276" xr:uid="{F722B16E-420E-433B-A2F1-B35E3F8D8419}"/>
    <cellStyle name="Normal 2 2 4 3 4 3 4" xfId="24055" xr:uid="{B7A6E8F8-963B-4542-AE20-F86B07C14093}"/>
    <cellStyle name="Normal 2 2 4 3 4 3 5" xfId="16610" xr:uid="{72FC3F5F-D786-4274-B916-7A1DE5DB92F0}"/>
    <cellStyle name="Normal 2 2 4 3 4 4" xfId="5088" xr:uid="{32400931-A755-4571-8CFB-4E7888B43E28}"/>
    <cellStyle name="Normal 2 2 4 3 4 4 2" xfId="25992" xr:uid="{ACBC17BC-C7E8-4069-96E2-D4C9843552E4}"/>
    <cellStyle name="Normal 2 2 4 3 4 4 3" xfId="14385" xr:uid="{E71C67FA-F036-4B07-BE10-90BE2A0DC57B}"/>
    <cellStyle name="Normal 2 2 4 3 4 5" xfId="6838" xr:uid="{743F0839-4154-49FB-9931-1B978FDCB5B8}"/>
    <cellStyle name="Normal 2 2 4 3 4 5 2" xfId="17218" xr:uid="{CC654FD3-7F6F-4CE3-AB06-365691A9C31D}"/>
    <cellStyle name="Normal 2 2 4 3 4 6" xfId="9671" xr:uid="{23F114A4-73CC-46AA-B1BA-3A9024C67ADE}"/>
    <cellStyle name="Normal 2 2 4 3 4 6 2" xfId="20051" xr:uid="{995F1059-4563-486E-8E48-36CEC19249FA}"/>
    <cellStyle name="Normal 2 2 4 3 4 7" xfId="22636" xr:uid="{D76B0BC6-086A-49B4-AEE8-35486397A193}"/>
    <cellStyle name="Normal 2 2 4 3 4 8" xfId="13153" xr:uid="{A44FE865-5114-4C35-AA07-460B5DC8D787}"/>
    <cellStyle name="Normal 2 2 4 3 5" xfId="3169" xr:uid="{00000000-0005-0000-0000-0000DB030000}"/>
    <cellStyle name="Normal 2 2 4 3 5 2" xfId="4459" xr:uid="{A7E8F2A0-1A9E-4351-95CD-840EC1E9532B}"/>
    <cellStyle name="Normal 2 2 4 3 5 2 2" xfId="9231" xr:uid="{18D99DF7-3BD0-4B50-BD75-630CF73A79CC}"/>
    <cellStyle name="Normal 2 2 4 3 5 2 2 2" xfId="29222" xr:uid="{E22BA9C0-9FD8-419E-B824-741B3992A7A8}"/>
    <cellStyle name="Normal 2 2 4 3 5 2 2 3" xfId="19611" xr:uid="{14632DB7-C0D0-4E92-84C5-DD4D7D85F85E}"/>
    <cellStyle name="Normal 2 2 4 3 5 2 3" xfId="12064" xr:uid="{46BB92DB-6717-432F-ABD5-4E0498B9D351}"/>
    <cellStyle name="Normal 2 2 4 3 5 2 3 2" xfId="22444" xr:uid="{0A983757-ACA6-413B-9634-1998C8620852}"/>
    <cellStyle name="Normal 2 2 4 3 5 2 4" xfId="24500" xr:uid="{9874B245-46F0-47C8-877E-A0913D95DC47}"/>
    <cellStyle name="Normal 2 2 4 3 5 2 5" xfId="16778" xr:uid="{D9942624-64F7-417B-914D-73D09C077FEA}"/>
    <cellStyle name="Normal 2 2 4 3 5 3" xfId="6227" xr:uid="{786F0283-56BA-4908-B9F1-768636A77512}"/>
    <cellStyle name="Normal 2 2 4 3 5 3 2" xfId="28709" xr:uid="{1A9481AB-DA64-4F93-AD07-123AD50A6859}"/>
    <cellStyle name="Normal 2 2 4 3 5 3 3" xfId="15796" xr:uid="{D1E980AD-606F-4342-86C9-8FEE9A6FACDD}"/>
    <cellStyle name="Normal 2 2 4 3 5 4" xfId="8249" xr:uid="{C90F7A24-9FBA-487D-AF08-BD1BF8141DA6}"/>
    <cellStyle name="Normal 2 2 4 3 5 4 2" xfId="18629" xr:uid="{772EEA65-F09B-4057-AA8F-66787CA6DE2B}"/>
    <cellStyle name="Normal 2 2 4 3 5 5" xfId="11082" xr:uid="{7777D272-64CE-4AF5-ACCE-67D91FE724FC}"/>
    <cellStyle name="Normal 2 2 4 3 5 5 2" xfId="21462" xr:uid="{68DE7F88-1841-45E8-AE14-E8F4270E1C02}"/>
    <cellStyle name="Normal 2 2 4 3 5 6" xfId="23246" xr:uid="{1A8E6B69-D674-41BB-8D4F-1D37C186CCAE}"/>
    <cellStyle name="Normal 2 2 4 3 5 7" xfId="13704" xr:uid="{C70487F3-D881-498F-AEFF-3A3A2A4CC828}"/>
    <cellStyle name="Normal 2 2 4 3 6" xfId="2899" xr:uid="{00000000-0005-0000-0000-0000DC030000}"/>
    <cellStyle name="Normal 2 2 4 3 6 2" xfId="6085" xr:uid="{721C9F81-308C-4576-9F13-26A23769E380}"/>
    <cellStyle name="Normal 2 2 4 3 6 2 2" xfId="26677" xr:uid="{6C3AFA53-08E6-4398-8B42-461EB10A00D7}"/>
    <cellStyle name="Normal 2 2 4 3 6 2 3" xfId="15563" xr:uid="{6EB646C2-8E39-45A2-A1BE-1D02DF27C226}"/>
    <cellStyle name="Normal 2 2 4 3 6 3" xfId="8016" xr:uid="{E62F5643-2379-4F03-A954-5FF9A89A6BD8}"/>
    <cellStyle name="Normal 2 2 4 3 6 3 2" xfId="18396" xr:uid="{A4B6F157-D342-440E-B036-7B2EAC7F9A40}"/>
    <cellStyle name="Normal 2 2 4 3 6 4" xfId="10849" xr:uid="{7399136D-4BB7-453E-A24C-41AB2F2B9B22}"/>
    <cellStyle name="Normal 2 2 4 3 6 4 2" xfId="21229" xr:uid="{F56AD850-DA58-4CAD-8B2B-3BC657B32D3B}"/>
    <cellStyle name="Normal 2 2 4 3 6 5" xfId="23973" xr:uid="{BAA059BC-4F05-4B08-BCBD-4C43B9653F5C}"/>
    <cellStyle name="Normal 2 2 4 3 6 6" xfId="13412" xr:uid="{0282C8A2-5254-48F9-A77A-D9F531691BCF}"/>
    <cellStyle name="Normal 2 2 4 3 7" xfId="2473" xr:uid="{00000000-0005-0000-0000-0000DD030000}"/>
    <cellStyle name="Normal 2 2 4 3 7 2" xfId="5761" xr:uid="{E9BE1DA1-DBA2-4014-8E90-C38580891186}"/>
    <cellStyle name="Normal 2 2 4 3 7 2 2" xfId="26692" xr:uid="{2F085963-6914-4139-93C2-DA39799FBB75}"/>
    <cellStyle name="Normal 2 2 4 3 7 2 3" xfId="15145" xr:uid="{9D9274B6-6C14-4F48-90BA-E8B9130846BB}"/>
    <cellStyle name="Normal 2 2 4 3 7 3" xfId="7598" xr:uid="{97A10F47-C951-4780-B3AC-EEC53232A638}"/>
    <cellStyle name="Normal 2 2 4 3 7 3 2" xfId="17978" xr:uid="{2F4E08D7-AEDE-4897-910E-BE435BD2055E}"/>
    <cellStyle name="Normal 2 2 4 3 7 4" xfId="10431" xr:uid="{90229D57-D9CB-45C4-8AA0-C4C1BA53C2D0}"/>
    <cellStyle name="Normal 2 2 4 3 7 4 2" xfId="20811" xr:uid="{8C9E56C3-8CD4-42F2-A2EE-76EF8AE49452}"/>
    <cellStyle name="Normal 2 2 4 3 7 5" xfId="24639" xr:uid="{7006987F-CAD0-4C27-B8F6-1490B33C32DC}"/>
    <cellStyle name="Normal 2 2 4 3 7 6" xfId="12861" xr:uid="{4BB0C8D0-896F-4E30-AEED-A30F35DB3449}"/>
    <cellStyle name="Normal 2 2 4 3 8" xfId="2227" xr:uid="{00000000-0005-0000-0000-0000CC030000}"/>
    <cellStyle name="Normal 2 2 4 3 8 2" xfId="7354" xr:uid="{3703A4EB-E5A2-4E60-9790-DAA32FC67703}"/>
    <cellStyle name="Normal 2 2 4 3 8 2 2" xfId="17734" xr:uid="{AFD9C0FC-9699-4AA0-BFC7-96EE8C9102E1}"/>
    <cellStyle name="Normal 2 2 4 3 8 3" xfId="10187" xr:uid="{391BB5C4-3327-4B7B-9CC3-9E49E9F77817}"/>
    <cellStyle name="Normal 2 2 4 3 8 3 2" xfId="20567" xr:uid="{C66D681E-6CE6-4C34-A08C-E125C0AFF35A}"/>
    <cellStyle name="Normal 2 2 4 3 8 4" xfId="22687" xr:uid="{3E1D6A12-F790-4E46-9D60-D48E9354A353}"/>
    <cellStyle name="Normal 2 2 4 3 8 5" xfId="14901" xr:uid="{432BE09B-3005-4858-B500-D103BC86683B}"/>
    <cellStyle name="Normal 2 2 4 3 9" xfId="3929" xr:uid="{919A12B1-4137-4860-A862-349BD11EA352}"/>
    <cellStyle name="Normal 2 2 4 3 9 2" xfId="8761" xr:uid="{1BFF0860-7DAD-475B-B81C-9B65EDD2C12C}"/>
    <cellStyle name="Normal 2 2 4 3 9 2 2" xfId="19141" xr:uid="{6AF730A1-901B-4D46-9712-27810397D962}"/>
    <cellStyle name="Normal 2 2 4 3 9 3" xfId="11594" xr:uid="{30C9F86E-86E8-428B-9D69-7DBCB6D0302A}"/>
    <cellStyle name="Normal 2 2 4 3 9 3 2" xfId="21974" xr:uid="{B51407AE-2834-4D48-8935-E425B1104D1C}"/>
    <cellStyle name="Normal 2 2 4 3 9 4" xfId="16308" xr:uid="{F4E5DDAE-A54A-4B36-9712-699A36CED190}"/>
    <cellStyle name="Normal 2 2 4 4" xfId="735" xr:uid="{00000000-0005-0000-0000-00008B040000}"/>
    <cellStyle name="Normal 2 2 4 4 10" xfId="6839" xr:uid="{28E152B5-AE39-489A-B309-331A96C0A255}"/>
    <cellStyle name="Normal 2 2 4 4 10 2" xfId="17219" xr:uid="{545D8353-8C47-48D3-B99A-6799A551D911}"/>
    <cellStyle name="Normal 2 2 4 4 11" xfId="9672" xr:uid="{375B2FCE-377B-45C3-AA64-AB54FCC926ED}"/>
    <cellStyle name="Normal 2 2 4 4 11 2" xfId="20052" xr:uid="{2833EED9-B22B-4674-B971-DA744A19D722}"/>
    <cellStyle name="Normal 2 2 4 4 12" xfId="24561" xr:uid="{25EF1B4A-AE7B-4986-BFCC-578FB69DF156}"/>
    <cellStyle name="Normal 2 2 4 4 13" xfId="12439" xr:uid="{8FD132CF-49B9-4D59-B19E-4F98B9EEF700}"/>
    <cellStyle name="Normal 2 2 4 4 2" xfId="736" xr:uid="{00000000-0005-0000-0000-00008C040000}"/>
    <cellStyle name="Normal 2 2 4 4 2 10" xfId="9673" xr:uid="{3BFC7526-DD24-4E69-9046-08DF5964D0A5}"/>
    <cellStyle name="Normal 2 2 4 4 2 10 2" xfId="20053" xr:uid="{C659AD71-50E7-4B96-A55A-6EAFD912C79B}"/>
    <cellStyle name="Normal 2 2 4 4 2 11" xfId="22977" xr:uid="{E6A87204-66AD-471C-B620-94F1D2F34A2C}"/>
    <cellStyle name="Normal 2 2 4 4 2 12" xfId="12557" xr:uid="{C066DA0B-B2D7-417F-91E9-ED7F4213738E}"/>
    <cellStyle name="Normal 2 2 4 4 2 2" xfId="737" xr:uid="{00000000-0005-0000-0000-00008D040000}"/>
    <cellStyle name="Normal 2 2 4 4 2 2 2" xfId="3171" xr:uid="{00000000-0005-0000-0000-0000E1030000}"/>
    <cellStyle name="Normal 2 2 4 4 2 2 2 2" xfId="6229" xr:uid="{28483858-44C1-4E3F-8A77-72DA8029C5FF}"/>
    <cellStyle name="Normal 2 2 4 4 2 2 2 2 2" xfId="26629" xr:uid="{F68FBF4F-FD62-45F7-BEB2-2162511B2A4A}"/>
    <cellStyle name="Normal 2 2 4 4 2 2 2 2 3" xfId="26842" xr:uid="{29F33F5A-D940-43A5-B931-C0B501CA0DFB}"/>
    <cellStyle name="Normal 2 2 4 4 2 2 2 2 4" xfId="15798" xr:uid="{A5AD9C89-0101-4674-9F23-FAD9E24D6C49}"/>
    <cellStyle name="Normal 2 2 4 4 2 2 2 3" xfId="8251" xr:uid="{EA17EB81-A2CD-4CFC-9A22-7861201794A2}"/>
    <cellStyle name="Normal 2 2 4 4 2 2 2 3 2" xfId="28875" xr:uid="{6A9856E1-AF8C-46F2-BDC0-2C18C8A0E367}"/>
    <cellStyle name="Normal 2 2 4 4 2 2 2 3 3" xfId="18631" xr:uid="{CB26F624-9167-4FB8-8C0A-A16311834941}"/>
    <cellStyle name="Normal 2 2 4 4 2 2 2 4" xfId="11084" xr:uid="{D5A6ADFE-07E2-4619-9C63-BE5376FD203F}"/>
    <cellStyle name="Normal 2 2 4 4 2 2 2 4 2" xfId="21464" xr:uid="{970BFC75-E9CB-4FA0-9E55-2B4CBB770332}"/>
    <cellStyle name="Normal 2 2 4 4 2 2 2 5" xfId="24197" xr:uid="{C7F805C5-CD1D-4343-97B2-CB2904B30195}"/>
    <cellStyle name="Normal 2 2 4 4 2 2 2 6" xfId="13706" xr:uid="{A5BA1D42-DFBB-45CE-BE54-1C46C308C69F}"/>
    <cellStyle name="Normal 2 2 4 4 2 2 3" xfId="4294" xr:uid="{B78048BC-5451-4B7A-817E-666FB94357DB}"/>
    <cellStyle name="Normal 2 2 4 4 2 2 3 2" xfId="9066" xr:uid="{6D823A29-95CE-49AD-8A19-4E3316CFECDD}"/>
    <cellStyle name="Normal 2 2 4 4 2 2 3 2 2" xfId="29109" xr:uid="{80E5DA21-8A94-4D4F-97C7-ED19F16C6CFA}"/>
    <cellStyle name="Normal 2 2 4 4 2 2 3 2 3" xfId="19446" xr:uid="{7BDF0715-D175-494C-89C1-DFD8CC93A86B}"/>
    <cellStyle name="Normal 2 2 4 4 2 2 3 3" xfId="11899" xr:uid="{D5290866-D956-4FC8-A108-398E0DC7BF46}"/>
    <cellStyle name="Normal 2 2 4 4 2 2 3 3 2" xfId="22279" xr:uid="{07DD412E-235B-4C27-8074-60D13736BCAE}"/>
    <cellStyle name="Normal 2 2 4 4 2 2 3 4" xfId="23557" xr:uid="{31DD1FEC-DA3E-4CE7-92F5-5A971C3426DB}"/>
    <cellStyle name="Normal 2 2 4 4 2 2 3 5" xfId="16613" xr:uid="{B3538216-F715-4E68-92E2-D0880EF9D01A}"/>
    <cellStyle name="Normal 2 2 4 4 2 2 4" xfId="5091" xr:uid="{A7E355CD-0E3F-483B-8272-C414E2582F77}"/>
    <cellStyle name="Normal 2 2 4 4 2 2 4 2" xfId="28347" xr:uid="{1F9C6DE4-285B-433E-ABC7-AB854B8CE204}"/>
    <cellStyle name="Normal 2 2 4 4 2 2 4 3" xfId="14388" xr:uid="{8F3ACA04-E0A2-4A7C-9BAF-CB8955CED3E7}"/>
    <cellStyle name="Normal 2 2 4 4 2 2 5" xfId="6841" xr:uid="{27A434D6-B15F-479D-8681-5FD22A29BD41}"/>
    <cellStyle name="Normal 2 2 4 4 2 2 5 2" xfId="17221" xr:uid="{7DACB67C-6280-4D98-AE9B-103BD5B2E4C6}"/>
    <cellStyle name="Normal 2 2 4 4 2 2 6" xfId="9674" xr:uid="{A63E5426-E54D-43DB-A7BC-9F51459C7F64}"/>
    <cellStyle name="Normal 2 2 4 4 2 2 6 2" xfId="20054" xr:uid="{7E576224-A64A-4141-A23B-26DE3D63FC1E}"/>
    <cellStyle name="Normal 2 2 4 4 2 2 7" xfId="24606" xr:uid="{6502A045-E6C0-4438-BBD3-91DDBCE38B90}"/>
    <cellStyle name="Normal 2 2 4 4 2 2 8" xfId="13157" xr:uid="{7D679ACC-1F21-451F-ADC2-8A62E12A3398}"/>
    <cellStyle name="Normal 2 2 4 4 2 3" xfId="3172" xr:uid="{00000000-0005-0000-0000-0000E2030000}"/>
    <cellStyle name="Normal 2 2 4 4 2 3 2" xfId="4460" xr:uid="{206E568B-39CE-49B8-A61D-88EAA7919F7B}"/>
    <cellStyle name="Normal 2 2 4 4 2 3 2 2" xfId="9232" xr:uid="{1A3D5F21-CB49-4A3A-A819-33CD3F4A69BE}"/>
    <cellStyle name="Normal 2 2 4 4 2 3 2 2 2" xfId="29223" xr:uid="{C5C5F167-7233-41BA-87B4-0D2E75CFCF78}"/>
    <cellStyle name="Normal 2 2 4 4 2 3 2 2 3" xfId="19612" xr:uid="{45C39F80-5D95-41FF-B5DC-CEAC240300DA}"/>
    <cellStyle name="Normal 2 2 4 4 2 3 2 3" xfId="12065" xr:uid="{CAC07F2A-261C-4026-8C42-16192BB18E61}"/>
    <cellStyle name="Normal 2 2 4 4 2 3 2 3 2" xfId="22445" xr:uid="{0D19F29F-C64F-4AB4-A9FA-5F1CB9F70B30}"/>
    <cellStyle name="Normal 2 2 4 4 2 3 2 4" xfId="25708" xr:uid="{CDD8DDAB-9853-4B47-9D8E-6575E6953A69}"/>
    <cellStyle name="Normal 2 2 4 4 2 3 2 5" xfId="16779" xr:uid="{D8059488-2B45-405D-BE6E-2374BE30BFD3}"/>
    <cellStyle name="Normal 2 2 4 4 2 3 3" xfId="6230" xr:uid="{08C8D671-59C1-428E-8055-31CC7FE6F58E}"/>
    <cellStyle name="Normal 2 2 4 4 2 3 3 2" xfId="28544" xr:uid="{69B8F7CE-7389-4D99-BB44-AA1DB0CA353B}"/>
    <cellStyle name="Normal 2 2 4 4 2 3 3 3" xfId="15799" xr:uid="{31E4AAF4-9475-4707-9055-F536DB87E085}"/>
    <cellStyle name="Normal 2 2 4 4 2 3 4" xfId="8252" xr:uid="{E2929E5E-5C0D-4279-A283-F6F09470487D}"/>
    <cellStyle name="Normal 2 2 4 4 2 3 4 2" xfId="18632" xr:uid="{72CAC696-7E23-4B15-A05B-BFFCC84A86BF}"/>
    <cellStyle name="Normal 2 2 4 4 2 3 5" xfId="11085" xr:uid="{E6A5E95A-552F-40B6-ADF3-CA7A9476BEF6}"/>
    <cellStyle name="Normal 2 2 4 4 2 3 5 2" xfId="21465" xr:uid="{3CBB2F69-656D-4544-B4C3-B125B898FB5A}"/>
    <cellStyle name="Normal 2 2 4 4 2 3 6" xfId="23324" xr:uid="{9D4E033E-345B-42B5-B5CB-51D18B8300A9}"/>
    <cellStyle name="Normal 2 2 4 4 2 3 7" xfId="13707" xr:uid="{F5BDEA87-72D8-49AF-A594-3A3AAA66B1AB}"/>
    <cellStyle name="Normal 2 2 4 4 2 4" xfId="3170" xr:uid="{00000000-0005-0000-0000-0000E3030000}"/>
    <cellStyle name="Normal 2 2 4 4 2 4 2" xfId="6228" xr:uid="{7A8CD3BE-398A-42F4-A00C-D6C2D1FC6424}"/>
    <cellStyle name="Normal 2 2 4 4 2 4 2 2" xfId="25981" xr:uid="{D3AEFA4E-ED85-4369-801C-35C170119C43}"/>
    <cellStyle name="Normal 2 2 4 4 2 4 2 3" xfId="15797" xr:uid="{8B3D8C03-4B28-4701-9BC0-E0492329EE37}"/>
    <cellStyle name="Normal 2 2 4 4 2 4 3" xfId="8250" xr:uid="{AB654E16-B54B-4650-90D7-33C4D165A2E9}"/>
    <cellStyle name="Normal 2 2 4 4 2 4 3 2" xfId="18630" xr:uid="{FB553D22-0586-41D1-9388-C2CFE5E3579F}"/>
    <cellStyle name="Normal 2 2 4 4 2 4 4" xfId="11083" xr:uid="{EBC68E25-6416-4CAF-9284-4652454ED3F0}"/>
    <cellStyle name="Normal 2 2 4 4 2 4 4 2" xfId="21463" xr:uid="{D2FA66C1-030A-474F-9AA7-D466EA909659}"/>
    <cellStyle name="Normal 2 2 4 4 2 4 5" xfId="25314" xr:uid="{FBF2EB05-6896-4ABA-8B70-A39F5D34AFF2}"/>
    <cellStyle name="Normal 2 2 4 4 2 4 6" xfId="13705" xr:uid="{A141E574-1CE7-4677-80BB-24E6647DC336}"/>
    <cellStyle name="Normal 2 2 4 4 2 5" xfId="2616" xr:uid="{00000000-0005-0000-0000-0000E4030000}"/>
    <cellStyle name="Normal 2 2 4 4 2 5 2" xfId="5878" xr:uid="{D5067EBC-2A76-4582-98EF-85BF08AF765B}"/>
    <cellStyle name="Normal 2 2 4 4 2 5 2 2" xfId="28435" xr:uid="{78BEE00F-E4A4-4E20-A307-8FA1AF518F42}"/>
    <cellStyle name="Normal 2 2 4 4 2 5 2 3" xfId="15288" xr:uid="{E64DD205-EBA4-4437-B2D1-7E44E853D800}"/>
    <cellStyle name="Normal 2 2 4 4 2 5 3" xfId="7741" xr:uid="{3A682AFA-68B6-4AFA-9A6D-47E07CDE9E29}"/>
    <cellStyle name="Normal 2 2 4 4 2 5 3 2" xfId="18121" xr:uid="{DA12A73C-0C85-4C00-BF7D-3AC985E434BE}"/>
    <cellStyle name="Normal 2 2 4 4 2 5 4" xfId="10574" xr:uid="{EB98CB3D-7C11-4696-A1B8-69BB39AE169F}"/>
    <cellStyle name="Normal 2 2 4 4 2 5 4 2" xfId="20954" xr:uid="{B9F55497-735C-4CA6-AB2E-7F06AE06D658}"/>
    <cellStyle name="Normal 2 2 4 4 2 5 5" xfId="22925" xr:uid="{FBF42E42-30A9-4E67-99A3-8762FB36C74C}"/>
    <cellStyle name="Normal 2 2 4 4 2 5 6" xfId="13004" xr:uid="{0FFE5BC1-EEF7-4CA9-99AE-BA56E8A0DB3C}"/>
    <cellStyle name="Normal 2 2 4 4 2 6" xfId="2323" xr:uid="{00000000-0005-0000-0000-0000DF030000}"/>
    <cellStyle name="Normal 2 2 4 4 2 6 2" xfId="7450" xr:uid="{4B0A431F-81C3-424A-A1B9-5117ACAEBDC8}"/>
    <cellStyle name="Normal 2 2 4 4 2 6 2 2" xfId="17830" xr:uid="{EFDE1C88-A96F-4916-9785-960F88FC2CBC}"/>
    <cellStyle name="Normal 2 2 4 4 2 6 3" xfId="10283" xr:uid="{7D74A021-2C68-4F3D-A581-08CB0E0A0611}"/>
    <cellStyle name="Normal 2 2 4 4 2 6 3 2" xfId="20663" xr:uid="{F7A794A6-9A2D-435D-B820-48BFFCEB7CE0}"/>
    <cellStyle name="Normal 2 2 4 4 2 6 4" xfId="23255" xr:uid="{9A66368B-EDE4-4098-AAA0-B4C9A195FC3E}"/>
    <cellStyle name="Normal 2 2 4 4 2 6 5" xfId="14997" xr:uid="{F2C71A4D-B904-43C0-9BE3-6AB71E559423}"/>
    <cellStyle name="Normal 2 2 4 4 2 7" xfId="3842" xr:uid="{947E7DE4-2AAA-4678-93E2-AD134211222F}"/>
    <cellStyle name="Normal 2 2 4 4 2 7 2" xfId="8675" xr:uid="{921DFA96-96AF-4640-8753-FDF66440E028}"/>
    <cellStyle name="Normal 2 2 4 4 2 7 2 2" xfId="19055" xr:uid="{A60E6FFB-625D-48EC-84F9-98E7D2FBDBCE}"/>
    <cellStyle name="Normal 2 2 4 4 2 7 3" xfId="11508" xr:uid="{306D5514-044E-4B24-9269-02C4A23F0CA7}"/>
    <cellStyle name="Normal 2 2 4 4 2 7 3 2" xfId="21888" xr:uid="{D358F6F4-2044-41F4-8D7C-2D7523119D31}"/>
    <cellStyle name="Normal 2 2 4 4 2 7 4" xfId="16222" xr:uid="{048821DA-2C2B-425F-A0C8-D1A6C2D0C089}"/>
    <cellStyle name="Normal 2 2 4 4 2 8" xfId="5090" xr:uid="{D0EDA893-E636-4BBD-A856-E9E961EA5291}"/>
    <cellStyle name="Normal 2 2 4 4 2 8 2" xfId="14387" xr:uid="{C1DB47FF-B6D8-4A8D-9198-86547AE6E118}"/>
    <cellStyle name="Normal 2 2 4 4 2 9" xfId="6840" xr:uid="{685711C8-C591-421C-B3CA-6A7FEE7F9503}"/>
    <cellStyle name="Normal 2 2 4 4 2 9 2" xfId="17220" xr:uid="{0FC4E765-EF25-4FCB-9B58-82CAA5A6E735}"/>
    <cellStyle name="Normal 2 2 4 4 3" xfId="738" xr:uid="{00000000-0005-0000-0000-00008E040000}"/>
    <cellStyle name="Normal 2 2 4 4 3 2" xfId="3173" xr:uid="{00000000-0005-0000-0000-0000E6030000}"/>
    <cellStyle name="Normal 2 2 4 4 3 2 2" xfId="6231" xr:uid="{AEC9A15C-3897-45C6-A6F6-566F78D89093}"/>
    <cellStyle name="Normal 2 2 4 4 3 2 2 2" xfId="22741" xr:uid="{6081BA4B-B5AC-4CC6-86A4-23ADDB668E10}"/>
    <cellStyle name="Normal 2 2 4 4 3 2 2 3" xfId="28526" xr:uid="{6F0C2A27-5F8A-46A2-8A97-B32FBBF4D23E}"/>
    <cellStyle name="Normal 2 2 4 4 3 2 2 4" xfId="15800" xr:uid="{5DC77F8C-E6CC-42D2-AD15-C46239C9D594}"/>
    <cellStyle name="Normal 2 2 4 4 3 2 3" xfId="8253" xr:uid="{76509527-AEFC-4E16-9C04-BC9A58BF4955}"/>
    <cellStyle name="Normal 2 2 4 4 3 2 3 2" xfId="28876" xr:uid="{703DB7FC-9B0D-4086-90F4-6A8EB493AF8D}"/>
    <cellStyle name="Normal 2 2 4 4 3 2 3 3" xfId="18633" xr:uid="{4F120A83-0BE0-4DD3-8F4D-E57898805FD9}"/>
    <cellStyle name="Normal 2 2 4 4 3 2 4" xfId="11086" xr:uid="{25EEAC75-C747-4A62-B492-2FEC2383350C}"/>
    <cellStyle name="Normal 2 2 4 4 3 2 4 2" xfId="21466" xr:uid="{98B0BAF0-C3C1-4180-948A-1FE152978A3A}"/>
    <cellStyle name="Normal 2 2 4 4 3 2 5" xfId="25380" xr:uid="{EAAEC73E-2C23-4EAA-A9FA-4A9B618A51FE}"/>
    <cellStyle name="Normal 2 2 4 4 3 2 6" xfId="13708" xr:uid="{D6198460-BA57-4E25-AFE3-6D78E63DA367}"/>
    <cellStyle name="Normal 2 2 4 4 3 3" xfId="2725" xr:uid="{00000000-0005-0000-0000-0000E7030000}"/>
    <cellStyle name="Normal 2 2 4 4 3 3 2" xfId="5943" xr:uid="{1D18FA06-C285-4FCE-840F-7726D08ADCD2}"/>
    <cellStyle name="Normal 2 2 4 4 3 3 2 2" xfId="26395" xr:uid="{94948FCC-21DF-42DA-85D0-CEB2759B487D}"/>
    <cellStyle name="Normal 2 2 4 4 3 3 2 3" xfId="15396" xr:uid="{CB4508A2-3CF1-4781-8474-19DB3C944215}"/>
    <cellStyle name="Normal 2 2 4 4 3 3 3" xfId="7849" xr:uid="{6F51C793-BD92-48F4-A945-480DC939EE0B}"/>
    <cellStyle name="Normal 2 2 4 4 3 3 3 2" xfId="18229" xr:uid="{28ED8F68-5017-45AB-BBB2-6724396EAE2B}"/>
    <cellStyle name="Normal 2 2 4 4 3 3 4" xfId="10682" xr:uid="{C1DBEED9-84A2-4584-B432-2CEA05179ADD}"/>
    <cellStyle name="Normal 2 2 4 4 3 3 4 2" xfId="21062" xr:uid="{5755DDD9-E6B6-4AF8-B733-F8A0ABFA8A56}"/>
    <cellStyle name="Normal 2 2 4 4 3 3 5" xfId="22713" xr:uid="{5480C5DC-370B-4D68-9340-99542CB2E27A}"/>
    <cellStyle name="Normal 2 2 4 4 3 3 6" xfId="13156" xr:uid="{E550B2BD-17F8-4B9E-99E9-C720BDB97E52}"/>
    <cellStyle name="Normal 2 2 4 4 3 4" xfId="4159" xr:uid="{29B70EA5-493F-4A4C-9AAB-F0745EE8E9C7}"/>
    <cellStyle name="Normal 2 2 4 4 3 4 2" xfId="8931" xr:uid="{D286C9A1-A09B-41DF-BD14-9BE972AF9677}"/>
    <cellStyle name="Normal 2 2 4 4 3 4 2 2" xfId="29028" xr:uid="{15C43BBA-81D1-46D9-B219-8D124E42713E}"/>
    <cellStyle name="Normal 2 2 4 4 3 4 2 3" xfId="19311" xr:uid="{74B98875-B4D2-4C85-9BB9-F5B64AEA1AE7}"/>
    <cellStyle name="Normal 2 2 4 4 3 4 3" xfId="11764" xr:uid="{0740932C-0657-4FC7-B42C-4FD43BF391C4}"/>
    <cellStyle name="Normal 2 2 4 4 3 4 3 2" xfId="22144" xr:uid="{40862A5D-22C5-4F91-A67F-625D5BF41BAB}"/>
    <cellStyle name="Normal 2 2 4 4 3 4 4" xfId="25285" xr:uid="{28EB06E8-35D9-41B7-A6ED-F6C5216ED081}"/>
    <cellStyle name="Normal 2 2 4 4 3 4 5" xfId="16478" xr:uid="{E6F72420-9E7F-4453-884B-C72A8488B5AE}"/>
    <cellStyle name="Normal 2 2 4 4 3 5" xfId="5092" xr:uid="{99BB098F-49B2-4E54-9FAD-ED4856CBD1C3}"/>
    <cellStyle name="Normal 2 2 4 4 3 5 2" xfId="26628" xr:uid="{342A50DA-C48E-47AB-B5E9-871F17FA607B}"/>
    <cellStyle name="Normal 2 2 4 4 3 5 3" xfId="14389" xr:uid="{4060603D-95A6-41B6-8D68-D0F790E76ABE}"/>
    <cellStyle name="Normal 2 2 4 4 3 6" xfId="6842" xr:uid="{A608F365-6CB5-4AB0-A40B-A32EF0CB4174}"/>
    <cellStyle name="Normal 2 2 4 4 3 6 2" xfId="17222" xr:uid="{B9833EDB-AB48-4EAA-A136-B57BDA372475}"/>
    <cellStyle name="Normal 2 2 4 4 3 7" xfId="9675" xr:uid="{70768092-000C-4A45-887B-BF38241F6CC5}"/>
    <cellStyle name="Normal 2 2 4 4 3 7 2" xfId="20055" xr:uid="{E51A2E36-A471-40DE-AD4A-FD5DACC39447}"/>
    <cellStyle name="Normal 2 2 4 4 3 8" xfId="24222" xr:uid="{97AFD24C-F5A5-4F00-A96B-8C0B6F5D2221}"/>
    <cellStyle name="Normal 2 2 4 4 3 9" xfId="12715" xr:uid="{90A98170-6759-44D3-B540-5133EB0A3B85}"/>
    <cellStyle name="Normal 2 2 4 4 4" xfId="739" xr:uid="{00000000-0005-0000-0000-00008F040000}"/>
    <cellStyle name="Normal 2 2 4 4 4 2" xfId="4461" xr:uid="{6F61A1E0-1820-47C0-8C47-577AD9F9DAA3}"/>
    <cellStyle name="Normal 2 2 4 4 4 2 2" xfId="9233" xr:uid="{A475B121-84BE-42D6-8C27-FE2A6C61BCED}"/>
    <cellStyle name="Normal 2 2 4 4 4 2 2 2" xfId="29224" xr:uid="{59D8F497-75E7-40C8-AF91-B75815CA8E29}"/>
    <cellStyle name="Normal 2 2 4 4 4 2 2 3" xfId="19613" xr:uid="{93627C9A-A0A8-4554-A245-32AB4D560D98}"/>
    <cellStyle name="Normal 2 2 4 4 4 2 3" xfId="12066" xr:uid="{56BFEA34-C594-4E40-A4DD-2B246337596B}"/>
    <cellStyle name="Normal 2 2 4 4 4 2 3 2" xfId="22446" xr:uid="{D7AAE023-1B66-4B7F-81B1-4A58E6793B0E}"/>
    <cellStyle name="Normal 2 2 4 4 4 2 4" xfId="23549" xr:uid="{33069559-9E77-4F89-B51A-34DF942CEC6A}"/>
    <cellStyle name="Normal 2 2 4 4 4 2 5" xfId="16780" xr:uid="{8F563E49-31CF-455A-AC24-7F91AAF4F63D}"/>
    <cellStyle name="Normal 2 2 4 4 4 3" xfId="5093" xr:uid="{BC1CB8FF-8F1B-4BA9-89E8-303B964FCFE1}"/>
    <cellStyle name="Normal 2 2 4 4 4 3 2" xfId="27346" xr:uid="{8891E6CB-1C64-47CC-BF55-882F285C3294}"/>
    <cellStyle name="Normal 2 2 4 4 4 3 3" xfId="14390" xr:uid="{DBE931C6-EF20-4F7B-9979-8672A3D304C5}"/>
    <cellStyle name="Normal 2 2 4 4 4 4" xfId="6843" xr:uid="{8ED7317D-AE72-42E4-B033-B26F442A5557}"/>
    <cellStyle name="Normal 2 2 4 4 4 4 2" xfId="17223" xr:uid="{EC7E73AB-B357-411A-A1A2-1AA9324CFAF6}"/>
    <cellStyle name="Normal 2 2 4 4 4 5" xfId="9676" xr:uid="{8C46AFBD-24F4-42A2-87E9-FE63B2E36246}"/>
    <cellStyle name="Normal 2 2 4 4 4 5 2" xfId="20056" xr:uid="{579A9DD2-1D03-428F-9B67-C7794496F86F}"/>
    <cellStyle name="Normal 2 2 4 4 4 6" xfId="23777" xr:uid="{1B0A001D-86C2-4545-920E-AA84E3F3E29E}"/>
    <cellStyle name="Normal 2 2 4 4 4 7" xfId="13709" xr:uid="{1BC04112-A3D0-415F-BFA2-2A66E4C563F2}"/>
    <cellStyle name="Normal 2 2 4 4 5" xfId="2900" xr:uid="{00000000-0005-0000-0000-0000E9030000}"/>
    <cellStyle name="Normal 2 2 4 4 5 2" xfId="6086" xr:uid="{0DE3E1DB-7D7E-48D0-8C45-8CE4F344C2D7}"/>
    <cellStyle name="Normal 2 2 4 4 5 2 2" xfId="24192" xr:uid="{96DA388D-9760-4F77-B463-9718C34830DD}"/>
    <cellStyle name="Normal 2 2 4 4 5 2 3" xfId="26081" xr:uid="{CA8D3603-B7B2-424A-9666-F2140B681E26}"/>
    <cellStyle name="Normal 2 2 4 4 5 2 4" xfId="15564" xr:uid="{91910D66-2E8E-4E05-ABB7-E81FEB359B34}"/>
    <cellStyle name="Normal 2 2 4 4 5 3" xfId="8017" xr:uid="{A502F691-3D0E-4563-87E2-CC79587729B7}"/>
    <cellStyle name="Normal 2 2 4 4 5 3 2" xfId="28592" xr:uid="{31974CD5-239E-45A9-ABE3-300A149574EA}"/>
    <cellStyle name="Normal 2 2 4 4 5 3 3" xfId="18397" xr:uid="{D5D7E922-CF7E-4602-BF0D-8428E385B66F}"/>
    <cellStyle name="Normal 2 2 4 4 5 4" xfId="10850" xr:uid="{22AD69CC-79E4-474F-8BA8-6928D1F6475C}"/>
    <cellStyle name="Normal 2 2 4 4 5 4 2" xfId="21230" xr:uid="{1DE5C62F-DDBE-4826-86D7-DE5A8EB1D5F3}"/>
    <cellStyle name="Normal 2 2 4 4 5 5" xfId="23198" xr:uid="{8EF9A2B9-BA47-4481-A01F-091A99849719}"/>
    <cellStyle name="Normal 2 2 4 4 5 6" xfId="13413" xr:uid="{F71E976F-F2E4-4870-8EC4-0698440CD54D}"/>
    <cellStyle name="Normal 2 2 4 4 6" xfId="2453" xr:uid="{00000000-0005-0000-0000-0000EA030000}"/>
    <cellStyle name="Normal 2 2 4 4 6 2" xfId="5745" xr:uid="{503F4DAD-0739-4D22-B301-05F69B020E1D}"/>
    <cellStyle name="Normal 2 2 4 4 6 2 2" xfId="27114" xr:uid="{BFE77B4D-3671-486C-BE5C-A397C96854F0}"/>
    <cellStyle name="Normal 2 2 4 4 6 2 3" xfId="15125" xr:uid="{45328C7B-52DA-487E-AA36-56D91EE4B36C}"/>
    <cellStyle name="Normal 2 2 4 4 6 3" xfId="7578" xr:uid="{BC637505-56DC-4566-8575-6501DB897D14}"/>
    <cellStyle name="Normal 2 2 4 4 6 3 2" xfId="17958" xr:uid="{ADF89247-8533-412A-987F-7361408CF1DC}"/>
    <cellStyle name="Normal 2 2 4 4 6 4" xfId="10411" xr:uid="{0F209FF0-DB3D-4705-B36C-8B8EA8D305DD}"/>
    <cellStyle name="Normal 2 2 4 4 6 4 2" xfId="20791" xr:uid="{55AE9076-243B-47F8-9ABF-68A36C6388D7}"/>
    <cellStyle name="Normal 2 2 4 4 6 5" xfId="23700" xr:uid="{8742C3B2-0416-4933-B98B-59B351F99F24}"/>
    <cellStyle name="Normal 2 2 4 4 6 6" xfId="12841" xr:uid="{4A6421B6-61C8-4996-A67A-A4F3D90FA67B}"/>
    <cellStyle name="Normal 2 2 4 4 7" xfId="2207" xr:uid="{00000000-0005-0000-0000-0000DE030000}"/>
    <cellStyle name="Normal 2 2 4 4 7 2" xfId="7334" xr:uid="{1A31971A-39F5-4EEA-94AD-C4849A017D9D}"/>
    <cellStyle name="Normal 2 2 4 4 7 2 2" xfId="17714" xr:uid="{8C7E7CA6-E30D-4C36-8BF4-F0A980FDE0A3}"/>
    <cellStyle name="Normal 2 2 4 4 7 3" xfId="10167" xr:uid="{A1DCAF1F-9C89-4E06-8EF8-FD3DFCB86A49}"/>
    <cellStyle name="Normal 2 2 4 4 7 3 2" xfId="20547" xr:uid="{A74C7EDB-A006-4F72-9768-DFAC23401C5D}"/>
    <cellStyle name="Normal 2 2 4 4 7 4" xfId="24286" xr:uid="{9DF97B59-32B7-41EC-B282-0F0F5F95B48F}"/>
    <cellStyle name="Normal 2 2 4 4 7 5" xfId="14881" xr:uid="{3A5D5290-DD44-4C7C-A76B-F57BA77A82DD}"/>
    <cellStyle name="Normal 2 2 4 4 8" xfId="3930" xr:uid="{962AD314-BF12-439C-AB49-0651A687A10E}"/>
    <cellStyle name="Normal 2 2 4 4 8 2" xfId="8762" xr:uid="{1DDDB41C-94D2-4D16-B145-A71EDBC318ED}"/>
    <cellStyle name="Normal 2 2 4 4 8 2 2" xfId="19142" xr:uid="{B9DF84F6-C140-40B7-8AC4-2AFD6A35CE40}"/>
    <cellStyle name="Normal 2 2 4 4 8 3" xfId="11595" xr:uid="{346BA0A1-AE22-4C9D-BDCA-F68E6E6D2258}"/>
    <cellStyle name="Normal 2 2 4 4 8 3 2" xfId="21975" xr:uid="{1F59A14C-F2DF-4B34-BFEE-2FA3B6A69306}"/>
    <cellStyle name="Normal 2 2 4 4 8 4" xfId="16309" xr:uid="{C9490936-9543-4F9B-AF22-D5AD73F04C32}"/>
    <cellStyle name="Normal 2 2 4 4 9" xfId="5089" xr:uid="{492C6885-DC44-4B48-8499-F1090CC0D711}"/>
    <cellStyle name="Normal 2 2 4 4 9 2" xfId="14386" xr:uid="{BE6675D0-FABD-4AB3-B1BD-5D214A7BDEDB}"/>
    <cellStyle name="Normal 2 2 4 5" xfId="740" xr:uid="{00000000-0005-0000-0000-000090040000}"/>
    <cellStyle name="Normal 2 2 4 5 10" xfId="9677" xr:uid="{7B97F55A-82F5-48A1-B2B1-D2BF92C5B64F}"/>
    <cellStyle name="Normal 2 2 4 5 10 2" xfId="20057" xr:uid="{F8D046E5-C5AA-4AD2-B070-1DC81C413E00}"/>
    <cellStyle name="Normal 2 2 4 5 11" xfId="23717" xr:uid="{0951A431-4C8C-4F89-9420-DA73C96B3141}"/>
    <cellStyle name="Normal 2 2 4 5 12" xfId="12558" xr:uid="{A3E7AC24-E3A9-43E8-9E59-4A513FD1FF03}"/>
    <cellStyle name="Normal 2 2 4 5 2" xfId="741" xr:uid="{00000000-0005-0000-0000-000091040000}"/>
    <cellStyle name="Normal 2 2 4 5 2 2" xfId="742" xr:uid="{00000000-0005-0000-0000-000092040000}"/>
    <cellStyle name="Normal 2 2 4 5 2 2 2" xfId="5096" xr:uid="{28570D24-0A6D-4749-B208-79CEBAAD5853}"/>
    <cellStyle name="Normal 2 2 4 5 2 2 2 2" xfId="22828" xr:uid="{3F0B452C-4939-41CA-93D5-5DD1126CB3F3}"/>
    <cellStyle name="Normal 2 2 4 5 2 2 2 3" xfId="27049" xr:uid="{40ECDCAF-293A-4154-9A21-1B16E386C4EF}"/>
    <cellStyle name="Normal 2 2 4 5 2 2 2 4" xfId="14393" xr:uid="{044275AE-12C9-498C-A003-DE8E34E87906}"/>
    <cellStyle name="Normal 2 2 4 5 2 2 3" xfId="6846" xr:uid="{5C17A478-D5DD-465B-8874-B8ED2426D041}"/>
    <cellStyle name="Normal 2 2 4 5 2 2 3 2" xfId="27588" xr:uid="{0D63F2D4-6085-471C-84A3-B300ED17C07C}"/>
    <cellStyle name="Normal 2 2 4 5 2 2 3 3" xfId="27221" xr:uid="{B0C46705-ED62-4E14-84D2-519B282BDCEB}"/>
    <cellStyle name="Normal 2 2 4 5 2 2 3 4" xfId="17226" xr:uid="{5459CE37-F0C5-45CB-96A5-25B619B06C47}"/>
    <cellStyle name="Normal 2 2 4 5 2 2 4" xfId="9679" xr:uid="{F042A46C-D0F9-41D4-B2A4-92CD80D95D32}"/>
    <cellStyle name="Normal 2 2 4 5 2 2 4 2" xfId="29391" xr:uid="{03658FA6-7EE1-4353-BE74-76B87C1AADA6}"/>
    <cellStyle name="Normal 2 2 4 5 2 2 4 3" xfId="20059" xr:uid="{AA542A39-720A-4635-9083-45EE6A0A5CC6}"/>
    <cellStyle name="Normal 2 2 4 5 2 2 5" xfId="24815" xr:uid="{7B2739E9-5973-4F5C-B8B6-6B73C0D1F165}"/>
    <cellStyle name="Normal 2 2 4 5 2 2 6" xfId="13710" xr:uid="{BB7E1BB1-AB4F-42E9-8D62-F17FCEEBCD35}"/>
    <cellStyle name="Normal 2 2 4 5 2 3" xfId="2726" xr:uid="{00000000-0005-0000-0000-0000EE030000}"/>
    <cellStyle name="Normal 2 2 4 5 2 3 2" xfId="5944" xr:uid="{F6D38D51-2623-49A2-8808-D5BB8AFFFF61}"/>
    <cellStyle name="Normal 2 2 4 5 2 3 2 2" xfId="27892" xr:uid="{C21BDB48-8823-42E7-92C5-9B8DB0D560C7}"/>
    <cellStyle name="Normal 2 2 4 5 2 3 2 3" xfId="15397" xr:uid="{D2D9347C-04B5-4346-BDEB-C692AA8CA9FE}"/>
    <cellStyle name="Normal 2 2 4 5 2 3 3" xfId="7850" xr:uid="{0E5FCDA9-E4F7-4688-9D9D-88255B9DD5EA}"/>
    <cellStyle name="Normal 2 2 4 5 2 3 3 2" xfId="18230" xr:uid="{592C8A09-FE5B-4460-B472-67C1E3085872}"/>
    <cellStyle name="Normal 2 2 4 5 2 3 4" xfId="10683" xr:uid="{0AD2B235-01AE-4C19-A4B6-DE626B8E454A}"/>
    <cellStyle name="Normal 2 2 4 5 2 3 4 2" xfId="21063" xr:uid="{C7884267-B29B-4974-A01D-909FDF74F5FF}"/>
    <cellStyle name="Normal 2 2 4 5 2 3 5" xfId="23435" xr:uid="{7FF78EF0-3EB3-4DE3-AF88-1356CDB6B359}"/>
    <cellStyle name="Normal 2 2 4 5 2 3 6" xfId="13158" xr:uid="{928D3D76-F08C-4966-BB9A-B6A8880D2C25}"/>
    <cellStyle name="Normal 2 2 4 5 2 4" xfId="4160" xr:uid="{B1CB9D71-BC6D-4295-8292-81C516C3D8E2}"/>
    <cellStyle name="Normal 2 2 4 5 2 4 2" xfId="8932" xr:uid="{24CA900A-4291-437F-8DED-6E64B2BD93DE}"/>
    <cellStyle name="Normal 2 2 4 5 2 4 2 2" xfId="29029" xr:uid="{8CBEBEA7-7A2E-4712-A5A6-92EFD5340060}"/>
    <cellStyle name="Normal 2 2 4 5 2 4 2 3" xfId="19312" xr:uid="{A48A11BB-1DD6-48D0-8C40-08BE5F1C595A}"/>
    <cellStyle name="Normal 2 2 4 5 2 4 3" xfId="11765" xr:uid="{11E6FCD9-830F-4F75-828E-70B88D2E995E}"/>
    <cellStyle name="Normal 2 2 4 5 2 4 3 2" xfId="22145" xr:uid="{18C0C716-41DF-4A62-A6BD-470B2DC2FC54}"/>
    <cellStyle name="Normal 2 2 4 5 2 4 4" xfId="23251" xr:uid="{A98E546F-C340-48AF-A43B-C807C1E05AE5}"/>
    <cellStyle name="Normal 2 2 4 5 2 4 5" xfId="16479" xr:uid="{831B71F9-BF95-4D3F-94C0-484719694836}"/>
    <cellStyle name="Normal 2 2 4 5 2 5" xfId="5095" xr:uid="{C3E2C19F-B5DD-4E01-9FC4-5993F6DA318B}"/>
    <cellStyle name="Normal 2 2 4 5 2 5 2" xfId="27951" xr:uid="{354E6BC2-73E2-4260-9F97-02018A60A75D}"/>
    <cellStyle name="Normal 2 2 4 5 2 5 3" xfId="14392" xr:uid="{3808A8A3-344F-438D-9BA1-44B18E74A88D}"/>
    <cellStyle name="Normal 2 2 4 5 2 6" xfId="6845" xr:uid="{073BA752-4158-4AD7-89AD-6E1F88147547}"/>
    <cellStyle name="Normal 2 2 4 5 2 6 2" xfId="17225" xr:uid="{C01ACFD6-2AA5-47C1-8013-9A69BB6E227F}"/>
    <cellStyle name="Normal 2 2 4 5 2 7" xfId="9678" xr:uid="{9BFC9367-57A4-4BCF-A13E-1EAB9A6C3750}"/>
    <cellStyle name="Normal 2 2 4 5 2 7 2" xfId="20058" xr:uid="{B015A7D0-F84B-4715-B46E-0B42B8A584F1}"/>
    <cellStyle name="Normal 2 2 4 5 2 8" xfId="23516" xr:uid="{582BBEEB-E589-4F88-A671-E0E3D0B20B5B}"/>
    <cellStyle name="Normal 2 2 4 5 2 9" xfId="12716" xr:uid="{23A72284-53DE-4592-B12C-9935660E9B4E}"/>
    <cellStyle name="Normal 2 2 4 5 3" xfId="743" xr:uid="{00000000-0005-0000-0000-000093040000}"/>
    <cellStyle name="Normal 2 2 4 5 3 2" xfId="4462" xr:uid="{543D7010-EC11-4C5C-8823-CA07FA97EBB6}"/>
    <cellStyle name="Normal 2 2 4 5 3 2 2" xfId="9234" xr:uid="{7946EBE5-C8A6-4AFC-8C75-BE85067E2889}"/>
    <cellStyle name="Normal 2 2 4 5 3 2 2 2" xfId="29225" xr:uid="{F16FFD0B-9C8F-427B-A9D0-CB334C7BBE3E}"/>
    <cellStyle name="Normal 2 2 4 5 3 2 2 3" xfId="19614" xr:uid="{34AB9D2E-E36C-4407-B65D-071BC5B859E2}"/>
    <cellStyle name="Normal 2 2 4 5 3 2 3" xfId="12067" xr:uid="{F638B181-2765-4D51-AF81-82FD5E72D1B3}"/>
    <cellStyle name="Normal 2 2 4 5 3 2 3 2" xfId="22447" xr:uid="{985CFABC-40AE-4CB2-A002-79B451F3F5B4}"/>
    <cellStyle name="Normal 2 2 4 5 3 2 4" xfId="25423" xr:uid="{36EB2C9D-BC28-4930-9B0C-930F3B5E4937}"/>
    <cellStyle name="Normal 2 2 4 5 3 2 5" xfId="16781" xr:uid="{378EFF27-069C-46B2-B917-7EE7243E536F}"/>
    <cellStyle name="Normal 2 2 4 5 3 3" xfId="5097" xr:uid="{5B0E600D-0395-4FA7-A923-CC03DBD41799}"/>
    <cellStyle name="Normal 2 2 4 5 3 3 2" xfId="24760" xr:uid="{7AFC624E-A7DB-4CFC-A0E7-45DF82D9EB1C}"/>
    <cellStyle name="Normal 2 2 4 5 3 3 3" xfId="26846" xr:uid="{04416A7C-E78A-4D80-A1F5-694BE8817E89}"/>
    <cellStyle name="Normal 2 2 4 5 3 3 4" xfId="14394" xr:uid="{78695938-377C-4D3D-89A4-72AE6A0619ED}"/>
    <cellStyle name="Normal 2 2 4 5 3 4" xfId="6847" xr:uid="{DBAE9308-A02F-41C9-9F77-0D2FBCB348CD}"/>
    <cellStyle name="Normal 2 2 4 5 3 4 2" xfId="25704" xr:uid="{02CD26FC-D72B-46A9-8F6F-D52FC0B4806E}"/>
    <cellStyle name="Normal 2 2 4 5 3 4 3" xfId="27987" xr:uid="{1CFA8BB8-A730-464D-86F9-BF569D84CD9B}"/>
    <cellStyle name="Normal 2 2 4 5 3 4 4" xfId="17227" xr:uid="{A3C3C419-C14C-4BC4-AB63-49466C8B3622}"/>
    <cellStyle name="Normal 2 2 4 5 3 5" xfId="9680" xr:uid="{1751C3CC-0E75-4446-BCE1-1D486883D5E6}"/>
    <cellStyle name="Normal 2 2 4 5 3 5 2" xfId="29392" xr:uid="{49D9377F-5AA3-4BEE-A998-76104D0D30A7}"/>
    <cellStyle name="Normal 2 2 4 5 3 5 3" xfId="20060" xr:uid="{B0E31A0F-1173-4255-BCF9-CC90A97B1F69}"/>
    <cellStyle name="Normal 2 2 4 5 3 6" xfId="23277" xr:uid="{2799481D-DDCC-406B-BD0B-987BBCF4D72E}"/>
    <cellStyle name="Normal 2 2 4 5 3 7" xfId="13711" xr:uid="{857D0E4E-899C-4861-BC16-BDE19717E27D}"/>
    <cellStyle name="Normal 2 2 4 5 4" xfId="744" xr:uid="{00000000-0005-0000-0000-000094040000}"/>
    <cellStyle name="Normal 2 2 4 5 4 2" xfId="5098" xr:uid="{7EB87CF0-2C76-4CBC-B6CB-9049E5B4F660}"/>
    <cellStyle name="Normal 2 2 4 5 4 2 2" xfId="25170" xr:uid="{8D1AEB1C-7266-473D-A268-862F58BB468B}"/>
    <cellStyle name="Normal 2 2 4 5 4 2 3" xfId="28703" xr:uid="{09FC95F5-B032-4D86-9861-23E1B2AAB4FE}"/>
    <cellStyle name="Normal 2 2 4 5 4 2 4" xfId="14395" xr:uid="{B85F9BC3-E33B-4029-A728-5A5C01794323}"/>
    <cellStyle name="Normal 2 2 4 5 4 3" xfId="6848" xr:uid="{3DBE0692-25D7-47D1-84E5-78018D02E7FB}"/>
    <cellStyle name="Normal 2 2 4 5 4 3 2" xfId="26915" xr:uid="{CDD2B155-591B-40A3-A0FB-D2C641F48F48}"/>
    <cellStyle name="Normal 2 2 4 5 4 3 3" xfId="17228" xr:uid="{CF9DB049-2E4F-4FB7-8079-18014F18DA3D}"/>
    <cellStyle name="Normal 2 2 4 5 4 4" xfId="9681" xr:uid="{9FB6C89D-5A91-4333-B754-32C018CC61CB}"/>
    <cellStyle name="Normal 2 2 4 5 4 4 2" xfId="20061" xr:uid="{A49A9189-74E2-42E8-AB4E-E0A6EA5B4F59}"/>
    <cellStyle name="Normal 2 2 4 5 4 5" xfId="25298" xr:uid="{3BEF782F-789F-43ED-B5D0-E737472780A8}"/>
    <cellStyle name="Normal 2 2 4 5 4 6" xfId="13414" xr:uid="{D770B22A-6255-463E-A8D4-F5BD124F57B7}"/>
    <cellStyle name="Normal 2 2 4 5 5" xfId="2513" xr:uid="{00000000-0005-0000-0000-0000F1030000}"/>
    <cellStyle name="Normal 2 2 4 5 5 2" xfId="5791" xr:uid="{61229B4B-7D35-441F-9C05-74043052A51A}"/>
    <cellStyle name="Normal 2 2 4 5 5 2 2" xfId="26902" xr:uid="{AB113FE4-F214-4508-B776-1E5A01F008CF}"/>
    <cellStyle name="Normal 2 2 4 5 5 2 3" xfId="15185" xr:uid="{C63419A0-6CF0-45AE-B6CA-A8578A0CB174}"/>
    <cellStyle name="Normal 2 2 4 5 5 3" xfId="7638" xr:uid="{E39053B9-93D2-44E9-A498-C40D0CF96456}"/>
    <cellStyle name="Normal 2 2 4 5 5 3 2" xfId="18018" xr:uid="{1ED545CA-255A-4438-8465-B120DDBB1034}"/>
    <cellStyle name="Normal 2 2 4 5 5 4" xfId="10471" xr:uid="{A8E0CB94-435A-412C-AF33-2EC7A9517F51}"/>
    <cellStyle name="Normal 2 2 4 5 5 4 2" xfId="20851" xr:uid="{9F14E22E-44B6-4D2B-A0FC-A873ECC1D32D}"/>
    <cellStyle name="Normal 2 2 4 5 5 5" xfId="22736" xr:uid="{494A08E6-C05E-47AB-B77E-5A9E143FB3F9}"/>
    <cellStyle name="Normal 2 2 4 5 5 6" xfId="12901" xr:uid="{6812ADF2-3DA3-4AB6-B7CB-FB1116E3258B}"/>
    <cellStyle name="Normal 2 2 4 5 6" xfId="2324" xr:uid="{00000000-0005-0000-0000-0000EB030000}"/>
    <cellStyle name="Normal 2 2 4 5 6 2" xfId="7451" xr:uid="{F41C4F13-5347-4957-9A27-118AF936526E}"/>
    <cellStyle name="Normal 2 2 4 5 6 2 2" xfId="28374" xr:uid="{273C0756-2776-4BA1-959B-4C4F49D88BF9}"/>
    <cellStyle name="Normal 2 2 4 5 6 2 3" xfId="17831" xr:uid="{90CB542C-D474-473F-A9E1-74BA300B9FCB}"/>
    <cellStyle name="Normal 2 2 4 5 6 3" xfId="10284" xr:uid="{E33EA191-46E5-476C-8E41-FE5C7F3751EE}"/>
    <cellStyle name="Normal 2 2 4 5 6 3 2" xfId="20664" xr:uid="{809E6F6C-1E7F-42AB-9E97-32FCE6D8504F}"/>
    <cellStyle name="Normal 2 2 4 5 6 4" xfId="24176" xr:uid="{CA1C02D9-C18B-435F-9838-57D8C1FCB386}"/>
    <cellStyle name="Normal 2 2 4 5 6 5" xfId="14998" xr:uid="{15C86A47-CAD9-4DF2-894C-75F8E206E539}"/>
    <cellStyle name="Normal 2 2 4 5 7" xfId="3931" xr:uid="{92C6F550-D67D-4D22-B4F4-71D3B594C79A}"/>
    <cellStyle name="Normal 2 2 4 5 7 2" xfId="8763" xr:uid="{F5E22FFD-B196-431C-BB9C-3E3F3A5ED9C4}"/>
    <cellStyle name="Normal 2 2 4 5 7 2 2" xfId="19143" xr:uid="{1A0B5E1F-9C62-46C2-AC7E-A68903DE8D29}"/>
    <cellStyle name="Normal 2 2 4 5 7 3" xfId="11596" xr:uid="{C8932BFE-8894-4946-9B20-BA1522CD46DA}"/>
    <cellStyle name="Normal 2 2 4 5 7 3 2" xfId="21976" xr:uid="{37AA7A53-86F3-43A6-85AE-B014BFE186E5}"/>
    <cellStyle name="Normal 2 2 4 5 7 4" xfId="28525" xr:uid="{51A23BEE-B27A-4184-A621-0A37B2EBE4D2}"/>
    <cellStyle name="Normal 2 2 4 5 7 5" xfId="16310" xr:uid="{19324787-BDE0-43D5-A9BC-938202896513}"/>
    <cellStyle name="Normal 2 2 4 5 8" xfId="5094" xr:uid="{E495AB42-427E-401E-938A-EA0A6B689707}"/>
    <cellStyle name="Normal 2 2 4 5 8 2" xfId="14391" xr:uid="{E71EFFA8-FE06-4932-8A74-650685A0237C}"/>
    <cellStyle name="Normal 2 2 4 5 9" xfId="6844" xr:uid="{EF6F5DF1-233C-43E7-8B22-AE589CEA1C77}"/>
    <cellStyle name="Normal 2 2 4 5 9 2" xfId="17224" xr:uid="{9665B699-C701-4FD8-A7AF-CFE727F32265}"/>
    <cellStyle name="Normal 2 2 4 6" xfId="745" xr:uid="{00000000-0005-0000-0000-000095040000}"/>
    <cellStyle name="Normal 2 2 4 6 10" xfId="9682" xr:uid="{408595D7-41CC-42B1-A421-11E52BBA95A2}"/>
    <cellStyle name="Normal 2 2 4 6 10 2" xfId="20062" xr:uid="{1F6FFD65-21B2-4ACC-BD36-251E90851B36}"/>
    <cellStyle name="Normal 2 2 4 6 11" xfId="24516" xr:uid="{CB15B39F-AAF7-4C08-91FD-C1E8B4B1E228}"/>
    <cellStyle name="Normal 2 2 4 6 12" xfId="12559" xr:uid="{84174D08-5A5E-4135-99CB-28BAF4EDF7AB}"/>
    <cellStyle name="Normal 2 2 4 6 2" xfId="746" xr:uid="{00000000-0005-0000-0000-000096040000}"/>
    <cellStyle name="Normal 2 2 4 6 2 2" xfId="747" xr:uid="{00000000-0005-0000-0000-000097040000}"/>
    <cellStyle name="Normal 2 2 4 6 2 2 2" xfId="5101" xr:uid="{65E64113-2928-481F-BA28-D79E0828D443}"/>
    <cellStyle name="Normal 2 2 4 6 2 2 2 2" xfId="24768" xr:uid="{E979248C-F30D-44A0-A701-C30CB53BFF2E}"/>
    <cellStyle name="Normal 2 2 4 6 2 2 2 3" xfId="27789" xr:uid="{1D847D1A-DDC9-458B-A302-6CBC445D8C64}"/>
    <cellStyle name="Normal 2 2 4 6 2 2 2 4" xfId="14398" xr:uid="{0D728C46-3C6A-4464-9C82-F07151C98568}"/>
    <cellStyle name="Normal 2 2 4 6 2 2 3" xfId="6851" xr:uid="{0B664914-040C-4665-956D-86BF111E755C}"/>
    <cellStyle name="Normal 2 2 4 6 2 2 3 2" xfId="27590" xr:uid="{6A89B77E-4289-4DA1-944E-CB57D2DAA56D}"/>
    <cellStyle name="Normal 2 2 4 6 2 2 3 3" xfId="26266" xr:uid="{EC9512CA-C58B-4D06-99AC-3C5FD4248845}"/>
    <cellStyle name="Normal 2 2 4 6 2 2 3 4" xfId="17231" xr:uid="{B2A6C6E6-82B8-4283-9B95-5C54C6FF9011}"/>
    <cellStyle name="Normal 2 2 4 6 2 2 4" xfId="9684" xr:uid="{ECF8B02D-BFC9-4E55-948F-51C97DFF27FF}"/>
    <cellStyle name="Normal 2 2 4 6 2 2 4 2" xfId="29393" xr:uid="{88881E2F-0548-4190-8AF6-A4882BDCE985}"/>
    <cellStyle name="Normal 2 2 4 6 2 2 4 3" xfId="20064" xr:uid="{B31E253D-8024-4A47-AFDB-25E18C2B9E79}"/>
    <cellStyle name="Normal 2 2 4 6 2 2 5" xfId="24901" xr:uid="{3B3188CC-9711-4848-B304-6AC79D714848}"/>
    <cellStyle name="Normal 2 2 4 6 2 2 6" xfId="13712" xr:uid="{19CF3CF2-897B-40BC-9648-B06F6E9BB3B7}"/>
    <cellStyle name="Normal 2 2 4 6 2 3" xfId="2727" xr:uid="{00000000-0005-0000-0000-0000F5030000}"/>
    <cellStyle name="Normal 2 2 4 6 2 3 2" xfId="5945" xr:uid="{097181E5-E9EF-4068-A7B0-C2E9A0CE2964}"/>
    <cellStyle name="Normal 2 2 4 6 2 3 2 2" xfId="25922" xr:uid="{33E1FBD7-6340-4522-A1AA-5C3BA1F6A282}"/>
    <cellStyle name="Normal 2 2 4 6 2 3 2 3" xfId="15398" xr:uid="{DBB5A473-A32C-402B-B3B4-21588613500B}"/>
    <cellStyle name="Normal 2 2 4 6 2 3 3" xfId="7851" xr:uid="{9C6DD874-62BE-43DA-90E7-F209C302BF99}"/>
    <cellStyle name="Normal 2 2 4 6 2 3 3 2" xfId="18231" xr:uid="{639DEB33-012B-46D6-8F0F-91E06600082D}"/>
    <cellStyle name="Normal 2 2 4 6 2 3 4" xfId="10684" xr:uid="{E1C6315D-D5CA-4D48-B7FC-14D7D3071883}"/>
    <cellStyle name="Normal 2 2 4 6 2 3 4 2" xfId="21064" xr:uid="{D5C3D8F6-159B-4B67-8E32-3A911C78227A}"/>
    <cellStyle name="Normal 2 2 4 6 2 3 5" xfId="23800" xr:uid="{FA297568-3CB1-411A-AC70-981E9323BBE1}"/>
    <cellStyle name="Normal 2 2 4 6 2 3 6" xfId="13159" xr:uid="{24E3AC71-5FC0-4017-AF6F-8D84BF9CF3A7}"/>
    <cellStyle name="Normal 2 2 4 6 2 4" xfId="4161" xr:uid="{03476FED-558C-4760-B4EB-47358C077E06}"/>
    <cellStyle name="Normal 2 2 4 6 2 4 2" xfId="8933" xr:uid="{6A46078A-F71C-4CA8-8D27-B8BA2ACF1924}"/>
    <cellStyle name="Normal 2 2 4 6 2 4 2 2" xfId="29030" xr:uid="{970C6B59-BE74-4C8C-AE0B-C6EBFC61C049}"/>
    <cellStyle name="Normal 2 2 4 6 2 4 2 3" xfId="19313" xr:uid="{402AEF9B-3CED-4965-897A-F23E5F30F708}"/>
    <cellStyle name="Normal 2 2 4 6 2 4 3" xfId="11766" xr:uid="{DDF0B2F5-943A-4FA8-AAE5-0E74BDEE1E97}"/>
    <cellStyle name="Normal 2 2 4 6 2 4 3 2" xfId="22146" xr:uid="{7496990B-87AF-4E35-B2B5-7886D0C741E7}"/>
    <cellStyle name="Normal 2 2 4 6 2 4 4" xfId="24041" xr:uid="{11263EB5-1908-4096-94F6-39CED5DCE089}"/>
    <cellStyle name="Normal 2 2 4 6 2 4 5" xfId="16480" xr:uid="{763711D8-4B1F-48E5-8D67-CFB6C4EF2B1A}"/>
    <cellStyle name="Normal 2 2 4 6 2 5" xfId="5100" xr:uid="{5B0DE48B-48A5-4772-851F-D348BCBE3BC1}"/>
    <cellStyle name="Normal 2 2 4 6 2 5 2" xfId="27308" xr:uid="{C233E342-3D47-450D-A863-7E068B132F55}"/>
    <cellStyle name="Normal 2 2 4 6 2 5 3" xfId="14397" xr:uid="{DE79CD2B-93A7-4E8F-A966-F54B37EC6E8A}"/>
    <cellStyle name="Normal 2 2 4 6 2 6" xfId="6850" xr:uid="{650B39C0-4DC4-488C-B526-156F8448FE1F}"/>
    <cellStyle name="Normal 2 2 4 6 2 6 2" xfId="17230" xr:uid="{9E3FA734-3C77-41FD-BC5E-8E9D32E8977C}"/>
    <cellStyle name="Normal 2 2 4 6 2 7" xfId="9683" xr:uid="{750A2031-CD1B-490F-8E57-185A083316C3}"/>
    <cellStyle name="Normal 2 2 4 6 2 7 2" xfId="20063" xr:uid="{5CA5386B-9504-433E-91B6-CD51CEFBCFA7}"/>
    <cellStyle name="Normal 2 2 4 6 2 8" xfId="25196" xr:uid="{D47530D6-7C98-4AEE-A645-55465B1523EE}"/>
    <cellStyle name="Normal 2 2 4 6 2 9" xfId="12717" xr:uid="{0C09109B-2439-474B-A7A8-61D74E5FE4F9}"/>
    <cellStyle name="Normal 2 2 4 6 3" xfId="748" xr:uid="{00000000-0005-0000-0000-000098040000}"/>
    <cellStyle name="Normal 2 2 4 6 3 2" xfId="4463" xr:uid="{7330F69A-9662-402D-84C8-CE37C86C70B6}"/>
    <cellStyle name="Normal 2 2 4 6 3 2 2" xfId="9235" xr:uid="{F66737E9-F7B4-415B-AAFF-680329B87C7D}"/>
    <cellStyle name="Normal 2 2 4 6 3 2 2 2" xfId="29226" xr:uid="{25CC22C7-AD63-407B-917E-350BC90BCFCC}"/>
    <cellStyle name="Normal 2 2 4 6 3 2 2 3" xfId="19615" xr:uid="{7D092387-7A31-4587-93AD-E53A488CE09F}"/>
    <cellStyle name="Normal 2 2 4 6 3 2 3" xfId="12068" xr:uid="{F25645DE-D19B-4823-A2C9-21182D451357}"/>
    <cellStyle name="Normal 2 2 4 6 3 2 3 2" xfId="22448" xr:uid="{DE7A291A-C6FA-49E4-A648-15B5868CA022}"/>
    <cellStyle name="Normal 2 2 4 6 3 2 4" xfId="25629" xr:uid="{961A35DF-A680-458F-BDFC-15EA7762F7C6}"/>
    <cellStyle name="Normal 2 2 4 6 3 2 5" xfId="16782" xr:uid="{45304DF5-304B-40CE-8DD6-527F6694A510}"/>
    <cellStyle name="Normal 2 2 4 6 3 3" xfId="5102" xr:uid="{E152507B-B35A-48CB-BE11-9449DAD2C94A}"/>
    <cellStyle name="Normal 2 2 4 6 3 3 2" xfId="26787" xr:uid="{6ACD856D-043C-4264-863E-20ED6A935079}"/>
    <cellStyle name="Normal 2 2 4 6 3 3 3" xfId="28606" xr:uid="{CA3D05CE-942F-439B-9CF4-61BD721E077E}"/>
    <cellStyle name="Normal 2 2 4 6 3 3 4" xfId="14399" xr:uid="{DA712E4B-0D62-4FAB-BC0F-DD6102EBE473}"/>
    <cellStyle name="Normal 2 2 4 6 3 4" xfId="6852" xr:uid="{96C93305-6539-4C43-96C2-490DD1F7C22A}"/>
    <cellStyle name="Normal 2 2 4 6 3 4 2" xfId="26750" xr:uid="{364AD7D8-C916-4CA7-AEF0-0AEA75DC43B4}"/>
    <cellStyle name="Normal 2 2 4 6 3 4 3" xfId="26456" xr:uid="{2092BBCB-E2F2-4FEF-9B78-6423CD5EF474}"/>
    <cellStyle name="Normal 2 2 4 6 3 4 4" xfId="17232" xr:uid="{CEB8FDED-9EE5-49A8-92B0-E51BA542DA1A}"/>
    <cellStyle name="Normal 2 2 4 6 3 5" xfId="9685" xr:uid="{B907490F-0F92-4428-AF5C-CC9B08CE2475}"/>
    <cellStyle name="Normal 2 2 4 6 3 5 2" xfId="29394" xr:uid="{467430A6-D7E5-446B-968E-BBF14BBD1DC5}"/>
    <cellStyle name="Normal 2 2 4 6 3 5 3" xfId="20065" xr:uid="{37F73F47-AB18-498A-819F-4C4909409898}"/>
    <cellStyle name="Normal 2 2 4 6 3 6" xfId="23948" xr:uid="{4ED4925B-2F87-4160-AB4C-8081076A4EFF}"/>
    <cellStyle name="Normal 2 2 4 6 3 7" xfId="13713" xr:uid="{5C44CE8F-0823-40A9-944C-F0638CEADC5A}"/>
    <cellStyle name="Normal 2 2 4 6 4" xfId="749" xr:uid="{00000000-0005-0000-0000-000099040000}"/>
    <cellStyle name="Normal 2 2 4 6 4 2" xfId="5103" xr:uid="{CB0DDAC2-3BDC-4EBC-826D-3D10D9F4216E}"/>
    <cellStyle name="Normal 2 2 4 6 4 2 2" xfId="23259" xr:uid="{A37EABCB-3C05-4388-B83B-6F7F0B1D503D}"/>
    <cellStyle name="Normal 2 2 4 6 4 2 3" xfId="27398" xr:uid="{706743A4-1EA8-4D2D-A03F-A7D92C4AF5D7}"/>
    <cellStyle name="Normal 2 2 4 6 4 2 4" xfId="14400" xr:uid="{0A8DEE1E-2232-4BB7-816A-E83C3A045AC9}"/>
    <cellStyle name="Normal 2 2 4 6 4 3" xfId="6853" xr:uid="{B5DFA1EF-242D-49FA-913E-D8FFA076E054}"/>
    <cellStyle name="Normal 2 2 4 6 4 3 2" xfId="27121" xr:uid="{A4D89A8C-4198-4AAB-9EEE-F4B4DE912F96}"/>
    <cellStyle name="Normal 2 2 4 6 4 3 3" xfId="17233" xr:uid="{0A98C1B7-B01A-4358-89A1-5B9E85B29CC6}"/>
    <cellStyle name="Normal 2 2 4 6 4 4" xfId="9686" xr:uid="{E5525FD3-D61F-4547-A6E1-6E33C8E543F0}"/>
    <cellStyle name="Normal 2 2 4 6 4 4 2" xfId="20066" xr:uid="{04AB415C-7312-4AD5-97CC-F7293E8F944B}"/>
    <cellStyle name="Normal 2 2 4 6 4 5" xfId="23322" xr:uid="{8246FBCD-0BAF-41D1-92FD-9938F93EC46A}"/>
    <cellStyle name="Normal 2 2 4 6 4 6" xfId="13415" xr:uid="{4CACB45E-42BB-480A-8E48-8F7400E53665}"/>
    <cellStyle name="Normal 2 2 4 6 5" xfId="2576" xr:uid="{00000000-0005-0000-0000-0000F8030000}"/>
    <cellStyle name="Normal 2 2 4 6 5 2" xfId="5841" xr:uid="{D55F8470-9350-4F88-81CE-34F8E67365BC}"/>
    <cellStyle name="Normal 2 2 4 6 5 2 2" xfId="27906" xr:uid="{CD0810B1-AF7E-4A50-89DB-B411BEB470A4}"/>
    <cellStyle name="Normal 2 2 4 6 5 2 3" xfId="15248" xr:uid="{6E0253C7-F98E-4082-8F5A-D233E96C0250}"/>
    <cellStyle name="Normal 2 2 4 6 5 3" xfId="7701" xr:uid="{A9121AD8-9572-486C-ABD9-3BE1DA4E1649}"/>
    <cellStyle name="Normal 2 2 4 6 5 3 2" xfId="18081" xr:uid="{171B1402-D0A5-4AE5-B492-E52ECE4AF0E1}"/>
    <cellStyle name="Normal 2 2 4 6 5 4" xfId="10534" xr:uid="{938E4951-2C90-4BBF-B998-927A9BEA4420}"/>
    <cellStyle name="Normal 2 2 4 6 5 4 2" xfId="20914" xr:uid="{AD8DB3CC-8555-4B5B-B0A9-45C6797B4CED}"/>
    <cellStyle name="Normal 2 2 4 6 5 5" xfId="25386" xr:uid="{AC43E61B-4C90-4F5B-82B0-896CBC252D0C}"/>
    <cellStyle name="Normal 2 2 4 6 5 6" xfId="12964" xr:uid="{CFBB2030-7CEA-4E30-8F61-C5FFD0B0D402}"/>
    <cellStyle name="Normal 2 2 4 6 6" xfId="2325" xr:uid="{00000000-0005-0000-0000-0000F2030000}"/>
    <cellStyle name="Normal 2 2 4 6 6 2" xfId="7452" xr:uid="{ABE5D2F9-96EB-45E4-A55C-169970B161FA}"/>
    <cellStyle name="Normal 2 2 4 6 6 2 2" xfId="28386" xr:uid="{9315E1BC-311A-4EF1-BCA4-B5609EB70199}"/>
    <cellStyle name="Normal 2 2 4 6 6 2 3" xfId="17832" xr:uid="{7B1AE74E-8CC0-4110-8D46-82545F55D897}"/>
    <cellStyle name="Normal 2 2 4 6 6 3" xfId="10285" xr:uid="{C18AD641-BFF8-49C0-91EB-9BD0A2E611B2}"/>
    <cellStyle name="Normal 2 2 4 6 6 3 2" xfId="20665" xr:uid="{9645759D-6B02-4C27-B4E3-7151ADFD3856}"/>
    <cellStyle name="Normal 2 2 4 6 6 4" xfId="23909" xr:uid="{726C56AC-C7AD-4BB8-94D0-7C28A14E31C1}"/>
    <cellStyle name="Normal 2 2 4 6 6 5" xfId="14999" xr:uid="{0576DE7E-BB35-4999-BF7F-F6F4FD5AD241}"/>
    <cellStyle name="Normal 2 2 4 6 7" xfId="3932" xr:uid="{0253A996-D2CD-4E24-B041-2E924C7EE5D0}"/>
    <cellStyle name="Normal 2 2 4 6 7 2" xfId="8764" xr:uid="{79901FCA-833D-4A54-A8C2-616BBA1A916D}"/>
    <cellStyle name="Normal 2 2 4 6 7 2 2" xfId="19144" xr:uid="{7A5BCC12-6465-4CF0-820E-1300D5C2642E}"/>
    <cellStyle name="Normal 2 2 4 6 7 3" xfId="11597" xr:uid="{B37C41D0-DA10-479B-896A-EAC3E6365F6A}"/>
    <cellStyle name="Normal 2 2 4 6 7 3 2" xfId="21977" xr:uid="{34BF8363-34E8-4710-919C-B5437A143794}"/>
    <cellStyle name="Normal 2 2 4 6 7 4" xfId="27569" xr:uid="{680FC575-4081-4D11-A822-875D2B12E9FE}"/>
    <cellStyle name="Normal 2 2 4 6 7 5" xfId="16311" xr:uid="{E949FF74-B171-4799-B296-50C791561D41}"/>
    <cellStyle name="Normal 2 2 4 6 8" xfId="5099" xr:uid="{936B60CE-480B-492E-B494-E803B02EA797}"/>
    <cellStyle name="Normal 2 2 4 6 8 2" xfId="14396" xr:uid="{9C8D84A7-D29E-4AF2-A394-686938E6A0F1}"/>
    <cellStyle name="Normal 2 2 4 6 9" xfId="6849" xr:uid="{BA243AF1-8DCD-4A81-B9F9-E559A354E78C}"/>
    <cellStyle name="Normal 2 2 4 6 9 2" xfId="17229" xr:uid="{8FB6BE78-4246-48EC-8844-40F41EE1961D}"/>
    <cellStyle name="Normal 2 2 4 7" xfId="750" xr:uid="{00000000-0005-0000-0000-00009A040000}"/>
    <cellStyle name="Normal 2 2 4 7 10" xfId="12560" xr:uid="{A84CC9C2-4F32-46FF-9BD2-C66250EB10AB}"/>
    <cellStyle name="Normal 2 2 4 7 2" xfId="751" xr:uid="{00000000-0005-0000-0000-00009B040000}"/>
    <cellStyle name="Normal 2 2 4 7 2 2" xfId="2901" xr:uid="{00000000-0005-0000-0000-0000FB030000}"/>
    <cellStyle name="Normal 2 2 4 7 2 2 2" xfId="6087" xr:uid="{D1672633-0CE3-4AB2-A8FB-213FF68619D0}"/>
    <cellStyle name="Normal 2 2 4 7 2 2 2 2" xfId="28557" xr:uid="{1C959889-FC8B-40DE-87FE-7ED0C4F8199F}"/>
    <cellStyle name="Normal 2 2 4 7 2 2 2 3" xfId="25908" xr:uid="{8F001275-F335-426A-9D11-0BBF99DBB86A}"/>
    <cellStyle name="Normal 2 2 4 7 2 2 2 4" xfId="15565" xr:uid="{11654B7D-CF22-487E-8E64-0975FA9828A7}"/>
    <cellStyle name="Normal 2 2 4 7 2 2 3" xfId="8018" xr:uid="{57DD36D5-239A-471A-9BDF-6CC9F7686FDD}"/>
    <cellStyle name="Normal 2 2 4 7 2 2 3 2" xfId="28022" xr:uid="{8BBA0471-8E5E-4401-9D22-993FEB5F0484}"/>
    <cellStyle name="Normal 2 2 4 7 2 2 3 3" xfId="18398" xr:uid="{3DD4EEF6-6F14-4ABE-A655-83DBE3966C3E}"/>
    <cellStyle name="Normal 2 2 4 7 2 2 4" xfId="10851" xr:uid="{99237510-E4FF-4E57-97D3-E22A69F1C28A}"/>
    <cellStyle name="Normal 2 2 4 7 2 2 4 2" xfId="21231" xr:uid="{A9BE7BEC-33A2-4079-9BCD-3155E9C924BF}"/>
    <cellStyle name="Normal 2 2 4 7 2 2 5" xfId="24190" xr:uid="{40880786-28E2-462C-9CA3-3461A9983DB4}"/>
    <cellStyle name="Normal 2 2 4 7 2 2 6" xfId="13416" xr:uid="{040DB001-46ED-4B9D-8CF8-263D3E06FB8D}"/>
    <cellStyle name="Normal 2 2 4 7 2 3" xfId="5105" xr:uid="{D98481B5-F162-4968-90DE-896C1D2C6025}"/>
    <cellStyle name="Normal 2 2 4 7 2 3 2" xfId="24034" xr:uid="{DF5802CA-525D-42F7-B9C3-76DCA748B93A}"/>
    <cellStyle name="Normal 2 2 4 7 2 3 3" xfId="27986" xr:uid="{5100A763-53F0-49D1-8206-EE3B8D33A67D}"/>
    <cellStyle name="Normal 2 2 4 7 2 3 4" xfId="14402" xr:uid="{3B12B2D5-3771-43FB-A972-AAB3FD3F98C8}"/>
    <cellStyle name="Normal 2 2 4 7 2 4" xfId="6855" xr:uid="{0549BF0E-63BE-483D-A9FB-AB3A68DEAA03}"/>
    <cellStyle name="Normal 2 2 4 7 2 4 2" xfId="27449" xr:uid="{AAD5E344-5403-489D-A80B-AF9E9410FA21}"/>
    <cellStyle name="Normal 2 2 4 7 2 4 3" xfId="27004" xr:uid="{EDE1D26F-F4E3-4F0A-BF3A-52D293CDBC9A}"/>
    <cellStyle name="Normal 2 2 4 7 2 4 4" xfId="17235" xr:uid="{FF016738-F27F-417C-9A78-EE27EFA00488}"/>
    <cellStyle name="Normal 2 2 4 7 2 5" xfId="9688" xr:uid="{32686D98-33B7-44AC-A821-CBA9D2EC8E01}"/>
    <cellStyle name="Normal 2 2 4 7 2 5 2" xfId="29395" xr:uid="{219DDE4D-DA0C-4DBC-9B95-FB5CABE03346}"/>
    <cellStyle name="Normal 2 2 4 7 2 5 3" xfId="20068" xr:uid="{8D6D179A-7B7C-4245-8DB9-466670454DA9}"/>
    <cellStyle name="Normal 2 2 4 7 2 6" xfId="24970" xr:uid="{993EE3C4-9623-472B-9DED-747B919991F0}"/>
    <cellStyle name="Normal 2 2 4 7 2 7" xfId="12718" xr:uid="{0ACD6325-E9C2-4870-A3E4-0E7A76B61CA1}"/>
    <cellStyle name="Normal 2 2 4 7 3" xfId="752" xr:uid="{00000000-0005-0000-0000-00009C040000}"/>
    <cellStyle name="Normal 2 2 4 7 3 2" xfId="5106" xr:uid="{6DFF040E-53E1-4A1F-8A2D-959BB37C925D}"/>
    <cellStyle name="Normal 2 2 4 7 3 2 2" xfId="26352" xr:uid="{84FE70B8-6F80-491C-810F-162E111B6F84}"/>
    <cellStyle name="Normal 2 2 4 7 3 2 3" xfId="27428" xr:uid="{8D815429-2118-436E-97A4-6696CCB56EBD}"/>
    <cellStyle name="Normal 2 2 4 7 3 2 4" xfId="14403" xr:uid="{46FAE356-2463-45C2-9F99-83C39A793B2C}"/>
    <cellStyle name="Normal 2 2 4 7 3 3" xfId="6856" xr:uid="{0104E5D0-EAD1-494C-8920-B169FB26914C}"/>
    <cellStyle name="Normal 2 2 4 7 3 3 2" xfId="28193" xr:uid="{3B2F3915-BA7C-4299-9E7C-AD048CB937BF}"/>
    <cellStyle name="Normal 2 2 4 7 3 3 3" xfId="27547" xr:uid="{84180369-05F0-4732-BF96-E7CD61F19DBF}"/>
    <cellStyle name="Normal 2 2 4 7 3 3 4" xfId="17236" xr:uid="{8C3EA7D5-E4C3-4EDA-B41A-C9B21AC8D6C7}"/>
    <cellStyle name="Normal 2 2 4 7 3 4" xfId="9689" xr:uid="{E81C82B7-49CF-418D-B5C5-654A059558DA}"/>
    <cellStyle name="Normal 2 2 4 7 3 4 2" xfId="29396" xr:uid="{E8F08881-EDF5-4928-807A-49C24B182F27}"/>
    <cellStyle name="Normal 2 2 4 7 3 4 3" xfId="20069" xr:uid="{4F83EB01-C14C-4467-B242-A37FE080BB95}"/>
    <cellStyle name="Normal 2 2 4 7 3 5" xfId="22737" xr:uid="{BC95FB77-84E7-4FB9-A22D-855689978816}"/>
    <cellStyle name="Normal 2 2 4 7 3 6" xfId="13160" xr:uid="{EE48FD3A-1578-401E-AB50-98362CF46FCB}"/>
    <cellStyle name="Normal 2 2 4 7 4" xfId="2326" xr:uid="{00000000-0005-0000-0000-0000F9030000}"/>
    <cellStyle name="Normal 2 2 4 7 4 2" xfId="7453" xr:uid="{8E9AB872-5246-43FE-8812-B115D7DEFFA9}"/>
    <cellStyle name="Normal 2 2 4 7 4 2 2" xfId="26379" xr:uid="{F2632576-B911-4F69-AB59-34812F4BAA8C}"/>
    <cellStyle name="Normal 2 2 4 7 4 2 3" xfId="17833" xr:uid="{A38E2EDF-F0E9-4CBD-874D-0A76FC2AD407}"/>
    <cellStyle name="Normal 2 2 4 7 4 3" xfId="10286" xr:uid="{D29B55B2-216A-4C7A-AEE1-F71C550B6FB5}"/>
    <cellStyle name="Normal 2 2 4 7 4 3 2" xfId="20666" xr:uid="{D21C6EAF-4364-4EAB-909B-E7E99C6B2204}"/>
    <cellStyle name="Normal 2 2 4 7 4 4" xfId="24484" xr:uid="{E4B9A227-3D1F-4501-A43D-61031628010D}"/>
    <cellStyle name="Normal 2 2 4 7 4 5" xfId="15000" xr:uid="{7FCD3262-D20A-4297-8866-420DDA1C7A3D}"/>
    <cellStyle name="Normal 2 2 4 7 5" xfId="3933" xr:uid="{6EC19484-4BD6-4EB8-AE32-A39D25AD16FE}"/>
    <cellStyle name="Normal 2 2 4 7 5 2" xfId="8765" xr:uid="{73754C41-612A-41E8-901E-AB6FE2BAD6E8}"/>
    <cellStyle name="Normal 2 2 4 7 5 2 2" xfId="28979" xr:uid="{5E864213-EB0E-43D1-8F38-0874B8514DC9}"/>
    <cellStyle name="Normal 2 2 4 7 5 2 3" xfId="19145" xr:uid="{0803944F-164E-4F60-86C8-BC780592A3B2}"/>
    <cellStyle name="Normal 2 2 4 7 5 3" xfId="11598" xr:uid="{4BF4557A-146A-4BA6-A272-B8239517D366}"/>
    <cellStyle name="Normal 2 2 4 7 5 3 2" xfId="21978" xr:uid="{D6CE5784-B309-46E9-A25F-6CC6D18AF4D3}"/>
    <cellStyle name="Normal 2 2 4 7 5 4" xfId="24986" xr:uid="{5C974657-1934-4805-A930-68EAF4AC1099}"/>
    <cellStyle name="Normal 2 2 4 7 5 5" xfId="16312" xr:uid="{CFD910A6-E944-44FE-8E2F-5EA777801BBF}"/>
    <cellStyle name="Normal 2 2 4 7 6" xfId="5104" xr:uid="{1932CE5B-C50B-4EFF-B7CB-A9E5A022477B}"/>
    <cellStyle name="Normal 2 2 4 7 6 2" xfId="25953" xr:uid="{CFF717FA-05AD-46D8-850B-8D2E58D40A8C}"/>
    <cellStyle name="Normal 2 2 4 7 6 3" xfId="26675" xr:uid="{E111098F-AFA7-4CCE-962C-37AF717C404E}"/>
    <cellStyle name="Normal 2 2 4 7 6 4" xfId="14401" xr:uid="{4822C81E-E503-4DF6-BFA4-3B9CB28E8070}"/>
    <cellStyle name="Normal 2 2 4 7 7" xfId="6854" xr:uid="{32ECFB42-B472-461E-8E4D-3BD3B487A936}"/>
    <cellStyle name="Normal 2 2 4 7 7 2" xfId="28249" xr:uid="{5AA28F78-518E-4557-8FBE-A496E111D902}"/>
    <cellStyle name="Normal 2 2 4 7 7 3" xfId="17234" xr:uid="{C6000307-F52C-4BEB-8329-8F3EDA3EC909}"/>
    <cellStyle name="Normal 2 2 4 7 8" xfId="9687" xr:uid="{97413759-2B48-47AD-8755-4FCAB4A43997}"/>
    <cellStyle name="Normal 2 2 4 7 8 2" xfId="20067" xr:uid="{0B0C9FF6-EA2E-49C2-9A07-C6CE92A892D8}"/>
    <cellStyle name="Normal 2 2 4 7 9" xfId="23330" xr:uid="{7DDB72A9-D38E-4403-BED6-3B8168EA25EF}"/>
    <cellStyle name="Normal 2 2 4 8" xfId="753" xr:uid="{00000000-0005-0000-0000-00009D040000}"/>
    <cellStyle name="Normal 2 2 4 8 10" xfId="12561" xr:uid="{32CA0D4E-5782-4605-83FA-ACC72F4C4BB5}"/>
    <cellStyle name="Normal 2 2 4 8 2" xfId="754" xr:uid="{00000000-0005-0000-0000-00009E040000}"/>
    <cellStyle name="Normal 2 2 4 8 2 2" xfId="2902" xr:uid="{00000000-0005-0000-0000-0000FF030000}"/>
    <cellStyle name="Normal 2 2 4 8 2 2 2" xfId="6088" xr:uid="{81B93BA7-0481-43DF-A36F-5CE48CEFE222}"/>
    <cellStyle name="Normal 2 2 4 8 2 2 2 2" xfId="28698" xr:uid="{92825357-97A2-4968-B35F-509D1BC4CA4A}"/>
    <cellStyle name="Normal 2 2 4 8 2 2 2 3" xfId="26406" xr:uid="{532AA994-CE39-44C3-B884-43433BD34ECF}"/>
    <cellStyle name="Normal 2 2 4 8 2 2 2 4" xfId="15566" xr:uid="{F62F46BC-FB1C-4F80-9C66-FB1016B78BB6}"/>
    <cellStyle name="Normal 2 2 4 8 2 2 3" xfId="8019" xr:uid="{C4477A8C-5ABF-4DE9-8D04-8E42E0273B2E}"/>
    <cellStyle name="Normal 2 2 4 8 2 2 3 2" xfId="27318" xr:uid="{5A2A4D99-7821-4384-B91B-B843AC2D5F05}"/>
    <cellStyle name="Normal 2 2 4 8 2 2 3 3" xfId="18399" xr:uid="{1AC00D83-D570-4BD7-A53C-D34C9487E60D}"/>
    <cellStyle name="Normal 2 2 4 8 2 2 4" xfId="10852" xr:uid="{69F8C10D-76FA-4BF2-806D-375BB6610C29}"/>
    <cellStyle name="Normal 2 2 4 8 2 2 4 2" xfId="21232" xr:uid="{4812ECD6-E7A3-4616-96F3-94220565C236}"/>
    <cellStyle name="Normal 2 2 4 8 2 2 5" xfId="23890" xr:uid="{D0A8F8A3-A91C-43D7-BE81-33053183A953}"/>
    <cellStyle name="Normal 2 2 4 8 2 2 6" xfId="13417" xr:uid="{AE453CB6-F32A-46A0-AF95-91789D4EACC5}"/>
    <cellStyle name="Normal 2 2 4 8 2 3" xfId="5108" xr:uid="{DB813F9E-A43F-4C2F-87C4-F8B6A7E453A0}"/>
    <cellStyle name="Normal 2 2 4 8 2 3 2" xfId="25413" xr:uid="{D93FA058-6584-4C89-85BD-BA2574BF9E41}"/>
    <cellStyle name="Normal 2 2 4 8 2 3 3" xfId="28725" xr:uid="{85FE7ED1-616F-433E-9200-FABB160D4E56}"/>
    <cellStyle name="Normal 2 2 4 8 2 3 4" xfId="14405" xr:uid="{9583504A-261F-452C-B37E-3EC77A52BE3A}"/>
    <cellStyle name="Normal 2 2 4 8 2 4" xfId="6858" xr:uid="{94890C13-01D7-42A6-8830-61704C453C5F}"/>
    <cellStyle name="Normal 2 2 4 8 2 4 2" xfId="27561" xr:uid="{718D7577-4391-44FA-92D4-A012F591A01E}"/>
    <cellStyle name="Normal 2 2 4 8 2 4 3" xfId="27911" xr:uid="{33DDC1B7-9348-4346-B1B0-344D7FE5F0FB}"/>
    <cellStyle name="Normal 2 2 4 8 2 4 4" xfId="17238" xr:uid="{6A192F55-26CB-42A8-BB47-F8AB6CE2A948}"/>
    <cellStyle name="Normal 2 2 4 8 2 5" xfId="9691" xr:uid="{162645F1-BB41-405B-B2CF-FF2F251B15CD}"/>
    <cellStyle name="Normal 2 2 4 8 2 5 2" xfId="29397" xr:uid="{4A2FDDC8-5FE2-4D91-BB6F-DD067E5803D9}"/>
    <cellStyle name="Normal 2 2 4 8 2 5 3" xfId="20071" xr:uid="{CAEC0F4D-14FE-4FD2-BFAD-BCA0517ECD87}"/>
    <cellStyle name="Normal 2 2 4 8 2 6" xfId="24470" xr:uid="{D161FA43-D894-4061-AB2A-055B1184F6CC}"/>
    <cellStyle name="Normal 2 2 4 8 2 7" xfId="12719" xr:uid="{FD9DC352-557C-433E-B437-1B8BFAAF289D}"/>
    <cellStyle name="Normal 2 2 4 8 3" xfId="755" xr:uid="{00000000-0005-0000-0000-00009F040000}"/>
    <cellStyle name="Normal 2 2 4 8 3 2" xfId="5109" xr:uid="{377D69C9-5980-4DCB-B509-CAA57B5EF02B}"/>
    <cellStyle name="Normal 2 2 4 8 3 2 2" xfId="26077" xr:uid="{95AB3D3C-9692-44B1-AF1E-6003C00932B8}"/>
    <cellStyle name="Normal 2 2 4 8 3 2 3" xfId="28146" xr:uid="{AD91A6B3-3953-4D80-A3E5-56B33553AFE7}"/>
    <cellStyle name="Normal 2 2 4 8 3 2 4" xfId="14406" xr:uid="{A64939D6-7287-473F-83B0-154E8AA00CB4}"/>
    <cellStyle name="Normal 2 2 4 8 3 3" xfId="6859" xr:uid="{C5819798-7282-4495-AAAC-B34BD4D1EC1A}"/>
    <cellStyle name="Normal 2 2 4 8 3 3 2" xfId="26200" xr:uid="{F5C1E2EA-1320-42F9-A928-DFA42DC4D993}"/>
    <cellStyle name="Normal 2 2 4 8 3 3 3" xfId="27050" xr:uid="{4CBDBB3E-B16F-4122-95DB-FB0230654273}"/>
    <cellStyle name="Normal 2 2 4 8 3 3 4" xfId="17239" xr:uid="{A9986669-67E2-4138-90B3-6B303C2C7A93}"/>
    <cellStyle name="Normal 2 2 4 8 3 4" xfId="9692" xr:uid="{89BF3469-FD50-4158-B4DE-22359512A4C9}"/>
    <cellStyle name="Normal 2 2 4 8 3 4 2" xfId="29398" xr:uid="{BC80927C-0D6B-4EBF-9C1D-CAF9BC19A970}"/>
    <cellStyle name="Normal 2 2 4 8 3 4 3" xfId="20072" xr:uid="{9A90E804-665D-4ABF-BC26-00F32193523D}"/>
    <cellStyle name="Normal 2 2 4 8 3 5" xfId="22752" xr:uid="{8E5F7FD4-D4A3-4B56-BA6F-D16D7596C1D6}"/>
    <cellStyle name="Normal 2 2 4 8 3 6" xfId="13161" xr:uid="{C96E85DF-4609-4107-9437-3CE665E8D6FB}"/>
    <cellStyle name="Normal 2 2 4 8 4" xfId="2327" xr:uid="{00000000-0005-0000-0000-0000FD030000}"/>
    <cellStyle name="Normal 2 2 4 8 4 2" xfId="7454" xr:uid="{CC01D233-5639-4770-B1B2-D7BEA0CB8A60}"/>
    <cellStyle name="Normal 2 2 4 8 4 2 2" xfId="28659" xr:uid="{9C509E5B-75A2-410B-8ACF-64CE025ECF08}"/>
    <cellStyle name="Normal 2 2 4 8 4 2 3" xfId="17834" xr:uid="{E9D564C4-3480-4820-869A-E019842F16F6}"/>
    <cellStyle name="Normal 2 2 4 8 4 3" xfId="10287" xr:uid="{FFF21E9B-8D36-4EEB-9BA8-897C39CC07D9}"/>
    <cellStyle name="Normal 2 2 4 8 4 3 2" xfId="20667" xr:uid="{3E92D07A-643F-4BF0-B8C9-2F88F38F9764}"/>
    <cellStyle name="Normal 2 2 4 8 4 4" xfId="22847" xr:uid="{CD8555F5-3FF8-4616-ABB3-C682723A45B7}"/>
    <cellStyle name="Normal 2 2 4 8 4 5" xfId="15001" xr:uid="{C3274E2A-2A7D-4E42-AB32-C9AB31EABB58}"/>
    <cellStyle name="Normal 2 2 4 8 5" xfId="3934" xr:uid="{7361772D-B82B-4655-AEBF-51CF7CC244A8}"/>
    <cellStyle name="Normal 2 2 4 8 5 2" xfId="8766" xr:uid="{1B34E587-146B-4D91-9943-0CE61867449D}"/>
    <cellStyle name="Normal 2 2 4 8 5 2 2" xfId="28980" xr:uid="{F700DE6E-3B5A-47B5-946D-75009DB66DEE}"/>
    <cellStyle name="Normal 2 2 4 8 5 2 3" xfId="19146" xr:uid="{6660985C-A164-46AD-9112-35152CED6F8B}"/>
    <cellStyle name="Normal 2 2 4 8 5 3" xfId="11599" xr:uid="{33878D3A-3CD1-4E46-BB49-6C4AF87F9BFA}"/>
    <cellStyle name="Normal 2 2 4 8 5 3 2" xfId="21979" xr:uid="{9B7005BD-4C6A-41F0-922D-4033D90161AE}"/>
    <cellStyle name="Normal 2 2 4 8 5 4" xfId="25698" xr:uid="{6F10DFCA-DA95-48F8-8245-4C0B4D79A6CC}"/>
    <cellStyle name="Normal 2 2 4 8 5 5" xfId="16313" xr:uid="{0648896E-AFE5-4D58-A04A-4BCBF2A07429}"/>
    <cellStyle name="Normal 2 2 4 8 6" xfId="5107" xr:uid="{B3B202DA-A825-4586-87CB-57A17D06604F}"/>
    <cellStyle name="Normal 2 2 4 8 6 2" xfId="27905" xr:uid="{CB558D48-4D54-4F06-9868-10E5E13B013B}"/>
    <cellStyle name="Normal 2 2 4 8 6 3" xfId="26334" xr:uid="{B8ED6CF3-EB6D-405D-8C03-E2FC62683F3B}"/>
    <cellStyle name="Normal 2 2 4 8 6 4" xfId="14404" xr:uid="{B7CF0047-6FBB-45CC-B3F0-FF59C62A227E}"/>
    <cellStyle name="Normal 2 2 4 8 7" xfId="6857" xr:uid="{6365EC70-1142-428C-B033-0EBE2A2CDFDD}"/>
    <cellStyle name="Normal 2 2 4 8 7 2" xfId="28355" xr:uid="{DB6B6716-5184-43BD-BF54-E77FEFAD1D61}"/>
    <cellStyle name="Normal 2 2 4 8 7 3" xfId="17237" xr:uid="{18307660-AD9E-4E68-9AE1-CE1582228D00}"/>
    <cellStyle name="Normal 2 2 4 8 8" xfId="9690" xr:uid="{D35338E7-E3BF-488C-9B96-0E426D4BB067}"/>
    <cellStyle name="Normal 2 2 4 8 8 2" xfId="20070" xr:uid="{E238607D-A999-410C-9B1F-8E45C7B8AB45}"/>
    <cellStyle name="Normal 2 2 4 8 9" xfId="22971" xr:uid="{470A2003-D823-4710-917B-A3E7D9677BC3}"/>
    <cellStyle name="Normal 2 2 4 9" xfId="756" xr:uid="{00000000-0005-0000-0000-0000A0040000}"/>
    <cellStyle name="Normal 2 2 4 9 10" xfId="12554" xr:uid="{E518C3B1-334A-48C5-97B6-33F18364A5D7}"/>
    <cellStyle name="Normal 2 2 4 9 2" xfId="3174" xr:uid="{00000000-0005-0000-0000-000002040000}"/>
    <cellStyle name="Normal 2 2 4 9 2 2" xfId="6232" xr:uid="{F11B47A3-29BA-4007-84ED-4D04D29243FF}"/>
    <cellStyle name="Normal 2 2 4 9 2 2 2" xfId="25471" xr:uid="{66CE10FF-534B-4058-AD42-86FF0E5150F5}"/>
    <cellStyle name="Normal 2 2 4 9 2 2 3" xfId="28553" xr:uid="{DBB1BED7-6F71-4177-A931-711059B9E7E8}"/>
    <cellStyle name="Normal 2 2 4 9 2 2 4" xfId="15801" xr:uid="{D42B7806-2D3F-478B-86CE-37D54FD41BB0}"/>
    <cellStyle name="Normal 2 2 4 9 2 3" xfId="8254" xr:uid="{DC7CC9B1-D11B-4AB3-BA19-2099136C6ABE}"/>
    <cellStyle name="Normal 2 2 4 9 2 3 2" xfId="25896" xr:uid="{0E6D1423-5BA7-497A-8427-0234468C11A4}"/>
    <cellStyle name="Normal 2 2 4 9 2 3 3" xfId="28877" xr:uid="{25103BBB-BA6D-4BC5-BCA9-573FB85F1229}"/>
    <cellStyle name="Normal 2 2 4 9 2 3 4" xfId="18634" xr:uid="{01BB0F42-6E7C-4EA8-843A-4DDBDEBD024A}"/>
    <cellStyle name="Normal 2 2 4 9 2 4" xfId="11087" xr:uid="{F8267ABE-FEC8-4907-861C-0E80C19C9250}"/>
    <cellStyle name="Normal 2 2 4 9 2 4 2" xfId="29477" xr:uid="{BFCF8B5F-2897-4238-9AA0-E4349DC440F1}"/>
    <cellStyle name="Normal 2 2 4 9 2 4 3" xfId="21467" xr:uid="{02DCB4AC-7C5C-4862-B4C6-2137C1902CAA}"/>
    <cellStyle name="Normal 2 2 4 9 2 5" xfId="22657" xr:uid="{297B4BD9-F56E-4583-A2FD-50AFFB11EFA4}"/>
    <cellStyle name="Normal 2 2 4 9 2 6" xfId="13714" xr:uid="{B3BA8438-2044-4664-9A77-ACFEBD73A3F1}"/>
    <cellStyle name="Normal 2 2 4 9 3" xfId="2719" xr:uid="{00000000-0005-0000-0000-000003040000}"/>
    <cellStyle name="Normal 2 2 4 9 3 2" xfId="5937" xr:uid="{DCDB52EA-7D99-46B2-B6AE-5B437DAEB77B}"/>
    <cellStyle name="Normal 2 2 4 9 3 2 2" xfId="28106" xr:uid="{18B84544-6330-406A-9B39-C37BAFA32D7D}"/>
    <cellStyle name="Normal 2 2 4 9 3 2 3" xfId="15390" xr:uid="{CF49331E-440E-4490-90AB-A18BEE1A3F78}"/>
    <cellStyle name="Normal 2 2 4 9 3 3" xfId="7843" xr:uid="{89E2FCC4-2FE5-4D3E-BC74-3FFCADC4B390}"/>
    <cellStyle name="Normal 2 2 4 9 3 3 2" xfId="18223" xr:uid="{0F3B74CA-F6A3-4C5E-9CB6-891631FCF951}"/>
    <cellStyle name="Normal 2 2 4 9 3 4" xfId="10676" xr:uid="{2240138A-8FBC-407C-ACF6-161590020600}"/>
    <cellStyle name="Normal 2 2 4 9 3 4 2" xfId="21056" xr:uid="{8ADC96C3-7F78-4A33-9374-D7B3B595A145}"/>
    <cellStyle name="Normal 2 2 4 9 3 5" xfId="25043" xr:uid="{30CE1CF7-3C44-4686-BDEA-A21661A9C3B7}"/>
    <cellStyle name="Normal 2 2 4 9 3 6" xfId="13148" xr:uid="{D78EDF1A-DC7E-48C9-AD0D-51AF5DA0C825}"/>
    <cellStyle name="Normal 2 2 4 9 4" xfId="2320" xr:uid="{00000000-0005-0000-0000-000001040000}"/>
    <cellStyle name="Normal 2 2 4 9 4 2" xfId="7447" xr:uid="{DD4C7D60-C1DB-4967-8A65-349B90B70183}"/>
    <cellStyle name="Normal 2 2 4 9 4 2 2" xfId="27681" xr:uid="{BF95B59C-2FB6-46F3-A249-F7A7EA766CAD}"/>
    <cellStyle name="Normal 2 2 4 9 4 2 3" xfId="17827" xr:uid="{EA3B48B4-99CB-47C7-BCA9-8CBD23268FE3}"/>
    <cellStyle name="Normal 2 2 4 9 4 3" xfId="10280" xr:uid="{1E96EA61-B737-40BF-BB3A-0DAEBF1F2C4D}"/>
    <cellStyle name="Normal 2 2 4 9 4 3 2" xfId="20660" xr:uid="{A6CD76C1-9D07-48C6-82E7-648741BFD668}"/>
    <cellStyle name="Normal 2 2 4 9 4 4" xfId="24887" xr:uid="{098D1425-3CDB-455F-A7CF-0202B9002F5C}"/>
    <cellStyle name="Normal 2 2 4 9 4 5" xfId="14994" xr:uid="{3FEC1276-0941-4814-BF81-AFC85F833821}"/>
    <cellStyle name="Normal 2 2 4 9 5" xfId="3839" xr:uid="{FFAC9B94-1C5B-429C-930C-E2E585B1E0C7}"/>
    <cellStyle name="Normal 2 2 4 9 5 2" xfId="8672" xr:uid="{56E4464B-8F43-4B7D-8495-D607D67A37A2}"/>
    <cellStyle name="Normal 2 2 4 9 5 2 2" xfId="19052" xr:uid="{80297E9C-B5A8-4096-90AD-E8825B091F10}"/>
    <cellStyle name="Normal 2 2 4 9 5 3" xfId="11505" xr:uid="{0FFD07DC-23BD-4249-B430-4FB1819A4BA3}"/>
    <cellStyle name="Normal 2 2 4 9 5 3 2" xfId="21885" xr:uid="{AC30304B-BE7E-4073-8F56-A5C3B71E510B}"/>
    <cellStyle name="Normal 2 2 4 9 5 4" xfId="28312" xr:uid="{0D037300-E5B8-434B-ADD3-5F09B3B49EBD}"/>
    <cellStyle name="Normal 2 2 4 9 5 5" xfId="16219" xr:uid="{B9BF5F2A-5EBB-44AF-A014-E34A439D5D92}"/>
    <cellStyle name="Normal 2 2 4 9 6" xfId="5110" xr:uid="{CDDD6C3D-CFBD-4AA7-A2A2-9913B4CEFDCC}"/>
    <cellStyle name="Normal 2 2 4 9 6 2" xfId="14407" xr:uid="{DAFBCF16-D0E3-424B-91D9-29AC84747C6C}"/>
    <cellStyle name="Normal 2 2 4 9 7" xfId="6860" xr:uid="{DBB49B0A-FB5F-4C51-80E3-08D7AEFC86E0}"/>
    <cellStyle name="Normal 2 2 4 9 7 2" xfId="17240" xr:uid="{38E01FB3-314A-4711-878B-E8567CF9DD09}"/>
    <cellStyle name="Normal 2 2 4 9 8" xfId="9693" xr:uid="{8F138781-26C2-47FC-828D-1FE9F015B37B}"/>
    <cellStyle name="Normal 2 2 4 9 8 2" xfId="20073" xr:uid="{A056445A-F138-42C2-995F-D975FAEFB282}"/>
    <cellStyle name="Normal 2 2 4 9 9" xfId="24854" xr:uid="{2E7C2F10-E7A5-4885-9DB5-EAF1D3CF4268}"/>
    <cellStyle name="Normal 2 2 5" xfId="757" xr:uid="{00000000-0005-0000-0000-0000A1040000}"/>
    <cellStyle name="Normal 2 2 5 10" xfId="5111" xr:uid="{CCECF284-14D1-41BD-A4F2-B21FA652AD07}"/>
    <cellStyle name="Normal 2 2 5 10 2" xfId="14408" xr:uid="{0D9E3353-2026-42E8-8E37-37AB3D376827}"/>
    <cellStyle name="Normal 2 2 5 11" xfId="6861" xr:uid="{AF9CC1EF-81A4-4414-BD8B-98D593304241}"/>
    <cellStyle name="Normal 2 2 5 11 2" xfId="17241" xr:uid="{50A895FB-7C5C-42AC-A530-6CE0651CEF88}"/>
    <cellStyle name="Normal 2 2 5 12" xfId="9694" xr:uid="{4C9D5DC4-3632-44D9-B759-AD41F0A1DFF4}"/>
    <cellStyle name="Normal 2 2 5 12 2" xfId="20074" xr:uid="{802EA5F1-5903-49D8-A4F3-894B0E83EE8B}"/>
    <cellStyle name="Normal 2 2 5 13" xfId="24581" xr:uid="{3168C4C5-4703-4372-BCB8-F31F4D4EF815}"/>
    <cellStyle name="Normal 2 2 5 14" xfId="12408" xr:uid="{B4FBA886-21B4-43EA-AFA5-F43F1DC89EB6}"/>
    <cellStyle name="Normal 2 2 5 2" xfId="758" xr:uid="{00000000-0005-0000-0000-0000A2040000}"/>
    <cellStyle name="Normal 2 2 5 2 10" xfId="6862" xr:uid="{8733B662-EA52-4ED5-90DB-9D2D09607590}"/>
    <cellStyle name="Normal 2 2 5 2 10 2" xfId="17242" xr:uid="{5EB252E4-C8A2-430F-8E14-70FF295AB9E8}"/>
    <cellStyle name="Normal 2 2 5 2 11" xfId="9695" xr:uid="{D3D6C01F-0E27-4EA5-89EB-B9E46088A3A1}"/>
    <cellStyle name="Normal 2 2 5 2 11 2" xfId="20075" xr:uid="{9066755D-AE40-4F1D-8E8D-D54DC228B706}"/>
    <cellStyle name="Normal 2 2 5 2 12" xfId="23681" xr:uid="{F921DEE3-B3C4-42BD-AD2F-47E9E6C51284}"/>
    <cellStyle name="Normal 2 2 5 2 13" xfId="12468" xr:uid="{7D13A686-8244-45D0-9961-3AED61D5F178}"/>
    <cellStyle name="Normal 2 2 5 2 2" xfId="759" xr:uid="{00000000-0005-0000-0000-0000A3040000}"/>
    <cellStyle name="Normal 2 2 5 2 2 10" xfId="9696" xr:uid="{4FA6C0C9-382C-43F6-9E7D-1507D2860F3A}"/>
    <cellStyle name="Normal 2 2 5 2 2 10 2" xfId="20076" xr:uid="{57A9011A-7790-414D-B768-B14EDCD469F7}"/>
    <cellStyle name="Normal 2 2 5 2 2 11" xfId="25289" xr:uid="{B3D9838B-C878-4BB8-8620-A2485B1D3ADD}"/>
    <cellStyle name="Normal 2 2 5 2 2 12" xfId="12563" xr:uid="{E62547C6-F14F-4E3B-968D-CBDC3AD4582E}"/>
    <cellStyle name="Normal 2 2 5 2 2 2" xfId="2730" xr:uid="{00000000-0005-0000-0000-000007040000}"/>
    <cellStyle name="Normal 2 2 5 2 2 2 2" xfId="3176" xr:uid="{00000000-0005-0000-0000-000008040000}"/>
    <cellStyle name="Normal 2 2 5 2 2 2 2 2" xfId="6234" xr:uid="{6C7EA008-DE5E-4CE5-8503-228F9FA94F3B}"/>
    <cellStyle name="Normal 2 2 5 2 2 2 2 2 2" xfId="26821" xr:uid="{E5236E6A-9039-4FE6-A4C3-ACE9611C49A7}"/>
    <cellStyle name="Normal 2 2 5 2 2 2 2 2 3" xfId="28686" xr:uid="{03302CF9-F315-4B2F-8E5C-4E48AD813A6C}"/>
    <cellStyle name="Normal 2 2 5 2 2 2 2 2 4" xfId="15803" xr:uid="{416905B0-8C34-4EAF-B2EE-83FB9633C06C}"/>
    <cellStyle name="Normal 2 2 5 2 2 2 2 3" xfId="8256" xr:uid="{E73053D0-DAB2-4621-8B69-8DD246C60620}"/>
    <cellStyle name="Normal 2 2 5 2 2 2 2 3 2" xfId="28878" xr:uid="{1ED4BFE3-FE82-4BDE-ACD6-1011F9A362EE}"/>
    <cellStyle name="Normal 2 2 5 2 2 2 2 3 3" xfId="18636" xr:uid="{EAC47606-B6CF-468A-A0B3-0B86DB72B3A4}"/>
    <cellStyle name="Normal 2 2 5 2 2 2 2 4" xfId="11089" xr:uid="{1B5921B0-042E-4BDB-A622-B64673E90D06}"/>
    <cellStyle name="Normal 2 2 5 2 2 2 2 4 2" xfId="21469" xr:uid="{BE9D713F-9234-4834-B38E-9DA48C0B1DD5}"/>
    <cellStyle name="Normal 2 2 5 2 2 2 2 5" xfId="24952" xr:uid="{DE9DE425-78CF-4FC1-AAED-4D4D739717D4}"/>
    <cellStyle name="Normal 2 2 5 2 2 2 2 6" xfId="13716" xr:uid="{473BE161-38AF-432F-8D97-A2AA2458A135}"/>
    <cellStyle name="Normal 2 2 5 2 2 2 3" xfId="4295" xr:uid="{B540126C-CBF3-438D-A163-D41348C34181}"/>
    <cellStyle name="Normal 2 2 5 2 2 2 3 2" xfId="9067" xr:uid="{097A9ECB-B1E7-4CAA-B99E-24633FBBF15E}"/>
    <cellStyle name="Normal 2 2 5 2 2 2 3 2 2" xfId="29110" xr:uid="{0E6D8B8B-E350-4037-A369-8C87D3BF7257}"/>
    <cellStyle name="Normal 2 2 5 2 2 2 3 2 3" xfId="19447" xr:uid="{09BAB93A-CF6E-4525-B161-0966E8B021AD}"/>
    <cellStyle name="Normal 2 2 5 2 2 2 3 3" xfId="11900" xr:uid="{722736AD-AB6E-4426-895F-29E7FBD1BDE2}"/>
    <cellStyle name="Normal 2 2 5 2 2 2 3 3 2" xfId="22280" xr:uid="{FAE00ADA-14AF-4963-8C68-F41B80685E82}"/>
    <cellStyle name="Normal 2 2 5 2 2 2 3 4" xfId="25486" xr:uid="{5EE46B0A-EC95-4442-9320-B0A68B5E9303}"/>
    <cellStyle name="Normal 2 2 5 2 2 2 3 5" xfId="16614" xr:uid="{8B60813B-16E3-44F0-9CE2-C44668E98EF0}"/>
    <cellStyle name="Normal 2 2 5 2 2 2 4" xfId="5948" xr:uid="{C3820229-FF72-433D-A0F7-E522322D9E73}"/>
    <cellStyle name="Normal 2 2 5 2 2 2 4 2" xfId="28214" xr:uid="{5C474A1A-0888-4F3F-9585-5D2B42AC5D88}"/>
    <cellStyle name="Normal 2 2 5 2 2 2 4 3" xfId="15401" xr:uid="{B27D4E90-C4DE-4AD3-905D-D5E865380096}"/>
    <cellStyle name="Normal 2 2 5 2 2 2 5" xfId="7854" xr:uid="{C7407326-E5BA-4D95-A4A5-F6DEF9D6133F}"/>
    <cellStyle name="Normal 2 2 5 2 2 2 5 2" xfId="18234" xr:uid="{C5529907-18E8-41F3-A2C9-7638948473D8}"/>
    <cellStyle name="Normal 2 2 5 2 2 2 6" xfId="10687" xr:uid="{238BFC77-4777-4A6A-9924-44C3C272C76A}"/>
    <cellStyle name="Normal 2 2 5 2 2 2 6 2" xfId="21067" xr:uid="{50CA46B1-4DF1-4410-A5D1-5FB3B1C07921}"/>
    <cellStyle name="Normal 2 2 5 2 2 2 7" xfId="23325" xr:uid="{FF8025E8-9FFF-439A-A830-11468EAB3B7A}"/>
    <cellStyle name="Normal 2 2 5 2 2 2 8" xfId="13164" xr:uid="{07BEF1A2-CBC1-4DD8-9A8D-F344C2B7F648}"/>
    <cellStyle name="Normal 2 2 5 2 2 3" xfId="3177" xr:uid="{00000000-0005-0000-0000-000009040000}"/>
    <cellStyle name="Normal 2 2 5 2 2 3 2" xfId="4464" xr:uid="{4CEFD531-6DC8-4933-A08C-FCC744DA5A7D}"/>
    <cellStyle name="Normal 2 2 5 2 2 3 2 2" xfId="9236" xr:uid="{D26C2B8C-A4B5-4B88-9F76-EDAFB6399D4B}"/>
    <cellStyle name="Normal 2 2 5 2 2 3 2 2 2" xfId="29227" xr:uid="{1699C1AA-992C-41F0-94E6-8A2847D9090B}"/>
    <cellStyle name="Normal 2 2 5 2 2 3 2 2 3" xfId="19616" xr:uid="{7A872625-E9BC-4B6B-A66A-768F15486530}"/>
    <cellStyle name="Normal 2 2 5 2 2 3 2 3" xfId="12069" xr:uid="{5B92F177-2D5A-4909-89B3-1C73C0386018}"/>
    <cellStyle name="Normal 2 2 5 2 2 3 2 3 2" xfId="22449" xr:uid="{B8DD0900-B2FD-4D9F-9C96-16C4454F04D0}"/>
    <cellStyle name="Normal 2 2 5 2 2 3 2 4" xfId="27759" xr:uid="{617BC2D3-3736-402C-A14E-BD8CBD267028}"/>
    <cellStyle name="Normal 2 2 5 2 2 3 2 5" xfId="16783" xr:uid="{730C0D24-B54F-46CD-A538-34245F353A95}"/>
    <cellStyle name="Normal 2 2 5 2 2 3 3" xfId="6235" xr:uid="{4AB8D882-A60E-4EB6-8AB6-7631DB8C0179}"/>
    <cellStyle name="Normal 2 2 5 2 2 3 3 2" xfId="27411" xr:uid="{980A3846-D16D-49B0-9460-EEEF04713EB5}"/>
    <cellStyle name="Normal 2 2 5 2 2 3 3 3" xfId="15804" xr:uid="{53818701-DBE8-4EBA-9F51-9F10AAAA5B50}"/>
    <cellStyle name="Normal 2 2 5 2 2 3 4" xfId="8257" xr:uid="{9FE62E0B-3EB9-4966-B5FF-89E32C42A46D}"/>
    <cellStyle name="Normal 2 2 5 2 2 3 4 2" xfId="18637" xr:uid="{8D0FD7B3-3FF0-4ABC-A03E-32CB9E2E3B29}"/>
    <cellStyle name="Normal 2 2 5 2 2 3 5" xfId="11090" xr:uid="{F5CF5724-7237-41E2-8A18-2E5F0F7CC5A2}"/>
    <cellStyle name="Normal 2 2 5 2 2 3 5 2" xfId="21470" xr:uid="{A6498B79-8411-461D-BCA2-11E829EA01DB}"/>
    <cellStyle name="Normal 2 2 5 2 2 3 6" xfId="25511" xr:uid="{5CE8895A-DF4B-402B-AFFE-D89B3D3DAB51}"/>
    <cellStyle name="Normal 2 2 5 2 2 3 7" xfId="13717" xr:uid="{FD766A7C-592C-47E0-BB04-00C6FFDE6298}"/>
    <cellStyle name="Normal 2 2 5 2 2 4" xfId="3175" xr:uid="{00000000-0005-0000-0000-00000A040000}"/>
    <cellStyle name="Normal 2 2 5 2 2 4 2" xfId="6233" xr:uid="{A7711E8B-4397-4BDF-AD2A-074ECE53391E}"/>
    <cellStyle name="Normal 2 2 5 2 2 4 2 2" xfId="28369" xr:uid="{29D270F5-A310-4F02-BDC3-4B9E04FD2489}"/>
    <cellStyle name="Normal 2 2 5 2 2 4 2 3" xfId="15802" xr:uid="{6E468B09-BEE9-40FD-A309-ADB821F82D1E}"/>
    <cellStyle name="Normal 2 2 5 2 2 4 3" xfId="8255" xr:uid="{251BCB6C-9C74-41F5-9B6B-3F6CAFBD93CF}"/>
    <cellStyle name="Normal 2 2 5 2 2 4 3 2" xfId="18635" xr:uid="{EF5D7492-E9DB-416E-A9DB-13FBFE58DFD6}"/>
    <cellStyle name="Normal 2 2 5 2 2 4 4" xfId="11088" xr:uid="{90EA8961-543F-4FB0-86DB-C3E86DA6626D}"/>
    <cellStyle name="Normal 2 2 5 2 2 4 4 2" xfId="21468" xr:uid="{9C0A8CDF-9C8B-41ED-A24F-4B4944E816AD}"/>
    <cellStyle name="Normal 2 2 5 2 2 4 5" xfId="25022" xr:uid="{4366B986-B845-4B6F-B510-64348E684793}"/>
    <cellStyle name="Normal 2 2 5 2 2 4 6" xfId="13715" xr:uid="{D3A59B73-7E2C-41A9-9415-9871974961BE}"/>
    <cellStyle name="Normal 2 2 5 2 2 5" xfId="2644" xr:uid="{00000000-0005-0000-0000-00000B040000}"/>
    <cellStyle name="Normal 2 2 5 2 2 5 2" xfId="5906" xr:uid="{8CFF2044-928E-480E-AD2D-F6E9AAAC0731}"/>
    <cellStyle name="Normal 2 2 5 2 2 5 2 2" xfId="28421" xr:uid="{1FD9D166-1B25-4F69-A805-625EE389A4BE}"/>
    <cellStyle name="Normal 2 2 5 2 2 5 2 3" xfId="15316" xr:uid="{18A76B74-A7D1-40B9-A7B0-E65FCB9E6200}"/>
    <cellStyle name="Normal 2 2 5 2 2 5 3" xfId="7769" xr:uid="{561B5177-5DB6-4A3B-825E-85C2A34917B5}"/>
    <cellStyle name="Normal 2 2 5 2 2 5 3 2" xfId="18149" xr:uid="{E1FBEE2C-F155-4914-BF20-642C45CD70E3}"/>
    <cellStyle name="Normal 2 2 5 2 2 5 4" xfId="10602" xr:uid="{F233F524-3D64-40B5-8F41-A03DCDCE408F}"/>
    <cellStyle name="Normal 2 2 5 2 2 5 4 2" xfId="20982" xr:uid="{31ACCF3E-F9A7-4066-89C7-55F5DE1A6DB4}"/>
    <cellStyle name="Normal 2 2 5 2 2 5 5" xfId="22783" xr:uid="{33145012-9A5C-4EC4-9195-06EAD766F625}"/>
    <cellStyle name="Normal 2 2 5 2 2 5 6" xfId="13033" xr:uid="{E4C07432-1FF4-4055-8D47-7BD5967CA77A}"/>
    <cellStyle name="Normal 2 2 5 2 2 6" xfId="2329" xr:uid="{00000000-0005-0000-0000-000006040000}"/>
    <cellStyle name="Normal 2 2 5 2 2 6 2" xfId="7456" xr:uid="{1D69DBE1-204C-4ECF-84F8-39E0D5C657C3}"/>
    <cellStyle name="Normal 2 2 5 2 2 6 2 2" xfId="17836" xr:uid="{B10D6174-85EF-4414-BBAB-3803E0FD227F}"/>
    <cellStyle name="Normal 2 2 5 2 2 6 3" xfId="10289" xr:uid="{A108CD46-B7BB-4A78-B200-90B98197F584}"/>
    <cellStyle name="Normal 2 2 5 2 2 6 3 2" xfId="20669" xr:uid="{3F335AC8-F248-40E3-B2E6-D5C7CB22C033}"/>
    <cellStyle name="Normal 2 2 5 2 2 6 4" xfId="24774" xr:uid="{ECEC4359-259E-46B9-9A69-007C76C810F6}"/>
    <cellStyle name="Normal 2 2 5 2 2 6 5" xfId="15003" xr:uid="{D26EB9C9-A5A5-477D-8DE0-CA9F13FAE740}"/>
    <cellStyle name="Normal 2 2 5 2 2 7" xfId="3844" xr:uid="{48B02B64-95AB-4344-A2CD-3FB4916A7BE5}"/>
    <cellStyle name="Normal 2 2 5 2 2 7 2" xfId="8677" xr:uid="{94182FF3-87BC-4970-866E-CF8CF44C640C}"/>
    <cellStyle name="Normal 2 2 5 2 2 7 2 2" xfId="19057" xr:uid="{3447AB07-9FBF-4ACC-9111-10A4D5F70B07}"/>
    <cellStyle name="Normal 2 2 5 2 2 7 3" xfId="11510" xr:uid="{09255C7F-7217-4B9F-835A-88A43471D589}"/>
    <cellStyle name="Normal 2 2 5 2 2 7 3 2" xfId="21890" xr:uid="{86631AE6-C195-44A2-8A24-1D1C23EBD51B}"/>
    <cellStyle name="Normal 2 2 5 2 2 7 4" xfId="16224" xr:uid="{49214307-4659-45B4-9EC9-267B3CE81593}"/>
    <cellStyle name="Normal 2 2 5 2 2 8" xfId="5113" xr:uid="{F208FDEE-D072-4013-8D23-5A573C8E96F9}"/>
    <cellStyle name="Normal 2 2 5 2 2 8 2" xfId="14410" xr:uid="{CE95EE3B-CB93-4FA1-937B-6ADAF05098A8}"/>
    <cellStyle name="Normal 2 2 5 2 2 9" xfId="6863" xr:uid="{7C961A93-00CF-4A06-9F89-0EF6C6954FC2}"/>
    <cellStyle name="Normal 2 2 5 2 2 9 2" xfId="17243" xr:uid="{061F0C92-2E17-4F32-9B76-AEC8DE8D16F6}"/>
    <cellStyle name="Normal 2 2 5 2 3" xfId="760" xr:uid="{00000000-0005-0000-0000-0000A4040000}"/>
    <cellStyle name="Normal 2 2 5 2 3 2" xfId="3178" xr:uid="{00000000-0005-0000-0000-00000D040000}"/>
    <cellStyle name="Normal 2 2 5 2 3 2 2" xfId="6236" xr:uid="{7671342D-DC81-4A3A-9A80-C9C93765E2A0}"/>
    <cellStyle name="Normal 2 2 5 2 3 2 2 2" xfId="28011" xr:uid="{836D8BCC-1643-4830-907A-7862E2C668B2}"/>
    <cellStyle name="Normal 2 2 5 2 3 2 2 3" xfId="26479" xr:uid="{F100F1D5-5B19-4463-88C4-B74EA0143188}"/>
    <cellStyle name="Normal 2 2 5 2 3 2 2 4" xfId="15805" xr:uid="{9A7420C0-E4AA-44DA-ADF1-7DE9403863C6}"/>
    <cellStyle name="Normal 2 2 5 2 3 2 3" xfId="8258" xr:uid="{62D90871-03EE-4C54-BC46-D5729DAE5598}"/>
    <cellStyle name="Normal 2 2 5 2 3 2 3 2" xfId="28879" xr:uid="{4DED0B6B-9FA7-428E-96F0-9B44709F3832}"/>
    <cellStyle name="Normal 2 2 5 2 3 2 3 3" xfId="18638" xr:uid="{8C043991-1422-48FE-8C4B-2DCA36E78D10}"/>
    <cellStyle name="Normal 2 2 5 2 3 2 4" xfId="11091" xr:uid="{7D7E4BE2-BBAA-4F30-B227-2DDFF530C835}"/>
    <cellStyle name="Normal 2 2 5 2 3 2 4 2" xfId="21471" xr:uid="{23A50764-7713-42B7-AEC4-7FBE9A4435EF}"/>
    <cellStyle name="Normal 2 2 5 2 3 2 5" xfId="24220" xr:uid="{E0AD114A-9F8E-40D5-A71A-77D28069D632}"/>
    <cellStyle name="Normal 2 2 5 2 3 2 6" xfId="13718" xr:uid="{E40BF5E5-F5FD-45EC-8EB9-E0C8C8215B51}"/>
    <cellStyle name="Normal 2 2 5 2 3 3" xfId="2729" xr:uid="{00000000-0005-0000-0000-00000E040000}"/>
    <cellStyle name="Normal 2 2 5 2 3 3 2" xfId="5947" xr:uid="{15D59BA5-CC2A-4E70-AD10-18DA53AE4161}"/>
    <cellStyle name="Normal 2 2 5 2 3 3 2 2" xfId="27792" xr:uid="{6C2AB6CC-99C9-4393-8A7D-2EDFD118096E}"/>
    <cellStyle name="Normal 2 2 5 2 3 3 2 3" xfId="15400" xr:uid="{045343DE-B0AD-4CB1-BF9A-5B9964515EE2}"/>
    <cellStyle name="Normal 2 2 5 2 3 3 3" xfId="7853" xr:uid="{772F91EC-9462-49A4-B389-FC5D9799408F}"/>
    <cellStyle name="Normal 2 2 5 2 3 3 3 2" xfId="18233" xr:uid="{0A418F78-E7EF-4788-BE47-6DD79556DB4F}"/>
    <cellStyle name="Normal 2 2 5 2 3 3 4" xfId="10686" xr:uid="{8E7377C0-6698-4826-BE3B-764718F6B425}"/>
    <cellStyle name="Normal 2 2 5 2 3 3 4 2" xfId="21066" xr:uid="{25B5D6BC-7AB1-4973-AC78-A67966B40E4C}"/>
    <cellStyle name="Normal 2 2 5 2 3 3 5" xfId="24652" xr:uid="{B06FAF1E-9418-4804-B577-50DC3162DCA1}"/>
    <cellStyle name="Normal 2 2 5 2 3 3 6" xfId="13163" xr:uid="{83653CA8-1C2D-40A3-92EC-1414155DCA11}"/>
    <cellStyle name="Normal 2 2 5 2 3 4" xfId="4163" xr:uid="{37F35E24-F25E-40F3-842E-05A5F5C821FF}"/>
    <cellStyle name="Normal 2 2 5 2 3 4 2" xfId="8935" xr:uid="{EE852AE6-BD3A-4388-979F-311F52C1B4F2}"/>
    <cellStyle name="Normal 2 2 5 2 3 4 2 2" xfId="29032" xr:uid="{09CF3D11-8BF7-4B74-86F0-175816DB2EB9}"/>
    <cellStyle name="Normal 2 2 5 2 3 4 2 3" xfId="19315" xr:uid="{61E1501E-80F9-43E8-90FB-EA5769F2F1A4}"/>
    <cellStyle name="Normal 2 2 5 2 3 4 3" xfId="11768" xr:uid="{645FA318-7E0B-4F97-B2B1-32A0D8564636}"/>
    <cellStyle name="Normal 2 2 5 2 3 4 3 2" xfId="22148" xr:uid="{01D11F82-CED9-4AE0-B555-D8C20066FC17}"/>
    <cellStyle name="Normal 2 2 5 2 3 4 4" xfId="23468" xr:uid="{0868E0E5-911A-40EB-80C8-8DFA30F6D1FE}"/>
    <cellStyle name="Normal 2 2 5 2 3 4 5" xfId="16482" xr:uid="{F8318EE4-F355-4469-A883-5CB5947B91E9}"/>
    <cellStyle name="Normal 2 2 5 2 3 5" xfId="5114" xr:uid="{0C8D7411-411D-41FE-AAD0-B2ED35D09B1B}"/>
    <cellStyle name="Normal 2 2 5 2 3 5 2" xfId="26314" xr:uid="{96BE5A80-2062-4778-88EA-486BBD1F3EA1}"/>
    <cellStyle name="Normal 2 2 5 2 3 5 3" xfId="14411" xr:uid="{2955E46F-4E4A-4AC8-8F0C-475FE29DF94B}"/>
    <cellStyle name="Normal 2 2 5 2 3 6" xfId="6864" xr:uid="{6BED6A0B-5C0A-47D5-93B7-CD5500CA60D4}"/>
    <cellStyle name="Normal 2 2 5 2 3 6 2" xfId="17244" xr:uid="{7DFF01D4-2C2B-4392-B67C-994F7FA3BE53}"/>
    <cellStyle name="Normal 2 2 5 2 3 7" xfId="9697" xr:uid="{52B0BC81-04F4-4B33-9979-ACDD4B8EB1D7}"/>
    <cellStyle name="Normal 2 2 5 2 3 7 2" xfId="20077" xr:uid="{804EB2CB-F995-411C-A8F4-63A50BC1B1A7}"/>
    <cellStyle name="Normal 2 2 5 2 3 8" xfId="24650" xr:uid="{70536A9A-7AC4-45C8-A6EB-22FA6F4C27D7}"/>
    <cellStyle name="Normal 2 2 5 2 3 9" xfId="12721" xr:uid="{41AC3D4C-B08B-4878-83C5-E040CF37AAA5}"/>
    <cellStyle name="Normal 2 2 5 2 4" xfId="3179" xr:uid="{00000000-0005-0000-0000-00000F040000}"/>
    <cellStyle name="Normal 2 2 5 2 4 2" xfId="4465" xr:uid="{C9E20F56-6F54-4390-8DD2-BD82F443448C}"/>
    <cellStyle name="Normal 2 2 5 2 4 2 2" xfId="9237" xr:uid="{035F2F7C-A2D9-4621-981B-9ED88B058A01}"/>
    <cellStyle name="Normal 2 2 5 2 4 2 2 2" xfId="29228" xr:uid="{107E6348-4C31-4C67-816C-E500DEB082EB}"/>
    <cellStyle name="Normal 2 2 5 2 4 2 2 3" xfId="19617" xr:uid="{5B0EC37C-C6A7-4038-B3E1-16AFA0F7A6D1}"/>
    <cellStyle name="Normal 2 2 5 2 4 2 3" xfId="12070" xr:uid="{AD1B2371-1AA9-485E-A275-3F371D70EB60}"/>
    <cellStyle name="Normal 2 2 5 2 4 2 3 2" xfId="22450" xr:uid="{D7A3B5AF-C478-480D-A941-A413733C6753}"/>
    <cellStyle name="Normal 2 2 5 2 4 2 4" xfId="23710" xr:uid="{DCADD72E-4C18-4FE0-BAF5-2D39FBD7A790}"/>
    <cellStyle name="Normal 2 2 5 2 4 2 5" xfId="16784" xr:uid="{2A9033E2-A0E7-4539-806B-2994D8C6B181}"/>
    <cellStyle name="Normal 2 2 5 2 4 3" xfId="6237" xr:uid="{B330333B-27B6-4FAC-8385-CEABC3B157EE}"/>
    <cellStyle name="Normal 2 2 5 2 4 3 2" xfId="26264" xr:uid="{0A0059EA-94E6-4777-9D1E-1CACCCD0996F}"/>
    <cellStyle name="Normal 2 2 5 2 4 3 3" xfId="15806" xr:uid="{31EC71FE-4301-4F53-9405-74A63B9BAF02}"/>
    <cellStyle name="Normal 2 2 5 2 4 4" xfId="8259" xr:uid="{BBE116D6-323F-4AE9-8026-4AC193136700}"/>
    <cellStyle name="Normal 2 2 5 2 4 4 2" xfId="18639" xr:uid="{466EF179-8029-4E30-A575-2104EAFAAAC3}"/>
    <cellStyle name="Normal 2 2 5 2 4 5" xfId="11092" xr:uid="{7C8729C1-B9B4-4171-A2BC-F29947856249}"/>
    <cellStyle name="Normal 2 2 5 2 4 5 2" xfId="21472" xr:uid="{08C40333-5364-4DF0-A9EC-B7A5FCF83B50}"/>
    <cellStyle name="Normal 2 2 5 2 4 6" xfId="24180" xr:uid="{095A202C-2D37-4AD8-A263-3823CC9E4FDD}"/>
    <cellStyle name="Normal 2 2 5 2 4 7" xfId="13719" xr:uid="{7496F5B8-7BE8-4F30-9C2E-499BF2B6BBA6}"/>
    <cellStyle name="Normal 2 2 5 2 5" xfId="2904" xr:uid="{00000000-0005-0000-0000-000010040000}"/>
    <cellStyle name="Normal 2 2 5 2 5 2" xfId="6090" xr:uid="{B6894EBA-D4F9-4999-BA38-F8BC05D7F206}"/>
    <cellStyle name="Normal 2 2 5 2 5 2 2" xfId="27396" xr:uid="{3A1071B8-28F1-4251-B58F-A26EEB6B85D3}"/>
    <cellStyle name="Normal 2 2 5 2 5 2 3" xfId="28217" xr:uid="{34441506-560F-4171-BBE8-0AAA5D1ECF18}"/>
    <cellStyle name="Normal 2 2 5 2 5 2 4" xfId="15568" xr:uid="{62CA858A-BF27-4401-A068-5C1DD0D56A8C}"/>
    <cellStyle name="Normal 2 2 5 2 5 3" xfId="8021" xr:uid="{ABFF5A1F-AC8A-428A-81E7-F5100C25AC5E}"/>
    <cellStyle name="Normal 2 2 5 2 5 3 2" xfId="28418" xr:uid="{A9A0004C-1657-41FC-B526-0C144352775B}"/>
    <cellStyle name="Normal 2 2 5 2 5 3 3" xfId="18401" xr:uid="{B329EB4B-4CDD-4478-A140-93E6FC79ED9F}"/>
    <cellStyle name="Normal 2 2 5 2 5 4" xfId="10854" xr:uid="{EF41FF9B-619E-4262-9FAF-BFEC7836058A}"/>
    <cellStyle name="Normal 2 2 5 2 5 4 2" xfId="21234" xr:uid="{5C53EB13-881F-4012-AE40-2DA4F90E8A9B}"/>
    <cellStyle name="Normal 2 2 5 2 5 5" xfId="24756" xr:uid="{379ECBB2-C11B-4E05-BDE5-CDA1A61439A1}"/>
    <cellStyle name="Normal 2 2 5 2 5 6" xfId="13419" xr:uid="{985B20EB-C0C9-4665-9390-A6FB4B0DC8AD}"/>
    <cellStyle name="Normal 2 2 5 2 6" xfId="2542" xr:uid="{00000000-0005-0000-0000-000011040000}"/>
    <cellStyle name="Normal 2 2 5 2 6 2" xfId="5814" xr:uid="{699F9465-D080-4D69-B966-84E27401E56F}"/>
    <cellStyle name="Normal 2 2 5 2 6 2 2" xfId="26551" xr:uid="{A901BF6F-3A14-42C0-AAC1-638CB8F0D37D}"/>
    <cellStyle name="Normal 2 2 5 2 6 2 3" xfId="15214" xr:uid="{314BD354-BDB8-4B7F-8791-EBEA355B449C}"/>
    <cellStyle name="Normal 2 2 5 2 6 3" xfId="7667" xr:uid="{4EFCA50F-A57C-4BF0-AACF-DE8B26A93024}"/>
    <cellStyle name="Normal 2 2 5 2 6 3 2" xfId="18047" xr:uid="{5A17AA12-2EF9-4B2D-AEDE-9D23EA99FFFD}"/>
    <cellStyle name="Normal 2 2 5 2 6 4" xfId="10500" xr:uid="{7779AA36-E2BC-4556-BF52-9CC53B73E024}"/>
    <cellStyle name="Normal 2 2 5 2 6 4 2" xfId="20880" xr:uid="{E017C883-8967-459B-8370-4FD549B51FE3}"/>
    <cellStyle name="Normal 2 2 5 2 6 5" xfId="25187" xr:uid="{C016EE01-47B7-412F-983D-3432A44E850B}"/>
    <cellStyle name="Normal 2 2 5 2 6 6" xfId="12930" xr:uid="{0C927CA1-CCF6-4AD3-AA05-0017B7A9ACF8}"/>
    <cellStyle name="Normal 2 2 5 2 7" xfId="2236" xr:uid="{00000000-0005-0000-0000-000005040000}"/>
    <cellStyle name="Normal 2 2 5 2 7 2" xfId="7363" xr:uid="{38332203-CE39-491F-B705-EE061949E435}"/>
    <cellStyle name="Normal 2 2 5 2 7 2 2" xfId="17743" xr:uid="{1625E781-7A70-4D28-BC6A-CAD3F0C52332}"/>
    <cellStyle name="Normal 2 2 5 2 7 3" xfId="10196" xr:uid="{0936674F-D607-490D-81FE-F219362C21AA}"/>
    <cellStyle name="Normal 2 2 5 2 7 3 2" xfId="20576" xr:uid="{F7AA5EC4-439C-43F9-80B1-416D193F93D2}"/>
    <cellStyle name="Normal 2 2 5 2 7 4" xfId="25575" xr:uid="{38EB2627-4D0F-4F55-9A6B-CA08DCC73ED4}"/>
    <cellStyle name="Normal 2 2 5 2 7 5" xfId="14910" xr:uid="{B3842ADD-C684-411A-9B67-0279154E1BE5}"/>
    <cellStyle name="Normal 2 2 5 2 8" xfId="3936" xr:uid="{5A51DEF3-B876-43F1-9829-BEC3A0C9779E}"/>
    <cellStyle name="Normal 2 2 5 2 8 2" xfId="8768" xr:uid="{45BD9648-31E1-435B-988C-7BC0F8E084B5}"/>
    <cellStyle name="Normal 2 2 5 2 8 2 2" xfId="19148" xr:uid="{43117BD3-7E0C-4CD9-B8BC-DAC89571DBE1}"/>
    <cellStyle name="Normal 2 2 5 2 8 3" xfId="11601" xr:uid="{E6F14F03-593A-4EE2-906F-5BC7FCFA8EB3}"/>
    <cellStyle name="Normal 2 2 5 2 8 3 2" xfId="21981" xr:uid="{AB3D4F39-0181-4332-B8AA-C4C721A4CF63}"/>
    <cellStyle name="Normal 2 2 5 2 8 4" xfId="16315" xr:uid="{90F3F3A7-1C62-4CFA-8DCD-1D77B804D306}"/>
    <cellStyle name="Normal 2 2 5 2 9" xfId="5112" xr:uid="{AD536F58-F2F5-4216-976C-1862C83261E7}"/>
    <cellStyle name="Normal 2 2 5 2 9 2" xfId="14409" xr:uid="{B6C4BCC5-2CA8-472F-B677-E81C10B28A1F}"/>
    <cellStyle name="Normal 2 2 5 3" xfId="761" xr:uid="{00000000-0005-0000-0000-0000A5040000}"/>
    <cellStyle name="Normal 2 2 5 3 10" xfId="9698" xr:uid="{7364066B-39EB-4205-8D30-52E2A4F8F68A}"/>
    <cellStyle name="Normal 2 2 5 3 10 2" xfId="20078" xr:uid="{071C8EA1-DF30-4A73-B218-94EED7F49BF3}"/>
    <cellStyle name="Normal 2 2 5 3 11" xfId="23342" xr:uid="{ADC48A0A-5EAD-425A-8A31-6ADDEFD672D0}"/>
    <cellStyle name="Normal 2 2 5 3 12" xfId="12562" xr:uid="{967E07C1-269E-4F03-A799-B5DDA3A1E6FE}"/>
    <cellStyle name="Normal 2 2 5 3 2" xfId="2731" xr:uid="{00000000-0005-0000-0000-000013040000}"/>
    <cellStyle name="Normal 2 2 5 3 2 2" xfId="3181" xr:uid="{00000000-0005-0000-0000-000014040000}"/>
    <cellStyle name="Normal 2 2 5 3 2 2 2" xfId="6239" xr:uid="{DB8B03FE-930A-4F15-84FC-735F30984B5F}"/>
    <cellStyle name="Normal 2 2 5 3 2 2 2 2" xfId="25924" xr:uid="{D3BEF0C3-AD65-4847-AC71-7A84C123640C}"/>
    <cellStyle name="Normal 2 2 5 3 2 2 2 3" xfId="27209" xr:uid="{15CF10F0-03CF-434D-8F32-B2134E64E2A2}"/>
    <cellStyle name="Normal 2 2 5 3 2 2 2 4" xfId="15808" xr:uid="{1A18B310-3CF7-44E8-99CD-46036AB80A47}"/>
    <cellStyle name="Normal 2 2 5 3 2 2 3" xfId="8261" xr:uid="{CD516AE2-16B3-44E9-A956-813B74203E9D}"/>
    <cellStyle name="Normal 2 2 5 3 2 2 3 2" xfId="28880" xr:uid="{8FE66765-C894-4BB7-97AA-31AF476783DC}"/>
    <cellStyle name="Normal 2 2 5 3 2 2 3 3" xfId="18641" xr:uid="{DE88CF14-BADD-4144-8754-66F492327E62}"/>
    <cellStyle name="Normal 2 2 5 3 2 2 4" xfId="11094" xr:uid="{D464F0E7-6051-450A-AB71-818208813C24}"/>
    <cellStyle name="Normal 2 2 5 3 2 2 4 2" xfId="21474" xr:uid="{C1B261EA-B1CD-4C88-B775-A81B9A5510EA}"/>
    <cellStyle name="Normal 2 2 5 3 2 2 5" xfId="22852" xr:uid="{15A51E91-E3F0-4BD5-8969-9FF147681057}"/>
    <cellStyle name="Normal 2 2 5 3 2 2 6" xfId="13721" xr:uid="{18CE4E08-502F-4119-A32A-1ECFF10F038B}"/>
    <cellStyle name="Normal 2 2 5 3 2 3" xfId="4296" xr:uid="{30081D75-D036-4F84-B039-199494EB6D8B}"/>
    <cellStyle name="Normal 2 2 5 3 2 3 2" xfId="9068" xr:uid="{1FBBC496-A930-42B3-B32E-489E9E59193B}"/>
    <cellStyle name="Normal 2 2 5 3 2 3 2 2" xfId="29111" xr:uid="{C42E494C-BB98-46ED-AA07-A34B89EC5FF3}"/>
    <cellStyle name="Normal 2 2 5 3 2 3 2 3" xfId="19448" xr:uid="{CA31F7C8-4F7E-4C79-9C83-E7162B8A083A}"/>
    <cellStyle name="Normal 2 2 5 3 2 3 3" xfId="11901" xr:uid="{37E3D474-187A-4129-8F64-8667AD58FC1A}"/>
    <cellStyle name="Normal 2 2 5 3 2 3 3 2" xfId="22281" xr:uid="{F1B6D957-B0FB-48B1-9B05-3F9D1B3777FB}"/>
    <cellStyle name="Normal 2 2 5 3 2 3 4" xfId="23659" xr:uid="{8A391D46-349F-43B1-904A-35F13F278832}"/>
    <cellStyle name="Normal 2 2 5 3 2 3 5" xfId="16615" xr:uid="{A04AA1EA-07D4-4F15-9369-C5E371E72847}"/>
    <cellStyle name="Normal 2 2 5 3 2 4" xfId="5949" xr:uid="{7E671051-7CA9-4436-B501-677FA828FABA}"/>
    <cellStyle name="Normal 2 2 5 3 2 4 2" xfId="26737" xr:uid="{C8492F1F-2400-4772-9838-13D7264B6017}"/>
    <cellStyle name="Normal 2 2 5 3 2 4 3" xfId="15402" xr:uid="{D5CFDB2D-2905-41F1-94D5-6792A993CDA8}"/>
    <cellStyle name="Normal 2 2 5 3 2 5" xfId="7855" xr:uid="{B9528EED-444F-48CF-BC18-E898022C2355}"/>
    <cellStyle name="Normal 2 2 5 3 2 5 2" xfId="18235" xr:uid="{9F20B949-05E0-47E7-81D1-F51539E959E7}"/>
    <cellStyle name="Normal 2 2 5 3 2 6" xfId="10688" xr:uid="{20C5FB41-F9F2-459E-8B5B-C1772DFD6307}"/>
    <cellStyle name="Normal 2 2 5 3 2 6 2" xfId="21068" xr:uid="{9C5859D7-9238-4A3F-9AAC-FEE4E12811D1}"/>
    <cellStyle name="Normal 2 2 5 3 2 7" xfId="24994" xr:uid="{8804360D-1740-4126-BA92-E232EB43B6B3}"/>
    <cellStyle name="Normal 2 2 5 3 2 8" xfId="13165" xr:uid="{9A60082A-A36E-4BBF-AC03-54C96FDD41FC}"/>
    <cellStyle name="Normal 2 2 5 3 3" xfId="3182" xr:uid="{00000000-0005-0000-0000-000015040000}"/>
    <cellStyle name="Normal 2 2 5 3 3 2" xfId="4466" xr:uid="{48360EDB-E31A-4E4C-9125-017600EDB684}"/>
    <cellStyle name="Normal 2 2 5 3 3 2 2" xfId="9238" xr:uid="{9C0C4736-A865-4F40-88B2-84236B470E38}"/>
    <cellStyle name="Normal 2 2 5 3 3 2 2 2" xfId="29229" xr:uid="{00D117A8-9AB0-4313-8331-9C81385CE407}"/>
    <cellStyle name="Normal 2 2 5 3 3 2 2 3" xfId="19618" xr:uid="{910AD68C-77C9-4230-AF2B-6E7B524EACAF}"/>
    <cellStyle name="Normal 2 2 5 3 3 2 3" xfId="12071" xr:uid="{C4328F12-4599-410E-8A77-D36F4B619AB8}"/>
    <cellStyle name="Normal 2 2 5 3 3 2 3 2" xfId="22451" xr:uid="{5235CF13-B17C-4812-BE0D-878DB742EAEE}"/>
    <cellStyle name="Normal 2 2 5 3 3 2 4" xfId="25639" xr:uid="{E472F8F3-6451-4567-99E5-8E594F17347F}"/>
    <cellStyle name="Normal 2 2 5 3 3 2 5" xfId="16785" xr:uid="{50E1624C-D7AB-499D-8F02-19B458F092E0}"/>
    <cellStyle name="Normal 2 2 5 3 3 3" xfId="6240" xr:uid="{B1E78442-0E9C-48A1-AD39-4A87BFDDEB23}"/>
    <cellStyle name="Normal 2 2 5 3 3 3 2" xfId="26046" xr:uid="{9D62ACC6-3D89-4B37-A4D6-BCB14B26C743}"/>
    <cellStyle name="Normal 2 2 5 3 3 3 3" xfId="15809" xr:uid="{A75462E0-4BF7-40B1-B1EA-6ABB72912050}"/>
    <cellStyle name="Normal 2 2 5 3 3 4" xfId="8262" xr:uid="{D894F6F5-39DF-407E-A6FA-8A59032844B1}"/>
    <cellStyle name="Normal 2 2 5 3 3 4 2" xfId="18642" xr:uid="{E1574776-3B4A-4525-BDF2-D34701C8483C}"/>
    <cellStyle name="Normal 2 2 5 3 3 5" xfId="11095" xr:uid="{A5940AD3-DD33-4FCB-95F3-8114BB2A6E13}"/>
    <cellStyle name="Normal 2 2 5 3 3 5 2" xfId="21475" xr:uid="{71838B3F-DCFB-4A51-B536-617B63F5D4A6}"/>
    <cellStyle name="Normal 2 2 5 3 3 6" xfId="22680" xr:uid="{9FE6C028-320A-4758-9989-784CF0F7E6EE}"/>
    <cellStyle name="Normal 2 2 5 3 3 7" xfId="13722" xr:uid="{56555126-E6DA-43E6-8C14-699C3DF768D7}"/>
    <cellStyle name="Normal 2 2 5 3 4" xfId="3180" xr:uid="{00000000-0005-0000-0000-000016040000}"/>
    <cellStyle name="Normal 2 2 5 3 4 2" xfId="6238" xr:uid="{8B5ABF74-57FE-4540-AA36-409E8F3C9144}"/>
    <cellStyle name="Normal 2 2 5 3 4 2 2" xfId="27414" xr:uid="{6052559B-A1CD-461B-A294-F2CB39611FE1}"/>
    <cellStyle name="Normal 2 2 5 3 4 2 3" xfId="15807" xr:uid="{CC3804E1-D2A0-426F-94A6-CB82AD0BC555}"/>
    <cellStyle name="Normal 2 2 5 3 4 3" xfId="8260" xr:uid="{7842EA77-8563-4802-ABC0-662519A88A62}"/>
    <cellStyle name="Normal 2 2 5 3 4 3 2" xfId="18640" xr:uid="{6F1577AA-AA59-4970-9A36-A04A3D7A9682}"/>
    <cellStyle name="Normal 2 2 5 3 4 4" xfId="11093" xr:uid="{D0D32A41-2D50-46A3-AAB5-2582E55B6B1C}"/>
    <cellStyle name="Normal 2 2 5 3 4 4 2" xfId="21473" xr:uid="{8F4D5BCC-6BC0-46E3-BC18-5168F1C8DC9F}"/>
    <cellStyle name="Normal 2 2 5 3 4 5" xfId="23064" xr:uid="{324B6F1E-E111-4D26-A32C-7A93DD29F9D0}"/>
    <cellStyle name="Normal 2 2 5 3 4 6" xfId="13720" xr:uid="{5FCE5877-5A3E-4E51-9459-FD4AE3BDF133}"/>
    <cellStyle name="Normal 2 2 5 3 5" xfId="2585" xr:uid="{00000000-0005-0000-0000-000017040000}"/>
    <cellStyle name="Normal 2 2 5 3 5 2" xfId="5850" xr:uid="{D68FD721-F74C-48E2-88D7-F5695118B0F5}"/>
    <cellStyle name="Normal 2 2 5 3 5 2 2" xfId="25887" xr:uid="{9FC1A68A-E832-41FF-AA80-E4C7B7827E46}"/>
    <cellStyle name="Normal 2 2 5 3 5 2 3" xfId="15257" xr:uid="{637E43A1-21B7-4C71-9C1D-C3534A45FB3A}"/>
    <cellStyle name="Normal 2 2 5 3 5 3" xfId="7710" xr:uid="{0F5B11BE-E2EF-43C9-AA70-9A4C9F809519}"/>
    <cellStyle name="Normal 2 2 5 3 5 3 2" xfId="18090" xr:uid="{6156AA97-D391-4421-A893-BD8A70C4EAEB}"/>
    <cellStyle name="Normal 2 2 5 3 5 4" xfId="10543" xr:uid="{B8B5B2DE-A2D8-4990-9E77-1E27173B78AD}"/>
    <cellStyle name="Normal 2 2 5 3 5 4 2" xfId="20923" xr:uid="{F98BE8BC-826A-459C-97C2-9A46A0929D43}"/>
    <cellStyle name="Normal 2 2 5 3 5 5" xfId="25339" xr:uid="{0B085AAA-4493-420A-8209-AB304D7B5653}"/>
    <cellStyle name="Normal 2 2 5 3 5 6" xfId="12973" xr:uid="{1990347C-B4F0-405F-9412-D0ADB4536A11}"/>
    <cellStyle name="Normal 2 2 5 3 6" xfId="2328" xr:uid="{00000000-0005-0000-0000-000012040000}"/>
    <cellStyle name="Normal 2 2 5 3 6 2" xfId="7455" xr:uid="{355A4282-D669-44C1-88B9-47C0ABA07E59}"/>
    <cellStyle name="Normal 2 2 5 3 6 2 2" xfId="17835" xr:uid="{5730EDBC-00E3-4467-8ED7-7FE48586581A}"/>
    <cellStyle name="Normal 2 2 5 3 6 3" xfId="10288" xr:uid="{4B95A07D-90D6-49F9-A0DB-986EA1DD1001}"/>
    <cellStyle name="Normal 2 2 5 3 6 3 2" xfId="20668" xr:uid="{D368E7D5-52BA-49BF-B3EF-63151CDA95B8}"/>
    <cellStyle name="Normal 2 2 5 3 6 4" xfId="24179" xr:uid="{0A7E2AAE-7538-4048-AC32-7D9E71F9699C}"/>
    <cellStyle name="Normal 2 2 5 3 6 5" xfId="15002" xr:uid="{C196E802-6982-4FEE-A6DE-C08935646518}"/>
    <cellStyle name="Normal 2 2 5 3 7" xfId="3843" xr:uid="{768E63F6-D0FB-427E-8CB9-301DD97546F9}"/>
    <cellStyle name="Normal 2 2 5 3 7 2" xfId="8676" xr:uid="{167A86E3-850C-4FB7-B244-9DC88C162A53}"/>
    <cellStyle name="Normal 2 2 5 3 7 2 2" xfId="19056" xr:uid="{A67BD2E5-D873-4902-9428-AA80E9E8B7EC}"/>
    <cellStyle name="Normal 2 2 5 3 7 3" xfId="11509" xr:uid="{AEDB1F02-3940-466E-9B01-770FF4DEA4CB}"/>
    <cellStyle name="Normal 2 2 5 3 7 3 2" xfId="21889" xr:uid="{54D42C56-CAB3-4AB6-93D6-A2A2C01B576C}"/>
    <cellStyle name="Normal 2 2 5 3 7 4" xfId="16223" xr:uid="{E1E88A3A-BE1A-4FB9-9BF2-494092A3B254}"/>
    <cellStyle name="Normal 2 2 5 3 8" xfId="5115" xr:uid="{30AF1C54-D2CC-4BBB-8766-0A393ABB8F1E}"/>
    <cellStyle name="Normal 2 2 5 3 8 2" xfId="14412" xr:uid="{92177246-C24D-451E-B088-5CFB429D4F22}"/>
    <cellStyle name="Normal 2 2 5 3 9" xfId="6865" xr:uid="{36AD9A76-892B-4B2F-95EB-E6ED3902772F}"/>
    <cellStyle name="Normal 2 2 5 3 9 2" xfId="17245" xr:uid="{48B43599-86E4-4CC4-A5A6-23AB3A005D75}"/>
    <cellStyle name="Normal 2 2 5 4" xfId="762" xr:uid="{00000000-0005-0000-0000-0000A6040000}"/>
    <cellStyle name="Normal 2 2 5 4 2" xfId="3183" xr:uid="{00000000-0005-0000-0000-000019040000}"/>
    <cellStyle name="Normal 2 2 5 4 2 2" xfId="6241" xr:uid="{1951603C-8860-4B43-9F11-FA631F269DCB}"/>
    <cellStyle name="Normal 2 2 5 4 2 2 2" xfId="24823" xr:uid="{730ECCB9-507B-49DD-9658-F3160CBE68C3}"/>
    <cellStyle name="Normal 2 2 5 4 2 2 3" xfId="27804" xr:uid="{2A7317C0-643E-4B65-9A97-C61A8E4A2474}"/>
    <cellStyle name="Normal 2 2 5 4 2 2 4" xfId="15810" xr:uid="{8C99B084-32E9-4F72-BBAE-3EA79CC8675A}"/>
    <cellStyle name="Normal 2 2 5 4 2 3" xfId="8263" xr:uid="{40F4AC1B-381C-40DE-A5E8-9EB8A2D02592}"/>
    <cellStyle name="Normal 2 2 5 4 2 3 2" xfId="28881" xr:uid="{584F1855-DA4E-4BAA-A86E-1BA7CA7C6D36}"/>
    <cellStyle name="Normal 2 2 5 4 2 3 3" xfId="18643" xr:uid="{EBA367CA-932D-4C99-92B1-278D334A4118}"/>
    <cellStyle name="Normal 2 2 5 4 2 4" xfId="11096" xr:uid="{8E68B3E8-45EE-4C41-A096-EF05DFC2B3E7}"/>
    <cellStyle name="Normal 2 2 5 4 2 4 2" xfId="21476" xr:uid="{FE16556B-F3C3-4906-8FDB-D4F60EC5402C}"/>
    <cellStyle name="Normal 2 2 5 4 2 5" xfId="23818" xr:uid="{3D58558D-803C-48F1-BDF8-9829FCD01334}"/>
    <cellStyle name="Normal 2 2 5 4 2 6" xfId="13723" xr:uid="{8EF7EF2B-CED1-4007-921C-297E3E70F6A4}"/>
    <cellStyle name="Normal 2 2 5 4 3" xfId="2728" xr:uid="{00000000-0005-0000-0000-00001A040000}"/>
    <cellStyle name="Normal 2 2 5 4 3 2" xfId="5946" xr:uid="{194E08B5-DDC3-4709-A771-073277BF9EB7}"/>
    <cellStyle name="Normal 2 2 5 4 3 2 2" xfId="25850" xr:uid="{BFA93C3E-B576-4D4B-8F77-BA345C374600}"/>
    <cellStyle name="Normal 2 2 5 4 3 2 3" xfId="15399" xr:uid="{6419E0F1-5E07-422F-A27A-2F6D3E62703E}"/>
    <cellStyle name="Normal 2 2 5 4 3 3" xfId="7852" xr:uid="{B02F34D0-F82F-4006-BE55-77B22080AA39}"/>
    <cellStyle name="Normal 2 2 5 4 3 3 2" xfId="18232" xr:uid="{AE538EAD-83E0-4905-9C2F-9D9D0B4A8B1A}"/>
    <cellStyle name="Normal 2 2 5 4 3 4" xfId="10685" xr:uid="{151237DE-A10E-4667-B110-49113A11C1F7}"/>
    <cellStyle name="Normal 2 2 5 4 3 4 2" xfId="21065" xr:uid="{A6D2CB03-5FCD-4ED8-A370-172DFFE921C3}"/>
    <cellStyle name="Normal 2 2 5 4 3 5" xfId="24051" xr:uid="{7A09FDC2-7262-4111-8465-3F92D0BCCB11}"/>
    <cellStyle name="Normal 2 2 5 4 3 6" xfId="13162" xr:uid="{0C71C1B2-E423-4854-A243-169C4D025D96}"/>
    <cellStyle name="Normal 2 2 5 4 4" xfId="4162" xr:uid="{77133353-D78F-4905-AB0C-35331A391DAE}"/>
    <cellStyle name="Normal 2 2 5 4 4 2" xfId="8934" xr:uid="{700A96BE-64B7-46B2-B34F-A7D01E8A7D5B}"/>
    <cellStyle name="Normal 2 2 5 4 4 2 2" xfId="29031" xr:uid="{41102D16-4D18-4AA7-AFAE-8D8CD5422523}"/>
    <cellStyle name="Normal 2 2 5 4 4 2 3" xfId="19314" xr:uid="{410448E5-A392-466B-BC94-70B7C721290F}"/>
    <cellStyle name="Normal 2 2 5 4 4 3" xfId="11767" xr:uid="{1BCC2FB2-0DDF-4976-BEC7-654235EAADF4}"/>
    <cellStyle name="Normal 2 2 5 4 4 3 2" xfId="22147" xr:uid="{5E9C6438-4F90-47FB-9C1D-9C1AB1F57212}"/>
    <cellStyle name="Normal 2 2 5 4 4 4" xfId="24296" xr:uid="{40F6B065-C3AD-47BD-A6D9-B439B3223AE3}"/>
    <cellStyle name="Normal 2 2 5 4 4 5" xfId="16481" xr:uid="{E90B7D13-EAC6-403B-9F55-E502846BCB6F}"/>
    <cellStyle name="Normal 2 2 5 4 5" xfId="5116" xr:uid="{AEC81067-9A7A-4124-98E2-43D87D46AE9F}"/>
    <cellStyle name="Normal 2 2 5 4 5 2" xfId="26567" xr:uid="{F238678A-0463-4B49-A10A-95980D151155}"/>
    <cellStyle name="Normal 2 2 5 4 5 3" xfId="14413" xr:uid="{5D2AC5DD-A604-416C-BC6E-4E7C1A4EC5F6}"/>
    <cellStyle name="Normal 2 2 5 4 6" xfId="6866" xr:uid="{886AA42F-5700-42A5-BCEC-FFD1618DB977}"/>
    <cellStyle name="Normal 2 2 5 4 6 2" xfId="17246" xr:uid="{49C11A60-C1B1-49EA-A045-52DF8345965B}"/>
    <cellStyle name="Normal 2 2 5 4 7" xfId="9699" xr:uid="{F319566E-35AB-4788-8D03-EF4C36780B1C}"/>
    <cellStyle name="Normal 2 2 5 4 7 2" xfId="20079" xr:uid="{3C8B4D5D-2598-40AF-9298-2D95E104DC58}"/>
    <cellStyle name="Normal 2 2 5 4 8" xfId="22866" xr:uid="{4B2F798E-48E6-4376-A3B5-403E93C6E944}"/>
    <cellStyle name="Normal 2 2 5 4 9" xfId="12720" xr:uid="{20C2B9F8-FAA2-4D18-BA7C-7E931A4EA708}"/>
    <cellStyle name="Normal 2 2 5 5" xfId="763" xr:uid="{00000000-0005-0000-0000-0000A7040000}"/>
    <cellStyle name="Normal 2 2 5 5 2" xfId="4467" xr:uid="{6EF105C5-F98E-47DB-8906-F1ED9D61A476}"/>
    <cellStyle name="Normal 2 2 5 5 2 2" xfId="9239" xr:uid="{A33EEAB3-632D-4D41-97EE-2557CA7BAEEA}"/>
    <cellStyle name="Normal 2 2 5 5 2 2 2" xfId="29230" xr:uid="{FA08C50A-BDB3-4FD3-988D-B5459F856DE8}"/>
    <cellStyle name="Normal 2 2 5 5 2 2 3" xfId="19619" xr:uid="{8F9AB79D-D5A4-4FA3-B6DB-2A7DC7A269D1}"/>
    <cellStyle name="Normal 2 2 5 5 2 3" xfId="12072" xr:uid="{687B8F02-F39D-4E3D-BD9A-2BE9832D13B2}"/>
    <cellStyle name="Normal 2 2 5 5 2 3 2" xfId="22452" xr:uid="{0AA9CD85-3DD1-4BB8-93C5-465249CD6FE7}"/>
    <cellStyle name="Normal 2 2 5 5 2 4" xfId="25658" xr:uid="{34A26308-FF30-49D3-A190-491D65A62777}"/>
    <cellStyle name="Normal 2 2 5 5 2 5" xfId="16786" xr:uid="{1B7185B3-42A4-4084-B389-8624BE7E45D8}"/>
    <cellStyle name="Normal 2 2 5 5 3" xfId="5117" xr:uid="{5586B6F1-6EB7-4B54-B794-696523042EF4}"/>
    <cellStyle name="Normal 2 2 5 5 3 2" xfId="27007" xr:uid="{69CF3FCA-36C7-46CB-BE6F-FC7C88B21E84}"/>
    <cellStyle name="Normal 2 2 5 5 3 3" xfId="14414" xr:uid="{E15399E6-B3FA-4164-8340-785A6301940F}"/>
    <cellStyle name="Normal 2 2 5 5 4" xfId="6867" xr:uid="{BCBDC9C9-7B71-4675-BD67-499DCD957E6B}"/>
    <cellStyle name="Normal 2 2 5 5 4 2" xfId="17247" xr:uid="{5EB6FF69-AA65-4918-A829-595B3426E334}"/>
    <cellStyle name="Normal 2 2 5 5 5" xfId="9700" xr:uid="{E5DAA30A-0FD0-441C-AD84-E2333F9131EE}"/>
    <cellStyle name="Normal 2 2 5 5 5 2" xfId="20080" xr:uid="{A48991DE-F369-4251-93C9-87B4E86CD9E0}"/>
    <cellStyle name="Normal 2 2 5 5 6" xfId="22922" xr:uid="{69AA6929-94EE-4741-AD22-8466135E8D83}"/>
    <cellStyle name="Normal 2 2 5 5 7" xfId="13724" xr:uid="{33796E81-926B-4F0C-9B80-EEC6EC1A3FF2}"/>
    <cellStyle name="Normal 2 2 5 6" xfId="2903" xr:uid="{00000000-0005-0000-0000-00001C040000}"/>
    <cellStyle name="Normal 2 2 5 6 2" xfId="6089" xr:uid="{5EBF24F2-A5F7-415E-8EC7-4EF7815E1FF6}"/>
    <cellStyle name="Normal 2 2 5 6 2 2" xfId="23893" xr:uid="{47724E20-B1D8-4FF8-9A44-2977CC2ED5ED}"/>
    <cellStyle name="Normal 2 2 5 6 2 3" xfId="27546" xr:uid="{936ED42E-6F05-4888-ADC8-F1C177BD493A}"/>
    <cellStyle name="Normal 2 2 5 6 2 4" xfId="15567" xr:uid="{62DEA000-66AC-4EB3-B753-EA729D248FB4}"/>
    <cellStyle name="Normal 2 2 5 6 3" xfId="8020" xr:uid="{E7E24CD5-241B-43B1-9373-D1BEA0AD1624}"/>
    <cellStyle name="Normal 2 2 5 6 3 2" xfId="26164" xr:uid="{4039BB8E-FF83-4E7A-85E1-B650C0CDDBCB}"/>
    <cellStyle name="Normal 2 2 5 6 3 3" xfId="18400" xr:uid="{6B3710D7-32C9-4D74-8EFD-A1B74B09B9DC}"/>
    <cellStyle name="Normal 2 2 5 6 4" xfId="10853" xr:uid="{3C5902C3-3749-417F-A46F-5727D6DE332E}"/>
    <cellStyle name="Normal 2 2 5 6 4 2" xfId="21233" xr:uid="{14C21B63-49BB-49D3-BD82-B5814AAFD628}"/>
    <cellStyle name="Normal 2 2 5 6 5" xfId="23125" xr:uid="{34687A96-B813-4212-AD0D-48688AADA035}"/>
    <cellStyle name="Normal 2 2 5 6 6" xfId="13418" xr:uid="{2753E1A2-47B8-40BE-98AF-F0541F5C54CA}"/>
    <cellStyle name="Normal 2 2 5 7" xfId="2482" xr:uid="{00000000-0005-0000-0000-00001D040000}"/>
    <cellStyle name="Normal 2 2 5 7 2" xfId="5768" xr:uid="{4A390432-8884-423E-B9B8-DF3CF691D005}"/>
    <cellStyle name="Normal 2 2 5 7 2 2" xfId="28051" xr:uid="{17E6F790-6F59-4460-BF00-3CC8B8C84973}"/>
    <cellStyle name="Normal 2 2 5 7 2 3" xfId="15154" xr:uid="{745D3E67-3388-4477-A046-426F2E8DC4A5}"/>
    <cellStyle name="Normal 2 2 5 7 3" xfId="7607" xr:uid="{0DE4E01E-561D-41AE-8E2F-82443E2BA269}"/>
    <cellStyle name="Normal 2 2 5 7 3 2" xfId="17987" xr:uid="{CD67BFA3-8443-427E-A786-7416E437B4C1}"/>
    <cellStyle name="Normal 2 2 5 7 4" xfId="10440" xr:uid="{2A472E99-D46F-4FEF-BCB4-06BC1102DFB8}"/>
    <cellStyle name="Normal 2 2 5 7 4 2" xfId="20820" xr:uid="{84EF04DB-5612-47F1-8449-AB9707B7515D}"/>
    <cellStyle name="Normal 2 2 5 7 5" xfId="24298" xr:uid="{58332B38-93AE-40A3-800E-DF25E10ADFE2}"/>
    <cellStyle name="Normal 2 2 5 7 6" xfId="12870" xr:uid="{B252D23F-8BE9-4572-AC13-4923320155E8}"/>
    <cellStyle name="Normal 2 2 5 8" xfId="2176" xr:uid="{00000000-0005-0000-0000-000004040000}"/>
    <cellStyle name="Normal 2 2 5 8 2" xfId="7303" xr:uid="{E95D3F49-3715-4CC7-A760-1E140DD01628}"/>
    <cellStyle name="Normal 2 2 5 8 2 2" xfId="17683" xr:uid="{3DCD14CB-512D-4F5B-AB36-25B9A2B1A262}"/>
    <cellStyle name="Normal 2 2 5 8 3" xfId="10136" xr:uid="{34BE5327-55F5-41C8-A25C-E16241875A20}"/>
    <cellStyle name="Normal 2 2 5 8 3 2" xfId="20516" xr:uid="{D18D9AEB-696E-40E6-8BB4-B1F1C23B2141}"/>
    <cellStyle name="Normal 2 2 5 8 4" xfId="24766" xr:uid="{DA8323EF-60AF-49BB-88C6-1245D70DB90C}"/>
    <cellStyle name="Normal 2 2 5 8 5" xfId="14850" xr:uid="{C731C4D0-E9A2-419F-AD92-A0D07C4414C0}"/>
    <cellStyle name="Normal 2 2 5 9" xfId="3935" xr:uid="{0CB43D55-C908-4083-90A9-FF89559DAF34}"/>
    <cellStyle name="Normal 2 2 5 9 2" xfId="8767" xr:uid="{9F9FAC5D-37F6-40AA-9967-869F0D927DD2}"/>
    <cellStyle name="Normal 2 2 5 9 2 2" xfId="19147" xr:uid="{5514B669-E767-4499-AE3E-0C65A0D899B3}"/>
    <cellStyle name="Normal 2 2 5 9 3" xfId="11600" xr:uid="{011153CF-D809-4F59-B9C6-B301772D3432}"/>
    <cellStyle name="Normal 2 2 5 9 3 2" xfId="21980" xr:uid="{9D4DC90F-B09C-4CAA-B5EF-B0F3321B0EB2}"/>
    <cellStyle name="Normal 2 2 5 9 4" xfId="16314" xr:uid="{88DA3762-90A6-4CF1-B16D-09030B2DDF34}"/>
    <cellStyle name="Normal 2 2 6" xfId="764" xr:uid="{00000000-0005-0000-0000-0000A8040000}"/>
    <cellStyle name="Normal 2 2 6 10" xfId="5118" xr:uid="{963C3611-457B-4569-9F08-D8E8B6B58342}"/>
    <cellStyle name="Normal 2 2 6 10 2" xfId="14415" xr:uid="{A46C3E5A-5793-40F1-80F7-CEA82D001334}"/>
    <cellStyle name="Normal 2 2 6 11" xfId="6868" xr:uid="{5FEA02F8-0573-4DF3-B8C8-ECF91A657C05}"/>
    <cellStyle name="Normal 2 2 6 11 2" xfId="17248" xr:uid="{D37E6582-3CA9-4B8C-94C3-9E8894BC760E}"/>
    <cellStyle name="Normal 2 2 6 12" xfId="9701" xr:uid="{19674DD6-4C3E-4791-A002-9C3FE93F77E3}"/>
    <cellStyle name="Normal 2 2 6 12 2" xfId="20081" xr:uid="{6958F3CF-F388-4709-895B-4FB571CA5106}"/>
    <cellStyle name="Normal 2 2 6 13" xfId="25253" xr:uid="{D795BB32-094F-4C86-BC01-958FFB9C5DA9}"/>
    <cellStyle name="Normal 2 2 6 14" xfId="12414" xr:uid="{44E83FAC-7AE5-4706-93FB-4C37F2A24648}"/>
    <cellStyle name="Normal 2 2 6 2" xfId="765" xr:uid="{00000000-0005-0000-0000-0000A9040000}"/>
    <cellStyle name="Normal 2 2 6 2 10" xfId="6869" xr:uid="{3D25EB71-E123-4DA6-8867-E93C8C63A2E3}"/>
    <cellStyle name="Normal 2 2 6 2 10 2" xfId="17249" xr:uid="{E1E7A34D-89B4-4BAB-B149-E73C0ADA2435}"/>
    <cellStyle name="Normal 2 2 6 2 11" xfId="9702" xr:uid="{E4D72A88-F242-45A2-AF03-6E6DE242E170}"/>
    <cellStyle name="Normal 2 2 6 2 11 2" xfId="20082" xr:uid="{51D6941F-2BF5-47B5-BBA8-EE83DA7B171E}"/>
    <cellStyle name="Normal 2 2 6 2 12" xfId="23918" xr:uid="{A8E6C921-55CD-4646-A6F9-922F714D4063}"/>
    <cellStyle name="Normal 2 2 6 2 13" xfId="12474" xr:uid="{9151C67F-479C-4177-953B-C2BE45EDB23B}"/>
    <cellStyle name="Normal 2 2 6 2 2" xfId="766" xr:uid="{00000000-0005-0000-0000-0000AA040000}"/>
    <cellStyle name="Normal 2 2 6 2 2 10" xfId="13039" xr:uid="{C6C09AA8-2003-487A-87BA-B7B0FAA2F8B5}"/>
    <cellStyle name="Normal 2 2 6 2 2 2" xfId="2734" xr:uid="{00000000-0005-0000-0000-000021040000}"/>
    <cellStyle name="Normal 2 2 6 2 2 2 2" xfId="3186" xr:uid="{00000000-0005-0000-0000-000022040000}"/>
    <cellStyle name="Normal 2 2 6 2 2 2 2 2" xfId="6244" xr:uid="{AD0C4932-6D7D-45FF-85DF-AAE8C9EA23D8}"/>
    <cellStyle name="Normal 2 2 6 2 2 2 2 2 2" xfId="27150" xr:uid="{50074F00-B7A6-44B7-B7EE-7797041DF54E}"/>
    <cellStyle name="Normal 2 2 6 2 2 2 2 2 3" xfId="15813" xr:uid="{21D05B74-0F66-4913-B9C8-FE2ACC83066F}"/>
    <cellStyle name="Normal 2 2 6 2 2 2 2 3" xfId="8266" xr:uid="{EC5842AE-3220-4106-A5C5-E92115EC7152}"/>
    <cellStyle name="Normal 2 2 6 2 2 2 2 3 2" xfId="18646" xr:uid="{9B71C1FF-CEE3-46D2-9EC3-B4FC49711316}"/>
    <cellStyle name="Normal 2 2 6 2 2 2 2 4" xfId="11099" xr:uid="{FD0D516E-94FA-4926-BBCE-687265CCF63B}"/>
    <cellStyle name="Normal 2 2 6 2 2 2 2 4 2" xfId="21479" xr:uid="{58EA81BF-3C1A-4F49-A09F-A50F221FC2AA}"/>
    <cellStyle name="Normal 2 2 6 2 2 2 2 5" xfId="24992" xr:uid="{4D3465FE-A1E3-41C6-AF78-D9DD9050CBDE}"/>
    <cellStyle name="Normal 2 2 6 2 2 2 2 6" xfId="13727" xr:uid="{6054E1E5-3A1C-41B9-9D4F-531A4D34C959}"/>
    <cellStyle name="Normal 2 2 6 2 2 2 3" xfId="4298" xr:uid="{70482B53-70A1-4B5D-99B7-DD017FD52066}"/>
    <cellStyle name="Normal 2 2 6 2 2 2 3 2" xfId="9070" xr:uid="{E39B3821-DC4A-4CD8-BA22-FE8CF90F1E9B}"/>
    <cellStyle name="Normal 2 2 6 2 2 2 3 2 2" xfId="29113" xr:uid="{B630E78A-E8CD-4621-92F0-AFAA140F60BC}"/>
    <cellStyle name="Normal 2 2 6 2 2 2 3 2 3" xfId="19450" xr:uid="{49C90A69-C5F7-42DA-8D66-FC010CF0F29A}"/>
    <cellStyle name="Normal 2 2 6 2 2 2 3 3" xfId="11903" xr:uid="{FC8C8A4E-DEB0-47FC-A467-D5BB486E720F}"/>
    <cellStyle name="Normal 2 2 6 2 2 2 3 3 2" xfId="22283" xr:uid="{BF976083-E227-4568-B232-D920E2A986BA}"/>
    <cellStyle name="Normal 2 2 6 2 2 2 3 4" xfId="23770" xr:uid="{5E91C338-38B0-4726-BB70-68BE97A3DB18}"/>
    <cellStyle name="Normal 2 2 6 2 2 2 3 5" xfId="16617" xr:uid="{C6E80A27-4F98-4B01-92FF-ECD8A3A9D98D}"/>
    <cellStyle name="Normal 2 2 6 2 2 2 4" xfId="5952" xr:uid="{3052317B-4ACE-4D92-9E73-CC7F606D84E5}"/>
    <cellStyle name="Normal 2 2 6 2 2 2 4 2" xfId="27965" xr:uid="{D293BB91-55CD-455D-84B2-910305AD7982}"/>
    <cellStyle name="Normal 2 2 6 2 2 2 4 3" xfId="15405" xr:uid="{357E2879-E375-48F2-B18C-786A8BE0AC87}"/>
    <cellStyle name="Normal 2 2 6 2 2 2 5" xfId="7858" xr:uid="{75ADF92F-1C62-4755-B9F4-BA8CED2C6F9A}"/>
    <cellStyle name="Normal 2 2 6 2 2 2 5 2" xfId="18238" xr:uid="{560DB7D1-9160-404C-A82B-C71C75325B94}"/>
    <cellStyle name="Normal 2 2 6 2 2 2 6" xfId="10691" xr:uid="{3BF80FF2-EE14-4358-9740-D031390778AD}"/>
    <cellStyle name="Normal 2 2 6 2 2 2 6 2" xfId="21071" xr:uid="{CC051CC2-70E2-41D5-8D15-E09A1984C4CE}"/>
    <cellStyle name="Normal 2 2 6 2 2 2 7" xfId="23229" xr:uid="{A3F8BC61-0040-46E9-9D9A-71B8E0B6FC3E}"/>
    <cellStyle name="Normal 2 2 6 2 2 2 8" xfId="13168" xr:uid="{36D1DFF4-3C3E-45FF-A1FB-B26D221FADE5}"/>
    <cellStyle name="Normal 2 2 6 2 2 3" xfId="3187" xr:uid="{00000000-0005-0000-0000-000023040000}"/>
    <cellStyle name="Normal 2 2 6 2 2 3 2" xfId="4468" xr:uid="{9F706EB4-3E25-430F-B16D-860B5C446E2D}"/>
    <cellStyle name="Normal 2 2 6 2 2 3 2 2" xfId="9240" xr:uid="{626BCD8E-F62B-431A-92C2-B3036586811D}"/>
    <cellStyle name="Normal 2 2 6 2 2 3 2 2 2" xfId="19620" xr:uid="{4440CC75-0F12-4B17-A8B4-2E4262CF94A2}"/>
    <cellStyle name="Normal 2 2 6 2 2 3 2 3" xfId="12073" xr:uid="{6976AB79-28D1-4313-9D9D-EE3228E88690}"/>
    <cellStyle name="Normal 2 2 6 2 2 3 2 3 2" xfId="22453" xr:uid="{AFF673AF-9A91-475F-A847-FDD2B73391C5}"/>
    <cellStyle name="Normal 2 2 6 2 2 3 2 4" xfId="28388" xr:uid="{34CCB7B2-EF32-494A-A790-0975D246D964}"/>
    <cellStyle name="Normal 2 2 6 2 2 3 2 5" xfId="16787" xr:uid="{06D884E1-120A-4C5C-99F1-B742502A02A6}"/>
    <cellStyle name="Normal 2 2 6 2 2 3 3" xfId="6245" xr:uid="{588A55D6-FA85-40D2-BD6B-4D546EA36041}"/>
    <cellStyle name="Normal 2 2 6 2 2 3 3 2" xfId="15814" xr:uid="{DFA3218D-5260-4ABA-8FB3-9E54709A2A73}"/>
    <cellStyle name="Normal 2 2 6 2 2 3 4" xfId="8267" xr:uid="{7B04C46E-C949-4AAC-8114-16C9A0D5B1C2}"/>
    <cellStyle name="Normal 2 2 6 2 2 3 4 2" xfId="18647" xr:uid="{2BEABE8C-5B00-44AF-BC19-87A336C6C6F7}"/>
    <cellStyle name="Normal 2 2 6 2 2 3 5" xfId="11100" xr:uid="{634EC4EC-2AB5-4E9C-AFA6-557EAA7DB02E}"/>
    <cellStyle name="Normal 2 2 6 2 2 3 5 2" xfId="21480" xr:uid="{0F266ECA-43DD-4F95-BF92-0A9529C912E7}"/>
    <cellStyle name="Normal 2 2 6 2 2 3 6" xfId="24170" xr:uid="{F9F51225-FAF4-4573-9B50-F709384D7D8A}"/>
    <cellStyle name="Normal 2 2 6 2 2 3 7" xfId="13728" xr:uid="{77C1E2BD-82DE-453E-821D-CF20ABE192B7}"/>
    <cellStyle name="Normal 2 2 6 2 2 4" xfId="3185" xr:uid="{00000000-0005-0000-0000-000024040000}"/>
    <cellStyle name="Normal 2 2 6 2 2 4 2" xfId="6243" xr:uid="{2A8E5E90-9539-4B84-AD45-32A9701D3B66}"/>
    <cellStyle name="Normal 2 2 6 2 2 4 2 2" xfId="27301" xr:uid="{C9885A2D-4594-47B4-813F-010CB33AF84D}"/>
    <cellStyle name="Normal 2 2 6 2 2 4 2 3" xfId="15812" xr:uid="{CAFF16BF-785D-47CA-A25D-D4873D53C3D1}"/>
    <cellStyle name="Normal 2 2 6 2 2 4 3" xfId="8265" xr:uid="{CB5E47CD-F8C8-4093-B0AB-98AAE247F142}"/>
    <cellStyle name="Normal 2 2 6 2 2 4 3 2" xfId="18645" xr:uid="{D5E581C6-8383-438A-88CD-98AA4648A428}"/>
    <cellStyle name="Normal 2 2 6 2 2 4 4" xfId="11098" xr:uid="{04BE5186-75EA-4DD8-9595-CCB6BBA4325B}"/>
    <cellStyle name="Normal 2 2 6 2 2 4 4 2" xfId="21478" xr:uid="{1EDBFEEC-CF17-428D-A193-EEFD8FDBF989}"/>
    <cellStyle name="Normal 2 2 6 2 2 4 5" xfId="22656" xr:uid="{89EEE988-C7B4-44E2-B02C-0B26E4142BCE}"/>
    <cellStyle name="Normal 2 2 6 2 2 4 6" xfId="13726" xr:uid="{E33E1944-7C5B-43EA-A3F5-149F469C4A34}"/>
    <cellStyle name="Normal 2 2 6 2 2 5" xfId="4240" xr:uid="{C987F1B0-2E5B-42A7-A1CE-2CCB722445F0}"/>
    <cellStyle name="Normal 2 2 6 2 2 5 2" xfId="9012" xr:uid="{F1558F9D-14DE-4FD8-9F11-E719FFE7CEC9}"/>
    <cellStyle name="Normal 2 2 6 2 2 5 2 2" xfId="29083" xr:uid="{901F85F1-8FE2-4259-8CF1-6486B2548664}"/>
    <cellStyle name="Normal 2 2 6 2 2 5 2 3" xfId="19392" xr:uid="{1A6E6247-957C-4A52-9D3D-5ECE6DF29868}"/>
    <cellStyle name="Normal 2 2 6 2 2 5 3" xfId="11845" xr:uid="{24DB62B2-CCAF-42DD-A7C3-53BFACCEA2A6}"/>
    <cellStyle name="Normal 2 2 6 2 2 5 3 2" xfId="22225" xr:uid="{CFE1E20C-CAF7-4F2B-8993-86C72C759AE2}"/>
    <cellStyle name="Normal 2 2 6 2 2 5 4" xfId="22968" xr:uid="{F402148D-9F30-4898-9769-13A6AF983969}"/>
    <cellStyle name="Normal 2 2 6 2 2 5 5" xfId="16559" xr:uid="{9069D65B-E891-473A-93CF-206B85BD6F29}"/>
    <cellStyle name="Normal 2 2 6 2 2 6" xfId="5120" xr:uid="{2AB213AF-C036-44A2-AD92-ABE31F4DA537}"/>
    <cellStyle name="Normal 2 2 6 2 2 6 2" xfId="28674" xr:uid="{CA60F94B-B0F4-4238-BC1D-2BAB1101304D}"/>
    <cellStyle name="Normal 2 2 6 2 2 6 3" xfId="14417" xr:uid="{38FFA62B-DF00-4F78-B291-AF7FDEA7AFA5}"/>
    <cellStyle name="Normal 2 2 6 2 2 7" xfId="6870" xr:uid="{A845BEFA-03CC-4BB1-9EEF-DA2A2589E9AF}"/>
    <cellStyle name="Normal 2 2 6 2 2 7 2" xfId="17250" xr:uid="{82EB7736-7837-4160-8848-C257F564622C}"/>
    <cellStyle name="Normal 2 2 6 2 2 8" xfId="9703" xr:uid="{0139A402-3057-4F0C-A432-25E4414F7185}"/>
    <cellStyle name="Normal 2 2 6 2 2 8 2" xfId="20083" xr:uid="{499B1975-E5B7-4FFE-921C-B0F6B80AAF86}"/>
    <cellStyle name="Normal 2 2 6 2 2 9" xfId="23061" xr:uid="{00BA739F-A1B6-45AE-B77E-887C9215CE59}"/>
    <cellStyle name="Normal 2 2 6 2 3" xfId="2733" xr:uid="{00000000-0005-0000-0000-000025040000}"/>
    <cellStyle name="Normal 2 2 6 2 3 2" xfId="3188" xr:uid="{00000000-0005-0000-0000-000026040000}"/>
    <cellStyle name="Normal 2 2 6 2 3 2 2" xfId="6246" xr:uid="{6F054504-44BD-42C9-AA22-3BACA7580360}"/>
    <cellStyle name="Normal 2 2 6 2 3 2 2 2" xfId="27044" xr:uid="{B09CE0B7-9764-4C38-A97E-326DCABF4D55}"/>
    <cellStyle name="Normal 2 2 6 2 3 2 2 3" xfId="15815" xr:uid="{8E04F228-6530-4F9F-8C15-F0254E2E4C5B}"/>
    <cellStyle name="Normal 2 2 6 2 3 2 3" xfId="8268" xr:uid="{958EE414-6373-4CF0-BE5F-00C92EC1F8AE}"/>
    <cellStyle name="Normal 2 2 6 2 3 2 3 2" xfId="18648" xr:uid="{2197D954-3104-4564-940C-6D59F2A9951B}"/>
    <cellStyle name="Normal 2 2 6 2 3 2 4" xfId="11101" xr:uid="{2D6C8B97-62B4-4DA8-B626-48719476F097}"/>
    <cellStyle name="Normal 2 2 6 2 3 2 4 2" xfId="21481" xr:uid="{0F40F97C-771B-4BE9-B3DA-F94A78A64F4D}"/>
    <cellStyle name="Normal 2 2 6 2 3 2 5" xfId="24073" xr:uid="{2ADE2F64-E9FA-4AC1-A03B-726B30D3571D}"/>
    <cellStyle name="Normal 2 2 6 2 3 2 6" xfId="13729" xr:uid="{42E91BD0-98A8-4495-8410-CE6A9CCE515B}"/>
    <cellStyle name="Normal 2 2 6 2 3 3" xfId="4297" xr:uid="{971A6F7A-AFB2-436A-B1B4-F113D718A7CF}"/>
    <cellStyle name="Normal 2 2 6 2 3 3 2" xfId="9069" xr:uid="{664D73D2-B22A-4951-A932-61284E659329}"/>
    <cellStyle name="Normal 2 2 6 2 3 3 2 2" xfId="29112" xr:uid="{2EC97DC1-4E87-49EB-BA04-9DA8D87362C3}"/>
    <cellStyle name="Normal 2 2 6 2 3 3 2 3" xfId="19449" xr:uid="{F62BBE02-DD83-406E-8C47-EB15CFE84F51}"/>
    <cellStyle name="Normal 2 2 6 2 3 3 3" xfId="11902" xr:uid="{B4FD6724-96A8-4636-A3CF-3C2DB3575377}"/>
    <cellStyle name="Normal 2 2 6 2 3 3 3 2" xfId="22282" xr:uid="{C9F376C1-F2A5-4B82-B967-60AB0472EEBC}"/>
    <cellStyle name="Normal 2 2 6 2 3 3 4" xfId="25397" xr:uid="{C156F1EE-186D-4F4C-B11D-8B8C506CE98A}"/>
    <cellStyle name="Normal 2 2 6 2 3 3 5" xfId="16616" xr:uid="{0F5FF7D2-38FE-4AB6-A99B-644E84413363}"/>
    <cellStyle name="Normal 2 2 6 2 3 4" xfId="5951" xr:uid="{AC2A7418-B225-47BA-A828-664C24550EAE}"/>
    <cellStyle name="Normal 2 2 6 2 3 4 2" xfId="28502" xr:uid="{B7A50A0D-E2FE-433F-B8D8-BFA030882AE8}"/>
    <cellStyle name="Normal 2 2 6 2 3 4 3" xfId="15404" xr:uid="{715501F0-E530-4AC1-94F3-5862C988D81A}"/>
    <cellStyle name="Normal 2 2 6 2 3 5" xfId="7857" xr:uid="{B7136852-1C74-4FB9-9486-4B100A271B7C}"/>
    <cellStyle name="Normal 2 2 6 2 3 5 2" xfId="18237" xr:uid="{BCC193CB-6993-412F-8996-9DE28E9B55B3}"/>
    <cellStyle name="Normal 2 2 6 2 3 6" xfId="10690" xr:uid="{E319272E-D7B6-47E6-9583-74C368EB9E3C}"/>
    <cellStyle name="Normal 2 2 6 2 3 6 2" xfId="21070" xr:uid="{60857185-132A-4FC6-BB37-40FA88651047}"/>
    <cellStyle name="Normal 2 2 6 2 3 7" xfId="24194" xr:uid="{10413727-889B-4E73-82C4-8EF0C680A434}"/>
    <cellStyle name="Normal 2 2 6 2 3 8" xfId="13167" xr:uid="{AD3103CD-2764-44EF-A605-330EB883A61C}"/>
    <cellStyle name="Normal 2 2 6 2 4" xfId="3189" xr:uid="{00000000-0005-0000-0000-000027040000}"/>
    <cellStyle name="Normal 2 2 6 2 4 2" xfId="4469" xr:uid="{0FE318DA-088C-485A-9A1B-148B7C2FE78A}"/>
    <cellStyle name="Normal 2 2 6 2 4 2 2" xfId="9241" xr:uid="{1048AA4A-927C-4161-B8BB-3B6E9A954A52}"/>
    <cellStyle name="Normal 2 2 6 2 4 2 2 2" xfId="19621" xr:uid="{B32F671F-47F0-485A-AD34-1D9C1F20B811}"/>
    <cellStyle name="Normal 2 2 6 2 4 2 3" xfId="12074" xr:uid="{3D4A563A-E48D-426B-B3CF-A2C49C71920E}"/>
    <cellStyle name="Normal 2 2 6 2 4 2 3 2" xfId="22454" xr:uid="{FACF2DD8-440B-42CC-8206-6CB96D9402EF}"/>
    <cellStyle name="Normal 2 2 6 2 4 2 4" xfId="26099" xr:uid="{12BA8A78-EF3A-4DDE-A8F1-C8052A647E4C}"/>
    <cellStyle name="Normal 2 2 6 2 4 2 5" xfId="16788" xr:uid="{0D39DC32-5A39-4618-97E4-409303F50F70}"/>
    <cellStyle name="Normal 2 2 6 2 4 3" xfId="6247" xr:uid="{711A1386-EB02-4D5C-A20F-D17AE5B53DD3}"/>
    <cellStyle name="Normal 2 2 6 2 4 3 2" xfId="15816" xr:uid="{1C57A535-5B59-4BC1-BD8C-FB0C0791E824}"/>
    <cellStyle name="Normal 2 2 6 2 4 4" xfId="8269" xr:uid="{C032CA74-9A89-4596-905A-E92BDA9AA145}"/>
    <cellStyle name="Normal 2 2 6 2 4 4 2" xfId="18649" xr:uid="{6A0B5E13-E75A-4ABD-A2F5-0CF3D9E12D20}"/>
    <cellStyle name="Normal 2 2 6 2 4 5" xfId="11102" xr:uid="{AE521645-6376-4B68-9A18-6D97632553A1}"/>
    <cellStyle name="Normal 2 2 6 2 4 5 2" xfId="21482" xr:uid="{69CC3F87-EA81-43EF-A06E-E7DDC96303E6}"/>
    <cellStyle name="Normal 2 2 6 2 4 6" xfId="24587" xr:uid="{FF1DE5FA-250B-4680-A117-DD1976C4FB09}"/>
    <cellStyle name="Normal 2 2 6 2 4 7" xfId="13730" xr:uid="{6EDAE71B-7F2C-473D-8893-EC43F0AADD36}"/>
    <cellStyle name="Normal 2 2 6 2 5" xfId="3184" xr:uid="{00000000-0005-0000-0000-000028040000}"/>
    <cellStyle name="Normal 2 2 6 2 5 2" xfId="6242" xr:uid="{0A6AF36F-1FBE-4672-9497-A7A631B308EF}"/>
    <cellStyle name="Normal 2 2 6 2 5 2 2" xfId="28740" xr:uid="{5B69F3EA-6B7C-4570-96D6-F27E5C980BFA}"/>
    <cellStyle name="Normal 2 2 6 2 5 2 3" xfId="15811" xr:uid="{76BEACCF-5F5B-43F0-A5B2-36DD6C9A2D9E}"/>
    <cellStyle name="Normal 2 2 6 2 5 3" xfId="8264" xr:uid="{4773665C-A056-459D-95BA-07D0BBFBC73C}"/>
    <cellStyle name="Normal 2 2 6 2 5 3 2" xfId="18644" xr:uid="{62DA566B-022B-451E-8489-F37EF95BA9A5}"/>
    <cellStyle name="Normal 2 2 6 2 5 4" xfId="11097" xr:uid="{B74255FD-0D92-4281-B1B5-831CF4D94442}"/>
    <cellStyle name="Normal 2 2 6 2 5 4 2" xfId="21477" xr:uid="{A43FA36F-DA4D-490C-8866-7682DC51D2EF}"/>
    <cellStyle name="Normal 2 2 6 2 5 5" xfId="23157" xr:uid="{B356D2F5-AA29-4BBE-B9FC-DF53537515CA}"/>
    <cellStyle name="Normal 2 2 6 2 5 6" xfId="13725" xr:uid="{5F8A1828-3379-4FFE-B5D9-A6997C5EE36D}"/>
    <cellStyle name="Normal 2 2 6 2 6" xfId="2548" xr:uid="{00000000-0005-0000-0000-000029040000}"/>
    <cellStyle name="Normal 2 2 6 2 6 2" xfId="5820" xr:uid="{DD46955B-644F-4075-A62A-01E728825C72}"/>
    <cellStyle name="Normal 2 2 6 2 6 2 2" xfId="25836" xr:uid="{5E225070-8700-47AE-BB40-F61DFAA2BB7A}"/>
    <cellStyle name="Normal 2 2 6 2 6 2 3" xfId="15220" xr:uid="{8A69E008-98E6-4611-A97E-CA5A9C690D18}"/>
    <cellStyle name="Normal 2 2 6 2 6 3" xfId="7673" xr:uid="{B7E0288A-09BC-41C8-AB8F-012493240ADF}"/>
    <cellStyle name="Normal 2 2 6 2 6 3 2" xfId="18053" xr:uid="{95348DC5-EF32-4E6B-8E46-E8DE78003BA3}"/>
    <cellStyle name="Normal 2 2 6 2 6 4" xfId="10506" xr:uid="{FCB519E4-A7D2-4946-B317-76A86C0422BC}"/>
    <cellStyle name="Normal 2 2 6 2 6 4 2" xfId="20886" xr:uid="{5A289437-DBA2-47F5-9B82-C36081E33F26}"/>
    <cellStyle name="Normal 2 2 6 2 6 5" xfId="23899" xr:uid="{E133F193-E3D0-4080-B01F-FB88A4225A0F}"/>
    <cellStyle name="Normal 2 2 6 2 6 6" xfId="12936" xr:uid="{E970EBAC-FD52-4F8B-B9ED-263F3F3A9451}"/>
    <cellStyle name="Normal 2 2 6 2 7" xfId="2242" xr:uid="{00000000-0005-0000-0000-00001F040000}"/>
    <cellStyle name="Normal 2 2 6 2 7 2" xfId="7369" xr:uid="{E3315053-3F06-4B6B-8A15-8F56FD09B6D3}"/>
    <cellStyle name="Normal 2 2 6 2 7 2 2" xfId="17749" xr:uid="{59CE3CB4-48FF-436F-AB9F-5BDBA10A3A4A}"/>
    <cellStyle name="Normal 2 2 6 2 7 3" xfId="10202" xr:uid="{E237DC12-6969-46B9-BEB8-59BF47688AC7}"/>
    <cellStyle name="Normal 2 2 6 2 7 3 2" xfId="20582" xr:uid="{2AC17149-8D77-4C66-9B64-E74F2D180A93}"/>
    <cellStyle name="Normal 2 2 6 2 7 4" xfId="22832" xr:uid="{2180F4CE-54F4-4334-B8BC-350373340C0E}"/>
    <cellStyle name="Normal 2 2 6 2 7 5" xfId="14916" xr:uid="{6C7199FC-4A5B-4644-B73C-9FD92807338A}"/>
    <cellStyle name="Normal 2 2 6 2 8" xfId="3795" xr:uid="{3DC452E1-1CA4-495A-BBE7-BA28DD8D8CA8}"/>
    <cellStyle name="Normal 2 2 6 2 8 2" xfId="8631" xr:uid="{2359EFA7-1177-40B1-A540-89631581AC54}"/>
    <cellStyle name="Normal 2 2 6 2 8 2 2" xfId="19011" xr:uid="{97C046AA-3D85-4DA4-95CF-1E9F0374DAB0}"/>
    <cellStyle name="Normal 2 2 6 2 8 3" xfId="11464" xr:uid="{8D1E2DDE-0A46-49A1-97D1-BE99B96D3287}"/>
    <cellStyle name="Normal 2 2 6 2 8 3 2" xfId="21844" xr:uid="{87787337-F20C-4DAF-989E-CB84C0CCECAE}"/>
    <cellStyle name="Normal 2 2 6 2 8 4" xfId="16178" xr:uid="{956371C3-846B-4513-8438-90381C4675D2}"/>
    <cellStyle name="Normal 2 2 6 2 9" xfId="5119" xr:uid="{5C4ACD4B-02FD-4CEF-A3D2-4E04A9F0C611}"/>
    <cellStyle name="Normal 2 2 6 2 9 2" xfId="14416" xr:uid="{260E15F7-FF2D-46CF-8555-BA8822FC5CA2}"/>
    <cellStyle name="Normal 2 2 6 3" xfId="767" xr:uid="{00000000-0005-0000-0000-0000AB040000}"/>
    <cellStyle name="Normal 2 2 6 3 10" xfId="9704" xr:uid="{4C3E2F2B-56B2-4CF4-96E5-96EDB012DA49}"/>
    <cellStyle name="Normal 2 2 6 3 10 2" xfId="20084" xr:uid="{DC4C3F4A-9533-46A9-9E89-A4555E3086C2}"/>
    <cellStyle name="Normal 2 2 6 3 11" xfId="24856" xr:uid="{E3A76C8A-2F6D-4F8D-A4BA-E63D7B8AF419}"/>
    <cellStyle name="Normal 2 2 6 3 12" xfId="12564" xr:uid="{5FB5965A-D485-4ACE-BAD5-9CC525EDB1AF}"/>
    <cellStyle name="Normal 2 2 6 3 2" xfId="2735" xr:uid="{00000000-0005-0000-0000-00002B040000}"/>
    <cellStyle name="Normal 2 2 6 3 2 2" xfId="3191" xr:uid="{00000000-0005-0000-0000-00002C040000}"/>
    <cellStyle name="Normal 2 2 6 3 2 2 2" xfId="6249" xr:uid="{E44AA17E-05A2-47E2-8395-59B103ABE9B4}"/>
    <cellStyle name="Normal 2 2 6 3 2 2 2 2" xfId="27123" xr:uid="{B3EE830C-9737-40AC-B774-DC1C1CDA2AC3}"/>
    <cellStyle name="Normal 2 2 6 3 2 2 2 3" xfId="15818" xr:uid="{D41E5751-026D-427F-8873-2102B9A0E2DA}"/>
    <cellStyle name="Normal 2 2 6 3 2 2 3" xfId="8271" xr:uid="{4F15D839-68EC-4AFB-B95C-AD303D81C0F5}"/>
    <cellStyle name="Normal 2 2 6 3 2 2 3 2" xfId="18651" xr:uid="{0941D33B-37E7-4FB9-8BDD-31ECB15DD03C}"/>
    <cellStyle name="Normal 2 2 6 3 2 2 4" xfId="11104" xr:uid="{AA5D45D2-B615-4681-905D-0A0D4F4CF0A8}"/>
    <cellStyle name="Normal 2 2 6 3 2 2 4 2" xfId="21484" xr:uid="{45B34AA5-B78E-46EE-8B6C-B69CC14AE78D}"/>
    <cellStyle name="Normal 2 2 6 3 2 2 5" xfId="25435" xr:uid="{DB672273-560C-4F9C-A8CF-761B73D83566}"/>
    <cellStyle name="Normal 2 2 6 3 2 2 6" xfId="13732" xr:uid="{668FCC29-7C50-4312-9C41-BAC872544AC2}"/>
    <cellStyle name="Normal 2 2 6 3 2 3" xfId="4299" xr:uid="{AF36B563-FC36-4796-A3A6-E1993E821E9D}"/>
    <cellStyle name="Normal 2 2 6 3 2 3 2" xfId="9071" xr:uid="{F175B39D-0BCE-4077-B094-FBA606ACB714}"/>
    <cellStyle name="Normal 2 2 6 3 2 3 2 2" xfId="29114" xr:uid="{7ACC3B77-734A-4C91-A47F-8FFBABF3EF56}"/>
    <cellStyle name="Normal 2 2 6 3 2 3 2 3" xfId="19451" xr:uid="{90426A97-6901-4D73-ACFF-6E4D5F24FB00}"/>
    <cellStyle name="Normal 2 2 6 3 2 3 3" xfId="11904" xr:uid="{E90BF0AC-1250-4A66-9DE8-9F93A865D89A}"/>
    <cellStyle name="Normal 2 2 6 3 2 3 3 2" xfId="22284" xr:uid="{A409580F-2461-4D9C-BA00-8347009ECB9C}"/>
    <cellStyle name="Normal 2 2 6 3 2 3 4" xfId="23063" xr:uid="{2FD785B8-6281-4902-A97E-AF9F93D90BCC}"/>
    <cellStyle name="Normal 2 2 6 3 2 3 5" xfId="16618" xr:uid="{94FE5296-6D54-4088-A379-492CD391DFE4}"/>
    <cellStyle name="Normal 2 2 6 3 2 4" xfId="5953" xr:uid="{E3D1BA83-E110-4070-ABE3-31455F14EECF}"/>
    <cellStyle name="Normal 2 2 6 3 2 4 2" xfId="28715" xr:uid="{C9B51B7B-BA27-4989-9B77-BFB6FEEC3C11}"/>
    <cellStyle name="Normal 2 2 6 3 2 4 3" xfId="15406" xr:uid="{20CA3628-CCFE-4F2B-844E-8FBCEFF9B7DA}"/>
    <cellStyle name="Normal 2 2 6 3 2 5" xfId="7859" xr:uid="{8509A51E-F4D4-43AF-8124-F96AF6EAB54C}"/>
    <cellStyle name="Normal 2 2 6 3 2 5 2" xfId="18239" xr:uid="{58C2555D-2438-45B4-9B64-3CAF8320319B}"/>
    <cellStyle name="Normal 2 2 6 3 2 6" xfId="10692" xr:uid="{35248E13-1CF6-4D3F-A839-08077937F647}"/>
    <cellStyle name="Normal 2 2 6 3 2 6 2" xfId="21072" xr:uid="{83687619-3CB4-42C4-9E00-6EC79E49A7BF}"/>
    <cellStyle name="Normal 2 2 6 3 2 7" xfId="23506" xr:uid="{A01A4261-FC07-442C-8D9A-17FE25863308}"/>
    <cellStyle name="Normal 2 2 6 3 2 8" xfId="13169" xr:uid="{1EA23027-6384-4BE0-89B2-3EA296E8FFEE}"/>
    <cellStyle name="Normal 2 2 6 3 3" xfId="3192" xr:uid="{00000000-0005-0000-0000-00002D040000}"/>
    <cellStyle name="Normal 2 2 6 3 3 2" xfId="4470" xr:uid="{D03A52A9-8653-4C41-9A28-8E98E897D3ED}"/>
    <cellStyle name="Normal 2 2 6 3 3 2 2" xfId="9242" xr:uid="{20DDAF65-0E91-4C94-8A20-E9554F74EB6D}"/>
    <cellStyle name="Normal 2 2 6 3 3 2 2 2" xfId="29231" xr:uid="{6827C6F6-99D4-44ED-A2FB-5741B27C3E44}"/>
    <cellStyle name="Normal 2 2 6 3 3 2 2 3" xfId="19622" xr:uid="{044F6EE3-1478-4DF6-805A-DAC9A06E9FD7}"/>
    <cellStyle name="Normal 2 2 6 3 3 2 3" xfId="12075" xr:uid="{A80DECAF-5FF3-4A7E-97AD-DD68C5184EDE}"/>
    <cellStyle name="Normal 2 2 6 3 3 2 3 2" xfId="22455" xr:uid="{77B21F3D-69BA-4E03-BFD5-FF6767435652}"/>
    <cellStyle name="Normal 2 2 6 3 3 2 4" xfId="24360" xr:uid="{A627CFC4-18FF-4911-B5E0-F00CA2CA1BE1}"/>
    <cellStyle name="Normal 2 2 6 3 3 2 5" xfId="16789" xr:uid="{41E8D57E-0898-4600-8B45-5C361F73F80D}"/>
    <cellStyle name="Normal 2 2 6 3 3 3" xfId="6250" xr:uid="{D55A819E-7CBD-4C4C-87F6-1352BB2121FA}"/>
    <cellStyle name="Normal 2 2 6 3 3 3 2" xfId="28260" xr:uid="{F55449F2-2BBE-4515-BF06-BC399FBB39BE}"/>
    <cellStyle name="Normal 2 2 6 3 3 3 3" xfId="15819" xr:uid="{AB63E61B-DF1C-41AA-A088-D991A00C7282}"/>
    <cellStyle name="Normal 2 2 6 3 3 4" xfId="8272" xr:uid="{490ABBA9-728D-4597-A084-EF8D5F57061F}"/>
    <cellStyle name="Normal 2 2 6 3 3 4 2" xfId="18652" xr:uid="{9D3C7B97-38B1-4510-9996-047A2F781E5F}"/>
    <cellStyle name="Normal 2 2 6 3 3 5" xfId="11105" xr:uid="{9E3BF72C-580C-4D36-B16E-04B1671D9201}"/>
    <cellStyle name="Normal 2 2 6 3 3 5 2" xfId="21485" xr:uid="{48F4F805-4B92-4084-AFEF-8783EEF5369B}"/>
    <cellStyle name="Normal 2 2 6 3 3 6" xfId="23802" xr:uid="{279D83EF-BFFF-4CA7-B6C2-FA5BB1B9598E}"/>
    <cellStyle name="Normal 2 2 6 3 3 7" xfId="13733" xr:uid="{E82538C7-D5CF-4C2C-B896-96B5B1D6732F}"/>
    <cellStyle name="Normal 2 2 6 3 4" xfId="3190" xr:uid="{00000000-0005-0000-0000-00002E040000}"/>
    <cellStyle name="Normal 2 2 6 3 4 2" xfId="6248" xr:uid="{AB61BC95-E1D2-4C7F-9E27-637375B52DE8}"/>
    <cellStyle name="Normal 2 2 6 3 4 2 2" xfId="28729" xr:uid="{37F78F17-D5CE-43E3-80C0-38223208C2D4}"/>
    <cellStyle name="Normal 2 2 6 3 4 2 3" xfId="15817" xr:uid="{D3DFF2FF-54D9-4183-BB09-9EE6CDDCB508}"/>
    <cellStyle name="Normal 2 2 6 3 4 3" xfId="8270" xr:uid="{21262C5E-45DD-408B-AAE8-F32E1D09324A}"/>
    <cellStyle name="Normal 2 2 6 3 4 3 2" xfId="18650" xr:uid="{67090179-1D90-4D36-BA32-A0967397BC40}"/>
    <cellStyle name="Normal 2 2 6 3 4 4" xfId="11103" xr:uid="{CA746757-EAF7-45AB-9E4D-50A54017AE93}"/>
    <cellStyle name="Normal 2 2 6 3 4 4 2" xfId="21483" xr:uid="{49E2FBDE-AD09-44C4-B9E9-07E28E6BC8FD}"/>
    <cellStyle name="Normal 2 2 6 3 4 5" xfId="24355" xr:uid="{16052B0A-7BE2-4385-8D41-C9A5844DC355}"/>
    <cellStyle name="Normal 2 2 6 3 4 6" xfId="13731" xr:uid="{7DB53946-566B-4CAD-BF90-3B847D9555DD}"/>
    <cellStyle name="Normal 2 2 6 3 5" xfId="2591" xr:uid="{00000000-0005-0000-0000-00002F040000}"/>
    <cellStyle name="Normal 2 2 6 3 5 2" xfId="5856" xr:uid="{C883B5AF-18F5-4388-ABB4-D72C87122743}"/>
    <cellStyle name="Normal 2 2 6 3 5 2 2" xfId="26935" xr:uid="{5A40FB34-956B-4526-BCE3-9614D21C9E93}"/>
    <cellStyle name="Normal 2 2 6 3 5 2 3" xfId="15263" xr:uid="{E94B3B5B-1644-4E26-928B-15FF78687728}"/>
    <cellStyle name="Normal 2 2 6 3 5 3" xfId="7716" xr:uid="{E1C381A5-BA63-4B96-8942-177F60E6A9C6}"/>
    <cellStyle name="Normal 2 2 6 3 5 3 2" xfId="18096" xr:uid="{ABCB03D5-EC80-40AD-B995-D7EDB6E2CA7F}"/>
    <cellStyle name="Normal 2 2 6 3 5 4" xfId="10549" xr:uid="{C5BB12D6-85EA-467C-A043-96B8CCF861A7}"/>
    <cellStyle name="Normal 2 2 6 3 5 4 2" xfId="20929" xr:uid="{F794C766-F5A4-4669-BF82-894589530290}"/>
    <cellStyle name="Normal 2 2 6 3 5 5" xfId="23620" xr:uid="{42A9F908-E0A3-4303-88B6-2D24B095DFFE}"/>
    <cellStyle name="Normal 2 2 6 3 5 6" xfId="12979" xr:uid="{2880477B-ED04-43B6-A0F4-A0DD907F21D8}"/>
    <cellStyle name="Normal 2 2 6 3 6" xfId="2330" xr:uid="{00000000-0005-0000-0000-00002A040000}"/>
    <cellStyle name="Normal 2 2 6 3 6 2" xfId="7457" xr:uid="{B959A3A8-48A6-4881-A410-74E64567F69E}"/>
    <cellStyle name="Normal 2 2 6 3 6 2 2" xfId="17837" xr:uid="{D409532D-8BBE-435F-BEBD-A89EDF2C4362}"/>
    <cellStyle name="Normal 2 2 6 3 6 3" xfId="10290" xr:uid="{B3C768DC-DF0A-4FF1-8D0F-D49D5A9E1F17}"/>
    <cellStyle name="Normal 2 2 6 3 6 3 2" xfId="20670" xr:uid="{20424838-F57D-4E3F-934D-E62956DB1E35}"/>
    <cellStyle name="Normal 2 2 6 3 6 4" xfId="23148" xr:uid="{6C7DB46A-CB8E-4767-A221-43C87A93B7DF}"/>
    <cellStyle name="Normal 2 2 6 3 6 5" xfId="15004" xr:uid="{58137D8A-5F2E-412F-A65D-DD4557451A70}"/>
    <cellStyle name="Normal 2 2 6 3 7" xfId="3845" xr:uid="{712F6ECE-2FCF-40FF-BC3A-B8E57455C658}"/>
    <cellStyle name="Normal 2 2 6 3 7 2" xfId="8678" xr:uid="{8801AC38-17ED-48C4-B15A-5EC496CB1189}"/>
    <cellStyle name="Normal 2 2 6 3 7 2 2" xfId="19058" xr:uid="{01EAAE53-7179-4F99-8C05-CDBA10542186}"/>
    <cellStyle name="Normal 2 2 6 3 7 3" xfId="11511" xr:uid="{B40DA53C-3E90-4116-9976-35490BC4F598}"/>
    <cellStyle name="Normal 2 2 6 3 7 3 2" xfId="21891" xr:uid="{2F776532-C363-4EA1-BE90-F85AFF70E5B9}"/>
    <cellStyle name="Normal 2 2 6 3 7 4" xfId="16225" xr:uid="{7D736926-DE92-4BAD-BB26-D0719308E154}"/>
    <cellStyle name="Normal 2 2 6 3 8" xfId="5121" xr:uid="{0D41CC50-3C09-47D8-9D04-FF0749EBE539}"/>
    <cellStyle name="Normal 2 2 6 3 8 2" xfId="14418" xr:uid="{4C44EB3C-92B7-4DF4-94B3-CBB25821F1A6}"/>
    <cellStyle name="Normal 2 2 6 3 9" xfId="6871" xr:uid="{67EEB3CB-5943-4F2C-A717-EB1EB3467721}"/>
    <cellStyle name="Normal 2 2 6 3 9 2" xfId="17251" xr:uid="{B3C0259A-3C51-4FD8-AD74-DF0716C38BAD}"/>
    <cellStyle name="Normal 2 2 6 4" xfId="768" xr:uid="{00000000-0005-0000-0000-0000AC040000}"/>
    <cellStyle name="Normal 2 2 6 4 2" xfId="3193" xr:uid="{00000000-0005-0000-0000-000031040000}"/>
    <cellStyle name="Normal 2 2 6 4 2 2" xfId="6251" xr:uid="{CB439588-1D5F-4005-8532-AF188C452CFA}"/>
    <cellStyle name="Normal 2 2 6 4 2 2 2" xfId="26732" xr:uid="{A61F4418-B64B-495C-8A31-614827CC5054}"/>
    <cellStyle name="Normal 2 2 6 4 2 2 3" xfId="15820" xr:uid="{B27AE241-0DD4-43AF-8FE3-F64AA791483B}"/>
    <cellStyle name="Normal 2 2 6 4 2 3" xfId="8273" xr:uid="{38EFA85C-082D-4ECE-A0AC-E6CBB8D45E4E}"/>
    <cellStyle name="Normal 2 2 6 4 2 3 2" xfId="18653" xr:uid="{17081F4A-10E4-4BEB-A3DD-8714A69DC71B}"/>
    <cellStyle name="Normal 2 2 6 4 2 4" xfId="11106" xr:uid="{AB647E7E-1D38-436E-B315-9751ECB1C453}"/>
    <cellStyle name="Normal 2 2 6 4 2 4 2" xfId="21486" xr:uid="{96F0541B-B4A5-4A30-AA34-B3D1F76A4527}"/>
    <cellStyle name="Normal 2 2 6 4 2 5" xfId="22998" xr:uid="{19A55A42-EF4F-4980-94B4-D4D545CBB56D}"/>
    <cellStyle name="Normal 2 2 6 4 2 6" xfId="13734" xr:uid="{D9031275-8D50-4DD1-9158-5A6601AD56D2}"/>
    <cellStyle name="Normal 2 2 6 4 3" xfId="2732" xr:uid="{00000000-0005-0000-0000-000032040000}"/>
    <cellStyle name="Normal 2 2 6 4 3 2" xfId="5950" xr:uid="{11B2852D-EDF7-4948-8623-C6242D2A565C}"/>
    <cellStyle name="Normal 2 2 6 4 3 2 2" xfId="28521" xr:uid="{B8A26FFE-FD78-420C-9DA2-1CE49CD93A72}"/>
    <cellStyle name="Normal 2 2 6 4 3 2 3" xfId="15403" xr:uid="{C30637F1-3D60-4C29-B383-B0542E07093A}"/>
    <cellStyle name="Normal 2 2 6 4 3 3" xfId="7856" xr:uid="{F1F9433B-0784-4153-9E12-4A4B4BF106CD}"/>
    <cellStyle name="Normal 2 2 6 4 3 3 2" xfId="18236" xr:uid="{4173CB35-3A2E-47F1-AA16-7B0E91E0B47E}"/>
    <cellStyle name="Normal 2 2 6 4 3 4" xfId="10689" xr:uid="{DCB347E5-4172-4DB5-B7FF-960D1BEC6F5A}"/>
    <cellStyle name="Normal 2 2 6 4 3 4 2" xfId="21069" xr:uid="{7D6A8905-8AC6-472E-93F1-89521DC82887}"/>
    <cellStyle name="Normal 2 2 6 4 3 5" xfId="25427" xr:uid="{A3D8D863-91FE-4A5A-B3FF-AEAB0AD23AC7}"/>
    <cellStyle name="Normal 2 2 6 4 3 6" xfId="13166" xr:uid="{8F0C0AEF-395A-44BD-A2DE-C4B39BBA0447}"/>
    <cellStyle name="Normal 2 2 6 4 4" xfId="4164" xr:uid="{0955D02B-ABE6-43BB-A2F0-E7BD877C50A1}"/>
    <cellStyle name="Normal 2 2 6 4 4 2" xfId="8936" xr:uid="{0F7D7877-6C21-48D3-9F5B-B4BC947A6719}"/>
    <cellStyle name="Normal 2 2 6 4 4 2 2" xfId="19316" xr:uid="{90F97ABE-9CA5-4539-94EF-79C5B2370B11}"/>
    <cellStyle name="Normal 2 2 6 4 4 3" xfId="11769" xr:uid="{C6512C9C-1DCE-4B4F-8549-4756852FD341}"/>
    <cellStyle name="Normal 2 2 6 4 4 3 2" xfId="22149" xr:uid="{25AFC8E6-F1E4-4611-B59B-A4D8AD2EC480}"/>
    <cellStyle name="Normal 2 2 6 4 4 4" xfId="24134" xr:uid="{A11D0DC3-5B44-4E74-BA89-53B7C535938D}"/>
    <cellStyle name="Normal 2 2 6 4 4 5" xfId="16483" xr:uid="{67E362AA-8D03-493D-957E-C45DFBA2D8E0}"/>
    <cellStyle name="Normal 2 2 6 4 5" xfId="5122" xr:uid="{F054F7C7-62F7-4116-B376-3EC374D865E7}"/>
    <cellStyle name="Normal 2 2 6 4 5 2" xfId="14419" xr:uid="{1B9BB4CB-0A06-49DF-ABF3-0EDFCF0F66D2}"/>
    <cellStyle name="Normal 2 2 6 4 6" xfId="6872" xr:uid="{9D58F73D-007B-4442-B32E-FCA7DC647B7E}"/>
    <cellStyle name="Normal 2 2 6 4 6 2" xfId="17252" xr:uid="{2C27107F-B77C-49B4-9A60-9E75B92D05E4}"/>
    <cellStyle name="Normal 2 2 6 4 7" xfId="9705" xr:uid="{118CD2BE-CE2D-4E3F-9EC0-A270E7B58A2D}"/>
    <cellStyle name="Normal 2 2 6 4 7 2" xfId="20085" xr:uid="{515A166A-0811-46E5-BD81-5274C64ACC04}"/>
    <cellStyle name="Normal 2 2 6 4 8" xfId="25107" xr:uid="{662F58D9-B0B3-404D-B0BA-5EF31AF847BF}"/>
    <cellStyle name="Normal 2 2 6 4 9" xfId="12722" xr:uid="{579D2275-C61E-415B-8BC5-51251ECF05D9}"/>
    <cellStyle name="Normal 2 2 6 5" xfId="3194" xr:uid="{00000000-0005-0000-0000-000033040000}"/>
    <cellStyle name="Normal 2 2 6 5 2" xfId="4471" xr:uid="{CBD07B7A-1544-404E-99B7-7AD42747BAF4}"/>
    <cellStyle name="Normal 2 2 6 5 2 2" xfId="9243" xr:uid="{CA8839B8-562D-4FEB-B1E5-229693210434}"/>
    <cellStyle name="Normal 2 2 6 5 2 2 2" xfId="29232" xr:uid="{7008ECDD-72A8-4384-9DE2-80A96C4C0FE1}"/>
    <cellStyle name="Normal 2 2 6 5 2 2 3" xfId="19623" xr:uid="{E250A443-58A5-4F1E-8887-54B5054E386F}"/>
    <cellStyle name="Normal 2 2 6 5 2 3" xfId="12076" xr:uid="{A7439361-3315-47F8-8836-473F23E19C0C}"/>
    <cellStyle name="Normal 2 2 6 5 2 3 2" xfId="22456" xr:uid="{8DA188E4-7D8C-4664-B87F-A2AC6C5358B8}"/>
    <cellStyle name="Normal 2 2 6 5 2 4" xfId="24070" xr:uid="{646BF25D-7858-4818-8FFB-C90EE6BB55BE}"/>
    <cellStyle name="Normal 2 2 6 5 2 5" xfId="16790" xr:uid="{85F5C205-8DAA-44DB-87A6-464B58944ED8}"/>
    <cellStyle name="Normal 2 2 6 5 3" xfId="6252" xr:uid="{895B147F-601B-4065-8645-5AD015666B32}"/>
    <cellStyle name="Normal 2 2 6 5 3 2" xfId="27914" xr:uid="{C45325C8-0CFF-4DC3-A87E-160F529C2D2B}"/>
    <cellStyle name="Normal 2 2 6 5 3 3" xfId="15821" xr:uid="{E7C8CA88-9C26-485E-B413-3C25F41487E1}"/>
    <cellStyle name="Normal 2 2 6 5 4" xfId="8274" xr:uid="{63A4AD72-30FC-40F9-8FB2-C73EA5B302F1}"/>
    <cellStyle name="Normal 2 2 6 5 4 2" xfId="18654" xr:uid="{66B849C8-0EA1-4C13-AF88-FE7571754B86}"/>
    <cellStyle name="Normal 2 2 6 5 5" xfId="11107" xr:uid="{5986780A-0B59-44F2-8E1F-FECB6B30AD7D}"/>
    <cellStyle name="Normal 2 2 6 5 5 2" xfId="21487" xr:uid="{BA19BD5D-A4AF-42F1-B58E-71A2A59A390D}"/>
    <cellStyle name="Normal 2 2 6 5 6" xfId="25224" xr:uid="{CEC419A5-CA5A-4DBB-B3B6-4C8BF7921A29}"/>
    <cellStyle name="Normal 2 2 6 5 7" xfId="13735" xr:uid="{8447C74C-ED2E-40B8-B030-E3008A10DE80}"/>
    <cellStyle name="Normal 2 2 6 6" xfId="2905" xr:uid="{00000000-0005-0000-0000-000034040000}"/>
    <cellStyle name="Normal 2 2 6 6 2" xfId="6091" xr:uid="{16CCF25F-2BD3-4135-9602-703A2BCB5A3C}"/>
    <cellStyle name="Normal 2 2 6 6 2 2" xfId="27703" xr:uid="{E10C9B2E-92BC-4CE7-926E-3F7744D6AE09}"/>
    <cellStyle name="Normal 2 2 6 6 2 3" xfId="15569" xr:uid="{426A488E-3F6F-4736-ABBE-26DF1BF33C1D}"/>
    <cellStyle name="Normal 2 2 6 6 3" xfId="8022" xr:uid="{78D8298A-1551-45ED-92A9-35D92C38DAC8}"/>
    <cellStyle name="Normal 2 2 6 6 3 2" xfId="18402" xr:uid="{11096A96-338B-4C74-9D7E-5DD9EEFC39F6}"/>
    <cellStyle name="Normal 2 2 6 6 4" xfId="10855" xr:uid="{A64EA007-8B20-4236-A1E1-D7AD8F2E0402}"/>
    <cellStyle name="Normal 2 2 6 6 4 2" xfId="21235" xr:uid="{A568604F-B051-45B5-B2AE-184A6C336636}"/>
    <cellStyle name="Normal 2 2 6 6 5" xfId="25279" xr:uid="{43C848A0-2D16-45DD-9695-5240E1C8FA92}"/>
    <cellStyle name="Normal 2 2 6 6 6" xfId="13420" xr:uid="{A33F8664-23C1-415E-AF6C-867349EDD5A7}"/>
    <cellStyle name="Normal 2 2 6 7" xfId="2488" xr:uid="{00000000-0005-0000-0000-000035040000}"/>
    <cellStyle name="Normal 2 2 6 7 2" xfId="5773" xr:uid="{76CAC20D-489B-4B80-AD7E-D302E50A89E9}"/>
    <cellStyle name="Normal 2 2 6 7 2 2" xfId="26468" xr:uid="{D18F8181-AC54-42E7-B8E9-3673541D1599}"/>
    <cellStyle name="Normal 2 2 6 7 2 3" xfId="15160" xr:uid="{30643F72-C803-4F70-A78F-77234816673F}"/>
    <cellStyle name="Normal 2 2 6 7 3" xfId="7613" xr:uid="{EB608BF7-F122-4D70-BD0D-248C68CE590A}"/>
    <cellStyle name="Normal 2 2 6 7 3 2" xfId="17993" xr:uid="{9BC7CEE9-1CB8-4489-93FE-B18739EEFB5A}"/>
    <cellStyle name="Normal 2 2 6 7 4" xfId="10446" xr:uid="{F98CD522-C74E-4D1E-9884-1EBA819EBE4C}"/>
    <cellStyle name="Normal 2 2 6 7 4 2" xfId="20826" xr:uid="{1B78D906-7CBB-4C14-8AEE-11AAE0094DCB}"/>
    <cellStyle name="Normal 2 2 6 7 5" xfId="24943" xr:uid="{0BDC3D58-65E9-4A77-A03E-5C78897CB417}"/>
    <cellStyle name="Normal 2 2 6 7 6" xfId="12876" xr:uid="{A61C95EC-B2BA-4019-8830-F0EC110B5898}"/>
    <cellStyle name="Normal 2 2 6 8" xfId="2182" xr:uid="{00000000-0005-0000-0000-00001E040000}"/>
    <cellStyle name="Normal 2 2 6 8 2" xfId="7309" xr:uid="{6FC49187-1498-4000-B451-C8FB2596069A}"/>
    <cellStyle name="Normal 2 2 6 8 2 2" xfId="17689" xr:uid="{79745B4B-26CA-4AC5-AE20-0B3FB148D3D9}"/>
    <cellStyle name="Normal 2 2 6 8 3" xfId="10142" xr:uid="{C57AE7CB-C828-480E-A737-28460381E7A3}"/>
    <cellStyle name="Normal 2 2 6 8 3 2" xfId="20522" xr:uid="{E3DE3E9B-B822-4C8F-AD42-AEE9F96751B6}"/>
    <cellStyle name="Normal 2 2 6 8 4" xfId="24880" xr:uid="{C13717B4-B448-4C7A-AC0F-334D441DECE9}"/>
    <cellStyle name="Normal 2 2 6 8 5" xfId="14856" xr:uid="{B26FC4E8-4B10-4E19-A201-225B353C08D8}"/>
    <cellStyle name="Normal 2 2 6 9" xfId="3937" xr:uid="{4F71D83A-959D-475E-9D25-7D6B36415D87}"/>
    <cellStyle name="Normal 2 2 6 9 2" xfId="8769" xr:uid="{96233D5B-8A89-48F1-9A57-B9BB5A2D37F7}"/>
    <cellStyle name="Normal 2 2 6 9 2 2" xfId="19149" xr:uid="{C662E802-04A3-4507-9901-49DF157CDFAB}"/>
    <cellStyle name="Normal 2 2 6 9 3" xfId="11602" xr:uid="{37797751-1450-47F8-9DE4-6D15B02F0F8C}"/>
    <cellStyle name="Normal 2 2 6 9 3 2" xfId="21982" xr:uid="{A0CF1402-2736-4402-90DC-2EE07E6D4E1F}"/>
    <cellStyle name="Normal 2 2 6 9 4" xfId="16316" xr:uid="{D1D6B85D-8E12-4532-AB67-4098610E0955}"/>
    <cellStyle name="Normal 2 2 7" xfId="769" xr:uid="{00000000-0005-0000-0000-0000AD040000}"/>
    <cellStyle name="Normal 2 2 7 10" xfId="5123" xr:uid="{97DE0FAD-FD61-428C-B324-15458C6A0DE0}"/>
    <cellStyle name="Normal 2 2 7 10 2" xfId="14420" xr:uid="{5A552025-BB63-47C8-A716-65B49A2A9EB2}"/>
    <cellStyle name="Normal 2 2 7 11" xfId="6873" xr:uid="{1FBE5570-8EB9-4FA4-89F2-2A70BF75E24B}"/>
    <cellStyle name="Normal 2 2 7 11 2" xfId="17253" xr:uid="{8F1A0535-AADD-49A8-B8C7-E616384AD067}"/>
    <cellStyle name="Normal 2 2 7 12" xfId="9706" xr:uid="{32224345-8BBA-42D9-98F0-CE4FAE9AE546}"/>
    <cellStyle name="Normal 2 2 7 12 2" xfId="20086" xr:uid="{CD5807E9-F3EE-4241-B288-F1ADAD15438D}"/>
    <cellStyle name="Normal 2 2 7 13" xfId="23476" xr:uid="{415A84E5-3159-4712-8FD1-985112B084C9}"/>
    <cellStyle name="Normal 2 2 7 14" xfId="12448" xr:uid="{CCF5E73B-3EDA-4F88-A85B-AD221AFC95BD}"/>
    <cellStyle name="Normal 2 2 7 2" xfId="770" xr:uid="{00000000-0005-0000-0000-0000AE040000}"/>
    <cellStyle name="Normal 2 2 7 2 10" xfId="9707" xr:uid="{96B7BC76-69A9-41C1-9071-99C298FB4CFB}"/>
    <cellStyle name="Normal 2 2 7 2 10 2" xfId="20087" xr:uid="{94D6349B-CF0D-4CAC-BB03-F05F5F955F3C}"/>
    <cellStyle name="Normal 2 2 7 2 11" xfId="25197" xr:uid="{970A88EF-7558-4745-BAD3-842CFCCC2476}"/>
    <cellStyle name="Normal 2 2 7 2 12" xfId="12565" xr:uid="{14A48E73-5367-44A3-A89F-BE47A5943D14}"/>
    <cellStyle name="Normal 2 2 7 2 2" xfId="771" xr:uid="{00000000-0005-0000-0000-0000AF040000}"/>
    <cellStyle name="Normal 2 2 7 2 2 2" xfId="3196" xr:uid="{00000000-0005-0000-0000-000039040000}"/>
    <cellStyle name="Normal 2 2 7 2 2 2 2" xfId="6254" xr:uid="{8B11C461-0E06-45AB-BD28-47EC1E74397F}"/>
    <cellStyle name="Normal 2 2 7 2 2 2 2 2" xfId="27098" xr:uid="{A2CCF78B-5DD6-47A7-84C9-8DA8F0D392B4}"/>
    <cellStyle name="Normal 2 2 7 2 2 2 2 3" xfId="27665" xr:uid="{5120584F-076D-44DE-8E1C-FDF7DE413BEE}"/>
    <cellStyle name="Normal 2 2 7 2 2 2 2 4" xfId="15823" xr:uid="{88F2C3A9-307E-4134-B781-3A57D5248454}"/>
    <cellStyle name="Normal 2 2 7 2 2 2 3" xfId="8276" xr:uid="{7BE2E20E-F2EA-49A6-9ACC-66CECE11E9F9}"/>
    <cellStyle name="Normal 2 2 7 2 2 2 3 2" xfId="28882" xr:uid="{AEB2A2CB-9366-4AE7-8001-9CBCA404FA79}"/>
    <cellStyle name="Normal 2 2 7 2 2 2 3 3" xfId="18656" xr:uid="{73B34709-9830-4084-8A92-2F31CF5ACFC4}"/>
    <cellStyle name="Normal 2 2 7 2 2 2 4" xfId="11109" xr:uid="{F4CFA1E6-1823-474B-A36C-6B8D54B5BE31}"/>
    <cellStyle name="Normal 2 2 7 2 2 2 4 2" xfId="21489" xr:uid="{6046E642-0BB4-46AC-9CF4-488A10B6EBD7}"/>
    <cellStyle name="Normal 2 2 7 2 2 2 5" xfId="25173" xr:uid="{0C8150D5-790E-4464-88E3-73F177477228}"/>
    <cellStyle name="Normal 2 2 7 2 2 2 6" xfId="13737" xr:uid="{02216744-12C4-4C6E-A890-ECFFA8F6FE2F}"/>
    <cellStyle name="Normal 2 2 7 2 2 3" xfId="4301" xr:uid="{5BF1446D-7DBC-47F3-8E2E-3AC34E7B0E6E}"/>
    <cellStyle name="Normal 2 2 7 2 2 3 2" xfId="9073" xr:uid="{BE47E111-92AC-4C0C-8529-002B140A12F9}"/>
    <cellStyle name="Normal 2 2 7 2 2 3 2 2" xfId="29116" xr:uid="{43363453-912B-4F5E-851B-25802F134C88}"/>
    <cellStyle name="Normal 2 2 7 2 2 3 2 3" xfId="19453" xr:uid="{4D73426A-9A7A-4ACD-A503-0CEFB7FC3F61}"/>
    <cellStyle name="Normal 2 2 7 2 2 3 3" xfId="11906" xr:uid="{88B15B4F-B2C9-43F1-8EF5-28198862C72D}"/>
    <cellStyle name="Normal 2 2 7 2 2 3 3 2" xfId="22286" xr:uid="{6755AD40-28FB-4E7D-A94B-D136868330C0}"/>
    <cellStyle name="Normal 2 2 7 2 2 3 4" xfId="23312" xr:uid="{0D01CC80-EC2F-491C-8FB7-AC748902593B}"/>
    <cellStyle name="Normal 2 2 7 2 2 3 5" xfId="16620" xr:uid="{DAF76C26-DB75-47F7-8EBA-DF102241B8B3}"/>
    <cellStyle name="Normal 2 2 7 2 2 4" xfId="5125" xr:uid="{829582CC-8806-4FA3-A337-62363E98AB53}"/>
    <cellStyle name="Normal 2 2 7 2 2 4 2" xfId="25883" xr:uid="{A51740CD-DFD9-4F10-A675-5809E6580706}"/>
    <cellStyle name="Normal 2 2 7 2 2 4 3" xfId="14422" xr:uid="{22F09D4F-0AD0-4215-AD98-2BDBBCF02486}"/>
    <cellStyle name="Normal 2 2 7 2 2 5" xfId="6875" xr:uid="{29BDE919-A952-42B7-9861-EEE06193E0CD}"/>
    <cellStyle name="Normal 2 2 7 2 2 5 2" xfId="17255" xr:uid="{C8AB0511-E919-4E33-9EA1-139219EE4BA6}"/>
    <cellStyle name="Normal 2 2 7 2 2 6" xfId="9708" xr:uid="{4EA87817-1414-45A3-8CDC-010B98153A50}"/>
    <cellStyle name="Normal 2 2 7 2 2 6 2" xfId="20088" xr:uid="{140904F0-1D4A-4C7A-94F9-38C6FCBB4593}"/>
    <cellStyle name="Normal 2 2 7 2 2 7" xfId="23576" xr:uid="{75409168-E756-4EE6-92D5-D0BEB4372556}"/>
    <cellStyle name="Normal 2 2 7 2 2 8" xfId="13171" xr:uid="{8E17ED30-0202-45B1-AF39-E9ECBB348417}"/>
    <cellStyle name="Normal 2 2 7 2 3" xfId="3197" xr:uid="{00000000-0005-0000-0000-00003A040000}"/>
    <cellStyle name="Normal 2 2 7 2 3 2" xfId="4472" xr:uid="{D6D0C682-5969-4AC5-9296-5C9390C11DD7}"/>
    <cellStyle name="Normal 2 2 7 2 3 2 2" xfId="9244" xr:uid="{ED2845A6-9518-4346-9FDE-1F0839C90A5B}"/>
    <cellStyle name="Normal 2 2 7 2 3 2 2 2" xfId="29233" xr:uid="{045A4F97-EE36-42E4-AD16-B94B3C10FB01}"/>
    <cellStyle name="Normal 2 2 7 2 3 2 2 3" xfId="19624" xr:uid="{9FB96ECF-A0C4-42EF-8303-C99252B9D45F}"/>
    <cellStyle name="Normal 2 2 7 2 3 2 3" xfId="12077" xr:uid="{B344CE8A-4F10-4CDB-9883-E7ED2F225F10}"/>
    <cellStyle name="Normal 2 2 7 2 3 2 3 2" xfId="22457" xr:uid="{D9F654AB-3DCA-43C0-9942-68D3398C16E2}"/>
    <cellStyle name="Normal 2 2 7 2 3 2 4" xfId="23184" xr:uid="{9277E302-6DAB-407E-9C1D-A5D8F6A355C6}"/>
    <cellStyle name="Normal 2 2 7 2 3 2 5" xfId="16791" xr:uid="{71B25BC7-30E6-4D6A-AB81-F9522879AEA8}"/>
    <cellStyle name="Normal 2 2 7 2 3 3" xfId="6255" xr:uid="{CEDDA396-6283-461F-9196-E75D991EE142}"/>
    <cellStyle name="Normal 2 2 7 2 3 3 2" xfId="27033" xr:uid="{FAF40926-BBA6-40FB-A9B8-993BF85ACA13}"/>
    <cellStyle name="Normal 2 2 7 2 3 3 3" xfId="15824" xr:uid="{41B0010C-AC18-47D0-ABF8-05B957E3ACEA}"/>
    <cellStyle name="Normal 2 2 7 2 3 4" xfId="8277" xr:uid="{3A501C5D-B598-42DE-AA9C-2D0B185BE320}"/>
    <cellStyle name="Normal 2 2 7 2 3 4 2" xfId="18657" xr:uid="{98154A14-30EF-498C-BD93-16585A4C902D}"/>
    <cellStyle name="Normal 2 2 7 2 3 5" xfId="11110" xr:uid="{07C0A32C-C2F8-4C30-BA14-3A2352C2684B}"/>
    <cellStyle name="Normal 2 2 7 2 3 5 2" xfId="21490" xr:uid="{27D4A009-BAD5-4E39-9EB7-8502857800DF}"/>
    <cellStyle name="Normal 2 2 7 2 3 6" xfId="25136" xr:uid="{6DFABF6E-1F9B-4625-BDF1-C54002BA0E42}"/>
    <cellStyle name="Normal 2 2 7 2 3 7" xfId="13738" xr:uid="{44024F55-7CC3-4707-8DC4-26D77126A2E3}"/>
    <cellStyle name="Normal 2 2 7 2 4" xfId="3195" xr:uid="{00000000-0005-0000-0000-00003B040000}"/>
    <cellStyle name="Normal 2 2 7 2 4 2" xfId="6253" xr:uid="{A7A1CCB2-E3D0-43EA-8197-34A7C09AEF96}"/>
    <cellStyle name="Normal 2 2 7 2 4 2 2" xfId="27156" xr:uid="{3E2FF402-3FDD-43AC-8ABB-5AAA0B77C2CE}"/>
    <cellStyle name="Normal 2 2 7 2 4 2 3" xfId="15822" xr:uid="{1D5EA078-8212-4425-8345-5A255D9DAD6E}"/>
    <cellStyle name="Normal 2 2 7 2 4 3" xfId="8275" xr:uid="{C74BA113-14D3-4CB9-B20E-273E7EB6FD33}"/>
    <cellStyle name="Normal 2 2 7 2 4 3 2" xfId="18655" xr:uid="{E6C0D189-9183-442D-9D68-7E282810D9F1}"/>
    <cellStyle name="Normal 2 2 7 2 4 4" xfId="11108" xr:uid="{BA254123-1B17-4C76-85E0-9AB7220FD05C}"/>
    <cellStyle name="Normal 2 2 7 2 4 4 2" xfId="21488" xr:uid="{D47D7829-4F01-405F-9CD6-6DE623E2F170}"/>
    <cellStyle name="Normal 2 2 7 2 4 5" xfId="23442" xr:uid="{CF19129B-7CF2-4FAA-8889-965D44A5F84E}"/>
    <cellStyle name="Normal 2 2 7 2 4 6" xfId="13736" xr:uid="{A2FEC267-718D-44B3-A1DD-EB431AD8109B}"/>
    <cellStyle name="Normal 2 2 7 2 5" xfId="2522" xr:uid="{00000000-0005-0000-0000-00003C040000}"/>
    <cellStyle name="Normal 2 2 7 2 5 2" xfId="5799" xr:uid="{23A0BEF1-34F6-404A-814A-EEB3AB3D6CC9}"/>
    <cellStyle name="Normal 2 2 7 2 5 2 2" xfId="28746" xr:uid="{383549BB-5F0D-44D9-A695-FB8092A97676}"/>
    <cellStyle name="Normal 2 2 7 2 5 2 3" xfId="15194" xr:uid="{C9121AAE-BCE2-4E47-A76D-C5EFDF2C471C}"/>
    <cellStyle name="Normal 2 2 7 2 5 3" xfId="7647" xr:uid="{ADEA8325-5E94-48BA-B7EE-99860C3CA05E}"/>
    <cellStyle name="Normal 2 2 7 2 5 3 2" xfId="18027" xr:uid="{97FAF7B9-8F45-4792-B0F2-58B344511F34}"/>
    <cellStyle name="Normal 2 2 7 2 5 4" xfId="10480" xr:uid="{B1F3EEF4-88D2-4FD9-BBC4-8072DF524313}"/>
    <cellStyle name="Normal 2 2 7 2 5 4 2" xfId="20860" xr:uid="{F439DE09-43CA-43ED-A509-79F09AF9D346}"/>
    <cellStyle name="Normal 2 2 7 2 5 5" xfId="24866" xr:uid="{DFC9CDCE-CD34-4F68-AC8B-3E978F5E142E}"/>
    <cellStyle name="Normal 2 2 7 2 5 6" xfId="12910" xr:uid="{F0FAC557-219A-4CC5-87C5-59F8BD421481}"/>
    <cellStyle name="Normal 2 2 7 2 6" xfId="2331" xr:uid="{00000000-0005-0000-0000-000037040000}"/>
    <cellStyle name="Normal 2 2 7 2 6 2" xfId="7458" xr:uid="{AA518F21-B686-48E8-B898-EC04D5D2B410}"/>
    <cellStyle name="Normal 2 2 7 2 6 2 2" xfId="17838" xr:uid="{4F3935D6-4461-4126-B862-3FF94E3FD125}"/>
    <cellStyle name="Normal 2 2 7 2 6 3" xfId="10291" xr:uid="{11BC9346-AD29-4F36-90D3-7C872D157AFB}"/>
    <cellStyle name="Normal 2 2 7 2 6 3 2" xfId="20671" xr:uid="{9B00FE18-2CDF-413E-A2B7-1C59FA4D06DA}"/>
    <cellStyle name="Normal 2 2 7 2 6 4" xfId="23210" xr:uid="{A3C83875-F8A8-4E4D-9003-627B13C89284}"/>
    <cellStyle name="Normal 2 2 7 2 6 5" xfId="15005" xr:uid="{CA5708F2-7C54-4703-8E71-37C3A0A7BB5E}"/>
    <cellStyle name="Normal 2 2 7 2 7" xfId="3846" xr:uid="{D771F0E0-C0AC-4977-97D7-6CCA4D9AA339}"/>
    <cellStyle name="Normal 2 2 7 2 7 2" xfId="8679" xr:uid="{0C570D39-C3EB-435E-96B0-04A4C5B12501}"/>
    <cellStyle name="Normal 2 2 7 2 7 2 2" xfId="19059" xr:uid="{48824E7D-FEE0-4B8B-AE88-C8DEE2217EA4}"/>
    <cellStyle name="Normal 2 2 7 2 7 3" xfId="11512" xr:uid="{1299A268-0595-4B2F-A6DE-39BA0E2E8536}"/>
    <cellStyle name="Normal 2 2 7 2 7 3 2" xfId="21892" xr:uid="{887E6F02-517A-43A6-8954-2FC1E9DA644D}"/>
    <cellStyle name="Normal 2 2 7 2 7 4" xfId="16226" xr:uid="{94FED017-C12D-47E2-A831-420BF6B109B2}"/>
    <cellStyle name="Normal 2 2 7 2 8" xfId="5124" xr:uid="{ADAE79B2-4B97-4577-89B0-127316D79130}"/>
    <cellStyle name="Normal 2 2 7 2 8 2" xfId="14421" xr:uid="{CE00637D-9DCD-4172-9738-12F69E7ACD9A}"/>
    <cellStyle name="Normal 2 2 7 2 9" xfId="6874" xr:uid="{4FACCF4B-8810-4D34-B90E-8A139B2A6C5C}"/>
    <cellStyle name="Normal 2 2 7 2 9 2" xfId="17254" xr:uid="{FD74E31E-4DE3-469F-9005-4292C928A904}"/>
    <cellStyle name="Normal 2 2 7 3" xfId="772" xr:uid="{00000000-0005-0000-0000-0000B0040000}"/>
    <cellStyle name="Normal 2 2 7 3 10" xfId="23007" xr:uid="{F17254B3-5808-4371-AB5E-AFEDFD4B5483}"/>
    <cellStyle name="Normal 2 2 7 3 11" xfId="12723" xr:uid="{178C3338-824D-4C4A-8A4E-D25A680F0A44}"/>
    <cellStyle name="Normal 2 2 7 3 2" xfId="2736" xr:uid="{00000000-0005-0000-0000-00003E040000}"/>
    <cellStyle name="Normal 2 2 7 3 2 2" xfId="3199" xr:uid="{00000000-0005-0000-0000-00003F040000}"/>
    <cellStyle name="Normal 2 2 7 3 2 2 2" xfId="6257" xr:uid="{1A212D7B-5846-4C44-AAAC-EBFBC95895B4}"/>
    <cellStyle name="Normal 2 2 7 3 2 2 2 2" xfId="27549" xr:uid="{F3E218AA-116F-45C5-86B0-CAD0C1827EF6}"/>
    <cellStyle name="Normal 2 2 7 3 2 2 2 3" xfId="15826" xr:uid="{3C4B6901-F247-4586-BE1B-C5C9D4C80ACA}"/>
    <cellStyle name="Normal 2 2 7 3 2 2 3" xfId="8279" xr:uid="{CA3C5097-3312-4E1C-A313-E9DC851AE2C4}"/>
    <cellStyle name="Normal 2 2 7 3 2 2 3 2" xfId="18659" xr:uid="{4F701770-DC31-413F-9135-9FE178093DCF}"/>
    <cellStyle name="Normal 2 2 7 3 2 2 4" xfId="11112" xr:uid="{789F14F5-2087-4FE2-9F62-717D858521BC}"/>
    <cellStyle name="Normal 2 2 7 3 2 2 4 2" xfId="21492" xr:uid="{4904FFD4-0B5B-499F-A0DA-8C684E0A2E6D}"/>
    <cellStyle name="Normal 2 2 7 3 2 2 5" xfId="24139" xr:uid="{0E5E244E-A51D-4D1E-8426-6A6B11BCF3E7}"/>
    <cellStyle name="Normal 2 2 7 3 2 2 6" xfId="13740" xr:uid="{E87C28D9-8A87-48F5-93CB-BCB19802B7CE}"/>
    <cellStyle name="Normal 2 2 7 3 2 3" xfId="4302" xr:uid="{EAF366F8-D447-4075-81DF-515D051DD7C2}"/>
    <cellStyle name="Normal 2 2 7 3 2 3 2" xfId="9074" xr:uid="{556CF877-2043-4BA3-B28F-234F15C1AEEA}"/>
    <cellStyle name="Normal 2 2 7 3 2 3 2 2" xfId="29117" xr:uid="{021A0685-800E-4150-8DAD-FE739C4E024A}"/>
    <cellStyle name="Normal 2 2 7 3 2 3 2 3" xfId="19454" xr:uid="{DD452560-2B8B-49DC-826C-6448540E28C2}"/>
    <cellStyle name="Normal 2 2 7 3 2 3 3" xfId="11907" xr:uid="{E7745375-D0FA-4318-B53C-3CDB4467A48B}"/>
    <cellStyle name="Normal 2 2 7 3 2 3 3 2" xfId="22287" xr:uid="{9EA5C9C2-28B6-4309-AF57-177710D515A7}"/>
    <cellStyle name="Normal 2 2 7 3 2 3 4" xfId="23550" xr:uid="{6897237D-6A89-4CCD-9989-063E5488F7C7}"/>
    <cellStyle name="Normal 2 2 7 3 2 3 5" xfId="16621" xr:uid="{A0E2F83C-CEF0-46C9-B482-21FDD2B95E65}"/>
    <cellStyle name="Normal 2 2 7 3 2 4" xfId="5954" xr:uid="{DE040285-1C97-4EC5-981F-0884DD59A246}"/>
    <cellStyle name="Normal 2 2 7 3 2 4 2" xfId="27343" xr:uid="{C304F024-8373-44EF-8702-1365F2D427CD}"/>
    <cellStyle name="Normal 2 2 7 3 2 4 3" xfId="15407" xr:uid="{83F001C6-1E3E-4BEF-A578-6A98F78A5346}"/>
    <cellStyle name="Normal 2 2 7 3 2 5" xfId="7860" xr:uid="{2339EDD1-F2C1-42F8-A2DB-FAD34473DCFC}"/>
    <cellStyle name="Normal 2 2 7 3 2 5 2" xfId="18240" xr:uid="{C8AD0386-3040-46F1-B645-6655476B4E1C}"/>
    <cellStyle name="Normal 2 2 7 3 2 6" xfId="10693" xr:uid="{4E2A75C5-D6E1-4366-B646-1EA5470A1E7B}"/>
    <cellStyle name="Normal 2 2 7 3 2 6 2" xfId="21073" xr:uid="{9B0F25AF-5BD6-4B90-A454-D00D5EA39529}"/>
    <cellStyle name="Normal 2 2 7 3 2 7" xfId="25134" xr:uid="{E830B5F4-CEBC-4DFD-B7C5-8C2032ABC27D}"/>
    <cellStyle name="Normal 2 2 7 3 2 8" xfId="13172" xr:uid="{DAF114F1-DD70-4554-94B8-AEA3F3E71683}"/>
    <cellStyle name="Normal 2 2 7 3 3" xfId="3200" xr:uid="{00000000-0005-0000-0000-000040040000}"/>
    <cellStyle name="Normal 2 2 7 3 3 2" xfId="4473" xr:uid="{0428E46A-93CA-416A-8A3D-64F2AF294697}"/>
    <cellStyle name="Normal 2 2 7 3 3 2 2" xfId="9245" xr:uid="{7F6CBD5B-9D8F-4693-97C1-702733C70EEF}"/>
    <cellStyle name="Normal 2 2 7 3 3 2 2 2" xfId="29234" xr:uid="{4E15FF19-501D-4EF1-9C91-2E64E0E8506B}"/>
    <cellStyle name="Normal 2 2 7 3 3 2 2 3" xfId="19625" xr:uid="{73AA55D1-3CF8-4142-979A-740880D272DD}"/>
    <cellStyle name="Normal 2 2 7 3 3 2 3" xfId="12078" xr:uid="{DE2C7111-8310-472C-9C0D-BDF10E297E82}"/>
    <cellStyle name="Normal 2 2 7 3 3 2 3 2" xfId="22458" xr:uid="{27BD705E-F3E4-4F7C-996B-87B1BC251D6C}"/>
    <cellStyle name="Normal 2 2 7 3 3 2 4" xfId="24393" xr:uid="{58A0A0B9-BE64-483A-ABB4-854BC81CB446}"/>
    <cellStyle name="Normal 2 2 7 3 3 2 5" xfId="16792" xr:uid="{6C66086D-972D-42D1-8497-F58F520E4481}"/>
    <cellStyle name="Normal 2 2 7 3 3 3" xfId="6258" xr:uid="{D940372C-13D7-4285-9FDE-3B180C7240FF}"/>
    <cellStyle name="Normal 2 2 7 3 3 3 2" xfId="27757" xr:uid="{F28E13FF-310C-4A09-BC29-966A74D8A060}"/>
    <cellStyle name="Normal 2 2 7 3 3 3 3" xfId="15827" xr:uid="{7BCAF169-B59A-4731-AF05-776ADEDAE458}"/>
    <cellStyle name="Normal 2 2 7 3 3 4" xfId="8280" xr:uid="{C8B16FE4-4C61-4173-A19E-762D85240BFE}"/>
    <cellStyle name="Normal 2 2 7 3 3 4 2" xfId="18660" xr:uid="{347D0C6D-BD62-4E72-8C14-0AA1A467D708}"/>
    <cellStyle name="Normal 2 2 7 3 3 5" xfId="11113" xr:uid="{73022351-1C26-4939-AA38-289D77681BAD}"/>
    <cellStyle name="Normal 2 2 7 3 3 5 2" xfId="21493" xr:uid="{D838C5FD-0A15-4C6C-A084-82D9C901D236}"/>
    <cellStyle name="Normal 2 2 7 3 3 6" xfId="24001" xr:uid="{EDDCD52D-04C6-4A80-B038-2BF9C8415521}"/>
    <cellStyle name="Normal 2 2 7 3 3 7" xfId="13741" xr:uid="{7A73E4B7-EDEC-4FA0-8605-ADE538C01436}"/>
    <cellStyle name="Normal 2 2 7 3 4" xfId="3198" xr:uid="{00000000-0005-0000-0000-000041040000}"/>
    <cellStyle name="Normal 2 2 7 3 4 2" xfId="6256" xr:uid="{CF60C740-2E1F-4CDA-B4B6-BF87756449D4}"/>
    <cellStyle name="Normal 2 2 7 3 4 2 2" xfId="28393" xr:uid="{E8B8B9A0-5C61-4A77-A708-D915FD490F3B}"/>
    <cellStyle name="Normal 2 2 7 3 4 2 3" xfId="15825" xr:uid="{B7F0F487-D0C5-4F3F-9339-B478FB99E6AA}"/>
    <cellStyle name="Normal 2 2 7 3 4 3" xfId="8278" xr:uid="{2DBAAF1C-E8D3-4763-8820-5C030BFC6E29}"/>
    <cellStyle name="Normal 2 2 7 3 4 3 2" xfId="18658" xr:uid="{5AA4104F-80A6-4B4D-9D4D-25CF2EBC49CE}"/>
    <cellStyle name="Normal 2 2 7 3 4 4" xfId="11111" xr:uid="{A5022C64-CA5C-4256-9DC0-7C397D74943E}"/>
    <cellStyle name="Normal 2 2 7 3 4 4 2" xfId="21491" xr:uid="{6BDC3A3E-EE03-40BD-B52A-5ADF54128D69}"/>
    <cellStyle name="Normal 2 2 7 3 4 5" xfId="25563" xr:uid="{7B928967-CE5D-43D5-BB33-45736C0C119C}"/>
    <cellStyle name="Normal 2 2 7 3 4 6" xfId="13739" xr:uid="{394C640A-B5E2-4187-B7A5-490C8C461537}"/>
    <cellStyle name="Normal 2 2 7 3 5" xfId="2625" xr:uid="{00000000-0005-0000-0000-000042040000}"/>
    <cellStyle name="Normal 2 2 7 3 5 2" xfId="5887" xr:uid="{92CD74B9-44AB-49EB-BBE1-72D7E5630C7A}"/>
    <cellStyle name="Normal 2 2 7 3 5 2 2" xfId="26778" xr:uid="{0E0DCD71-F50E-424A-9F99-47DD45A2B674}"/>
    <cellStyle name="Normal 2 2 7 3 5 2 3" xfId="15297" xr:uid="{3F30FFEF-1A10-4243-A3EC-617D5088BDDA}"/>
    <cellStyle name="Normal 2 2 7 3 5 3" xfId="7750" xr:uid="{635E3C12-C886-44F6-9770-79ED6BFD1FC8}"/>
    <cellStyle name="Normal 2 2 7 3 5 3 2" xfId="18130" xr:uid="{F0ABDD48-8ABA-4593-94C5-CDB5D41E58DC}"/>
    <cellStyle name="Normal 2 2 7 3 5 4" xfId="10583" xr:uid="{17F5AA6E-126A-4164-9FEF-F05FAF4848F8}"/>
    <cellStyle name="Normal 2 2 7 3 5 4 2" xfId="20963" xr:uid="{199B1EF3-438D-427A-93F2-7478C7AA5889}"/>
    <cellStyle name="Normal 2 2 7 3 5 5" xfId="23745" xr:uid="{CC56BE07-5218-4782-8B3F-5BFD9E3B6494}"/>
    <cellStyle name="Normal 2 2 7 3 5 6" xfId="13013" xr:uid="{B4923DA2-90D7-4352-9E97-CED1C3F86706}"/>
    <cellStyle name="Normal 2 2 7 3 6" xfId="4165" xr:uid="{0EECCB69-E2A2-4D79-984C-AEA068311F16}"/>
    <cellStyle name="Normal 2 2 7 3 6 2" xfId="8937" xr:uid="{9C2642DB-2BEA-40C7-A32B-E7BCFF1109E9}"/>
    <cellStyle name="Normal 2 2 7 3 6 2 2" xfId="19317" xr:uid="{43F78813-33B4-4BF0-862C-D45B3E52C6CD}"/>
    <cellStyle name="Normal 2 2 7 3 6 3" xfId="11770" xr:uid="{7FB2A010-4F86-413B-A29B-80AFBA0C83FD}"/>
    <cellStyle name="Normal 2 2 7 3 6 3 2" xfId="22150" xr:uid="{33525C46-7CBE-4205-927F-564236BD8343}"/>
    <cellStyle name="Normal 2 2 7 3 6 4" xfId="23722" xr:uid="{9BC8BB49-D765-48C9-BE92-08F2EA7A9DBF}"/>
    <cellStyle name="Normal 2 2 7 3 6 5" xfId="16484" xr:uid="{82F6FC75-C16C-413E-B767-482378F3B21B}"/>
    <cellStyle name="Normal 2 2 7 3 7" xfId="5126" xr:uid="{5C452FFA-7910-4D62-A8A7-22BC1867080B}"/>
    <cellStyle name="Normal 2 2 7 3 7 2" xfId="14423" xr:uid="{71F07B88-DD81-4D19-B3F5-6CF54BC1094D}"/>
    <cellStyle name="Normal 2 2 7 3 8" xfId="6876" xr:uid="{90182203-014D-4FA0-B89A-F4D27942B154}"/>
    <cellStyle name="Normal 2 2 7 3 8 2" xfId="17256" xr:uid="{8238B354-BF9F-4916-9974-7AC3933B06CD}"/>
    <cellStyle name="Normal 2 2 7 3 9" xfId="9709" xr:uid="{B4C3058F-A649-4C9E-9CF8-5063027BD2D8}"/>
    <cellStyle name="Normal 2 2 7 3 9 2" xfId="20089" xr:uid="{4AFB8945-510C-491C-A8E1-1C9D343D4C3A}"/>
    <cellStyle name="Normal 2 2 7 4" xfId="773" xr:uid="{00000000-0005-0000-0000-0000B1040000}"/>
    <cellStyle name="Normal 2 2 7 4 2" xfId="3201" xr:uid="{00000000-0005-0000-0000-000044040000}"/>
    <cellStyle name="Normal 2 2 7 4 2 2" xfId="6259" xr:uid="{EA86242F-DE84-41B2-B4E2-49C3A6806F4C}"/>
    <cellStyle name="Normal 2 2 7 4 2 2 2" xfId="27955" xr:uid="{F130E72C-EF2A-4AE3-96A3-4BDBF9584015}"/>
    <cellStyle name="Normal 2 2 7 4 2 2 3" xfId="15828" xr:uid="{AB8DBCB1-FF55-4422-AE4F-23C7720312AB}"/>
    <cellStyle name="Normal 2 2 7 4 2 3" xfId="8281" xr:uid="{28C10E84-05C2-498D-82BA-F63707491383}"/>
    <cellStyle name="Normal 2 2 7 4 2 3 2" xfId="18661" xr:uid="{84627645-3648-4EA7-BD72-457DC4FED9D8}"/>
    <cellStyle name="Normal 2 2 7 4 2 4" xfId="11114" xr:uid="{D759EDC8-144E-4FCC-B7B5-6256B36E7E60}"/>
    <cellStyle name="Normal 2 2 7 4 2 4 2" xfId="21494" xr:uid="{F311C016-71CF-4462-93B6-AD713B647808}"/>
    <cellStyle name="Normal 2 2 7 4 2 5" xfId="24435" xr:uid="{16B3E47E-68E3-4CA5-A25D-F24AB1561C53}"/>
    <cellStyle name="Normal 2 2 7 4 2 6" xfId="13742" xr:uid="{F1B21C19-0682-443F-8D4E-BDB1C80126DC}"/>
    <cellStyle name="Normal 2 2 7 4 3" xfId="4300" xr:uid="{FB89EF37-5642-4DB4-9B87-78B865309E32}"/>
    <cellStyle name="Normal 2 2 7 4 3 2" xfId="9072" xr:uid="{58972D54-2C46-400B-B3FA-FDD33077E2A0}"/>
    <cellStyle name="Normal 2 2 7 4 3 2 2" xfId="29115" xr:uid="{3E47BE21-2C75-410C-A6C9-DD3FD87C6916}"/>
    <cellStyle name="Normal 2 2 7 4 3 2 3" xfId="19452" xr:uid="{8463DD5D-1757-4EA0-9D14-3534ED11B601}"/>
    <cellStyle name="Normal 2 2 7 4 3 3" xfId="11905" xr:uid="{099E216B-CFB5-4885-9F6B-81FA1976C52D}"/>
    <cellStyle name="Normal 2 2 7 4 3 3 2" xfId="22285" xr:uid="{FF8EC160-F987-4D10-98D0-422BEE8B6B95}"/>
    <cellStyle name="Normal 2 2 7 4 3 4" xfId="23425" xr:uid="{3AD3C7EB-4743-4B29-A5D0-0C459C1321C6}"/>
    <cellStyle name="Normal 2 2 7 4 3 5" xfId="16619" xr:uid="{4E8744E9-845E-436B-834F-356D56F91803}"/>
    <cellStyle name="Normal 2 2 7 4 4" xfId="5127" xr:uid="{BB82BBF1-892E-428D-B121-BE1B6A0F0770}"/>
    <cellStyle name="Normal 2 2 7 4 4 2" xfId="27315" xr:uid="{B6384FC8-584C-475B-A86A-E8E7D2A74AEB}"/>
    <cellStyle name="Normal 2 2 7 4 4 3" xfId="14424" xr:uid="{FA69E3F2-B838-4302-AE0D-B6EA475877A7}"/>
    <cellStyle name="Normal 2 2 7 4 5" xfId="6877" xr:uid="{DED2211D-BFE6-48E6-8FF2-55930132D76B}"/>
    <cellStyle name="Normal 2 2 7 4 5 2" xfId="17257" xr:uid="{470C8BE6-A3EE-4F87-A755-C79CAC7DCB94}"/>
    <cellStyle name="Normal 2 2 7 4 6" xfId="9710" xr:uid="{BCD325BF-24A9-435B-9AC8-82BF9A84298E}"/>
    <cellStyle name="Normal 2 2 7 4 6 2" xfId="20090" xr:uid="{5486DF0B-2ECE-43B1-AF13-431C9E6D04D1}"/>
    <cellStyle name="Normal 2 2 7 4 7" xfId="24458" xr:uid="{5D16B951-AF92-490D-9C68-F6E635E7BD61}"/>
    <cellStyle name="Normal 2 2 7 4 8" xfId="13170" xr:uid="{17041A68-1022-49C2-98E9-55807456AA15}"/>
    <cellStyle name="Normal 2 2 7 5" xfId="3202" xr:uid="{00000000-0005-0000-0000-000045040000}"/>
    <cellStyle name="Normal 2 2 7 5 2" xfId="4474" xr:uid="{F43CF885-6B3E-4233-B3EB-8EC307816EE0}"/>
    <cellStyle name="Normal 2 2 7 5 2 2" xfId="9246" xr:uid="{99C5D73E-8D59-42E6-9224-95D350907AA5}"/>
    <cellStyle name="Normal 2 2 7 5 2 2 2" xfId="29235" xr:uid="{D28169DF-F682-4D57-8E50-2BEBF72ADB7C}"/>
    <cellStyle name="Normal 2 2 7 5 2 2 3" xfId="19626" xr:uid="{911EB7F1-662E-467B-9B34-9D1B8475D22B}"/>
    <cellStyle name="Normal 2 2 7 5 2 3" xfId="12079" xr:uid="{36E12D49-82BF-46AF-871C-11FB898BFBEE}"/>
    <cellStyle name="Normal 2 2 7 5 2 3 2" xfId="22459" xr:uid="{C04B2735-E0AA-497B-8422-E367EF58C9F7}"/>
    <cellStyle name="Normal 2 2 7 5 2 4" xfId="25693" xr:uid="{2265BF51-5BC9-4777-B8E6-0889D80AE015}"/>
    <cellStyle name="Normal 2 2 7 5 2 5" xfId="16793" xr:uid="{36544D78-34B7-4DC8-990C-2DBB08710D08}"/>
    <cellStyle name="Normal 2 2 7 5 3" xfId="6260" xr:uid="{4D851889-4635-4508-8F66-E2721015AA19}"/>
    <cellStyle name="Normal 2 2 7 5 3 2" xfId="26239" xr:uid="{22637B2F-5841-439F-8B42-DC03C4B1CBE8}"/>
    <cellStyle name="Normal 2 2 7 5 3 3" xfId="15829" xr:uid="{6C442F8F-709D-41AD-83FC-99633E491AB7}"/>
    <cellStyle name="Normal 2 2 7 5 4" xfId="8282" xr:uid="{831A3850-70D5-4E84-A343-C00368EDD689}"/>
    <cellStyle name="Normal 2 2 7 5 4 2" xfId="18662" xr:uid="{C16F9157-9B3C-443E-9BDB-6FF37823E7B9}"/>
    <cellStyle name="Normal 2 2 7 5 5" xfId="11115" xr:uid="{5323322D-1828-4872-A0D0-B1C1DE137956}"/>
    <cellStyle name="Normal 2 2 7 5 5 2" xfId="21495" xr:uid="{7AFD68E4-4698-4CEB-AAD0-46CE8C566DB4}"/>
    <cellStyle name="Normal 2 2 7 5 6" xfId="24777" xr:uid="{19595CDC-3621-469D-8973-B52DF0990318}"/>
    <cellStyle name="Normal 2 2 7 5 7" xfId="13743" xr:uid="{8596851C-82E7-4787-9116-C2C662107F93}"/>
    <cellStyle name="Normal 2 2 7 6" xfId="2906" xr:uid="{00000000-0005-0000-0000-000046040000}"/>
    <cellStyle name="Normal 2 2 7 6 2" xfId="6092" xr:uid="{DA57989B-564A-4C1A-9D05-AE50DD18F86E}"/>
    <cellStyle name="Normal 2 2 7 6 2 2" xfId="27701" xr:uid="{F418126B-C980-4ECC-BE7C-18A8E2FADF60}"/>
    <cellStyle name="Normal 2 2 7 6 2 3" xfId="15570" xr:uid="{22B65360-BC90-4835-B939-315CDBC5A152}"/>
    <cellStyle name="Normal 2 2 7 6 3" xfId="8023" xr:uid="{CB3E4E3C-6CDC-4F35-9634-4C0B1E25404F}"/>
    <cellStyle name="Normal 2 2 7 6 3 2" xfId="18403" xr:uid="{2D552C60-2259-4C2D-A185-267CAB265DF4}"/>
    <cellStyle name="Normal 2 2 7 6 4" xfId="10856" xr:uid="{CF9A6020-EF53-46F0-9D9B-EC6F1A1DA70A}"/>
    <cellStyle name="Normal 2 2 7 6 4 2" xfId="21236" xr:uid="{FCBF4E9B-F8D3-4C41-B78E-2150FF51224B}"/>
    <cellStyle name="Normal 2 2 7 6 5" xfId="25340" xr:uid="{0441A294-413D-4AAF-BD16-AC300834E672}"/>
    <cellStyle name="Normal 2 2 7 6 6" xfId="13421" xr:uid="{F450886F-2E7C-48CC-A33D-E6A3B3C2BC1E}"/>
    <cellStyle name="Normal 2 2 7 7" xfId="2462" xr:uid="{00000000-0005-0000-0000-000047040000}"/>
    <cellStyle name="Normal 2 2 7 7 2" xfId="5753" xr:uid="{2E6284A3-7195-4AB7-A4FB-C092FA1EAF45}"/>
    <cellStyle name="Normal 2 2 7 7 2 2" xfId="26668" xr:uid="{15808563-0C2E-477A-AA67-BC75561D798B}"/>
    <cellStyle name="Normal 2 2 7 7 2 3" xfId="15134" xr:uid="{A4BAD895-AF33-4EF9-BD97-047C99E8F55E}"/>
    <cellStyle name="Normal 2 2 7 7 3" xfId="7587" xr:uid="{645F3ECB-47CB-43FD-93B1-D80F647453B9}"/>
    <cellStyle name="Normal 2 2 7 7 3 2" xfId="17967" xr:uid="{5276B6E8-F14B-47DA-9795-8A1D24063B5E}"/>
    <cellStyle name="Normal 2 2 7 7 4" xfId="10420" xr:uid="{32FB7C96-3693-4BBB-87D3-F468EA2058C6}"/>
    <cellStyle name="Normal 2 2 7 7 4 2" xfId="20800" xr:uid="{00B40404-8E65-48CD-AB16-729DDAF8B967}"/>
    <cellStyle name="Normal 2 2 7 7 5" xfId="22820" xr:uid="{F5302D9A-7717-43A3-9991-538FB9F931D8}"/>
    <cellStyle name="Normal 2 2 7 7 6" xfId="12850" xr:uid="{F4F92005-4B46-4882-86F0-AA33BE952BAB}"/>
    <cellStyle name="Normal 2 2 7 8" xfId="2216" xr:uid="{00000000-0005-0000-0000-000036040000}"/>
    <cellStyle name="Normal 2 2 7 8 2" xfId="7343" xr:uid="{119F46DF-C067-41EC-8126-38A40487FA8C}"/>
    <cellStyle name="Normal 2 2 7 8 2 2" xfId="17723" xr:uid="{ED305A55-2D9A-46DD-BA47-AF220451757E}"/>
    <cellStyle name="Normal 2 2 7 8 3" xfId="10176" xr:uid="{9D697A6F-542C-4ED6-AF67-5B61BA0FD18E}"/>
    <cellStyle name="Normal 2 2 7 8 3 2" xfId="20556" xr:uid="{9890D317-D2F7-49F4-9663-26A6115E9037}"/>
    <cellStyle name="Normal 2 2 7 8 4" xfId="23832" xr:uid="{DA775B2D-7C2D-4E4F-A457-253B653B3263}"/>
    <cellStyle name="Normal 2 2 7 8 5" xfId="14890" xr:uid="{6016B299-4532-427C-8DBF-F49EBF94FEEE}"/>
    <cellStyle name="Normal 2 2 7 9" xfId="3938" xr:uid="{730B2415-7D0E-4777-BD3F-FD5EA860EFA8}"/>
    <cellStyle name="Normal 2 2 7 9 2" xfId="8770" xr:uid="{DE422D28-9071-46E0-8C78-715B420E7E8C}"/>
    <cellStyle name="Normal 2 2 7 9 2 2" xfId="19150" xr:uid="{69C561B9-5447-412B-8367-27A315462274}"/>
    <cellStyle name="Normal 2 2 7 9 3" xfId="11603" xr:uid="{2B1B7C93-75A1-4EFE-A9FD-2E389EEAE17E}"/>
    <cellStyle name="Normal 2 2 7 9 3 2" xfId="21983" xr:uid="{647ECAF7-2087-4270-B0FC-26A8F245DCBA}"/>
    <cellStyle name="Normal 2 2 7 9 4" xfId="16317" xr:uid="{56E29E40-D477-49BB-A1DB-B1585FB89744}"/>
    <cellStyle name="Normal 2 2 8" xfId="774" xr:uid="{00000000-0005-0000-0000-0000B2040000}"/>
    <cellStyle name="Normal 2 2 8 10" xfId="6878" xr:uid="{628BD07A-D930-4CD2-A940-69AD564921B7}"/>
    <cellStyle name="Normal 2 2 8 10 2" xfId="17258" xr:uid="{D8B97DC8-7635-465A-856A-2FA87A0AFF44}"/>
    <cellStyle name="Normal 2 2 8 11" xfId="9711" xr:uid="{F14EE70F-160D-4DA3-A3D4-9BC7D49B5D6B}"/>
    <cellStyle name="Normal 2 2 8 11 2" xfId="20091" xr:uid="{67B869A9-2EAC-4101-B81E-0B6A04DB9C7A}"/>
    <cellStyle name="Normal 2 2 8 12" xfId="25320" xr:uid="{8BBC2563-7EB3-4F0B-B448-C24827850FBF}"/>
    <cellStyle name="Normal 2 2 8 13" xfId="12431" xr:uid="{F2398DB6-92A6-4E09-8CEA-7C4D685124A0}"/>
    <cellStyle name="Normal 2 2 8 2" xfId="775" xr:uid="{00000000-0005-0000-0000-0000B3040000}"/>
    <cellStyle name="Normal 2 2 8 2 10" xfId="9712" xr:uid="{2E8E1B31-05C3-4FE9-9EA3-A11E18571BCB}"/>
    <cellStyle name="Normal 2 2 8 2 10 2" xfId="20092" xr:uid="{65A4362D-0852-4578-B5E2-C59DB0DE1260}"/>
    <cellStyle name="Normal 2 2 8 2 11" xfId="22651" xr:uid="{EE2F466C-BF6B-4568-ACBB-F9CA7F522928}"/>
    <cellStyle name="Normal 2 2 8 2 12" xfId="12566" xr:uid="{32E0DBA3-74D1-4471-9210-559060BCEC89}"/>
    <cellStyle name="Normal 2 2 8 2 2" xfId="776" xr:uid="{00000000-0005-0000-0000-0000B4040000}"/>
    <cellStyle name="Normal 2 2 8 2 2 2" xfId="3204" xr:uid="{00000000-0005-0000-0000-00004B040000}"/>
    <cellStyle name="Normal 2 2 8 2 2 2 2" xfId="6262" xr:uid="{AD7F9C5A-5E3B-40DC-9854-FDA24E5AF8DB}"/>
    <cellStyle name="Normal 2 2 8 2 2 2 2 2" xfId="25878" xr:uid="{E730DD8D-3F10-49FC-A895-5577D56DF90B}"/>
    <cellStyle name="Normal 2 2 8 2 2 2 2 3" xfId="27616" xr:uid="{939AE3EF-EE41-49B2-BBEB-DDE8EBBE629B}"/>
    <cellStyle name="Normal 2 2 8 2 2 2 2 4" xfId="15831" xr:uid="{466C9F48-8078-4AB5-B0A3-09B931C02DB0}"/>
    <cellStyle name="Normal 2 2 8 2 2 2 3" xfId="8284" xr:uid="{01B25D7D-B9CB-4313-9A55-D93C96704B92}"/>
    <cellStyle name="Normal 2 2 8 2 2 2 3 2" xfId="28883" xr:uid="{ADA3744A-7B68-4CE9-B787-2C2419DFDC4A}"/>
    <cellStyle name="Normal 2 2 8 2 2 2 3 3" xfId="18664" xr:uid="{A25F16EE-717B-475B-A5B5-2AA233EEB4AE}"/>
    <cellStyle name="Normal 2 2 8 2 2 2 4" xfId="11117" xr:uid="{E96C8554-8CF2-4170-AA1D-C245115615EC}"/>
    <cellStyle name="Normal 2 2 8 2 2 2 4 2" xfId="21497" xr:uid="{563CFB1D-1936-44BB-BD04-BBB7C4F5B7B6}"/>
    <cellStyle name="Normal 2 2 8 2 2 2 5" xfId="24177" xr:uid="{C0032DE9-A102-4F49-B63C-0CC0E1C338C0}"/>
    <cellStyle name="Normal 2 2 8 2 2 2 6" xfId="13745" xr:uid="{53A835B4-D170-4264-B454-1536B8D45EE1}"/>
    <cellStyle name="Normal 2 2 8 2 2 3" xfId="4303" xr:uid="{1FFE8655-55F3-4269-83C8-334A040FEC77}"/>
    <cellStyle name="Normal 2 2 8 2 2 3 2" xfId="9075" xr:uid="{6AE2C6FE-F53C-447D-AC47-C1657D57F2A1}"/>
    <cellStyle name="Normal 2 2 8 2 2 3 2 2" xfId="29118" xr:uid="{E7C3450E-2F33-4EAF-BE7B-432C4B18638F}"/>
    <cellStyle name="Normal 2 2 8 2 2 3 2 3" xfId="19455" xr:uid="{AFF2C6CB-6ED1-4C43-B328-DCF262F4C661}"/>
    <cellStyle name="Normal 2 2 8 2 2 3 3" xfId="11908" xr:uid="{44D4E787-4053-4D74-9147-70403D1E4BE0}"/>
    <cellStyle name="Normal 2 2 8 2 2 3 3 2" xfId="22288" xr:uid="{71633322-84F1-43F9-A310-AA1C9C15F19D}"/>
    <cellStyle name="Normal 2 2 8 2 2 3 4" xfId="24902" xr:uid="{A33F61B1-B2E4-49D0-A3BA-19C1F03A202B}"/>
    <cellStyle name="Normal 2 2 8 2 2 3 5" xfId="16622" xr:uid="{53B62D12-7ADC-4437-99D4-4D8ADE7D2990}"/>
    <cellStyle name="Normal 2 2 8 2 2 4" xfId="5130" xr:uid="{EF44E616-FCEF-4B61-B126-F41F814B1672}"/>
    <cellStyle name="Normal 2 2 8 2 2 4 2" xfId="26241" xr:uid="{C764AC65-430F-4028-AAB3-796B0F36B950}"/>
    <cellStyle name="Normal 2 2 8 2 2 4 3" xfId="14427" xr:uid="{098E2349-6E86-4C89-BCF2-9C6B794781F3}"/>
    <cellStyle name="Normal 2 2 8 2 2 5" xfId="6880" xr:uid="{09AEA82C-8297-4AE8-829C-747CBFFFB293}"/>
    <cellStyle name="Normal 2 2 8 2 2 5 2" xfId="17260" xr:uid="{637648A9-C576-444E-B4B3-A55EBC3FB424}"/>
    <cellStyle name="Normal 2 2 8 2 2 6" xfId="9713" xr:uid="{D6A3D852-B06A-4D55-AEF5-09C7BBE20F04}"/>
    <cellStyle name="Normal 2 2 8 2 2 6 2" xfId="20093" xr:uid="{126B0F5F-33D7-4CFA-B3CB-3F540B22047E}"/>
    <cellStyle name="Normal 2 2 8 2 2 7" xfId="23535" xr:uid="{AC6CAC62-C341-4C3D-A142-6E1FA8DC2778}"/>
    <cellStyle name="Normal 2 2 8 2 2 8" xfId="13174" xr:uid="{89A8D227-72D1-4F88-9AB5-0EBC5A5B2745}"/>
    <cellStyle name="Normal 2 2 8 2 3" xfId="3205" xr:uid="{00000000-0005-0000-0000-00004C040000}"/>
    <cellStyle name="Normal 2 2 8 2 3 2" xfId="4475" xr:uid="{B79F63A2-A715-4B21-A3BE-9628464F7014}"/>
    <cellStyle name="Normal 2 2 8 2 3 2 2" xfId="9247" xr:uid="{6F952480-3FDB-414C-B6CA-44F4ED28A849}"/>
    <cellStyle name="Normal 2 2 8 2 3 2 2 2" xfId="29236" xr:uid="{B837C5AA-2511-403E-BF9C-3C00737E91DD}"/>
    <cellStyle name="Normal 2 2 8 2 3 2 2 3" xfId="19627" xr:uid="{4B56D94F-7580-45FB-AC07-B28A6D1E6754}"/>
    <cellStyle name="Normal 2 2 8 2 3 2 3" xfId="12080" xr:uid="{7EBB8DCB-5068-4C64-936B-792200931A9C}"/>
    <cellStyle name="Normal 2 2 8 2 3 2 3 2" xfId="22460" xr:uid="{3D3BD81C-C557-4D5D-A9A7-90DEC679FD60}"/>
    <cellStyle name="Normal 2 2 8 2 3 2 4" xfId="23837" xr:uid="{C1692201-4612-4F99-B5D7-7B62E1BBF460}"/>
    <cellStyle name="Normal 2 2 8 2 3 2 5" xfId="16794" xr:uid="{9E6B0EF0-1544-4F38-8798-56F7FADF95B7}"/>
    <cellStyle name="Normal 2 2 8 2 3 3" xfId="6263" xr:uid="{F103B7AA-0002-4F7D-B285-E2D5C6FB343A}"/>
    <cellStyle name="Normal 2 2 8 2 3 3 2" xfId="25939" xr:uid="{F2D9A890-7170-4A20-B246-CAF9D59A5391}"/>
    <cellStyle name="Normal 2 2 8 2 3 3 3" xfId="15832" xr:uid="{BF862549-28D1-4806-8608-B1D17D8BDCC7}"/>
    <cellStyle name="Normal 2 2 8 2 3 4" xfId="8285" xr:uid="{E5ACE763-E8C4-4486-B72A-9E4EA89C7A8D}"/>
    <cellStyle name="Normal 2 2 8 2 3 4 2" xfId="18665" xr:uid="{F07F7485-9F1A-47BA-B018-765D152C6523}"/>
    <cellStyle name="Normal 2 2 8 2 3 5" xfId="11118" xr:uid="{E8D85AC4-EA72-4E3C-BA1A-C7ADC1E0DD3C}"/>
    <cellStyle name="Normal 2 2 8 2 3 5 2" xfId="21498" xr:uid="{09C0A0EA-6124-4D58-945C-EBB99BB5FAC7}"/>
    <cellStyle name="Normal 2 2 8 2 3 6" xfId="24808" xr:uid="{C89F7E85-6CAF-4A73-B1CB-D0E28020C5ED}"/>
    <cellStyle name="Normal 2 2 8 2 3 7" xfId="13746" xr:uid="{E2CABDA1-9B3F-41E5-BED0-604309B159DF}"/>
    <cellStyle name="Normal 2 2 8 2 4" xfId="3203" xr:uid="{00000000-0005-0000-0000-00004D040000}"/>
    <cellStyle name="Normal 2 2 8 2 4 2" xfId="6261" xr:uid="{00BDF592-F8ED-4918-8803-E44F81D1262F}"/>
    <cellStyle name="Normal 2 2 8 2 4 2 2" xfId="25845" xr:uid="{DAE43E84-2D15-410B-AAC9-BEFD8622CCD5}"/>
    <cellStyle name="Normal 2 2 8 2 4 2 3" xfId="15830" xr:uid="{A867CFCC-A18F-4100-8B17-18C1AF35D78F}"/>
    <cellStyle name="Normal 2 2 8 2 4 3" xfId="8283" xr:uid="{B9C08851-865A-4B86-A777-1121A9A65835}"/>
    <cellStyle name="Normal 2 2 8 2 4 3 2" xfId="18663" xr:uid="{96E36747-C293-4AED-A379-63C7E2ED0EB0}"/>
    <cellStyle name="Normal 2 2 8 2 4 4" xfId="11116" xr:uid="{C12C189B-1E98-4A23-B57A-DBAEE45CEB38}"/>
    <cellStyle name="Normal 2 2 8 2 4 4 2" xfId="21496" xr:uid="{D35EE70B-DE62-448F-BC2A-483C0629E5A9}"/>
    <cellStyle name="Normal 2 2 8 2 4 5" xfId="23812" xr:uid="{BC432C4B-B5D4-45F1-A098-40E096DB7C08}"/>
    <cellStyle name="Normal 2 2 8 2 4 6" xfId="13744" xr:uid="{DCA3EA7E-3623-4E6F-9B7D-414E8CFE2DEB}"/>
    <cellStyle name="Normal 2 2 8 2 5" xfId="2608" xr:uid="{00000000-0005-0000-0000-00004E040000}"/>
    <cellStyle name="Normal 2 2 8 2 5 2" xfId="5872" xr:uid="{2158CB03-382E-4154-84CF-297635431937}"/>
    <cellStyle name="Normal 2 2 8 2 5 2 2" xfId="26864" xr:uid="{8D95AE1F-7280-46BC-910E-DCA5B1645248}"/>
    <cellStyle name="Normal 2 2 8 2 5 2 3" xfId="15280" xr:uid="{3939FE5E-D725-4F1D-9D71-725A3C5C4C3B}"/>
    <cellStyle name="Normal 2 2 8 2 5 3" xfId="7733" xr:uid="{F4FC430F-0F3A-4A14-9461-867A83D045E9}"/>
    <cellStyle name="Normal 2 2 8 2 5 3 2" xfId="18113" xr:uid="{94929340-B51F-48CD-AD23-3E649F9F02D2}"/>
    <cellStyle name="Normal 2 2 8 2 5 4" xfId="10566" xr:uid="{2D5F3208-AE2B-49D3-BBF3-28D50CE40CF4}"/>
    <cellStyle name="Normal 2 2 8 2 5 4 2" xfId="20946" xr:uid="{8E647BA0-58F9-44E3-8560-D7245A82E6F3}"/>
    <cellStyle name="Normal 2 2 8 2 5 5" xfId="22797" xr:uid="{AC31583B-A675-4131-AD03-A29CA722448A}"/>
    <cellStyle name="Normal 2 2 8 2 5 6" xfId="12996" xr:uid="{4C44059D-138B-42F6-A4E1-87AAD4C2938A}"/>
    <cellStyle name="Normal 2 2 8 2 6" xfId="2332" xr:uid="{00000000-0005-0000-0000-000049040000}"/>
    <cellStyle name="Normal 2 2 8 2 6 2" xfId="7459" xr:uid="{3AA901C1-0822-4B28-A516-503B037C2030}"/>
    <cellStyle name="Normal 2 2 8 2 6 2 2" xfId="17839" xr:uid="{F2220739-898B-4866-A055-C32C8E328486}"/>
    <cellStyle name="Normal 2 2 8 2 6 3" xfId="10292" xr:uid="{9D4856D8-5F64-40B9-A821-52A1A4F7F348}"/>
    <cellStyle name="Normal 2 2 8 2 6 3 2" xfId="20672" xr:uid="{3CD42492-4DA1-4141-8AC7-40E799C5F97D}"/>
    <cellStyle name="Normal 2 2 8 2 6 4" xfId="24021" xr:uid="{088F61CA-E37A-4075-BA0A-E940FF2C1253}"/>
    <cellStyle name="Normal 2 2 8 2 6 5" xfId="15006" xr:uid="{3F02CA74-B058-44D3-9E13-ECAE3FFA3E36}"/>
    <cellStyle name="Normal 2 2 8 2 7" xfId="3847" xr:uid="{6A49327A-3862-4542-9177-0AF47BCAA334}"/>
    <cellStyle name="Normal 2 2 8 2 7 2" xfId="8680" xr:uid="{BB11D339-3294-4E5E-93BC-363044C6AD61}"/>
    <cellStyle name="Normal 2 2 8 2 7 2 2" xfId="19060" xr:uid="{672ACB02-E131-4912-A65A-C985E34D56FB}"/>
    <cellStyle name="Normal 2 2 8 2 7 3" xfId="11513" xr:uid="{3433FEE8-69AE-4718-B7A5-DE65C3900C01}"/>
    <cellStyle name="Normal 2 2 8 2 7 3 2" xfId="21893" xr:uid="{688BBCCB-3380-47C5-B0BC-470EC18C4240}"/>
    <cellStyle name="Normal 2 2 8 2 7 4" xfId="16227" xr:uid="{AB074805-6BDA-41A1-B685-E4E896C027AC}"/>
    <cellStyle name="Normal 2 2 8 2 8" xfId="5129" xr:uid="{2EF62492-BFF2-4C41-ADBB-8135D3993D9D}"/>
    <cellStyle name="Normal 2 2 8 2 8 2" xfId="14426" xr:uid="{3544151C-8FE4-4BC6-A82E-019C0F7B9799}"/>
    <cellStyle name="Normal 2 2 8 2 9" xfId="6879" xr:uid="{5748C84E-41B0-4273-98C8-35E79BD84EF0}"/>
    <cellStyle name="Normal 2 2 8 2 9 2" xfId="17259" xr:uid="{14684CC9-A457-441B-B6A9-3F9C63964AC6}"/>
    <cellStyle name="Normal 2 2 8 3" xfId="777" xr:uid="{00000000-0005-0000-0000-0000B5040000}"/>
    <cellStyle name="Normal 2 2 8 3 2" xfId="3206" xr:uid="{00000000-0005-0000-0000-000050040000}"/>
    <cellStyle name="Normal 2 2 8 3 2 2" xfId="6264" xr:uid="{484994DE-EA3F-48CE-8C82-D9A34BD5D050}"/>
    <cellStyle name="Normal 2 2 8 3 2 2 2" xfId="25498" xr:uid="{9976E747-9C6D-4AA6-B81C-9C316A07E5F6}"/>
    <cellStyle name="Normal 2 2 8 3 2 2 3" xfId="26970" xr:uid="{F603F650-3DB7-4DA7-93A3-8D9FE2123AFF}"/>
    <cellStyle name="Normal 2 2 8 3 2 2 4" xfId="15833" xr:uid="{BFE0CFD8-BEAB-47DA-9195-84B09ED06AAE}"/>
    <cellStyle name="Normal 2 2 8 3 2 3" xfId="8286" xr:uid="{51A4D7D6-C0D2-43D5-85D4-EA446260D201}"/>
    <cellStyle name="Normal 2 2 8 3 2 3 2" xfId="28884" xr:uid="{4215C2A4-6596-45F2-BD61-68A9C65B0F2D}"/>
    <cellStyle name="Normal 2 2 8 3 2 3 3" xfId="18666" xr:uid="{A3A2E13C-311D-4FE2-A204-3EAFFDBE5612}"/>
    <cellStyle name="Normal 2 2 8 3 2 4" xfId="11119" xr:uid="{FFA795C0-AD39-4FE5-B0D8-5A19308E89B3}"/>
    <cellStyle name="Normal 2 2 8 3 2 4 2" xfId="21499" xr:uid="{F4A5942B-C24E-41C1-90FC-536AA55614DF}"/>
    <cellStyle name="Normal 2 2 8 3 2 5" xfId="24117" xr:uid="{E0E67E6E-E546-40B5-96DB-A817EB89A89D}"/>
    <cellStyle name="Normal 2 2 8 3 2 6" xfId="13747" xr:uid="{9D2CA8CC-2B5E-413C-ACCD-4099D1B875B7}"/>
    <cellStyle name="Normal 2 2 8 3 3" xfId="2737" xr:uid="{00000000-0005-0000-0000-000051040000}"/>
    <cellStyle name="Normal 2 2 8 3 3 2" xfId="5955" xr:uid="{630E4BC0-EF5B-4545-9D87-3B4644C75384}"/>
    <cellStyle name="Normal 2 2 8 3 3 2 2" xfId="28087" xr:uid="{3ED1D39F-0F11-4148-A98E-A4210E6D00B2}"/>
    <cellStyle name="Normal 2 2 8 3 3 2 3" xfId="15408" xr:uid="{3119C0F1-0AA0-4FE4-9F46-261DFD366530}"/>
    <cellStyle name="Normal 2 2 8 3 3 3" xfId="7861" xr:uid="{A467FD2F-47A1-4B7C-8683-284542929F18}"/>
    <cellStyle name="Normal 2 2 8 3 3 3 2" xfId="18241" xr:uid="{E44A229C-2533-411A-B532-D794FAC320EF}"/>
    <cellStyle name="Normal 2 2 8 3 3 4" xfId="10694" xr:uid="{63E92958-F63F-4843-AEE9-D7553DC9EA1E}"/>
    <cellStyle name="Normal 2 2 8 3 3 4 2" xfId="21074" xr:uid="{7F2A1A78-DFE7-441B-BBCE-B8B4C2514206}"/>
    <cellStyle name="Normal 2 2 8 3 3 5" xfId="22902" xr:uid="{2BEF5312-252E-4369-A6B3-169E222B0AFC}"/>
    <cellStyle name="Normal 2 2 8 3 3 6" xfId="13173" xr:uid="{2B192A59-C2D0-420D-A594-224E758F4C75}"/>
    <cellStyle name="Normal 2 2 8 3 4" xfId="4166" xr:uid="{5BEFE4C8-65F9-485E-B282-F87ACA3FCC55}"/>
    <cellStyle name="Normal 2 2 8 3 4 2" xfId="8938" xr:uid="{88DADD39-5568-426E-8F44-EA1914AAAE4C}"/>
    <cellStyle name="Normal 2 2 8 3 4 2 2" xfId="29033" xr:uid="{931954E9-0975-4F47-819C-F66340C1D0B8}"/>
    <cellStyle name="Normal 2 2 8 3 4 2 3" xfId="19318" xr:uid="{450B9D57-B6DD-4AE9-9E87-F372C2B4131E}"/>
    <cellStyle name="Normal 2 2 8 3 4 3" xfId="11771" xr:uid="{ACA7C7BB-0011-479E-9B26-D5F22ED0AB35}"/>
    <cellStyle name="Normal 2 2 8 3 4 3 2" xfId="22151" xr:uid="{E6618A83-CE86-4EB8-8D89-E3E1E39BD214}"/>
    <cellStyle name="Normal 2 2 8 3 4 4" xfId="25101" xr:uid="{97A2201C-2CB2-44A7-8D68-B368E0DE0280}"/>
    <cellStyle name="Normal 2 2 8 3 4 5" xfId="16485" xr:uid="{7A385FD1-0DF7-400E-B11A-8C7175A257A8}"/>
    <cellStyle name="Normal 2 2 8 3 5" xfId="5131" xr:uid="{DF114792-7895-4047-A09B-5C89DDFA98E8}"/>
    <cellStyle name="Normal 2 2 8 3 5 2" xfId="27900" xr:uid="{B9481CD4-049F-44F9-8FAD-4606DF390BA1}"/>
    <cellStyle name="Normal 2 2 8 3 5 3" xfId="14428" xr:uid="{4A0890B8-7A3F-4CBD-9460-A2FA5E09DC94}"/>
    <cellStyle name="Normal 2 2 8 3 6" xfId="6881" xr:uid="{006F0DA1-1F6A-4EB7-976E-B973796EA551}"/>
    <cellStyle name="Normal 2 2 8 3 6 2" xfId="17261" xr:uid="{B29809A2-92CE-42F6-AFC4-1DAEDBBB71C8}"/>
    <cellStyle name="Normal 2 2 8 3 7" xfId="9714" xr:uid="{523ADCC1-833D-4334-B19D-A371030594A8}"/>
    <cellStyle name="Normal 2 2 8 3 7 2" xfId="20094" xr:uid="{739A1ED2-858E-4703-9DBA-85B29C923FE6}"/>
    <cellStyle name="Normal 2 2 8 3 8" xfId="25341" xr:uid="{6817A934-B529-48A1-90A1-7FD175FC2BE1}"/>
    <cellStyle name="Normal 2 2 8 3 9" xfId="12724" xr:uid="{8FEAC656-B6C6-4CE5-9B2C-A216EF72EB2B}"/>
    <cellStyle name="Normal 2 2 8 4" xfId="778" xr:uid="{00000000-0005-0000-0000-0000B6040000}"/>
    <cellStyle name="Normal 2 2 8 4 2" xfId="4476" xr:uid="{23BDA9D2-ED53-4349-B69E-777DC5DF5162}"/>
    <cellStyle name="Normal 2 2 8 4 2 2" xfId="9248" xr:uid="{A430A709-9030-4D73-931E-6F1256FBFA5F}"/>
    <cellStyle name="Normal 2 2 8 4 2 2 2" xfId="29237" xr:uid="{FE0170C3-C567-4A19-90EC-BC3BF21B4053}"/>
    <cellStyle name="Normal 2 2 8 4 2 2 3" xfId="19628" xr:uid="{8A65A7C9-A81D-4D59-8579-1E0BE15BDC7F}"/>
    <cellStyle name="Normal 2 2 8 4 2 3" xfId="12081" xr:uid="{2C09DC46-EBCE-4EAD-9D05-A84B236A22BC}"/>
    <cellStyle name="Normal 2 2 8 4 2 3 2" xfId="22461" xr:uid="{BC6D3A13-4A3C-4C92-AD0E-D9041AFABFFD}"/>
    <cellStyle name="Normal 2 2 8 4 2 4" xfId="24009" xr:uid="{5BDC0F6B-7EC9-4C60-8E23-4C4B54326329}"/>
    <cellStyle name="Normal 2 2 8 4 2 5" xfId="16795" xr:uid="{DFCF66E1-A4F1-4112-81A5-CDB9EDB5CF76}"/>
    <cellStyle name="Normal 2 2 8 4 3" xfId="5132" xr:uid="{F3526898-48F3-4DF9-8404-73791E45C928}"/>
    <cellStyle name="Normal 2 2 8 4 3 2" xfId="27671" xr:uid="{EF851C49-3683-4A11-B429-91D97E1FFACD}"/>
    <cellStyle name="Normal 2 2 8 4 3 3" xfId="14429" xr:uid="{E4474A2B-0F25-46BF-A33D-99CF2CD4B427}"/>
    <cellStyle name="Normal 2 2 8 4 4" xfId="6882" xr:uid="{75BE2C8F-B81B-47B1-BDB3-D934D63BF284}"/>
    <cellStyle name="Normal 2 2 8 4 4 2" xfId="17262" xr:uid="{3FBF1AF6-C024-4907-9467-995093BCB152}"/>
    <cellStyle name="Normal 2 2 8 4 5" xfId="9715" xr:uid="{9CA60E50-95F0-457D-B2B2-90F19A50F42C}"/>
    <cellStyle name="Normal 2 2 8 4 5 2" xfId="20095" xr:uid="{B48ECCE5-EABA-47C4-9D81-1577B95F8B10}"/>
    <cellStyle name="Normal 2 2 8 4 6" xfId="25572" xr:uid="{C3C4FC47-04A1-486C-A819-560E0366EFFB}"/>
    <cellStyle name="Normal 2 2 8 4 7" xfId="13748" xr:uid="{214523F0-F79D-4E0E-AB98-B5BD239E6C92}"/>
    <cellStyle name="Normal 2 2 8 5" xfId="2907" xr:uid="{00000000-0005-0000-0000-000053040000}"/>
    <cellStyle name="Normal 2 2 8 5 2" xfId="6093" xr:uid="{952333CD-1997-451D-B5B4-0329D188E463}"/>
    <cellStyle name="Normal 2 2 8 5 2 2" xfId="25578" xr:uid="{9BCEEE65-749B-4CC7-B67C-E8F68C6566ED}"/>
    <cellStyle name="Normal 2 2 8 5 2 3" xfId="26449" xr:uid="{0798626E-CF20-4BC8-9D44-05437B812187}"/>
    <cellStyle name="Normal 2 2 8 5 2 4" xfId="15571" xr:uid="{18D8CE0C-EE8E-4AB8-9BCA-D61138A49C27}"/>
    <cellStyle name="Normal 2 2 8 5 3" xfId="8024" xr:uid="{4203C75B-DE85-46BC-86BC-235759C26623}"/>
    <cellStyle name="Normal 2 2 8 5 3 2" xfId="28286" xr:uid="{E662AAA6-F64B-4AC7-ABDC-FD3D8E15A290}"/>
    <cellStyle name="Normal 2 2 8 5 3 3" xfId="18404" xr:uid="{2FB01AE0-AB01-4030-A7AE-3E2E87BE285A}"/>
    <cellStyle name="Normal 2 2 8 5 4" xfId="10857" xr:uid="{5BB1F46D-F728-4577-802D-CD54DA757535}"/>
    <cellStyle name="Normal 2 2 8 5 4 2" xfId="21237" xr:uid="{384F825B-9BAD-4D46-95F0-B1EF9954096F}"/>
    <cellStyle name="Normal 2 2 8 5 5" xfId="24803" xr:uid="{F3F1FDEC-803E-48B4-B1BA-8CEF00F46516}"/>
    <cellStyle name="Normal 2 2 8 5 6" xfId="13422" xr:uid="{3BA5AAFB-C29D-4A8D-A6E7-757B717E2996}"/>
    <cellStyle name="Normal 2 2 8 6" xfId="2445" xr:uid="{00000000-0005-0000-0000-000054040000}"/>
    <cellStyle name="Normal 2 2 8 6 2" xfId="5739" xr:uid="{E9BCFC5C-B62C-4AF1-BF11-ABED759D9FD3}"/>
    <cellStyle name="Normal 2 2 8 6 2 2" xfId="27913" xr:uid="{0F7401AA-714A-4AD5-8BCE-9097A8986672}"/>
    <cellStyle name="Normal 2 2 8 6 2 3" xfId="15117" xr:uid="{F3005ED3-45F8-42C1-BA77-602BD6E137DB}"/>
    <cellStyle name="Normal 2 2 8 6 3" xfId="7570" xr:uid="{D5C48443-90AD-454C-B59E-E5B65C07939A}"/>
    <cellStyle name="Normal 2 2 8 6 3 2" xfId="17950" xr:uid="{BD90E231-7C68-4E37-843E-66F5CAB6AE18}"/>
    <cellStyle name="Normal 2 2 8 6 4" xfId="10403" xr:uid="{6EA69504-F204-479D-A39A-E6F34DF9241D}"/>
    <cellStyle name="Normal 2 2 8 6 4 2" xfId="20783" xr:uid="{A7F8F2AA-D002-4607-95BA-5E8299AA55D2}"/>
    <cellStyle name="Normal 2 2 8 6 5" xfId="25203" xr:uid="{D9E389A6-396A-4E3F-9DEA-7897E5272595}"/>
    <cellStyle name="Normal 2 2 8 6 6" xfId="12833" xr:uid="{FF9A46F1-35C8-42ED-A497-DE2EF276B3E4}"/>
    <cellStyle name="Normal 2 2 8 7" xfId="2199" xr:uid="{00000000-0005-0000-0000-000048040000}"/>
    <cellStyle name="Normal 2 2 8 7 2" xfId="7326" xr:uid="{D85EF949-3C70-47EF-B65A-4C5DBC4DD7B5}"/>
    <cellStyle name="Normal 2 2 8 7 2 2" xfId="17706" xr:uid="{75D37252-83E1-4A0D-A79C-E95D2B69B793}"/>
    <cellStyle name="Normal 2 2 8 7 3" xfId="10159" xr:uid="{F1735CAE-42FF-41C1-B3C3-126962AC2A07}"/>
    <cellStyle name="Normal 2 2 8 7 3 2" xfId="20539" xr:uid="{22960B3F-28FD-4363-971A-875522B02B42}"/>
    <cellStyle name="Normal 2 2 8 7 4" xfId="24599" xr:uid="{7B1E0F3F-CD25-4957-9A3B-FDE8916C9ABD}"/>
    <cellStyle name="Normal 2 2 8 7 5" xfId="14873" xr:uid="{A4A7B8B0-6650-46BF-B2CD-174DE0FD4DF1}"/>
    <cellStyle name="Normal 2 2 8 8" xfId="3939" xr:uid="{F0D2F1BA-6686-4BD2-8B00-9C5B4152FFF3}"/>
    <cellStyle name="Normal 2 2 8 8 2" xfId="8771" xr:uid="{E86560AA-205E-4CB0-83FA-BC5AE68807E1}"/>
    <cellStyle name="Normal 2 2 8 8 2 2" xfId="19151" xr:uid="{1BE94ADB-47AE-488A-963C-DC2CFC9A2D22}"/>
    <cellStyle name="Normal 2 2 8 8 3" xfId="11604" xr:uid="{0EE6E029-C429-4F97-9A60-6EA0B1E233F9}"/>
    <cellStyle name="Normal 2 2 8 8 3 2" xfId="21984" xr:uid="{3A61CA5C-FBEA-4117-8B05-A2BCEA84654F}"/>
    <cellStyle name="Normal 2 2 8 8 4" xfId="16318" xr:uid="{9B61399F-58E1-476A-8D09-F6DF2C240B97}"/>
    <cellStyle name="Normal 2 2 8 9" xfId="5128" xr:uid="{AFB99C95-C598-4EA2-9FB4-024508388830}"/>
    <cellStyle name="Normal 2 2 8 9 2" xfId="14425" xr:uid="{49926844-9CD6-4BD1-B4F1-0E389511F9FA}"/>
    <cellStyle name="Normal 2 2 9" xfId="779" xr:uid="{00000000-0005-0000-0000-0000B7040000}"/>
    <cellStyle name="Normal 2 2 9 10" xfId="6883" xr:uid="{9470EB72-2386-4B86-91E6-E05808CABDF5}"/>
    <cellStyle name="Normal 2 2 9 10 2" xfId="17263" xr:uid="{0406A4A9-3F21-4A6D-B4C2-EACED8BB6547}"/>
    <cellStyle name="Normal 2 2 9 11" xfId="9716" xr:uid="{061A5E10-5555-4F28-9AC9-94E834304F13}"/>
    <cellStyle name="Normal 2 2 9 11 2" xfId="20096" xr:uid="{A73D8FA9-A391-4E0A-9219-4562B915C3A6}"/>
    <cellStyle name="Normal 2 2 9 12" xfId="24269" xr:uid="{576E34F2-41CA-4EC4-9637-C7972AE06340}"/>
    <cellStyle name="Normal 2 2 9 13" xfId="12493" xr:uid="{BE251780-240B-47C4-856F-C93BB4A507BB}"/>
    <cellStyle name="Normal 2 2 9 2" xfId="780" xr:uid="{00000000-0005-0000-0000-0000B8040000}"/>
    <cellStyle name="Normal 2 2 9 2 10" xfId="9717" xr:uid="{9E681807-C68B-4FBE-99F0-064EE2656431}"/>
    <cellStyle name="Normal 2 2 9 2 10 2" xfId="20097" xr:uid="{95F5432A-DAC5-4D6B-8FC3-4F0600FFE167}"/>
    <cellStyle name="Normal 2 2 9 2 11" xfId="23806" xr:uid="{1D4A964E-C193-439C-B645-B41327DCAC5C}"/>
    <cellStyle name="Normal 2 2 9 2 12" xfId="12567" xr:uid="{5103DF43-BA24-449F-821F-DEA8A2E961E7}"/>
    <cellStyle name="Normal 2 2 9 2 2" xfId="781" xr:uid="{00000000-0005-0000-0000-0000B9040000}"/>
    <cellStyle name="Normal 2 2 9 2 2 2" xfId="3208" xr:uid="{00000000-0005-0000-0000-000058040000}"/>
    <cellStyle name="Normal 2 2 9 2 2 2 2" xfId="6266" xr:uid="{CF3152DB-770F-43EC-913C-9EB2F0E41063}"/>
    <cellStyle name="Normal 2 2 9 2 2 2 2 2" xfId="26404" xr:uid="{DF5D3DBE-5DE8-4296-A978-1DD56F3E6130}"/>
    <cellStyle name="Normal 2 2 9 2 2 2 2 3" xfId="27983" xr:uid="{82082B94-4B03-46CB-8C29-9DF3679ECD89}"/>
    <cellStyle name="Normal 2 2 9 2 2 2 2 4" xfId="15835" xr:uid="{C84AE5A3-2FF2-45BD-8FA8-B81035ADD3C3}"/>
    <cellStyle name="Normal 2 2 9 2 2 2 3" xfId="8288" xr:uid="{4E1BFC36-4777-4CFA-9000-5F493A9B9C32}"/>
    <cellStyle name="Normal 2 2 9 2 2 2 3 2" xfId="28885" xr:uid="{78D73DCD-3430-4D21-9750-4D4249182F9C}"/>
    <cellStyle name="Normal 2 2 9 2 2 2 3 3" xfId="18668" xr:uid="{AA1AC361-BE25-4307-81F7-8CFE1A04DE6D}"/>
    <cellStyle name="Normal 2 2 9 2 2 2 4" xfId="11121" xr:uid="{AEF4FE3B-C95F-42B9-8AD5-B6CBA088BC6C}"/>
    <cellStyle name="Normal 2 2 9 2 2 2 4 2" xfId="21501" xr:uid="{CDB27520-57CF-49F2-B491-C3AE991B0A83}"/>
    <cellStyle name="Normal 2 2 9 2 2 2 5" xfId="23839" xr:uid="{492BC03A-330C-4840-9954-8DC957DA99DF}"/>
    <cellStyle name="Normal 2 2 9 2 2 2 6" xfId="13750" xr:uid="{F8472CF7-1736-4327-BE85-EA0E191F5730}"/>
    <cellStyle name="Normal 2 2 9 2 2 3" xfId="4304" xr:uid="{9401B11B-BB1E-4CF5-AE56-1E44FA58A16C}"/>
    <cellStyle name="Normal 2 2 9 2 2 3 2" xfId="9076" xr:uid="{5C8F50C3-A43D-4C93-B8AF-61CEBCF4DB99}"/>
    <cellStyle name="Normal 2 2 9 2 2 3 2 2" xfId="29119" xr:uid="{C2DD29F2-66A8-4EC5-AB8A-16B99FA9B9ED}"/>
    <cellStyle name="Normal 2 2 9 2 2 3 2 3" xfId="19456" xr:uid="{79B7CCD1-7278-4A7A-8179-A8A045ADCAAB}"/>
    <cellStyle name="Normal 2 2 9 2 2 3 3" xfId="11909" xr:uid="{D0DF9D12-E17B-4F5A-BF29-D40A46057F9C}"/>
    <cellStyle name="Normal 2 2 9 2 2 3 3 2" xfId="22289" xr:uid="{CAA96B49-6C44-4F06-A5FE-8A23ADE9C980}"/>
    <cellStyle name="Normal 2 2 9 2 2 3 4" xfId="23634" xr:uid="{F3ABB695-C29C-4D78-A2D6-2DB57854EF8E}"/>
    <cellStyle name="Normal 2 2 9 2 2 3 5" xfId="16623" xr:uid="{E8E63A6F-3BAC-4660-B702-4D531F68A43E}"/>
    <cellStyle name="Normal 2 2 9 2 2 4" xfId="5135" xr:uid="{245F6AA6-DEC7-4A7D-84D7-8ABF8C2349C1}"/>
    <cellStyle name="Normal 2 2 9 2 2 4 2" xfId="27626" xr:uid="{FA3F526F-2E22-4801-B38D-2ED231AE2E20}"/>
    <cellStyle name="Normal 2 2 9 2 2 4 3" xfId="14432" xr:uid="{2F23C46D-A3CA-4D0F-800A-1226486D3253}"/>
    <cellStyle name="Normal 2 2 9 2 2 5" xfId="6885" xr:uid="{FD726A48-6A26-4D62-9404-44B64235AA13}"/>
    <cellStyle name="Normal 2 2 9 2 2 5 2" xfId="17265" xr:uid="{5368F018-9882-4B32-AE60-CE0BBB909D46}"/>
    <cellStyle name="Normal 2 2 9 2 2 6" xfId="9718" xr:uid="{076D8BDE-5640-4795-B9E1-DFFA6C399710}"/>
    <cellStyle name="Normal 2 2 9 2 2 6 2" xfId="20098" xr:uid="{1898430F-ED98-427B-A436-7A1B3FE55DCB}"/>
    <cellStyle name="Normal 2 2 9 2 2 7" xfId="24877" xr:uid="{ABAD304C-203D-480C-930A-2F320F0AE843}"/>
    <cellStyle name="Normal 2 2 9 2 2 8" xfId="13176" xr:uid="{47594634-4882-45D2-9BD7-3099E5F1DBEF}"/>
    <cellStyle name="Normal 2 2 9 2 3" xfId="3209" xr:uid="{00000000-0005-0000-0000-000059040000}"/>
    <cellStyle name="Normal 2 2 9 2 3 2" xfId="4477" xr:uid="{8313F3DA-C79F-47A8-BB2A-50CF42D7C8C4}"/>
    <cellStyle name="Normal 2 2 9 2 3 2 2" xfId="9249" xr:uid="{E80E53B4-F3BC-4E22-8BFF-E897CF71AE85}"/>
    <cellStyle name="Normal 2 2 9 2 3 2 2 2" xfId="29238" xr:uid="{A2775098-798B-4AF1-A49C-4B092072D779}"/>
    <cellStyle name="Normal 2 2 9 2 3 2 2 3" xfId="19629" xr:uid="{6284DB13-70E0-403F-91AB-03B380222EBE}"/>
    <cellStyle name="Normal 2 2 9 2 3 2 3" xfId="12082" xr:uid="{FBFDF926-98EA-4AB2-A005-7C70A517C4ED}"/>
    <cellStyle name="Normal 2 2 9 2 3 2 3 2" xfId="22462" xr:uid="{AA14FF73-9E8D-4075-8026-A6A75AC2FF57}"/>
    <cellStyle name="Normal 2 2 9 2 3 2 4" xfId="25608" xr:uid="{93448F87-B803-4E54-A303-8B16EC582DD4}"/>
    <cellStyle name="Normal 2 2 9 2 3 2 5" xfId="16796" xr:uid="{81148CBE-F74A-42AB-A8A2-C2F527673A7B}"/>
    <cellStyle name="Normal 2 2 9 2 3 3" xfId="6267" xr:uid="{CCF43E88-38B9-4FCB-8157-32E2C015215D}"/>
    <cellStyle name="Normal 2 2 9 2 3 3 2" xfId="28287" xr:uid="{AC69E698-AD42-41CF-A493-E1563D085FB5}"/>
    <cellStyle name="Normal 2 2 9 2 3 3 3" xfId="15836" xr:uid="{1E12F699-81BA-43F6-9706-99F09B5E50A5}"/>
    <cellStyle name="Normal 2 2 9 2 3 4" xfId="8289" xr:uid="{3FBBF1CE-6BB3-4F39-AA5A-E5404AB6B76F}"/>
    <cellStyle name="Normal 2 2 9 2 3 4 2" xfId="18669" xr:uid="{EDBE740C-B9E0-4BF7-9035-3A660E1C688E}"/>
    <cellStyle name="Normal 2 2 9 2 3 5" xfId="11122" xr:uid="{D763E040-5FB4-4BA3-B799-6E0881D4CF59}"/>
    <cellStyle name="Normal 2 2 9 2 3 5 2" xfId="21502" xr:uid="{F3FFCCF0-518B-4E63-AB60-2F210EB17F47}"/>
    <cellStyle name="Normal 2 2 9 2 3 6" xfId="25384" xr:uid="{D9145492-127B-4B29-9909-8A59F19CF7CC}"/>
    <cellStyle name="Normal 2 2 9 2 3 7" xfId="13751" xr:uid="{35DC49CF-F7A0-4AD2-8F17-4913E8F088D1}"/>
    <cellStyle name="Normal 2 2 9 2 4" xfId="3207" xr:uid="{00000000-0005-0000-0000-00005A040000}"/>
    <cellStyle name="Normal 2 2 9 2 4 2" xfId="6265" xr:uid="{B7B4F429-72CC-4B01-A5F8-0C529335D655}"/>
    <cellStyle name="Normal 2 2 9 2 4 2 2" xfId="26784" xr:uid="{93E16350-F3BF-4D34-89D7-B9D07719EDD8}"/>
    <cellStyle name="Normal 2 2 9 2 4 2 3" xfId="15834" xr:uid="{D9C9F4E9-2D24-44EB-8BF5-15AD6CFAD07C}"/>
    <cellStyle name="Normal 2 2 9 2 4 3" xfId="8287" xr:uid="{73AFDC4F-E0AB-47D1-B20B-42EEACB2E07F}"/>
    <cellStyle name="Normal 2 2 9 2 4 3 2" xfId="18667" xr:uid="{0C532E37-1A5A-4B9A-B1DB-D07EB8FE32FC}"/>
    <cellStyle name="Normal 2 2 9 2 4 4" xfId="11120" xr:uid="{0875B57E-E03B-40DF-BD59-83999B593E62}"/>
    <cellStyle name="Normal 2 2 9 2 4 4 2" xfId="21500" xr:uid="{D0B66FE5-F5AC-4D88-8ABE-A01FDD7357CE}"/>
    <cellStyle name="Normal 2 2 9 2 4 5" xfId="23670" xr:uid="{52BF81DB-1EBD-4F0A-8845-443421D17A5E}"/>
    <cellStyle name="Normal 2 2 9 2 4 6" xfId="13749" xr:uid="{C218FCF3-95CC-4C06-9930-9B7704114871}"/>
    <cellStyle name="Normal 2 2 9 2 5" xfId="2656" xr:uid="{00000000-0005-0000-0000-00005B040000}"/>
    <cellStyle name="Normal 2 2 9 2 5 2" xfId="5916" xr:uid="{066E98A4-22C7-47F3-8C73-5BDE60E6F5CC}"/>
    <cellStyle name="Normal 2 2 9 2 5 2 2" xfId="28737" xr:uid="{2E3A3116-6CEA-4E37-8B3C-9372A85B73FE}"/>
    <cellStyle name="Normal 2 2 9 2 5 2 3" xfId="15328" xr:uid="{41F1E94F-584B-401E-B971-FE84B3C2D3E5}"/>
    <cellStyle name="Normal 2 2 9 2 5 3" xfId="7781" xr:uid="{931D7A9D-DA69-409F-8D14-CCDF93E8054F}"/>
    <cellStyle name="Normal 2 2 9 2 5 3 2" xfId="18161" xr:uid="{B380321C-8933-4980-9F6A-632936970452}"/>
    <cellStyle name="Normal 2 2 9 2 5 4" xfId="10614" xr:uid="{1B722676-E96F-4773-9FA7-78CE58CC446D}"/>
    <cellStyle name="Normal 2 2 9 2 5 4 2" xfId="20994" xr:uid="{15F1E175-287D-4154-B9DD-670FCF6D7170}"/>
    <cellStyle name="Normal 2 2 9 2 5 5" xfId="25109" xr:uid="{8B2AB8DF-A85E-42E0-8C01-CFAA26ABAD33}"/>
    <cellStyle name="Normal 2 2 9 2 5 6" xfId="13058" xr:uid="{DECB8372-EBEB-47DE-B3E9-29BACCC4346E}"/>
    <cellStyle name="Normal 2 2 9 2 6" xfId="2333" xr:uid="{00000000-0005-0000-0000-000056040000}"/>
    <cellStyle name="Normal 2 2 9 2 6 2" xfId="7460" xr:uid="{095F9ACA-1967-40DC-B76C-2E3068C34CEB}"/>
    <cellStyle name="Normal 2 2 9 2 6 2 2" xfId="17840" xr:uid="{E3132ED5-29A5-48BD-B9B1-3AF52FF49E93}"/>
    <cellStyle name="Normal 2 2 9 2 6 3" xfId="10293" xr:uid="{87F02579-74E7-4385-9A4A-08874974ACC2}"/>
    <cellStyle name="Normal 2 2 9 2 6 3 2" xfId="20673" xr:uid="{CDC89989-730D-42AB-93F0-D15E3FC232FB}"/>
    <cellStyle name="Normal 2 2 9 2 6 4" xfId="25507" xr:uid="{5ACC0668-A923-448C-A5F6-663164FD47CA}"/>
    <cellStyle name="Normal 2 2 9 2 6 5" xfId="15007" xr:uid="{2180B468-4F25-4079-806A-377A4FC24D79}"/>
    <cellStyle name="Normal 2 2 9 2 7" xfId="3848" xr:uid="{0F918769-EAD0-4AAC-89D1-AFD5A0859225}"/>
    <cellStyle name="Normal 2 2 9 2 7 2" xfId="8681" xr:uid="{17702334-6F58-4D1D-8F76-392FB67189FE}"/>
    <cellStyle name="Normal 2 2 9 2 7 2 2" xfId="19061" xr:uid="{E83FBBA5-B865-4F29-AED3-4279815F43B1}"/>
    <cellStyle name="Normal 2 2 9 2 7 3" xfId="11514" xr:uid="{A06F4A4B-CFB1-4587-BC27-6B7C366A5C70}"/>
    <cellStyle name="Normal 2 2 9 2 7 3 2" xfId="21894" xr:uid="{4F8D077A-8920-4403-A492-65E04ABDEB8B}"/>
    <cellStyle name="Normal 2 2 9 2 7 4" xfId="16228" xr:uid="{915258C8-FFAE-4D71-A04E-FA609227AEAA}"/>
    <cellStyle name="Normal 2 2 9 2 8" xfId="5134" xr:uid="{CB51AE57-2149-4880-9609-D38187E012F9}"/>
    <cellStyle name="Normal 2 2 9 2 8 2" xfId="14431" xr:uid="{8A864F12-A3AA-4C15-83D8-8C9A59A52F33}"/>
    <cellStyle name="Normal 2 2 9 2 9" xfId="6884" xr:uid="{C467FDC2-4DB3-4A1D-9E21-AA019FB5FE93}"/>
    <cellStyle name="Normal 2 2 9 2 9 2" xfId="17264" xr:uid="{683B7DA7-1DCE-443A-B5D9-67FAD3561361}"/>
    <cellStyle name="Normal 2 2 9 3" xfId="782" xr:uid="{00000000-0005-0000-0000-0000BA040000}"/>
    <cellStyle name="Normal 2 2 9 3 2" xfId="3210" xr:uid="{00000000-0005-0000-0000-00005D040000}"/>
    <cellStyle name="Normal 2 2 9 3 2 2" xfId="6268" xr:uid="{2D39B0E6-DA01-474A-9F40-B5BCFAC53C15}"/>
    <cellStyle name="Normal 2 2 9 3 2 2 2" xfId="25385" xr:uid="{C4656239-B8BC-443D-853E-F056987458DC}"/>
    <cellStyle name="Normal 2 2 9 3 2 2 3" xfId="25860" xr:uid="{66097556-E49B-4F4C-8635-B96452D3A406}"/>
    <cellStyle name="Normal 2 2 9 3 2 2 4" xfId="15837" xr:uid="{5D12FDC6-4F4B-4742-80B9-35B01350A1F5}"/>
    <cellStyle name="Normal 2 2 9 3 2 3" xfId="8290" xr:uid="{C04C5994-F831-42BD-90BC-7748B06BE714}"/>
    <cellStyle name="Normal 2 2 9 3 2 3 2" xfId="28886" xr:uid="{B9B8D372-0877-44FD-830D-3BF7BDF9DD7F}"/>
    <cellStyle name="Normal 2 2 9 3 2 3 3" xfId="18670" xr:uid="{3DF00537-A76D-447F-855A-ED35DC09FE27}"/>
    <cellStyle name="Normal 2 2 9 3 2 4" xfId="11123" xr:uid="{71FCBC8A-BA68-40C6-AB05-C08B6BB06E3D}"/>
    <cellStyle name="Normal 2 2 9 3 2 4 2" xfId="21503" xr:uid="{07FAC4F6-9AA7-44B9-B5BC-E1D15A92E555}"/>
    <cellStyle name="Normal 2 2 9 3 2 5" xfId="24334" xr:uid="{D30AE943-4C2B-4A0A-B6D6-D40C34E2C1FC}"/>
    <cellStyle name="Normal 2 2 9 3 2 6" xfId="13752" xr:uid="{7F3501BC-CFB5-4D54-8025-838897D480A6}"/>
    <cellStyle name="Normal 2 2 9 3 3" xfId="2738" xr:uid="{00000000-0005-0000-0000-00005E040000}"/>
    <cellStyle name="Normal 2 2 9 3 3 2" xfId="5956" xr:uid="{CA157C0C-9946-47FB-8046-B4118CED5502}"/>
    <cellStyle name="Normal 2 2 9 3 3 2 2" xfId="27632" xr:uid="{0832856C-A4A1-46D5-A04B-C16C014805C7}"/>
    <cellStyle name="Normal 2 2 9 3 3 2 3" xfId="15409" xr:uid="{87F9BCF7-26E8-4CFE-AAE2-2AE359D46526}"/>
    <cellStyle name="Normal 2 2 9 3 3 3" xfId="7862" xr:uid="{6C8BC6E1-66F6-4088-9D06-12D6397B34CE}"/>
    <cellStyle name="Normal 2 2 9 3 3 3 2" xfId="18242" xr:uid="{C1AEDF79-5688-48D9-BB5F-4443F978B2D7}"/>
    <cellStyle name="Normal 2 2 9 3 3 4" xfId="10695" xr:uid="{1E554B85-7C58-4404-B8DA-DDFB13DA88CA}"/>
    <cellStyle name="Normal 2 2 9 3 3 4 2" xfId="21075" xr:uid="{398ED5F8-6BA0-4FA3-B54A-3D345AA9D874}"/>
    <cellStyle name="Normal 2 2 9 3 3 5" xfId="23533" xr:uid="{66FA9E7D-DB2A-42CB-9CC1-8544D5CCF801}"/>
    <cellStyle name="Normal 2 2 9 3 3 6" xfId="13175" xr:uid="{2F8F91B4-B11E-421A-A325-03EAD955C403}"/>
    <cellStyle name="Normal 2 2 9 3 4" xfId="4167" xr:uid="{FEB2FCC6-654F-434C-915F-516E367874F6}"/>
    <cellStyle name="Normal 2 2 9 3 4 2" xfId="8939" xr:uid="{A9821F10-8F72-4E8A-BDA2-3A2376E9360F}"/>
    <cellStyle name="Normal 2 2 9 3 4 2 2" xfId="29034" xr:uid="{1CB40375-5086-42D8-8885-66B42A40EFCF}"/>
    <cellStyle name="Normal 2 2 9 3 4 2 3" xfId="19319" xr:uid="{6D20E4E7-A0F4-465C-A2D5-52BB620504B2}"/>
    <cellStyle name="Normal 2 2 9 3 4 3" xfId="11772" xr:uid="{D87D4F8C-C2DF-4B10-BE47-9078CC604945}"/>
    <cellStyle name="Normal 2 2 9 3 4 3 2" xfId="22152" xr:uid="{11C94CFB-BF39-4075-9EA9-95DC12699D91}"/>
    <cellStyle name="Normal 2 2 9 3 4 4" xfId="24722" xr:uid="{0CAC1D0B-164D-4449-98BB-B0A088896CF1}"/>
    <cellStyle name="Normal 2 2 9 3 4 5" xfId="16486" xr:uid="{5EE6D20E-DD12-42B4-9D95-F43D84C6E645}"/>
    <cellStyle name="Normal 2 2 9 3 5" xfId="5136" xr:uid="{8F6503DE-4DD2-4276-8C13-F64470D91849}"/>
    <cellStyle name="Normal 2 2 9 3 5 2" xfId="27229" xr:uid="{1DB8C7D0-5465-403D-AA5E-C8B10D5727A7}"/>
    <cellStyle name="Normal 2 2 9 3 5 3" xfId="14433" xr:uid="{A5BEBA1A-0BAC-4895-BF49-67CD6C7D4BCE}"/>
    <cellStyle name="Normal 2 2 9 3 6" xfId="6886" xr:uid="{D51A0510-A5CA-4ACB-BD8C-0F4B9BC12523}"/>
    <cellStyle name="Normal 2 2 9 3 6 2" xfId="17266" xr:uid="{479A240C-41B7-436D-949C-CE5F0F19A676}"/>
    <cellStyle name="Normal 2 2 9 3 7" xfId="9719" xr:uid="{89CE7C24-6BF3-4902-ABB6-96B10B2FBB84}"/>
    <cellStyle name="Normal 2 2 9 3 7 2" xfId="20099" xr:uid="{11556F6B-9D61-475C-BEF8-37F48BB4F626}"/>
    <cellStyle name="Normal 2 2 9 3 8" xfId="22787" xr:uid="{9C66E7C5-1CD0-4DCF-A016-59965DFC2551}"/>
    <cellStyle name="Normal 2 2 9 3 9" xfId="12725" xr:uid="{FF18E998-1704-41C2-BBEA-6237A32D147E}"/>
    <cellStyle name="Normal 2 2 9 4" xfId="783" xr:uid="{00000000-0005-0000-0000-0000BB040000}"/>
    <cellStyle name="Normal 2 2 9 4 2" xfId="4478" xr:uid="{2362C482-E221-495B-A354-A7272537504C}"/>
    <cellStyle name="Normal 2 2 9 4 2 2" xfId="9250" xr:uid="{82B3185A-4D0E-48D1-B44F-6BC0DD3BAA10}"/>
    <cellStyle name="Normal 2 2 9 4 2 2 2" xfId="29239" xr:uid="{054C77C3-338F-4438-9C03-0948B3A815A7}"/>
    <cellStyle name="Normal 2 2 9 4 2 2 3" xfId="19630" xr:uid="{D973F2FA-31B8-4A99-9C9E-0B85E23657FB}"/>
    <cellStyle name="Normal 2 2 9 4 2 3" xfId="12083" xr:uid="{88842306-2D0F-47F7-A6B7-38FA18A8BE23}"/>
    <cellStyle name="Normal 2 2 9 4 2 3 2" xfId="22463" xr:uid="{617208F0-696B-428C-8DE5-F78444531BA4}"/>
    <cellStyle name="Normal 2 2 9 4 2 4" xfId="24534" xr:uid="{D0D79DD2-3E3D-4A7F-B862-6DF0B1F4B4DD}"/>
    <cellStyle name="Normal 2 2 9 4 2 5" xfId="16797" xr:uid="{DB8D4652-4D6D-4810-8B3D-5210F22E6A1C}"/>
    <cellStyle name="Normal 2 2 9 4 3" xfId="5137" xr:uid="{E9254D01-BFB0-402E-8D52-577A6300D105}"/>
    <cellStyle name="Normal 2 2 9 4 3 2" xfId="27866" xr:uid="{C90B883F-4BE4-4F2F-BC2A-CE93656741F3}"/>
    <cellStyle name="Normal 2 2 9 4 3 3" xfId="14434" xr:uid="{212F0685-2D21-4A1A-BFF9-C490BE9112DB}"/>
    <cellStyle name="Normal 2 2 9 4 4" xfId="6887" xr:uid="{D2E6984A-27CB-4F5F-926F-84B2AD048FF4}"/>
    <cellStyle name="Normal 2 2 9 4 4 2" xfId="17267" xr:uid="{9162E991-4889-41FF-BA25-F3773EA10E60}"/>
    <cellStyle name="Normal 2 2 9 4 5" xfId="9720" xr:uid="{7ADA9F6F-75BB-4559-B04B-0B2186D06BA4}"/>
    <cellStyle name="Normal 2 2 9 4 5 2" xfId="20100" xr:uid="{C6F61D03-9224-494C-9E9F-EA2D76108A8F}"/>
    <cellStyle name="Normal 2 2 9 4 6" xfId="23898" xr:uid="{6B65C735-A254-4FFA-81E7-3E81A6CB83CF}"/>
    <cellStyle name="Normal 2 2 9 4 7" xfId="13753" xr:uid="{CF41414D-EF66-49D0-89CA-717D1B7EFB5E}"/>
    <cellStyle name="Normal 2 2 9 5" xfId="2908" xr:uid="{00000000-0005-0000-0000-000060040000}"/>
    <cellStyle name="Normal 2 2 9 5 2" xfId="6094" xr:uid="{37308E7F-B354-4837-8AB8-6A00B87C44A8}"/>
    <cellStyle name="Normal 2 2 9 5 2 2" xfId="25632" xr:uid="{274D68A6-4AC9-4AE4-A5B5-F8EF1F0D5761}"/>
    <cellStyle name="Normal 2 2 9 5 2 3" xfId="26810" xr:uid="{0EF4F193-EFA2-4A8C-BE91-8711529663F0}"/>
    <cellStyle name="Normal 2 2 9 5 2 4" xfId="15572" xr:uid="{76171DE7-4B64-4499-B37F-8A00D8588858}"/>
    <cellStyle name="Normal 2 2 9 5 3" xfId="8025" xr:uid="{E5ABCE4A-2750-4DE7-8801-3C1797140E86}"/>
    <cellStyle name="Normal 2 2 9 5 3 2" xfId="26453" xr:uid="{B0CBD696-8FF6-45FA-BBB1-A52347B32FE1}"/>
    <cellStyle name="Normal 2 2 9 5 3 3" xfId="18405" xr:uid="{0B10E619-CD0B-4530-8AF2-0CFEF6F96613}"/>
    <cellStyle name="Normal 2 2 9 5 4" xfId="10858" xr:uid="{C4A97003-54B9-485F-9DC3-3A90E0E98911}"/>
    <cellStyle name="Normal 2 2 9 5 4 2" xfId="21238" xr:uid="{B2BD5171-07AB-4494-95AD-84D624E33E80}"/>
    <cellStyle name="Normal 2 2 9 5 5" xfId="24818" xr:uid="{351993E5-0C93-4305-A53D-BD7DF217C1D9}"/>
    <cellStyle name="Normal 2 2 9 5 6" xfId="13423" xr:uid="{90038945-AB67-4587-BCA3-8445C4049B75}"/>
    <cellStyle name="Normal 2 2 9 6" xfId="2505" xr:uid="{00000000-0005-0000-0000-000061040000}"/>
    <cellStyle name="Normal 2 2 9 6 2" xfId="5785" xr:uid="{99F00FA8-1C72-462C-986D-098929DDBBCD}"/>
    <cellStyle name="Normal 2 2 9 6 2 2" xfId="26276" xr:uid="{754D8D62-5814-4C0C-A531-1E296D13A397}"/>
    <cellStyle name="Normal 2 2 9 6 2 3" xfId="15177" xr:uid="{58736A76-0640-4F58-A9CC-0974276567D3}"/>
    <cellStyle name="Normal 2 2 9 6 3" xfId="7630" xr:uid="{66D056DA-CA68-4D77-A082-6CF8276E79B6}"/>
    <cellStyle name="Normal 2 2 9 6 3 2" xfId="18010" xr:uid="{C20690F7-80B9-4ED5-96CA-C224C49DD706}"/>
    <cellStyle name="Normal 2 2 9 6 4" xfId="10463" xr:uid="{5FA20005-EFBC-4345-AB55-D6B0B1C08945}"/>
    <cellStyle name="Normal 2 2 9 6 4 2" xfId="20843" xr:uid="{878CD430-7F17-4A9F-8EAB-2DBCEBCDB694}"/>
    <cellStyle name="Normal 2 2 9 6 5" xfId="23144" xr:uid="{23FE7488-E8F4-40A5-9259-94282E8DA33D}"/>
    <cellStyle name="Normal 2 2 9 6 6" xfId="12893" xr:uid="{FC830CD8-3471-4BDF-8C41-641F6B16E563}"/>
    <cellStyle name="Normal 2 2 9 7" xfId="2261" xr:uid="{00000000-0005-0000-0000-000055040000}"/>
    <cellStyle name="Normal 2 2 9 7 2" xfId="7388" xr:uid="{EE74E906-B95A-4AB1-9CE9-DBC558707711}"/>
    <cellStyle name="Normal 2 2 9 7 2 2" xfId="17768" xr:uid="{8269C437-07F7-4931-A0BD-24CABA577458}"/>
    <cellStyle name="Normal 2 2 9 7 3" xfId="10221" xr:uid="{BB514019-6FF5-4114-B8C4-6676DD5F8790}"/>
    <cellStyle name="Normal 2 2 9 7 3 2" xfId="20601" xr:uid="{A8F49CE9-37D1-4F8A-89E3-8039BE91ECDC}"/>
    <cellStyle name="Normal 2 2 9 7 4" xfId="22872" xr:uid="{D303FCCE-F40D-463A-A780-4CE811BD7827}"/>
    <cellStyle name="Normal 2 2 9 7 5" xfId="14935" xr:uid="{F86A18D8-C7DF-48AB-8EDA-F9A1BAF34F45}"/>
    <cellStyle name="Normal 2 2 9 8" xfId="3940" xr:uid="{96E0C2AE-9DCB-4C66-8281-C0A9CC7202B4}"/>
    <cellStyle name="Normal 2 2 9 8 2" xfId="8772" xr:uid="{6D375651-796F-482E-BEDF-D8B7B596C8E2}"/>
    <cellStyle name="Normal 2 2 9 8 2 2" xfId="19152" xr:uid="{256C7DC4-4D46-4D28-99C4-BD1827B0AC3E}"/>
    <cellStyle name="Normal 2 2 9 8 3" xfId="11605" xr:uid="{52340EEA-7A47-46AE-BFEA-789AAC2A9B97}"/>
    <cellStyle name="Normal 2 2 9 8 3 2" xfId="21985" xr:uid="{4ED2DC6C-96A3-4FDB-B281-60419CF414B7}"/>
    <cellStyle name="Normal 2 2 9 8 4" xfId="16319" xr:uid="{C4A7D629-C3DD-4EE4-8EEA-12322EF71CB7}"/>
    <cellStyle name="Normal 2 2 9 9" xfId="5133" xr:uid="{A06390DB-BBFA-486C-ADF2-9350D719BB3F}"/>
    <cellStyle name="Normal 2 2 9 9 2" xfId="14430" xr:uid="{2BA6E952-82D0-4EF4-B62B-56E2C51F8061}"/>
    <cellStyle name="Normal 2 20" xfId="25548" xr:uid="{8C07E1A6-A1CC-4080-84CB-6FD0AE66A6D9}"/>
    <cellStyle name="Normal 2 20 2" xfId="25746" xr:uid="{307D95C4-C3D3-4858-8958-4CE880C31BF9}"/>
    <cellStyle name="Normal 2 21" xfId="22712" xr:uid="{946996B7-D821-4E03-9730-38F8FCB07445}"/>
    <cellStyle name="Normal 2 22" xfId="23637" xr:uid="{A4E39459-462C-454A-A30C-B043BE56C80C}"/>
    <cellStyle name="Normal 2 23" xfId="12387" xr:uid="{E65DE861-3430-4CC0-B8E2-F1AE8E21C22C}"/>
    <cellStyle name="Normal 2 24" xfId="29564" xr:uid="{8B3042BB-E780-4116-ACB4-69BF5D526462}"/>
    <cellStyle name="Normal 2 25" xfId="30101" xr:uid="{5AB8A7DA-FFAA-4EB5-9950-87FFA7645D23}"/>
    <cellStyle name="Normal 2 3" xfId="784" xr:uid="{00000000-0005-0000-0000-0000BC040000}"/>
    <cellStyle name="Normal 2 3 2" xfId="29566" xr:uid="{F18019D2-0B1A-48F3-A5C5-3D5F4CA2DF1A}"/>
    <cellStyle name="Normal 2 3 2 2" xfId="29629" xr:uid="{656E65D2-23FD-4E43-B6BE-DB53AC61741A}"/>
    <cellStyle name="Normal 2 3 2 3" xfId="29595" xr:uid="{82C16487-6617-4685-AEC1-6C7043E9D731}"/>
    <cellStyle name="Normal 2 4" xfId="785" xr:uid="{00000000-0005-0000-0000-0000BD040000}"/>
    <cellStyle name="Normal 2 4 2" xfId="29568" xr:uid="{8285FB9B-A599-4592-A61F-F7A876DCE316}"/>
    <cellStyle name="Normal 2 4 3" xfId="29567" xr:uid="{11DD0961-B7F5-48F1-BEE3-E9918CE52AA0}"/>
    <cellStyle name="Normal 2 5" xfId="786" xr:uid="{00000000-0005-0000-0000-0000BE040000}"/>
    <cellStyle name="Normal 2 5 10" xfId="787" xr:uid="{00000000-0005-0000-0000-0000BF040000}"/>
    <cellStyle name="Normal 2 5 10 2" xfId="3211" xr:uid="{00000000-0005-0000-0000-000066040000}"/>
    <cellStyle name="Normal 2 5 10 2 2" xfId="6269" xr:uid="{BB570923-EB98-4E0A-A52E-B4A7D9FAB640}"/>
    <cellStyle name="Normal 2 5 10 2 2 2" xfId="28719" xr:uid="{5F5F8159-8F49-4161-AE72-F6F10E85D3B5}"/>
    <cellStyle name="Normal 2 5 10 2 2 3" xfId="15838" xr:uid="{4324C264-E210-4C34-B4F6-2998CC94C58C}"/>
    <cellStyle name="Normal 2 5 10 2 3" xfId="8291" xr:uid="{D24D90A7-DC6C-4EDA-9592-6191A6C11F6A}"/>
    <cellStyle name="Normal 2 5 10 2 3 2" xfId="18671" xr:uid="{EAC5383B-5809-41BD-8073-95280C01FF36}"/>
    <cellStyle name="Normal 2 5 10 2 4" xfId="11124" xr:uid="{C8439742-051E-4ABE-9CB3-AA49C50B305A}"/>
    <cellStyle name="Normal 2 5 10 2 4 2" xfId="21504" xr:uid="{C20AE42A-BAD0-41E5-B8AB-06260DFE89CD}"/>
    <cellStyle name="Normal 2 5 10 2 5" xfId="23831" xr:uid="{80B8D4F9-2934-4D7A-BC9A-BF723751EF12}"/>
    <cellStyle name="Normal 2 5 10 2 6" xfId="13754" xr:uid="{55EE152E-587A-4ED0-91D8-A91793FF282A}"/>
    <cellStyle name="Normal 2 5 10 3" xfId="4119" xr:uid="{DDB8ACD5-94B4-4458-86EE-644F5AE09792}"/>
    <cellStyle name="Normal 2 5 10 3 2" xfId="8891" xr:uid="{EF530358-A2BC-41AF-895D-3DE813854A26}"/>
    <cellStyle name="Normal 2 5 10 3 2 2" xfId="29005" xr:uid="{BAA8C525-3BA7-44D3-AFCB-1185746F267E}"/>
    <cellStyle name="Normal 2 5 10 3 2 3" xfId="19271" xr:uid="{04ACBD67-1562-4A9A-BCEC-7BA8F903CE24}"/>
    <cellStyle name="Normal 2 5 10 3 3" xfId="11724" xr:uid="{AFB8A9D2-2B05-4E6F-BF1B-033DE40C0E1D}"/>
    <cellStyle name="Normal 2 5 10 3 3 2" xfId="22104" xr:uid="{A5BA9508-4759-408B-A6BF-B9D8634B3BAD}"/>
    <cellStyle name="Normal 2 5 10 3 4" xfId="24191" xr:uid="{A9E07380-D1BA-4535-9303-56888FAC8040}"/>
    <cellStyle name="Normal 2 5 10 3 5" xfId="16438" xr:uid="{C1FDBDBD-D88E-44A0-87B5-4724356DA33F}"/>
    <cellStyle name="Normal 2 5 10 4" xfId="5139" xr:uid="{496D32EC-DDFF-4EDD-A308-A2AE93E9F8B1}"/>
    <cellStyle name="Normal 2 5 10 4 2" xfId="24079" xr:uid="{7ECB6E9A-F36D-494A-AB71-30687663ED72}"/>
    <cellStyle name="Normal 2 5 10 4 3" xfId="28014" xr:uid="{91CED4CF-F180-4B9C-83CD-484CBD483A1E}"/>
    <cellStyle name="Normal 2 5 10 4 4" xfId="14436" xr:uid="{37C093D4-CD1C-4EA5-92F8-E433DAF86FDD}"/>
    <cellStyle name="Normal 2 5 10 5" xfId="6889" xr:uid="{C63BBBE3-D939-40B3-9EF4-C31A308605D9}"/>
    <cellStyle name="Normal 2 5 10 5 2" xfId="26601" xr:uid="{93F8A69A-2E39-499E-BB48-B66C048A9AC1}"/>
    <cellStyle name="Normal 2 5 10 5 3" xfId="17269" xr:uid="{0AF9C638-D7BF-4047-AAB7-143EFC618AB0}"/>
    <cellStyle name="Normal 2 5 10 6" xfId="9722" xr:uid="{937EB46E-F31B-420F-AD2A-16F82EBE2377}"/>
    <cellStyle name="Normal 2 5 10 6 2" xfId="20102" xr:uid="{10C10AB9-61A9-4274-9022-41E9537602AB}"/>
    <cellStyle name="Normal 2 5 10 7" xfId="24247" xr:uid="{02D79B2E-D591-4F79-889B-EEEFA7048349}"/>
    <cellStyle name="Normal 2 5 10 8" xfId="12662" xr:uid="{C7BC99CF-0783-4E1F-BB67-EDD91842DE03}"/>
    <cellStyle name="Normal 2 5 11" xfId="788" xr:uid="{00000000-0005-0000-0000-0000C0040000}"/>
    <cellStyle name="Normal 2 5 11 2" xfId="5140" xr:uid="{F005D30F-FF67-45E9-A450-26698085BABC}"/>
    <cellStyle name="Normal 2 5 11 2 2" xfId="24819" xr:uid="{008FDD4D-49A9-4BAF-BBA3-0E6B47ABC6DA}"/>
    <cellStyle name="Normal 2 5 11 2 3" xfId="26798" xr:uid="{B705362F-4C68-48B1-8997-9814484B93F3}"/>
    <cellStyle name="Normal 2 5 11 2 4" xfId="14437" xr:uid="{7EE87423-A796-4F51-8DFD-52589EF113D6}"/>
    <cellStyle name="Normal 2 5 11 3" xfId="6890" xr:uid="{9342098C-48F1-4F2B-9DD6-F182EDB8FE95}"/>
    <cellStyle name="Normal 2 5 11 3 2" xfId="27000" xr:uid="{B3C9FD38-4A6F-4077-8BAB-0AD1D9A12233}"/>
    <cellStyle name="Normal 2 5 11 3 3" xfId="17270" xr:uid="{3279319A-C6BB-4F64-BC8B-351BF97426E6}"/>
    <cellStyle name="Normal 2 5 11 4" xfId="9723" xr:uid="{E53A3328-A7EF-467F-B730-4075A2473213}"/>
    <cellStyle name="Normal 2 5 11 4 2" xfId="20103" xr:uid="{FD5C7BF8-B5BD-4C7D-9F3B-7D99FCDC4075}"/>
    <cellStyle name="Normal 2 5 11 5" xfId="24245" xr:uid="{3788D9FA-66EB-47C5-9AEC-7332395FD6AF}"/>
    <cellStyle name="Normal 2 5 11 6" xfId="13360" xr:uid="{B01AB50D-938E-4718-A14C-7D42ECB88508}"/>
    <cellStyle name="Normal 2 5 12" xfId="2436" xr:uid="{00000000-0005-0000-0000-000068040000}"/>
    <cellStyle name="Normal 2 5 12 2" xfId="5731" xr:uid="{096EF621-B617-4627-98A1-6862B4F3B620}"/>
    <cellStyle name="Normal 2 5 12 2 2" xfId="26625" xr:uid="{DD4E1CB5-4B42-4295-A8A0-3B7AE1DAE113}"/>
    <cellStyle name="Normal 2 5 12 2 3" xfId="15108" xr:uid="{2C8232ED-F690-4082-926E-DB18085C5A02}"/>
    <cellStyle name="Normal 2 5 12 3" xfId="7561" xr:uid="{36C148BE-855D-4899-98EC-529E064364D5}"/>
    <cellStyle name="Normal 2 5 12 3 2" xfId="17941" xr:uid="{CEC03613-AB80-4C38-9B21-BDC899AC009A}"/>
    <cellStyle name="Normal 2 5 12 4" xfId="10394" xr:uid="{F0C15155-4B9D-4A0F-9507-2F92A24BFE07}"/>
    <cellStyle name="Normal 2 5 12 4 2" xfId="20774" xr:uid="{A49E76F3-A2AD-4C67-8430-BB24CD8F3F8C}"/>
    <cellStyle name="Normal 2 5 12 5" xfId="23767" xr:uid="{A1CE3D32-0046-48AD-B09B-D4083067B680}"/>
    <cellStyle name="Normal 2 5 12 6" xfId="12823" xr:uid="{86ACC9CC-F44C-4117-9AB4-6A9559F76DDC}"/>
    <cellStyle name="Normal 2 5 13" xfId="2163" xr:uid="{00000000-0005-0000-0000-000064040000}"/>
    <cellStyle name="Normal 2 5 13 2" xfId="7290" xr:uid="{ABEA086E-CEFA-489D-BD20-6B107CD1870B}"/>
    <cellStyle name="Normal 2 5 13 2 2" xfId="26579" xr:uid="{D260554D-4353-4EC1-B66F-311507496991}"/>
    <cellStyle name="Normal 2 5 13 2 3" xfId="17670" xr:uid="{8EBF220B-282E-41A7-AF41-C534F17701C9}"/>
    <cellStyle name="Normal 2 5 13 3" xfId="10123" xr:uid="{6A476768-D707-4ED5-BCB1-303E7DA4C769}"/>
    <cellStyle name="Normal 2 5 13 3 2" xfId="20503" xr:uid="{B3A61B77-C986-48B7-9343-6A8688595B2C}"/>
    <cellStyle name="Normal 2 5 13 4" xfId="22806" xr:uid="{6B0BA96D-35B7-49F7-830B-F9BFD253AA3E}"/>
    <cellStyle name="Normal 2 5 13 5" xfId="14837" xr:uid="{33123260-80D1-46FD-B871-43C333B6E120}"/>
    <cellStyle name="Normal 2 5 14" xfId="3943" xr:uid="{4DF58CCA-A726-4F51-8773-D10E59D234F1}"/>
    <cellStyle name="Normal 2 5 14 2" xfId="8775" xr:uid="{93949D46-D187-4026-9884-5EC9985C6C90}"/>
    <cellStyle name="Normal 2 5 14 2 2" xfId="19155" xr:uid="{AADD6B47-A051-4A52-B750-D6214780511B}"/>
    <cellStyle name="Normal 2 5 14 3" xfId="11608" xr:uid="{3030196D-AC29-4CC1-A4E3-429340782493}"/>
    <cellStyle name="Normal 2 5 14 3 2" xfId="21988" xr:uid="{B844FA76-9644-4BA7-AE11-FDA85DD4D7AB}"/>
    <cellStyle name="Normal 2 5 14 4" xfId="28133" xr:uid="{37A0DECA-5050-4AE6-BB44-4BBEC15BCA14}"/>
    <cellStyle name="Normal 2 5 14 5" xfId="16322" xr:uid="{9CBA3C09-DDE3-4A3A-B6FE-98AABDE829D0}"/>
    <cellStyle name="Normal 2 5 15" xfId="5138" xr:uid="{1552226D-8AD7-45BC-AC77-D1272FF83047}"/>
    <cellStyle name="Normal 2 5 15 2" xfId="14435" xr:uid="{8ABFF19D-954D-4F51-83EE-1B64AB4EC3AA}"/>
    <cellStyle name="Normal 2 5 16" xfId="6888" xr:uid="{E34B52DD-0D95-4E57-BBDB-84BDBA808D26}"/>
    <cellStyle name="Normal 2 5 16 2" xfId="17268" xr:uid="{FE68BB87-5ED9-416F-8B0B-1BBFB56CE6A4}"/>
    <cellStyle name="Normal 2 5 17" xfId="9721" xr:uid="{71B0E6CE-EC01-41D8-A4CF-0F31019EB11C}"/>
    <cellStyle name="Normal 2 5 17 2" xfId="20101" xr:uid="{A2897E3B-E47D-46A7-84AE-5CD93504EFEE}"/>
    <cellStyle name="Normal 2 5 18" xfId="24437" xr:uid="{282C5376-98C7-49DE-A520-F11DB1848102}"/>
    <cellStyle name="Normal 2 5 19" xfId="12395" xr:uid="{A5866C7D-4474-4E5B-A25F-02BFD262B28F}"/>
    <cellStyle name="Normal 2 5 2" xfId="789" xr:uid="{00000000-0005-0000-0000-0000C1040000}"/>
    <cellStyle name="Normal 2 5 2 10" xfId="5141" xr:uid="{5E4C7B78-933D-4945-8AEB-9937483272E2}"/>
    <cellStyle name="Normal 2 5 2 10 2" xfId="14438" xr:uid="{DFD9B2B3-2BCF-4C25-B678-8DFD6BBF2B8E}"/>
    <cellStyle name="Normal 2 5 2 11" xfId="6891" xr:uid="{D9368D94-A4FA-4857-9E07-D8B06B15D57E}"/>
    <cellStyle name="Normal 2 5 2 11 2" xfId="17271" xr:uid="{467655A8-F471-42A9-962E-68A05B36F8F6}"/>
    <cellStyle name="Normal 2 5 2 12" xfId="9724" xr:uid="{84496DC4-5C98-4F69-8436-A24D80912824}"/>
    <cellStyle name="Normal 2 5 2 12 2" xfId="20104" xr:uid="{D0C5DC80-66E8-42C1-AD5B-5C6E8F8A713F}"/>
    <cellStyle name="Normal 2 5 2 13" xfId="25179" xr:uid="{EC0F43C9-DBE0-4237-89D9-7AD8DC19F42E}"/>
    <cellStyle name="Normal 2 5 2 14" xfId="12421" xr:uid="{153135D3-00A7-45C2-8D52-0FCBDF0AC3C4}"/>
    <cellStyle name="Normal 2 5 2 2" xfId="790" xr:uid="{00000000-0005-0000-0000-0000C2040000}"/>
    <cellStyle name="Normal 2 5 2 2 10" xfId="6892" xr:uid="{E69D7650-486A-4491-800D-8F6D2504A896}"/>
    <cellStyle name="Normal 2 5 2 2 10 2" xfId="17272" xr:uid="{35F78DB7-03B7-43A3-895E-E46CB3E61D12}"/>
    <cellStyle name="Normal 2 5 2 2 11" xfId="9725" xr:uid="{A2374A83-C013-4CC2-A2DA-A768BC6DD1AF}"/>
    <cellStyle name="Normal 2 5 2 2 11 2" xfId="20105" xr:uid="{9CF102B4-BB9D-4FBF-A167-95DF46575A40}"/>
    <cellStyle name="Normal 2 5 2 2 12" xfId="23419" xr:uid="{AAF76358-571E-44F1-BBA4-5EEF5DABC461}"/>
    <cellStyle name="Normal 2 5 2 2 13" xfId="12481" xr:uid="{956D1D4A-D7F9-4B2D-BFE3-178543F91DF7}"/>
    <cellStyle name="Normal 2 5 2 2 2" xfId="791" xr:uid="{00000000-0005-0000-0000-0000C3040000}"/>
    <cellStyle name="Normal 2 5 2 2 2 10" xfId="13046" xr:uid="{C1BC4533-3E99-4779-BD5A-8281B4F68D49}"/>
    <cellStyle name="Normal 2 5 2 2 2 2" xfId="2742" xr:uid="{00000000-0005-0000-0000-00006C040000}"/>
    <cellStyle name="Normal 2 5 2 2 2 2 2" xfId="3214" xr:uid="{00000000-0005-0000-0000-00006D040000}"/>
    <cellStyle name="Normal 2 5 2 2 2 2 2 2" xfId="6272" xr:uid="{1F60F743-6634-4AA0-956C-50EA423C2DBB}"/>
    <cellStyle name="Normal 2 5 2 2 2 2 2 2 2" xfId="26708" xr:uid="{8E9EC44E-3D2B-402F-8E0F-730780C68AD0}"/>
    <cellStyle name="Normal 2 5 2 2 2 2 2 2 3" xfId="15841" xr:uid="{C7CCCB08-9E97-4003-A666-90BA8338079A}"/>
    <cellStyle name="Normal 2 5 2 2 2 2 2 3" xfId="8294" xr:uid="{746ED92A-4C36-47EA-B1E1-5D85EF50B979}"/>
    <cellStyle name="Normal 2 5 2 2 2 2 2 3 2" xfId="18674" xr:uid="{4F8F5E0A-42CF-4B14-8FC0-C80052C09717}"/>
    <cellStyle name="Normal 2 5 2 2 2 2 2 4" xfId="11127" xr:uid="{AB268A94-0A26-4D5B-9C10-AFABD460EAE7}"/>
    <cellStyle name="Normal 2 5 2 2 2 2 2 4 2" xfId="21507" xr:uid="{DD2C4C44-961D-43D9-96DD-698D8876E680}"/>
    <cellStyle name="Normal 2 5 2 2 2 2 2 5" xfId="24503" xr:uid="{B12373CE-A6D4-4B8B-8D2B-AE7DC049519C}"/>
    <cellStyle name="Normal 2 5 2 2 2 2 2 6" xfId="13757" xr:uid="{252D745E-372A-4110-9AA9-270F2D31A616}"/>
    <cellStyle name="Normal 2 5 2 2 2 2 3" xfId="4306" xr:uid="{8AEEB3DE-61B6-4FE7-AAE0-3DAE26A51726}"/>
    <cellStyle name="Normal 2 5 2 2 2 2 3 2" xfId="9078" xr:uid="{371B2CD9-BE12-46CB-B681-68BBCED36EC2}"/>
    <cellStyle name="Normal 2 5 2 2 2 2 3 2 2" xfId="29121" xr:uid="{B54BA6AD-664A-44A1-8BE5-620E3C67CD29}"/>
    <cellStyle name="Normal 2 5 2 2 2 2 3 2 3" xfId="19458" xr:uid="{08EA89A7-045C-4B3A-B081-E913B141AC40}"/>
    <cellStyle name="Normal 2 5 2 2 2 2 3 3" xfId="11911" xr:uid="{168DAC8F-2DA8-4EC2-B395-1396EA01EC77}"/>
    <cellStyle name="Normal 2 5 2 2 2 2 3 3 2" xfId="22291" xr:uid="{E1B7EF95-0888-4BAD-9712-ECB0A335DC93}"/>
    <cellStyle name="Normal 2 5 2 2 2 2 3 4" xfId="24851" xr:uid="{4D32A168-7AA7-4D6B-9397-C30D355B2B6A}"/>
    <cellStyle name="Normal 2 5 2 2 2 2 3 5" xfId="16625" xr:uid="{802E9D0C-24CF-4285-A4D4-FDCD9177C3AD}"/>
    <cellStyle name="Normal 2 5 2 2 2 2 4" xfId="5960" xr:uid="{3ED9C625-B21E-47E8-A34C-ADCFCCE51054}"/>
    <cellStyle name="Normal 2 5 2 2 2 2 4 2" xfId="26306" xr:uid="{39CA9F07-3D37-409F-9500-8112C39F74EA}"/>
    <cellStyle name="Normal 2 5 2 2 2 2 4 3" xfId="15413" xr:uid="{61405212-7891-41EA-896E-2CEFC2B3C91D}"/>
    <cellStyle name="Normal 2 5 2 2 2 2 5" xfId="7866" xr:uid="{6157CD86-5524-4E68-815E-14A2EDC57752}"/>
    <cellStyle name="Normal 2 5 2 2 2 2 5 2" xfId="18246" xr:uid="{5CF63585-ACE5-47AC-9BD4-224C128A839C}"/>
    <cellStyle name="Normal 2 5 2 2 2 2 6" xfId="10699" xr:uid="{83845B6A-E84F-4953-8868-036BFE90B244}"/>
    <cellStyle name="Normal 2 5 2 2 2 2 6 2" xfId="21079" xr:uid="{913A8362-ED8F-4942-9A55-8F5F9AF07E7C}"/>
    <cellStyle name="Normal 2 5 2 2 2 2 7" xfId="23020" xr:uid="{C96626A7-8A30-4A18-B351-B60F31361BBD}"/>
    <cellStyle name="Normal 2 5 2 2 2 2 8" xfId="13180" xr:uid="{891D6BE0-84F5-4991-A767-D7C48F75C934}"/>
    <cellStyle name="Normal 2 5 2 2 2 3" xfId="3215" xr:uid="{00000000-0005-0000-0000-00006E040000}"/>
    <cellStyle name="Normal 2 5 2 2 2 3 2" xfId="4479" xr:uid="{36BCBF59-3A2F-455A-91E4-3790C01DA354}"/>
    <cellStyle name="Normal 2 5 2 2 2 3 2 2" xfId="9251" xr:uid="{05652BB2-E29D-4C98-92EF-A8DDD59C9960}"/>
    <cellStyle name="Normal 2 5 2 2 2 3 2 2 2" xfId="19631" xr:uid="{E4DE5BF3-388A-4E0B-8922-811E7C8B7E95}"/>
    <cellStyle name="Normal 2 5 2 2 2 3 2 3" xfId="12084" xr:uid="{517B48F6-EBFD-4B47-85E1-E2002532C5F2}"/>
    <cellStyle name="Normal 2 5 2 2 2 3 2 3 2" xfId="22464" xr:uid="{A8B4C9C2-D85E-4D4E-BAEA-964415011FFD}"/>
    <cellStyle name="Normal 2 5 2 2 2 3 2 4" xfId="26011" xr:uid="{D767D733-1D9E-4A1B-B87C-48D72D4D16A6}"/>
    <cellStyle name="Normal 2 5 2 2 2 3 2 5" xfId="16798" xr:uid="{EDF6B23B-6D74-4B2F-8CF0-895567AF8D24}"/>
    <cellStyle name="Normal 2 5 2 2 2 3 3" xfId="6273" xr:uid="{E237BBFF-353E-4FF3-8F34-88D0CAFA6419}"/>
    <cellStyle name="Normal 2 5 2 2 2 3 3 2" xfId="15842" xr:uid="{21A2DB3F-C021-4DDF-9BCB-322B912BB2E6}"/>
    <cellStyle name="Normal 2 5 2 2 2 3 4" xfId="8295" xr:uid="{60218A56-EF6F-447B-A2DF-9964297231C1}"/>
    <cellStyle name="Normal 2 5 2 2 2 3 4 2" xfId="18675" xr:uid="{C8D3D6F3-F699-4739-8303-77921F1C33D5}"/>
    <cellStyle name="Normal 2 5 2 2 2 3 5" xfId="11128" xr:uid="{655DEBB3-451A-4310-A5ED-34F38583CCC7}"/>
    <cellStyle name="Normal 2 5 2 2 2 3 5 2" xfId="21508" xr:uid="{F09793CA-A50B-4AF8-B1E7-ECE6235C50DC}"/>
    <cellStyle name="Normal 2 5 2 2 2 3 6" xfId="23360" xr:uid="{6724D974-014A-4C1D-AFCF-15F0DAD3861B}"/>
    <cellStyle name="Normal 2 5 2 2 2 3 7" xfId="13758" xr:uid="{4550D860-A979-4584-9235-6FF3536883AB}"/>
    <cellStyle name="Normal 2 5 2 2 2 4" xfId="3213" xr:uid="{00000000-0005-0000-0000-00006F040000}"/>
    <cellStyle name="Normal 2 5 2 2 2 4 2" xfId="6271" xr:uid="{470586E9-20A5-4102-89F8-91C21CAF62B6}"/>
    <cellStyle name="Normal 2 5 2 2 2 4 2 2" xfId="27179" xr:uid="{76524590-BE25-4E90-9A12-CB4BABFB9FDE}"/>
    <cellStyle name="Normal 2 5 2 2 2 4 2 3" xfId="15840" xr:uid="{8468030D-1416-4FFD-A057-2D3BCFCE884E}"/>
    <cellStyle name="Normal 2 5 2 2 2 4 3" xfId="8293" xr:uid="{F94E1009-82AC-49F2-AFAA-D945FD059FB2}"/>
    <cellStyle name="Normal 2 5 2 2 2 4 3 2" xfId="18673" xr:uid="{3F375015-1CDB-494B-8980-F58059EB35D9}"/>
    <cellStyle name="Normal 2 5 2 2 2 4 4" xfId="11126" xr:uid="{DF4D42A6-4084-41D5-A4D8-2102E2D2B083}"/>
    <cellStyle name="Normal 2 5 2 2 2 4 4 2" xfId="21506" xr:uid="{100E25DA-9780-489B-ADB2-713629F41DAA}"/>
    <cellStyle name="Normal 2 5 2 2 2 4 5" xfId="22639" xr:uid="{ADDD103C-D91C-4D25-88C7-6C864115B982}"/>
    <cellStyle name="Normal 2 5 2 2 2 4 6" xfId="13756" xr:uid="{350B0D98-801D-41B9-B424-5D26F2704B71}"/>
    <cellStyle name="Normal 2 5 2 2 2 5" xfId="4245" xr:uid="{24E76430-8ACA-48F3-A78E-3C87E028080F}"/>
    <cellStyle name="Normal 2 5 2 2 2 5 2" xfId="9017" xr:uid="{940CCF05-FE4F-4221-95B5-FA400D2BE188}"/>
    <cellStyle name="Normal 2 5 2 2 2 5 2 2" xfId="29088" xr:uid="{CDE0CC06-AAAA-42B8-B54E-067A69769F33}"/>
    <cellStyle name="Normal 2 5 2 2 2 5 2 3" xfId="19397" xr:uid="{253F5665-A4C5-4FE6-B6BE-53C551428927}"/>
    <cellStyle name="Normal 2 5 2 2 2 5 3" xfId="11850" xr:uid="{90708FCE-840E-4C45-B1B5-79CF51B9DDDB}"/>
    <cellStyle name="Normal 2 5 2 2 2 5 3 2" xfId="22230" xr:uid="{65618ED9-2AE4-4168-8702-94242206482D}"/>
    <cellStyle name="Normal 2 5 2 2 2 5 4" xfId="23982" xr:uid="{F6874D78-530B-4FE8-8B44-AEA6932DCEEC}"/>
    <cellStyle name="Normal 2 5 2 2 2 5 5" xfId="16564" xr:uid="{565854D8-ADCC-4305-A1F4-C99591DB82BE}"/>
    <cellStyle name="Normal 2 5 2 2 2 6" xfId="5143" xr:uid="{26435337-A12E-4D95-98AB-E38E11DD752F}"/>
    <cellStyle name="Normal 2 5 2 2 2 6 2" xfId="28535" xr:uid="{03DCE3D8-53D6-433C-BE8F-3D8C50817AEB}"/>
    <cellStyle name="Normal 2 5 2 2 2 6 3" xfId="14440" xr:uid="{A6C71034-89B3-4B5C-8BE5-FF08CBE5277C}"/>
    <cellStyle name="Normal 2 5 2 2 2 7" xfId="6893" xr:uid="{0081EC98-3400-4E64-8DF1-938C9FDCD02D}"/>
    <cellStyle name="Normal 2 5 2 2 2 7 2" xfId="17273" xr:uid="{184AC13C-C047-4BF2-8489-DBA2F11BDC8E}"/>
    <cellStyle name="Normal 2 5 2 2 2 8" xfId="9726" xr:uid="{971CDE65-C117-4A08-A4DD-0AEC1378C835}"/>
    <cellStyle name="Normal 2 5 2 2 2 8 2" xfId="20106" xr:uid="{8CE5B0D4-4A3C-4CE9-A4A8-E0C5802DF3A5}"/>
    <cellStyle name="Normal 2 5 2 2 2 9" xfId="24178" xr:uid="{6618C867-3FA3-4D7B-8484-4741A6B6C9E4}"/>
    <cellStyle name="Normal 2 5 2 2 3" xfId="2741" xr:uid="{00000000-0005-0000-0000-000070040000}"/>
    <cellStyle name="Normal 2 5 2 2 3 2" xfId="3216" xr:uid="{00000000-0005-0000-0000-000071040000}"/>
    <cellStyle name="Normal 2 5 2 2 3 2 2" xfId="6274" xr:uid="{125526E2-1B68-4366-BC25-A88A855F197A}"/>
    <cellStyle name="Normal 2 5 2 2 3 2 2 2" xfId="27593" xr:uid="{49ACA487-4871-4BF4-8D6D-5E0878753C3F}"/>
    <cellStyle name="Normal 2 5 2 2 3 2 2 3" xfId="15843" xr:uid="{8760EBA9-5B3C-4871-B38E-FC4EAAB0B506}"/>
    <cellStyle name="Normal 2 5 2 2 3 2 3" xfId="8296" xr:uid="{047E0A3A-8119-44DD-A32E-978D1B8D470F}"/>
    <cellStyle name="Normal 2 5 2 2 3 2 3 2" xfId="18676" xr:uid="{91E8223E-5F4F-41A2-803B-12B570AE548B}"/>
    <cellStyle name="Normal 2 5 2 2 3 2 4" xfId="11129" xr:uid="{43966DBD-200E-4B8C-A4BF-B542AB3D9707}"/>
    <cellStyle name="Normal 2 5 2 2 3 2 4 2" xfId="21509" xr:uid="{12D8F5BF-15E9-42A9-AC8B-C14F93168DC3}"/>
    <cellStyle name="Normal 2 5 2 2 3 2 5" xfId="24621" xr:uid="{B6F4CE5C-2D10-44C3-87D3-1932D40F6231}"/>
    <cellStyle name="Normal 2 5 2 2 3 2 6" xfId="13759" xr:uid="{92FB54DC-6098-4D02-88D5-5E332F9EAF16}"/>
    <cellStyle name="Normal 2 5 2 2 3 3" xfId="4305" xr:uid="{213B3692-4C25-444C-BC01-9EEB2F1609AF}"/>
    <cellStyle name="Normal 2 5 2 2 3 3 2" xfId="9077" xr:uid="{23094562-15D6-4390-AC48-D99AC64F353F}"/>
    <cellStyle name="Normal 2 5 2 2 3 3 2 2" xfId="29120" xr:uid="{EAB57E5F-E699-4426-97B4-F4B7AE02A5C0}"/>
    <cellStyle name="Normal 2 5 2 2 3 3 2 3" xfId="19457" xr:uid="{868E6816-C0A7-4736-A4D9-D52FAAF98090}"/>
    <cellStyle name="Normal 2 5 2 2 3 3 3" xfId="11910" xr:uid="{208E8303-B51A-44B0-96FD-EBC47C97D28D}"/>
    <cellStyle name="Normal 2 5 2 2 3 3 3 2" xfId="22290" xr:uid="{ED6983D7-23B0-4DAB-9AFD-FBB55D688585}"/>
    <cellStyle name="Normal 2 5 2 2 3 3 4" xfId="24729" xr:uid="{144698A1-D602-4E2E-B2EB-596434FEF72C}"/>
    <cellStyle name="Normal 2 5 2 2 3 3 5" xfId="16624" xr:uid="{60893DA7-920E-432B-891E-C2AE7500FA73}"/>
    <cellStyle name="Normal 2 5 2 2 3 4" xfId="5959" xr:uid="{75E5890C-162B-446D-A6FF-7D7721D6D836}"/>
    <cellStyle name="Normal 2 5 2 2 3 4 2" xfId="25974" xr:uid="{0ACF9DCA-7666-484E-8883-6240D354069D}"/>
    <cellStyle name="Normal 2 5 2 2 3 4 3" xfId="15412" xr:uid="{E172702E-BDB1-4702-805E-4C1DCD1E5B32}"/>
    <cellStyle name="Normal 2 5 2 2 3 5" xfId="7865" xr:uid="{59A39C3A-389D-4DC2-92A0-02FC3B1FACB9}"/>
    <cellStyle name="Normal 2 5 2 2 3 5 2" xfId="18245" xr:uid="{113B81A0-4493-40B8-B212-0F69AC7550CE}"/>
    <cellStyle name="Normal 2 5 2 2 3 6" xfId="10698" xr:uid="{CF69B6F2-A989-48D6-A94B-0F7F4FD56EEE}"/>
    <cellStyle name="Normal 2 5 2 2 3 6 2" xfId="21078" xr:uid="{04A13D38-2234-4FD6-A2E3-F47286B10896}"/>
    <cellStyle name="Normal 2 5 2 2 3 7" xfId="23428" xr:uid="{70D0F8FF-967E-4511-B73D-49D36332934C}"/>
    <cellStyle name="Normal 2 5 2 2 3 8" xfId="13179" xr:uid="{8BDD633D-383C-4C98-9FC4-D321D6096FD2}"/>
    <cellStyle name="Normal 2 5 2 2 4" xfId="3217" xr:uid="{00000000-0005-0000-0000-000072040000}"/>
    <cellStyle name="Normal 2 5 2 2 4 2" xfId="4480" xr:uid="{3EB82FC1-B88A-40CB-8B41-892CF297600A}"/>
    <cellStyle name="Normal 2 5 2 2 4 2 2" xfId="9252" xr:uid="{AB393766-45FE-45E7-BEF7-E9C212E00415}"/>
    <cellStyle name="Normal 2 5 2 2 4 2 2 2" xfId="19632" xr:uid="{BDA5DE4C-A95E-47CB-8948-710A1806735B}"/>
    <cellStyle name="Normal 2 5 2 2 4 2 3" xfId="12085" xr:uid="{DE447C13-A5D0-4F50-926A-902D4B88F635}"/>
    <cellStyle name="Normal 2 5 2 2 4 2 3 2" xfId="22465" xr:uid="{C5128C15-52BF-4F32-BC14-73A902848545}"/>
    <cellStyle name="Normal 2 5 2 2 4 2 4" xfId="28301" xr:uid="{2BA84938-6D8B-4040-AC54-C200C5C16352}"/>
    <cellStyle name="Normal 2 5 2 2 4 2 5" xfId="16799" xr:uid="{4C17F181-C7EB-4246-B7FC-CFE4D8522DA3}"/>
    <cellStyle name="Normal 2 5 2 2 4 3" xfId="6275" xr:uid="{EBB1EE02-B42A-4E77-9B49-56D6E1FFFD4A}"/>
    <cellStyle name="Normal 2 5 2 2 4 3 2" xfId="15844" xr:uid="{850C2CBF-1712-4014-AF4B-81076ADA536E}"/>
    <cellStyle name="Normal 2 5 2 2 4 4" xfId="8297" xr:uid="{6E442549-9C68-43C3-9129-3B07F8B63376}"/>
    <cellStyle name="Normal 2 5 2 2 4 4 2" xfId="18677" xr:uid="{FEF55DD3-F186-4D2B-B89E-C73001FE7C5C}"/>
    <cellStyle name="Normal 2 5 2 2 4 5" xfId="11130" xr:uid="{3D4A8E3A-1147-4AB3-A43F-0856D74B5CD1}"/>
    <cellStyle name="Normal 2 5 2 2 4 5 2" xfId="21510" xr:uid="{A18CBA86-4193-4CE8-9494-FED6AB3ACEC4}"/>
    <cellStyle name="Normal 2 5 2 2 4 6" xfId="23804" xr:uid="{959BCB16-D8FF-4A2A-A7F6-1C42B383E0CB}"/>
    <cellStyle name="Normal 2 5 2 2 4 7" xfId="13760" xr:uid="{7FAA0FFF-905D-497A-8213-602202E02055}"/>
    <cellStyle name="Normal 2 5 2 2 5" xfId="3212" xr:uid="{00000000-0005-0000-0000-000073040000}"/>
    <cellStyle name="Normal 2 5 2 2 5 2" xfId="6270" xr:uid="{CD3B0AF8-2B88-4A79-A2DF-ABCE5E0EDF79}"/>
    <cellStyle name="Normal 2 5 2 2 5 2 2" xfId="27727" xr:uid="{5CB61858-C772-4C6A-B056-BF3189513D4D}"/>
    <cellStyle name="Normal 2 5 2 2 5 2 3" xfId="15839" xr:uid="{B1D79E71-55B0-4E3E-AFC9-50DB82A5E064}"/>
    <cellStyle name="Normal 2 5 2 2 5 3" xfId="8292" xr:uid="{A1986F02-78EF-49CB-8E39-1D7BB6EF8FE8}"/>
    <cellStyle name="Normal 2 5 2 2 5 3 2" xfId="18672" xr:uid="{E44D3349-AD8D-45AA-BA28-1E05F2043120}"/>
    <cellStyle name="Normal 2 5 2 2 5 4" xfId="11125" xr:uid="{A8B78940-A714-426F-95C6-F0F043E29AC7}"/>
    <cellStyle name="Normal 2 5 2 2 5 4 2" xfId="21505" xr:uid="{86A6F4A0-F698-4A00-A6C5-6641AC7BF20B}"/>
    <cellStyle name="Normal 2 5 2 2 5 5" xfId="24387" xr:uid="{4370B9C9-0A32-4408-A69F-24FE67FD33B1}"/>
    <cellStyle name="Normal 2 5 2 2 5 6" xfId="13755" xr:uid="{09B18C7C-625F-4F81-ADA0-84FD4BC75D0F}"/>
    <cellStyle name="Normal 2 5 2 2 6" xfId="2555" xr:uid="{00000000-0005-0000-0000-000074040000}"/>
    <cellStyle name="Normal 2 5 2 2 6 2" xfId="5825" xr:uid="{25A596B2-4983-4347-A690-43278B245CAC}"/>
    <cellStyle name="Normal 2 5 2 2 6 2 2" xfId="26562" xr:uid="{62A1FF07-A161-4AE6-9F6E-F3187B39ECEB}"/>
    <cellStyle name="Normal 2 5 2 2 6 2 3" xfId="15227" xr:uid="{5AB1F873-DCAA-4A9B-A682-F072D1FBC357}"/>
    <cellStyle name="Normal 2 5 2 2 6 3" xfId="7680" xr:uid="{0C0A9924-252A-42B0-BDDB-B5B69979F60C}"/>
    <cellStyle name="Normal 2 5 2 2 6 3 2" xfId="18060" xr:uid="{4DEFEA25-FE43-4D42-B1D0-51871E26E8EE}"/>
    <cellStyle name="Normal 2 5 2 2 6 4" xfId="10513" xr:uid="{933DF63A-C0DA-42F5-9816-F6E0F41558BF}"/>
    <cellStyle name="Normal 2 5 2 2 6 4 2" xfId="20893" xr:uid="{CD6C6E08-BA17-46EB-A495-C8ABABCD869E}"/>
    <cellStyle name="Normal 2 5 2 2 6 5" xfId="25031" xr:uid="{CAAD7571-4374-416C-A844-BBCDB30C7FAB}"/>
    <cellStyle name="Normal 2 5 2 2 6 6" xfId="12943" xr:uid="{BBE309FD-EDBF-4189-9F47-0F781820EC80}"/>
    <cellStyle name="Normal 2 5 2 2 7" xfId="2249" xr:uid="{00000000-0005-0000-0000-00006A040000}"/>
    <cellStyle name="Normal 2 5 2 2 7 2" xfId="7376" xr:uid="{8A0E426F-BD96-4854-BEE8-A381F0565431}"/>
    <cellStyle name="Normal 2 5 2 2 7 2 2" xfId="17756" xr:uid="{B33549B6-782C-45F9-8468-B96DDBD252ED}"/>
    <cellStyle name="Normal 2 5 2 2 7 3" xfId="10209" xr:uid="{9AAA16DB-2AD0-41E4-9AC8-EDB0BEB32C1F}"/>
    <cellStyle name="Normal 2 5 2 2 7 3 2" xfId="20589" xr:uid="{0627A3F8-427A-4A94-9241-143F14860458}"/>
    <cellStyle name="Normal 2 5 2 2 7 4" xfId="24582" xr:uid="{A184C3C5-F122-4C8E-AE7F-C541056A2995}"/>
    <cellStyle name="Normal 2 5 2 2 7 5" xfId="14923" xr:uid="{0492BAAF-A54E-4C53-A4CA-4A01C8374CC0}"/>
    <cellStyle name="Normal 2 5 2 2 8" xfId="3800" xr:uid="{F1877237-F3C3-480A-ACD6-54826A0E1805}"/>
    <cellStyle name="Normal 2 5 2 2 8 2" xfId="8636" xr:uid="{2291FA23-0A45-4B74-AAB2-583D1F5686DC}"/>
    <cellStyle name="Normal 2 5 2 2 8 2 2" xfId="19016" xr:uid="{A8C312C2-B2FF-4B22-9CE0-79791545C391}"/>
    <cellStyle name="Normal 2 5 2 2 8 3" xfId="11469" xr:uid="{DD4AA20B-8344-40EE-9939-7303F5E74F63}"/>
    <cellStyle name="Normal 2 5 2 2 8 3 2" xfId="21849" xr:uid="{193E3053-7BCB-4425-BC74-747EBCFF0BA6}"/>
    <cellStyle name="Normal 2 5 2 2 8 4" xfId="16183" xr:uid="{6EC87BB2-6594-44FF-B50E-BE165A843D5D}"/>
    <cellStyle name="Normal 2 5 2 2 9" xfId="5142" xr:uid="{FB36C901-C53D-4572-AAD4-AB23456790AB}"/>
    <cellStyle name="Normal 2 5 2 2 9 2" xfId="14439" xr:uid="{E0015A66-797F-4955-8A28-2011ECF45AD4}"/>
    <cellStyle name="Normal 2 5 2 3" xfId="792" xr:uid="{00000000-0005-0000-0000-0000C4040000}"/>
    <cellStyle name="Normal 2 5 2 3 10" xfId="9727" xr:uid="{029CE8BE-530F-475F-B07C-84FE1BD224D5}"/>
    <cellStyle name="Normal 2 5 2 3 10 2" xfId="20107" xr:uid="{227FDDB4-E945-4D7A-BFF9-673972C1A5A9}"/>
    <cellStyle name="Normal 2 5 2 3 11" xfId="24546" xr:uid="{E6EB4C6D-1B7C-4F2F-B0C3-F253D26CADD3}"/>
    <cellStyle name="Normal 2 5 2 3 12" xfId="12568" xr:uid="{FF76ED38-27B7-4009-A348-DED8E4FB6127}"/>
    <cellStyle name="Normal 2 5 2 3 2" xfId="2743" xr:uid="{00000000-0005-0000-0000-000076040000}"/>
    <cellStyle name="Normal 2 5 2 3 2 2" xfId="3219" xr:uid="{00000000-0005-0000-0000-000077040000}"/>
    <cellStyle name="Normal 2 5 2 3 2 2 2" xfId="6277" xr:uid="{87CA24AF-D326-41B1-BEB9-59A590033D7E}"/>
    <cellStyle name="Normal 2 5 2 3 2 2 2 2" xfId="26205" xr:uid="{13E15B1F-064C-4F1B-91DF-FDF8E941E0D8}"/>
    <cellStyle name="Normal 2 5 2 3 2 2 2 3" xfId="15846" xr:uid="{64CEC759-3E76-4255-BC35-68C1295D1A0D}"/>
    <cellStyle name="Normal 2 5 2 3 2 2 3" xfId="8299" xr:uid="{03B17314-33D4-4388-9F60-24F21A186C59}"/>
    <cellStyle name="Normal 2 5 2 3 2 2 3 2" xfId="18679" xr:uid="{5DB78E24-E019-4E71-8168-DC9A186C787E}"/>
    <cellStyle name="Normal 2 5 2 3 2 2 4" xfId="11132" xr:uid="{E7ABD13E-3F12-4E24-B708-1200CD919B5F}"/>
    <cellStyle name="Normal 2 5 2 3 2 2 4 2" xfId="21512" xr:uid="{EEF3DD65-6706-4152-A265-BA17749A068F}"/>
    <cellStyle name="Normal 2 5 2 3 2 2 5" xfId="24696" xr:uid="{848B1284-2455-4E63-8167-5F5BA0C50206}"/>
    <cellStyle name="Normal 2 5 2 3 2 2 6" xfId="13762" xr:uid="{FCD49A74-9347-4B00-B486-417D3D52E51A}"/>
    <cellStyle name="Normal 2 5 2 3 2 3" xfId="4307" xr:uid="{6411A7A5-5528-460F-89C7-299F9D1D5DAE}"/>
    <cellStyle name="Normal 2 5 2 3 2 3 2" xfId="9079" xr:uid="{18C614DB-215D-4A52-84F3-5E7CA58266A0}"/>
    <cellStyle name="Normal 2 5 2 3 2 3 2 2" xfId="29122" xr:uid="{7008841A-4354-4CE8-A78F-780DBC269B6A}"/>
    <cellStyle name="Normal 2 5 2 3 2 3 2 3" xfId="19459" xr:uid="{D37BDD27-B1E6-4871-8D8E-EE91AF61354E}"/>
    <cellStyle name="Normal 2 5 2 3 2 3 3" xfId="11912" xr:uid="{B840EF34-CC77-4681-97DA-172CBEC7162C}"/>
    <cellStyle name="Normal 2 5 2 3 2 3 3 2" xfId="22292" xr:uid="{6A72AABD-A8E1-4579-94D9-04D1508FCACA}"/>
    <cellStyle name="Normal 2 5 2 3 2 3 4" xfId="23323" xr:uid="{2C8C9217-83D7-42C9-A865-3FAB0F5B2521}"/>
    <cellStyle name="Normal 2 5 2 3 2 3 5" xfId="16626" xr:uid="{A878821D-7906-4FB0-BA82-3ECB642E23DA}"/>
    <cellStyle name="Normal 2 5 2 3 2 4" xfId="5961" xr:uid="{619B855B-733C-4135-AB31-940705AAA4BF}"/>
    <cellStyle name="Normal 2 5 2 3 2 4 2" xfId="26119" xr:uid="{CF1DDBE3-66A3-4A01-9B52-F15062DA060B}"/>
    <cellStyle name="Normal 2 5 2 3 2 4 3" xfId="15414" xr:uid="{92D48D94-1FE4-4232-853C-3A9176E88E41}"/>
    <cellStyle name="Normal 2 5 2 3 2 5" xfId="7867" xr:uid="{0F181675-17DB-4479-B20F-2450E7A23DE6}"/>
    <cellStyle name="Normal 2 5 2 3 2 5 2" xfId="18247" xr:uid="{CA0FF2B9-D524-4D77-BE3B-A1E3CA1E0A0B}"/>
    <cellStyle name="Normal 2 5 2 3 2 6" xfId="10700" xr:uid="{4123705F-7123-4EE3-A80A-6D8FCBE220CE}"/>
    <cellStyle name="Normal 2 5 2 3 2 6 2" xfId="21080" xr:uid="{EAC315FB-8969-47CD-8A28-D499AE1C02EA}"/>
    <cellStyle name="Normal 2 5 2 3 2 7" xfId="24806" xr:uid="{F0EA81D9-27CC-4047-8D40-89DAD5375548}"/>
    <cellStyle name="Normal 2 5 2 3 2 8" xfId="13181" xr:uid="{A6418468-8EC1-43B4-874F-6E1A6DE320F6}"/>
    <cellStyle name="Normal 2 5 2 3 3" xfId="3220" xr:uid="{00000000-0005-0000-0000-000078040000}"/>
    <cellStyle name="Normal 2 5 2 3 3 2" xfId="4481" xr:uid="{62550687-04CF-4DF5-89D5-F3C096152E91}"/>
    <cellStyle name="Normal 2 5 2 3 3 2 2" xfId="9253" xr:uid="{0DAAE6DE-98AA-4447-819B-9C901F645DC1}"/>
    <cellStyle name="Normal 2 5 2 3 3 2 2 2" xfId="29240" xr:uid="{1DDAA92C-45AD-4E21-B5A5-CBA7672AD962}"/>
    <cellStyle name="Normal 2 5 2 3 3 2 2 3" xfId="19633" xr:uid="{FA9809E8-4B7C-449B-97A2-E23E9066EA44}"/>
    <cellStyle name="Normal 2 5 2 3 3 2 3" xfId="12086" xr:uid="{7E6706F1-F3BC-4DE4-90C5-51754EF84A57}"/>
    <cellStyle name="Normal 2 5 2 3 3 2 3 2" xfId="22466" xr:uid="{B92C20CE-F04A-4C5F-8544-08FD1770A160}"/>
    <cellStyle name="Normal 2 5 2 3 3 2 4" xfId="24706" xr:uid="{F0CFE77C-8623-498D-A86F-1C84D94D2F02}"/>
    <cellStyle name="Normal 2 5 2 3 3 2 5" xfId="16800" xr:uid="{ED0D3814-8FBA-4ABE-BD44-FD369CE42E2D}"/>
    <cellStyle name="Normal 2 5 2 3 3 3" xfId="6278" xr:uid="{6B7E8AD6-2ED0-4DB0-B6B6-797418E549AD}"/>
    <cellStyle name="Normal 2 5 2 3 3 3 2" xfId="28668" xr:uid="{DBC7CC91-5ADA-4C37-BA92-BF3AFA28B1FF}"/>
    <cellStyle name="Normal 2 5 2 3 3 3 3" xfId="15847" xr:uid="{8AE53C57-9A0C-4A0E-B4B0-F8C4FDD3B24D}"/>
    <cellStyle name="Normal 2 5 2 3 3 4" xfId="8300" xr:uid="{A3E91B29-6F1C-4ACC-AFD8-E3F2F21FEC5F}"/>
    <cellStyle name="Normal 2 5 2 3 3 4 2" xfId="18680" xr:uid="{E8DC0184-69C1-46E8-B586-E9F1CCA48110}"/>
    <cellStyle name="Normal 2 5 2 3 3 5" xfId="11133" xr:uid="{BF792310-982E-4318-98E5-1DFAC5C18B15}"/>
    <cellStyle name="Normal 2 5 2 3 3 5 2" xfId="21513" xr:uid="{45E06DBE-6498-4D8D-9C18-15558C7DB73F}"/>
    <cellStyle name="Normal 2 5 2 3 3 6" xfId="24936" xr:uid="{71E6EFDE-88BC-4B59-8E98-465D5341ED21}"/>
    <cellStyle name="Normal 2 5 2 3 3 7" xfId="13763" xr:uid="{7A2E540D-36B5-476B-90B8-515E969C10D9}"/>
    <cellStyle name="Normal 2 5 2 3 4" xfId="3218" xr:uid="{00000000-0005-0000-0000-000079040000}"/>
    <cellStyle name="Normal 2 5 2 3 4 2" xfId="6276" xr:uid="{9AAF25EE-FB8E-4722-82FC-D8F8B86D1661}"/>
    <cellStyle name="Normal 2 5 2 3 4 2 2" xfId="27290" xr:uid="{30F52BE9-DC6B-4032-A086-8E83F0B26220}"/>
    <cellStyle name="Normal 2 5 2 3 4 2 3" xfId="15845" xr:uid="{41516B1E-32CC-4272-847E-3A420034FA18}"/>
    <cellStyle name="Normal 2 5 2 3 4 3" xfId="8298" xr:uid="{4C81EEC8-3539-4F8E-B7FA-09DA0A7684BA}"/>
    <cellStyle name="Normal 2 5 2 3 4 3 2" xfId="18678" xr:uid="{3D33B353-D445-4CDE-B1F8-FE5AF0ED8CFA}"/>
    <cellStyle name="Normal 2 5 2 3 4 4" xfId="11131" xr:uid="{DAD61EDE-170A-4B5A-BEE4-82688638A0E9}"/>
    <cellStyle name="Normal 2 5 2 3 4 4 2" xfId="21511" xr:uid="{E6D2FBAD-F889-4A7A-953F-88B854FD442B}"/>
    <cellStyle name="Normal 2 5 2 3 4 5" xfId="23580" xr:uid="{AC5BA273-55EE-4E9A-AEF3-E9321A648D82}"/>
    <cellStyle name="Normal 2 5 2 3 4 6" xfId="13761" xr:uid="{7A3046DE-830A-4E76-ADD2-33CBAD418714}"/>
    <cellStyle name="Normal 2 5 2 3 5" xfId="2598" xr:uid="{00000000-0005-0000-0000-00007A040000}"/>
    <cellStyle name="Normal 2 5 2 3 5 2" xfId="5863" xr:uid="{57F4218A-0856-4695-B7CD-070ED5C7857D}"/>
    <cellStyle name="Normal 2 5 2 3 5 2 2" xfId="25910" xr:uid="{C2C21EBE-0259-4024-8AB9-64DC316A0BE1}"/>
    <cellStyle name="Normal 2 5 2 3 5 2 3" xfId="15270" xr:uid="{82E013B2-446F-42DB-8AE4-05D8119EB650}"/>
    <cellStyle name="Normal 2 5 2 3 5 3" xfId="7723" xr:uid="{60E5F2DD-5A67-4A14-BCF3-1029110793D4}"/>
    <cellStyle name="Normal 2 5 2 3 5 3 2" xfId="18103" xr:uid="{903F867D-C52C-4F72-AAE6-EC9E6248ECF2}"/>
    <cellStyle name="Normal 2 5 2 3 5 4" xfId="10556" xr:uid="{C4AAA262-6DB3-4CCB-88CE-972140C6D5E1}"/>
    <cellStyle name="Normal 2 5 2 3 5 4 2" xfId="20936" xr:uid="{747C35FC-6408-44BA-9957-13386A0328E7}"/>
    <cellStyle name="Normal 2 5 2 3 5 5" xfId="23294" xr:uid="{9009F6E4-3888-457E-994B-1EF68210CA9B}"/>
    <cellStyle name="Normal 2 5 2 3 5 6" xfId="12986" xr:uid="{29E050E5-D4CF-4AAC-AD4D-658A6E1C7B05}"/>
    <cellStyle name="Normal 2 5 2 3 6" xfId="2334" xr:uid="{00000000-0005-0000-0000-000075040000}"/>
    <cellStyle name="Normal 2 5 2 3 6 2" xfId="7461" xr:uid="{1B6EE378-8B9C-47A7-8630-A6509BBE6949}"/>
    <cellStyle name="Normal 2 5 2 3 6 2 2" xfId="17841" xr:uid="{301CDB61-47D3-4DAF-9842-7871A055B12C}"/>
    <cellStyle name="Normal 2 5 2 3 6 3" xfId="10294" xr:uid="{01A84E7F-9D18-4484-A545-BCD477F02EDF}"/>
    <cellStyle name="Normal 2 5 2 3 6 3 2" xfId="20674" xr:uid="{6B9433DB-F847-48D5-9CA9-CD8CC6E91926}"/>
    <cellStyle name="Normal 2 5 2 3 6 4" xfId="23235" xr:uid="{5616085E-D1E4-475B-A134-244E040A0C3D}"/>
    <cellStyle name="Normal 2 5 2 3 6 5" xfId="15008" xr:uid="{2D52D98F-3300-4312-9DD2-A94489204E4A}"/>
    <cellStyle name="Normal 2 5 2 3 7" xfId="3849" xr:uid="{A0F0B495-44E9-4D87-8427-3065703ED31C}"/>
    <cellStyle name="Normal 2 5 2 3 7 2" xfId="8682" xr:uid="{5D0464CC-7BC2-46E4-9041-1B0CCFD048BC}"/>
    <cellStyle name="Normal 2 5 2 3 7 2 2" xfId="19062" xr:uid="{361A3BFB-7FB5-4E28-8E2A-327D80847DC1}"/>
    <cellStyle name="Normal 2 5 2 3 7 3" xfId="11515" xr:uid="{A0D666EA-7758-4A4D-B4CB-2775BEE55150}"/>
    <cellStyle name="Normal 2 5 2 3 7 3 2" xfId="21895" xr:uid="{B56248C6-390B-4CE6-98BE-BB02274D79ED}"/>
    <cellStyle name="Normal 2 5 2 3 7 4" xfId="16229" xr:uid="{014D6D88-15A7-412F-A1C0-B935C19E723F}"/>
    <cellStyle name="Normal 2 5 2 3 8" xfId="5144" xr:uid="{C637A8BE-D4E8-4CE6-9D9E-F7288871D17B}"/>
    <cellStyle name="Normal 2 5 2 3 8 2" xfId="14441" xr:uid="{1D8CC06A-14D7-4DFC-A85B-FB987D7EE3D5}"/>
    <cellStyle name="Normal 2 5 2 3 9" xfId="6894" xr:uid="{07C53E2F-55E7-4BCB-8812-7540EAE03A26}"/>
    <cellStyle name="Normal 2 5 2 3 9 2" xfId="17274" xr:uid="{38593FD1-BB1E-45AE-9E3B-057816A29D8E}"/>
    <cellStyle name="Normal 2 5 2 4" xfId="793" xr:uid="{00000000-0005-0000-0000-0000C5040000}"/>
    <cellStyle name="Normal 2 5 2 4 2" xfId="3221" xr:uid="{00000000-0005-0000-0000-00007C040000}"/>
    <cellStyle name="Normal 2 5 2 4 2 2" xfId="6279" xr:uid="{EEE2FE17-6B4C-4262-AD6A-9E5C22B87798}"/>
    <cellStyle name="Normal 2 5 2 4 2 2 2" xfId="27249" xr:uid="{07931A6B-F462-4D91-A266-D5022F75A9A7}"/>
    <cellStyle name="Normal 2 5 2 4 2 2 3" xfId="15848" xr:uid="{924739E1-A68B-41D2-A43F-1E9BB4A11579}"/>
    <cellStyle name="Normal 2 5 2 4 2 3" xfId="8301" xr:uid="{EB08D9D3-BE2B-4CEF-A0C6-C5955D24C885}"/>
    <cellStyle name="Normal 2 5 2 4 2 3 2" xfId="18681" xr:uid="{7719174E-AC06-4249-9BD7-55832E3EEC96}"/>
    <cellStyle name="Normal 2 5 2 4 2 4" xfId="11134" xr:uid="{EA91745C-2588-4CA4-82DF-04F4FFA8A36F}"/>
    <cellStyle name="Normal 2 5 2 4 2 4 2" xfId="21514" xr:uid="{78D5C279-A6F1-47C0-8CD0-C11C1DCE2BBF}"/>
    <cellStyle name="Normal 2 5 2 4 2 5" xfId="23370" xr:uid="{B1BAF2F6-6D8A-49A9-8A3A-39B752EAD3B7}"/>
    <cellStyle name="Normal 2 5 2 4 2 6" xfId="13764" xr:uid="{B34DFB72-EFBC-4647-BE4D-D840EECFE28B}"/>
    <cellStyle name="Normal 2 5 2 4 3" xfId="2740" xr:uid="{00000000-0005-0000-0000-00007D040000}"/>
    <cellStyle name="Normal 2 5 2 4 3 2" xfId="5958" xr:uid="{53D474A8-250B-4A0F-8833-5E811D83AD08}"/>
    <cellStyle name="Normal 2 5 2 4 3 2 2" xfId="26914" xr:uid="{4340A015-65D2-4715-B542-0AC3E1D1E874}"/>
    <cellStyle name="Normal 2 5 2 4 3 2 3" xfId="15411" xr:uid="{276446FA-B627-4DF3-976C-DD125ACCEF3A}"/>
    <cellStyle name="Normal 2 5 2 4 3 3" xfId="7864" xr:uid="{6BE22A1D-E582-4B42-AE90-314B96AA8A12}"/>
    <cellStyle name="Normal 2 5 2 4 3 3 2" xfId="18244" xr:uid="{3A9A18D3-B09B-4626-B506-04C2417F3A37}"/>
    <cellStyle name="Normal 2 5 2 4 3 4" xfId="10697" xr:uid="{7A96F4B5-A1CB-4D78-A0F0-587B367F80E0}"/>
    <cellStyle name="Normal 2 5 2 4 3 4 2" xfId="21077" xr:uid="{A4DCC127-A254-4CAB-A7B5-E42B9749139B}"/>
    <cellStyle name="Normal 2 5 2 4 3 5" xfId="23633" xr:uid="{3A0FDDF7-4CE5-4B2A-9275-84693E3FB79F}"/>
    <cellStyle name="Normal 2 5 2 4 3 6" xfId="13178" xr:uid="{4E10FE9B-F5DC-4BAC-804A-1B5E1352899A}"/>
    <cellStyle name="Normal 2 5 2 4 4" xfId="4168" xr:uid="{7D1ECE65-F0EB-4D6B-9500-CD08F41C9471}"/>
    <cellStyle name="Normal 2 5 2 4 4 2" xfId="8940" xr:uid="{2191E214-9052-48F1-9E96-A5E7810872BE}"/>
    <cellStyle name="Normal 2 5 2 4 4 2 2" xfId="19320" xr:uid="{F696EB39-AB37-4F5B-A1AE-CA4687B12113}"/>
    <cellStyle name="Normal 2 5 2 4 4 3" xfId="11773" xr:uid="{23EE8783-8212-4F57-8ECA-907796240104}"/>
    <cellStyle name="Normal 2 5 2 4 4 3 2" xfId="22153" xr:uid="{44BC714E-3EDF-4140-9297-8A37DBC943B9}"/>
    <cellStyle name="Normal 2 5 2 4 4 4" xfId="24948" xr:uid="{62D22C87-835B-403A-BC26-3CE93B532349}"/>
    <cellStyle name="Normal 2 5 2 4 4 5" xfId="16487" xr:uid="{E25BE7C9-BBB6-4D0A-B4EA-AB9EE862FB7D}"/>
    <cellStyle name="Normal 2 5 2 4 5" xfId="5145" xr:uid="{3C165FBA-6E04-463F-B297-973456C4E0A4}"/>
    <cellStyle name="Normal 2 5 2 4 5 2" xfId="14442" xr:uid="{4A1F2327-41D2-4272-8C23-A4BBA842D591}"/>
    <cellStyle name="Normal 2 5 2 4 6" xfId="6895" xr:uid="{32EC5D67-A489-4F87-BD0D-F04465B790FF}"/>
    <cellStyle name="Normal 2 5 2 4 6 2" xfId="17275" xr:uid="{79068C78-A9CE-4467-B711-613DF7980DC2}"/>
    <cellStyle name="Normal 2 5 2 4 7" xfId="9728" xr:uid="{05D479F6-8F2C-4987-B2C3-DA60C8369E04}"/>
    <cellStyle name="Normal 2 5 2 4 7 2" xfId="20108" xr:uid="{A8ECB67A-08CF-4B7A-A91A-162C5E733165}"/>
    <cellStyle name="Normal 2 5 2 4 8" xfId="24389" xr:uid="{F7A1A015-43C1-4E8B-A582-B9A54135F709}"/>
    <cellStyle name="Normal 2 5 2 4 9" xfId="12726" xr:uid="{3ED7CF03-90FB-4FFF-BC10-D1A1704AED85}"/>
    <cellStyle name="Normal 2 5 2 5" xfId="3222" xr:uid="{00000000-0005-0000-0000-00007E040000}"/>
    <cellStyle name="Normal 2 5 2 5 2" xfId="4482" xr:uid="{2CAEE3DB-359D-4F75-9894-D842204D562F}"/>
    <cellStyle name="Normal 2 5 2 5 2 2" xfId="9254" xr:uid="{07B8D04F-B436-468D-9D97-42EB2CDFEF8F}"/>
    <cellStyle name="Normal 2 5 2 5 2 2 2" xfId="29241" xr:uid="{AF5E4DEC-AED1-4352-9943-A57F31C0AA81}"/>
    <cellStyle name="Normal 2 5 2 5 2 2 3" xfId="19634" xr:uid="{4670DBA2-7760-4C78-9338-A289E30EBC5D}"/>
    <cellStyle name="Normal 2 5 2 5 2 3" xfId="12087" xr:uid="{787B96BF-C9E5-4EEA-9822-B7E04675F556}"/>
    <cellStyle name="Normal 2 5 2 5 2 3 2" xfId="22467" xr:uid="{D2107782-31B3-4BE5-B217-4EA741ED8E28}"/>
    <cellStyle name="Normal 2 5 2 5 2 4" xfId="25396" xr:uid="{F5C46202-F9BB-4824-8BE1-70E7454FDCDF}"/>
    <cellStyle name="Normal 2 5 2 5 2 5" xfId="16801" xr:uid="{89E11442-5DB0-4A0D-A1CA-DA7D312BC72D}"/>
    <cellStyle name="Normal 2 5 2 5 3" xfId="6280" xr:uid="{C22E0A54-0B0C-4FE3-A4DA-E7022E5BAE84}"/>
    <cellStyle name="Normal 2 5 2 5 3 2" xfId="26021" xr:uid="{83A952E5-3095-48EF-9E3B-9223594174E6}"/>
    <cellStyle name="Normal 2 5 2 5 3 3" xfId="15849" xr:uid="{9C3CFDC7-32E2-4113-A882-B18D0017921F}"/>
    <cellStyle name="Normal 2 5 2 5 4" xfId="8302" xr:uid="{2B5EC5B1-C9A6-49E7-BD0B-28F511F0FFFB}"/>
    <cellStyle name="Normal 2 5 2 5 4 2" xfId="18682" xr:uid="{65C2A20F-DFD8-4188-8956-A9FE2E941A8F}"/>
    <cellStyle name="Normal 2 5 2 5 5" xfId="11135" xr:uid="{AAEA1FD6-DC9D-4654-A0BA-EABC1796A96C}"/>
    <cellStyle name="Normal 2 5 2 5 5 2" xfId="21515" xr:uid="{7628DB45-4251-4BB8-AD09-352D02079EE8}"/>
    <cellStyle name="Normal 2 5 2 5 6" xfId="24712" xr:uid="{6F1D76E4-752F-4FFD-A731-1018C2BBD8E2}"/>
    <cellStyle name="Normal 2 5 2 5 7" xfId="13765" xr:uid="{653BB0C4-0C1C-4302-847F-B5E6308AF81B}"/>
    <cellStyle name="Normal 2 5 2 6" xfId="2909" xr:uid="{00000000-0005-0000-0000-00007F040000}"/>
    <cellStyle name="Normal 2 5 2 6 2" xfId="6095" xr:uid="{EF4B9E71-D2F2-4C8B-972D-177687E96515}"/>
    <cellStyle name="Normal 2 5 2 6 2 2" xfId="28196" xr:uid="{6A69E23C-421A-42A8-8575-D382A19C7F04}"/>
    <cellStyle name="Normal 2 5 2 6 2 3" xfId="15573" xr:uid="{859D1AE7-FB27-4187-B74D-CA98BB8D3202}"/>
    <cellStyle name="Normal 2 5 2 6 3" xfId="8026" xr:uid="{7579173E-DC72-4874-A64B-3673CCDE9864}"/>
    <cellStyle name="Normal 2 5 2 6 3 2" xfId="18406" xr:uid="{A2396188-FDDA-4696-B50E-EB2B6277FC67}"/>
    <cellStyle name="Normal 2 5 2 6 4" xfId="10859" xr:uid="{7B742B51-E818-4C84-9D60-F461B34C1576}"/>
    <cellStyle name="Normal 2 5 2 6 4 2" xfId="21239" xr:uid="{D4838F46-E9C8-47DA-AFE6-6C25E5582D21}"/>
    <cellStyle name="Normal 2 5 2 6 5" xfId="22699" xr:uid="{35487D1D-41C9-45EC-8536-378C0F4EEFB4}"/>
    <cellStyle name="Normal 2 5 2 6 6" xfId="13424" xr:uid="{91921D68-67D7-4B68-94FD-1F4FA3148177}"/>
    <cellStyle name="Normal 2 5 2 7" xfId="2495" xr:uid="{00000000-0005-0000-0000-000080040000}"/>
    <cellStyle name="Normal 2 5 2 7 2" xfId="5778" xr:uid="{99C2BA53-1365-4EB4-AB06-F7F7498A9696}"/>
    <cellStyle name="Normal 2 5 2 7 2 2" xfId="26062" xr:uid="{3C304D84-09DF-4795-9F57-2880C2D1D8FA}"/>
    <cellStyle name="Normal 2 5 2 7 2 3" xfId="15167" xr:uid="{919C06B2-919F-49E0-A5F5-3D16976D0918}"/>
    <cellStyle name="Normal 2 5 2 7 3" xfId="7620" xr:uid="{EE146622-CF2C-47FA-B51E-37A16AAF08E8}"/>
    <cellStyle name="Normal 2 5 2 7 3 2" xfId="18000" xr:uid="{4750487A-B7D3-4B35-8742-0AB55BA36BFA}"/>
    <cellStyle name="Normal 2 5 2 7 4" xfId="10453" xr:uid="{666CCBBF-6F67-4FD1-8753-3BBEBC1E9EC4}"/>
    <cellStyle name="Normal 2 5 2 7 4 2" xfId="20833" xr:uid="{DC00A23E-136E-459B-B5FD-DB187E2FE1F8}"/>
    <cellStyle name="Normal 2 5 2 7 5" xfId="25036" xr:uid="{A0702F01-6B20-415F-98D1-8AB87128CE06}"/>
    <cellStyle name="Normal 2 5 2 7 6" xfId="12883" xr:uid="{43C74731-0EAF-437F-B70C-459112110876}"/>
    <cellStyle name="Normal 2 5 2 8" xfId="2189" xr:uid="{00000000-0005-0000-0000-000069040000}"/>
    <cellStyle name="Normal 2 5 2 8 2" xfId="7316" xr:uid="{76F9C6E1-98BB-4CD5-9663-E35BB481387B}"/>
    <cellStyle name="Normal 2 5 2 8 2 2" xfId="17696" xr:uid="{78F6CB6F-EF45-4BA8-8861-8C2770619ABB}"/>
    <cellStyle name="Normal 2 5 2 8 3" xfId="10149" xr:uid="{66AB0743-5217-4D1A-ACDB-6DB31C0DC1FE}"/>
    <cellStyle name="Normal 2 5 2 8 3 2" xfId="20529" xr:uid="{03EE2923-0E90-4239-BE48-7DB4A2874218}"/>
    <cellStyle name="Normal 2 5 2 8 4" xfId="22640" xr:uid="{1929FE0D-2A66-4D62-AD03-D14638CF9BC1}"/>
    <cellStyle name="Normal 2 5 2 8 5" xfId="14863" xr:uid="{AF8078E8-36A5-4D2A-9238-FE17E1C01874}"/>
    <cellStyle name="Normal 2 5 2 9" xfId="3944" xr:uid="{08C0ECA0-D38B-41F7-AAD3-FF6FD8BC8E27}"/>
    <cellStyle name="Normal 2 5 2 9 2" xfId="8776" xr:uid="{F443E9E3-BF33-46DC-8E48-C86F6F9F61B2}"/>
    <cellStyle name="Normal 2 5 2 9 2 2" xfId="19156" xr:uid="{DA98C03B-4C78-4F2B-9725-F2F70D48E311}"/>
    <cellStyle name="Normal 2 5 2 9 3" xfId="11609" xr:uid="{E395D239-6ADD-4534-9D49-6EEA98B8A25F}"/>
    <cellStyle name="Normal 2 5 2 9 3 2" xfId="21989" xr:uid="{B165DF3C-AB91-4A18-A236-17AE971F1CB4}"/>
    <cellStyle name="Normal 2 5 2 9 4" xfId="16323" xr:uid="{4815F7E9-B950-4B34-90DA-2E75FE8DB948}"/>
    <cellStyle name="Normal 2 5 3" xfId="794" xr:uid="{00000000-0005-0000-0000-0000C6040000}"/>
    <cellStyle name="Normal 2 5 3 10" xfId="5146" xr:uid="{B901A708-D7E7-411F-A167-479150D6CF2A}"/>
    <cellStyle name="Normal 2 5 3 10 2" xfId="14443" xr:uid="{0105A7C3-D629-467C-B6CF-C7BABA0C9123}"/>
    <cellStyle name="Normal 2 5 3 11" xfId="6896" xr:uid="{5BE858C3-0F6A-4DB6-AD8F-B07F86E6E3FD}"/>
    <cellStyle name="Normal 2 5 3 11 2" xfId="17276" xr:uid="{313C113C-5C9F-40CE-A47E-8390E2C182D4}"/>
    <cellStyle name="Normal 2 5 3 12" xfId="9729" xr:uid="{D01B6235-68CA-4951-94F9-623B5B813D32}"/>
    <cellStyle name="Normal 2 5 3 12 2" xfId="20109" xr:uid="{74E602F9-776A-4F97-ADAF-01E963B1E38E}"/>
    <cellStyle name="Normal 2 5 3 13" xfId="23119" xr:uid="{34070B2D-BA9C-4441-AD3D-F887D0876F3A}"/>
    <cellStyle name="Normal 2 5 3 14" xfId="12455" xr:uid="{31EE617D-D551-439D-A1A3-02848639B573}"/>
    <cellStyle name="Normal 2 5 3 2" xfId="795" xr:uid="{00000000-0005-0000-0000-0000C7040000}"/>
    <cellStyle name="Normal 2 5 3 2 10" xfId="9730" xr:uid="{A17B91C3-1F56-4A4D-AF3E-AC7567B499B9}"/>
    <cellStyle name="Normal 2 5 3 2 10 2" xfId="20110" xr:uid="{8D32B545-DD11-49E7-9C36-403AB34BACC2}"/>
    <cellStyle name="Normal 2 5 3 2 11" xfId="23348" xr:uid="{03FECB21-470C-4A29-B147-7F0CAAF93F1C}"/>
    <cellStyle name="Normal 2 5 3 2 12" xfId="12569" xr:uid="{0CC7BC41-9A3A-413B-BA31-66A3CBC60725}"/>
    <cellStyle name="Normal 2 5 3 2 2" xfId="796" xr:uid="{00000000-0005-0000-0000-0000C8040000}"/>
    <cellStyle name="Normal 2 5 3 2 2 2" xfId="3224" xr:uid="{00000000-0005-0000-0000-000084040000}"/>
    <cellStyle name="Normal 2 5 3 2 2 2 2" xfId="6282" xr:uid="{AE06F968-3F82-490F-AD4C-E515EAC7C341}"/>
    <cellStyle name="Normal 2 5 3 2 2 2 2 2" xfId="26767" xr:uid="{963993A2-0774-4C0A-B203-58A1F09FDA20}"/>
    <cellStyle name="Normal 2 5 3 2 2 2 2 3" xfId="26118" xr:uid="{382095A3-94FE-451A-9763-D22227E7BA23}"/>
    <cellStyle name="Normal 2 5 3 2 2 2 2 4" xfId="15851" xr:uid="{F29EC348-A204-49F9-9C0B-8A7935371C81}"/>
    <cellStyle name="Normal 2 5 3 2 2 2 3" xfId="8304" xr:uid="{E305045C-647C-4253-B434-20A78C68A955}"/>
    <cellStyle name="Normal 2 5 3 2 2 2 3 2" xfId="28887" xr:uid="{20061D78-E085-449C-9839-E4A15376BA84}"/>
    <cellStyle name="Normal 2 5 3 2 2 2 3 3" xfId="18684" xr:uid="{F0D2C55F-846C-4A52-A4AD-F035A82C4E1C}"/>
    <cellStyle name="Normal 2 5 3 2 2 2 4" xfId="11137" xr:uid="{E4CB2C56-B398-45F3-93A2-52F64E8B4FCD}"/>
    <cellStyle name="Normal 2 5 3 2 2 2 4 2" xfId="21517" xr:uid="{2DAB53EB-DE63-46E2-B876-ED521E9991D1}"/>
    <cellStyle name="Normal 2 5 3 2 2 2 5" xfId="25074" xr:uid="{FCDC08AB-856B-4995-8B0C-50A17A951D0B}"/>
    <cellStyle name="Normal 2 5 3 2 2 2 6" xfId="13767" xr:uid="{E4C19338-8437-4B6F-85D2-7915BF2A8C43}"/>
    <cellStyle name="Normal 2 5 3 2 2 3" xfId="4309" xr:uid="{33CF12BE-4E15-4766-966E-D53F693A0B27}"/>
    <cellStyle name="Normal 2 5 3 2 2 3 2" xfId="9081" xr:uid="{C23A6B08-EE5B-4BE4-95C9-3351C454EDAE}"/>
    <cellStyle name="Normal 2 5 3 2 2 3 2 2" xfId="29124" xr:uid="{3A7666C7-A758-457F-8359-865586FD1FF3}"/>
    <cellStyle name="Normal 2 5 3 2 2 3 2 3" xfId="19461" xr:uid="{2BD31331-0623-4781-940B-7F530BD394EB}"/>
    <cellStyle name="Normal 2 5 3 2 2 3 3" xfId="11914" xr:uid="{8E817C7C-DF18-4E16-90F9-1F79D4240CD2}"/>
    <cellStyle name="Normal 2 5 3 2 2 3 3 2" xfId="22294" xr:uid="{A644BADA-4A7E-4705-BCE0-EA0AB7E48073}"/>
    <cellStyle name="Normal 2 5 3 2 2 3 4" xfId="24974" xr:uid="{F0163A7A-099C-4C94-A83D-65AF42BF9F57}"/>
    <cellStyle name="Normal 2 5 3 2 2 3 5" xfId="16628" xr:uid="{49A5CFFB-A459-42F3-B5BE-D78081F8FE19}"/>
    <cellStyle name="Normal 2 5 3 2 2 4" xfId="5148" xr:uid="{7CAF6CA8-B2D7-4ECB-85F2-7B29C7DE4354}"/>
    <cellStyle name="Normal 2 5 3 2 2 4 2" xfId="26946" xr:uid="{98549FEC-8556-468E-8063-23A0CEDA2D5A}"/>
    <cellStyle name="Normal 2 5 3 2 2 4 3" xfId="14445" xr:uid="{D57A7FE4-0A42-4484-9FAF-9EB466F5E4AC}"/>
    <cellStyle name="Normal 2 5 3 2 2 5" xfId="6898" xr:uid="{61B74B72-EE99-4F1C-807F-27989FC8E96E}"/>
    <cellStyle name="Normal 2 5 3 2 2 5 2" xfId="17278" xr:uid="{E73A2E4F-DE00-443A-8D3B-7B4D3860D75A}"/>
    <cellStyle name="Normal 2 5 3 2 2 6" xfId="9731" xr:uid="{9768CB4E-2714-4103-8E6E-910ACBC0179F}"/>
    <cellStyle name="Normal 2 5 3 2 2 6 2" xfId="20111" xr:uid="{A5754DFA-E505-4F9F-90A1-15537FC8F736}"/>
    <cellStyle name="Normal 2 5 3 2 2 7" xfId="23824" xr:uid="{1173EBCD-5665-49E6-AD5C-B2304B17161D}"/>
    <cellStyle name="Normal 2 5 3 2 2 8" xfId="13183" xr:uid="{80A92B38-ED87-4C56-BADD-16D35D522DD5}"/>
    <cellStyle name="Normal 2 5 3 2 3" xfId="3225" xr:uid="{00000000-0005-0000-0000-000085040000}"/>
    <cellStyle name="Normal 2 5 3 2 3 2" xfId="4483" xr:uid="{F84F9602-F0AE-4DC7-951D-91646602D2D6}"/>
    <cellStyle name="Normal 2 5 3 2 3 2 2" xfId="9255" xr:uid="{1FC5633E-CCE7-43C7-B1F4-4E2766DB1D61}"/>
    <cellStyle name="Normal 2 5 3 2 3 2 2 2" xfId="29242" xr:uid="{75E8350C-2217-4421-B096-6919CE67F2BD}"/>
    <cellStyle name="Normal 2 5 3 2 3 2 2 3" xfId="19635" xr:uid="{91447355-DCF7-4612-82E6-E8E17892F62D}"/>
    <cellStyle name="Normal 2 5 3 2 3 2 3" xfId="12088" xr:uid="{2C0ECAF3-4B2A-42C9-A3FF-16A3C46C8632}"/>
    <cellStyle name="Normal 2 5 3 2 3 2 3 2" xfId="22468" xr:uid="{F6199A07-8DCE-4968-A554-A033795ABB04}"/>
    <cellStyle name="Normal 2 5 3 2 3 2 4" xfId="22824" xr:uid="{CC24F134-ED75-48E1-BAB9-646D79CDE47F}"/>
    <cellStyle name="Normal 2 5 3 2 3 2 5" xfId="16802" xr:uid="{0EA075A4-7FF1-4EA2-9CF8-6CD4F1B6190C}"/>
    <cellStyle name="Normal 2 5 3 2 3 3" xfId="6283" xr:uid="{88C70F18-104D-4686-AE35-9A30C0FC5F3D}"/>
    <cellStyle name="Normal 2 5 3 2 3 3 2" xfId="28644" xr:uid="{F7A23F4E-268A-44DC-B3F7-D0F11D7E5095}"/>
    <cellStyle name="Normal 2 5 3 2 3 3 3" xfId="15852" xr:uid="{3F0CE3FA-F544-4381-B5C8-629B153FCFB3}"/>
    <cellStyle name="Normal 2 5 3 2 3 4" xfId="8305" xr:uid="{4AB34DBE-B719-405E-B495-A072AFC84F6D}"/>
    <cellStyle name="Normal 2 5 3 2 3 4 2" xfId="18685" xr:uid="{B90C945C-9FE6-4044-9571-4E2F08A49A16}"/>
    <cellStyle name="Normal 2 5 3 2 3 5" xfId="11138" xr:uid="{6F74A375-9431-4E90-97C0-BF826892E75E}"/>
    <cellStyle name="Normal 2 5 3 2 3 5 2" xfId="21518" xr:uid="{D3ADF032-A154-427E-AA45-97FB78A2C7A7}"/>
    <cellStyle name="Normal 2 5 3 2 3 6" xfId="24289" xr:uid="{C41AD594-8344-40FC-9BAB-4F9F300DC813}"/>
    <cellStyle name="Normal 2 5 3 2 3 7" xfId="13768" xr:uid="{361459F8-1D19-4B25-A48A-253C871852DA}"/>
    <cellStyle name="Normal 2 5 3 2 4" xfId="3223" xr:uid="{00000000-0005-0000-0000-000086040000}"/>
    <cellStyle name="Normal 2 5 3 2 4 2" xfId="6281" xr:uid="{BECEE6F2-A32E-4134-BA46-9763589BE9F2}"/>
    <cellStyle name="Normal 2 5 3 2 4 2 2" xfId="28708" xr:uid="{308930B8-2630-49A9-8636-EFF6988358E2}"/>
    <cellStyle name="Normal 2 5 3 2 4 2 3" xfId="15850" xr:uid="{0291A228-6AF3-4CBE-ACFB-E6F988A6A73A}"/>
    <cellStyle name="Normal 2 5 3 2 4 3" xfId="8303" xr:uid="{D80F0271-FBD8-4581-B581-CCC4DEAB2087}"/>
    <cellStyle name="Normal 2 5 3 2 4 3 2" xfId="18683" xr:uid="{9A2F5522-6710-48DA-93DF-AB57C204EE03}"/>
    <cellStyle name="Normal 2 5 3 2 4 4" xfId="11136" xr:uid="{66F5DD36-C143-4AFD-849D-8A1F27B73A18}"/>
    <cellStyle name="Normal 2 5 3 2 4 4 2" xfId="21516" xr:uid="{11A4F742-1E4F-443A-B812-6848ECD0CE9D}"/>
    <cellStyle name="Normal 2 5 3 2 4 5" xfId="24537" xr:uid="{26D90045-E0DA-4C17-A2DE-D05875D7DD77}"/>
    <cellStyle name="Normal 2 5 3 2 4 6" xfId="13766" xr:uid="{98C3BC26-DF6F-4124-B423-9B4CF26C537F}"/>
    <cellStyle name="Normal 2 5 3 2 5" xfId="2529" xr:uid="{00000000-0005-0000-0000-000087040000}"/>
    <cellStyle name="Normal 2 5 3 2 5 2" xfId="5805" xr:uid="{55D655E9-1F84-43FE-9320-62BF5B1C22F6}"/>
    <cellStyle name="Normal 2 5 3 2 5 2 2" xfId="26177" xr:uid="{50A77953-1BD7-4337-84BF-5813ED2F0752}"/>
    <cellStyle name="Normal 2 5 3 2 5 2 3" xfId="15201" xr:uid="{D22DC361-ACE5-49EE-B767-6EDC2400BE2C}"/>
    <cellStyle name="Normal 2 5 3 2 5 3" xfId="7654" xr:uid="{816ADA4C-2F33-426F-A37D-37AC2E6755CF}"/>
    <cellStyle name="Normal 2 5 3 2 5 3 2" xfId="18034" xr:uid="{D4504AA2-E25B-4DDE-BF21-0B20F0EB7EC1}"/>
    <cellStyle name="Normal 2 5 3 2 5 4" xfId="10487" xr:uid="{67D4F33F-8D42-447C-8A88-E27F61469A3C}"/>
    <cellStyle name="Normal 2 5 3 2 5 4 2" xfId="20867" xr:uid="{D91E4D89-AFFC-4684-9FD4-E8CA9AE82100}"/>
    <cellStyle name="Normal 2 5 3 2 5 5" xfId="23162" xr:uid="{E913EA84-6AD1-41E2-A6F2-988DCA44C904}"/>
    <cellStyle name="Normal 2 5 3 2 5 6" xfId="12917" xr:uid="{EBEFE572-9B04-49F8-9FA4-0183C7B8D7B7}"/>
    <cellStyle name="Normal 2 5 3 2 6" xfId="2335" xr:uid="{00000000-0005-0000-0000-000082040000}"/>
    <cellStyle name="Normal 2 5 3 2 6 2" xfId="7462" xr:uid="{8B280B00-8611-4835-8C2E-276957C20C28}"/>
    <cellStyle name="Normal 2 5 3 2 6 2 2" xfId="17842" xr:uid="{BF30448F-133B-415C-8778-53B63BAE02CB}"/>
    <cellStyle name="Normal 2 5 3 2 6 3" xfId="10295" xr:uid="{1992D4DC-B5AC-442B-A473-26CECB6553B9}"/>
    <cellStyle name="Normal 2 5 3 2 6 3 2" xfId="20675" xr:uid="{E0B28474-8A8E-4DD0-8EB0-A817622FB2F0}"/>
    <cellStyle name="Normal 2 5 3 2 6 4" xfId="25589" xr:uid="{68796DDE-58EE-4733-89EA-044952437EFA}"/>
    <cellStyle name="Normal 2 5 3 2 6 5" xfId="15009" xr:uid="{E209A7A4-6938-4DFD-A8BB-6B2ADF3713F4}"/>
    <cellStyle name="Normal 2 5 3 2 7" xfId="3850" xr:uid="{68EF5F68-1856-41ED-95F2-A0A18534450F}"/>
    <cellStyle name="Normal 2 5 3 2 7 2" xfId="8683" xr:uid="{6468FD96-C1EC-4926-9F24-4FB5A8D3D5E1}"/>
    <cellStyle name="Normal 2 5 3 2 7 2 2" xfId="19063" xr:uid="{E77C4959-A932-418D-B36C-E48F813800E6}"/>
    <cellStyle name="Normal 2 5 3 2 7 3" xfId="11516" xr:uid="{DB5AA5FF-FE6A-4E50-A827-E675B7C4F86F}"/>
    <cellStyle name="Normal 2 5 3 2 7 3 2" xfId="21896" xr:uid="{790401EC-BDE4-4FF2-ADB2-C7F7D34CF1E5}"/>
    <cellStyle name="Normal 2 5 3 2 7 4" xfId="16230" xr:uid="{B5229A24-93F2-4693-851B-06CC506A0C55}"/>
    <cellStyle name="Normal 2 5 3 2 8" xfId="5147" xr:uid="{71DFB732-21F4-419B-9955-A0214C926B6F}"/>
    <cellStyle name="Normal 2 5 3 2 8 2" xfId="14444" xr:uid="{8F70C548-A3C3-44C7-81EA-CBE29DAAE6C3}"/>
    <cellStyle name="Normal 2 5 3 2 9" xfId="6897" xr:uid="{A26A1334-8781-4C7F-832A-3113608D2B6B}"/>
    <cellStyle name="Normal 2 5 3 2 9 2" xfId="17277" xr:uid="{2F1103A3-D415-4772-9783-7DF3E96E5209}"/>
    <cellStyle name="Normal 2 5 3 3" xfId="797" xr:uid="{00000000-0005-0000-0000-0000C9040000}"/>
    <cellStyle name="Normal 2 5 3 3 10" xfId="23044" xr:uid="{031C11DD-FCFB-47AB-BA52-672EED5BF159}"/>
    <cellStyle name="Normal 2 5 3 3 11" xfId="12727" xr:uid="{959C6AC3-1A67-4C63-924F-C3073593B867}"/>
    <cellStyle name="Normal 2 5 3 3 2" xfId="2744" xr:uid="{00000000-0005-0000-0000-000089040000}"/>
    <cellStyle name="Normal 2 5 3 3 2 2" xfId="3227" xr:uid="{00000000-0005-0000-0000-00008A040000}"/>
    <cellStyle name="Normal 2 5 3 3 2 2 2" xfId="6285" xr:uid="{25804369-44D9-459B-AAF0-86CD4FE0C9F3}"/>
    <cellStyle name="Normal 2 5 3 3 2 2 2 2" xfId="28326" xr:uid="{13FB1E69-19B8-4F39-9B11-E56FDBFFE513}"/>
    <cellStyle name="Normal 2 5 3 3 2 2 2 3" xfId="15854" xr:uid="{CC4942FC-D8CD-4C14-A7DC-2C9F5FF6D062}"/>
    <cellStyle name="Normal 2 5 3 3 2 2 3" xfId="8307" xr:uid="{E1C95000-BFF6-4817-896D-FF8602CB33AA}"/>
    <cellStyle name="Normal 2 5 3 3 2 2 3 2" xfId="18687" xr:uid="{328EACC2-91C4-43B4-B8B1-A5B08CCE66FD}"/>
    <cellStyle name="Normal 2 5 3 3 2 2 4" xfId="11140" xr:uid="{C200ADDC-0253-4A5C-9380-03155673285D}"/>
    <cellStyle name="Normal 2 5 3 3 2 2 4 2" xfId="21520" xr:uid="{132883E7-FD5A-400D-A783-82E777FBEF89}"/>
    <cellStyle name="Normal 2 5 3 3 2 2 5" xfId="22932" xr:uid="{FD21EA28-58D8-4640-BCD8-436C2B747B36}"/>
    <cellStyle name="Normal 2 5 3 3 2 2 6" xfId="13770" xr:uid="{17D29EFB-3707-404C-85EF-176B86D713D6}"/>
    <cellStyle name="Normal 2 5 3 3 2 3" xfId="4310" xr:uid="{1107B74B-FE16-45DD-897B-F3FED8FBA035}"/>
    <cellStyle name="Normal 2 5 3 3 2 3 2" xfId="9082" xr:uid="{9A2F5A9A-DBFE-43CB-B7F4-1B81C1AC1F57}"/>
    <cellStyle name="Normal 2 5 3 3 2 3 2 2" xfId="29125" xr:uid="{C18B8F15-42E5-4CD1-B362-08EB4981DFEC}"/>
    <cellStyle name="Normal 2 5 3 3 2 3 2 3" xfId="19462" xr:uid="{9DA8E725-F94A-4428-B5C6-AF45C02AA7BE}"/>
    <cellStyle name="Normal 2 5 3 3 2 3 3" xfId="11915" xr:uid="{543B574E-E8BD-4E81-97A3-8F4AB0D957C5}"/>
    <cellStyle name="Normal 2 5 3 3 2 3 3 2" xfId="22295" xr:uid="{63B6EB05-9EB6-4DDA-92D3-E5C84ABB373C}"/>
    <cellStyle name="Normal 2 5 3 3 2 3 4" xfId="23578" xr:uid="{B183ABB5-AEAC-4324-B67A-883A055856E7}"/>
    <cellStyle name="Normal 2 5 3 3 2 3 5" xfId="16629" xr:uid="{AFF0AFBE-A036-4A2F-B7EC-418A4D0FA1E1}"/>
    <cellStyle name="Normal 2 5 3 3 2 4" xfId="5962" xr:uid="{7ABC2878-0CFB-4341-823C-590E345E96EA}"/>
    <cellStyle name="Normal 2 5 3 3 2 4 2" xfId="28132" xr:uid="{143786A4-9DA3-443C-89EF-AD66CA6AEBA1}"/>
    <cellStyle name="Normal 2 5 3 3 2 4 3" xfId="15415" xr:uid="{355A02C9-1378-4F95-9738-7D3BF406B401}"/>
    <cellStyle name="Normal 2 5 3 3 2 5" xfId="7868" xr:uid="{035FE164-C485-4BB7-9E30-1ED086CED099}"/>
    <cellStyle name="Normal 2 5 3 3 2 5 2" xfId="18248" xr:uid="{CEF946DA-5181-44CA-A469-BDDE98BFD9CD}"/>
    <cellStyle name="Normal 2 5 3 3 2 6" xfId="10701" xr:uid="{4DF713A1-28E6-4743-8E80-6C8DE2DFE72B}"/>
    <cellStyle name="Normal 2 5 3 3 2 6 2" xfId="21081" xr:uid="{57BA23C6-7D59-4F2B-9E49-34433176D4A4}"/>
    <cellStyle name="Normal 2 5 3 3 2 7" xfId="25225" xr:uid="{99AA99E4-312F-4C28-B193-CBEADDBB85D0}"/>
    <cellStyle name="Normal 2 5 3 3 2 8" xfId="13184" xr:uid="{3EA2A6FB-FCFB-4DCB-AA36-A0B7FFC6C9D6}"/>
    <cellStyle name="Normal 2 5 3 3 3" xfId="3228" xr:uid="{00000000-0005-0000-0000-00008B040000}"/>
    <cellStyle name="Normal 2 5 3 3 3 2" xfId="4484" xr:uid="{951FAC34-D5FB-48AC-B36C-45BCE8EFE642}"/>
    <cellStyle name="Normal 2 5 3 3 3 2 2" xfId="9256" xr:uid="{545DCAC0-08C9-4B07-BBF3-506B166FD2F6}"/>
    <cellStyle name="Normal 2 5 3 3 3 2 2 2" xfId="29243" xr:uid="{EF85B97C-056C-4973-A746-58F159A92BF8}"/>
    <cellStyle name="Normal 2 5 3 3 3 2 2 3" xfId="19636" xr:uid="{4B0A08D7-8B3A-4832-B9C7-BA2320660323}"/>
    <cellStyle name="Normal 2 5 3 3 3 2 3" xfId="12089" xr:uid="{408152FC-D79D-445C-8162-5DA9B3B886FA}"/>
    <cellStyle name="Normal 2 5 3 3 3 2 3 2" xfId="22469" xr:uid="{88B369D0-AC3C-442D-A3E2-DF14A0BE12CB}"/>
    <cellStyle name="Normal 2 5 3 3 3 2 4" xfId="25590" xr:uid="{7B11F276-EFB1-4CE5-AAAF-C81351D04808}"/>
    <cellStyle name="Normal 2 5 3 3 3 2 5" xfId="16803" xr:uid="{ED702B6E-C0C9-4D8B-9646-FCD99BC5123F}"/>
    <cellStyle name="Normal 2 5 3 3 3 3" xfId="6286" xr:uid="{49E23FAE-86D7-4637-91B5-D4535F3EEE3C}"/>
    <cellStyle name="Normal 2 5 3 3 3 3 2" xfId="25888" xr:uid="{985224D8-D2DF-4B30-BBC4-0C734A65E8E8}"/>
    <cellStyle name="Normal 2 5 3 3 3 3 3" xfId="15855" xr:uid="{86784FBA-6E6F-4752-B168-C9D11180137E}"/>
    <cellStyle name="Normal 2 5 3 3 3 4" xfId="8308" xr:uid="{A33E524C-83A4-40D8-82B9-596C924968C8}"/>
    <cellStyle name="Normal 2 5 3 3 3 4 2" xfId="18688" xr:uid="{6CD46AB8-ED21-465B-BC4C-415C8155090A}"/>
    <cellStyle name="Normal 2 5 3 3 3 5" xfId="11141" xr:uid="{864771EB-E8B7-4442-AE35-32F1E104751C}"/>
    <cellStyle name="Normal 2 5 3 3 3 5 2" xfId="21521" xr:uid="{790328D7-A0B3-499C-A593-89CAAC845012}"/>
    <cellStyle name="Normal 2 5 3 3 3 6" xfId="23128" xr:uid="{1C7FF4AA-F112-4817-AFA7-337311AE8D92}"/>
    <cellStyle name="Normal 2 5 3 3 3 7" xfId="13771" xr:uid="{6D3BB943-701D-4A19-A4C9-AC850DE15A54}"/>
    <cellStyle name="Normal 2 5 3 3 4" xfId="3226" xr:uid="{00000000-0005-0000-0000-00008C040000}"/>
    <cellStyle name="Normal 2 5 3 3 4 2" xfId="6284" xr:uid="{0C3BD62F-F8AC-44D4-B5FF-7BFACC6D07D5}"/>
    <cellStyle name="Normal 2 5 3 3 4 2 2" xfId="26474" xr:uid="{8CD69CCA-B0FD-4E9A-8CEB-542155F751F2}"/>
    <cellStyle name="Normal 2 5 3 3 4 2 3" xfId="15853" xr:uid="{F2D39404-8D23-4B87-A925-2E52341FF785}"/>
    <cellStyle name="Normal 2 5 3 3 4 3" xfId="8306" xr:uid="{9527BE1E-DE74-4998-8553-7E5E26C1EFA2}"/>
    <cellStyle name="Normal 2 5 3 3 4 3 2" xfId="18686" xr:uid="{8647DFEC-5795-4E25-89C9-3F75FA989953}"/>
    <cellStyle name="Normal 2 5 3 3 4 4" xfId="11139" xr:uid="{BF522B7D-4624-4E56-92C8-332BB22C2467}"/>
    <cellStyle name="Normal 2 5 3 3 4 4 2" xfId="21519" xr:uid="{AD49A652-9991-4344-BEAB-0B78CFBD538D}"/>
    <cellStyle name="Normal 2 5 3 3 4 5" xfId="25369" xr:uid="{1A593429-A8C9-479E-AE78-CA9217A38F3D}"/>
    <cellStyle name="Normal 2 5 3 3 4 6" xfId="13769" xr:uid="{AC368816-52E5-4934-81B9-98172E0CCDC2}"/>
    <cellStyle name="Normal 2 5 3 3 5" xfId="2632" xr:uid="{00000000-0005-0000-0000-00008D040000}"/>
    <cellStyle name="Normal 2 5 3 3 5 2" xfId="5894" xr:uid="{E2E090D2-3735-478B-9685-CCDCF79CED39}"/>
    <cellStyle name="Normal 2 5 3 3 5 2 2" xfId="27104" xr:uid="{333B7E22-A868-4CDD-A946-650B7FE6FE6C}"/>
    <cellStyle name="Normal 2 5 3 3 5 2 3" xfId="15304" xr:uid="{3BD07DCA-A157-45A3-9D9D-4CE33245103F}"/>
    <cellStyle name="Normal 2 5 3 3 5 3" xfId="7757" xr:uid="{44037371-D29E-4521-A158-ED7938454E68}"/>
    <cellStyle name="Normal 2 5 3 3 5 3 2" xfId="18137" xr:uid="{7B599C7F-7535-42B4-89BD-95E9A2D3F07C}"/>
    <cellStyle name="Normal 2 5 3 3 5 4" xfId="10590" xr:uid="{E91E3381-5744-4EBC-9023-F0BB8787BB8D}"/>
    <cellStyle name="Normal 2 5 3 3 5 4 2" xfId="20970" xr:uid="{7903732C-1E4A-4DC7-B982-0AEDE4E5D11B}"/>
    <cellStyle name="Normal 2 5 3 3 5 5" xfId="23999" xr:uid="{4039D8F0-F054-40B7-A0E4-A4EEF489507E}"/>
    <cellStyle name="Normal 2 5 3 3 5 6" xfId="13020" xr:uid="{319D4F10-0955-4B1D-89ED-2AA232155015}"/>
    <cellStyle name="Normal 2 5 3 3 6" xfId="4169" xr:uid="{35C1B1DB-A382-4B39-99E3-95C074285C85}"/>
    <cellStyle name="Normal 2 5 3 3 6 2" xfId="8941" xr:uid="{197E43BB-D3CA-4368-8652-4F2402FD33CF}"/>
    <cellStyle name="Normal 2 5 3 3 6 2 2" xfId="19321" xr:uid="{C20EE58D-61B1-4AC0-9ECC-59C8ABA034D1}"/>
    <cellStyle name="Normal 2 5 3 3 6 3" xfId="11774" xr:uid="{6912843E-C807-46F5-A8E0-BFBD90824D89}"/>
    <cellStyle name="Normal 2 5 3 3 6 3 2" xfId="22154" xr:uid="{F9645213-A636-4326-A20E-01F43408CF55}"/>
    <cellStyle name="Normal 2 5 3 3 6 4" xfId="23254" xr:uid="{BFC4F051-9596-4F76-8BB4-0E786E3321A9}"/>
    <cellStyle name="Normal 2 5 3 3 6 5" xfId="16488" xr:uid="{FC561C2F-9FA6-44E0-9C95-BE24AEDE5EFF}"/>
    <cellStyle name="Normal 2 5 3 3 7" xfId="5149" xr:uid="{4D4DAB8C-6541-4D40-B66B-25E93FFC5312}"/>
    <cellStyle name="Normal 2 5 3 3 7 2" xfId="14446" xr:uid="{247654F7-094F-4AFD-A419-E1CB39ADDB4F}"/>
    <cellStyle name="Normal 2 5 3 3 8" xfId="6899" xr:uid="{59698C3A-0669-4F1E-A984-FF5FCC3E5BB2}"/>
    <cellStyle name="Normal 2 5 3 3 8 2" xfId="17279" xr:uid="{764DED76-B7F8-4062-9FCB-E9395AA4FBDE}"/>
    <cellStyle name="Normal 2 5 3 3 9" xfId="9732" xr:uid="{DDC34514-64B4-4F84-98A4-2EFE22B6C6E5}"/>
    <cellStyle name="Normal 2 5 3 3 9 2" xfId="20112" xr:uid="{F025BD27-34F3-48F0-B228-4A8C03A77A11}"/>
    <cellStyle name="Normal 2 5 3 4" xfId="798" xr:uid="{00000000-0005-0000-0000-0000CA040000}"/>
    <cellStyle name="Normal 2 5 3 4 2" xfId="3229" xr:uid="{00000000-0005-0000-0000-00008F040000}"/>
    <cellStyle name="Normal 2 5 3 4 2 2" xfId="6287" xr:uid="{939D3226-FF87-4B90-8B78-7DCCABB05372}"/>
    <cellStyle name="Normal 2 5 3 4 2 2 2" xfId="28352" xr:uid="{BDDB8FB3-B852-4AC3-909E-8381C8EE5F07}"/>
    <cellStyle name="Normal 2 5 3 4 2 2 3" xfId="15856" xr:uid="{67F8E193-0006-4149-A486-5372E80E5353}"/>
    <cellStyle name="Normal 2 5 3 4 2 3" xfId="8309" xr:uid="{97661A0C-02BE-4843-B20A-0599541327DA}"/>
    <cellStyle name="Normal 2 5 3 4 2 3 2" xfId="18689" xr:uid="{E3B21853-34F4-4D63-B8A5-6F26848BF5E6}"/>
    <cellStyle name="Normal 2 5 3 4 2 4" xfId="11142" xr:uid="{20CEBD95-A24D-4833-AA7C-61ABA764AF01}"/>
    <cellStyle name="Normal 2 5 3 4 2 4 2" xfId="21522" xr:uid="{EE6BB99F-8026-4268-A515-EB4C8CF86425}"/>
    <cellStyle name="Normal 2 5 3 4 2 5" xfId="22749" xr:uid="{21AC6561-6D20-4301-9BD5-28C92FA245FB}"/>
    <cellStyle name="Normal 2 5 3 4 2 6" xfId="13772" xr:uid="{09592D99-3FF8-4948-8C83-7C4357ADCF7D}"/>
    <cellStyle name="Normal 2 5 3 4 3" xfId="4308" xr:uid="{8785D825-AD3B-422C-B285-0ED6DFADF3AA}"/>
    <cellStyle name="Normal 2 5 3 4 3 2" xfId="9080" xr:uid="{1AEF477D-B7CC-4B72-839F-C3FEFE9A4BAD}"/>
    <cellStyle name="Normal 2 5 3 4 3 2 2" xfId="29123" xr:uid="{7D56A3C7-B510-4AF6-A7C9-2AFE343805E0}"/>
    <cellStyle name="Normal 2 5 3 4 3 2 3" xfId="19460" xr:uid="{68CC6781-067F-410D-9D7C-53706A48857F}"/>
    <cellStyle name="Normal 2 5 3 4 3 3" xfId="11913" xr:uid="{48D8519C-8B33-4196-A3C8-2457043A9426}"/>
    <cellStyle name="Normal 2 5 3 4 3 3 2" xfId="22293" xr:uid="{BEFA8E93-EC49-4FFB-B041-79172E4D6AF5}"/>
    <cellStyle name="Normal 2 5 3 4 3 4" xfId="23299" xr:uid="{36DA8047-9FFD-408A-BD6B-41D321FDAFDA}"/>
    <cellStyle name="Normal 2 5 3 4 3 5" xfId="16627" xr:uid="{2B3C2E63-D44C-493B-B335-CDDA83344D56}"/>
    <cellStyle name="Normal 2 5 3 4 4" xfId="5150" xr:uid="{1EBB81B8-9642-443C-94EC-CAA1770A8AEE}"/>
    <cellStyle name="Normal 2 5 3 4 4 2" xfId="27533" xr:uid="{DCB1CF7B-C50A-41FA-BA0E-FF1F7397F6F1}"/>
    <cellStyle name="Normal 2 5 3 4 4 3" xfId="14447" xr:uid="{6BD61CC2-EDD3-4400-959C-EFD03CC473F5}"/>
    <cellStyle name="Normal 2 5 3 4 5" xfId="6900" xr:uid="{119BD438-A9F8-4395-8923-C1F3953BFF58}"/>
    <cellStyle name="Normal 2 5 3 4 5 2" xfId="17280" xr:uid="{17D9B5A9-2EA1-48FA-8482-A29367EFE490}"/>
    <cellStyle name="Normal 2 5 3 4 6" xfId="9733" xr:uid="{A2428498-4586-460F-8F4A-BCF95294D36C}"/>
    <cellStyle name="Normal 2 5 3 4 6 2" xfId="20113" xr:uid="{3B2726D7-2DEB-4F18-9DB3-4E9F9D6183D9}"/>
    <cellStyle name="Normal 2 5 3 4 7" xfId="22890" xr:uid="{75F175D2-DA8D-44A4-B513-2FF835520016}"/>
    <cellStyle name="Normal 2 5 3 4 8" xfId="13182" xr:uid="{9C962EB9-99D8-44F6-AF18-7961AAE03E43}"/>
    <cellStyle name="Normal 2 5 3 5" xfId="3230" xr:uid="{00000000-0005-0000-0000-000090040000}"/>
    <cellStyle name="Normal 2 5 3 5 2" xfId="4485" xr:uid="{0BEB3A3D-C3D5-4EF2-8C83-3DFDED1B22B5}"/>
    <cellStyle name="Normal 2 5 3 5 2 2" xfId="9257" xr:uid="{2334310F-F348-438D-9405-FA364CD2B800}"/>
    <cellStyle name="Normal 2 5 3 5 2 2 2" xfId="29244" xr:uid="{6449A4A3-0FAB-4007-B0A2-B93EB0EB0140}"/>
    <cellStyle name="Normal 2 5 3 5 2 2 3" xfId="19637" xr:uid="{81B52144-2BFB-48B6-8A11-7CE4262E25DB}"/>
    <cellStyle name="Normal 2 5 3 5 2 3" xfId="12090" xr:uid="{A11F0EBF-9EB0-432B-A975-C574975B3A88}"/>
    <cellStyle name="Normal 2 5 3 5 2 3 2" xfId="22470" xr:uid="{791D0D36-F9CD-407E-8DCB-DB6164200372}"/>
    <cellStyle name="Normal 2 5 3 5 2 4" xfId="25075" xr:uid="{4A45569A-ABAA-4AA9-86E4-7D83925BB77D}"/>
    <cellStyle name="Normal 2 5 3 5 2 5" xfId="16804" xr:uid="{159A6CA8-3B65-4566-BDE1-8560AA86B86A}"/>
    <cellStyle name="Normal 2 5 3 5 3" xfId="6288" xr:uid="{1E0D802E-7B4A-4613-998F-F3E8DC8B81D2}"/>
    <cellStyle name="Normal 2 5 3 5 3 2" xfId="26826" xr:uid="{2E287158-7645-4617-8F5E-3637269961B0}"/>
    <cellStyle name="Normal 2 5 3 5 3 3" xfId="15857" xr:uid="{97635189-8BE7-436A-9583-42A16340DD0C}"/>
    <cellStyle name="Normal 2 5 3 5 4" xfId="8310" xr:uid="{A6997152-AC19-4A7E-A648-37891E593E8D}"/>
    <cellStyle name="Normal 2 5 3 5 4 2" xfId="18690" xr:uid="{30137378-1DE8-4737-B755-36460CF52729}"/>
    <cellStyle name="Normal 2 5 3 5 5" xfId="11143" xr:uid="{5A8FDB6A-5572-465A-8380-F41460F1A1DD}"/>
    <cellStyle name="Normal 2 5 3 5 5 2" xfId="21523" xr:uid="{70535393-DBC4-4BFC-9C91-EB6899198642}"/>
    <cellStyle name="Normal 2 5 3 5 6" xfId="23840" xr:uid="{49743946-3652-472F-9C52-EEEE5544C403}"/>
    <cellStyle name="Normal 2 5 3 5 7" xfId="13773" xr:uid="{D2F7F6C9-BFCC-4D3B-8892-9645E9B61F3C}"/>
    <cellStyle name="Normal 2 5 3 6" xfId="2910" xr:uid="{00000000-0005-0000-0000-000091040000}"/>
    <cellStyle name="Normal 2 5 3 6 2" xfId="6096" xr:uid="{B73878D2-5259-4990-81CF-080BA4EF1E5D}"/>
    <cellStyle name="Normal 2 5 3 6 2 2" xfId="28699" xr:uid="{EEF64A54-E212-4C60-BD41-D668E418A9DB}"/>
    <cellStyle name="Normal 2 5 3 6 2 3" xfId="15574" xr:uid="{0CB61A38-7EF3-43D6-948B-ECC541C781F9}"/>
    <cellStyle name="Normal 2 5 3 6 3" xfId="8027" xr:uid="{CE48BB44-792E-4F21-902E-4BB97AEF7655}"/>
    <cellStyle name="Normal 2 5 3 6 3 2" xfId="18407" xr:uid="{B62B2F41-6AB8-4DD0-AA31-E28A19E9F9D8}"/>
    <cellStyle name="Normal 2 5 3 6 4" xfId="10860" xr:uid="{C24DB934-6084-4D07-9EF6-4CE5B68AFF5C}"/>
    <cellStyle name="Normal 2 5 3 6 4 2" xfId="21240" xr:uid="{D38D8EEE-5F99-45F1-B30F-54336C143397}"/>
    <cellStyle name="Normal 2 5 3 6 5" xfId="25236" xr:uid="{A43D021D-1A55-47BA-A9F1-5348C5A3DDE9}"/>
    <cellStyle name="Normal 2 5 3 6 6" xfId="13425" xr:uid="{C1A7CE82-9259-47E3-BDAE-73A09C85EBF4}"/>
    <cellStyle name="Normal 2 5 3 7" xfId="2469" xr:uid="{00000000-0005-0000-0000-000092040000}"/>
    <cellStyle name="Normal 2 5 3 7 2" xfId="5759" xr:uid="{B168AF0A-31FE-458F-BE87-E8C90E776266}"/>
    <cellStyle name="Normal 2 5 3 7 2 2" xfId="28482" xr:uid="{F70FBECB-9D83-407D-84C4-17ADF63D7726}"/>
    <cellStyle name="Normal 2 5 3 7 2 3" xfId="15141" xr:uid="{6FE660AB-0937-442F-801C-F3C087699BEE}"/>
    <cellStyle name="Normal 2 5 3 7 3" xfId="7594" xr:uid="{58A42B35-60C8-41F2-AB70-65F4EF71C1DB}"/>
    <cellStyle name="Normal 2 5 3 7 3 2" xfId="17974" xr:uid="{DE52DCE9-40C2-452D-8456-5FF6AE9695A2}"/>
    <cellStyle name="Normal 2 5 3 7 4" xfId="10427" xr:uid="{910D1454-1412-4868-8BB6-9C605C88F5FF}"/>
    <cellStyle name="Normal 2 5 3 7 4 2" xfId="20807" xr:uid="{432812E6-7CDF-4C1E-BE4E-1CA4F7330669}"/>
    <cellStyle name="Normal 2 5 3 7 5" xfId="24121" xr:uid="{5C2766B1-ADA5-410F-A742-1CD7F4FC1B84}"/>
    <cellStyle name="Normal 2 5 3 7 6" xfId="12857" xr:uid="{7BA044FC-A76D-402C-8E1A-800974FD98C4}"/>
    <cellStyle name="Normal 2 5 3 8" xfId="2223" xr:uid="{00000000-0005-0000-0000-000081040000}"/>
    <cellStyle name="Normal 2 5 3 8 2" xfId="7350" xr:uid="{D2E4E38C-8D19-4275-8CE0-B7119B823696}"/>
    <cellStyle name="Normal 2 5 3 8 2 2" xfId="17730" xr:uid="{70C14F63-2795-48D7-A7DB-4101B9D794A7}"/>
    <cellStyle name="Normal 2 5 3 8 3" xfId="10183" xr:uid="{2F070E58-C7D0-4A47-8D76-D4BA544C705D}"/>
    <cellStyle name="Normal 2 5 3 8 3 2" xfId="20563" xr:uid="{AD63F703-5A02-4C99-8AFF-7D536F35CDF4}"/>
    <cellStyle name="Normal 2 5 3 8 4" xfId="24188" xr:uid="{0FB55210-A2F4-4E4D-A13B-45A04BF0A794}"/>
    <cellStyle name="Normal 2 5 3 8 5" xfId="14897" xr:uid="{C54113B0-249C-46BC-B11D-F443BD6799E6}"/>
    <cellStyle name="Normal 2 5 3 9" xfId="3945" xr:uid="{C0CC3FD7-CAC4-47BD-B3E9-E4DC609FB2A0}"/>
    <cellStyle name="Normal 2 5 3 9 2" xfId="8777" xr:uid="{0FA45915-D319-4183-BC2E-0054D365287E}"/>
    <cellStyle name="Normal 2 5 3 9 2 2" xfId="19157" xr:uid="{40D9AE69-1328-49C7-B694-85C243E1431D}"/>
    <cellStyle name="Normal 2 5 3 9 3" xfId="11610" xr:uid="{92587BA5-D326-4636-B8B0-18FE1AF758F5}"/>
    <cellStyle name="Normal 2 5 3 9 3 2" xfId="21990" xr:uid="{28E55DE2-C0C0-4102-854E-8884C587AD00}"/>
    <cellStyle name="Normal 2 5 3 9 4" xfId="16324" xr:uid="{93415755-5E1E-453E-9415-6BDBF66ECB00}"/>
    <cellStyle name="Normal 2 5 4" xfId="799" xr:uid="{00000000-0005-0000-0000-0000CB040000}"/>
    <cellStyle name="Normal 2 5 4 10" xfId="6901" xr:uid="{CB047E49-D53E-46AE-A873-27ABC9EECBD9}"/>
    <cellStyle name="Normal 2 5 4 10 2" xfId="17281" xr:uid="{B519EA17-B023-4DF0-876F-5671CF66B8AC}"/>
    <cellStyle name="Normal 2 5 4 11" xfId="9734" xr:uid="{9BB6EF12-CDE5-4744-8831-F0761B12D963}"/>
    <cellStyle name="Normal 2 5 4 11 2" xfId="20114" xr:uid="{170C48B2-6AEB-488F-BA8F-E698B6827046}"/>
    <cellStyle name="Normal 2 5 4 12" xfId="24915" xr:uid="{5B9F2A8E-0104-4D27-A837-7C63A45FF2A2}"/>
    <cellStyle name="Normal 2 5 4 13" xfId="12438" xr:uid="{F32A1A22-7BBF-4368-843F-7792A7197D73}"/>
    <cellStyle name="Normal 2 5 4 2" xfId="800" xr:uid="{00000000-0005-0000-0000-0000CC040000}"/>
    <cellStyle name="Normal 2 5 4 2 10" xfId="9735" xr:uid="{EB95C9A1-1894-4AD2-A17A-AC8E7ADD68F2}"/>
    <cellStyle name="Normal 2 5 4 2 10 2" xfId="20115" xr:uid="{2A98D9B5-85DE-413A-BB07-64EB77C01AF5}"/>
    <cellStyle name="Normal 2 5 4 2 11" xfId="23464" xr:uid="{27BC0A7A-B2F6-4886-A2DF-E73BCA1ECB62}"/>
    <cellStyle name="Normal 2 5 4 2 12" xfId="12570" xr:uid="{1CBDEFBE-2FCD-4FCB-A936-03F1F88C37C1}"/>
    <cellStyle name="Normal 2 5 4 2 2" xfId="801" xr:uid="{00000000-0005-0000-0000-0000CD040000}"/>
    <cellStyle name="Normal 2 5 4 2 2 2" xfId="3232" xr:uid="{00000000-0005-0000-0000-000096040000}"/>
    <cellStyle name="Normal 2 5 4 2 2 2 2" xfId="6290" xr:uid="{8892750F-7025-4C9C-96FB-CD8CFED5DCC5}"/>
    <cellStyle name="Normal 2 5 4 2 2 2 2 2" xfId="25963" xr:uid="{94FE1B15-B6FD-4918-B240-16B296DF0B2E}"/>
    <cellStyle name="Normal 2 5 4 2 2 2 2 3" xfId="26645" xr:uid="{7860B85E-A5C5-4E53-A052-92B8E69EEA39}"/>
    <cellStyle name="Normal 2 5 4 2 2 2 2 4" xfId="15859" xr:uid="{4E977405-66D9-42F9-A3FE-75344B532578}"/>
    <cellStyle name="Normal 2 5 4 2 2 2 3" xfId="8312" xr:uid="{FF599439-A5F8-4927-9DEE-E1B4DD50819A}"/>
    <cellStyle name="Normal 2 5 4 2 2 2 3 2" xfId="28888" xr:uid="{AA552203-6951-4942-B5F2-AC43969F3824}"/>
    <cellStyle name="Normal 2 5 4 2 2 2 3 3" xfId="18692" xr:uid="{06BB6B0A-50C3-4A17-B81D-AF2B71346F71}"/>
    <cellStyle name="Normal 2 5 4 2 2 2 4" xfId="11145" xr:uid="{65CD692F-6D05-4FC2-A4EB-56577F60FDE2}"/>
    <cellStyle name="Normal 2 5 4 2 2 2 4 2" xfId="21525" xr:uid="{6C0FFF33-281F-48A1-BC00-C6A7D8863B2C}"/>
    <cellStyle name="Normal 2 5 4 2 2 2 5" xfId="24946" xr:uid="{F48912EC-9A15-480E-92DD-56E3E099D83C}"/>
    <cellStyle name="Normal 2 5 4 2 2 2 6" xfId="13775" xr:uid="{3D655155-08D8-4600-B855-F8E49E61D9CD}"/>
    <cellStyle name="Normal 2 5 4 2 2 3" xfId="4311" xr:uid="{7FBF59B4-F836-44E7-BC8A-67A9782E935E}"/>
    <cellStyle name="Normal 2 5 4 2 2 3 2" xfId="9083" xr:uid="{6B304CD8-61FF-4486-AB86-0AA2692CB6CA}"/>
    <cellStyle name="Normal 2 5 4 2 2 3 2 2" xfId="29126" xr:uid="{8ADA81D0-515D-4FB2-B6C9-B393393B47A9}"/>
    <cellStyle name="Normal 2 5 4 2 2 3 2 3" xfId="19463" xr:uid="{B7804AE3-567D-4EC7-B458-518B57E6F949}"/>
    <cellStyle name="Normal 2 5 4 2 2 3 3" xfId="11916" xr:uid="{3CB8E62F-7E18-47BB-ACB0-0813D775BCC8}"/>
    <cellStyle name="Normal 2 5 4 2 2 3 3 2" xfId="22296" xr:uid="{54CFFEC8-9A5F-41D0-B3D3-81D04AAFAC3A}"/>
    <cellStyle name="Normal 2 5 4 2 2 3 4" xfId="23386" xr:uid="{DDC27A66-FC4B-4B00-AD6B-5CC898FB1855}"/>
    <cellStyle name="Normal 2 5 4 2 2 3 5" xfId="16630" xr:uid="{5CF0219C-D170-41C4-B12D-DE085AAAB22B}"/>
    <cellStyle name="Normal 2 5 4 2 2 4" xfId="5153" xr:uid="{0778C214-8051-49D9-A6EC-36AB2F8093BD}"/>
    <cellStyle name="Normal 2 5 4 2 2 4 2" xfId="28585" xr:uid="{7F0573E1-36D3-46C8-A8FD-9C4773A8E12C}"/>
    <cellStyle name="Normal 2 5 4 2 2 4 3" xfId="14450" xr:uid="{0CCCFEA0-645C-4913-A729-F698F8D2CE21}"/>
    <cellStyle name="Normal 2 5 4 2 2 5" xfId="6903" xr:uid="{48F2EDB2-782A-4B9C-BBD5-2644FB43DB10}"/>
    <cellStyle name="Normal 2 5 4 2 2 5 2" xfId="17283" xr:uid="{40A490A8-A648-4202-820A-452251C7EA31}"/>
    <cellStyle name="Normal 2 5 4 2 2 6" xfId="9736" xr:uid="{62E04ED5-DBA4-49DE-BE42-8EC1B0449D0A}"/>
    <cellStyle name="Normal 2 5 4 2 2 6 2" xfId="20116" xr:uid="{3CC93754-9412-4E1B-BF1C-75BB4310CF7D}"/>
    <cellStyle name="Normal 2 5 4 2 2 7" xfId="25553" xr:uid="{379DBCBE-3014-4986-A692-82ABB0DF1F03}"/>
    <cellStyle name="Normal 2 5 4 2 2 8" xfId="13186" xr:uid="{F21C79F2-99B4-471A-8405-E298CB8D5B4B}"/>
    <cellStyle name="Normal 2 5 4 2 3" xfId="3233" xr:uid="{00000000-0005-0000-0000-000097040000}"/>
    <cellStyle name="Normal 2 5 4 2 3 2" xfId="4486" xr:uid="{5DC40255-4AB9-41D9-AA22-7F46584C7977}"/>
    <cellStyle name="Normal 2 5 4 2 3 2 2" xfId="9258" xr:uid="{A6CD52E1-8F01-4B11-8E41-3640A9E23CA8}"/>
    <cellStyle name="Normal 2 5 4 2 3 2 2 2" xfId="29245" xr:uid="{E5527572-4523-48F2-8335-40563C2D2BD9}"/>
    <cellStyle name="Normal 2 5 4 2 3 2 2 3" xfId="19638" xr:uid="{3D618317-D045-49C1-B479-ECBF6F101EA3}"/>
    <cellStyle name="Normal 2 5 4 2 3 2 3" xfId="12091" xr:uid="{8623B10A-97D4-44F2-AB73-D17D6B7CA6D2}"/>
    <cellStyle name="Normal 2 5 4 2 3 2 3 2" xfId="22471" xr:uid="{E2BD33F1-B295-44CF-AC3B-B63D13292E28}"/>
    <cellStyle name="Normal 2 5 4 2 3 2 4" xfId="23220" xr:uid="{DEC4DE71-6A92-4A94-9895-3CE20C6033CC}"/>
    <cellStyle name="Normal 2 5 4 2 3 2 5" xfId="16805" xr:uid="{03831A9E-3093-4AD7-B572-9DA03DEBA0A9}"/>
    <cellStyle name="Normal 2 5 4 2 3 3" xfId="6291" xr:uid="{E6D74EAA-6FE7-442E-A52E-B57B18C5E209}"/>
    <cellStyle name="Normal 2 5 4 2 3 3 2" xfId="27322" xr:uid="{CF77D49A-D9CD-44D2-AA9F-B29A6E780FC6}"/>
    <cellStyle name="Normal 2 5 4 2 3 3 3" xfId="15860" xr:uid="{ABFFC3E6-8148-47F1-8C67-E614D71AE630}"/>
    <cellStyle name="Normal 2 5 4 2 3 4" xfId="8313" xr:uid="{29BCBE05-055A-4AA4-A916-C30589B88393}"/>
    <cellStyle name="Normal 2 5 4 2 3 4 2" xfId="18693" xr:uid="{3D1BD514-A17F-42EF-9782-850874232843}"/>
    <cellStyle name="Normal 2 5 4 2 3 5" xfId="11146" xr:uid="{E430120C-1198-478F-9570-5613C973472C}"/>
    <cellStyle name="Normal 2 5 4 2 3 5 2" xfId="21526" xr:uid="{EE98C3E7-679E-436B-84BB-40510BAA4D7E}"/>
    <cellStyle name="Normal 2 5 4 2 3 6" xfId="23012" xr:uid="{B630333F-32C6-44E8-B1BA-4EB5CB71210F}"/>
    <cellStyle name="Normal 2 5 4 2 3 7" xfId="13776" xr:uid="{CABF6DF4-D203-40E7-8580-375F9E0B5520}"/>
    <cellStyle name="Normal 2 5 4 2 4" xfId="3231" xr:uid="{00000000-0005-0000-0000-000098040000}"/>
    <cellStyle name="Normal 2 5 4 2 4 2" xfId="6289" xr:uid="{DB80DA47-D9AB-4FA4-8155-F6D6F7D36B71}"/>
    <cellStyle name="Normal 2 5 4 2 4 2 2" xfId="26740" xr:uid="{9107CABB-44EF-46AF-A11E-13BEE7C4AC89}"/>
    <cellStyle name="Normal 2 5 4 2 4 2 3" xfId="15858" xr:uid="{82395B0F-9FBC-4A63-BA5B-789770D2B473}"/>
    <cellStyle name="Normal 2 5 4 2 4 3" xfId="8311" xr:uid="{F16C64E1-BB72-42DE-86F4-36E661E71648}"/>
    <cellStyle name="Normal 2 5 4 2 4 3 2" xfId="18691" xr:uid="{F772F717-D7F6-4290-A6E4-0AF6BC7B9D9A}"/>
    <cellStyle name="Normal 2 5 4 2 4 4" xfId="11144" xr:uid="{4A04CFD3-6C2A-4A0B-B0CB-853EE8160755}"/>
    <cellStyle name="Normal 2 5 4 2 4 4 2" xfId="21524" xr:uid="{170C47F2-7A01-4395-9C80-6B5D4B0F0975}"/>
    <cellStyle name="Normal 2 5 4 2 4 5" xfId="22896" xr:uid="{1848D2BC-0BF3-48A3-B42C-9E19ACF9A27C}"/>
    <cellStyle name="Normal 2 5 4 2 4 6" xfId="13774" xr:uid="{DF0108D8-7A87-4479-8691-E338607AEFDA}"/>
    <cellStyle name="Normal 2 5 4 2 5" xfId="2615" xr:uid="{00000000-0005-0000-0000-000099040000}"/>
    <cellStyle name="Normal 2 5 4 2 5 2" xfId="5877" xr:uid="{C6ED515C-823D-465B-8FA8-CE37855AFDFD}"/>
    <cellStyle name="Normal 2 5 4 2 5 2 2" xfId="27070" xr:uid="{788B9FD6-1B42-42DE-B104-07F1F18FCFA8}"/>
    <cellStyle name="Normal 2 5 4 2 5 2 3" xfId="15287" xr:uid="{D877FED5-C8D1-4A35-B433-3E952F9E622C}"/>
    <cellStyle name="Normal 2 5 4 2 5 3" xfId="7740" xr:uid="{D7217A46-636B-4E62-8C1D-44E495DC81DF}"/>
    <cellStyle name="Normal 2 5 4 2 5 3 2" xfId="18120" xr:uid="{137CCD0F-8E52-4BBD-A882-F23F6AA0A4A2}"/>
    <cellStyle name="Normal 2 5 4 2 5 4" xfId="10573" xr:uid="{AC736895-F3E6-437E-899E-AD19F45FFECD}"/>
    <cellStyle name="Normal 2 5 4 2 5 4 2" xfId="20953" xr:uid="{C2AA678F-17E9-4DB7-9978-72037C745C82}"/>
    <cellStyle name="Normal 2 5 4 2 5 5" xfId="25064" xr:uid="{DED9F27F-1D36-4A74-9781-40DFB816567F}"/>
    <cellStyle name="Normal 2 5 4 2 5 6" xfId="13003" xr:uid="{76BA3568-8444-479A-ACBE-F14C4BAD7BE8}"/>
    <cellStyle name="Normal 2 5 4 2 6" xfId="2336" xr:uid="{00000000-0005-0000-0000-000094040000}"/>
    <cellStyle name="Normal 2 5 4 2 6 2" xfId="7463" xr:uid="{25409F02-F46E-4D75-88A6-DDC0D0A166E8}"/>
    <cellStyle name="Normal 2 5 4 2 6 2 2" xfId="17843" xr:uid="{0643C825-0F1C-4F25-8705-92A30E6D91AB}"/>
    <cellStyle name="Normal 2 5 4 2 6 3" xfId="10296" xr:uid="{CD562E2F-C260-4F18-BEB9-19724D5EF427}"/>
    <cellStyle name="Normal 2 5 4 2 6 3 2" xfId="20676" xr:uid="{14277278-988F-4838-B827-6AAFBE72922E}"/>
    <cellStyle name="Normal 2 5 4 2 6 4" xfId="23529" xr:uid="{62257298-F20E-40FE-A285-25EB21138115}"/>
    <cellStyle name="Normal 2 5 4 2 6 5" xfId="15010" xr:uid="{39738CDA-B811-40FE-BB3C-B0CCEF5195E5}"/>
    <cellStyle name="Normal 2 5 4 2 7" xfId="3851" xr:uid="{162D58BF-87B5-4024-9A43-A5B2C04A0161}"/>
    <cellStyle name="Normal 2 5 4 2 7 2" xfId="8684" xr:uid="{65B605F4-4609-4305-8D28-2EE553D95677}"/>
    <cellStyle name="Normal 2 5 4 2 7 2 2" xfId="19064" xr:uid="{A5D90364-D8A4-4F97-B71B-2126BE45F25C}"/>
    <cellStyle name="Normal 2 5 4 2 7 3" xfId="11517" xr:uid="{700EFDCE-B801-4804-99CD-8A45C4D03B2C}"/>
    <cellStyle name="Normal 2 5 4 2 7 3 2" xfId="21897" xr:uid="{3D215DEC-F09D-4E9E-8183-935E0541AAAE}"/>
    <cellStyle name="Normal 2 5 4 2 7 4" xfId="16231" xr:uid="{3762B984-E117-4881-8D1B-7C3DE39B9EDD}"/>
    <cellStyle name="Normal 2 5 4 2 8" xfId="5152" xr:uid="{341430D9-980A-4F5D-B039-7FC0AD728E13}"/>
    <cellStyle name="Normal 2 5 4 2 8 2" xfId="14449" xr:uid="{785D2A81-823E-486F-BA6E-029A4B9F26F2}"/>
    <cellStyle name="Normal 2 5 4 2 9" xfId="6902" xr:uid="{7DBA4338-0581-447F-8ED7-CC1DDC537A18}"/>
    <cellStyle name="Normal 2 5 4 2 9 2" xfId="17282" xr:uid="{C4C678DC-DD02-4458-A5EA-3D98E50F3F9A}"/>
    <cellStyle name="Normal 2 5 4 3" xfId="802" xr:uid="{00000000-0005-0000-0000-0000CE040000}"/>
    <cellStyle name="Normal 2 5 4 3 2" xfId="3234" xr:uid="{00000000-0005-0000-0000-00009B040000}"/>
    <cellStyle name="Normal 2 5 4 3 2 2" xfId="6292" xr:uid="{50B50866-DA33-4B3F-8008-086AF650AE48}"/>
    <cellStyle name="Normal 2 5 4 3 2 2 2" xfId="25756" xr:uid="{1C0872C6-FFD3-4987-A6E5-5ED601C8D81E}"/>
    <cellStyle name="Normal 2 5 4 3 2 2 3" xfId="26335" xr:uid="{4B84C1BB-C313-4CFC-9FA0-D99D406DB19D}"/>
    <cellStyle name="Normal 2 5 4 3 2 2 4" xfId="15861" xr:uid="{DDB198C1-AB0F-41D9-B1B6-8437B7591C65}"/>
    <cellStyle name="Normal 2 5 4 3 2 3" xfId="8314" xr:uid="{1E8B7BDA-BCFF-4187-8D93-94A7A0F3C02E}"/>
    <cellStyle name="Normal 2 5 4 3 2 3 2" xfId="28889" xr:uid="{633CD293-4B43-4169-A162-738BB7F75997}"/>
    <cellStyle name="Normal 2 5 4 3 2 3 3" xfId="18694" xr:uid="{D0EA3727-7953-4F37-975F-2E8BDC4A612A}"/>
    <cellStyle name="Normal 2 5 4 3 2 4" xfId="11147" xr:uid="{6CD7079C-C4CF-491D-8DF4-9F094A829A7A}"/>
    <cellStyle name="Normal 2 5 4 3 2 4 2" xfId="21527" xr:uid="{AD540BEF-2E78-4785-A94F-B2AEF5F157C4}"/>
    <cellStyle name="Normal 2 5 4 3 2 5" xfId="24498" xr:uid="{CDB605C4-6B54-4A38-AAF7-EF67EA92A5A8}"/>
    <cellStyle name="Normal 2 5 4 3 2 6" xfId="13777" xr:uid="{659849B3-E706-44C8-A5BB-7B76C0F6DE21}"/>
    <cellStyle name="Normal 2 5 4 3 3" xfId="2745" xr:uid="{00000000-0005-0000-0000-00009C040000}"/>
    <cellStyle name="Normal 2 5 4 3 3 2" xfId="5963" xr:uid="{479FE92E-C60D-4791-AA5D-06281A84CF93}"/>
    <cellStyle name="Normal 2 5 4 3 3 2 2" xfId="27015" xr:uid="{007A9210-C9B0-4830-B436-4DEEA162BB27}"/>
    <cellStyle name="Normal 2 5 4 3 3 2 3" xfId="15416" xr:uid="{58905F66-01AB-4E82-90BC-B3BA69878392}"/>
    <cellStyle name="Normal 2 5 4 3 3 3" xfId="7869" xr:uid="{E680DD54-98F0-451A-8320-193E0CA21586}"/>
    <cellStyle name="Normal 2 5 4 3 3 3 2" xfId="18249" xr:uid="{7B1E9CA3-28C2-4984-95A2-EA840AEA72D8}"/>
    <cellStyle name="Normal 2 5 4 3 3 4" xfId="10702" xr:uid="{772511E3-642B-4AE0-A070-393A8F866D2F}"/>
    <cellStyle name="Normal 2 5 4 3 3 4 2" xfId="21082" xr:uid="{9524AED9-478F-4837-BFD2-BB4C654ADB2C}"/>
    <cellStyle name="Normal 2 5 4 3 3 5" xfId="25124" xr:uid="{056D29C0-6E4A-449F-82BA-019D4A853108}"/>
    <cellStyle name="Normal 2 5 4 3 3 6" xfId="13185" xr:uid="{99A645E2-323D-45E7-B252-D6C9B1CE15A1}"/>
    <cellStyle name="Normal 2 5 4 3 4" xfId="4170" xr:uid="{C18E6F66-FC48-49F9-94ED-CD9928116EBF}"/>
    <cellStyle name="Normal 2 5 4 3 4 2" xfId="8942" xr:uid="{3179B175-76D2-4BCE-AC32-159A0E477C5D}"/>
    <cellStyle name="Normal 2 5 4 3 4 2 2" xfId="29035" xr:uid="{17BA5E51-32A3-4C19-BB28-A18B680D8648}"/>
    <cellStyle name="Normal 2 5 4 3 4 2 3" xfId="19322" xr:uid="{40E053A9-3D90-44F5-AC11-D6D8C5BEA08D}"/>
    <cellStyle name="Normal 2 5 4 3 4 3" xfId="11775" xr:uid="{B5616F0F-C1A1-4239-A9D4-0050D295F49E}"/>
    <cellStyle name="Normal 2 5 4 3 4 3 2" xfId="22155" xr:uid="{17C9D815-38BA-46F8-A4D9-8C27A342056E}"/>
    <cellStyle name="Normal 2 5 4 3 4 4" xfId="22776" xr:uid="{BE1605A0-33D5-4801-B0B1-0E1562485F13}"/>
    <cellStyle name="Normal 2 5 4 3 4 5" xfId="16489" xr:uid="{CC38903E-021A-4601-B2EE-565691E281E2}"/>
    <cellStyle name="Normal 2 5 4 3 5" xfId="5154" xr:uid="{C952C535-5D53-4DD0-ABCF-C3136F3BE241}"/>
    <cellStyle name="Normal 2 5 4 3 5 2" xfId="26063" xr:uid="{B4B54ED6-BB80-4607-99C0-3ADC5434626C}"/>
    <cellStyle name="Normal 2 5 4 3 5 3" xfId="14451" xr:uid="{F3560938-C0A9-4375-BD62-149F4CD9E68C}"/>
    <cellStyle name="Normal 2 5 4 3 6" xfId="6904" xr:uid="{999E3F87-A5E8-423B-BA0B-DBFB7ED339E7}"/>
    <cellStyle name="Normal 2 5 4 3 6 2" xfId="17284" xr:uid="{0D1258FF-8C1B-44EA-AC66-98F18429218A}"/>
    <cellStyle name="Normal 2 5 4 3 7" xfId="9737" xr:uid="{66E8417C-927D-43DC-B500-0F097AF38B13}"/>
    <cellStyle name="Normal 2 5 4 3 7 2" xfId="20117" xr:uid="{86413260-1DE6-41C4-B186-ADF7C2E1CD7B}"/>
    <cellStyle name="Normal 2 5 4 3 8" xfId="23505" xr:uid="{5D740C48-E90D-42E6-BCDE-0B4EA2C97E76}"/>
    <cellStyle name="Normal 2 5 4 3 9" xfId="12728" xr:uid="{4FA03352-1107-47C3-A077-A9C56727C82B}"/>
    <cellStyle name="Normal 2 5 4 4" xfId="803" xr:uid="{00000000-0005-0000-0000-0000CF040000}"/>
    <cellStyle name="Normal 2 5 4 4 2" xfId="4487" xr:uid="{D6978C43-CA09-4E04-9AE2-D0E1B87F7F35}"/>
    <cellStyle name="Normal 2 5 4 4 2 2" xfId="9259" xr:uid="{62B451D0-F95D-4505-85F8-E7252DA4D7AE}"/>
    <cellStyle name="Normal 2 5 4 4 2 2 2" xfId="29246" xr:uid="{DDF38908-85C6-44E3-94B7-62BF0D524807}"/>
    <cellStyle name="Normal 2 5 4 4 2 2 3" xfId="19639" xr:uid="{DFB0C713-B0F3-4C72-815E-F5A1BEB135E1}"/>
    <cellStyle name="Normal 2 5 4 4 2 3" xfId="12092" xr:uid="{832CE881-65AD-44F1-9428-BA88AA1B34FD}"/>
    <cellStyle name="Normal 2 5 4 4 2 3 2" xfId="22472" xr:uid="{B0F12F65-F66F-43F3-8DEC-28564B5E735F}"/>
    <cellStyle name="Normal 2 5 4 4 2 4" xfId="25257" xr:uid="{BA0120A3-6D5F-4DAF-A9FF-0F7F3816C122}"/>
    <cellStyle name="Normal 2 5 4 4 2 5" xfId="16806" xr:uid="{5C630BA1-81F8-474C-9DAE-3EEB55F3D215}"/>
    <cellStyle name="Normal 2 5 4 4 3" xfId="5155" xr:uid="{21F11453-0AEC-4C46-90D3-7FD45CBC21B2}"/>
    <cellStyle name="Normal 2 5 4 4 3 2" xfId="27383" xr:uid="{FC498850-FDAB-404A-9CB3-FC604ED9283B}"/>
    <cellStyle name="Normal 2 5 4 4 3 3" xfId="14452" xr:uid="{29479F74-D8CA-4820-9FD5-9DA190167237}"/>
    <cellStyle name="Normal 2 5 4 4 4" xfId="6905" xr:uid="{E97DD30D-E566-40B7-968C-42988E13AD67}"/>
    <cellStyle name="Normal 2 5 4 4 4 2" xfId="17285" xr:uid="{2F07B4BE-3BBD-4DD8-AFDB-7528BE40E92D}"/>
    <cellStyle name="Normal 2 5 4 4 5" xfId="9738" xr:uid="{E5FED9C7-A660-41B8-80AB-7D3A5B9CB8E1}"/>
    <cellStyle name="Normal 2 5 4 4 5 2" xfId="20118" xr:uid="{27CB0F03-6C83-46FE-84F0-3FDF60330C1F}"/>
    <cellStyle name="Normal 2 5 4 4 6" xfId="25315" xr:uid="{9D63DE6D-DEDE-48E2-B56F-918C29F19298}"/>
    <cellStyle name="Normal 2 5 4 4 7" xfId="13778" xr:uid="{F66F2F40-AACE-4F6A-A14D-072FE1923A67}"/>
    <cellStyle name="Normal 2 5 4 5" xfId="2911" xr:uid="{00000000-0005-0000-0000-00009E040000}"/>
    <cellStyle name="Normal 2 5 4 5 2" xfId="6097" xr:uid="{82F3BA4F-E207-4B9A-9910-359101949C60}"/>
    <cellStyle name="Normal 2 5 4 5 2 2" xfId="25717" xr:uid="{ED5540AF-927E-4978-A626-22773E44B889}"/>
    <cellStyle name="Normal 2 5 4 5 2 3" xfId="28152" xr:uid="{B947B300-9284-4F02-B8DE-8739518CABA9}"/>
    <cellStyle name="Normal 2 5 4 5 2 4" xfId="15575" xr:uid="{F83BDE56-1621-49B9-95C9-8E09BCA53E9A}"/>
    <cellStyle name="Normal 2 5 4 5 3" xfId="8028" xr:uid="{58964821-1480-4CFF-BC1E-DEE28ABAA3A4}"/>
    <cellStyle name="Normal 2 5 4 5 3 2" xfId="27574" xr:uid="{3FCD6158-F55C-4A99-AFE8-AC0AD8F1C5FC}"/>
    <cellStyle name="Normal 2 5 4 5 3 3" xfId="18408" xr:uid="{2B12AB97-715F-4CA4-8118-7E048D4818B9}"/>
    <cellStyle name="Normal 2 5 4 5 4" xfId="10861" xr:uid="{322344A4-6370-448D-9A19-9FFF0A0EBB87}"/>
    <cellStyle name="Normal 2 5 4 5 4 2" xfId="21241" xr:uid="{BD3D013F-FB52-4781-ACDA-6CB9E0DFDAC2}"/>
    <cellStyle name="Normal 2 5 4 5 5" xfId="25009" xr:uid="{DBB906A4-FF99-44A3-B072-54C59F3AC677}"/>
    <cellStyle name="Normal 2 5 4 5 6" xfId="13426" xr:uid="{89C3CDA7-AD13-48C2-A787-E7820AD12A83}"/>
    <cellStyle name="Normal 2 5 4 6" xfId="2452" xr:uid="{00000000-0005-0000-0000-00009F040000}"/>
    <cellStyle name="Normal 2 5 4 6 2" xfId="5744" xr:uid="{01AA28DA-82FD-467D-B845-688DE3C577C9}"/>
    <cellStyle name="Normal 2 5 4 6 2 2" xfId="26721" xr:uid="{1F1772C2-D89B-42CA-99EC-EE93D20588DC}"/>
    <cellStyle name="Normal 2 5 4 6 2 3" xfId="15124" xr:uid="{4A88CE08-1C4A-461C-B06A-DAB10521AF1D}"/>
    <cellStyle name="Normal 2 5 4 6 3" xfId="7577" xr:uid="{85BF8BDC-C508-491C-B3C6-0293DB61FF09}"/>
    <cellStyle name="Normal 2 5 4 6 3 2" xfId="17957" xr:uid="{5B1A1E34-F1F5-40B8-8182-566002DFEC83}"/>
    <cellStyle name="Normal 2 5 4 6 4" xfId="10410" xr:uid="{A231B469-232B-4AC3-9BA9-13557F9698A4}"/>
    <cellStyle name="Normal 2 5 4 6 4 2" xfId="20790" xr:uid="{581BFFB7-F2DC-42A1-9FD8-3017C7ACE419}"/>
    <cellStyle name="Normal 2 5 4 6 5" xfId="22959" xr:uid="{08418D1B-1606-4AFE-A702-B20050467076}"/>
    <cellStyle name="Normal 2 5 4 6 6" xfId="12840" xr:uid="{F02D17FD-1E6F-458B-A1C6-7D0836E4FA05}"/>
    <cellStyle name="Normal 2 5 4 7" xfId="2206" xr:uid="{00000000-0005-0000-0000-000093040000}"/>
    <cellStyle name="Normal 2 5 4 7 2" xfId="7333" xr:uid="{76FB4F97-C557-4187-A6A1-DD18FD9DC2BC}"/>
    <cellStyle name="Normal 2 5 4 7 2 2" xfId="17713" xr:uid="{5DBBF08A-9324-4334-B237-F04D6D5C5324}"/>
    <cellStyle name="Normal 2 5 4 7 3" xfId="10166" xr:uid="{6CA286A1-3D3E-4B88-A600-03E8AA933411}"/>
    <cellStyle name="Normal 2 5 4 7 3 2" xfId="20546" xr:uid="{FC2443B2-1DCD-4E48-80DF-F9D548EFC27B}"/>
    <cellStyle name="Normal 2 5 4 7 4" xfId="23566" xr:uid="{E0153EB8-F150-4EB2-9768-23A91346042C}"/>
    <cellStyle name="Normal 2 5 4 7 5" xfId="14880" xr:uid="{33E111B5-39AB-47F9-AD6C-B963E736D7C1}"/>
    <cellStyle name="Normal 2 5 4 8" xfId="3946" xr:uid="{FCE84AC3-A42E-44D6-ACFD-6746D094449F}"/>
    <cellStyle name="Normal 2 5 4 8 2" xfId="8778" xr:uid="{689D8527-76D0-44A6-A103-A5584523EA58}"/>
    <cellStyle name="Normal 2 5 4 8 2 2" xfId="19158" xr:uid="{865D3EDE-D9F8-4849-8638-DF9B7FE9C26B}"/>
    <cellStyle name="Normal 2 5 4 8 3" xfId="11611" xr:uid="{BECE0860-AF21-493B-A6D3-4385EFE92B85}"/>
    <cellStyle name="Normal 2 5 4 8 3 2" xfId="21991" xr:uid="{F5092BC2-FB1C-4116-99C2-328FF80CD80C}"/>
    <cellStyle name="Normal 2 5 4 8 4" xfId="16325" xr:uid="{FDE69E20-2578-4DAD-82A7-9D3AF28CFA02}"/>
    <cellStyle name="Normal 2 5 4 9" xfId="5151" xr:uid="{69E00AE9-3840-4742-BD70-C16F595F6463}"/>
    <cellStyle name="Normal 2 5 4 9 2" xfId="14448" xr:uid="{666B43F1-6AEA-475C-9BCA-812F21795D68}"/>
    <cellStyle name="Normal 2 5 5" xfId="804" xr:uid="{00000000-0005-0000-0000-0000D0040000}"/>
    <cellStyle name="Normal 2 5 5 10" xfId="9739" xr:uid="{25B12A57-E01A-4D69-B103-01944B1F5B60}"/>
    <cellStyle name="Normal 2 5 5 10 2" xfId="20119" xr:uid="{3D2F8A98-9310-40FF-A621-67EB1D26F989}"/>
    <cellStyle name="Normal 2 5 5 11" xfId="23691" xr:uid="{FFC1CC40-2164-4803-8DCB-63637F628ECC}"/>
    <cellStyle name="Normal 2 5 5 12" xfId="12571" xr:uid="{8D9806FB-F064-4F62-A65F-BCB332ACA626}"/>
    <cellStyle name="Normal 2 5 5 2" xfId="805" xr:uid="{00000000-0005-0000-0000-0000D1040000}"/>
    <cellStyle name="Normal 2 5 5 2 2" xfId="806" xr:uid="{00000000-0005-0000-0000-0000D2040000}"/>
    <cellStyle name="Normal 2 5 5 2 2 2" xfId="5158" xr:uid="{E4B2A9DC-582B-4F55-9A01-4E2F555AEC5F}"/>
    <cellStyle name="Normal 2 5 5 2 2 2 2" xfId="25676" xr:uid="{05F2C159-3DE3-4AE9-834D-4BEE22F5B177}"/>
    <cellStyle name="Normal 2 5 5 2 2 2 3" xfId="27076" xr:uid="{E0F32341-9C91-4C31-9C59-F218A4623226}"/>
    <cellStyle name="Normal 2 5 5 2 2 2 4" xfId="14455" xr:uid="{39357364-8AC4-4EE6-9889-F524869D438A}"/>
    <cellStyle name="Normal 2 5 5 2 2 3" xfId="6908" xr:uid="{0F15B9DC-FF63-4B34-BBEA-DB66AB1B5CA0}"/>
    <cellStyle name="Normal 2 5 5 2 2 3 2" xfId="27600" xr:uid="{BB063906-2095-4817-B9F7-5DC408AE9E4F}"/>
    <cellStyle name="Normal 2 5 5 2 2 3 3" xfId="28636" xr:uid="{2BA02F08-B258-425A-A010-B1546EEBA161}"/>
    <cellStyle name="Normal 2 5 5 2 2 3 4" xfId="17288" xr:uid="{5E8AC5CE-5089-4B39-9FAC-DFBDA6E02A98}"/>
    <cellStyle name="Normal 2 5 5 2 2 4" xfId="9741" xr:uid="{5A2F8EB4-5643-4570-9FE1-F0F031665C2A}"/>
    <cellStyle name="Normal 2 5 5 2 2 4 2" xfId="29399" xr:uid="{00692C25-6D45-4B77-A7AB-87FA4AF12D4B}"/>
    <cellStyle name="Normal 2 5 5 2 2 4 3" xfId="20121" xr:uid="{A704B41A-EB47-4AD2-BD7C-903D2864E934}"/>
    <cellStyle name="Normal 2 5 5 2 2 5" xfId="24775" xr:uid="{28DEBFA8-394C-4FF4-933C-F9077E12D851}"/>
    <cellStyle name="Normal 2 5 5 2 2 6" xfId="13779" xr:uid="{8BAC12EE-1A3B-44CF-A790-EFBF3FE73BC5}"/>
    <cellStyle name="Normal 2 5 5 2 3" xfId="2746" xr:uid="{00000000-0005-0000-0000-0000A3040000}"/>
    <cellStyle name="Normal 2 5 5 2 3 2" xfId="5964" xr:uid="{56366823-1D59-4259-945F-8F38B6326D03}"/>
    <cellStyle name="Normal 2 5 5 2 3 2 2" xfId="27950" xr:uid="{DA4AE47D-0BBD-4E15-BE53-1FB7D61FC10B}"/>
    <cellStyle name="Normal 2 5 5 2 3 2 3" xfId="15417" xr:uid="{7FEBD8A0-FE79-4BA7-A602-B1D99217517A}"/>
    <cellStyle name="Normal 2 5 5 2 3 3" xfId="7870" xr:uid="{2D3488C1-607B-4B74-A36B-4651CFF59756}"/>
    <cellStyle name="Normal 2 5 5 2 3 3 2" xfId="18250" xr:uid="{7D4E7861-73EC-46ED-95BA-5C4ADD31208D}"/>
    <cellStyle name="Normal 2 5 5 2 3 4" xfId="10703" xr:uid="{886ADC12-704C-4686-A78B-6A81205343BF}"/>
    <cellStyle name="Normal 2 5 5 2 3 4 2" xfId="21083" xr:uid="{55EFF2CD-C8E8-44C9-B4DD-BAD7B5E54D2C}"/>
    <cellStyle name="Normal 2 5 5 2 3 5" xfId="24918" xr:uid="{3AB73BA5-C584-4DFE-9B25-CF46E0D80100}"/>
    <cellStyle name="Normal 2 5 5 2 3 6" xfId="13187" xr:uid="{F9627F31-EA33-46EE-90D0-B661B3464917}"/>
    <cellStyle name="Normal 2 5 5 2 4" xfId="4171" xr:uid="{01146833-4B57-4ED5-BB9C-C716F4DA5178}"/>
    <cellStyle name="Normal 2 5 5 2 4 2" xfId="8943" xr:uid="{987E1115-D183-47A1-A5EF-D2BC195641EB}"/>
    <cellStyle name="Normal 2 5 5 2 4 2 2" xfId="29036" xr:uid="{253D3476-2FDD-4EF7-8CEB-E4E65439E1EB}"/>
    <cellStyle name="Normal 2 5 5 2 4 2 3" xfId="19323" xr:uid="{E6D2F63C-E15D-4754-81ED-31F6A6C18E83}"/>
    <cellStyle name="Normal 2 5 5 2 4 3" xfId="11776" xr:uid="{238DB489-BBA8-427C-B1ED-753DEA94FCC0}"/>
    <cellStyle name="Normal 2 5 5 2 4 3 2" xfId="22156" xr:uid="{86432B90-59F4-43FF-8900-0658A11B8AD1}"/>
    <cellStyle name="Normal 2 5 5 2 4 4" xfId="24332" xr:uid="{A134472F-4F0C-4B36-89AC-E882025ED22F}"/>
    <cellStyle name="Normal 2 5 5 2 4 5" xfId="16490" xr:uid="{BC840C62-7931-4908-B05E-8878F6D5BE02}"/>
    <cellStyle name="Normal 2 5 5 2 5" xfId="5157" xr:uid="{8D8DB419-A577-4C87-85B3-8E77FEA28754}"/>
    <cellStyle name="Normal 2 5 5 2 5 2" xfId="26221" xr:uid="{0B4E32D5-20C8-4ABE-9578-A416367360DB}"/>
    <cellStyle name="Normal 2 5 5 2 5 3" xfId="14454" xr:uid="{CB357D9E-C48B-4566-9649-283D305F8546}"/>
    <cellStyle name="Normal 2 5 5 2 6" xfId="6907" xr:uid="{FD52F4DB-C700-4971-8543-2462E176B89D}"/>
    <cellStyle name="Normal 2 5 5 2 6 2" xfId="17287" xr:uid="{CB4915F8-72F2-4AAF-BD9C-0336461E94C6}"/>
    <cellStyle name="Normal 2 5 5 2 7" xfId="9740" xr:uid="{87680FF5-81D1-4C2C-A4D7-75E52405DD48}"/>
    <cellStyle name="Normal 2 5 5 2 7 2" xfId="20120" xr:uid="{8ED05A9E-B87A-4474-B4E5-92C8203103D6}"/>
    <cellStyle name="Normal 2 5 5 2 8" xfId="23257" xr:uid="{6F526BDC-8D93-4CA2-BE0C-F2116A473742}"/>
    <cellStyle name="Normal 2 5 5 2 9" xfId="12729" xr:uid="{4393172E-B977-4BFD-9CBB-45548A785D2D}"/>
    <cellStyle name="Normal 2 5 5 3" xfId="807" xr:uid="{00000000-0005-0000-0000-0000D3040000}"/>
    <cellStyle name="Normal 2 5 5 3 2" xfId="4488" xr:uid="{191D5304-2252-407A-9F2F-C5169E3303B7}"/>
    <cellStyle name="Normal 2 5 5 3 2 2" xfId="9260" xr:uid="{3374D08B-9E7E-417E-85CE-960300A98FF7}"/>
    <cellStyle name="Normal 2 5 5 3 2 2 2" xfId="29247" xr:uid="{67EF28EC-1281-48F9-9714-DA45D7F343B0}"/>
    <cellStyle name="Normal 2 5 5 3 2 2 3" xfId="19640" xr:uid="{1AE8119A-1E32-495A-9E96-17F3F3C26B7E}"/>
    <cellStyle name="Normal 2 5 5 3 2 3" xfId="12093" xr:uid="{FD263DEC-19CA-42C9-B0CF-1372320E17FC}"/>
    <cellStyle name="Normal 2 5 5 3 2 3 2" xfId="22473" xr:uid="{A734C87D-1856-47B5-82DB-A492D3B3CA73}"/>
    <cellStyle name="Normal 2 5 5 3 2 4" xfId="25657" xr:uid="{5CC917C6-B20D-4A15-98EC-39307646EEC9}"/>
    <cellStyle name="Normal 2 5 5 3 2 5" xfId="16807" xr:uid="{EE13CA3C-0AC0-45AB-A3D7-00B192BA0EAC}"/>
    <cellStyle name="Normal 2 5 5 3 3" xfId="5159" xr:uid="{2FD359F9-0260-41C0-8B6C-193FE44FC7F7}"/>
    <cellStyle name="Normal 2 5 5 3 3 2" xfId="24144" xr:uid="{8243E976-362A-490C-ADBF-9D69A88FDAE2}"/>
    <cellStyle name="Normal 2 5 5 3 3 3" xfId="28704" xr:uid="{BB72FBDB-62A7-4935-A335-B18AB8140F0B}"/>
    <cellStyle name="Normal 2 5 5 3 3 4" xfId="14456" xr:uid="{6774E968-FF01-46F8-818E-5F6444BCD5F2}"/>
    <cellStyle name="Normal 2 5 5 3 4" xfId="6909" xr:uid="{03100050-60A7-436A-A4B1-C230ED560312}"/>
    <cellStyle name="Normal 2 5 5 3 4 2" xfId="24592" xr:uid="{72BADDE7-E342-49AD-B407-03B19458F00D}"/>
    <cellStyle name="Normal 2 5 5 3 4 3" xfId="26089" xr:uid="{21D00A71-A155-4754-B813-A137C4A7D1A9}"/>
    <cellStyle name="Normal 2 5 5 3 4 4" xfId="17289" xr:uid="{3D5887B5-0C78-4532-938D-B6883292D212}"/>
    <cellStyle name="Normal 2 5 5 3 5" xfId="9742" xr:uid="{C8D474EF-47D4-4C9B-A8F0-5822422A0989}"/>
    <cellStyle name="Normal 2 5 5 3 5 2" xfId="29400" xr:uid="{F33B7BCD-EEF5-4CFD-8501-64A2C3D7626C}"/>
    <cellStyle name="Normal 2 5 5 3 5 3" xfId="20122" xr:uid="{F5561920-D92C-46DE-805C-D1A4400C9246}"/>
    <cellStyle name="Normal 2 5 5 3 6" xfId="24114" xr:uid="{1558BF14-0991-45EB-A8A0-A54A9F7B67CF}"/>
    <cellStyle name="Normal 2 5 5 3 7" xfId="13780" xr:uid="{F77CD249-A86A-49E5-A77C-E453DCCBE8B6}"/>
    <cellStyle name="Normal 2 5 5 4" xfId="808" xr:uid="{00000000-0005-0000-0000-0000D4040000}"/>
    <cellStyle name="Normal 2 5 5 4 2" xfId="5160" xr:uid="{6D1D414A-CE50-456F-8C49-760601DA2E06}"/>
    <cellStyle name="Normal 2 5 5 4 2 2" xfId="22861" xr:uid="{3C224F4A-0DB5-40E6-86B3-5ED639DBC91A}"/>
    <cellStyle name="Normal 2 5 5 4 2 3" xfId="28648" xr:uid="{57A2BC08-CDBC-4928-A843-E101DB341CB4}"/>
    <cellStyle name="Normal 2 5 5 4 2 4" xfId="14457" xr:uid="{31AD36F2-4296-49C8-98D7-7E079A6919C8}"/>
    <cellStyle name="Normal 2 5 5 4 3" xfId="6910" xr:uid="{B7E5FDCD-8734-465C-B37F-2240D2E10103}"/>
    <cellStyle name="Normal 2 5 5 4 3 2" xfId="27492" xr:uid="{09496E9D-914A-4116-A437-9A8141488D37}"/>
    <cellStyle name="Normal 2 5 5 4 3 3" xfId="17290" xr:uid="{1C70BFF1-E58F-487A-8E99-F0B5233B39AF}"/>
    <cellStyle name="Normal 2 5 5 4 4" xfId="9743" xr:uid="{E85922E4-1D79-42A8-88AF-B706E9AE9261}"/>
    <cellStyle name="Normal 2 5 5 4 4 2" xfId="20123" xr:uid="{49AB2CEE-D5CD-4CE6-B735-18026E5AB2BD}"/>
    <cellStyle name="Normal 2 5 5 4 5" xfId="24671" xr:uid="{096666E4-7CB5-40BE-BFB0-6575E6AC2A48}"/>
    <cellStyle name="Normal 2 5 5 4 6" xfId="13427" xr:uid="{A99E2888-EADF-45AF-9B36-96131DB17096}"/>
    <cellStyle name="Normal 2 5 5 5" xfId="2512" xr:uid="{00000000-0005-0000-0000-0000A6040000}"/>
    <cellStyle name="Normal 2 5 5 5 2" xfId="5790" xr:uid="{FFF60220-2786-411A-9B50-E225FE6F36F5}"/>
    <cellStyle name="Normal 2 5 5 5 2 2" xfId="27131" xr:uid="{049A9345-1A3E-4FB5-9036-C28462255F0D}"/>
    <cellStyle name="Normal 2 5 5 5 2 3" xfId="15184" xr:uid="{6ED711E2-CAF3-4922-B860-D26E76152B0F}"/>
    <cellStyle name="Normal 2 5 5 5 3" xfId="7637" xr:uid="{8C412F03-3421-40A2-8714-A3D8920E6471}"/>
    <cellStyle name="Normal 2 5 5 5 3 2" xfId="18017" xr:uid="{2F416906-81F2-40D7-8B7B-7E893B5AE1D9}"/>
    <cellStyle name="Normal 2 5 5 5 4" xfId="10470" xr:uid="{B8EC647C-D67B-4C93-953A-43AEBF4EE549}"/>
    <cellStyle name="Normal 2 5 5 5 4 2" xfId="20850" xr:uid="{5911B648-2C07-4037-BB52-5BDD180633B0}"/>
    <cellStyle name="Normal 2 5 5 5 5" xfId="25008" xr:uid="{922CF97B-09FC-43DA-A5EF-FB3E7E9160B0}"/>
    <cellStyle name="Normal 2 5 5 5 6" xfId="12900" xr:uid="{3658C039-508D-4EC0-99B4-84299BFEA525}"/>
    <cellStyle name="Normal 2 5 5 6" xfId="2337" xr:uid="{00000000-0005-0000-0000-0000A0040000}"/>
    <cellStyle name="Normal 2 5 5 6 2" xfId="7464" xr:uid="{57926AC5-6E4B-43A3-8C65-7B2C057D4C82}"/>
    <cellStyle name="Normal 2 5 5 6 2 2" xfId="28670" xr:uid="{60F91A4A-E8B1-41DE-95B0-919E0B327C4E}"/>
    <cellStyle name="Normal 2 5 5 6 2 3" xfId="17844" xr:uid="{69D2B5F7-D825-4AA8-B391-E5230B93471C}"/>
    <cellStyle name="Normal 2 5 5 6 3" xfId="10297" xr:uid="{C2179902-CDB0-4A1A-B237-4EB459DC62C0}"/>
    <cellStyle name="Normal 2 5 5 6 3 2" xfId="20677" xr:uid="{95765E09-A067-4D27-B847-7163FBAD6A66}"/>
    <cellStyle name="Normal 2 5 5 6 4" xfId="23536" xr:uid="{96D6EEA7-A537-4F4A-832E-D68AB5BF6E5F}"/>
    <cellStyle name="Normal 2 5 5 6 5" xfId="15011" xr:uid="{5A2B3A4D-2CE3-450A-9DCC-3A4FF764A548}"/>
    <cellStyle name="Normal 2 5 5 7" xfId="3947" xr:uid="{EF085D8D-28F0-466A-BBF2-EED4A39AFFD2}"/>
    <cellStyle name="Normal 2 5 5 7 2" xfId="8779" xr:uid="{CA52A4E3-0621-44FD-909F-CC18099E41F4}"/>
    <cellStyle name="Normal 2 5 5 7 2 2" xfId="19159" xr:uid="{970252EB-210E-4296-AFBB-D75F9CCCAEFF}"/>
    <cellStyle name="Normal 2 5 5 7 3" xfId="11612" xr:uid="{2A1D49EC-593F-4AC0-B416-5873F09EB11C}"/>
    <cellStyle name="Normal 2 5 5 7 3 2" xfId="21992" xr:uid="{630AA5E5-BD14-4C57-85F7-AE3482E3B782}"/>
    <cellStyle name="Normal 2 5 5 7 4" xfId="27657" xr:uid="{53950138-3F82-479C-8C91-FE240C438FE1}"/>
    <cellStyle name="Normal 2 5 5 7 5" xfId="16326" xr:uid="{18281AEF-7046-46C3-B4A5-18EF338E06BB}"/>
    <cellStyle name="Normal 2 5 5 8" xfId="5156" xr:uid="{7DBACFB2-6346-48C9-85E2-8C057E240FB7}"/>
    <cellStyle name="Normal 2 5 5 8 2" xfId="14453" xr:uid="{DEB9018E-24E2-4ABC-85A9-9D75899727C0}"/>
    <cellStyle name="Normal 2 5 5 9" xfId="6906" xr:uid="{3EE8168B-B675-4A9E-B2BF-348E84C5F0D0}"/>
    <cellStyle name="Normal 2 5 5 9 2" xfId="17286" xr:uid="{60885E3C-2268-4B3E-82B4-199A69B7F15A}"/>
    <cellStyle name="Normal 2 5 6" xfId="809" xr:uid="{00000000-0005-0000-0000-0000D5040000}"/>
    <cellStyle name="Normal 2 5 6 10" xfId="9744" xr:uid="{E647F6A0-AA55-4642-8B1A-5907D03C6043}"/>
    <cellStyle name="Normal 2 5 6 10 2" xfId="20124" xr:uid="{799EE20D-967E-48D8-A554-5FF94DA07D60}"/>
    <cellStyle name="Normal 2 5 6 11" xfId="24497" xr:uid="{08F54CFD-D446-4130-8002-ACBDE1C687DE}"/>
    <cellStyle name="Normal 2 5 6 12" xfId="12572" xr:uid="{D006A9F5-CDF7-4863-BAFB-18C352EC2AAE}"/>
    <cellStyle name="Normal 2 5 6 2" xfId="810" xr:uid="{00000000-0005-0000-0000-0000D6040000}"/>
    <cellStyle name="Normal 2 5 6 2 2" xfId="811" xr:uid="{00000000-0005-0000-0000-0000D7040000}"/>
    <cellStyle name="Normal 2 5 6 2 2 2" xfId="5163" xr:uid="{F7783696-BA91-4035-9991-FCD5ED4764BA}"/>
    <cellStyle name="Normal 2 5 6 2 2 2 2" xfId="23134" xr:uid="{39AD109F-AA1C-4B13-8D11-D0204ACF839D}"/>
    <cellStyle name="Normal 2 5 6 2 2 2 3" xfId="26669" xr:uid="{189EA8B2-EE50-405F-803B-5E12B1EEE24C}"/>
    <cellStyle name="Normal 2 5 6 2 2 2 4" xfId="14460" xr:uid="{71149186-853F-411A-9B4D-9C718DE28DA4}"/>
    <cellStyle name="Normal 2 5 6 2 2 3" xfId="6913" xr:uid="{E522E7DC-73F8-4F04-B758-6934AC101907}"/>
    <cellStyle name="Normal 2 5 6 2 2 3 2" xfId="27601" xr:uid="{51B1B0F4-C357-417D-BD02-C5091349C45B}"/>
    <cellStyle name="Normal 2 5 6 2 2 3 3" xfId="27083" xr:uid="{499384BA-6A41-4563-9C34-49C32AA8493F}"/>
    <cellStyle name="Normal 2 5 6 2 2 3 4" xfId="17293" xr:uid="{13735354-3337-4563-8786-AD14C0D03D21}"/>
    <cellStyle name="Normal 2 5 6 2 2 4" xfId="9746" xr:uid="{C7FD1E7E-7AA2-4F79-8594-D7727377F753}"/>
    <cellStyle name="Normal 2 5 6 2 2 4 2" xfId="29401" xr:uid="{FD78A985-A23C-40CD-AA3B-B6AB1C7B6782}"/>
    <cellStyle name="Normal 2 5 6 2 2 4 3" xfId="20126" xr:uid="{E59AC640-1BFA-478A-BE11-676A567264EF}"/>
    <cellStyle name="Normal 2 5 6 2 2 5" xfId="23773" xr:uid="{AA0452BB-4774-42F6-B9FC-DCBA94F93C4D}"/>
    <cellStyle name="Normal 2 5 6 2 2 6" xfId="13781" xr:uid="{8E6833F2-7012-4919-8CB0-1B8040C9A082}"/>
    <cellStyle name="Normal 2 5 6 2 3" xfId="2747" xr:uid="{00000000-0005-0000-0000-0000AA040000}"/>
    <cellStyle name="Normal 2 5 6 2 3 2" xfId="5965" xr:uid="{5AD3EB0F-55A0-4193-B99F-0A4B83A6B386}"/>
    <cellStyle name="Normal 2 5 6 2 3 2 2" xfId="26048" xr:uid="{F3FAAF56-BD20-4265-ACC7-D113767692D9}"/>
    <cellStyle name="Normal 2 5 6 2 3 2 3" xfId="15418" xr:uid="{593A3771-F3F3-4C2F-BD05-965E5D230ECC}"/>
    <cellStyle name="Normal 2 5 6 2 3 3" xfId="7871" xr:uid="{CE435B7E-3D91-4800-B01D-30190F28995D}"/>
    <cellStyle name="Normal 2 5 6 2 3 3 2" xfId="18251" xr:uid="{0057DEFD-DF6F-493C-908D-19F4665E2493}"/>
    <cellStyle name="Normal 2 5 6 2 3 4" xfId="10704" xr:uid="{FBD18F8E-9092-4773-9FEB-17153209D404}"/>
    <cellStyle name="Normal 2 5 6 2 3 4 2" xfId="21084" xr:uid="{28A1C5C3-337F-4AB4-A40F-B8D98E69D42B}"/>
    <cellStyle name="Normal 2 5 6 2 3 5" xfId="24526" xr:uid="{69E51C89-7C9B-40BB-8265-ED1106437471}"/>
    <cellStyle name="Normal 2 5 6 2 3 6" xfId="13188" xr:uid="{69B771A7-1FE4-47C6-8EE8-0468B2EBCFF7}"/>
    <cellStyle name="Normal 2 5 6 2 4" xfId="4172" xr:uid="{468F8C98-F069-4C30-B20D-4EDDD61853C6}"/>
    <cellStyle name="Normal 2 5 6 2 4 2" xfId="8944" xr:uid="{3C07AE65-6C1E-469D-A796-B29C4E8F435D}"/>
    <cellStyle name="Normal 2 5 6 2 4 2 2" xfId="29037" xr:uid="{8B50EBCC-5682-4DCB-AF84-E9874895EDF6}"/>
    <cellStyle name="Normal 2 5 6 2 4 2 3" xfId="19324" xr:uid="{340F7BEB-2B03-40A0-92EA-8B24E7B2B530}"/>
    <cellStyle name="Normal 2 5 6 2 4 3" xfId="11777" xr:uid="{5C06D9C0-A551-4428-83CA-225306F6804B}"/>
    <cellStyle name="Normal 2 5 6 2 4 3 2" xfId="22157" xr:uid="{7FCBB29D-E41D-4560-8452-0F80E9FA145E}"/>
    <cellStyle name="Normal 2 5 6 2 4 4" xfId="24145" xr:uid="{80A6AC0C-C184-4AEB-AD7E-74DD7E264942}"/>
    <cellStyle name="Normal 2 5 6 2 4 5" xfId="16491" xr:uid="{C654EA87-A17D-43CD-94B0-BD5410B86DCE}"/>
    <cellStyle name="Normal 2 5 6 2 5" xfId="5162" xr:uid="{BCD21F37-0CA3-4ACD-BE2D-9BE2F599701D}"/>
    <cellStyle name="Normal 2 5 6 2 5 2" xfId="27232" xr:uid="{A0A5AC45-5E2B-4A9C-A967-7707BCCE0E9B}"/>
    <cellStyle name="Normal 2 5 6 2 5 3" xfId="14459" xr:uid="{7634AFDC-A55D-43CC-AEA8-12EAF20DD7FC}"/>
    <cellStyle name="Normal 2 5 6 2 6" xfId="6912" xr:uid="{2938A14E-2CE9-495D-A995-8C7367A244A7}"/>
    <cellStyle name="Normal 2 5 6 2 6 2" xfId="17292" xr:uid="{C8B9F7F4-07FA-4E6B-B487-F46767231431}"/>
    <cellStyle name="Normal 2 5 6 2 7" xfId="9745" xr:uid="{F7F33E34-2320-49C4-B316-3989FF3DBBD8}"/>
    <cellStyle name="Normal 2 5 6 2 7 2" xfId="20125" xr:uid="{D4BA64FD-61F6-4CAD-9E81-2F675D968DDC}"/>
    <cellStyle name="Normal 2 5 6 2 8" xfId="25538" xr:uid="{23799D15-3FD3-459D-BF5E-823E455FBD63}"/>
    <cellStyle name="Normal 2 5 6 2 9" xfId="12730" xr:uid="{8B129022-E842-4CF5-8F81-35C448F71090}"/>
    <cellStyle name="Normal 2 5 6 3" xfId="812" xr:uid="{00000000-0005-0000-0000-0000D8040000}"/>
    <cellStyle name="Normal 2 5 6 3 2" xfId="4489" xr:uid="{B3A1ADE1-A789-4D80-9D7F-9CD90D1970AB}"/>
    <cellStyle name="Normal 2 5 6 3 2 2" xfId="9261" xr:uid="{BB1F39FD-4F88-4726-B049-48262EE4DBFD}"/>
    <cellStyle name="Normal 2 5 6 3 2 2 2" xfId="29248" xr:uid="{DC146D67-3B6C-49EF-AF17-0007CF7B2B3C}"/>
    <cellStyle name="Normal 2 5 6 3 2 2 3" xfId="19641" xr:uid="{41906DF1-2A53-4B39-9CF6-7E7FC938F6C6}"/>
    <cellStyle name="Normal 2 5 6 3 2 3" xfId="12094" xr:uid="{CFAA8862-E2E2-47CB-A863-B4E1751A9859}"/>
    <cellStyle name="Normal 2 5 6 3 2 3 2" xfId="22474" xr:uid="{32594672-1082-4272-819E-D4957F3EB5E0}"/>
    <cellStyle name="Normal 2 5 6 3 2 4" xfId="25121" xr:uid="{6B086E71-DC77-4112-A649-22379E72209C}"/>
    <cellStyle name="Normal 2 5 6 3 2 5" xfId="16808" xr:uid="{4139A793-79BB-4B2A-91A6-5EBDAC9E072C}"/>
    <cellStyle name="Normal 2 5 6 3 3" xfId="5164" xr:uid="{B6ED6CCB-18F6-4DD2-8BC3-B96CD4195331}"/>
    <cellStyle name="Normal 2 5 6 3 3 2" xfId="26801" xr:uid="{E675E9C9-E5B5-49C1-BAA0-383CE5F0681E}"/>
    <cellStyle name="Normal 2 5 6 3 3 3" xfId="27750" xr:uid="{0B1514A7-1C4A-4D2C-968E-E610E2AF131E}"/>
    <cellStyle name="Normal 2 5 6 3 3 4" xfId="14461" xr:uid="{398E7279-C1DA-4365-94B9-89CFE882DA92}"/>
    <cellStyle name="Normal 2 5 6 3 4" xfId="6914" xr:uid="{9CF2DFCB-0B7C-45DA-A00E-F11E5A07CA4C}"/>
    <cellStyle name="Normal 2 5 6 3 4 2" xfId="27899" xr:uid="{6C8EF23C-23C8-4098-91DE-7E4C48FC6EE1}"/>
    <cellStyle name="Normal 2 5 6 3 4 3" xfId="28576" xr:uid="{4A7D326D-8E84-4E02-BFAE-50977B647D39}"/>
    <cellStyle name="Normal 2 5 6 3 4 4" xfId="17294" xr:uid="{4CFCBA14-C4E9-4D8D-BF04-23FA1F0C23D1}"/>
    <cellStyle name="Normal 2 5 6 3 5" xfId="9747" xr:uid="{EC6F99EB-EA78-44D8-8450-FF21D4492BB7}"/>
    <cellStyle name="Normal 2 5 6 3 5 2" xfId="29402" xr:uid="{0DDD90E9-666E-4C0F-B6FD-D1F25453D04F}"/>
    <cellStyle name="Normal 2 5 6 3 5 3" xfId="20127" xr:uid="{E33FA4E8-75AA-404D-88E5-2C6C0F487917}"/>
    <cellStyle name="Normal 2 5 6 3 6" xfId="24434" xr:uid="{BAFCFC8E-A3FC-44C5-A554-810DD9E1181C}"/>
    <cellStyle name="Normal 2 5 6 3 7" xfId="13782" xr:uid="{AABED0DE-DA74-4CF5-AD07-5B8A0CAAF3D1}"/>
    <cellStyle name="Normal 2 5 6 4" xfId="813" xr:uid="{00000000-0005-0000-0000-0000D9040000}"/>
    <cellStyle name="Normal 2 5 6 4 2" xfId="5165" xr:uid="{2EED1908-67AF-4BF9-A22D-A02BFAA9EA49}"/>
    <cellStyle name="Normal 2 5 6 4 2 2" xfId="25636" xr:uid="{DE70DFCE-68B9-4548-82C4-81426A2E52B2}"/>
    <cellStyle name="Normal 2 5 6 4 2 3" xfId="27754" xr:uid="{875D9C06-8A7A-4F2B-8200-1E6500CBF0D8}"/>
    <cellStyle name="Normal 2 5 6 4 2 4" xfId="14462" xr:uid="{5589403F-483E-4AA1-95BD-131F1D9D0150}"/>
    <cellStyle name="Normal 2 5 6 4 3" xfId="6915" xr:uid="{E374B837-8176-423D-8660-6D02A228E049}"/>
    <cellStyle name="Normal 2 5 6 4 3 2" xfId="27811" xr:uid="{58AC779F-8147-46B5-B25C-A348491B40EB}"/>
    <cellStyle name="Normal 2 5 6 4 3 3" xfId="17295" xr:uid="{B9A0940A-3AD4-463D-9C85-1D43B8C761E2}"/>
    <cellStyle name="Normal 2 5 6 4 4" xfId="9748" xr:uid="{AE3BCF6D-F51F-419E-93B4-AC61634FEE93}"/>
    <cellStyle name="Normal 2 5 6 4 4 2" xfId="20128" xr:uid="{E8C2213E-0914-43AA-88BE-E77305A7B81B}"/>
    <cellStyle name="Normal 2 5 6 4 5" xfId="24657" xr:uid="{653AE55E-4F69-4F74-A475-C25B2410ABC3}"/>
    <cellStyle name="Normal 2 5 6 4 6" xfId="13428" xr:uid="{41BBA974-C802-4600-8ADC-6D323B2F6DFE}"/>
    <cellStyle name="Normal 2 5 6 5" xfId="2572" xr:uid="{00000000-0005-0000-0000-0000AD040000}"/>
    <cellStyle name="Normal 2 5 6 5 2" xfId="5839" xr:uid="{396B18D2-0248-4D0C-94CE-1E15E30FAB3E}"/>
    <cellStyle name="Normal 2 5 6 5 2 2" xfId="26425" xr:uid="{D6A82BEC-47F7-4D35-95A1-5F0E6BBE6154}"/>
    <cellStyle name="Normal 2 5 6 5 2 3" xfId="15244" xr:uid="{C235AA02-DAD8-42A6-996B-6D0C224E6E36}"/>
    <cellStyle name="Normal 2 5 6 5 3" xfId="7697" xr:uid="{6D751735-06AC-497B-96C2-5BAE0FA91DA6}"/>
    <cellStyle name="Normal 2 5 6 5 3 2" xfId="18077" xr:uid="{F488D38A-3567-482A-B0DC-5032FCE973D8}"/>
    <cellStyle name="Normal 2 5 6 5 4" xfId="10530" xr:uid="{69BA77E9-E489-4BDE-9BFA-BE463FD6F086}"/>
    <cellStyle name="Normal 2 5 6 5 4 2" xfId="20910" xr:uid="{DB8D6011-850E-4248-997E-D64ACC70B29C}"/>
    <cellStyle name="Normal 2 5 6 5 5" xfId="25373" xr:uid="{2428CB0A-2075-47FA-BD75-893BD251E405}"/>
    <cellStyle name="Normal 2 5 6 5 6" xfId="12960" xr:uid="{B3E79A95-7E45-4BBE-8139-AC5A8949078F}"/>
    <cellStyle name="Normal 2 5 6 6" xfId="2338" xr:uid="{00000000-0005-0000-0000-0000A7040000}"/>
    <cellStyle name="Normal 2 5 6 6 2" xfId="7465" xr:uid="{912A32E9-CAE1-4A74-9950-D92D57BAA7F7}"/>
    <cellStyle name="Normal 2 5 6 6 2 2" xfId="27151" xr:uid="{61860902-6BF2-44FA-A1C5-18D58D3C9CB0}"/>
    <cellStyle name="Normal 2 5 6 6 2 3" xfId="17845" xr:uid="{FB58D4AB-0201-4134-8F4A-163E54CF01DF}"/>
    <cellStyle name="Normal 2 5 6 6 3" xfId="10298" xr:uid="{F0E657DE-362D-40FB-A717-6D816FFC4AE1}"/>
    <cellStyle name="Normal 2 5 6 6 3 2" xfId="20678" xr:uid="{64293C1C-F1B0-4679-8401-3242F5DDFBEE}"/>
    <cellStyle name="Normal 2 5 6 6 4" xfId="23849" xr:uid="{C48EFEF4-1061-4E23-AE99-7D9B018C553D}"/>
    <cellStyle name="Normal 2 5 6 6 5" xfId="15012" xr:uid="{DE256D3C-40E2-49AB-BE7F-6E86B468C0E8}"/>
    <cellStyle name="Normal 2 5 6 7" xfId="3948" xr:uid="{76E8A881-6AE3-4488-8195-9627BF6D6727}"/>
    <cellStyle name="Normal 2 5 6 7 2" xfId="8780" xr:uid="{0DDF7CD2-90B2-4262-B5F3-451CF99BF985}"/>
    <cellStyle name="Normal 2 5 6 7 2 2" xfId="19160" xr:uid="{DFE5D1F1-7C54-415F-A686-E43CB4A0485C}"/>
    <cellStyle name="Normal 2 5 6 7 3" xfId="11613" xr:uid="{6B5AA8E9-538B-4A51-BC76-F982EC52FBB0}"/>
    <cellStyle name="Normal 2 5 6 7 3 2" xfId="21993" xr:uid="{B70954B3-F3DC-497B-9441-0B59DE8A693C}"/>
    <cellStyle name="Normal 2 5 6 7 4" xfId="26657" xr:uid="{2BD1EBAE-EBE5-4B32-81CA-ABE0E74369EB}"/>
    <cellStyle name="Normal 2 5 6 7 5" xfId="16327" xr:uid="{E3733107-DC77-4706-912A-66E85484C16D}"/>
    <cellStyle name="Normal 2 5 6 8" xfId="5161" xr:uid="{7D9E3B92-ACB1-4AE4-93E5-41599DD599B5}"/>
    <cellStyle name="Normal 2 5 6 8 2" xfId="14458" xr:uid="{912C215C-59AE-4B8A-A919-6955DA060220}"/>
    <cellStyle name="Normal 2 5 6 9" xfId="6911" xr:uid="{46BB68E6-E300-46CF-AD37-06A0015EF9F5}"/>
    <cellStyle name="Normal 2 5 6 9 2" xfId="17291" xr:uid="{599356A6-6502-4CFB-BAAA-3BB618513075}"/>
    <cellStyle name="Normal 2 5 7" xfId="814" xr:uid="{00000000-0005-0000-0000-0000DA040000}"/>
    <cellStyle name="Normal 2 5 7 10" xfId="12573" xr:uid="{3872BEEC-669F-4021-BAFE-C9CEED91AE29}"/>
    <cellStyle name="Normal 2 5 7 2" xfId="815" xr:uid="{00000000-0005-0000-0000-0000DB040000}"/>
    <cellStyle name="Normal 2 5 7 2 2" xfId="2912" xr:uid="{00000000-0005-0000-0000-0000B0040000}"/>
    <cellStyle name="Normal 2 5 7 2 2 2" xfId="6098" xr:uid="{FA80A102-18ED-414D-B27C-9353D338448C}"/>
    <cellStyle name="Normal 2 5 7 2 2 2 2" xfId="27821" xr:uid="{550BE74C-98F0-458B-84B6-F9AA5353B803}"/>
    <cellStyle name="Normal 2 5 7 2 2 2 3" xfId="27513" xr:uid="{66B8E7A9-047F-4D10-823B-1F07C00CEE0D}"/>
    <cellStyle name="Normal 2 5 7 2 2 2 4" xfId="15576" xr:uid="{94FE082E-9F2B-40D6-A7B0-165E6B8592BE}"/>
    <cellStyle name="Normal 2 5 7 2 2 3" xfId="8029" xr:uid="{D09942F2-BB55-43B0-85BF-29DB837C7E71}"/>
    <cellStyle name="Normal 2 5 7 2 2 3 2" xfId="26134" xr:uid="{5887ABB2-282D-44E7-BC2D-B437A529A992}"/>
    <cellStyle name="Normal 2 5 7 2 2 3 3" xfId="18409" xr:uid="{B05DDA15-E438-45B1-ADD1-CDF70D65F000}"/>
    <cellStyle name="Normal 2 5 7 2 2 4" xfId="10862" xr:uid="{196E06A0-F0CA-4CD2-91AD-74766821AB63}"/>
    <cellStyle name="Normal 2 5 7 2 2 4 2" xfId="21242" xr:uid="{FF51A9F4-D23A-4542-9A76-B0366AD8B7EA}"/>
    <cellStyle name="Normal 2 5 7 2 2 5" xfId="23492" xr:uid="{50433F46-47FE-48C4-B929-F6EA81E9341E}"/>
    <cellStyle name="Normal 2 5 7 2 2 6" xfId="13429" xr:uid="{CD5796A2-B85E-4A30-B3CB-AE07BC20B7CF}"/>
    <cellStyle name="Normal 2 5 7 2 3" xfId="5167" xr:uid="{9060EB0F-8873-4CCC-B47E-BC20FB1A55D0}"/>
    <cellStyle name="Normal 2 5 7 2 3 2" xfId="24093" xr:uid="{8140658E-2120-4103-BA3F-0B6F38DE81A8}"/>
    <cellStyle name="Normal 2 5 7 2 3 3" xfId="27977" xr:uid="{B7581A10-14FA-4070-A47F-E97B46EFFB92}"/>
    <cellStyle name="Normal 2 5 7 2 3 4" xfId="14464" xr:uid="{84722115-5823-45CE-99AC-0AA48348108E}"/>
    <cellStyle name="Normal 2 5 7 2 4" xfId="6917" xr:uid="{ABB8204F-5F68-4D3B-B5C0-E0FF351739A0}"/>
    <cellStyle name="Normal 2 5 7 2 4 2" xfId="27128" xr:uid="{E67F10F3-25A2-4D8F-AAD2-6E4DC1594DB6}"/>
    <cellStyle name="Normal 2 5 7 2 4 3" xfId="26305" xr:uid="{AA7E1F22-0A92-4FF1-9E88-23950B6FEDE6}"/>
    <cellStyle name="Normal 2 5 7 2 4 4" xfId="17297" xr:uid="{9BC63DFC-F0CE-452A-AE87-5CCA8FC53B19}"/>
    <cellStyle name="Normal 2 5 7 2 5" xfId="9750" xr:uid="{E7264DE5-52B1-4692-906E-9DD0289F153E}"/>
    <cellStyle name="Normal 2 5 7 2 5 2" xfId="29403" xr:uid="{9EDE6359-4F37-4234-BA23-058B76396C1B}"/>
    <cellStyle name="Normal 2 5 7 2 5 3" xfId="20130" xr:uid="{9BE466F4-CD27-4903-8CB2-393F7022D916}"/>
    <cellStyle name="Normal 2 5 7 2 6" xfId="24812" xr:uid="{221AF4D8-96BB-42CC-8398-1FBD5CD439A6}"/>
    <cellStyle name="Normal 2 5 7 2 7" xfId="12731" xr:uid="{9FB605A8-A7B1-4FA1-8B2B-AF26473C4371}"/>
    <cellStyle name="Normal 2 5 7 3" xfId="816" xr:uid="{00000000-0005-0000-0000-0000DC040000}"/>
    <cellStyle name="Normal 2 5 7 3 2" xfId="5168" xr:uid="{3E770E89-C976-4B49-A69D-01A42A1046BA}"/>
    <cellStyle name="Normal 2 5 7 3 2 2" xfId="27542" xr:uid="{82D41DC6-34D2-4BCF-A349-458CC7899135}"/>
    <cellStyle name="Normal 2 5 7 3 2 3" xfId="26703" xr:uid="{2EED25AF-C542-4CE4-BFA0-889806031BEA}"/>
    <cellStyle name="Normal 2 5 7 3 2 4" xfId="14465" xr:uid="{5045C102-0344-4C68-8D27-1021B6E1EFC7}"/>
    <cellStyle name="Normal 2 5 7 3 3" xfId="6918" xr:uid="{7C138758-DA1F-4FFF-B085-5A736F7CF706}"/>
    <cellStyle name="Normal 2 5 7 3 3 2" xfId="27912" xr:uid="{AF28E1D1-20A5-4401-ACD6-C4098AD1A24F}"/>
    <cellStyle name="Normal 2 5 7 3 3 3" xfId="27953" xr:uid="{EFC5B746-C63B-4E1A-88C8-DAE3639D4DC3}"/>
    <cellStyle name="Normal 2 5 7 3 3 4" xfId="17298" xr:uid="{FD2A42AA-958D-4A50-8385-C90282911FCA}"/>
    <cellStyle name="Normal 2 5 7 3 4" xfId="9751" xr:uid="{E467DB8B-20BB-49F3-9ECC-7BC2417E7147}"/>
    <cellStyle name="Normal 2 5 7 3 4 2" xfId="29404" xr:uid="{B7564529-64FE-4224-AC93-757CC3458D65}"/>
    <cellStyle name="Normal 2 5 7 3 4 3" xfId="20131" xr:uid="{6E2830BE-5DB1-439A-BF6A-50C05FC302E1}"/>
    <cellStyle name="Normal 2 5 7 3 5" xfId="24737" xr:uid="{F24850FC-B74F-4829-BAB6-7ACC661A5532}"/>
    <cellStyle name="Normal 2 5 7 3 6" xfId="13189" xr:uid="{2C439F39-210C-4C9B-977B-ACBACC47B0B5}"/>
    <cellStyle name="Normal 2 5 7 4" xfId="2339" xr:uid="{00000000-0005-0000-0000-0000AE040000}"/>
    <cellStyle name="Normal 2 5 7 4 2" xfId="7466" xr:uid="{1B362344-0BD6-4D0E-B242-4B50F9728465}"/>
    <cellStyle name="Normal 2 5 7 4 2 2" xfId="28744" xr:uid="{0CC125D7-E415-4BB3-AC0D-4C2EC7949BF1}"/>
    <cellStyle name="Normal 2 5 7 4 2 3" xfId="17846" xr:uid="{5C924F8C-930F-4882-837A-8D0C7343138F}"/>
    <cellStyle name="Normal 2 5 7 4 3" xfId="10299" xr:uid="{F73DC2D7-62D0-47B9-B1D3-79A626A70695}"/>
    <cellStyle name="Normal 2 5 7 4 3 2" xfId="20679" xr:uid="{C9CCF917-99CD-4A73-8291-13AECA5F2EDE}"/>
    <cellStyle name="Normal 2 5 7 4 4" xfId="23087" xr:uid="{F54C2A25-969A-4A8D-8DFA-442B18095805}"/>
    <cellStyle name="Normal 2 5 7 4 5" xfId="15013" xr:uid="{134E550A-C5DE-43AB-91F1-6867B117659D}"/>
    <cellStyle name="Normal 2 5 7 5" xfId="3949" xr:uid="{D8CFC14B-49E3-4A3A-963B-90B9A5D33F02}"/>
    <cellStyle name="Normal 2 5 7 5 2" xfId="8781" xr:uid="{314531B3-1E98-409B-9C90-1A861A73CA31}"/>
    <cellStyle name="Normal 2 5 7 5 2 2" xfId="28981" xr:uid="{79EA32D8-57DD-47A4-888F-9B1212D9E371}"/>
    <cellStyle name="Normal 2 5 7 5 2 3" xfId="19161" xr:uid="{0AE8848D-4986-4FDF-B055-D4A1AED243F2}"/>
    <cellStyle name="Normal 2 5 7 5 3" xfId="11614" xr:uid="{431B8C18-6889-4ABF-93B8-ABC29AE6C23E}"/>
    <cellStyle name="Normal 2 5 7 5 3 2" xfId="21994" xr:uid="{24AA5B20-D95F-456D-B6F9-5B75307D321E}"/>
    <cellStyle name="Normal 2 5 7 5 4" xfId="23048" xr:uid="{BF2A2A7B-A4B2-43E3-B56E-508819FD4D2A}"/>
    <cellStyle name="Normal 2 5 7 5 5" xfId="16328" xr:uid="{15B13AD9-8B90-4437-869A-47F17607C98F}"/>
    <cellStyle name="Normal 2 5 7 6" xfId="5166" xr:uid="{DB16687C-D6BD-4F8D-A886-DB6B61A4308F}"/>
    <cellStyle name="Normal 2 5 7 6 2" xfId="27596" xr:uid="{1A8FEE94-0E9A-47A1-A9DE-9D6EB49014AF}"/>
    <cellStyle name="Normal 2 5 7 6 3" xfId="26893" xr:uid="{3BAFF762-766C-46A0-A1D9-0DE77A03937F}"/>
    <cellStyle name="Normal 2 5 7 6 4" xfId="14463" xr:uid="{9E383EA8-AEC5-407D-85C5-6B8725A9BF50}"/>
    <cellStyle name="Normal 2 5 7 7" xfId="6916" xr:uid="{A11ADF15-8B6E-4FC0-A364-3F9F18D1C6E6}"/>
    <cellStyle name="Normal 2 5 7 7 2" xfId="27964" xr:uid="{BBDB033E-635E-41E9-9BF4-DE49DFE942E7}"/>
    <cellStyle name="Normal 2 5 7 7 3" xfId="17296" xr:uid="{C3ADC7B6-AC92-472A-91BA-C182249D2A74}"/>
    <cellStyle name="Normal 2 5 7 8" xfId="9749" xr:uid="{5592F4F2-A5E1-4C80-AD93-9BB633DB9C87}"/>
    <cellStyle name="Normal 2 5 7 8 2" xfId="20129" xr:uid="{14272C20-86E2-472E-A4E8-4C9B7D12F764}"/>
    <cellStyle name="Normal 2 5 7 9" xfId="23816" xr:uid="{8B9DB549-646C-43BD-980D-D4E511D283D9}"/>
    <cellStyle name="Normal 2 5 8" xfId="817" xr:uid="{00000000-0005-0000-0000-0000DD040000}"/>
    <cellStyle name="Normal 2 5 8 10" xfId="12574" xr:uid="{E38ED17A-C2CC-4BFA-B9D8-85D20747573E}"/>
    <cellStyle name="Normal 2 5 8 2" xfId="818" xr:uid="{00000000-0005-0000-0000-0000DE040000}"/>
    <cellStyle name="Normal 2 5 8 2 2" xfId="2913" xr:uid="{00000000-0005-0000-0000-0000B4040000}"/>
    <cellStyle name="Normal 2 5 8 2 2 2" xfId="6099" xr:uid="{87FC9D8D-AB43-40ED-8F7B-7E2E37B886AF}"/>
    <cellStyle name="Normal 2 5 8 2 2 2 2" xfId="26608" xr:uid="{0E2C8697-FF4A-48A1-B35C-E3A2591FB366}"/>
    <cellStyle name="Normal 2 5 8 2 2 2 3" xfId="27188" xr:uid="{CBE24E46-5E11-443A-A77B-8103F7EA457E}"/>
    <cellStyle name="Normal 2 5 8 2 2 2 4" xfId="15577" xr:uid="{CCEFA5DC-81A5-4731-AF20-D945D234E6F8}"/>
    <cellStyle name="Normal 2 5 8 2 2 3" xfId="8030" xr:uid="{99F426A8-2204-4F37-9D08-DD9295900529}"/>
    <cellStyle name="Normal 2 5 8 2 2 3 2" xfId="28077" xr:uid="{7F706CB7-6FAB-4374-B652-FA22570053F5}"/>
    <cellStyle name="Normal 2 5 8 2 2 3 3" xfId="18410" xr:uid="{E8C1E560-62B3-4C7D-BB20-AED4AB04D940}"/>
    <cellStyle name="Normal 2 5 8 2 2 4" xfId="10863" xr:uid="{C2627F29-8680-4140-B7A5-469789BA4CFD}"/>
    <cellStyle name="Normal 2 5 8 2 2 4 2" xfId="21243" xr:uid="{8A4C4B47-274E-4315-9F51-FC9BCCD9C1EA}"/>
    <cellStyle name="Normal 2 5 8 2 2 5" xfId="25094" xr:uid="{FC916E75-829D-4648-ABC5-97E3678CCF1A}"/>
    <cellStyle name="Normal 2 5 8 2 2 6" xfId="13430" xr:uid="{C0121E78-6DD1-47EB-8E62-5227476F87EE}"/>
    <cellStyle name="Normal 2 5 8 2 3" xfId="5170" xr:uid="{2D1402A6-9415-4653-86D7-D557C147098C}"/>
    <cellStyle name="Normal 2 5 8 2 3 2" xfId="22952" xr:uid="{388FF915-190B-4954-B4E7-FC639DFDE943}"/>
    <cellStyle name="Normal 2 5 8 2 3 3" xfId="28192" xr:uid="{68F1D276-B697-45DD-AC32-13F466365F86}"/>
    <cellStyle name="Normal 2 5 8 2 3 4" xfId="14467" xr:uid="{0FF6EBD6-B970-4B44-BA59-1FDA5254A209}"/>
    <cellStyle name="Normal 2 5 8 2 4" xfId="6920" xr:uid="{0E4C1027-7728-4935-9EA7-C7B74EE744D2}"/>
    <cellStyle name="Normal 2 5 8 2 4 2" xfId="28642" xr:uid="{459B1FF4-BA87-4BB3-8F04-5A33DD60A1CC}"/>
    <cellStyle name="Normal 2 5 8 2 4 3" xfId="26085" xr:uid="{8F91E1C7-6E17-4EC2-8DEA-849DDF060DEA}"/>
    <cellStyle name="Normal 2 5 8 2 4 4" xfId="17300" xr:uid="{C0BBF1FD-7C5D-4DAB-A0F0-C8E5DEDEF76E}"/>
    <cellStyle name="Normal 2 5 8 2 5" xfId="9753" xr:uid="{76768B74-70FA-4465-B1AA-713D127A7702}"/>
    <cellStyle name="Normal 2 5 8 2 5 2" xfId="29405" xr:uid="{DF98DF7B-1E00-43BC-983A-B4CC22D34525}"/>
    <cellStyle name="Normal 2 5 8 2 5 3" xfId="20133" xr:uid="{C594FEF9-4D23-4971-B868-D67002B33B47}"/>
    <cellStyle name="Normal 2 5 8 2 6" xfId="23828" xr:uid="{C8386A60-128C-499F-AFCE-4DD10DBA963E}"/>
    <cellStyle name="Normal 2 5 8 2 7" xfId="12732" xr:uid="{F643D582-96B8-4CC8-AC8C-FCCC2DB6AF69}"/>
    <cellStyle name="Normal 2 5 8 3" xfId="819" xr:uid="{00000000-0005-0000-0000-0000DF040000}"/>
    <cellStyle name="Normal 2 5 8 3 2" xfId="5171" xr:uid="{7EA0FB52-D0FE-464E-B1A8-416EB7CAF6C7}"/>
    <cellStyle name="Normal 2 5 8 3 2 2" xfId="27762" xr:uid="{1B3D8A2B-1258-4528-9408-85F43A031E64}"/>
    <cellStyle name="Normal 2 5 8 3 2 3" xfId="26290" xr:uid="{AA918E9E-EA3E-4349-9744-D71435009A3C}"/>
    <cellStyle name="Normal 2 5 8 3 2 4" xfId="14468" xr:uid="{3E6F9440-77F5-4A99-B3EB-8BA589A02EDF}"/>
    <cellStyle name="Normal 2 5 8 3 3" xfId="6921" xr:uid="{B0B08595-060E-494E-8110-148EF87A2DA8}"/>
    <cellStyle name="Normal 2 5 8 3 3 2" xfId="28638" xr:uid="{032D4AEB-EE59-4E85-8CEB-A25B80BB18B6}"/>
    <cellStyle name="Normal 2 5 8 3 3 3" xfId="27846" xr:uid="{9B0AC6F4-3E72-4516-847F-2AA6AC759CEA}"/>
    <cellStyle name="Normal 2 5 8 3 3 4" xfId="17301" xr:uid="{9CAE0CA5-192E-4FCA-A94D-8A5B4F1AA151}"/>
    <cellStyle name="Normal 2 5 8 3 4" xfId="9754" xr:uid="{9846A3BF-14CF-479A-A442-5CF3BBFAE313}"/>
    <cellStyle name="Normal 2 5 8 3 4 2" xfId="29406" xr:uid="{2D856DE2-86A0-419D-96E1-34CA2644A20C}"/>
    <cellStyle name="Normal 2 5 8 3 4 3" xfId="20134" xr:uid="{53B8728A-7373-4BC2-B56D-E24262BF362B}"/>
    <cellStyle name="Normal 2 5 8 3 5" xfId="23851" xr:uid="{46453A9E-A67F-494D-87B3-15B3F5DFAF52}"/>
    <cellStyle name="Normal 2 5 8 3 6" xfId="13190" xr:uid="{496E3A89-8730-4E6C-828A-8D05C85E2345}"/>
    <cellStyle name="Normal 2 5 8 4" xfId="2340" xr:uid="{00000000-0005-0000-0000-0000B2040000}"/>
    <cellStyle name="Normal 2 5 8 4 2" xfId="7467" xr:uid="{C16FBEFE-52AB-4441-A1C9-E8B5687AE242}"/>
    <cellStyle name="Normal 2 5 8 4 2 2" xfId="27848" xr:uid="{0E4396B1-BC75-464D-B164-CF432F57B523}"/>
    <cellStyle name="Normal 2 5 8 4 2 3" xfId="17847" xr:uid="{FDB08684-D268-4DCA-B262-1B3506CE5912}"/>
    <cellStyle name="Normal 2 5 8 4 3" xfId="10300" xr:uid="{E5AA1FD1-ED76-4FAD-8CA9-11EB7236145B}"/>
    <cellStyle name="Normal 2 5 8 4 3 2" xfId="20680" xr:uid="{C78468E8-4D30-4A55-9AA2-6B20AC0D4496}"/>
    <cellStyle name="Normal 2 5 8 4 4" xfId="25085" xr:uid="{47ACB428-AD37-40AD-87E4-7E37E5606D87}"/>
    <cellStyle name="Normal 2 5 8 4 5" xfId="15014" xr:uid="{A3C273AF-593E-476B-B230-8D7E402C6145}"/>
    <cellStyle name="Normal 2 5 8 5" xfId="3950" xr:uid="{BF81343B-B83B-43B8-9BC5-CB12006B854C}"/>
    <cellStyle name="Normal 2 5 8 5 2" xfId="8782" xr:uid="{CECA1BCB-AD76-4537-8025-497C5AD21B3F}"/>
    <cellStyle name="Normal 2 5 8 5 2 2" xfId="28982" xr:uid="{94C765E6-BB12-4335-80EF-AF4F156CCF00}"/>
    <cellStyle name="Normal 2 5 8 5 2 3" xfId="19162" xr:uid="{0C1C02B2-740E-4BCE-B144-84642897C345}"/>
    <cellStyle name="Normal 2 5 8 5 3" xfId="11615" xr:uid="{0C944F9B-713E-4AE8-BB46-119FFF8D1704}"/>
    <cellStyle name="Normal 2 5 8 5 3 2" xfId="21995" xr:uid="{1EAB1D14-CBDA-43A1-9717-0CB745344DC4}"/>
    <cellStyle name="Normal 2 5 8 5 4" xfId="24535" xr:uid="{6ECCF8D9-9A14-4CC9-AD83-CFF583C82AC6}"/>
    <cellStyle name="Normal 2 5 8 5 5" xfId="16329" xr:uid="{B341DFBB-E567-480A-809E-A7B726B6E9CA}"/>
    <cellStyle name="Normal 2 5 8 6" xfId="5169" xr:uid="{AF740421-A9D7-4981-B0DD-024B66F1145B}"/>
    <cellStyle name="Normal 2 5 8 6 2" xfId="27676" xr:uid="{7DEE681E-4F61-4398-91D7-57107E8AAA8D}"/>
    <cellStyle name="Normal 2 5 8 6 3" xfId="27479" xr:uid="{59820533-D3B5-4D7A-A35D-04C989DD83D8}"/>
    <cellStyle name="Normal 2 5 8 6 4" xfId="14466" xr:uid="{8C96E933-25D4-4073-B797-84AB31DEAECA}"/>
    <cellStyle name="Normal 2 5 8 7" xfId="6919" xr:uid="{239F98C7-8727-4BE7-81D5-EE9277AB63F6}"/>
    <cellStyle name="Normal 2 5 8 7 2" xfId="27062" xr:uid="{96429B7D-6E41-4E3C-89DE-72DA8AA46504}"/>
    <cellStyle name="Normal 2 5 8 7 3" xfId="17299" xr:uid="{D7886A59-2199-41D7-AE3A-FD9033BD4BD3}"/>
    <cellStyle name="Normal 2 5 8 8" xfId="9752" xr:uid="{CB9AC7CF-C7D8-4DCC-A2E0-F4127C7C6F31}"/>
    <cellStyle name="Normal 2 5 8 8 2" xfId="20132" xr:uid="{BB9A25AA-4245-4628-BC06-51E1DB837678}"/>
    <cellStyle name="Normal 2 5 8 9" xfId="24424" xr:uid="{328A836E-32EB-4DD2-AFBA-D794BE946D62}"/>
    <cellStyle name="Normal 2 5 9" xfId="820" xr:uid="{00000000-0005-0000-0000-0000E0040000}"/>
    <cellStyle name="Normal 2 5 9 10" xfId="12504" xr:uid="{7FCA7729-F1C3-43C7-A3F8-4974BBD8AE7A}"/>
    <cellStyle name="Normal 2 5 9 2" xfId="3235" xr:uid="{00000000-0005-0000-0000-0000B7040000}"/>
    <cellStyle name="Normal 2 5 9 2 2" xfId="6293" xr:uid="{0B91A8BA-076C-481F-ADFB-A7856F4F3E46}"/>
    <cellStyle name="Normal 2 5 9 2 2 2" xfId="25631" xr:uid="{6C3EDB00-8CAF-4CFC-9DE8-3599F9EB5F26}"/>
    <cellStyle name="Normal 2 5 9 2 2 3" xfId="27968" xr:uid="{B970ACEE-F553-41DC-8DCB-FA030DEE0490}"/>
    <cellStyle name="Normal 2 5 9 2 2 4" xfId="15862" xr:uid="{0F440309-72D3-4934-AF8C-1DB3325F7EF9}"/>
    <cellStyle name="Normal 2 5 9 2 3" xfId="8315" xr:uid="{F4394632-4CB4-4401-8E21-5AB05E129132}"/>
    <cellStyle name="Normal 2 5 9 2 3 2" xfId="27352" xr:uid="{61014B98-6863-4EE2-9C3B-0C7310C8CF1B}"/>
    <cellStyle name="Normal 2 5 9 2 3 3" xfId="28890" xr:uid="{BEEE6F3E-1FED-40DD-9227-5E2282FE853D}"/>
    <cellStyle name="Normal 2 5 9 2 3 4" xfId="18695" xr:uid="{A2154F9B-A893-4B53-A8A7-192A73DEF509}"/>
    <cellStyle name="Normal 2 5 9 2 4" xfId="11148" xr:uid="{80A17659-A99E-4BA9-9359-3C23DD1BD919}"/>
    <cellStyle name="Normal 2 5 9 2 4 2" xfId="29478" xr:uid="{EFABE57B-B8CC-4BD2-9E3D-CF65BBFFD636}"/>
    <cellStyle name="Normal 2 5 9 2 4 3" xfId="21528" xr:uid="{B509A441-B731-49A6-96BB-4F34A6F2F384}"/>
    <cellStyle name="Normal 2 5 9 2 5" xfId="24246" xr:uid="{F9B116E2-9B39-4305-ABEF-403951DA8795}"/>
    <cellStyle name="Normal 2 5 9 2 6" xfId="13783" xr:uid="{B7F3693F-EB02-4589-9952-0D16020DDF4E}"/>
    <cellStyle name="Normal 2 5 9 3" xfId="2739" xr:uid="{00000000-0005-0000-0000-0000B8040000}"/>
    <cellStyle name="Normal 2 5 9 3 2" xfId="5957" xr:uid="{1C106CF1-7AAC-412B-81B1-54ED467F200B}"/>
    <cellStyle name="Normal 2 5 9 3 2 2" xfId="27466" xr:uid="{CC4B03BE-8BC6-4C64-AF77-07528B0A7D4A}"/>
    <cellStyle name="Normal 2 5 9 3 2 3" xfId="15410" xr:uid="{E570EFB2-99EA-4234-A4D2-5ABF913393A2}"/>
    <cellStyle name="Normal 2 5 9 3 3" xfId="7863" xr:uid="{302C5420-7804-42BA-B297-E308AAEF5BCE}"/>
    <cellStyle name="Normal 2 5 9 3 3 2" xfId="18243" xr:uid="{A9579B9F-64EE-43F8-9A70-559D79FF8E1D}"/>
    <cellStyle name="Normal 2 5 9 3 4" xfId="10696" xr:uid="{25CD7F1D-4955-4FCA-B4B5-67C0756C0511}"/>
    <cellStyle name="Normal 2 5 9 3 4 2" xfId="21076" xr:uid="{35D0D869-E1F7-4435-8529-8D9C63936AF1}"/>
    <cellStyle name="Normal 2 5 9 3 5" xfId="23940" xr:uid="{70708FAF-6117-43BC-A4C3-2588E56CBF5B}"/>
    <cellStyle name="Normal 2 5 9 3 6" xfId="13177" xr:uid="{5C716C2B-4908-4FE3-92D6-4A1D28A4DF2A}"/>
    <cellStyle name="Normal 2 5 9 4" xfId="2272" xr:uid="{00000000-0005-0000-0000-0000B6040000}"/>
    <cellStyle name="Normal 2 5 9 4 2" xfId="7399" xr:uid="{44CC9008-625D-48A4-A3F4-6A660BC2991B}"/>
    <cellStyle name="Normal 2 5 9 4 2 2" xfId="27954" xr:uid="{1ACE6644-AF73-4258-8A74-DFFE087E6897}"/>
    <cellStyle name="Normal 2 5 9 4 2 3" xfId="17779" xr:uid="{9971C4D6-2A38-4BFF-B60A-B3EEDC94716F}"/>
    <cellStyle name="Normal 2 5 9 4 3" xfId="10232" xr:uid="{5F9F0C4C-2D85-4646-960C-56A8C3B1C93E}"/>
    <cellStyle name="Normal 2 5 9 4 3 2" xfId="20612" xr:uid="{81686D14-218A-4EB9-97EF-B8C9AF73EDE0}"/>
    <cellStyle name="Normal 2 5 9 4 4" xfId="23688" xr:uid="{49D8E19A-075C-4E34-A4CE-79C0FF224597}"/>
    <cellStyle name="Normal 2 5 9 4 5" xfId="14946" xr:uid="{7A1B2A35-2331-4EF4-A6EF-5E897BBCE437}"/>
    <cellStyle name="Normal 2 5 9 5" xfId="3810" xr:uid="{C36B1377-C1A8-4750-9E28-3ABDD05BE518}"/>
    <cellStyle name="Normal 2 5 9 5 2" xfId="8645" xr:uid="{154617DC-6663-42CD-931D-5622CEA77ECE}"/>
    <cellStyle name="Normal 2 5 9 5 2 2" xfId="19025" xr:uid="{CE4701C2-C8C4-4A37-B1F3-6C21AEDEA06A}"/>
    <cellStyle name="Normal 2 5 9 5 3" xfId="11478" xr:uid="{6063A356-5B28-4C34-8859-1EBC8C85D199}"/>
    <cellStyle name="Normal 2 5 9 5 3 2" xfId="21858" xr:uid="{4EE30D17-D780-4166-84BD-EC2FB143CCEC}"/>
    <cellStyle name="Normal 2 5 9 5 4" xfId="28104" xr:uid="{BE95F47A-4672-426F-99A6-ACA33F274C2D}"/>
    <cellStyle name="Normal 2 5 9 5 5" xfId="16192" xr:uid="{0865A172-1CAC-4A74-979F-330CE434C959}"/>
    <cellStyle name="Normal 2 5 9 6" xfId="5172" xr:uid="{B31D40FC-3EBC-4519-B7B0-43B86423AE7E}"/>
    <cellStyle name="Normal 2 5 9 6 2" xfId="14469" xr:uid="{4FBA8EC1-5C39-4D2C-BA4F-5F800D6F3DB5}"/>
    <cellStyle name="Normal 2 5 9 7" xfId="6922" xr:uid="{9AAF25E7-CC15-41BD-B93C-BEB25785AB29}"/>
    <cellStyle name="Normal 2 5 9 7 2" xfId="17302" xr:uid="{EB8FE4D3-0522-4388-8A17-14FEAD0B5AC4}"/>
    <cellStyle name="Normal 2 5 9 8" xfId="9755" xr:uid="{27576975-041A-453B-BB10-E93A0FD07564}"/>
    <cellStyle name="Normal 2 5 9 8 2" xfId="20135" xr:uid="{C871B22F-AA4C-4F56-9BB6-586D7328BD16}"/>
    <cellStyle name="Normal 2 5 9 9" xfId="25521" xr:uid="{D68B2B4B-CB3F-46E5-9B54-D643C1350598}"/>
    <cellStyle name="Normal 2 6" xfId="821" xr:uid="{00000000-0005-0000-0000-0000E1040000}"/>
    <cellStyle name="Normal 2 6 10" xfId="5173" xr:uid="{DD478F15-A083-4817-8175-D763E388BB84}"/>
    <cellStyle name="Normal 2 6 10 2" xfId="14470" xr:uid="{E5309782-CB5A-4A22-A5E7-5A4F7C7A20E6}"/>
    <cellStyle name="Normal 2 6 11" xfId="6923" xr:uid="{B39136A8-D95F-4470-8743-FEB656977D2A}"/>
    <cellStyle name="Normal 2 6 11 2" xfId="17303" xr:uid="{A69F4FF9-21AA-4E7B-93DC-CCCD3D07233C}"/>
    <cellStyle name="Normal 2 6 12" xfId="9756" xr:uid="{2EB3993A-F026-4EED-9A24-7B90B3DD425E}"/>
    <cellStyle name="Normal 2 6 12 2" xfId="20136" xr:uid="{DDDB0523-0818-4E09-A63F-A4F629557835}"/>
    <cellStyle name="Normal 2 6 13" xfId="22825" xr:uid="{49B58377-FBC9-4605-89B7-B6DD49E3E0BC}"/>
    <cellStyle name="Normal 2 6 14" xfId="12398" xr:uid="{6FCA1971-0E11-4060-AEE0-39888A0B4FEC}"/>
    <cellStyle name="Normal 2 6 15" xfId="29569" xr:uid="{D20AE30D-0FA9-4A88-B2A2-8B4705DD5E43}"/>
    <cellStyle name="Normal 2 6 2" xfId="822" xr:uid="{00000000-0005-0000-0000-0000E2040000}"/>
    <cellStyle name="Normal 2 6 2 10" xfId="6924" xr:uid="{6B452C7E-FE71-41C6-AEB2-1CEFD1267B3F}"/>
    <cellStyle name="Normal 2 6 2 10 2" xfId="17304" xr:uid="{C1B45B50-B0BF-4C5A-9E26-73DFBCF43E54}"/>
    <cellStyle name="Normal 2 6 2 11" xfId="9757" xr:uid="{70EE3BED-9444-4771-B0E0-B22D2D681A56}"/>
    <cellStyle name="Normal 2 6 2 11 2" xfId="20137" xr:uid="{B8848E42-84F5-402A-8F44-DF4E26C14C9C}"/>
    <cellStyle name="Normal 2 6 2 12" xfId="24771" xr:uid="{35CF3DA4-DC61-44EA-9462-885C50B93914}"/>
    <cellStyle name="Normal 2 6 2 13" xfId="12458" xr:uid="{560212F9-0533-4461-9920-F70CFBCCFBC5}"/>
    <cellStyle name="Normal 2 6 2 2" xfId="823" xr:uid="{00000000-0005-0000-0000-0000E3040000}"/>
    <cellStyle name="Normal 2 6 2 2 10" xfId="13023" xr:uid="{0D4BBAF6-D8A0-465E-8BC7-1533A0227D43}"/>
    <cellStyle name="Normal 2 6 2 2 2" xfId="2750" xr:uid="{00000000-0005-0000-0000-0000BC040000}"/>
    <cellStyle name="Normal 2 6 2 2 2 2" xfId="3238" xr:uid="{00000000-0005-0000-0000-0000BD040000}"/>
    <cellStyle name="Normal 2 6 2 2 2 2 2" xfId="6296" xr:uid="{0B07470C-85B1-4C6C-8ECD-495CD613F7F9}"/>
    <cellStyle name="Normal 2 6 2 2 2 2 2 2" xfId="25985" xr:uid="{15AEB110-49CC-43EA-914F-C7B5BA29E022}"/>
    <cellStyle name="Normal 2 6 2 2 2 2 2 3" xfId="15865" xr:uid="{6299CCA4-F531-4401-9A04-6E9291B145E1}"/>
    <cellStyle name="Normal 2 6 2 2 2 2 3" xfId="8318" xr:uid="{7D00746B-09DC-4BE8-9F40-2E48AA9B3F4E}"/>
    <cellStyle name="Normal 2 6 2 2 2 2 3 2" xfId="18698" xr:uid="{92375DE8-DFE2-4284-ADB8-E6088B04237C}"/>
    <cellStyle name="Normal 2 6 2 2 2 2 4" xfId="11151" xr:uid="{45876200-9A30-4704-87EC-D9A1EE244809}"/>
    <cellStyle name="Normal 2 6 2 2 2 2 4 2" xfId="21531" xr:uid="{19313E0A-2184-42AB-A62F-564856D82415}"/>
    <cellStyle name="Normal 2 6 2 2 2 2 5" xfId="24865" xr:uid="{22919932-BE07-4BEC-A9C1-1F5690CBF9E8}"/>
    <cellStyle name="Normal 2 6 2 2 2 2 6" xfId="13786" xr:uid="{D92ABE24-15D8-42BF-BA33-29B764548151}"/>
    <cellStyle name="Normal 2 6 2 2 2 3" xfId="4313" xr:uid="{451EFECD-E6FF-49A0-931F-814EEFFD5A8F}"/>
    <cellStyle name="Normal 2 6 2 2 2 3 2" xfId="9085" xr:uid="{3595DF81-ADC3-45A8-9BCF-7689DB946DF4}"/>
    <cellStyle name="Normal 2 6 2 2 2 3 2 2" xfId="29128" xr:uid="{3478CBB0-2BB3-4BBC-BDF5-74924D9D1697}"/>
    <cellStyle name="Normal 2 6 2 2 2 3 2 3" xfId="19465" xr:uid="{53207F61-895A-499D-A277-FF244C663D60}"/>
    <cellStyle name="Normal 2 6 2 2 2 3 3" xfId="11918" xr:uid="{48D8DEA2-984C-4B9D-A7AA-ED5779C04D14}"/>
    <cellStyle name="Normal 2 6 2 2 2 3 3 2" xfId="22298" xr:uid="{7CA70C4C-A7DF-4680-9001-4AC840974DE7}"/>
    <cellStyle name="Normal 2 6 2 2 2 3 4" xfId="23344" xr:uid="{D534D1FF-ED6B-4AFA-A78B-91BFD6963392}"/>
    <cellStyle name="Normal 2 6 2 2 2 3 5" xfId="16632" xr:uid="{D5A661F6-AA69-4A0F-BEEE-49C104A2C658}"/>
    <cellStyle name="Normal 2 6 2 2 2 4" xfId="5968" xr:uid="{298A3100-0F0E-4143-A5EA-0E61FD9A4AB6}"/>
    <cellStyle name="Normal 2 6 2 2 2 4 2" xfId="26480" xr:uid="{11AECB0D-6D22-4FB1-BDEF-36BD0B668DF2}"/>
    <cellStyle name="Normal 2 6 2 2 2 4 3" xfId="15421" xr:uid="{06CF890A-500B-4804-8C18-A9A6100DD4F0}"/>
    <cellStyle name="Normal 2 6 2 2 2 5" xfId="7874" xr:uid="{13D454F1-D94D-4985-B799-7A9EE008A9DD}"/>
    <cellStyle name="Normal 2 6 2 2 2 5 2" xfId="18254" xr:uid="{49C3328D-2308-4F91-B477-7FDE2DDB1AD1}"/>
    <cellStyle name="Normal 2 6 2 2 2 6" xfId="10707" xr:uid="{67F0920D-71CE-4035-957B-64609EFCF7FB}"/>
    <cellStyle name="Normal 2 6 2 2 2 6 2" xfId="21087" xr:uid="{B4910B9D-7FD4-4ABB-8821-B0753D2BA9C3}"/>
    <cellStyle name="Normal 2 6 2 2 2 7" xfId="24555" xr:uid="{A6371983-7A9E-40B5-882F-16BA02B0D5BB}"/>
    <cellStyle name="Normal 2 6 2 2 2 8" xfId="13193" xr:uid="{E94E252D-CEC7-44E3-AE45-EF7C918145D9}"/>
    <cellStyle name="Normal 2 6 2 2 3" xfId="3239" xr:uid="{00000000-0005-0000-0000-0000BE040000}"/>
    <cellStyle name="Normal 2 6 2 2 3 2" xfId="4490" xr:uid="{55CEC6C5-0DF6-4B0F-924A-77BA3BC616DD}"/>
    <cellStyle name="Normal 2 6 2 2 3 2 2" xfId="9262" xr:uid="{06250DE4-EF61-49D8-88D3-8EC22069837C}"/>
    <cellStyle name="Normal 2 6 2 2 3 2 2 2" xfId="19642" xr:uid="{66BB9C65-E528-4C7D-B9E6-BE7C48E04D21}"/>
    <cellStyle name="Normal 2 6 2 2 3 2 3" xfId="12095" xr:uid="{668CB0BD-5154-4E9D-9950-737CB28749D1}"/>
    <cellStyle name="Normal 2 6 2 2 3 2 3 2" xfId="22475" xr:uid="{0927B242-5633-413B-9366-D0BF18B6BEF8}"/>
    <cellStyle name="Normal 2 6 2 2 3 2 4" xfId="27215" xr:uid="{86708BAA-E17F-49EC-854A-0A84CF6C76C2}"/>
    <cellStyle name="Normal 2 6 2 2 3 2 5" xfId="16809" xr:uid="{599B188C-F56C-4FC6-A997-E2906A024AF1}"/>
    <cellStyle name="Normal 2 6 2 2 3 3" xfId="6297" xr:uid="{B79DBA51-6000-4D82-80A8-804A3E8AE8B8}"/>
    <cellStyle name="Normal 2 6 2 2 3 3 2" xfId="15866" xr:uid="{7DC4A406-DF69-4EC5-A326-85572F0B978F}"/>
    <cellStyle name="Normal 2 6 2 2 3 4" xfId="8319" xr:uid="{45F53046-B812-4B00-AF6C-5C1BE3C220C6}"/>
    <cellStyle name="Normal 2 6 2 2 3 4 2" xfId="18699" xr:uid="{4FA5C0D2-5A8F-4244-BA51-715E53E0E9C9}"/>
    <cellStyle name="Normal 2 6 2 2 3 5" xfId="11152" xr:uid="{8FB676D1-A2A5-4791-81A5-AA86212AE9BB}"/>
    <cellStyle name="Normal 2 6 2 2 3 5 2" xfId="21532" xr:uid="{1B7321DF-74C0-4FE4-90B0-A4A4BC518DD0}"/>
    <cellStyle name="Normal 2 6 2 2 3 6" xfId="25445" xr:uid="{63EE90C9-352C-4A42-BCBF-967139EC8398}"/>
    <cellStyle name="Normal 2 6 2 2 3 7" xfId="13787" xr:uid="{003465C1-845E-4AA6-AAC9-38E55E50C248}"/>
    <cellStyle name="Normal 2 6 2 2 4" xfId="3237" xr:uid="{00000000-0005-0000-0000-0000BF040000}"/>
    <cellStyle name="Normal 2 6 2 2 4 2" xfId="6295" xr:uid="{8A71D997-902F-4EC5-BD04-EFA816DE2D95}"/>
    <cellStyle name="Normal 2 6 2 2 4 2 2" xfId="26120" xr:uid="{6C41D414-276B-4750-99C0-84744654015A}"/>
    <cellStyle name="Normal 2 6 2 2 4 2 3" xfId="15864" xr:uid="{58E19D04-F987-48EA-AD62-D757F9DC9301}"/>
    <cellStyle name="Normal 2 6 2 2 4 3" xfId="8317" xr:uid="{D7CD78DF-D605-471F-83D2-64D69091FA77}"/>
    <cellStyle name="Normal 2 6 2 2 4 3 2" xfId="18697" xr:uid="{8ADBC21C-45A3-48A1-89F6-3A2356F32654}"/>
    <cellStyle name="Normal 2 6 2 2 4 4" xfId="11150" xr:uid="{14AD40EB-66C8-45BC-83A2-CCA9B1A5ABF3}"/>
    <cellStyle name="Normal 2 6 2 2 4 4 2" xfId="21530" xr:uid="{214F76B3-3270-4655-8C6B-6FFC20D4F682}"/>
    <cellStyle name="Normal 2 6 2 2 4 5" xfId="24352" xr:uid="{781D88E8-E12F-46EC-82D2-751C026D45CE}"/>
    <cellStyle name="Normal 2 6 2 2 4 6" xfId="13785" xr:uid="{91AAE636-ACAC-4080-91F2-DFC72904F990}"/>
    <cellStyle name="Normal 2 6 2 2 5" xfId="4237" xr:uid="{6213120F-9F90-4BE0-92B7-346DAD0055F1}"/>
    <cellStyle name="Normal 2 6 2 2 5 2" xfId="9009" xr:uid="{B23A0D37-DA54-4EDA-BE34-71A567E5C728}"/>
    <cellStyle name="Normal 2 6 2 2 5 2 2" xfId="29080" xr:uid="{5B35F843-65AE-46F3-BBE9-BA3D0813C538}"/>
    <cellStyle name="Normal 2 6 2 2 5 2 3" xfId="19389" xr:uid="{6714A023-88B7-4F17-BD6B-5FA4ACE1AAC2}"/>
    <cellStyle name="Normal 2 6 2 2 5 3" xfId="11842" xr:uid="{C70035A5-E15B-4D76-88E0-5C3F7C131519}"/>
    <cellStyle name="Normal 2 6 2 2 5 3 2" xfId="22222" xr:uid="{E83365C6-6F43-4F18-8F82-0431B69ED16A}"/>
    <cellStyle name="Normal 2 6 2 2 5 4" xfId="23577" xr:uid="{BBCF9256-3B95-44EB-92C0-669EE74927F6}"/>
    <cellStyle name="Normal 2 6 2 2 5 5" xfId="16556" xr:uid="{2525C136-B1B0-4DFD-A134-1912100B16CB}"/>
    <cellStyle name="Normal 2 6 2 2 6" xfId="5175" xr:uid="{EFD3024B-EF2D-42ED-A19F-E2212A050465}"/>
    <cellStyle name="Normal 2 6 2 2 6 2" xfId="28651" xr:uid="{E51DA777-0808-4589-A231-F6DEACAEA0DC}"/>
    <cellStyle name="Normal 2 6 2 2 6 3" xfId="14472" xr:uid="{CC01BC16-52DB-4F97-85D1-813E789606D7}"/>
    <cellStyle name="Normal 2 6 2 2 7" xfId="6925" xr:uid="{8FEB73BD-73B7-40EC-81B9-13739C227541}"/>
    <cellStyle name="Normal 2 6 2 2 7 2" xfId="17305" xr:uid="{8E9BBD76-FCD0-4DA6-9DE2-B44004DEE9FF}"/>
    <cellStyle name="Normal 2 6 2 2 8" xfId="9758" xr:uid="{E500A65A-BD52-41D2-BA8F-127DE68A173E}"/>
    <cellStyle name="Normal 2 6 2 2 8 2" xfId="20138" xr:uid="{6EAF28EB-AB73-4A7D-8ACB-0F87A24CD8B4}"/>
    <cellStyle name="Normal 2 6 2 2 9" xfId="24336" xr:uid="{550195B9-69B1-41FF-8556-424F9227CAEB}"/>
    <cellStyle name="Normal 2 6 2 3" xfId="2749" xr:uid="{00000000-0005-0000-0000-0000C0040000}"/>
    <cellStyle name="Normal 2 6 2 3 2" xfId="3240" xr:uid="{00000000-0005-0000-0000-0000C1040000}"/>
    <cellStyle name="Normal 2 6 2 3 2 2" xfId="6298" xr:uid="{909EF239-56EC-436B-B207-0C2058E4371C}"/>
    <cellStyle name="Normal 2 6 2 3 2 2 2" xfId="27531" xr:uid="{6A3159D9-295F-4279-B03A-E3C845D77425}"/>
    <cellStyle name="Normal 2 6 2 3 2 2 3" xfId="15867" xr:uid="{2C7CBD9F-6D00-4DFD-8C61-0A5C8FFCB40E}"/>
    <cellStyle name="Normal 2 6 2 3 2 3" xfId="8320" xr:uid="{E8956212-19DA-46E6-AE5B-B477D98F4FC0}"/>
    <cellStyle name="Normal 2 6 2 3 2 3 2" xfId="18700" xr:uid="{63AAA577-4A6D-42C1-AEF3-F0691CE300E7}"/>
    <cellStyle name="Normal 2 6 2 3 2 4" xfId="11153" xr:uid="{3183E437-A385-4F27-8C65-8E24BC3C2386}"/>
    <cellStyle name="Normal 2 6 2 3 2 4 2" xfId="21533" xr:uid="{CCA787AD-396D-48F7-939C-67EA61F5EAFF}"/>
    <cellStyle name="Normal 2 6 2 3 2 5" xfId="22796" xr:uid="{35DE97A9-B50F-44E7-8469-98B46AE21DDC}"/>
    <cellStyle name="Normal 2 6 2 3 2 6" xfId="13788" xr:uid="{DBCCB06C-77FF-48D3-B46A-C7ED0160E78B}"/>
    <cellStyle name="Normal 2 6 2 3 3" xfId="4312" xr:uid="{05338117-EB87-4B41-8F3F-9D96A8C69F48}"/>
    <cellStyle name="Normal 2 6 2 3 3 2" xfId="9084" xr:uid="{06B64086-F2FA-4554-A66A-7DCD7A828594}"/>
    <cellStyle name="Normal 2 6 2 3 3 2 2" xfId="29127" xr:uid="{CD74FA9E-399D-4ABF-9104-22E50EC80906}"/>
    <cellStyle name="Normal 2 6 2 3 3 2 3" xfId="19464" xr:uid="{374CA1CC-12B2-48B1-9D67-A7B3DEEE4CBF}"/>
    <cellStyle name="Normal 2 6 2 3 3 3" xfId="11917" xr:uid="{1DD8F1BF-BCEA-465E-A31C-07F49838B74E}"/>
    <cellStyle name="Normal 2 6 2 3 3 3 2" xfId="22297" xr:uid="{9E6596BA-0FCB-417E-82E2-1524BC5841F5}"/>
    <cellStyle name="Normal 2 6 2 3 3 4" xfId="25349" xr:uid="{42660836-C392-4A95-AB7D-2B10EB886405}"/>
    <cellStyle name="Normal 2 6 2 3 3 5" xfId="16631" xr:uid="{563033DD-F564-4805-B714-6325541D0051}"/>
    <cellStyle name="Normal 2 6 2 3 4" xfId="5967" xr:uid="{E65F83FC-A1C3-4EA4-9529-1202F48F8094}"/>
    <cellStyle name="Normal 2 6 2 3 4 2" xfId="27923" xr:uid="{1E851278-57D4-4AA3-A532-7F287997802C}"/>
    <cellStyle name="Normal 2 6 2 3 4 3" xfId="15420" xr:uid="{69C05F2B-C137-4BB6-8704-13070549C81C}"/>
    <cellStyle name="Normal 2 6 2 3 5" xfId="7873" xr:uid="{621F3C51-E706-4289-808D-3600D7DE2E8D}"/>
    <cellStyle name="Normal 2 6 2 3 5 2" xfId="18253" xr:uid="{2C1E3A01-E7C2-4B75-9362-E23996E4157F}"/>
    <cellStyle name="Normal 2 6 2 3 6" xfId="10706" xr:uid="{0942D83E-6785-4069-93ED-E1FEF867500E}"/>
    <cellStyle name="Normal 2 6 2 3 6 2" xfId="21086" xr:uid="{D0426F11-DBC5-4AD7-A855-E1C40AE9F6EE}"/>
    <cellStyle name="Normal 2 6 2 3 7" xfId="24596" xr:uid="{70CCA74D-0F9E-4C26-BE30-EDEF40B34700}"/>
    <cellStyle name="Normal 2 6 2 3 8" xfId="13192" xr:uid="{082743DC-5C06-434B-9280-28C08901C2E8}"/>
    <cellStyle name="Normal 2 6 2 4" xfId="3241" xr:uid="{00000000-0005-0000-0000-0000C2040000}"/>
    <cellStyle name="Normal 2 6 2 4 2" xfId="4491" xr:uid="{99D999CC-6FD5-486B-8B59-AACF02421660}"/>
    <cellStyle name="Normal 2 6 2 4 2 2" xfId="9263" xr:uid="{693B2310-F2CC-4B51-8DCA-6C985B7E01F6}"/>
    <cellStyle name="Normal 2 6 2 4 2 2 2" xfId="19643" xr:uid="{60CE9961-B196-4E53-9106-4D821DF88F34}"/>
    <cellStyle name="Normal 2 6 2 4 2 3" xfId="12096" xr:uid="{F27E296C-2BF5-4C55-A4BC-C01B2BB3001C}"/>
    <cellStyle name="Normal 2 6 2 4 2 3 2" xfId="22476" xr:uid="{6890BA32-74A1-468A-8E1D-EE5DDA9E01A7}"/>
    <cellStyle name="Normal 2 6 2 4 2 4" xfId="26156" xr:uid="{8E1693E9-A028-4C58-88A3-DCB985228DC4}"/>
    <cellStyle name="Normal 2 6 2 4 2 5" xfId="16810" xr:uid="{C18685EF-A719-4116-BA1B-3BA5E1AA00FD}"/>
    <cellStyle name="Normal 2 6 2 4 3" xfId="6299" xr:uid="{492F9173-ED6E-4509-86DB-B2EA5DF6D7F6}"/>
    <cellStyle name="Normal 2 6 2 4 3 2" xfId="15868" xr:uid="{BA1625F8-53AF-4C89-82AA-C0EB3332B7FA}"/>
    <cellStyle name="Normal 2 6 2 4 4" xfId="8321" xr:uid="{C1DB41E0-32DE-4948-9DB1-AAC9D0DB7206}"/>
    <cellStyle name="Normal 2 6 2 4 4 2" xfId="18701" xr:uid="{875847CA-7CEF-469C-BA9D-AF3CD931B7D7}"/>
    <cellStyle name="Normal 2 6 2 4 5" xfId="11154" xr:uid="{A35979AB-4BBF-40BE-BD16-A63862B7E890}"/>
    <cellStyle name="Normal 2 6 2 4 5 2" xfId="21534" xr:uid="{290E8148-7224-483E-8FEB-44D1A8EBA1D7}"/>
    <cellStyle name="Normal 2 6 2 4 6" xfId="23653" xr:uid="{2E0F261C-8B52-49F0-8467-4A7022122960}"/>
    <cellStyle name="Normal 2 6 2 4 7" xfId="13789" xr:uid="{C67B1CEB-659F-49D7-AF42-A53E6118D022}"/>
    <cellStyle name="Normal 2 6 2 5" xfId="3236" xr:uid="{00000000-0005-0000-0000-0000C3040000}"/>
    <cellStyle name="Normal 2 6 2 5 2" xfId="6294" xr:uid="{864BD532-2191-49D7-A5D9-FF59CCEEAFD4}"/>
    <cellStyle name="Normal 2 6 2 5 2 2" xfId="27655" xr:uid="{A64C6447-BC8F-4094-9873-7775BF9AA8CD}"/>
    <cellStyle name="Normal 2 6 2 5 2 3" xfId="15863" xr:uid="{8CEFF8B3-DBEE-4DA2-9982-4C778CE2B6D8}"/>
    <cellStyle name="Normal 2 6 2 5 3" xfId="8316" xr:uid="{5AEDA475-210E-48A9-ACEE-9CB4F1AEDF16}"/>
    <cellStyle name="Normal 2 6 2 5 3 2" xfId="18696" xr:uid="{8CFC2B20-D82C-4836-8B85-B2DDA40B52F2}"/>
    <cellStyle name="Normal 2 6 2 5 4" xfId="11149" xr:uid="{56BF3207-64C4-44E3-AFF4-0474BABB18FC}"/>
    <cellStyle name="Normal 2 6 2 5 4 2" xfId="21529" xr:uid="{80DEABAB-AAEF-44BF-954B-37CF1AB5F697}"/>
    <cellStyle name="Normal 2 6 2 5 5" xfId="24342" xr:uid="{E7546074-5B21-4067-9EB9-A2806E9B7A0C}"/>
    <cellStyle name="Normal 2 6 2 5 6" xfId="13784" xr:uid="{89D4FEE3-FC36-40D1-A84B-A3B2E206D0DA}"/>
    <cellStyle name="Normal 2 6 2 6" xfId="2532" xr:uid="{00000000-0005-0000-0000-0000C4040000}"/>
    <cellStyle name="Normal 2 6 2 6 2" xfId="5806" xr:uid="{10762A9A-7272-485A-943C-B474B929DFA1}"/>
    <cellStyle name="Normal 2 6 2 6 2 2" xfId="28331" xr:uid="{91C42B10-F180-458D-AFC1-107E53C0EC40}"/>
    <cellStyle name="Normal 2 6 2 6 2 3" xfId="15204" xr:uid="{C481E85C-B006-44B4-B153-234F7CD519A4}"/>
    <cellStyle name="Normal 2 6 2 6 3" xfId="7657" xr:uid="{802B6534-EC9E-4BAF-9ED1-E58A0B5A1B3C}"/>
    <cellStyle name="Normal 2 6 2 6 3 2" xfId="18037" xr:uid="{0C59ABBA-3D43-4EB6-8CC4-6FDE3F98A84D}"/>
    <cellStyle name="Normal 2 6 2 6 4" xfId="10490" xr:uid="{1FCE637C-45EC-4DB5-B22E-0EB0BA1F730F}"/>
    <cellStyle name="Normal 2 6 2 6 4 2" xfId="20870" xr:uid="{3DB16BC8-7567-4D71-BE88-6964F1429595}"/>
    <cellStyle name="Normal 2 6 2 6 5" xfId="23453" xr:uid="{3467CB81-E993-4155-9658-380959AE2084}"/>
    <cellStyle name="Normal 2 6 2 6 6" xfId="12920" xr:uid="{12AC7268-F7FD-4FC4-9DD5-F0A75605BD3E}"/>
    <cellStyle name="Normal 2 6 2 7" xfId="2226" xr:uid="{00000000-0005-0000-0000-0000BA040000}"/>
    <cellStyle name="Normal 2 6 2 7 2" xfId="7353" xr:uid="{D530F37D-DEF4-4170-A7A3-CB1060AA827D}"/>
    <cellStyle name="Normal 2 6 2 7 2 2" xfId="17733" xr:uid="{1AC286B0-EC57-4FEF-9592-7305F7F714D3}"/>
    <cellStyle name="Normal 2 6 2 7 3" xfId="10186" xr:uid="{917FF294-FA44-4D45-86B4-360CE91273CB}"/>
    <cellStyle name="Normal 2 6 2 7 3 2" xfId="20566" xr:uid="{80CC7CE1-1E69-417B-BC19-550A0933C939}"/>
    <cellStyle name="Normal 2 6 2 7 4" xfId="24404" xr:uid="{1502BF02-3285-4572-A39D-B74C8D53DD14}"/>
    <cellStyle name="Normal 2 6 2 7 5" xfId="14900" xr:uid="{1CA6A51E-82D5-4C77-BCEB-1851F5CDC9B4}"/>
    <cellStyle name="Normal 2 6 2 8" xfId="3792" xr:uid="{EA396F53-A8E3-4AAD-AEFE-BE244E793E8F}"/>
    <cellStyle name="Normal 2 6 2 8 2" xfId="8628" xr:uid="{ED8914F2-C102-4167-8F91-AA93ECEF9C27}"/>
    <cellStyle name="Normal 2 6 2 8 2 2" xfId="19008" xr:uid="{70494654-2281-49E4-99E3-8834C809E729}"/>
    <cellStyle name="Normal 2 6 2 8 3" xfId="11461" xr:uid="{56BA38B1-DC32-4B80-B62D-8B1022DA2726}"/>
    <cellStyle name="Normal 2 6 2 8 3 2" xfId="21841" xr:uid="{278BD44B-3A17-484E-ABAC-932535BD4874}"/>
    <cellStyle name="Normal 2 6 2 8 4" xfId="16175" xr:uid="{E09CC765-129B-4103-A5F1-3F1553452D84}"/>
    <cellStyle name="Normal 2 6 2 9" xfId="5174" xr:uid="{C8D33ABA-A6DE-4D30-A213-75A149B1FA83}"/>
    <cellStyle name="Normal 2 6 2 9 2" xfId="14471" xr:uid="{974A2E2F-85FD-42D4-9E21-8199EEBB5EB3}"/>
    <cellStyle name="Normal 2 6 3" xfId="824" xr:uid="{00000000-0005-0000-0000-0000E4040000}"/>
    <cellStyle name="Normal 2 6 3 10" xfId="9759" xr:uid="{A4D62B8B-D218-4840-B61C-71340FE99392}"/>
    <cellStyle name="Normal 2 6 3 10 2" xfId="20139" xr:uid="{FC4D10FB-3755-4F39-A082-152E804D35F2}"/>
    <cellStyle name="Normal 2 6 3 11" xfId="25001" xr:uid="{B09E0DFE-CB49-4293-9A76-68CE4C4AFD3E}"/>
    <cellStyle name="Normal 2 6 3 12" xfId="12575" xr:uid="{6DF2FDF8-BF05-4326-8CED-AF04FE39C9F4}"/>
    <cellStyle name="Normal 2 6 3 2" xfId="2751" xr:uid="{00000000-0005-0000-0000-0000C6040000}"/>
    <cellStyle name="Normal 2 6 3 2 2" xfId="3243" xr:uid="{00000000-0005-0000-0000-0000C7040000}"/>
    <cellStyle name="Normal 2 6 3 2 2 2" xfId="6301" xr:uid="{7304B549-7725-4E18-B383-08AC32602764}"/>
    <cellStyle name="Normal 2 6 3 2 2 2 2" xfId="28082" xr:uid="{92E698A4-443E-4E9F-912D-3316C8057977}"/>
    <cellStyle name="Normal 2 6 3 2 2 2 3" xfId="15870" xr:uid="{E2BEE138-2676-4D8C-9875-BCFE68E134F5}"/>
    <cellStyle name="Normal 2 6 3 2 2 3" xfId="8323" xr:uid="{E291EB98-CB64-4225-A299-2FBB6958D1D8}"/>
    <cellStyle name="Normal 2 6 3 2 2 3 2" xfId="18703" xr:uid="{767B6D43-7AD9-4B29-821F-6A35E2A9C3B4}"/>
    <cellStyle name="Normal 2 6 3 2 2 4" xfId="11156" xr:uid="{748016B8-AB50-4139-A5F0-56CB27A68A9F}"/>
    <cellStyle name="Normal 2 6 3 2 2 4 2" xfId="21536" xr:uid="{95D20107-076A-48EF-AB96-F7E20554289D}"/>
    <cellStyle name="Normal 2 6 3 2 2 5" xfId="23901" xr:uid="{0FBF2B24-DE81-4443-8299-141FA0D649DA}"/>
    <cellStyle name="Normal 2 6 3 2 2 6" xfId="13791" xr:uid="{F9D0B80D-AC75-439E-A28A-B9DE7A394B05}"/>
    <cellStyle name="Normal 2 6 3 2 3" xfId="4314" xr:uid="{FDB00B43-EDE2-439A-8599-5EB1BA9F4CE7}"/>
    <cellStyle name="Normal 2 6 3 2 3 2" xfId="9086" xr:uid="{16808E95-2586-46E7-BE40-B97AEE2CFFB2}"/>
    <cellStyle name="Normal 2 6 3 2 3 2 2" xfId="29129" xr:uid="{7F4B2F7D-F1C0-4A26-B6B2-BD2773891107}"/>
    <cellStyle name="Normal 2 6 3 2 3 2 3" xfId="19466" xr:uid="{8D3D01C1-5F5A-488C-9B61-70485AA27C9D}"/>
    <cellStyle name="Normal 2 6 3 2 3 3" xfId="11919" xr:uid="{3CB88BFF-7034-4492-AA0A-14017708B94E}"/>
    <cellStyle name="Normal 2 6 3 2 3 3 2" xfId="22299" xr:uid="{A14D9E91-F974-4C75-97D6-B6D0E1D8D640}"/>
    <cellStyle name="Normal 2 6 3 2 3 4" xfId="24337" xr:uid="{01B9F8C2-15BC-4CE9-BC27-617DA3FAF2A3}"/>
    <cellStyle name="Normal 2 6 3 2 3 5" xfId="16633" xr:uid="{566336C9-D4DB-4A32-91F6-86EAD6606C09}"/>
    <cellStyle name="Normal 2 6 3 2 4" xfId="5969" xr:uid="{B0225D42-3F43-429F-96D2-B3C4FFF017AF}"/>
    <cellStyle name="Normal 2 6 3 2 4 2" xfId="28155" xr:uid="{5C369DB8-5E78-41E0-9489-A73C67F62EB5}"/>
    <cellStyle name="Normal 2 6 3 2 4 3" xfId="15422" xr:uid="{6AC99C5E-64F7-4525-A5AB-A0680637904B}"/>
    <cellStyle name="Normal 2 6 3 2 5" xfId="7875" xr:uid="{187C8DAC-2EBE-40DA-A2BA-B16800DDFA06}"/>
    <cellStyle name="Normal 2 6 3 2 5 2" xfId="18255" xr:uid="{0AB7271F-C4AF-40EE-8F0E-C9A3C9E23C6A}"/>
    <cellStyle name="Normal 2 6 3 2 6" xfId="10708" xr:uid="{68C15709-F04C-47D1-B067-E8BE43F77BD4}"/>
    <cellStyle name="Normal 2 6 3 2 6 2" xfId="21088" xr:uid="{F447D534-E314-47F2-9E88-C461FD47A87B}"/>
    <cellStyle name="Normal 2 6 3 2 7" xfId="24629" xr:uid="{0EB4ABFD-ACE5-4ABD-B332-42F09D2BA598}"/>
    <cellStyle name="Normal 2 6 3 2 8" xfId="13194" xr:uid="{564E1D4A-1A87-4C0D-840E-13FA45AB478F}"/>
    <cellStyle name="Normal 2 6 3 3" xfId="3244" xr:uid="{00000000-0005-0000-0000-0000C8040000}"/>
    <cellStyle name="Normal 2 6 3 3 2" xfId="4492" xr:uid="{87207243-8C53-4DE5-B92B-7719F293434A}"/>
    <cellStyle name="Normal 2 6 3 3 2 2" xfId="9264" xr:uid="{C3B3E6F4-D12B-40A9-849B-D88600E4EA46}"/>
    <cellStyle name="Normal 2 6 3 3 2 2 2" xfId="29249" xr:uid="{B14741FC-784C-4ADB-98D1-04F07AD5543C}"/>
    <cellStyle name="Normal 2 6 3 3 2 2 3" xfId="19644" xr:uid="{B4928044-04CD-4CFA-B67F-F481551FE4B0}"/>
    <cellStyle name="Normal 2 6 3 3 2 3" xfId="12097" xr:uid="{5214C419-B95F-42D2-BB6F-9BE7C79034EF}"/>
    <cellStyle name="Normal 2 6 3 3 2 3 2" xfId="22477" xr:uid="{9EAB2E54-3029-4DFB-A3CA-3ED052C1C342}"/>
    <cellStyle name="Normal 2 6 3 3 2 4" xfId="22868" xr:uid="{CAD82A59-8985-4FFB-91FB-1C6232C10769}"/>
    <cellStyle name="Normal 2 6 3 3 2 5" xfId="16811" xr:uid="{B62F27E4-1ED2-4F69-B12F-EC7A9B613844}"/>
    <cellStyle name="Normal 2 6 3 3 3" xfId="6302" xr:uid="{A3DE6E02-6E83-4DF7-A1B7-959133430995}"/>
    <cellStyle name="Normal 2 6 3 3 3 2" xfId="26213" xr:uid="{EE394A47-E38F-4441-AE45-E5E0C939CDE8}"/>
    <cellStyle name="Normal 2 6 3 3 3 3" xfId="15871" xr:uid="{EFF3A563-4A4D-4BA2-B5BE-55B10045C84D}"/>
    <cellStyle name="Normal 2 6 3 3 4" xfId="8324" xr:uid="{10A2EFD6-4550-41B9-9D2C-0C6CA4889477}"/>
    <cellStyle name="Normal 2 6 3 3 4 2" xfId="18704" xr:uid="{3F5120F2-2B31-45F7-AB64-C295BD28981B}"/>
    <cellStyle name="Normal 2 6 3 3 5" xfId="11157" xr:uid="{BB8F6FE3-F7F8-415E-B8E6-30E494857739}"/>
    <cellStyle name="Normal 2 6 3 3 5 2" xfId="21537" xr:uid="{74ADF930-A0CD-47CC-9983-8F504FF6F67F}"/>
    <cellStyle name="Normal 2 6 3 3 6" xfId="24480" xr:uid="{38F64182-7581-4BB8-91EB-F95C8B7C6FD9}"/>
    <cellStyle name="Normal 2 6 3 3 7" xfId="13792" xr:uid="{B07449D2-9759-4D4B-84D2-842A75D20F86}"/>
    <cellStyle name="Normal 2 6 3 4" xfId="3242" xr:uid="{00000000-0005-0000-0000-0000C9040000}"/>
    <cellStyle name="Normal 2 6 3 4 2" xfId="6300" xr:uid="{76E59889-A8B4-4D0D-A5C6-DA7E60392EA5}"/>
    <cellStyle name="Normal 2 6 3 4 2 2" xfId="26031" xr:uid="{D7ED80EF-2C71-4AFF-BD14-B827B1696D1D}"/>
    <cellStyle name="Normal 2 6 3 4 2 3" xfId="15869" xr:uid="{D1417E44-7FC8-4EED-B6AB-389147BE2DAC}"/>
    <cellStyle name="Normal 2 6 3 4 3" xfId="8322" xr:uid="{E57003F0-69DC-4BDB-87A5-D5970FC7987A}"/>
    <cellStyle name="Normal 2 6 3 4 3 2" xfId="18702" xr:uid="{5BE996CC-BDE8-4271-939A-B58DE1544666}"/>
    <cellStyle name="Normal 2 6 3 4 4" xfId="11155" xr:uid="{BDB2A5CA-124E-4DB8-8FB4-2F10C553E449}"/>
    <cellStyle name="Normal 2 6 3 4 4 2" xfId="21535" xr:uid="{80215D5B-DD7D-485F-939B-771F38FEBCDD}"/>
    <cellStyle name="Normal 2 6 3 4 5" xfId="25546" xr:uid="{4B134884-26C9-4669-87A5-D352E80BAD43}"/>
    <cellStyle name="Normal 2 6 3 4 6" xfId="13790" xr:uid="{B05C497A-8A05-41D1-96AA-F3A7AB582F5C}"/>
    <cellStyle name="Normal 2 6 3 5" xfId="2575" xr:uid="{00000000-0005-0000-0000-0000CA040000}"/>
    <cellStyle name="Normal 2 6 3 5 2" xfId="5840" xr:uid="{DF0E3358-E753-47A6-BED4-29A4340CC710}"/>
    <cellStyle name="Normal 2 6 3 5 2 2" xfId="26226" xr:uid="{8CBC7597-9E25-4985-AB21-CABF7A1CC924}"/>
    <cellStyle name="Normal 2 6 3 5 2 3" xfId="15247" xr:uid="{F9F030D3-C608-4F08-9C1C-0B51A7D277A5}"/>
    <cellStyle name="Normal 2 6 3 5 3" xfId="7700" xr:uid="{C45C4104-5723-49BB-8658-8B71663BE1F3}"/>
    <cellStyle name="Normal 2 6 3 5 3 2" xfId="18080" xr:uid="{4805201E-4483-45A6-80B7-2FACFD456AAC}"/>
    <cellStyle name="Normal 2 6 3 5 4" xfId="10533" xr:uid="{F588443A-6DD1-4DCF-9335-0C05F6C0E82B}"/>
    <cellStyle name="Normal 2 6 3 5 4 2" xfId="20913" xr:uid="{44532367-E5EB-47CF-A810-C3244C6410ED}"/>
    <cellStyle name="Normal 2 6 3 5 5" xfId="23805" xr:uid="{B831D932-89A5-497D-97E7-E8EFC916E333}"/>
    <cellStyle name="Normal 2 6 3 5 6" xfId="12963" xr:uid="{74DE7D1D-E440-4BEA-806A-E5800002F8B0}"/>
    <cellStyle name="Normal 2 6 3 6" xfId="2341" xr:uid="{00000000-0005-0000-0000-0000C5040000}"/>
    <cellStyle name="Normal 2 6 3 6 2" xfId="7468" xr:uid="{3A60FAA7-236C-4287-AADF-56E2DF722CB0}"/>
    <cellStyle name="Normal 2 6 3 6 2 2" xfId="17848" xr:uid="{791B2BBF-96B1-477D-BD65-FE70725DA7C6}"/>
    <cellStyle name="Normal 2 6 3 6 3" xfId="10301" xr:uid="{A010738C-6954-46F7-B0D6-5D8E10447902}"/>
    <cellStyle name="Normal 2 6 3 6 3 2" xfId="20681" xr:uid="{5CFF61F0-0CCD-4BE0-BA9F-5E49FCC5A30F}"/>
    <cellStyle name="Normal 2 6 3 6 4" xfId="24779" xr:uid="{5866C81F-BCDD-41B4-8389-503ADA704CF2}"/>
    <cellStyle name="Normal 2 6 3 6 5" xfId="15015" xr:uid="{B537DB6D-4B8B-4F24-A17E-59B8AA53E2D2}"/>
    <cellStyle name="Normal 2 6 3 7" xfId="3852" xr:uid="{2F0129F9-6EAF-4AAF-9CE7-DA34D158108D}"/>
    <cellStyle name="Normal 2 6 3 7 2" xfId="8685" xr:uid="{C55A7311-DEFF-40BB-AD48-3EC8C83781BC}"/>
    <cellStyle name="Normal 2 6 3 7 2 2" xfId="19065" xr:uid="{6D1693A2-58F9-4467-9713-1AAD0D03E2A2}"/>
    <cellStyle name="Normal 2 6 3 7 3" xfId="11518" xr:uid="{243DA632-E680-4E69-8C95-E06E0EAF6D1D}"/>
    <cellStyle name="Normal 2 6 3 7 3 2" xfId="21898" xr:uid="{864F57A7-5DC2-4353-9E34-85C3714B0248}"/>
    <cellStyle name="Normal 2 6 3 7 4" xfId="16232" xr:uid="{7A31CD01-4889-4F8B-B42B-1EC4E2C4D6B1}"/>
    <cellStyle name="Normal 2 6 3 8" xfId="5176" xr:uid="{8AE79431-F88A-4C41-B95B-4BA664C147B4}"/>
    <cellStyle name="Normal 2 6 3 8 2" xfId="14473" xr:uid="{40FFDD92-F8D1-4A22-A3DF-4E5C0A8744A6}"/>
    <cellStyle name="Normal 2 6 3 9" xfId="6926" xr:uid="{20101572-6AD5-4DB0-B4EC-D86429EB91A3}"/>
    <cellStyle name="Normal 2 6 3 9 2" xfId="17306" xr:uid="{83D1B01E-C56A-4CBA-A0AC-28D7157D2623}"/>
    <cellStyle name="Normal 2 6 4" xfId="825" xr:uid="{00000000-0005-0000-0000-0000E5040000}"/>
    <cellStyle name="Normal 2 6 4 2" xfId="3245" xr:uid="{00000000-0005-0000-0000-0000CC040000}"/>
    <cellStyle name="Normal 2 6 4 2 2" xfId="6303" xr:uid="{26AA86EE-97E0-48FA-85E2-64D1D01642DB}"/>
    <cellStyle name="Normal 2 6 4 2 2 2" xfId="27738" xr:uid="{62530CFF-EAD0-4DCC-8A0F-51132B070C03}"/>
    <cellStyle name="Normal 2 6 4 2 2 3" xfId="15872" xr:uid="{38DC05D0-1BDA-437F-9A6F-0B1EB9623D15}"/>
    <cellStyle name="Normal 2 6 4 2 3" xfId="8325" xr:uid="{66BF30D8-781F-4445-9403-8B1239B99C01}"/>
    <cellStyle name="Normal 2 6 4 2 3 2" xfId="18705" xr:uid="{696D15CB-68D5-4E6B-AC4E-F2E170C0BE1A}"/>
    <cellStyle name="Normal 2 6 4 2 4" xfId="11158" xr:uid="{9AADA220-B9CE-4749-AE31-CBC01B68FA08}"/>
    <cellStyle name="Normal 2 6 4 2 4 2" xfId="21538" xr:uid="{544947B8-8889-427F-98F8-7DB4E71898AA}"/>
    <cellStyle name="Normal 2 6 4 2 5" xfId="23672" xr:uid="{40D936BC-B2FB-444D-BA06-05C16CD95B47}"/>
    <cellStyle name="Normal 2 6 4 2 6" xfId="13793" xr:uid="{CD9279EA-FE4F-45C0-B021-898B07933199}"/>
    <cellStyle name="Normal 2 6 4 3" xfId="2748" xr:uid="{00000000-0005-0000-0000-0000CD040000}"/>
    <cellStyle name="Normal 2 6 4 3 2" xfId="5966" xr:uid="{3AC6F347-C68D-4FB4-8BD8-2118D9E8EF4B}"/>
    <cellStyle name="Normal 2 6 4 3 2 2" xfId="26001" xr:uid="{6407EC0A-CA09-4F54-A5DC-8C2C028A5521}"/>
    <cellStyle name="Normal 2 6 4 3 2 3" xfId="15419" xr:uid="{C193E26C-D856-4793-947D-EF2429FBC763}"/>
    <cellStyle name="Normal 2 6 4 3 3" xfId="7872" xr:uid="{1E3CF3CE-B1BC-4F2D-A7C8-61E4A10A365D}"/>
    <cellStyle name="Normal 2 6 4 3 3 2" xfId="18252" xr:uid="{8BD55EF0-2C46-4F9F-BF52-2E5AC363DFD0}"/>
    <cellStyle name="Normal 2 6 4 3 4" xfId="10705" xr:uid="{DF3A9D90-F1F1-4774-A6A8-BFA0FB02DDAB}"/>
    <cellStyle name="Normal 2 6 4 3 4 2" xfId="21085" xr:uid="{AECC2B9B-F637-458C-95D4-B8705547F79B}"/>
    <cellStyle name="Normal 2 6 4 3 5" xfId="25086" xr:uid="{F7D65038-43B7-4600-B665-FE61C3DC1D05}"/>
    <cellStyle name="Normal 2 6 4 3 6" xfId="13191" xr:uid="{9FF62838-0196-4BF7-8043-8AD349460ECA}"/>
    <cellStyle name="Normal 2 6 4 4" xfId="4173" xr:uid="{FAAE8149-8145-432C-B91A-EC872542167A}"/>
    <cellStyle name="Normal 2 6 4 4 2" xfId="8945" xr:uid="{A898C8CD-3D30-4C1C-ABD9-8656076B5A81}"/>
    <cellStyle name="Normal 2 6 4 4 2 2" xfId="19325" xr:uid="{1A9ED637-57DF-4EC7-8488-4C7592B288CF}"/>
    <cellStyle name="Normal 2 6 4 4 3" xfId="11778" xr:uid="{3183CE16-5648-42F3-904D-5A8528B42A9C}"/>
    <cellStyle name="Normal 2 6 4 4 3 2" xfId="22158" xr:uid="{D292C677-4EC5-461E-B23B-11316430DFAC}"/>
    <cellStyle name="Normal 2 6 4 4 4" xfId="24115" xr:uid="{4B28783D-BCF0-40D5-BA39-A0BD1889A410}"/>
    <cellStyle name="Normal 2 6 4 4 5" xfId="16492" xr:uid="{FCD70FC5-0B68-4997-9C12-BBFBD166F7A2}"/>
    <cellStyle name="Normal 2 6 4 5" xfId="5177" xr:uid="{7A080356-2637-46E2-A77E-82C5ACAE8493}"/>
    <cellStyle name="Normal 2 6 4 5 2" xfId="14474" xr:uid="{87F5C9D8-9A57-40FE-BC24-29C7BD440DC2}"/>
    <cellStyle name="Normal 2 6 4 6" xfId="6927" xr:uid="{1EB19ED3-15F7-414F-9F66-975C06046ACB}"/>
    <cellStyle name="Normal 2 6 4 6 2" xfId="17307" xr:uid="{E908B670-6EEE-4B27-A219-E53B7B9A3CCF}"/>
    <cellStyle name="Normal 2 6 4 7" xfId="9760" xr:uid="{BBF121FB-D7DF-4229-888D-58897BA66988}"/>
    <cellStyle name="Normal 2 6 4 7 2" xfId="20140" xr:uid="{A447422D-86A8-4D49-B623-57D91E1AC329}"/>
    <cellStyle name="Normal 2 6 4 8" xfId="23439" xr:uid="{2467AEF3-5330-47FD-87A4-229510FDA7FD}"/>
    <cellStyle name="Normal 2 6 4 9" xfId="12733" xr:uid="{4D9A41E0-523B-4A63-AEF3-98D8B656F6EC}"/>
    <cellStyle name="Normal 2 6 5" xfId="3246" xr:uid="{00000000-0005-0000-0000-0000CE040000}"/>
    <cellStyle name="Normal 2 6 5 2" xfId="4493" xr:uid="{A3DD9300-DFB9-4CFD-9A54-92274E601C4B}"/>
    <cellStyle name="Normal 2 6 5 2 2" xfId="9265" xr:uid="{DD784A69-7E3E-4F1A-AC82-8F6F1BD52311}"/>
    <cellStyle name="Normal 2 6 5 2 2 2" xfId="29250" xr:uid="{0D00306C-6116-4176-B54A-03C0D3AA4551}"/>
    <cellStyle name="Normal 2 6 5 2 2 3" xfId="19645" xr:uid="{F2CB09A6-383C-48D6-8D03-D7E890852381}"/>
    <cellStyle name="Normal 2 6 5 2 3" xfId="12098" xr:uid="{6A87C19B-A104-452B-9739-483A28C9AE79}"/>
    <cellStyle name="Normal 2 6 5 2 3 2" xfId="22478" xr:uid="{35392DE0-6C17-4AAF-B1BA-5476F364C1F7}"/>
    <cellStyle name="Normal 2 6 5 2 4" xfId="22645" xr:uid="{1DAD417C-CEC3-4A47-A424-5DFB07AF424F}"/>
    <cellStyle name="Normal 2 6 5 2 5" xfId="16812" xr:uid="{CDCBDCFE-1C6A-46F9-8B05-D7FB38E609D1}"/>
    <cellStyle name="Normal 2 6 5 3" xfId="6304" xr:uid="{D9E241B8-02A4-427F-8AE0-EEAB32CD3011}"/>
    <cellStyle name="Normal 2 6 5 3 2" xfId="28143" xr:uid="{5AE0B9C7-05E0-42CD-9E29-BCFC29DBD4C5}"/>
    <cellStyle name="Normal 2 6 5 3 3" xfId="15873" xr:uid="{F4E50B5F-0237-4929-B47F-EF36A19EE155}"/>
    <cellStyle name="Normal 2 6 5 4" xfId="8326" xr:uid="{EFFF14CB-F067-4F81-B899-6C534B5B4390}"/>
    <cellStyle name="Normal 2 6 5 4 2" xfId="18706" xr:uid="{13BEAD3E-CAD8-4E9A-8C8D-73BA059008A1}"/>
    <cellStyle name="Normal 2 6 5 5" xfId="11159" xr:uid="{8260038C-40B8-4B48-B86B-150E1BB7C91B}"/>
    <cellStyle name="Normal 2 6 5 5 2" xfId="21539" xr:uid="{5E4EEA9D-1019-4434-BE7E-77F65C173361}"/>
    <cellStyle name="Normal 2 6 5 6" xfId="25304" xr:uid="{C39A1771-4B7B-4FA5-A546-E3F549907874}"/>
    <cellStyle name="Normal 2 6 5 7" xfId="13794" xr:uid="{62094DEE-5D6A-4587-B5C3-6B51F53AC0CC}"/>
    <cellStyle name="Normal 2 6 6" xfId="2914" xr:uid="{00000000-0005-0000-0000-0000CF040000}"/>
    <cellStyle name="Normal 2 6 6 2" xfId="6100" xr:uid="{3F07CF2B-E2C3-4A94-86F5-C526D5A30387}"/>
    <cellStyle name="Normal 2 6 6 2 2" xfId="25846" xr:uid="{89030345-8F55-454A-84BA-BF49A031CD02}"/>
    <cellStyle name="Normal 2 6 6 2 3" xfId="15578" xr:uid="{ACA6E232-F876-4D2C-B3F8-1D3F6BDA8948}"/>
    <cellStyle name="Normal 2 6 6 3" xfId="8031" xr:uid="{42120A84-98C8-41ED-A11F-EB419CC9F1E1}"/>
    <cellStyle name="Normal 2 6 6 3 2" xfId="18411" xr:uid="{F02AD8A5-2195-4EF0-9E9F-3259ECBE80B4}"/>
    <cellStyle name="Normal 2 6 6 4" xfId="10864" xr:uid="{67350C24-62FC-42C2-9B15-1073360F93E2}"/>
    <cellStyle name="Normal 2 6 6 4 2" xfId="21244" xr:uid="{7586ABD7-1A9A-4747-83A4-C02958ED7CA3}"/>
    <cellStyle name="Normal 2 6 6 5" xfId="22688" xr:uid="{50EB29A5-FE3E-4EE9-8F15-737CE4DD97F0}"/>
    <cellStyle name="Normal 2 6 6 6" xfId="13431" xr:uid="{FB8F4C21-A5D5-4C65-A7E8-2622D69B734E}"/>
    <cellStyle name="Normal 2 6 7" xfId="2472" xr:uid="{00000000-0005-0000-0000-0000D0040000}"/>
    <cellStyle name="Normal 2 6 7 2" xfId="5760" xr:uid="{D2868D63-22F0-4956-A066-B914852ABDEE}"/>
    <cellStyle name="Normal 2 6 7 2 2" xfId="26263" xr:uid="{70223284-C886-43CC-B95C-40E37BC2C671}"/>
    <cellStyle name="Normal 2 6 7 2 3" xfId="15144" xr:uid="{34CDAF7D-28FF-4D89-9CFB-E0BDDA502805}"/>
    <cellStyle name="Normal 2 6 7 3" xfId="7597" xr:uid="{5893C7BC-E3C2-4EF6-8D7B-A10380A32821}"/>
    <cellStyle name="Normal 2 6 7 3 2" xfId="17977" xr:uid="{3F055587-DB80-4D3B-9368-A460981ED099}"/>
    <cellStyle name="Normal 2 6 7 4" xfId="10430" xr:uid="{B6AAA150-C551-43E3-8964-7E03F1AE4B5A}"/>
    <cellStyle name="Normal 2 6 7 4 2" xfId="20810" xr:uid="{E0EF6062-5071-41CB-889C-987F9B3E8377}"/>
    <cellStyle name="Normal 2 6 7 5" xfId="24538" xr:uid="{ABF28A36-FD7D-46E5-B605-AA7A948D3FC4}"/>
    <cellStyle name="Normal 2 6 7 6" xfId="12860" xr:uid="{A6F2CC7B-F5FD-4ACD-BBD6-115C96CC06F1}"/>
    <cellStyle name="Normal 2 6 8" xfId="2166" xr:uid="{00000000-0005-0000-0000-0000B9040000}"/>
    <cellStyle name="Normal 2 6 8 2" xfId="7293" xr:uid="{0EB573FA-EEF6-439E-A56B-BDBDAE879304}"/>
    <cellStyle name="Normal 2 6 8 2 2" xfId="17673" xr:uid="{4DC08CDF-9F03-44B1-AFD4-F6F5E2B029B7}"/>
    <cellStyle name="Normal 2 6 8 3" xfId="10126" xr:uid="{F5839759-13CE-4805-BB77-B640C64967FE}"/>
    <cellStyle name="Normal 2 6 8 3 2" xfId="20506" xr:uid="{578F8F1F-D0D9-4E82-AEDC-2E3008B84CE1}"/>
    <cellStyle name="Normal 2 6 8 4" xfId="22947" xr:uid="{3E25F616-C5F5-426E-A79E-6C9D09D93F12}"/>
    <cellStyle name="Normal 2 6 8 5" xfId="14840" xr:uid="{6735C330-4283-4D90-AC95-85E796A9B56E}"/>
    <cellStyle name="Normal 2 6 9" xfId="3951" xr:uid="{768BD1A0-E9FC-4057-8CB2-EEB941EB5E31}"/>
    <cellStyle name="Normal 2 6 9 2" xfId="8783" xr:uid="{E40725E7-E25B-4B86-978A-F410327532ED}"/>
    <cellStyle name="Normal 2 6 9 2 2" xfId="19163" xr:uid="{AABAA0C8-6D30-44E6-AFFD-FD33B4ACC440}"/>
    <cellStyle name="Normal 2 6 9 3" xfId="11616" xr:uid="{6C6BEF3B-A7BE-4192-8AFB-AC48CF963000}"/>
    <cellStyle name="Normal 2 6 9 3 2" xfId="21996" xr:uid="{BE8C2767-4BA7-4EEE-903C-B8C4D963EC10}"/>
    <cellStyle name="Normal 2 6 9 4" xfId="16330" xr:uid="{0B82CE58-B896-42FB-B2C2-EBDE2E302BD6}"/>
    <cellStyle name="Normal 2 7" xfId="826" xr:uid="{00000000-0005-0000-0000-0000E6040000}"/>
    <cellStyle name="Normal 2 7 10" xfId="5178" xr:uid="{9CD5321E-0D32-4E21-8C53-766D143E0BA3}"/>
    <cellStyle name="Normal 2 7 10 2" xfId="14475" xr:uid="{599DCDD7-1C0F-49D3-AEAE-1B75E1AE40C9}"/>
    <cellStyle name="Normal 2 7 11" xfId="6928" xr:uid="{80BB76AE-DDE6-4543-A159-C3E3623D1485}"/>
    <cellStyle name="Normal 2 7 11 2" xfId="17308" xr:uid="{AE83A673-8891-44DF-A0F1-AEE7ECD49F20}"/>
    <cellStyle name="Normal 2 7 12" xfId="9761" xr:uid="{6278D750-9C21-4CA5-B2B3-E9BDB0803732}"/>
    <cellStyle name="Normal 2 7 12 2" xfId="20141" xr:uid="{CE1E7404-7B0B-4E6D-92D2-BFBF115EE3DB}"/>
    <cellStyle name="Normal 2 7 13" xfId="25465" xr:uid="{DF6CD18B-2F2D-4207-8C69-DD24C3320652}"/>
    <cellStyle name="Normal 2 7 14" xfId="12413" xr:uid="{BD85830B-CE9E-45F5-AE23-751D67618F47}"/>
    <cellStyle name="Normal 2 7 15" xfId="29570" xr:uid="{F2A4C11B-61FF-44DA-8BB6-067397F32AA5}"/>
    <cellStyle name="Normal 2 7 2" xfId="827" xr:uid="{00000000-0005-0000-0000-0000E7040000}"/>
    <cellStyle name="Normal 2 7 2 10" xfId="6929" xr:uid="{4B2C54F7-1C4B-49F1-AF42-2B99EB4FF8AB}"/>
    <cellStyle name="Normal 2 7 2 10 2" xfId="17309" xr:uid="{E7C730BD-8187-4087-84C7-9A21F8D763A7}"/>
    <cellStyle name="Normal 2 7 2 11" xfId="9762" xr:uid="{30B3C8EE-236F-4D31-A8E1-C6229247C9D4}"/>
    <cellStyle name="Normal 2 7 2 11 2" xfId="20142" xr:uid="{8D265F91-367B-4C32-A21A-6320554103E3}"/>
    <cellStyle name="Normal 2 7 2 12" xfId="22858" xr:uid="{92EF549A-DD3C-46B0-BED7-0C9A1986C83C}"/>
    <cellStyle name="Normal 2 7 2 13" xfId="12473" xr:uid="{6962162F-A72E-489A-AFA8-D860B3AC8C11}"/>
    <cellStyle name="Normal 2 7 2 2" xfId="828" xr:uid="{00000000-0005-0000-0000-0000E8040000}"/>
    <cellStyle name="Normal 2 7 2 2 10" xfId="13038" xr:uid="{0AA01A78-69EF-4114-B2BB-B3045BE91DCA}"/>
    <cellStyle name="Normal 2 7 2 2 2" xfId="2754" xr:uid="{00000000-0005-0000-0000-0000D4040000}"/>
    <cellStyle name="Normal 2 7 2 2 2 2" xfId="3249" xr:uid="{00000000-0005-0000-0000-0000D5040000}"/>
    <cellStyle name="Normal 2 7 2 2 2 2 2" xfId="6307" xr:uid="{3F37FFE1-9605-425C-A216-C5C3766D8891}"/>
    <cellStyle name="Normal 2 7 2 2 2 2 2 2" xfId="27929" xr:uid="{71267D9A-AAD4-4888-BB0F-A6752B1171B8}"/>
    <cellStyle name="Normal 2 7 2 2 2 2 2 3" xfId="15876" xr:uid="{78DF3D38-9F73-439E-A287-89CE869E1EE0}"/>
    <cellStyle name="Normal 2 7 2 2 2 2 3" xfId="8329" xr:uid="{041AEE86-5E87-4121-BE6D-95B8ED5DBD23}"/>
    <cellStyle name="Normal 2 7 2 2 2 2 3 2" xfId="18709" xr:uid="{4FBD9496-DACD-4EED-A203-DAA1B518EB17}"/>
    <cellStyle name="Normal 2 7 2 2 2 2 4" xfId="11162" xr:uid="{D9DB168F-7EE2-4C16-A285-F74B1B4773A6}"/>
    <cellStyle name="Normal 2 7 2 2 2 2 4 2" xfId="21542" xr:uid="{B5176D5B-292B-41E6-931B-ABF05B42C01C}"/>
    <cellStyle name="Normal 2 7 2 2 2 2 5" xfId="23026" xr:uid="{3537CE86-360E-4CCD-8DF9-151C226AFF84}"/>
    <cellStyle name="Normal 2 7 2 2 2 2 6" xfId="13797" xr:uid="{C57A5B3F-A737-4DF9-8FE1-263A28DC07EB}"/>
    <cellStyle name="Normal 2 7 2 2 2 3" xfId="4316" xr:uid="{FFC00805-99EC-4945-BAD6-33C2B8920012}"/>
    <cellStyle name="Normal 2 7 2 2 2 3 2" xfId="9088" xr:uid="{2FF21747-EFA1-424C-8717-55E3A30DD691}"/>
    <cellStyle name="Normal 2 7 2 2 2 3 2 2" xfId="29131" xr:uid="{C3EF06AF-415D-4422-AF34-D98D777D4C72}"/>
    <cellStyle name="Normal 2 7 2 2 2 3 2 3" xfId="19468" xr:uid="{7C746684-E314-4401-AC36-5BD913A672F2}"/>
    <cellStyle name="Normal 2 7 2 2 2 3 3" xfId="11921" xr:uid="{BEA25E24-2834-4578-8A5A-5CCC0A8E9A15}"/>
    <cellStyle name="Normal 2 7 2 2 2 3 3 2" xfId="22301" xr:uid="{421306C6-8FF7-4983-9458-E7E6600E8567}"/>
    <cellStyle name="Normal 2 7 2 2 2 3 4" xfId="23093" xr:uid="{EA2CFD82-7F75-467D-A582-25A18A0DA923}"/>
    <cellStyle name="Normal 2 7 2 2 2 3 5" xfId="16635" xr:uid="{B3808F8F-BD78-4371-BDCC-E034C7C8F9E3}"/>
    <cellStyle name="Normal 2 7 2 2 2 4" xfId="5972" xr:uid="{FB91A383-B100-4FF6-986D-91A9D5125407}"/>
    <cellStyle name="Normal 2 7 2 2 2 4 2" xfId="28520" xr:uid="{F53A6796-1339-411E-9581-FBD442974032}"/>
    <cellStyle name="Normal 2 7 2 2 2 4 3" xfId="15425" xr:uid="{6136F13A-FDEC-48F1-B23C-C2ABD1E7BA13}"/>
    <cellStyle name="Normal 2 7 2 2 2 5" xfId="7878" xr:uid="{80A07288-7984-4F94-9DF1-0D50A1274AD2}"/>
    <cellStyle name="Normal 2 7 2 2 2 5 2" xfId="18258" xr:uid="{47E2FEC9-8946-4F38-8291-63337E373D72}"/>
    <cellStyle name="Normal 2 7 2 2 2 6" xfId="10711" xr:uid="{193B0A73-1D11-422A-941F-0024136F0454}"/>
    <cellStyle name="Normal 2 7 2 2 2 6 2" xfId="21091" xr:uid="{9EEF06D9-0239-4678-AAAE-3FE145793384}"/>
    <cellStyle name="Normal 2 7 2 2 2 7" xfId="23588" xr:uid="{85AD88BB-6EEB-4A4F-906C-9069C5A0D512}"/>
    <cellStyle name="Normal 2 7 2 2 2 8" xfId="13197" xr:uid="{05AAC9C7-D092-4CBE-9B97-DCB68CB9F745}"/>
    <cellStyle name="Normal 2 7 2 2 3" xfId="3250" xr:uid="{00000000-0005-0000-0000-0000D6040000}"/>
    <cellStyle name="Normal 2 7 2 2 3 2" xfId="4494" xr:uid="{7BD627DC-9A61-453D-ACA5-190C16C8BA58}"/>
    <cellStyle name="Normal 2 7 2 2 3 2 2" xfId="9266" xr:uid="{337D26E3-2CFF-44DF-8059-821F7436A063}"/>
    <cellStyle name="Normal 2 7 2 2 3 2 2 2" xfId="19646" xr:uid="{A8BF7C60-23AA-4BAD-856E-100679624A23}"/>
    <cellStyle name="Normal 2 7 2 2 3 2 3" xfId="12099" xr:uid="{45F0224D-3863-4BC9-B20B-7DA4569172ED}"/>
    <cellStyle name="Normal 2 7 2 2 3 2 3 2" xfId="22479" xr:uid="{9D8DCE35-9750-4647-8802-B78CB69B4E1A}"/>
    <cellStyle name="Normal 2 7 2 2 3 2 4" xfId="26917" xr:uid="{0E00F23F-E8BD-40B8-A638-5598DB5B40CE}"/>
    <cellStyle name="Normal 2 7 2 2 3 2 5" xfId="16813" xr:uid="{AEDEBC93-6A37-4253-BD9E-035FB4B64FFC}"/>
    <cellStyle name="Normal 2 7 2 2 3 3" xfId="6308" xr:uid="{1B540ABE-382E-4EC7-BA5C-B9B9D969EABB}"/>
    <cellStyle name="Normal 2 7 2 2 3 3 2" xfId="15877" xr:uid="{56368EE5-3F6A-4213-83FF-06A2867DD031}"/>
    <cellStyle name="Normal 2 7 2 2 3 4" xfId="8330" xr:uid="{FABF5BA2-20C0-4727-BF91-3E08B5C6729F}"/>
    <cellStyle name="Normal 2 7 2 2 3 4 2" xfId="18710" xr:uid="{34211832-17F7-48EC-9752-871DB117CE2D}"/>
    <cellStyle name="Normal 2 7 2 2 3 5" xfId="11163" xr:uid="{EB7CAB05-576E-4098-AF42-5091183ECBA8}"/>
    <cellStyle name="Normal 2 7 2 2 3 5 2" xfId="21543" xr:uid="{EEB8D7AF-A6F3-4E05-B5E4-4D7673A558B2}"/>
    <cellStyle name="Normal 2 7 2 2 3 6" xfId="25415" xr:uid="{F687B384-AE79-4E40-ACF7-96DD38E01573}"/>
    <cellStyle name="Normal 2 7 2 2 3 7" xfId="13798" xr:uid="{B8205858-621C-4A89-A6D0-6CD4FF70F5F2}"/>
    <cellStyle name="Normal 2 7 2 2 4" xfId="3248" xr:uid="{00000000-0005-0000-0000-0000D7040000}"/>
    <cellStyle name="Normal 2 7 2 2 4 2" xfId="6306" xr:uid="{F44F7A92-EB00-4577-AB9B-6F205BD23F40}"/>
    <cellStyle name="Normal 2 7 2 2 4 2 2" xfId="27918" xr:uid="{1DBC5BAF-9CEC-491A-B6F4-2B1B977C86E3}"/>
    <cellStyle name="Normal 2 7 2 2 4 2 3" xfId="15875" xr:uid="{2A5D3804-4633-46A2-805D-B7A2DB7B2E49}"/>
    <cellStyle name="Normal 2 7 2 2 4 3" xfId="8328" xr:uid="{54307EDA-67F1-427A-BB24-0EB4451AAEB4}"/>
    <cellStyle name="Normal 2 7 2 2 4 3 2" xfId="18708" xr:uid="{22B3AAA6-B0CB-4404-BE3B-6A68FA312A1E}"/>
    <cellStyle name="Normal 2 7 2 2 4 4" xfId="11161" xr:uid="{08ACD65D-F031-45DD-B78B-E46A9FAC5C6B}"/>
    <cellStyle name="Normal 2 7 2 2 4 4 2" xfId="21541" xr:uid="{E0164970-C186-4A02-A515-0B39605712D6}"/>
    <cellStyle name="Normal 2 7 2 2 4 5" xfId="24486" xr:uid="{FA6B8D25-7A74-4642-B974-C9AD3830C5D9}"/>
    <cellStyle name="Normal 2 7 2 2 4 6" xfId="13796" xr:uid="{D5B324C0-74E6-4D36-9245-B0A521637CD9}"/>
    <cellStyle name="Normal 2 7 2 2 5" xfId="4239" xr:uid="{95A930D3-0D9E-422E-8A05-F1CFFCAE1F41}"/>
    <cellStyle name="Normal 2 7 2 2 5 2" xfId="9011" xr:uid="{12507572-78BE-42B2-88EE-70516A173534}"/>
    <cellStyle name="Normal 2 7 2 2 5 2 2" xfId="29082" xr:uid="{34B9C282-239A-45F8-9330-F0CA98B202F8}"/>
    <cellStyle name="Normal 2 7 2 2 5 2 3" xfId="19391" xr:uid="{FC5FD584-7541-40A6-B047-72B200AA1381}"/>
    <cellStyle name="Normal 2 7 2 2 5 3" xfId="11844" xr:uid="{444A3CEB-84C5-4874-AB48-B6FDAADF5002}"/>
    <cellStyle name="Normal 2 7 2 2 5 3 2" xfId="22224" xr:uid="{D21C198F-4140-4E5F-89CB-3C60825A4E6B}"/>
    <cellStyle name="Normal 2 7 2 2 5 4" xfId="25377" xr:uid="{BA4ED903-B1AF-4D72-8482-B72971F1F96F}"/>
    <cellStyle name="Normal 2 7 2 2 5 5" xfId="16558" xr:uid="{1096B93B-F377-462B-910C-13E14BDBDE1B}"/>
    <cellStyle name="Normal 2 7 2 2 6" xfId="5180" xr:uid="{F43B598E-1922-42AA-B411-7F29ECE41F77}"/>
    <cellStyle name="Normal 2 7 2 2 6 2" xfId="25961" xr:uid="{4374242D-03D9-45EE-A426-050C499E5392}"/>
    <cellStyle name="Normal 2 7 2 2 6 3" xfId="14477" xr:uid="{E61BB159-C497-4CE4-9208-B4A7D076527F}"/>
    <cellStyle name="Normal 2 7 2 2 7" xfId="6930" xr:uid="{C5FC017B-1281-49EE-A7FE-AD0A58A8ADC7}"/>
    <cellStyle name="Normal 2 7 2 2 7 2" xfId="17310" xr:uid="{88D02D7B-FE1C-4365-A58C-6768F4BF4007}"/>
    <cellStyle name="Normal 2 7 2 2 8" xfId="9763" xr:uid="{B11F3A08-AE12-46CF-8956-93A3125E2059}"/>
    <cellStyle name="Normal 2 7 2 2 8 2" xfId="20143" xr:uid="{BECCE343-5413-41D5-832D-CC080D7D00BE}"/>
    <cellStyle name="Normal 2 7 2 2 9" xfId="24632" xr:uid="{F4A5E673-8448-497C-B47D-E193868297B6}"/>
    <cellStyle name="Normal 2 7 2 3" xfId="2753" xr:uid="{00000000-0005-0000-0000-0000D8040000}"/>
    <cellStyle name="Normal 2 7 2 3 2" xfId="3251" xr:uid="{00000000-0005-0000-0000-0000D9040000}"/>
    <cellStyle name="Normal 2 7 2 3 2 2" xfId="6309" xr:uid="{D7846180-0CE6-4D52-B0E8-C521F952BF80}"/>
    <cellStyle name="Normal 2 7 2 3 2 2 2" xfId="27136" xr:uid="{FD1AB626-FCD5-48E7-BF15-EA8B511346D6}"/>
    <cellStyle name="Normal 2 7 2 3 2 2 3" xfId="15878" xr:uid="{203FD30F-F50A-41A5-9390-74BDCEC03D87}"/>
    <cellStyle name="Normal 2 7 2 3 2 3" xfId="8331" xr:uid="{696E6586-97FD-41C9-9E2B-C0E6F980457E}"/>
    <cellStyle name="Normal 2 7 2 3 2 3 2" xfId="18711" xr:uid="{ECEB8EBD-9FFD-4FEB-9786-17316E7B1B69}"/>
    <cellStyle name="Normal 2 7 2 3 2 4" xfId="11164" xr:uid="{94B6BCF9-4A27-4BB5-A178-28D7027893A5}"/>
    <cellStyle name="Normal 2 7 2 3 2 4 2" xfId="21544" xr:uid="{49640450-8BF2-4513-87FD-CA86A1692F55}"/>
    <cellStyle name="Normal 2 7 2 3 2 5" xfId="22722" xr:uid="{DBF382B6-0D5E-447A-A53A-9AAA10F94EDE}"/>
    <cellStyle name="Normal 2 7 2 3 2 6" xfId="13799" xr:uid="{724F37EB-F72B-4E5A-8AA9-08FDC7AB0EDD}"/>
    <cellStyle name="Normal 2 7 2 3 3" xfId="4315" xr:uid="{958B0FC2-126E-4AE2-8755-60955BB885A8}"/>
    <cellStyle name="Normal 2 7 2 3 3 2" xfId="9087" xr:uid="{07750667-D396-40F9-9E90-590CA6AE19BA}"/>
    <cellStyle name="Normal 2 7 2 3 3 2 2" xfId="29130" xr:uid="{64D184F3-8750-4779-AD7E-3C2670C8C1F9}"/>
    <cellStyle name="Normal 2 7 2 3 3 2 3" xfId="19467" xr:uid="{C55BEBA8-7FED-4FA1-8824-1417E579C19D}"/>
    <cellStyle name="Normal 2 7 2 3 3 3" xfId="11920" xr:uid="{19790472-FDBF-4343-A908-D5227F327227}"/>
    <cellStyle name="Normal 2 7 2 3 3 3 2" xfId="22300" xr:uid="{D32F6789-4B33-4ACE-90BB-18E7DA31FC34}"/>
    <cellStyle name="Normal 2 7 2 3 3 4" xfId="24859" xr:uid="{A4FBD7FA-FBEE-4842-A1E8-43055A965CF0}"/>
    <cellStyle name="Normal 2 7 2 3 3 5" xfId="16634" xr:uid="{43E97128-EC23-4A9B-82E7-5DB4C68F61A8}"/>
    <cellStyle name="Normal 2 7 2 3 4" xfId="5971" xr:uid="{E37172F9-AF05-4B50-BE74-DDE24FC1ECFA}"/>
    <cellStyle name="Normal 2 7 2 3 4 2" xfId="28164" xr:uid="{FB7D729F-D05C-4CFB-AECB-578A7A0E111E}"/>
    <cellStyle name="Normal 2 7 2 3 4 3" xfId="15424" xr:uid="{4BC28C4B-2E55-4758-BFE3-FD794385D915}"/>
    <cellStyle name="Normal 2 7 2 3 5" xfId="7877" xr:uid="{CBC480B9-250E-4752-8C7E-FEECAD33E184}"/>
    <cellStyle name="Normal 2 7 2 3 5 2" xfId="18257" xr:uid="{02A38621-5D51-489E-A9C4-C0034C3E1E4F}"/>
    <cellStyle name="Normal 2 7 2 3 6" xfId="10710" xr:uid="{763846FE-D254-4051-A7F8-A6D9B0A23171}"/>
    <cellStyle name="Normal 2 7 2 3 6 2" xfId="21090" xr:uid="{DDE05959-F911-4E96-A639-A3E9431B0F94}"/>
    <cellStyle name="Normal 2 7 2 3 7" xfId="23815" xr:uid="{38386524-8898-4D1D-8213-35251C1FA35C}"/>
    <cellStyle name="Normal 2 7 2 3 8" xfId="13196" xr:uid="{E7CF5003-47AF-4ED3-860D-20AAD7A72CF2}"/>
    <cellStyle name="Normal 2 7 2 4" xfId="3252" xr:uid="{00000000-0005-0000-0000-0000DA040000}"/>
    <cellStyle name="Normal 2 7 2 4 2" xfId="4495" xr:uid="{2B5F4C4D-2964-42B1-AD6E-6EA6156723F7}"/>
    <cellStyle name="Normal 2 7 2 4 2 2" xfId="9267" xr:uid="{D616D958-AABB-4055-9283-BC0981066AD6}"/>
    <cellStyle name="Normal 2 7 2 4 2 2 2" xfId="19647" xr:uid="{B9F8553E-9544-4AB5-ACE8-E5AB115AB242}"/>
    <cellStyle name="Normal 2 7 2 4 2 3" xfId="12100" xr:uid="{7F8B9777-0E7F-483F-8DD2-A23E5BAAEF5C}"/>
    <cellStyle name="Normal 2 7 2 4 2 3 2" xfId="22480" xr:uid="{93CB87D0-516F-4877-83AC-812AAB80E25D}"/>
    <cellStyle name="Normal 2 7 2 4 2 4" xfId="27888" xr:uid="{0107E775-C3CD-4FC3-96E8-6B1CB5C16DB4}"/>
    <cellStyle name="Normal 2 7 2 4 2 5" xfId="16814" xr:uid="{BE278253-1BF1-4981-AE60-1A8A9A90622F}"/>
    <cellStyle name="Normal 2 7 2 4 3" xfId="6310" xr:uid="{C0BB7D75-75B0-4B27-983C-0A8D2EBD4C74}"/>
    <cellStyle name="Normal 2 7 2 4 3 2" xfId="15879" xr:uid="{DFDD26D1-8C76-4C15-A3F7-1E64C55A1AF7}"/>
    <cellStyle name="Normal 2 7 2 4 4" xfId="8332" xr:uid="{4C3E300F-EE99-4C21-84B3-C4E34C2CA8A5}"/>
    <cellStyle name="Normal 2 7 2 4 4 2" xfId="18712" xr:uid="{C7A34A52-4BA3-42AD-A9E5-0E328121B25C}"/>
    <cellStyle name="Normal 2 7 2 4 5" xfId="11165" xr:uid="{C46616C6-3F24-4C03-9C25-9968C2027064}"/>
    <cellStyle name="Normal 2 7 2 4 5 2" xfId="21545" xr:uid="{52474DD4-4027-48EB-9671-E06736DE8582}"/>
    <cellStyle name="Normal 2 7 2 4 6" xfId="25506" xr:uid="{8A7046FA-FA5B-4560-9DE0-3EDEFA402F35}"/>
    <cellStyle name="Normal 2 7 2 4 7" xfId="13800" xr:uid="{D460E849-04E3-45D2-A14A-FB0901FFCC33}"/>
    <cellStyle name="Normal 2 7 2 5" xfId="3247" xr:uid="{00000000-0005-0000-0000-0000DB040000}"/>
    <cellStyle name="Normal 2 7 2 5 2" xfId="6305" xr:uid="{BE4333F0-C05D-4B14-A1A1-E590D6EDBAD9}"/>
    <cellStyle name="Normal 2 7 2 5 2 2" xfId="28391" xr:uid="{0320A238-0342-4A14-AE2A-497B3DFF82F3}"/>
    <cellStyle name="Normal 2 7 2 5 2 3" xfId="15874" xr:uid="{9A287CA8-8C41-4746-9F51-AB1F2306AE2A}"/>
    <cellStyle name="Normal 2 7 2 5 3" xfId="8327" xr:uid="{272CD5A3-1B0C-4262-A382-8AF74FE454EA}"/>
    <cellStyle name="Normal 2 7 2 5 3 2" xfId="18707" xr:uid="{E38479BA-F997-4544-85B0-C83524F2BDFC}"/>
    <cellStyle name="Normal 2 7 2 5 4" xfId="11160" xr:uid="{C4428E8F-46A5-42B0-84F9-39E1F2CA2692}"/>
    <cellStyle name="Normal 2 7 2 5 4 2" xfId="21540" xr:uid="{497F2DA9-598E-44D7-B61B-D0ADA112B81D}"/>
    <cellStyle name="Normal 2 7 2 5 5" xfId="24353" xr:uid="{0A460A1E-0C6C-4332-9151-D6E996923AC3}"/>
    <cellStyle name="Normal 2 7 2 5 6" xfId="13795" xr:uid="{81B3E93F-8D5A-4A1F-A421-B8426C67CC60}"/>
    <cellStyle name="Normal 2 7 2 6" xfId="2547" xr:uid="{00000000-0005-0000-0000-0000DC040000}"/>
    <cellStyle name="Normal 2 7 2 6 2" xfId="5819" xr:uid="{1D674A74-CA68-4F14-86A3-852BD78DBF62}"/>
    <cellStyle name="Normal 2 7 2 6 2 2" xfId="26113" xr:uid="{3916A2C1-F727-448F-9949-3BC53CBA4AF7}"/>
    <cellStyle name="Normal 2 7 2 6 2 3" xfId="15219" xr:uid="{475B378D-4802-46C9-8541-141DE8D7A611}"/>
    <cellStyle name="Normal 2 7 2 6 3" xfId="7672" xr:uid="{27D543AE-D1E2-4C6C-896C-88156F2BB6EC}"/>
    <cellStyle name="Normal 2 7 2 6 3 2" xfId="18052" xr:uid="{CB20DE0A-CCB4-4FEF-838F-66D5180AC852}"/>
    <cellStyle name="Normal 2 7 2 6 4" xfId="10505" xr:uid="{D2745FDC-32DE-435B-A069-D6CA0C79EB48}"/>
    <cellStyle name="Normal 2 7 2 6 4 2" xfId="20885" xr:uid="{9D7CF0B2-9F8D-42D6-8A93-0AA390D6A34A}"/>
    <cellStyle name="Normal 2 7 2 6 5" xfId="24542" xr:uid="{2F47A91F-BD5F-49D3-8DAE-B69289587EBE}"/>
    <cellStyle name="Normal 2 7 2 6 6" xfId="12935" xr:uid="{000E4F26-F5E8-4094-B174-BBE61AFB4D3B}"/>
    <cellStyle name="Normal 2 7 2 7" xfId="2241" xr:uid="{00000000-0005-0000-0000-0000D2040000}"/>
    <cellStyle name="Normal 2 7 2 7 2" xfId="7368" xr:uid="{5119E13D-4E0E-4D76-8686-5B4526C0C1C7}"/>
    <cellStyle name="Normal 2 7 2 7 2 2" xfId="17748" xr:uid="{FCBA4D9A-FBF7-413B-9350-E19F6DCDCF95}"/>
    <cellStyle name="Normal 2 7 2 7 3" xfId="10201" xr:uid="{29268BB4-8542-4ACA-8912-943E50217DC3}"/>
    <cellStyle name="Normal 2 7 2 7 3 2" xfId="20581" xr:uid="{EF86BB97-B758-4ECF-97B9-1B9AB3D18A92}"/>
    <cellStyle name="Normal 2 7 2 7 4" xfId="24475" xr:uid="{2995AD3E-C9A3-4DBC-B784-99DCCD2CE1FF}"/>
    <cellStyle name="Normal 2 7 2 7 5" xfId="14915" xr:uid="{E726648D-85AB-46CF-86E5-5E3FFD70D0FC}"/>
    <cellStyle name="Normal 2 7 2 8" xfId="3794" xr:uid="{CF4F2132-8A0C-43A3-AB68-C933D526D158}"/>
    <cellStyle name="Normal 2 7 2 8 2" xfId="8630" xr:uid="{5B1BB51F-279A-4AF4-B10A-FFDCE55D05F7}"/>
    <cellStyle name="Normal 2 7 2 8 2 2" xfId="19010" xr:uid="{8D5C05B3-37CC-436B-981B-569D3B6C4AFF}"/>
    <cellStyle name="Normal 2 7 2 8 3" xfId="11463" xr:uid="{A4089863-9C82-4C13-BBA9-39443F4DBAC3}"/>
    <cellStyle name="Normal 2 7 2 8 3 2" xfId="21843" xr:uid="{3FBA34BC-2463-474C-8466-B15DFC67BEB4}"/>
    <cellStyle name="Normal 2 7 2 8 4" xfId="16177" xr:uid="{A4FEF638-BB73-444C-A4F9-7A2B01095EAC}"/>
    <cellStyle name="Normal 2 7 2 9" xfId="5179" xr:uid="{E5D43967-6CEF-4691-8C42-561CDAC6057C}"/>
    <cellStyle name="Normal 2 7 2 9 2" xfId="14476" xr:uid="{99C5F3F4-F27D-484C-98C2-80557E391747}"/>
    <cellStyle name="Normal 2 7 3" xfId="829" xr:uid="{00000000-0005-0000-0000-0000E9040000}"/>
    <cellStyle name="Normal 2 7 3 10" xfId="9764" xr:uid="{B80564E9-6480-4D14-BCE7-7C080664B2B4}"/>
    <cellStyle name="Normal 2 7 3 10 2" xfId="20144" xr:uid="{556952A2-9939-4C12-B86B-39B9853E10B0}"/>
    <cellStyle name="Normal 2 7 3 11" xfId="25524" xr:uid="{234A48C0-02A8-44E1-B3E7-3323B0C7D3D2}"/>
    <cellStyle name="Normal 2 7 3 12" xfId="12576" xr:uid="{00020838-BBC7-41F8-BCA5-E57A9E4B56FE}"/>
    <cellStyle name="Normal 2 7 3 2" xfId="2755" xr:uid="{00000000-0005-0000-0000-0000DE040000}"/>
    <cellStyle name="Normal 2 7 3 2 2" xfId="3254" xr:uid="{00000000-0005-0000-0000-0000DF040000}"/>
    <cellStyle name="Normal 2 7 3 2 2 2" xfId="6312" xr:uid="{51EB6BFC-00E1-4ED8-B0FF-AB5DAADD7864}"/>
    <cellStyle name="Normal 2 7 3 2 2 2 2" xfId="28632" xr:uid="{7D93899E-8F71-4234-AB8C-7C54CC5863CC}"/>
    <cellStyle name="Normal 2 7 3 2 2 2 3" xfId="15881" xr:uid="{6E851EF1-83F0-43C0-8E48-F0C74D9CA53E}"/>
    <cellStyle name="Normal 2 7 3 2 2 3" xfId="8334" xr:uid="{0F84327D-3644-4CD7-BEDF-5CD88CF5F3C7}"/>
    <cellStyle name="Normal 2 7 3 2 2 3 2" xfId="18714" xr:uid="{3CEFA913-4086-4620-8FAE-29374E0926BB}"/>
    <cellStyle name="Normal 2 7 3 2 2 4" xfId="11167" xr:uid="{5DD1EFA7-030D-4944-B43B-A633D59FF435}"/>
    <cellStyle name="Normal 2 7 3 2 2 4 2" xfId="21547" xr:uid="{C0EFD3DF-1AD3-44C5-A3C0-412CBDBD60D2}"/>
    <cellStyle name="Normal 2 7 3 2 2 5" xfId="23552" xr:uid="{CE5A8228-E08C-48A3-9221-6D39D333AAE2}"/>
    <cellStyle name="Normal 2 7 3 2 2 6" xfId="13802" xr:uid="{8F3BFDAD-E95B-439F-AF44-3DD15009B399}"/>
    <cellStyle name="Normal 2 7 3 2 3" xfId="4317" xr:uid="{F0FA149B-8459-42D0-8CB6-1F65390FA2E6}"/>
    <cellStyle name="Normal 2 7 3 2 3 2" xfId="9089" xr:uid="{13EE7781-CB1A-48FF-8B60-CAD4EAC598A7}"/>
    <cellStyle name="Normal 2 7 3 2 3 2 2" xfId="29132" xr:uid="{68BB0749-92B9-49EC-89BD-AA5009509809}"/>
    <cellStyle name="Normal 2 7 3 2 3 2 3" xfId="19469" xr:uid="{6B2CA347-D3CE-4655-9B76-DF7270573970}"/>
    <cellStyle name="Normal 2 7 3 2 3 3" xfId="11922" xr:uid="{0AE48217-5F93-410B-827C-64764A3D87CE}"/>
    <cellStyle name="Normal 2 7 3 2 3 3 2" xfId="22302" xr:uid="{264AD89D-73AB-4AAD-874F-8B4282D5C1CF}"/>
    <cellStyle name="Normal 2 7 3 2 3 4" xfId="25534" xr:uid="{3DC2F328-4B81-425C-ABF4-704C59C8F081}"/>
    <cellStyle name="Normal 2 7 3 2 3 5" xfId="16636" xr:uid="{5BA5B6DA-B259-4A1D-A4F2-1E8888B6843A}"/>
    <cellStyle name="Normal 2 7 3 2 4" xfId="5973" xr:uid="{449DB9B6-AF5A-4D70-90FE-048BB77B6718}"/>
    <cellStyle name="Normal 2 7 3 2 4 2" xfId="27622" xr:uid="{511F04B6-3E27-4407-A4D8-8D70F34EFFF4}"/>
    <cellStyle name="Normal 2 7 3 2 4 3" xfId="15426" xr:uid="{6102C36C-5A29-4F8C-AB06-1B403F2FD649}"/>
    <cellStyle name="Normal 2 7 3 2 5" xfId="7879" xr:uid="{A229218C-02A5-47B0-AA7C-571FC337C148}"/>
    <cellStyle name="Normal 2 7 3 2 5 2" xfId="18259" xr:uid="{B84E5EFA-F2D4-4E1C-BD6A-A7951DD11C32}"/>
    <cellStyle name="Normal 2 7 3 2 6" xfId="10712" xr:uid="{E8EC6D97-24ED-43E3-8522-4A0D809F1DB6}"/>
    <cellStyle name="Normal 2 7 3 2 6 2" xfId="21092" xr:uid="{22073319-E475-4888-823F-028CED0905C3}"/>
    <cellStyle name="Normal 2 7 3 2 7" xfId="23712" xr:uid="{8BCE977C-02D7-4091-AC63-AB94B7E90B71}"/>
    <cellStyle name="Normal 2 7 3 2 8" xfId="13198" xr:uid="{F715D9B3-3B00-4753-ADC4-EEA5AFCB12BF}"/>
    <cellStyle name="Normal 2 7 3 3" xfId="3255" xr:uid="{00000000-0005-0000-0000-0000E0040000}"/>
    <cellStyle name="Normal 2 7 3 3 2" xfId="4496" xr:uid="{E44E24F4-11E3-4C63-B085-E40DE17F6EF7}"/>
    <cellStyle name="Normal 2 7 3 3 2 2" xfId="9268" xr:uid="{F607B122-C1DC-445F-8A88-5E4BE4912255}"/>
    <cellStyle name="Normal 2 7 3 3 2 2 2" xfId="29251" xr:uid="{50F3BC27-435C-4D98-8E31-8F9014CC22C4}"/>
    <cellStyle name="Normal 2 7 3 3 2 2 3" xfId="19648" xr:uid="{DFF9221F-6C54-433A-8154-CDBBD1F490E1}"/>
    <cellStyle name="Normal 2 7 3 3 2 3" xfId="12101" xr:uid="{2C3F255D-9EF4-41F8-B486-1B90CA5CE5DC}"/>
    <cellStyle name="Normal 2 7 3 3 2 3 2" xfId="22481" xr:uid="{6B6B44B1-77DA-4CC4-85E4-7343FE41ED86}"/>
    <cellStyle name="Normal 2 7 3 3 2 4" xfId="25586" xr:uid="{0618D42F-60BE-4BC9-A9C5-E2DD27C26C4E}"/>
    <cellStyle name="Normal 2 7 3 3 2 5" xfId="16815" xr:uid="{FD6B4A63-97D0-4A7C-9618-E0F47BC35482}"/>
    <cellStyle name="Normal 2 7 3 3 3" xfId="6313" xr:uid="{F7B8C740-69D5-45D4-B54F-8FF7F200BF30}"/>
    <cellStyle name="Normal 2 7 3 3 3 2" xfId="27029" xr:uid="{CF63DFF2-DF2D-42A9-9CB0-6897F9DAEC31}"/>
    <cellStyle name="Normal 2 7 3 3 3 3" xfId="15882" xr:uid="{8F12AE2C-93C4-4022-9E00-C55DC14BC030}"/>
    <cellStyle name="Normal 2 7 3 3 4" xfId="8335" xr:uid="{29056D99-3D36-4375-A602-B939E0A4C136}"/>
    <cellStyle name="Normal 2 7 3 3 4 2" xfId="18715" xr:uid="{37A61D48-0330-4E70-966F-C37E4E2BC657}"/>
    <cellStyle name="Normal 2 7 3 3 5" xfId="11168" xr:uid="{83932395-17B4-46E8-945E-51CB87C17AAA}"/>
    <cellStyle name="Normal 2 7 3 3 5 2" xfId="21548" xr:uid="{DDB4E08E-1B10-476A-8A94-73E0C7AA389E}"/>
    <cellStyle name="Normal 2 7 3 3 6" xfId="22993" xr:uid="{AA3E6471-6B09-49D6-A1FA-316B52C2DC9E}"/>
    <cellStyle name="Normal 2 7 3 3 7" xfId="13803" xr:uid="{9BA4A25F-A6CF-4C2A-834C-A66F837A42E3}"/>
    <cellStyle name="Normal 2 7 3 4" xfId="3253" xr:uid="{00000000-0005-0000-0000-0000E1040000}"/>
    <cellStyle name="Normal 2 7 3 4 2" xfId="6311" xr:uid="{952B3B49-6784-4F40-88F5-B4F972EA4693}"/>
    <cellStyle name="Normal 2 7 3 4 2 2" xfId="27915" xr:uid="{45FB4DDF-06EC-4EA8-A9DA-793E40797DBA}"/>
    <cellStyle name="Normal 2 7 3 4 2 3" xfId="15880" xr:uid="{EDEC2EC9-F75A-46B8-BD61-C2A06F311FD2}"/>
    <cellStyle name="Normal 2 7 3 4 3" xfId="8333" xr:uid="{F64895AA-6DC0-474D-BB42-ADCFC5A3F235}"/>
    <cellStyle name="Normal 2 7 3 4 3 2" xfId="18713" xr:uid="{C5D09A53-FC8F-4CBB-B471-31D3C50B273E}"/>
    <cellStyle name="Normal 2 7 3 4 4" xfId="11166" xr:uid="{13B95295-4270-4165-818B-1F05CFA39F6C}"/>
    <cellStyle name="Normal 2 7 3 4 4 2" xfId="21546" xr:uid="{DC6DCDA5-83C2-47D6-B40F-B441C545DE85}"/>
    <cellStyle name="Normal 2 7 3 4 5" xfId="25475" xr:uid="{628DC834-128B-46BA-AE94-946C6D07CD2C}"/>
    <cellStyle name="Normal 2 7 3 4 6" xfId="13801" xr:uid="{6D95D2C3-CFCA-4A68-848A-C0045636431B}"/>
    <cellStyle name="Normal 2 7 3 5" xfId="2590" xr:uid="{00000000-0005-0000-0000-0000E2040000}"/>
    <cellStyle name="Normal 2 7 3 5 2" xfId="5855" xr:uid="{6E5D7FC6-BC25-4F64-AB3B-18F95C472E62}"/>
    <cellStyle name="Normal 2 7 3 5 2 2" xfId="26541" xr:uid="{E929C846-2174-423E-BB86-4AA789DAD5AC}"/>
    <cellStyle name="Normal 2 7 3 5 2 3" xfId="15262" xr:uid="{E40C3F2D-C75D-4D37-AC44-D064C4E43DA4}"/>
    <cellStyle name="Normal 2 7 3 5 3" xfId="7715" xr:uid="{28919E85-E930-481E-A738-005C65D7CD08}"/>
    <cellStyle name="Normal 2 7 3 5 3 2" xfId="18095" xr:uid="{5EE22060-DB55-4D74-A870-5D7A5BC55274}"/>
    <cellStyle name="Normal 2 7 3 5 4" xfId="10548" xr:uid="{659A77B6-F830-4D39-A48E-6409F1F0594B}"/>
    <cellStyle name="Normal 2 7 3 5 4 2" xfId="20928" xr:uid="{5D7F621F-D49F-498F-9F7F-7378F1476F5E}"/>
    <cellStyle name="Normal 2 7 3 5 5" xfId="24548" xr:uid="{A5313C3F-96EE-4060-8783-66ECE116BCDA}"/>
    <cellStyle name="Normal 2 7 3 5 6" xfId="12978" xr:uid="{D7BC3DB9-57B9-4FA4-BDE3-AB038564B4B9}"/>
    <cellStyle name="Normal 2 7 3 6" xfId="2342" xr:uid="{00000000-0005-0000-0000-0000DD040000}"/>
    <cellStyle name="Normal 2 7 3 6 2" xfId="7469" xr:uid="{EB054676-16DD-4F99-B06F-880B10F30D6E}"/>
    <cellStyle name="Normal 2 7 3 6 2 2" xfId="17849" xr:uid="{5A3B8AB1-C0FD-4381-B1C0-759725456496}"/>
    <cellStyle name="Normal 2 7 3 6 3" xfId="10302" xr:uid="{59752E6B-2F9C-422B-A5CF-BF244108AB63}"/>
    <cellStyle name="Normal 2 7 3 6 3 2" xfId="20682" xr:uid="{EFC3C9AC-DD31-49D7-A76B-6630B741ADB7}"/>
    <cellStyle name="Normal 2 7 3 6 4" xfId="24343" xr:uid="{6C2B060D-7F3F-43EA-90DF-811375E8A8DA}"/>
    <cellStyle name="Normal 2 7 3 6 5" xfId="15016" xr:uid="{52151680-D1F4-47E0-B0B6-AC16A955DE7D}"/>
    <cellStyle name="Normal 2 7 3 7" xfId="3853" xr:uid="{59876A13-9C9B-4479-82D9-3B4487A30E85}"/>
    <cellStyle name="Normal 2 7 3 7 2" xfId="8686" xr:uid="{DAEF771C-46E2-4656-9534-C313BFDCC933}"/>
    <cellStyle name="Normal 2 7 3 7 2 2" xfId="19066" xr:uid="{A9F8AFBB-20CF-4D39-A663-20579B9E6A4C}"/>
    <cellStyle name="Normal 2 7 3 7 3" xfId="11519" xr:uid="{E53E25F0-554F-4C03-B995-6B4032C65344}"/>
    <cellStyle name="Normal 2 7 3 7 3 2" xfId="21899" xr:uid="{F2F52DF5-D904-4A85-8BA8-3EEEF873E7E4}"/>
    <cellStyle name="Normal 2 7 3 7 4" xfId="16233" xr:uid="{010B7F2A-24A7-459F-B56F-250D84FB8E56}"/>
    <cellStyle name="Normal 2 7 3 8" xfId="5181" xr:uid="{22912720-0D4C-46AF-8639-04244B5F8F4E}"/>
    <cellStyle name="Normal 2 7 3 8 2" xfId="14478" xr:uid="{448BDAA4-27CE-4B7A-8C21-14DB037BD217}"/>
    <cellStyle name="Normal 2 7 3 9" xfId="6931" xr:uid="{AACDEF32-BE4B-4B88-8424-71DD3D415B58}"/>
    <cellStyle name="Normal 2 7 3 9 2" xfId="17311" xr:uid="{060F623E-363F-4BD7-A35D-5DC56C34B0B3}"/>
    <cellStyle name="Normal 2 7 4" xfId="830" xr:uid="{00000000-0005-0000-0000-0000EA040000}"/>
    <cellStyle name="Normal 2 7 4 2" xfId="3256" xr:uid="{00000000-0005-0000-0000-0000E4040000}"/>
    <cellStyle name="Normal 2 7 4 2 2" xfId="6314" xr:uid="{71CEE823-4AD0-4944-A0A5-A0BF88293776}"/>
    <cellStyle name="Normal 2 7 4 2 2 2" xfId="27390" xr:uid="{CEE0CC8A-EEE2-4444-A522-E668DFDF64DE}"/>
    <cellStyle name="Normal 2 7 4 2 2 3" xfId="15883" xr:uid="{8ADAA1E4-6B32-495F-A7DE-CD304107210B}"/>
    <cellStyle name="Normal 2 7 4 2 3" xfId="8336" xr:uid="{8FC6695D-EC43-4BDE-93D5-305C82CFB52A}"/>
    <cellStyle name="Normal 2 7 4 2 3 2" xfId="18716" xr:uid="{95E66D1D-0F3B-4CC6-A376-6951F4876EF2}"/>
    <cellStyle name="Normal 2 7 4 2 4" xfId="11169" xr:uid="{5DF6F997-CD37-4F51-964E-33446D081265}"/>
    <cellStyle name="Normal 2 7 4 2 4 2" xfId="21549" xr:uid="{59983315-2332-4F8C-8208-D6E0014BC384}"/>
    <cellStyle name="Normal 2 7 4 2 5" xfId="25429" xr:uid="{D0E63B7D-5BC9-4688-B9CF-6746F6EEBEEF}"/>
    <cellStyle name="Normal 2 7 4 2 6" xfId="13804" xr:uid="{CD06FEB9-D84B-4249-912F-F1263917FFA9}"/>
    <cellStyle name="Normal 2 7 4 3" xfId="2752" xr:uid="{00000000-0005-0000-0000-0000E5040000}"/>
    <cellStyle name="Normal 2 7 4 3 2" xfId="5970" xr:uid="{145B2AC7-E138-4228-AF58-40C3AD233F72}"/>
    <cellStyle name="Normal 2 7 4 3 2 2" xfId="26517" xr:uid="{2A85577B-91D0-4CCF-98A7-397E250A4C3F}"/>
    <cellStyle name="Normal 2 7 4 3 2 3" xfId="15423" xr:uid="{848982D3-A451-47CB-8014-C2530F0784D8}"/>
    <cellStyle name="Normal 2 7 4 3 3" xfId="7876" xr:uid="{B71A9E4B-A303-4E37-BFF9-85C5EC5891C9}"/>
    <cellStyle name="Normal 2 7 4 3 3 2" xfId="18256" xr:uid="{228DDBD2-EFCA-4FF2-A944-A65244689CC1}"/>
    <cellStyle name="Normal 2 7 4 3 4" xfId="10709" xr:uid="{50A21E25-123A-4EC3-B4DC-ABCE8859B544}"/>
    <cellStyle name="Normal 2 7 4 3 4 2" xfId="21089" xr:uid="{8ED9BA2A-D7B1-4CF3-AFD0-84C83C86077C}"/>
    <cellStyle name="Normal 2 7 4 3 5" xfId="23978" xr:uid="{8EB8C2B8-786A-42D6-9143-5D4DFD9BFC73}"/>
    <cellStyle name="Normal 2 7 4 3 6" xfId="13195" xr:uid="{515F9088-1B79-40D4-8535-FE257CE33DE7}"/>
    <cellStyle name="Normal 2 7 4 4" xfId="4174" xr:uid="{8AC50F76-D3E6-41CF-9C06-029A048ABCE8}"/>
    <cellStyle name="Normal 2 7 4 4 2" xfId="8946" xr:uid="{772C9F48-4D58-4B83-A954-095A564A0D15}"/>
    <cellStyle name="Normal 2 7 4 4 2 2" xfId="19326" xr:uid="{F71795C8-7D43-4499-B687-6A053FA1DE38}"/>
    <cellStyle name="Normal 2 7 4 4 3" xfId="11779" xr:uid="{1638D4BF-F1C5-4F51-B1FC-B5BD54ABF90A}"/>
    <cellStyle name="Normal 2 7 4 4 3 2" xfId="22159" xr:uid="{AF0389C7-E3B2-4F45-870B-8DC1F1EEA5B3}"/>
    <cellStyle name="Normal 2 7 4 4 4" xfId="25049" xr:uid="{7CC9B72E-3642-44F3-AF24-C6D0606626FF}"/>
    <cellStyle name="Normal 2 7 4 4 5" xfId="16493" xr:uid="{8F2EC2B8-9FE6-40E7-A228-62ED530AC17F}"/>
    <cellStyle name="Normal 2 7 4 5" xfId="5182" xr:uid="{717DE2C8-2F2E-4098-81A0-E0FA74614B37}"/>
    <cellStyle name="Normal 2 7 4 5 2" xfId="14479" xr:uid="{E74B6E9E-DE02-443A-B853-CFDBE2F2BB9D}"/>
    <cellStyle name="Normal 2 7 4 6" xfId="6932" xr:uid="{3B77EAA3-7C6C-4770-9571-6AC26DFBFF32}"/>
    <cellStyle name="Normal 2 7 4 6 2" xfId="17312" xr:uid="{F461C47C-701C-47D3-BA57-45790E5533C4}"/>
    <cellStyle name="Normal 2 7 4 7" xfId="9765" xr:uid="{FB8127CE-A3A1-4439-98A8-ECC6B82A8295}"/>
    <cellStyle name="Normal 2 7 4 7 2" xfId="20145" xr:uid="{5AF0005F-F0E6-4D89-9C47-D2C9BB2CD303}"/>
    <cellStyle name="Normal 2 7 4 8" xfId="22994" xr:uid="{562F3934-A9DB-4292-8085-6013FA723BAD}"/>
    <cellStyle name="Normal 2 7 4 9" xfId="12734" xr:uid="{3125FADE-A930-44DF-8690-A3014C853D23}"/>
    <cellStyle name="Normal 2 7 5" xfId="3257" xr:uid="{00000000-0005-0000-0000-0000E6040000}"/>
    <cellStyle name="Normal 2 7 5 2" xfId="4497" xr:uid="{6B1E980C-131C-4198-B764-D6BE5D211DA5}"/>
    <cellStyle name="Normal 2 7 5 2 2" xfId="9269" xr:uid="{B7AAB0C6-24BF-4D46-9AA8-24A20F188FDA}"/>
    <cellStyle name="Normal 2 7 5 2 2 2" xfId="29252" xr:uid="{E4734FF7-FCA2-4419-9732-777445AC6B10}"/>
    <cellStyle name="Normal 2 7 5 2 2 3" xfId="19649" xr:uid="{AE84BA61-752F-4654-AE01-737BED40B691}"/>
    <cellStyle name="Normal 2 7 5 2 3" xfId="12102" xr:uid="{DB0328AF-7516-46F1-91E1-E91A6AB86926}"/>
    <cellStyle name="Normal 2 7 5 2 3 2" xfId="22482" xr:uid="{DFB245FF-558E-4727-AEC3-34DB84043612}"/>
    <cellStyle name="Normal 2 7 5 2 4" xfId="25419" xr:uid="{749BA87B-9475-4996-BE56-534F2E8B02B8}"/>
    <cellStyle name="Normal 2 7 5 2 5" xfId="16816" xr:uid="{C9A14064-E63B-40C9-A73D-AFE5C51F8BEF}"/>
    <cellStyle name="Normal 2 7 5 3" xfId="6315" xr:uid="{016DB043-5EF2-4057-AF73-300D6DBDEF75}"/>
    <cellStyle name="Normal 2 7 5 3 2" xfId="26476" xr:uid="{13D0BCA5-0E56-4BC8-9755-AC8E6E21A552}"/>
    <cellStyle name="Normal 2 7 5 3 3" xfId="15884" xr:uid="{B0344709-8316-48B7-9700-1B797A8C7642}"/>
    <cellStyle name="Normal 2 7 5 4" xfId="8337" xr:uid="{4DA050E3-2232-4805-BC13-40346E73E54B}"/>
    <cellStyle name="Normal 2 7 5 4 2" xfId="18717" xr:uid="{A976D288-5856-4ED8-804A-4ECF8534B765}"/>
    <cellStyle name="Normal 2 7 5 5" xfId="11170" xr:uid="{DA5D3750-153B-426B-9D39-B81E3AAF7F63}"/>
    <cellStyle name="Normal 2 7 5 5 2" xfId="21550" xr:uid="{0C6072E1-0399-40E2-BDF9-50D23FE32DFC}"/>
    <cellStyle name="Normal 2 7 5 6" xfId="24232" xr:uid="{8C853527-3A85-4D80-A47F-7032AA059977}"/>
    <cellStyle name="Normal 2 7 5 7" xfId="13805" xr:uid="{0838E1E9-5B0D-41A5-A8FD-58D14A45CBB8}"/>
    <cellStyle name="Normal 2 7 6" xfId="2915" xr:uid="{00000000-0005-0000-0000-0000E7040000}"/>
    <cellStyle name="Normal 2 7 6 2" xfId="6101" xr:uid="{A72DA3E3-628A-466B-B484-2AD061942FF4}"/>
    <cellStyle name="Normal 2 7 6 2 2" xfId="26188" xr:uid="{E3525FCE-0E8B-4363-86AA-5DB0CA30EAC7}"/>
    <cellStyle name="Normal 2 7 6 2 3" xfId="15579" xr:uid="{AD7A8575-854D-44EA-B785-2F1001A2A045}"/>
    <cellStyle name="Normal 2 7 6 3" xfId="8032" xr:uid="{8C399678-619D-4551-9E61-7E718BD25A05}"/>
    <cellStyle name="Normal 2 7 6 3 2" xfId="18412" xr:uid="{B105745C-B71D-49AF-A6E4-9531ED33804E}"/>
    <cellStyle name="Normal 2 7 6 4" xfId="10865" xr:uid="{A3744CBC-45DE-4DAA-BA85-096F6E9261F1}"/>
    <cellStyle name="Normal 2 7 6 4 2" xfId="21245" xr:uid="{E6A6B3B1-E09F-4A41-954C-56180BE9BB5F}"/>
    <cellStyle name="Normal 2 7 6 5" xfId="23488" xr:uid="{ED24D4F5-7011-4B51-BC0D-6F22A62E844E}"/>
    <cellStyle name="Normal 2 7 6 6" xfId="13432" xr:uid="{F9DC699A-8F1C-4AE1-9057-A1937D783382}"/>
    <cellStyle name="Normal 2 7 7" xfId="2487" xr:uid="{00000000-0005-0000-0000-0000E8040000}"/>
    <cellStyle name="Normal 2 7 7 2" xfId="5772" xr:uid="{AC1B6218-AD1E-4FB2-B01B-3690B7A69759}"/>
    <cellStyle name="Normal 2 7 7 2 2" xfId="28751" xr:uid="{00B60B50-D380-4FF6-9C2A-D02F7AC372E8}"/>
    <cellStyle name="Normal 2 7 7 2 3" xfId="15159" xr:uid="{397FE296-624B-4C47-90C5-13988B62CA4A}"/>
    <cellStyle name="Normal 2 7 7 3" xfId="7612" xr:uid="{B75D5F0E-2123-44E6-AED0-AF402A568DD1}"/>
    <cellStyle name="Normal 2 7 7 3 2" xfId="17992" xr:uid="{562B3F72-ACAA-49FA-986D-18354E0EAC7E}"/>
    <cellStyle name="Normal 2 7 7 4" xfId="10445" xr:uid="{44FF3E11-BB54-432F-9989-F88AFDD01007}"/>
    <cellStyle name="Normal 2 7 7 4 2" xfId="20825" xr:uid="{DEBB59F7-4C48-408A-BD45-419079E7F30B}"/>
    <cellStyle name="Normal 2 7 7 5" xfId="23357" xr:uid="{09A29A52-3B42-4616-92F6-5CBC0EA39103}"/>
    <cellStyle name="Normal 2 7 7 6" xfId="12875" xr:uid="{CA745FC1-03D0-438C-BF2F-B04F366ACD19}"/>
    <cellStyle name="Normal 2 7 8" xfId="2181" xr:uid="{00000000-0005-0000-0000-0000D1040000}"/>
    <cellStyle name="Normal 2 7 8 2" xfId="7308" xr:uid="{0830F5DD-6D21-49F4-A9B3-604959D8120F}"/>
    <cellStyle name="Normal 2 7 8 2 2" xfId="17688" xr:uid="{29EDD52C-37AD-477B-AFB3-3D788AE07F90}"/>
    <cellStyle name="Normal 2 7 8 3" xfId="10141" xr:uid="{DB91861C-0F9C-4892-A88B-7DBA1139476D}"/>
    <cellStyle name="Normal 2 7 8 3 2" xfId="20521" xr:uid="{00B74FED-9925-4107-AD01-E9A8F8C22E98}"/>
    <cellStyle name="Normal 2 7 8 4" xfId="24852" xr:uid="{9F222FCF-80AD-4A76-8591-13E84C4F1B1E}"/>
    <cellStyle name="Normal 2 7 8 5" xfId="14855" xr:uid="{55F52EA5-B516-4C11-A49F-8421E51557FF}"/>
    <cellStyle name="Normal 2 7 9" xfId="3952" xr:uid="{A6386ADA-3287-4373-839E-4D0FB01F6C53}"/>
    <cellStyle name="Normal 2 7 9 2" xfId="8784" xr:uid="{99D06A28-198A-451C-9CC5-BBFF21DD87E2}"/>
    <cellStyle name="Normal 2 7 9 2 2" xfId="19164" xr:uid="{3775A87A-2918-4CCC-82B1-39DC7F69925D}"/>
    <cellStyle name="Normal 2 7 9 3" xfId="11617" xr:uid="{C785F9A9-9F97-4EFB-9C31-10DEE8DC4130}"/>
    <cellStyle name="Normal 2 7 9 3 2" xfId="21997" xr:uid="{C92B6D30-0CB7-48C0-AFA2-0393924E08D1}"/>
    <cellStyle name="Normal 2 7 9 4" xfId="16331" xr:uid="{20C1B482-BFD0-465A-8590-E53314C7EF9A}"/>
    <cellStyle name="Normal 2 8" xfId="831" xr:uid="{00000000-0005-0000-0000-0000EB040000}"/>
    <cellStyle name="Normal 2 8 10" xfId="5183" xr:uid="{40380ED7-DDE8-4CE3-82C0-99469D30D652}"/>
    <cellStyle name="Normal 2 8 10 2" xfId="14480" xr:uid="{E1EB6AAD-E630-4183-B6FD-218D1F36B279}"/>
    <cellStyle name="Normal 2 8 11" xfId="6933" xr:uid="{4E51C6D5-27D3-44AA-BAF2-C86DDDAF7446}"/>
    <cellStyle name="Normal 2 8 11 2" xfId="17313" xr:uid="{837D9E52-6906-4D0D-8672-AB683F7730B4}"/>
    <cellStyle name="Normal 2 8 12" xfId="9766" xr:uid="{A749656F-3C03-463C-BB9D-2A573B397E89}"/>
    <cellStyle name="Normal 2 8 12 2" xfId="20146" xr:uid="{C8F920DA-218B-44F4-8186-69E8299B7674}"/>
    <cellStyle name="Normal 2 8 13" xfId="24146" xr:uid="{0963CDEC-E371-42BB-9422-ACE52BBA0CF3}"/>
    <cellStyle name="Normal 2 8 14" xfId="12447" xr:uid="{A31E1099-78CC-4B71-A141-F56A2524A61E}"/>
    <cellStyle name="Normal 2 8 2" xfId="832" xr:uid="{00000000-0005-0000-0000-0000EC040000}"/>
    <cellStyle name="Normal 2 8 2 10" xfId="9767" xr:uid="{4D9DFE05-B631-403C-BCF3-EF6C419A7C37}"/>
    <cellStyle name="Normal 2 8 2 10 2" xfId="20147" xr:uid="{0277E97B-E62E-427C-BF5C-3E79B155C3BF}"/>
    <cellStyle name="Normal 2 8 2 11" xfId="22935" xr:uid="{A9E5B6A5-7BA3-4B67-B5F4-6B9016B71202}"/>
    <cellStyle name="Normal 2 8 2 12" xfId="12577" xr:uid="{9AA20E7D-A7C9-4928-BD7B-329E347E1DF8}"/>
    <cellStyle name="Normal 2 8 2 2" xfId="833" xr:uid="{00000000-0005-0000-0000-0000ED040000}"/>
    <cellStyle name="Normal 2 8 2 2 2" xfId="3259" xr:uid="{00000000-0005-0000-0000-0000EC040000}"/>
    <cellStyle name="Normal 2 8 2 2 2 2" xfId="6317" xr:uid="{E8CEFCD8-20B3-4E94-9B5B-50A8F801EC89}"/>
    <cellStyle name="Normal 2 8 2 2 2 2 2" xfId="28452" xr:uid="{9B2527F5-BBB3-4B72-A313-3D4FC3D3FC8C}"/>
    <cellStyle name="Normal 2 8 2 2 2 2 3" xfId="28092" xr:uid="{550DFAE7-40CC-4013-9279-7A91D3B432AF}"/>
    <cellStyle name="Normal 2 8 2 2 2 2 4" xfId="15886" xr:uid="{A5BAF042-E853-4939-BD0A-B23D58C90756}"/>
    <cellStyle name="Normal 2 8 2 2 2 3" xfId="8339" xr:uid="{E29A79B0-B795-4C94-814D-9A47992D2E01}"/>
    <cellStyle name="Normal 2 8 2 2 2 3 2" xfId="28891" xr:uid="{90C5D1D6-906A-4005-92B0-64FAE9DF8EF7}"/>
    <cellStyle name="Normal 2 8 2 2 2 3 3" xfId="18719" xr:uid="{C0CF3DCE-97A0-498E-B04F-FBE73C34FEA1}"/>
    <cellStyle name="Normal 2 8 2 2 2 4" xfId="11172" xr:uid="{C6533BE9-E499-41F1-BEC4-3AA5F4A737A6}"/>
    <cellStyle name="Normal 2 8 2 2 2 4 2" xfId="21552" xr:uid="{979617F4-9BC4-4068-AF89-9D803C9B722D}"/>
    <cellStyle name="Normal 2 8 2 2 2 5" xfId="23678" xr:uid="{F7A09A72-CE90-45E7-A8FB-448103B44903}"/>
    <cellStyle name="Normal 2 8 2 2 2 6" xfId="13807" xr:uid="{9A71CDC9-C58C-47F5-8EB7-FCF081FA00A5}"/>
    <cellStyle name="Normal 2 8 2 2 3" xfId="4319" xr:uid="{00641515-B8EE-4462-A5E1-92E8AD68B412}"/>
    <cellStyle name="Normal 2 8 2 2 3 2" xfId="9091" xr:uid="{E5787134-1742-4497-B391-2B38C5521001}"/>
    <cellStyle name="Normal 2 8 2 2 3 2 2" xfId="29134" xr:uid="{60591CF2-D428-4AF2-BB3D-111D24C78CB3}"/>
    <cellStyle name="Normal 2 8 2 2 3 2 3" xfId="19471" xr:uid="{D12FADAD-F941-49B0-A161-CFAB573B85AA}"/>
    <cellStyle name="Normal 2 8 2 2 3 3" xfId="11924" xr:uid="{E4C4019B-05FA-4C55-A2FF-B1FA27230812}"/>
    <cellStyle name="Normal 2 8 2 2 3 3 2" xfId="22304" xr:uid="{AA4D6692-15F2-4F6C-B9B3-B232C24BA114}"/>
    <cellStyle name="Normal 2 8 2 2 3 4" xfId="24490" xr:uid="{31D545F0-70D4-4D94-9FC6-A6B195271AF7}"/>
    <cellStyle name="Normal 2 8 2 2 3 5" xfId="16638" xr:uid="{59F603B3-032B-46B7-BB26-026DED68F117}"/>
    <cellStyle name="Normal 2 8 2 2 4" xfId="5185" xr:uid="{3CFE1E7C-2C46-4B24-A72F-B89B6CD06028}"/>
    <cellStyle name="Normal 2 8 2 2 4 2" xfId="28350" xr:uid="{60632920-281C-46EA-AC97-42678D7DB885}"/>
    <cellStyle name="Normal 2 8 2 2 4 3" xfId="14482" xr:uid="{51350F7B-30E1-4F4E-891E-CAB00AFBC1F8}"/>
    <cellStyle name="Normal 2 8 2 2 5" xfId="6935" xr:uid="{35DC256B-D160-4416-83A4-3BD5F907605A}"/>
    <cellStyle name="Normal 2 8 2 2 5 2" xfId="17315" xr:uid="{125BA631-0382-4A16-9B52-79AC361B8BE7}"/>
    <cellStyle name="Normal 2 8 2 2 6" xfId="9768" xr:uid="{6F07800B-1F18-4E12-8ADD-86321C659FBE}"/>
    <cellStyle name="Normal 2 8 2 2 6 2" xfId="20148" xr:uid="{74537F53-6B31-44FB-ABF9-7042343A8374}"/>
    <cellStyle name="Normal 2 8 2 2 7" xfId="24601" xr:uid="{4354B5C0-2B0E-4A08-A5F4-F2F6E931B73C}"/>
    <cellStyle name="Normal 2 8 2 2 8" xfId="13200" xr:uid="{0A02F550-76AE-4963-938D-99C871307A70}"/>
    <cellStyle name="Normal 2 8 2 3" xfId="3260" xr:uid="{00000000-0005-0000-0000-0000ED040000}"/>
    <cellStyle name="Normal 2 8 2 3 2" xfId="4498" xr:uid="{0BBF4EAF-2EEB-4640-BA38-DBDFC058B749}"/>
    <cellStyle name="Normal 2 8 2 3 2 2" xfId="9270" xr:uid="{48BFEDD3-7392-4C4A-B002-66AD38724562}"/>
    <cellStyle name="Normal 2 8 2 3 2 2 2" xfId="29253" xr:uid="{238C0550-505F-490B-9C2D-23264E218DA0}"/>
    <cellStyle name="Normal 2 8 2 3 2 2 3" xfId="19650" xr:uid="{9EA528C0-22A5-49DE-8E75-D6F59A2F526C}"/>
    <cellStyle name="Normal 2 8 2 3 2 3" xfId="12103" xr:uid="{1F1673D3-C7B3-4070-944F-11A3F491560D}"/>
    <cellStyle name="Normal 2 8 2 3 2 3 2" xfId="22483" xr:uid="{4EC5530C-B788-49D1-B8AD-24172D3E9448}"/>
    <cellStyle name="Normal 2 8 2 3 2 4" xfId="25716" xr:uid="{23044FBC-8E1B-4EE7-B299-D46361B75083}"/>
    <cellStyle name="Normal 2 8 2 3 2 5" xfId="16817" xr:uid="{F64422A4-F1AB-4878-BBE9-CCF2850EC9DB}"/>
    <cellStyle name="Normal 2 8 2 3 3" xfId="6318" xr:uid="{70319F9C-8C6C-4280-B5A7-FA70D7D4E8EC}"/>
    <cellStyle name="Normal 2 8 2 3 3 2" xfId="27176" xr:uid="{944CDA04-5C80-4EA1-80A7-A40B22BF04C9}"/>
    <cellStyle name="Normal 2 8 2 3 3 3" xfId="15887" xr:uid="{2E65C6E6-7705-4581-B6DB-48A3329BC3F3}"/>
    <cellStyle name="Normal 2 8 2 3 4" xfId="8340" xr:uid="{89F6381F-D0A9-48DA-84B5-04BBD4FA5670}"/>
    <cellStyle name="Normal 2 8 2 3 4 2" xfId="18720" xr:uid="{8F0AFD53-0182-4B64-897F-CD52C1FD9A88}"/>
    <cellStyle name="Normal 2 8 2 3 5" xfId="11173" xr:uid="{E4AD119B-BB10-43C1-AED6-D358178586EF}"/>
    <cellStyle name="Normal 2 8 2 3 5 2" xfId="21553" xr:uid="{7A6F2011-0DC7-41B4-858C-64B84CC192DA}"/>
    <cellStyle name="Normal 2 8 2 3 6" xfId="22834" xr:uid="{8923D2E7-2DA7-4CCF-A63E-0536F14CB31F}"/>
    <cellStyle name="Normal 2 8 2 3 7" xfId="13808" xr:uid="{B28A44E3-FA3B-4166-B3F5-6786840ACCA1}"/>
    <cellStyle name="Normal 2 8 2 4" xfId="3258" xr:uid="{00000000-0005-0000-0000-0000EE040000}"/>
    <cellStyle name="Normal 2 8 2 4 2" xfId="6316" xr:uid="{968A0815-396A-4C1F-ACF4-0899CC97A8BE}"/>
    <cellStyle name="Normal 2 8 2 4 2 2" xfId="27079" xr:uid="{169A6153-9C29-40DB-B39A-F4DDE627EFA0}"/>
    <cellStyle name="Normal 2 8 2 4 2 3" xfId="15885" xr:uid="{2870D56E-C8E3-4B29-9892-B687B606CDEA}"/>
    <cellStyle name="Normal 2 8 2 4 3" xfId="8338" xr:uid="{2F49353E-3D79-4C99-AD1D-F70CD5D1E16D}"/>
    <cellStyle name="Normal 2 8 2 4 3 2" xfId="18718" xr:uid="{CC2B2CAA-02A0-48A3-92AE-8DBF048D4E88}"/>
    <cellStyle name="Normal 2 8 2 4 4" xfId="11171" xr:uid="{FC40FFB0-4FEC-4115-AB03-33E0128807DE}"/>
    <cellStyle name="Normal 2 8 2 4 4 2" xfId="21551" xr:uid="{5A6FD68D-ABDC-4917-A965-2A7AF6BA2198}"/>
    <cellStyle name="Normal 2 8 2 4 5" xfId="24521" xr:uid="{147CC830-D3CD-4478-90B8-BCC4D363D848}"/>
    <cellStyle name="Normal 2 8 2 4 6" xfId="13806" xr:uid="{D4E5B640-704A-427D-86D2-AE67A1DDF6F9}"/>
    <cellStyle name="Normal 2 8 2 5" xfId="2521" xr:uid="{00000000-0005-0000-0000-0000EF040000}"/>
    <cellStyle name="Normal 2 8 2 5 2" xfId="5798" xr:uid="{47DCC92F-54E9-4911-AC1D-47F2B7FB5C2F}"/>
    <cellStyle name="Normal 2 8 2 5 2 2" xfId="26992" xr:uid="{4D34E770-5F98-4A6F-9C61-581E4CC543E3}"/>
    <cellStyle name="Normal 2 8 2 5 2 3" xfId="15193" xr:uid="{FDD16847-3A23-4F2B-93C4-65D91B7D4AE2}"/>
    <cellStyle name="Normal 2 8 2 5 3" xfId="7646" xr:uid="{1EF7B022-A18D-4AB6-A3C4-D739248B73E8}"/>
    <cellStyle name="Normal 2 8 2 5 3 2" xfId="18026" xr:uid="{3E320686-9FFB-4CD3-BCAA-76D0D9A5627A}"/>
    <cellStyle name="Normal 2 8 2 5 4" xfId="10479" xr:uid="{AFB5CAA6-E1B0-4B42-960C-3E43FD85A6FF}"/>
    <cellStyle name="Normal 2 8 2 5 4 2" xfId="20859" xr:uid="{BA75980F-6F1F-4861-85F6-25FEDA469C6F}"/>
    <cellStyle name="Normal 2 8 2 5 5" xfId="22804" xr:uid="{8C5AB9D4-325C-4C09-8367-86F84CBEDFC1}"/>
    <cellStyle name="Normal 2 8 2 5 6" xfId="12909" xr:uid="{F3AC945C-F83D-4E22-AA51-69CA9A117B98}"/>
    <cellStyle name="Normal 2 8 2 6" xfId="2343" xr:uid="{00000000-0005-0000-0000-0000EA040000}"/>
    <cellStyle name="Normal 2 8 2 6 2" xfId="7470" xr:uid="{F25297D3-D501-42A1-AA59-8886F1FEEAF3}"/>
    <cellStyle name="Normal 2 8 2 6 2 2" xfId="17850" xr:uid="{D677E904-4008-48A5-A7F7-B9A14DAA6580}"/>
    <cellStyle name="Normal 2 8 2 6 3" xfId="10303" xr:uid="{DC3DB0BA-F8F6-4476-B45D-AD550463A2F8}"/>
    <cellStyle name="Normal 2 8 2 6 3 2" xfId="20683" xr:uid="{F69C4960-EE6C-4465-B5B3-0F5FFFD2313C}"/>
    <cellStyle name="Normal 2 8 2 6 4" xfId="23143" xr:uid="{2E10A497-7F6A-4EC1-9EF8-2439084B8E12}"/>
    <cellStyle name="Normal 2 8 2 6 5" xfId="15017" xr:uid="{8B4776D4-7302-426E-94DD-26E671A43624}"/>
    <cellStyle name="Normal 2 8 2 7" xfId="3854" xr:uid="{B99E1F2C-77D1-436B-A020-A22F5F81BD72}"/>
    <cellStyle name="Normal 2 8 2 7 2" xfId="8687" xr:uid="{362A60B7-29E5-4E02-8394-414C56F97128}"/>
    <cellStyle name="Normal 2 8 2 7 2 2" xfId="19067" xr:uid="{A296323F-529D-4171-83EA-E9E750DE7ADD}"/>
    <cellStyle name="Normal 2 8 2 7 3" xfId="11520" xr:uid="{13CF40C2-23CF-4CF9-80AF-FEDE8F52F4E6}"/>
    <cellStyle name="Normal 2 8 2 7 3 2" xfId="21900" xr:uid="{EED8F838-167F-4C79-89E3-CA02AA7F75C9}"/>
    <cellStyle name="Normal 2 8 2 7 4" xfId="16234" xr:uid="{9B383E1C-F202-4249-AA30-5F4039972BD6}"/>
    <cellStyle name="Normal 2 8 2 8" xfId="5184" xr:uid="{9A79AB6A-5F15-47BD-854C-4704EA6A1DF5}"/>
    <cellStyle name="Normal 2 8 2 8 2" xfId="14481" xr:uid="{9EC2CC00-3494-48C2-A9A9-E28A61A3C528}"/>
    <cellStyle name="Normal 2 8 2 9" xfId="6934" xr:uid="{64F0A1D1-B9AC-43C0-A9B9-60617BD5F23A}"/>
    <cellStyle name="Normal 2 8 2 9 2" xfId="17314" xr:uid="{1BB0B183-2132-4C6F-B5A4-5DB449444F25}"/>
    <cellStyle name="Normal 2 8 3" xfId="834" xr:uid="{00000000-0005-0000-0000-0000EE040000}"/>
    <cellStyle name="Normal 2 8 3 10" xfId="25381" xr:uid="{17E62A56-8EBA-4252-82CC-1F7F66844708}"/>
    <cellStyle name="Normal 2 8 3 11" xfId="12735" xr:uid="{7AC5C086-4CD1-43AF-AB6F-2B1CB78A380D}"/>
    <cellStyle name="Normal 2 8 3 2" xfId="2756" xr:uid="{00000000-0005-0000-0000-0000F1040000}"/>
    <cellStyle name="Normal 2 8 3 2 2" xfId="3262" xr:uid="{00000000-0005-0000-0000-0000F2040000}"/>
    <cellStyle name="Normal 2 8 3 2 2 2" xfId="6320" xr:uid="{BD9D0536-3699-40B6-98E2-EBDCDE845069}"/>
    <cellStyle name="Normal 2 8 3 2 2 2 2" xfId="28184" xr:uid="{3D61B14B-CE7E-4248-A4BA-EDB3E926A8F3}"/>
    <cellStyle name="Normal 2 8 3 2 2 2 3" xfId="15889" xr:uid="{D474407B-F78D-432C-9CED-E3E72F989BBC}"/>
    <cellStyle name="Normal 2 8 3 2 2 3" xfId="8342" xr:uid="{E09CD465-5962-475E-9310-F67B4BA857B8}"/>
    <cellStyle name="Normal 2 8 3 2 2 3 2" xfId="18722" xr:uid="{33F267E9-C350-475A-A4EB-1FC086DF9A10}"/>
    <cellStyle name="Normal 2 8 3 2 2 4" xfId="11175" xr:uid="{30F924E3-F7AF-46C5-A6F8-FC91ED43DBF6}"/>
    <cellStyle name="Normal 2 8 3 2 2 4 2" xfId="21555" xr:uid="{5D81271B-7FBC-40B0-AFF4-8821475572AF}"/>
    <cellStyle name="Normal 2 8 3 2 2 5" xfId="24309" xr:uid="{71376A80-8FAD-4364-968E-982EA9EED0E1}"/>
    <cellStyle name="Normal 2 8 3 2 2 6" xfId="13810" xr:uid="{E05E4D94-3931-46D8-8FC2-EA60D07A61D9}"/>
    <cellStyle name="Normal 2 8 3 2 3" xfId="4320" xr:uid="{D25E4437-4EA4-45F0-9EE5-3638C42BF349}"/>
    <cellStyle name="Normal 2 8 3 2 3 2" xfId="9092" xr:uid="{D69750B2-0EEE-483F-8EF6-9527410F7451}"/>
    <cellStyle name="Normal 2 8 3 2 3 2 2" xfId="29135" xr:uid="{F0AEA303-C52B-4222-8F9D-1F49270C7021}"/>
    <cellStyle name="Normal 2 8 3 2 3 2 3" xfId="19472" xr:uid="{83DD875B-4FE6-4C30-9638-308A9D584DA6}"/>
    <cellStyle name="Normal 2 8 3 2 3 3" xfId="11925" xr:uid="{D6C02531-49AF-4900-8FE3-26F387CE2252}"/>
    <cellStyle name="Normal 2 8 3 2 3 3 2" xfId="22305" xr:uid="{10370E83-08B0-4273-B3A8-E4754264DC3C}"/>
    <cellStyle name="Normal 2 8 3 2 3 4" xfId="23090" xr:uid="{9440B033-98C1-4D25-BC1D-B1882C4FF38B}"/>
    <cellStyle name="Normal 2 8 3 2 3 5" xfId="16639" xr:uid="{B8AB671E-A73C-4504-A03D-D60071FC3531}"/>
    <cellStyle name="Normal 2 8 3 2 4" xfId="5974" xr:uid="{3BB15D85-FDB9-45F7-9409-52962EA45647}"/>
    <cellStyle name="Normal 2 8 3 2 4 2" xfId="27167" xr:uid="{5303FDA9-5ADF-4827-A7AF-96E24920E174}"/>
    <cellStyle name="Normal 2 8 3 2 4 3" xfId="15427" xr:uid="{41CF9545-43B1-47D9-A01C-B25CC5567E38}"/>
    <cellStyle name="Normal 2 8 3 2 5" xfId="7880" xr:uid="{EABEFE2C-BFCA-49C6-A627-85CFB20F1B17}"/>
    <cellStyle name="Normal 2 8 3 2 5 2" xfId="18260" xr:uid="{ED132D4B-2A6F-489F-AFA3-258F5D08FE52}"/>
    <cellStyle name="Normal 2 8 3 2 6" xfId="10713" xr:uid="{4F852A99-764E-45D0-9E91-B7C10AB77553}"/>
    <cellStyle name="Normal 2 8 3 2 6 2" xfId="21093" xr:uid="{BB8E2CBC-5234-4425-B63F-C0213B1BFD16}"/>
    <cellStyle name="Normal 2 8 3 2 7" xfId="22793" xr:uid="{59CB398D-CA33-4225-9761-66A39892865A}"/>
    <cellStyle name="Normal 2 8 3 2 8" xfId="13201" xr:uid="{159B5130-3221-4602-A1C2-C3A0E6216CA5}"/>
    <cellStyle name="Normal 2 8 3 3" xfId="3263" xr:uid="{00000000-0005-0000-0000-0000F3040000}"/>
    <cellStyle name="Normal 2 8 3 3 2" xfId="4499" xr:uid="{3EA06542-8B36-463A-8E1E-CC73CF39FB59}"/>
    <cellStyle name="Normal 2 8 3 3 2 2" xfId="9271" xr:uid="{CC554882-7403-4872-B9D3-30DD53E78D1A}"/>
    <cellStyle name="Normal 2 8 3 3 2 2 2" xfId="29254" xr:uid="{84DF408D-0CED-42F5-962F-7651692141DE}"/>
    <cellStyle name="Normal 2 8 3 3 2 2 3" xfId="19651" xr:uid="{31758A29-DC95-462A-B632-3B363553A416}"/>
    <cellStyle name="Normal 2 8 3 3 2 3" xfId="12104" xr:uid="{9E3EE59A-0169-4C8D-9C7D-BD05A70F4E78}"/>
    <cellStyle name="Normal 2 8 3 3 2 3 2" xfId="22484" xr:uid="{6B4E2281-DEF4-4690-A99A-075310AB67A0}"/>
    <cellStyle name="Normal 2 8 3 3 2 4" xfId="23943" xr:uid="{A24C8BCD-CA8C-4BDF-B9CD-D0461D22C827}"/>
    <cellStyle name="Normal 2 8 3 3 2 5" xfId="16818" xr:uid="{74422C01-685B-4355-AAEA-AF1C6B3E7D79}"/>
    <cellStyle name="Normal 2 8 3 3 3" xfId="6321" xr:uid="{279D0E37-90D2-4222-9285-6030E28A6DF6}"/>
    <cellStyle name="Normal 2 8 3 3 3 2" xfId="27667" xr:uid="{6FB621B3-9AD1-4BB6-8F80-C57F0EE981D3}"/>
    <cellStyle name="Normal 2 8 3 3 3 3" xfId="15890" xr:uid="{CB285C85-0806-410C-B223-4962D476FEC6}"/>
    <cellStyle name="Normal 2 8 3 3 4" xfId="8343" xr:uid="{3FD44BF7-A114-4295-8619-ECA18BD88F96}"/>
    <cellStyle name="Normal 2 8 3 3 4 2" xfId="18723" xr:uid="{7D706125-C714-41D5-8B57-9266C8E5E41D}"/>
    <cellStyle name="Normal 2 8 3 3 5" xfId="11176" xr:uid="{3FCC255D-4B84-44AD-9636-A3A2B72B6B99}"/>
    <cellStyle name="Normal 2 8 3 3 5 2" xfId="21556" xr:uid="{572DC6E6-8985-4FD9-AC2A-016B7FFE0041}"/>
    <cellStyle name="Normal 2 8 3 3 6" xfId="22846" xr:uid="{2BB0CEB5-1638-407D-92A5-AF6A231A7822}"/>
    <cellStyle name="Normal 2 8 3 3 7" xfId="13811" xr:uid="{9296A94C-12A0-42CC-BB7A-168FD37B53E6}"/>
    <cellStyle name="Normal 2 8 3 4" xfId="3261" xr:uid="{00000000-0005-0000-0000-0000F4040000}"/>
    <cellStyle name="Normal 2 8 3 4 2" xfId="6319" xr:uid="{14919506-F606-461B-B41D-72C7D86A95BD}"/>
    <cellStyle name="Normal 2 8 3 4 2 2" xfId="27072" xr:uid="{76F5C591-49A1-4806-9F92-9DB76AB64083}"/>
    <cellStyle name="Normal 2 8 3 4 2 3" xfId="15888" xr:uid="{016EB0A9-4FE7-4904-93A8-9D4FD346A065}"/>
    <cellStyle name="Normal 2 8 3 4 3" xfId="8341" xr:uid="{84E0DE4A-7166-4129-84FC-03A751374921}"/>
    <cellStyle name="Normal 2 8 3 4 3 2" xfId="18721" xr:uid="{1BFCEABB-CA3D-43AE-9144-A7C7BBD81D2A}"/>
    <cellStyle name="Normal 2 8 3 4 4" xfId="11174" xr:uid="{FDCB34B3-A7C8-410F-8351-51348C246EC1}"/>
    <cellStyle name="Normal 2 8 3 4 4 2" xfId="21554" xr:uid="{42CFB193-07F8-4960-A351-EE292CD41811}"/>
    <cellStyle name="Normal 2 8 3 4 5" xfId="25201" xr:uid="{48EE267E-D509-48D9-8E1E-EB7D4D2017E6}"/>
    <cellStyle name="Normal 2 8 3 4 6" xfId="13809" xr:uid="{05B8532D-B56A-489B-98BE-3669A7F17100}"/>
    <cellStyle name="Normal 2 8 3 5" xfId="2624" xr:uid="{00000000-0005-0000-0000-0000F5040000}"/>
    <cellStyle name="Normal 2 8 3 5 2" xfId="5886" xr:uid="{9A8A9323-7AE6-40BB-B754-36EC30028BE6}"/>
    <cellStyle name="Normal 2 8 3 5 2 2" xfId="26157" xr:uid="{A20DC687-5F32-4034-8A17-2601DBC372EB}"/>
    <cellStyle name="Normal 2 8 3 5 2 3" xfId="15296" xr:uid="{990C1D93-C515-4F0D-8131-322B43F7B8CC}"/>
    <cellStyle name="Normal 2 8 3 5 3" xfId="7749" xr:uid="{454114AE-7AEB-49B9-B36B-768C7BCF914E}"/>
    <cellStyle name="Normal 2 8 3 5 3 2" xfId="18129" xr:uid="{71E1F9B9-4024-488D-A226-945B9AB0FA01}"/>
    <cellStyle name="Normal 2 8 3 5 4" xfId="10582" xr:uid="{2B3C5ECB-70C4-4606-9DDC-843CAAA98B1F}"/>
    <cellStyle name="Normal 2 8 3 5 4 2" xfId="20962" xr:uid="{3697A04A-1C78-41C6-8177-74F6DB38E2E7}"/>
    <cellStyle name="Normal 2 8 3 5 5" xfId="23263" xr:uid="{86FB51D7-8590-48B1-BFEC-304D10C56C6C}"/>
    <cellStyle name="Normal 2 8 3 5 6" xfId="13012" xr:uid="{CB326828-C6BC-4D99-8C3E-6149D0EE0BC5}"/>
    <cellStyle name="Normal 2 8 3 6" xfId="4175" xr:uid="{2BF2C53F-CF90-4E79-B6F1-AA1C6B49B262}"/>
    <cellStyle name="Normal 2 8 3 6 2" xfId="8947" xr:uid="{CC1D5B72-12BC-49AE-8051-9F414A0754E5}"/>
    <cellStyle name="Normal 2 8 3 6 2 2" xfId="19327" xr:uid="{11F599AC-CEF8-443B-94B9-0D10200E6597}"/>
    <cellStyle name="Normal 2 8 3 6 3" xfId="11780" xr:uid="{2F3FEE01-A477-4489-9A49-9BC60CBB444B}"/>
    <cellStyle name="Normal 2 8 3 6 3 2" xfId="22160" xr:uid="{394D04A4-DDA6-4BA4-8CC4-CA26E692393C}"/>
    <cellStyle name="Normal 2 8 3 6 4" xfId="24465" xr:uid="{700999BE-0B15-4696-B088-844B62FC8475}"/>
    <cellStyle name="Normal 2 8 3 6 5" xfId="16494" xr:uid="{3D12A16F-E536-4B3A-9019-F138C7D11A92}"/>
    <cellStyle name="Normal 2 8 3 7" xfId="5186" xr:uid="{14A31ADD-2E6B-46C3-9E3A-E7C64FECAC27}"/>
    <cellStyle name="Normal 2 8 3 7 2" xfId="14483" xr:uid="{8061915E-3A6A-482D-9422-9284FF76093D}"/>
    <cellStyle name="Normal 2 8 3 8" xfId="6936" xr:uid="{0467EFA4-6627-44FD-AEEB-166630D9B8BE}"/>
    <cellStyle name="Normal 2 8 3 8 2" xfId="17316" xr:uid="{922BED87-D10C-464F-98AB-8EA4B34D6DFA}"/>
    <cellStyle name="Normal 2 8 3 9" xfId="9769" xr:uid="{9C875BDA-2981-48B8-ADBB-377E072090EF}"/>
    <cellStyle name="Normal 2 8 3 9 2" xfId="20149" xr:uid="{9CDE13C9-8692-47A0-88B9-85608CF777E8}"/>
    <cellStyle name="Normal 2 8 4" xfId="835" xr:uid="{00000000-0005-0000-0000-0000EF040000}"/>
    <cellStyle name="Normal 2 8 4 2" xfId="3264" xr:uid="{00000000-0005-0000-0000-0000F7040000}"/>
    <cellStyle name="Normal 2 8 4 2 2" xfId="6322" xr:uid="{85D5D0ED-3998-423F-85D6-D7F2C7EEB6F6}"/>
    <cellStyle name="Normal 2 8 4 2 2 2" xfId="28414" xr:uid="{7B6C017D-A110-4B25-AC70-1FFF71EBB8FF}"/>
    <cellStyle name="Normal 2 8 4 2 2 3" xfId="15891" xr:uid="{3289FA99-5F4F-4107-ABB3-6495CC572AC2}"/>
    <cellStyle name="Normal 2 8 4 2 3" xfId="8344" xr:uid="{FB0342AB-9DF9-4F40-B43B-8979CBC51628}"/>
    <cellStyle name="Normal 2 8 4 2 3 2" xfId="18724" xr:uid="{60975CA2-8649-4683-82BB-53D1F33969FB}"/>
    <cellStyle name="Normal 2 8 4 2 4" xfId="11177" xr:uid="{6E433FE9-9821-49C9-A393-B052723ADD27}"/>
    <cellStyle name="Normal 2 8 4 2 4 2" xfId="21557" xr:uid="{A28635D2-C8A0-4D50-A0B5-FDCFD80FECBE}"/>
    <cellStyle name="Normal 2 8 4 2 5" xfId="24881" xr:uid="{245BB831-80AE-44B3-9E10-6B402E97DCF8}"/>
    <cellStyle name="Normal 2 8 4 2 6" xfId="13812" xr:uid="{98B15CF9-1ED3-43C2-98D6-29F7FB5E7FEA}"/>
    <cellStyle name="Normal 2 8 4 3" xfId="4318" xr:uid="{BCB18D81-EA89-4B82-A56D-4F6ABD77718E}"/>
    <cellStyle name="Normal 2 8 4 3 2" xfId="9090" xr:uid="{13DC86AC-6F69-4A59-BBCE-A4FAF1E15F90}"/>
    <cellStyle name="Normal 2 8 4 3 2 2" xfId="29133" xr:uid="{2E1D8AC7-D2E8-4AAA-BCDD-339074F81B81}"/>
    <cellStyle name="Normal 2 8 4 3 2 3" xfId="19470" xr:uid="{5E32389D-45B0-4C64-A0EF-2DF86E2B2567}"/>
    <cellStyle name="Normal 2 8 4 3 3" xfId="11923" xr:uid="{CEA9BC84-DAEB-42D8-ABF9-A3962AED31E7}"/>
    <cellStyle name="Normal 2 8 4 3 3 2" xfId="22303" xr:uid="{1028DFFD-EC58-472D-8554-DFF6C3768473}"/>
    <cellStyle name="Normal 2 8 4 3 4" xfId="23311" xr:uid="{C6C77F9D-6399-41CE-A380-A99D83F12098}"/>
    <cellStyle name="Normal 2 8 4 3 5" xfId="16637" xr:uid="{A416AFA9-6AFC-4011-A3D2-91C0AFB8D4D9}"/>
    <cellStyle name="Normal 2 8 4 4" xfId="5187" xr:uid="{A2219C34-4BD7-46B2-82F1-573F84CAEB23}"/>
    <cellStyle name="Normal 2 8 4 4 2" xfId="25858" xr:uid="{944FF65E-C124-4482-8EE6-206DFE1DEC94}"/>
    <cellStyle name="Normal 2 8 4 4 3" xfId="14484" xr:uid="{AC7FFCC3-39B8-483B-9053-711A7D4DBA6C}"/>
    <cellStyle name="Normal 2 8 4 5" xfId="6937" xr:uid="{C93BB016-41FA-4908-B435-B37956C8DA8F}"/>
    <cellStyle name="Normal 2 8 4 5 2" xfId="17317" xr:uid="{58DECF45-AB2C-4597-9E9F-91FC270AA1C6}"/>
    <cellStyle name="Normal 2 8 4 6" xfId="9770" xr:uid="{627620D3-F821-46A0-A7BF-2BFCC84DC435}"/>
    <cellStyle name="Normal 2 8 4 6 2" xfId="20150" xr:uid="{FF9D7BA1-BAA8-4E88-AA3F-9136D759C909}"/>
    <cellStyle name="Normal 2 8 4 7" xfId="23267" xr:uid="{1DAD77E2-B79D-4ED5-9EF7-A316C3DB968D}"/>
    <cellStyle name="Normal 2 8 4 8" xfId="13199" xr:uid="{9A496A9C-CBD9-4D16-8FC2-C445D0CD8337}"/>
    <cellStyle name="Normal 2 8 5" xfId="3265" xr:uid="{00000000-0005-0000-0000-0000F8040000}"/>
    <cellStyle name="Normal 2 8 5 2" xfId="4500" xr:uid="{95CE7CBC-1CDF-4046-832D-591E97A7B94B}"/>
    <cellStyle name="Normal 2 8 5 2 2" xfId="9272" xr:uid="{B4C87EE0-318C-4084-A168-600F15E93567}"/>
    <cellStyle name="Normal 2 8 5 2 2 2" xfId="29255" xr:uid="{A2446C45-DFF1-4140-9BA8-BB45DEE21411}"/>
    <cellStyle name="Normal 2 8 5 2 2 3" xfId="19652" xr:uid="{2BE5E4A7-BA9E-4FE9-B23C-9E3986D4913F}"/>
    <cellStyle name="Normal 2 8 5 2 3" xfId="12105" xr:uid="{B0D6BD58-A5C7-490B-A536-78A00116E9D9}"/>
    <cellStyle name="Normal 2 8 5 2 3 2" xfId="22485" xr:uid="{FFF32534-C8EF-4D49-8E8D-5F47F097BC80}"/>
    <cellStyle name="Normal 2 8 5 2 4" xfId="22638" xr:uid="{2A814E38-8C81-4220-A0FB-6ADE38D1F438}"/>
    <cellStyle name="Normal 2 8 5 2 5" xfId="16819" xr:uid="{DAD025AD-137B-4154-BB4B-4383D25FB0B6}"/>
    <cellStyle name="Normal 2 8 5 3" xfId="6323" xr:uid="{854B9F0F-FE80-4F2A-8D9A-6A844AFA80D8}"/>
    <cellStyle name="Normal 2 8 5 3 2" xfId="27937" xr:uid="{E44DBAFE-CE90-40B9-857B-8F4493FB6303}"/>
    <cellStyle name="Normal 2 8 5 3 3" xfId="15892" xr:uid="{78CAEF5E-B984-4B48-9CA2-5761637A23FA}"/>
    <cellStyle name="Normal 2 8 5 4" xfId="8345" xr:uid="{5CD86AA9-79AF-4DDE-B39C-B50CD8EE6E85}"/>
    <cellStyle name="Normal 2 8 5 4 2" xfId="18725" xr:uid="{63D7B1FD-84E9-4095-B076-B2D617BEDCAC}"/>
    <cellStyle name="Normal 2 8 5 5" xfId="11178" xr:uid="{4069BDF2-1CD4-482D-AA9D-B13EFEC32A9B}"/>
    <cellStyle name="Normal 2 8 5 5 2" xfId="21558" xr:uid="{6DB0EF5D-EFB5-482F-9AAF-268EF1369D1A}"/>
    <cellStyle name="Normal 2 8 5 6" xfId="23607" xr:uid="{DFE117AC-76B4-4D0E-AA1A-E74940FB7B57}"/>
    <cellStyle name="Normal 2 8 5 7" xfId="13813" xr:uid="{6728430F-0CB2-4D6D-BAB9-8F1200CD5761}"/>
    <cellStyle name="Normal 2 8 6" xfId="2916" xr:uid="{00000000-0005-0000-0000-0000F9040000}"/>
    <cellStyle name="Normal 2 8 6 2" xfId="6102" xr:uid="{3693C27C-9C82-4C65-9591-784D8D626FCB}"/>
    <cellStyle name="Normal 2 8 6 2 2" xfId="27482" xr:uid="{6BBD19E0-688D-42C3-8C43-1C1960668AC1}"/>
    <cellStyle name="Normal 2 8 6 2 3" xfId="15580" xr:uid="{D0A58AE8-0DB1-4F0C-8D4C-F1DD7F8F4680}"/>
    <cellStyle name="Normal 2 8 6 3" xfId="8033" xr:uid="{096BBCC9-9439-4C9F-9334-39835D0032F4}"/>
    <cellStyle name="Normal 2 8 6 3 2" xfId="18413" xr:uid="{B649D071-9CDD-4A73-8D53-4EAA7CF837BE}"/>
    <cellStyle name="Normal 2 8 6 4" xfId="10866" xr:uid="{14ACB2B7-C1CE-4C26-824D-067072A7B1AD}"/>
    <cellStyle name="Normal 2 8 6 4 2" xfId="21246" xr:uid="{774D63A6-A79C-4CEB-9E63-2073C231EAAD}"/>
    <cellStyle name="Normal 2 8 6 5" xfId="24171" xr:uid="{231ED169-C61C-42F7-BA8F-F4012A3181B1}"/>
    <cellStyle name="Normal 2 8 6 6" xfId="13433" xr:uid="{659CBC7B-9ABB-4AB1-8F3D-357496DEED41}"/>
    <cellStyle name="Normal 2 8 7" xfId="2461" xr:uid="{00000000-0005-0000-0000-0000FA040000}"/>
    <cellStyle name="Normal 2 8 7 2" xfId="5752" xr:uid="{420CE77F-EE6E-4112-8B6D-3CFBF78B7730}"/>
    <cellStyle name="Normal 2 8 7 2 2" xfId="27991" xr:uid="{20103475-62D2-4261-B302-1B01631AE386}"/>
    <cellStyle name="Normal 2 8 7 2 3" xfId="15133" xr:uid="{2A5CAF93-C37E-4FC4-8D37-9AA66B390343}"/>
    <cellStyle name="Normal 2 8 7 3" xfId="7586" xr:uid="{E1369DA1-6936-445E-9776-756E8BC8A4CB}"/>
    <cellStyle name="Normal 2 8 7 3 2" xfId="17966" xr:uid="{3C4D9E62-5CFD-4054-BAD8-1A521F76900D}"/>
    <cellStyle name="Normal 2 8 7 4" xfId="10419" xr:uid="{E79E2D67-6E66-4D1F-A14C-80F69888CADF}"/>
    <cellStyle name="Normal 2 8 7 4 2" xfId="20799" xr:uid="{77C04EC2-1CB6-4C6B-A6F3-CC7D2DFEDD82}"/>
    <cellStyle name="Normal 2 8 7 5" xfId="25411" xr:uid="{25ECFBBE-39EF-4C18-A5C1-1F5517440866}"/>
    <cellStyle name="Normal 2 8 7 6" xfId="12849" xr:uid="{79B52061-FC86-493E-A650-BAAF17EF6A1E}"/>
    <cellStyle name="Normal 2 8 8" xfId="2215" xr:uid="{00000000-0005-0000-0000-0000E9040000}"/>
    <cellStyle name="Normal 2 8 8 2" xfId="7342" xr:uid="{CA5977A6-D876-44D7-9FEE-2357535D8C47}"/>
    <cellStyle name="Normal 2 8 8 2 2" xfId="17722" xr:uid="{091F2F03-EE83-4D67-BD98-6A61487DE4CE}"/>
    <cellStyle name="Normal 2 8 8 3" xfId="10175" xr:uid="{35FD768A-F8BE-4139-B45B-9B79276C13A7}"/>
    <cellStyle name="Normal 2 8 8 3 2" xfId="20555" xr:uid="{B4DDFE62-1DA1-4DB4-8C1A-EF71AA2CC2BA}"/>
    <cellStyle name="Normal 2 8 8 4" xfId="23036" xr:uid="{21C5D77E-84B8-432F-BAC9-2B1CD3BC24D3}"/>
    <cellStyle name="Normal 2 8 8 5" xfId="14889" xr:uid="{F67F2C44-1844-4646-8932-02499AB1508C}"/>
    <cellStyle name="Normal 2 8 9" xfId="3953" xr:uid="{7F9AEA47-05A2-4632-BE95-7A005B713566}"/>
    <cellStyle name="Normal 2 8 9 2" xfId="8785" xr:uid="{05CB76DB-E328-4BB1-8299-DD519B85DB30}"/>
    <cellStyle name="Normal 2 8 9 2 2" xfId="19165" xr:uid="{E1EBE4D3-4C7E-4FCC-A577-72C43EB1B830}"/>
    <cellStyle name="Normal 2 8 9 3" xfId="11618" xr:uid="{93958A23-51FE-4E74-9ED4-25D8F1D51CAC}"/>
    <cellStyle name="Normal 2 8 9 3 2" xfId="21998" xr:uid="{D0DD4502-6BC4-4349-9F52-3C6FADA4652B}"/>
    <cellStyle name="Normal 2 8 9 4" xfId="16332" xr:uid="{DB231EA8-1B2B-4EB4-8D41-C5FF5053E382}"/>
    <cellStyle name="Normal 2 9" xfId="836" xr:uid="{00000000-0005-0000-0000-0000F0040000}"/>
    <cellStyle name="Normal 2 9 10" xfId="6938" xr:uid="{AE91DB65-462D-4B5C-AB78-BB7A9C4C1098}"/>
    <cellStyle name="Normal 2 9 10 2" xfId="17318" xr:uid="{81D91532-F291-45F6-BE73-94B8507E2777}"/>
    <cellStyle name="Normal 2 9 11" xfId="9771" xr:uid="{813114C5-7C81-4734-A594-0734672162FA}"/>
    <cellStyle name="Normal 2 9 11 2" xfId="20151" xr:uid="{C6CAD91E-5E0F-404D-8669-680F55BB61FD}"/>
    <cellStyle name="Normal 2 9 12" xfId="23147" xr:uid="{E3BC9E6D-5A75-453D-B04D-76D55DE24A17}"/>
    <cellStyle name="Normal 2 9 13" xfId="12430" xr:uid="{1372F135-4AD4-4119-8683-E26CA330B9F6}"/>
    <cellStyle name="Normal 2 9 2" xfId="837" xr:uid="{00000000-0005-0000-0000-0000F1040000}"/>
    <cellStyle name="Normal 2 9 2 10" xfId="9772" xr:uid="{E01CF497-B008-4467-9C31-E0F563EBE783}"/>
    <cellStyle name="Normal 2 9 2 10 2" xfId="20152" xr:uid="{FFB455CC-C063-4331-9150-ACA5B7A096E8}"/>
    <cellStyle name="Normal 2 9 2 11" xfId="23145" xr:uid="{648A3B76-8A1F-41BA-98A6-3039BE86B862}"/>
    <cellStyle name="Normal 2 9 2 12" xfId="12578" xr:uid="{3FAE6098-EF46-4075-BFD7-F975FAE69D97}"/>
    <cellStyle name="Normal 2 9 2 2" xfId="838" xr:uid="{00000000-0005-0000-0000-0000F2040000}"/>
    <cellStyle name="Normal 2 9 2 2 2" xfId="3267" xr:uid="{00000000-0005-0000-0000-0000FE040000}"/>
    <cellStyle name="Normal 2 9 2 2 2 2" xfId="6325" xr:uid="{BC3E04BF-06A6-49DA-9BDD-1001E2153D9B}"/>
    <cellStyle name="Normal 2 9 2 2 2 2 2" xfId="27094" xr:uid="{78DB5D1E-2581-4FDD-9855-9E9066146A65}"/>
    <cellStyle name="Normal 2 9 2 2 2 2 3" xfId="26346" xr:uid="{6070CD22-E1E7-4A24-8700-D6D38B259B17}"/>
    <cellStyle name="Normal 2 9 2 2 2 2 4" xfId="15894" xr:uid="{98AE0B87-97FF-4087-9D55-923819B6276F}"/>
    <cellStyle name="Normal 2 9 2 2 2 3" xfId="8347" xr:uid="{6F69A483-05D6-408C-AF66-3801C6D82C5C}"/>
    <cellStyle name="Normal 2 9 2 2 2 3 2" xfId="28892" xr:uid="{3B3DF95B-9710-43C0-B4FE-D32747372805}"/>
    <cellStyle name="Normal 2 9 2 2 2 3 3" xfId="18727" xr:uid="{72F0DD08-55BA-45C8-A9B6-53726D6507C9}"/>
    <cellStyle name="Normal 2 9 2 2 2 4" xfId="11180" xr:uid="{690270E6-BDEE-4DE1-A5C9-6CEE194A944E}"/>
    <cellStyle name="Normal 2 9 2 2 2 4 2" xfId="21560" xr:uid="{D892CF92-4C9A-47C2-8E76-BB7A8D5320C3}"/>
    <cellStyle name="Normal 2 9 2 2 2 5" xfId="23613" xr:uid="{2FED118A-E829-41D7-9C40-71245A77AE30}"/>
    <cellStyle name="Normal 2 9 2 2 2 6" xfId="13815" xr:uid="{E0E0AAB3-5DFC-4FF3-A25B-55EECC2EF0BA}"/>
    <cellStyle name="Normal 2 9 2 2 3" xfId="4321" xr:uid="{86E8F31E-C380-4499-BDA0-8BBA65CBE9AE}"/>
    <cellStyle name="Normal 2 9 2 2 3 2" xfId="9093" xr:uid="{7EA7BE6E-5CC5-489E-AD09-83AD5DA976D9}"/>
    <cellStyle name="Normal 2 9 2 2 3 2 2" xfId="29136" xr:uid="{A895FE8F-DEDD-44A2-B9B0-6C5C1919C77C}"/>
    <cellStyle name="Normal 2 9 2 2 3 2 3" xfId="19473" xr:uid="{ED575612-F87A-4071-99D9-7B625270E99B}"/>
    <cellStyle name="Normal 2 9 2 2 3 3" xfId="11926" xr:uid="{CBAC65B9-B5DF-4B11-B8DE-4F388D902F23}"/>
    <cellStyle name="Normal 2 9 2 2 3 3 2" xfId="22306" xr:uid="{887A88F4-A0F8-49E7-A3A3-F8D97084DF81}"/>
    <cellStyle name="Normal 2 9 2 2 3 4" xfId="25366" xr:uid="{57475732-5FC8-4A50-92D6-7ED3409C951A}"/>
    <cellStyle name="Normal 2 9 2 2 3 5" xfId="16640" xr:uid="{EEF5B393-3F27-4FEC-892E-4D904216A071}"/>
    <cellStyle name="Normal 2 9 2 2 4" xfId="5190" xr:uid="{4F8F5739-9B5B-4D25-9AF3-72DBD73FC352}"/>
    <cellStyle name="Normal 2 9 2 2 4 2" xfId="26717" xr:uid="{872ABD52-BCA1-46B8-B6B1-EB5CC24308E9}"/>
    <cellStyle name="Normal 2 9 2 2 4 3" xfId="14487" xr:uid="{EB7AA30A-1930-4DCB-8EDC-424353899242}"/>
    <cellStyle name="Normal 2 9 2 2 5" xfId="6940" xr:uid="{2471E609-4543-4A59-B2B1-EA297D8EF1B6}"/>
    <cellStyle name="Normal 2 9 2 2 5 2" xfId="17320" xr:uid="{63BDBE83-3696-4219-82B8-38C6485A4DFE}"/>
    <cellStyle name="Normal 2 9 2 2 6" xfId="9773" xr:uid="{1EE7E42D-EEEC-44DC-973F-C2C11F9E4AC9}"/>
    <cellStyle name="Normal 2 9 2 2 6 2" xfId="20153" xr:uid="{47C76B62-FBA5-4520-951D-E4DD4C60C5DC}"/>
    <cellStyle name="Normal 2 9 2 2 7" xfId="25093" xr:uid="{CE6BC1E3-520B-4A77-81D9-6F6DFA50E449}"/>
    <cellStyle name="Normal 2 9 2 2 8" xfId="13203" xr:uid="{636C9AE1-F46B-4B02-A568-66AC5BFA40F3}"/>
    <cellStyle name="Normal 2 9 2 3" xfId="3268" xr:uid="{00000000-0005-0000-0000-0000FF040000}"/>
    <cellStyle name="Normal 2 9 2 3 2" xfId="4501" xr:uid="{62C96393-4FE8-40F3-8D74-4345E5A07775}"/>
    <cellStyle name="Normal 2 9 2 3 2 2" xfId="9273" xr:uid="{6DAC3865-A2FF-4794-A46C-C8C5852D9D7A}"/>
    <cellStyle name="Normal 2 9 2 3 2 2 2" xfId="29256" xr:uid="{ECC46C3C-044D-4249-93BF-3BB0FE3D99F0}"/>
    <cellStyle name="Normal 2 9 2 3 2 2 3" xfId="19653" xr:uid="{D72677FB-ABC5-4536-8A88-A3721A9427DB}"/>
    <cellStyle name="Normal 2 9 2 3 2 3" xfId="12106" xr:uid="{304DFD41-DA44-4610-9E54-C9515243D7AC}"/>
    <cellStyle name="Normal 2 9 2 3 2 3 2" xfId="22486" xr:uid="{080EB41A-5EF9-4DB2-81D4-3991C5B50D46}"/>
    <cellStyle name="Normal 2 9 2 3 2 4" xfId="25656" xr:uid="{2C35C3F0-D685-4F1A-8870-5100053CE3DE}"/>
    <cellStyle name="Normal 2 9 2 3 2 5" xfId="16820" xr:uid="{93A1B342-A329-436E-A67A-CDFEF105EA9D}"/>
    <cellStyle name="Normal 2 9 2 3 3" xfId="6326" xr:uid="{36B46BEF-5272-4DEB-B8C9-D309A4C0D01A}"/>
    <cellStyle name="Normal 2 9 2 3 3 2" xfId="26623" xr:uid="{7EF5CCC7-1661-41C8-8F51-91A82D582E05}"/>
    <cellStyle name="Normal 2 9 2 3 3 3" xfId="15895" xr:uid="{D62A693F-7E62-461C-B2AC-771054239156}"/>
    <cellStyle name="Normal 2 9 2 3 4" xfId="8348" xr:uid="{9106625A-06CF-4249-9194-B32D172824AA}"/>
    <cellStyle name="Normal 2 9 2 3 4 2" xfId="18728" xr:uid="{72B4B531-7683-420D-9534-E54473519D07}"/>
    <cellStyle name="Normal 2 9 2 3 5" xfId="11181" xr:uid="{0446E31B-373D-4B61-B842-661ED9BFB34F}"/>
    <cellStyle name="Normal 2 9 2 3 5 2" xfId="21561" xr:uid="{3239258A-CB82-4477-BD4D-A18CEEAECFE0}"/>
    <cellStyle name="Normal 2 9 2 3 6" xfId="24406" xr:uid="{9CA6F528-E4B1-4655-9801-A946FB4A526B}"/>
    <cellStyle name="Normal 2 9 2 3 7" xfId="13816" xr:uid="{631B24A0-C0BB-4E46-BF30-FA5F4E08494F}"/>
    <cellStyle name="Normal 2 9 2 4" xfId="3266" xr:uid="{00000000-0005-0000-0000-000000050000}"/>
    <cellStyle name="Normal 2 9 2 4 2" xfId="6324" xr:uid="{1E3C4857-9BEB-4C7B-81E4-DDF53B409D91}"/>
    <cellStyle name="Normal 2 9 2 4 2 2" xfId="27399" xr:uid="{81A83845-D759-42FC-8F40-AB74B0C376FD}"/>
    <cellStyle name="Normal 2 9 2 4 2 3" xfId="15893" xr:uid="{179A5118-F3DE-4E11-97A8-DC1769150E8D}"/>
    <cellStyle name="Normal 2 9 2 4 3" xfId="8346" xr:uid="{07B7AB1B-27C9-410F-BFC3-7D3954BAF0D9}"/>
    <cellStyle name="Normal 2 9 2 4 3 2" xfId="18726" xr:uid="{CFBC9074-8994-40B4-8FD5-98190E218E58}"/>
    <cellStyle name="Normal 2 9 2 4 4" xfId="11179" xr:uid="{9F426A67-9181-4D6B-8518-FBC4828F7967}"/>
    <cellStyle name="Normal 2 9 2 4 4 2" xfId="21559" xr:uid="{0E2FDCDC-F11E-40FE-9010-9B189C24F7B1}"/>
    <cellStyle name="Normal 2 9 2 4 5" xfId="23276" xr:uid="{B32EF0C1-0295-401D-AFC5-5D8711CCD00E}"/>
    <cellStyle name="Normal 2 9 2 4 6" xfId="13814" xr:uid="{B76AD3A9-160A-4598-9630-B593C0FBDB5D}"/>
    <cellStyle name="Normal 2 9 2 5" xfId="2607" xr:uid="{00000000-0005-0000-0000-000001050000}"/>
    <cellStyle name="Normal 2 9 2 5 2" xfId="5871" xr:uid="{DD5BE773-1AF6-446D-B356-77AF6C8C18AF}"/>
    <cellStyle name="Normal 2 9 2 5 2 2" xfId="26930" xr:uid="{992A6211-84BA-489B-8549-5EDC5C8CB2CE}"/>
    <cellStyle name="Normal 2 9 2 5 2 3" xfId="15279" xr:uid="{BDAD92F1-CA7C-4B52-8C8B-8172C043EA4A}"/>
    <cellStyle name="Normal 2 9 2 5 3" xfId="7732" xr:uid="{828B97EE-A4FA-44E2-9289-EC087A9630A6}"/>
    <cellStyle name="Normal 2 9 2 5 3 2" xfId="18112" xr:uid="{84C3E0AD-267D-4531-9F14-16BA000856FE}"/>
    <cellStyle name="Normal 2 9 2 5 4" xfId="10565" xr:uid="{2D48B757-10C2-44D5-9D13-D6630200FCA6}"/>
    <cellStyle name="Normal 2 9 2 5 4 2" xfId="20945" xr:uid="{9E5DC150-175A-49E1-95A0-D9C2E168F842}"/>
    <cellStyle name="Normal 2 9 2 5 5" xfId="23618" xr:uid="{235E0E35-E516-4C73-8F56-488438A8219B}"/>
    <cellStyle name="Normal 2 9 2 5 6" xfId="12995" xr:uid="{EBFF9979-BDAF-4056-9939-7C4F71623F59}"/>
    <cellStyle name="Normal 2 9 2 6" xfId="2344" xr:uid="{00000000-0005-0000-0000-0000FC040000}"/>
    <cellStyle name="Normal 2 9 2 6 2" xfId="7471" xr:uid="{A3825031-8A35-4751-8319-16D4250773A9}"/>
    <cellStyle name="Normal 2 9 2 6 2 2" xfId="17851" xr:uid="{6A6D7382-3B15-4E63-A0C5-35AE511A4D28}"/>
    <cellStyle name="Normal 2 9 2 6 3" xfId="10304" xr:uid="{6C9F06F4-90AC-4A47-8BE9-19945091BC32}"/>
    <cellStyle name="Normal 2 9 2 6 3 2" xfId="20684" xr:uid="{752FD9A0-BE7C-48C3-B6D8-DE200E7B8317}"/>
    <cellStyle name="Normal 2 9 2 6 4" xfId="23980" xr:uid="{882BB1E2-213A-40B5-801C-F92C8B2F8CAB}"/>
    <cellStyle name="Normal 2 9 2 6 5" xfId="15018" xr:uid="{454A5831-CC45-4159-9566-0B45C4292BCE}"/>
    <cellStyle name="Normal 2 9 2 7" xfId="3856" xr:uid="{84458B14-819A-4001-A5E2-AA7DE137479C}"/>
    <cellStyle name="Normal 2 9 2 7 2" xfId="8688" xr:uid="{7C231452-00D8-44C5-850F-2F5CF8904CAD}"/>
    <cellStyle name="Normal 2 9 2 7 2 2" xfId="19068" xr:uid="{57B9845F-62D3-4CBC-BB13-8F55090DAEFE}"/>
    <cellStyle name="Normal 2 9 2 7 3" xfId="11521" xr:uid="{099BBE67-BED5-46EE-A703-C1CC2A10DAD7}"/>
    <cellStyle name="Normal 2 9 2 7 3 2" xfId="21901" xr:uid="{CCEB56CF-F371-4221-BA1B-97CB9CFBBB55}"/>
    <cellStyle name="Normal 2 9 2 7 4" xfId="16235" xr:uid="{7988E97A-6A84-4E79-ACD1-EF42CE5806AC}"/>
    <cellStyle name="Normal 2 9 2 8" xfId="5189" xr:uid="{07B9A2AF-5381-4C50-BB18-E66CF69E1F35}"/>
    <cellStyle name="Normal 2 9 2 8 2" xfId="14486" xr:uid="{594BB21B-5250-4B9D-BCAA-F58B21B491EC}"/>
    <cellStyle name="Normal 2 9 2 9" xfId="6939" xr:uid="{10380160-24E4-4287-B345-BB123C557CF3}"/>
    <cellStyle name="Normal 2 9 2 9 2" xfId="17319" xr:uid="{6910957C-21B0-45DC-86B8-B601CB266F32}"/>
    <cellStyle name="Normal 2 9 3" xfId="839" xr:uid="{00000000-0005-0000-0000-0000F3040000}"/>
    <cellStyle name="Normal 2 9 3 2" xfId="3269" xr:uid="{00000000-0005-0000-0000-000003050000}"/>
    <cellStyle name="Normal 2 9 3 2 2" xfId="6327" xr:uid="{BBC012F7-9A7D-49DD-8FF5-40D30FC91CF8}"/>
    <cellStyle name="Normal 2 9 3 2 2 2" xfId="23646" xr:uid="{1C18D9CE-FF64-4E6C-9490-310C9DBD14D3}"/>
    <cellStyle name="Normal 2 9 3 2 2 3" xfId="25864" xr:uid="{E38453D7-3CA2-4BCD-A759-A27ED0D7C85F}"/>
    <cellStyle name="Normal 2 9 3 2 2 4" xfId="15896" xr:uid="{5D0B3E18-45EC-4A34-999C-A38B5D11956C}"/>
    <cellStyle name="Normal 2 9 3 2 3" xfId="8349" xr:uid="{6FE1859B-1F4B-4AE5-B006-253E9A85D689}"/>
    <cellStyle name="Normal 2 9 3 2 3 2" xfId="28893" xr:uid="{DB4F1271-2971-47BB-9434-EBC1A9A77D51}"/>
    <cellStyle name="Normal 2 9 3 2 3 3" xfId="18729" xr:uid="{A08FB64C-FD02-4DE1-98B2-CC76AD59860A}"/>
    <cellStyle name="Normal 2 9 3 2 4" xfId="11182" xr:uid="{D1F60B17-0A0A-48B6-B3F6-A364C2E8A65E}"/>
    <cellStyle name="Normal 2 9 3 2 4 2" xfId="21562" xr:uid="{F691DC2F-37A1-4850-B6B6-294ABF216EC7}"/>
    <cellStyle name="Normal 2 9 3 2 5" xfId="23450" xr:uid="{A902EA6F-8779-467F-A0AB-F89FA1D314DA}"/>
    <cellStyle name="Normal 2 9 3 2 6" xfId="13817" xr:uid="{2EF0206B-D1E4-49DF-A0B2-624BAFABC794}"/>
    <cellStyle name="Normal 2 9 3 3" xfId="2757" xr:uid="{00000000-0005-0000-0000-000004050000}"/>
    <cellStyle name="Normal 2 9 3 3 2" xfId="5975" xr:uid="{EE14B9B9-556B-4E73-97A6-A602B420A67B}"/>
    <cellStyle name="Normal 2 9 3 3 2 2" xfId="26397" xr:uid="{8A300D6B-CBD2-4CC9-A53A-F97F14E934C1}"/>
    <cellStyle name="Normal 2 9 3 3 2 3" xfId="15428" xr:uid="{1FAAA7AB-A683-47F0-8721-44B50F7F608B}"/>
    <cellStyle name="Normal 2 9 3 3 3" xfId="7881" xr:uid="{9D10ADB1-B487-465E-8521-091EAA3B6159}"/>
    <cellStyle name="Normal 2 9 3 3 3 2" xfId="18261" xr:uid="{7A07D050-F54B-44A6-B0AA-F357C660692E}"/>
    <cellStyle name="Normal 2 9 3 3 4" xfId="10714" xr:uid="{A57E7F78-0E3F-45A7-BA96-B8F956BEFD7B}"/>
    <cellStyle name="Normal 2 9 3 3 4 2" xfId="21094" xr:uid="{6F769498-F9B3-4DF4-830D-1FAC4D3441B0}"/>
    <cellStyle name="Normal 2 9 3 3 5" xfId="24394" xr:uid="{9C2732CD-0C98-47E4-8332-7F5C415C6F25}"/>
    <cellStyle name="Normal 2 9 3 3 6" xfId="13202" xr:uid="{382F7612-55F2-48F9-B04C-497CD00DF9FE}"/>
    <cellStyle name="Normal 2 9 3 4" xfId="4176" xr:uid="{6C57CACD-054E-48B2-A048-29786C24F379}"/>
    <cellStyle name="Normal 2 9 3 4 2" xfId="8948" xr:uid="{F8F2A1C3-DE61-448C-88ED-75D178793C21}"/>
    <cellStyle name="Normal 2 9 3 4 2 2" xfId="29038" xr:uid="{9B6DF6C0-F95C-461C-A3E5-633655C6CFFA}"/>
    <cellStyle name="Normal 2 9 3 4 2 3" xfId="19328" xr:uid="{108B8A07-2F86-434C-8E61-03419833586D}"/>
    <cellStyle name="Normal 2 9 3 4 3" xfId="11781" xr:uid="{BF76D129-6B8D-483E-AB44-23C8CC66B708}"/>
    <cellStyle name="Normal 2 9 3 4 3 2" xfId="22161" xr:uid="{4F7FD296-5668-47CF-84E4-4F6E07AA5347}"/>
    <cellStyle name="Normal 2 9 3 4 4" xfId="23024" xr:uid="{2720F342-B677-4933-B845-E4A73983D0D3}"/>
    <cellStyle name="Normal 2 9 3 4 5" xfId="16495" xr:uid="{1A872D12-5750-4868-B7D1-42CBA1351032}"/>
    <cellStyle name="Normal 2 9 3 5" xfId="5191" xr:uid="{5339BEE7-49BF-4EED-8093-076FF44C11A1}"/>
    <cellStyle name="Normal 2 9 3 5 2" xfId="28360" xr:uid="{18FB857A-43C8-481D-8EDE-42C5616E6A78}"/>
    <cellStyle name="Normal 2 9 3 5 3" xfId="14488" xr:uid="{BB94EF29-4372-4B52-A3B4-CAF5219F54BF}"/>
    <cellStyle name="Normal 2 9 3 6" xfId="6941" xr:uid="{6706ADBA-47C3-45D1-98BA-070E553BC50D}"/>
    <cellStyle name="Normal 2 9 3 6 2" xfId="17321" xr:uid="{16BC5282-6013-4F36-A49D-EF1DCD57E844}"/>
    <cellStyle name="Normal 2 9 3 7" xfId="9774" xr:uid="{765AB162-B962-473F-8533-4F365D25A101}"/>
    <cellStyle name="Normal 2 9 3 7 2" xfId="20154" xr:uid="{FA141201-5DC3-40D7-B45E-56E5963C75AA}"/>
    <cellStyle name="Normal 2 9 3 8" xfId="23562" xr:uid="{98595726-F428-4B11-B725-2105F6E0049B}"/>
    <cellStyle name="Normal 2 9 3 9" xfId="12736" xr:uid="{9693C5B5-154F-4ECD-B366-CF4444A44404}"/>
    <cellStyle name="Normal 2 9 4" xfId="840" xr:uid="{00000000-0005-0000-0000-0000F4040000}"/>
    <cellStyle name="Normal 2 9 4 2" xfId="4502" xr:uid="{F552828F-4638-433C-95A0-F70F96FF42C6}"/>
    <cellStyle name="Normal 2 9 4 2 2" xfId="9274" xr:uid="{8B5882C0-34B7-4018-B8AF-8A9666E84A30}"/>
    <cellStyle name="Normal 2 9 4 2 2 2" xfId="29257" xr:uid="{3A41186D-EB5D-4BF6-BAF2-DC3012D4F2F9}"/>
    <cellStyle name="Normal 2 9 4 2 2 3" xfId="19654" xr:uid="{2EEE7974-63E8-4333-B47E-0810051F19DB}"/>
    <cellStyle name="Normal 2 9 4 2 3" xfId="12107" xr:uid="{77FFCCCE-B339-49A3-AF57-6C591B460D33}"/>
    <cellStyle name="Normal 2 9 4 2 3 2" xfId="22487" xr:uid="{02ECC56F-030A-45B7-B5A5-4889A9B0C6DF}"/>
    <cellStyle name="Normal 2 9 4 2 4" xfId="23151" xr:uid="{1B612711-E694-403C-8DA7-3C97E3C646DC}"/>
    <cellStyle name="Normal 2 9 4 2 5" xfId="16821" xr:uid="{B78AA123-AC1B-44A7-8A77-2E25735F9C80}"/>
    <cellStyle name="Normal 2 9 4 3" xfId="5192" xr:uid="{72D4440E-BC3A-4554-9FB6-A1D858FC9D2E}"/>
    <cellStyle name="Normal 2 9 4 3 2" xfId="26204" xr:uid="{0A911DBC-6518-4F42-A5C9-14C7CC68276A}"/>
    <cellStyle name="Normal 2 9 4 3 3" xfId="14489" xr:uid="{FC52A404-F2D5-4898-B6ED-8CCCAF81E21C}"/>
    <cellStyle name="Normal 2 9 4 4" xfId="6942" xr:uid="{D4EB3F78-59DE-47CB-9C01-1E493E674689}"/>
    <cellStyle name="Normal 2 9 4 4 2" xfId="17322" xr:uid="{B116099D-E97C-496D-A06A-32D374CD2B84}"/>
    <cellStyle name="Normal 2 9 4 5" xfId="9775" xr:uid="{A72709CB-35E5-428D-AD5E-8448C8835858}"/>
    <cellStyle name="Normal 2 9 4 5 2" xfId="20155" xr:uid="{BD1FFA4C-667D-4073-82BA-12518B20D366}"/>
    <cellStyle name="Normal 2 9 4 6" xfId="23130" xr:uid="{9C2BDFD0-30EE-4EBC-A625-26ACF55129C4}"/>
    <cellStyle name="Normal 2 9 4 7" xfId="13818" xr:uid="{B2A2F5FB-83D0-425A-87BB-6FAD4739F9A2}"/>
    <cellStyle name="Normal 2 9 5" xfId="2917" xr:uid="{00000000-0005-0000-0000-000006050000}"/>
    <cellStyle name="Normal 2 9 5 2" xfId="6103" xr:uid="{58528CC1-6AD2-4279-88B3-36D6609DF850}"/>
    <cellStyle name="Normal 2 9 5 2 2" xfId="24075" xr:uid="{C2C5EE96-9995-440E-9BAB-6728372E79CC}"/>
    <cellStyle name="Normal 2 9 5 2 3" xfId="26764" xr:uid="{B71227A7-8E15-40FE-AB6C-C312F130A5E3}"/>
    <cellStyle name="Normal 2 9 5 2 4" xfId="15581" xr:uid="{BC502C78-C287-4AAA-B2B4-855DDE2775FC}"/>
    <cellStyle name="Normal 2 9 5 3" xfId="8034" xr:uid="{5BDB75E0-42B9-47B7-BC4F-32339D7EE5F4}"/>
    <cellStyle name="Normal 2 9 5 3 2" xfId="27595" xr:uid="{4DE08653-E695-4105-8FAF-2EC4861B3D14}"/>
    <cellStyle name="Normal 2 9 5 3 3" xfId="18414" xr:uid="{4E72B610-0225-4948-95A6-B8293541BCC2}"/>
    <cellStyle name="Normal 2 9 5 4" xfId="10867" xr:uid="{32AA6B69-933E-4213-BBD8-E8160E16B6D4}"/>
    <cellStyle name="Normal 2 9 5 4 2" xfId="21247" xr:uid="{F35A2EDB-01FD-4EF0-997D-CE0011391BF6}"/>
    <cellStyle name="Normal 2 9 5 5" xfId="22953" xr:uid="{98F40136-10FD-4A5D-954E-95D1BD6B1790}"/>
    <cellStyle name="Normal 2 9 5 6" xfId="13434" xr:uid="{6FF45A3C-E951-49D1-9CC8-9EC9CB2C2C99}"/>
    <cellStyle name="Normal 2 9 6" xfId="2444" xr:uid="{00000000-0005-0000-0000-000007050000}"/>
    <cellStyle name="Normal 2 9 6 2" xfId="5738" xr:uid="{C0BED993-F139-4C6B-A792-E132324F2C14}"/>
    <cellStyle name="Normal 2 9 6 2 2" xfId="26273" xr:uid="{E224AED6-5478-4071-AAE4-531DAAE09ED8}"/>
    <cellStyle name="Normal 2 9 6 2 3" xfId="15116" xr:uid="{C4B322CF-7FF4-46FB-9710-2B9CF49427F9}"/>
    <cellStyle name="Normal 2 9 6 3" xfId="7569" xr:uid="{6E09B0F8-1818-40FD-B0B9-2BE03937EBA0}"/>
    <cellStyle name="Normal 2 9 6 3 2" xfId="17949" xr:uid="{A2D2891C-9A94-42CD-AE40-9576749EACD4}"/>
    <cellStyle name="Normal 2 9 6 4" xfId="10402" xr:uid="{FAF89A14-3615-4B8B-9728-F0D7110BDD46}"/>
    <cellStyle name="Normal 2 9 6 4 2" xfId="20782" xr:uid="{BF8F50E0-AEAA-451D-B4EA-D6C5391055A7}"/>
    <cellStyle name="Normal 2 9 6 5" xfId="23771" xr:uid="{E27B1D7E-8871-4391-9BAF-DCBA9D83669B}"/>
    <cellStyle name="Normal 2 9 6 6" xfId="12832" xr:uid="{06E2C9D0-79AB-4E4D-B154-4572A5AC5714}"/>
    <cellStyle name="Normal 2 9 7" xfId="2198" xr:uid="{00000000-0005-0000-0000-0000FB040000}"/>
    <cellStyle name="Normal 2 9 7 2" xfId="7325" xr:uid="{EA8C2445-2A00-4AF1-8B3A-62B72269B8D5}"/>
    <cellStyle name="Normal 2 9 7 2 2" xfId="17705" xr:uid="{575865A4-C903-444A-BEFF-E672E9F80B26}"/>
    <cellStyle name="Normal 2 9 7 3" xfId="10158" xr:uid="{F12035F6-C739-489C-9EFC-F90E08ECF96A}"/>
    <cellStyle name="Normal 2 9 7 3 2" xfId="20538" xr:uid="{2453241E-7F61-4AE6-844D-52675AF13A67}"/>
    <cellStyle name="Normal 2 9 7 4" xfId="23373" xr:uid="{9E8031DF-A2E9-4D45-BFC8-2E12170B31A2}"/>
    <cellStyle name="Normal 2 9 7 5" xfId="14872" xr:uid="{E01FAD09-3F53-4B7B-A156-7DBA1FBB85AD}"/>
    <cellStyle name="Normal 2 9 8" xfId="3954" xr:uid="{CED8D824-48D3-4AEF-8F7F-55717388E9E6}"/>
    <cellStyle name="Normal 2 9 8 2" xfId="8786" xr:uid="{C9D54B9E-2B71-467B-A443-019A549ED388}"/>
    <cellStyle name="Normal 2 9 8 2 2" xfId="19166" xr:uid="{AF764DA1-8EEC-4F37-BAFF-823F4512B564}"/>
    <cellStyle name="Normal 2 9 8 3" xfId="11619" xr:uid="{4D51BDD7-64D1-4472-9612-C42DAC1C76C4}"/>
    <cellStyle name="Normal 2 9 8 3 2" xfId="21999" xr:uid="{DF92F74E-7642-42AD-AA75-8CBC2EDD46C4}"/>
    <cellStyle name="Normal 2 9 8 4" xfId="16333" xr:uid="{DEB08D9E-3D2C-4A32-A794-F6E6A1CE67C3}"/>
    <cellStyle name="Normal 2 9 9" xfId="5188" xr:uid="{FC4BB2AD-7E18-4984-98C0-6FFD72EC7400}"/>
    <cellStyle name="Normal 2 9 9 2" xfId="14485" xr:uid="{FD71FD44-744A-47E9-9921-B8D7F3880453}"/>
    <cellStyle name="Normal 20" xfId="12253" xr:uid="{27372840-47D8-489B-95A7-2CD989EBD34B}"/>
    <cellStyle name="Normal 20 2" xfId="22633" xr:uid="{40D62CA8-3A96-48B0-BE9D-F7CE8F4D3E78}"/>
    <cellStyle name="Normal 21" xfId="12384" xr:uid="{FF094764-875A-4C99-A567-5596200E8909}"/>
    <cellStyle name="Normal 22" xfId="12383" xr:uid="{8C915B8E-2FA3-4DC4-BD95-7A870649C7C0}"/>
    <cellStyle name="Normal 23" xfId="30099" xr:uid="{C20B993B-01C2-4C51-8F98-6A9CBB8E2F4D}"/>
    <cellStyle name="Normal 23 2" xfId="30396" xr:uid="{287CA121-5416-4078-9572-C7B4DE184957}"/>
    <cellStyle name="Normal 25" xfId="30098" xr:uid="{07506169-A6FD-44A0-8C52-1A1EF451F172}"/>
    <cellStyle name="Normal 26" xfId="30103" xr:uid="{7027CCDA-B9FD-43DE-A40A-182DF76F28F4}"/>
    <cellStyle name="Normal 3" xfId="841" xr:uid="{00000000-0005-0000-0000-0000F5040000}"/>
    <cellStyle name="Normal 3 2" xfId="842" xr:uid="{00000000-0005-0000-0000-0000F6040000}"/>
    <cellStyle name="Normal 3 2 2" xfId="843" xr:uid="{00000000-0005-0000-0000-0000F7040000}"/>
    <cellStyle name="Normal 3 2 2 2" xfId="844" xr:uid="{00000000-0005-0000-0000-0000F8040000}"/>
    <cellStyle name="Normal 3 2 2 3" xfId="845" xr:uid="{00000000-0005-0000-0000-0000F9040000}"/>
    <cellStyle name="Normal 3 2 2 3 2" xfId="846" xr:uid="{00000000-0005-0000-0000-0000FA040000}"/>
    <cellStyle name="Normal 3 2 2 3 3" xfId="23223" xr:uid="{08D264DB-FBA0-4E76-A0A6-DD15CBF7F5DA}"/>
    <cellStyle name="Normal 3 2 2 4" xfId="847" xr:uid="{00000000-0005-0000-0000-0000FB040000}"/>
    <cellStyle name="Normal 3 2 2 4 2" xfId="848" xr:uid="{00000000-0005-0000-0000-0000FC040000}"/>
    <cellStyle name="Normal 3 2 2 4 3" xfId="3711" xr:uid="{00000000-0005-0000-0000-000069040000}"/>
    <cellStyle name="Normal 3 2 2 4 3 2" xfId="4804" xr:uid="{7E0E1DE2-FFD9-4B6C-A96E-E7DA851E3AAB}"/>
    <cellStyle name="Normal 3 2 2 4 3 3" xfId="30236" xr:uid="{B775CA85-A94A-4FA2-B016-4DD4E6773E9E}"/>
    <cellStyle name="Normal 3 2 2 4 3 3 2" xfId="31379" xr:uid="{FE22CF11-4570-4966-8D0D-C6F52D65F8E8}"/>
    <cellStyle name="Normal 3 2 2 4 3 4" xfId="31576" xr:uid="{D3F1F72C-C507-475E-BFC1-88BFEC9AABA6}"/>
    <cellStyle name="Normal 3 2 2 5" xfId="31263" xr:uid="{45F1AD26-CE1F-46C4-A103-5777DD7B21F9}"/>
    <cellStyle name="Normal 3 2 3" xfId="849" xr:uid="{00000000-0005-0000-0000-0000FD040000}"/>
    <cellStyle name="Normal 3 2 3 2" xfId="850" xr:uid="{00000000-0005-0000-0000-0000FE040000}"/>
    <cellStyle name="Normal 3 2 3 3" xfId="851" xr:uid="{00000000-0005-0000-0000-0000FF040000}"/>
    <cellStyle name="Normal 3 2 3 3 2" xfId="852" xr:uid="{00000000-0005-0000-0000-000000050000}"/>
    <cellStyle name="Normal 3 2 3 3 2 2" xfId="853" xr:uid="{00000000-0005-0000-0000-000001050000}"/>
    <cellStyle name="Normal 3 2 3 3 2 3" xfId="854" xr:uid="{00000000-0005-0000-0000-000002050000}"/>
    <cellStyle name="Normal 3 2 3 3 2 3 2" xfId="855" xr:uid="{00000000-0005-0000-0000-000003050000}"/>
    <cellStyle name="Normal 3 2 3 3 2 3 2 2" xfId="856" xr:uid="{00000000-0005-0000-0000-000004050000}"/>
    <cellStyle name="Normal 3 2 3 3 2 3 2 2 2" xfId="25720" xr:uid="{032D5C75-76E2-40CA-A12D-BA86BF6B3032}"/>
    <cellStyle name="Normal 3 2 3 3 2 3 2 2 3" xfId="25324" xr:uid="{42CBD767-BF5C-42DC-AAFD-E88B7DD8534B}"/>
    <cellStyle name="Normal 3 2 3 3 2 3 2 3" xfId="857" xr:uid="{00000000-0005-0000-0000-000005050000}"/>
    <cellStyle name="Normal 3 2 3 3 2 3 2 3 2" xfId="1988" xr:uid="{00000000-0005-0000-0000-000006050000}"/>
    <cellStyle name="Normal 3 2 3 3 2 3 2 3 3" xfId="3712" xr:uid="{00000000-0005-0000-0000-000073040000}"/>
    <cellStyle name="Normal 3 2 3 3 2 3 2 3 3 2" xfId="4699" xr:uid="{51E09282-E913-4ED6-8E0D-C413A5D4A1F2}"/>
    <cellStyle name="Normal 3 2 3 3 2 3 2 3 3 3" xfId="30237" xr:uid="{B4011CD2-DE1E-4B51-8A66-B3C8C7A5D421}"/>
    <cellStyle name="Normal 3 2 3 3 2 3 2 3 3 3 2" xfId="31380" xr:uid="{BE93AEFA-7DA3-4658-9FC8-146A8E24F6DB}"/>
    <cellStyle name="Normal 3 2 3 3 2 3 2 3 3 4" xfId="31577" xr:uid="{9B4EC05B-CF70-4662-9DB5-17BD8DAB0B95}"/>
    <cellStyle name="Normal 3 2 3 3 2 3 2 4" xfId="25759" xr:uid="{5EC9D443-D6FF-49B3-87CB-0CAAE76577FA}"/>
    <cellStyle name="Normal 3 2 3 3 2 3 3" xfId="858" xr:uid="{00000000-0005-0000-0000-000007050000}"/>
    <cellStyle name="Normal 3 2 3 3 2 3 4" xfId="2919" xr:uid="{00000000-0005-0000-0000-000014050000}"/>
    <cellStyle name="Normal 3 2 3 3 2 3 4 2" xfId="31292" xr:uid="{EB8BC9D9-A033-4C6E-8AEF-B73E94BB5D44}"/>
    <cellStyle name="Normal 3 2 3 3 2 3 5" xfId="2094" xr:uid="{00000000-0005-0000-0000-000008020000}"/>
    <cellStyle name="Normal 3 2 3 3 2 3 5 2" xfId="4649" xr:uid="{F5C0EA0D-9822-4FF4-BD48-55FE3EF7782D}"/>
    <cellStyle name="Normal 3 2 3 3 2 3 5 3" xfId="30175" xr:uid="{EFD41364-146C-4C8A-A23B-7D13531E8C1D}"/>
    <cellStyle name="Normal 3 2 3 3 2 3 5 3 2" xfId="31319" xr:uid="{B91B5B5F-A506-42B7-A20E-383BCA9FFAF5}"/>
    <cellStyle name="Normal 3 2 3 3 2 3 5 4" xfId="31515" xr:uid="{6D671EEF-9106-4A0F-AE0E-B3AC82C22655}"/>
    <cellStyle name="Normal 3 2 3 3 2 3 6" xfId="3957" xr:uid="{0E1DF840-3114-4679-8527-B4509133BFD3}"/>
    <cellStyle name="Normal 3 2 3 3 2 3 6 2" xfId="4703" xr:uid="{EBED180B-3325-462A-919B-62911980F3E3}"/>
    <cellStyle name="Normal 3 2 3 3 2 3 6 3" xfId="30297" xr:uid="{E136CEC1-43EF-4959-B635-DE56F5F46204}"/>
    <cellStyle name="Normal 3 2 3 3 2 3 6 3 2" xfId="31440" xr:uid="{56DB6537-5079-42DC-8C0E-B9EB0AF26203}"/>
    <cellStyle name="Normal 3 2 3 3 2 3 6 4" xfId="31637" xr:uid="{D8E5B5D1-0B28-44DE-9618-995E05721A23}"/>
    <cellStyle name="Normal 3 2 3 3 2 3 7" xfId="30118" xr:uid="{3A8EA0EB-6553-4DE0-BA6D-E554B6EEBC52}"/>
    <cellStyle name="Normal 3 2 3 3 2 3 7 2" xfId="30479" xr:uid="{12261BA5-6EBE-49C8-858C-4433B97E2B8F}"/>
    <cellStyle name="Normal 3 2 3 3 2 4" xfId="859" xr:uid="{00000000-0005-0000-0000-000008050000}"/>
    <cellStyle name="Normal 3 2 3 3 2 4 2" xfId="2918" xr:uid="{00000000-0005-0000-0000-000015050000}"/>
    <cellStyle name="Normal 3 2 3 3 2 4 3" xfId="23493" xr:uid="{8625022A-D38B-4880-84F6-02FA13E60E21}"/>
    <cellStyle name="Normal 3 2 3 3 2 4 3 2" xfId="29619" xr:uid="{0FEE1F9F-C76F-4B8E-A83F-EAD315906FD7}"/>
    <cellStyle name="Normal 3 2 3 3 2 4 3 3" xfId="29598" xr:uid="{ED318358-FA7F-4BE8-8DAF-D6F7186FE3D7}"/>
    <cellStyle name="Normal 3 2 3 3 2 4 3 3 2" xfId="29642" xr:uid="{6DF48563-C650-48F9-9DC2-55B9B6148D77}"/>
    <cellStyle name="Normal 3 2 3 3 2 4 3 3 3" xfId="30384" xr:uid="{BAC9BCB8-EF57-4DA4-B9C1-3F2B8C7FC657}"/>
    <cellStyle name="Normal 3 2 3 3 2 4 3 3 4" xfId="30371" xr:uid="{34267B84-BB81-4C12-8C46-473BBA220C20}"/>
    <cellStyle name="Normal 3 2 3 3 2 4 3 3 4 2" xfId="31710" xr:uid="{592A1166-586C-44C0-A573-38C22F19E4A2}"/>
    <cellStyle name="Normal 3 2 3 3 2 4 3 4" xfId="30354" xr:uid="{93657840-58F4-4379-9A8A-0046F497FB51}"/>
    <cellStyle name="Normal 3 2 3 3 2 4 3 4 2" xfId="31696" xr:uid="{A40DE0E8-AD45-4E9B-94C0-51490D3093FE}"/>
    <cellStyle name="Normal 3 2 3 3 2 5" xfId="2093" xr:uid="{00000000-0005-0000-0000-000006020000}"/>
    <cellStyle name="Normal 3 2 3 3 2 5 2" xfId="4666" xr:uid="{1B4AA995-6D1E-409F-BFE5-CBE6CD7AB94F}"/>
    <cellStyle name="Normal 3 2 3 3 2 5 3" xfId="30174" xr:uid="{5165A243-F4B8-4207-B6E2-4C6179B2331B}"/>
    <cellStyle name="Normal 3 2 3 3 2 5 3 2" xfId="31318" xr:uid="{FE81CBED-C272-45C6-9FD4-ED32FBB04F14}"/>
    <cellStyle name="Normal 3 2 3 3 2 5 4" xfId="31514" xr:uid="{00EFE9D6-E228-47B1-B203-283A8667D08C}"/>
    <cellStyle name="Normal 3 2 3 3 2 6" xfId="3956" xr:uid="{F8E8F1E1-BBD4-4256-B483-D824BDAE78F4}"/>
    <cellStyle name="Normal 3 2 3 3 2 6 2" xfId="4764" xr:uid="{9F42B403-8D69-4B35-A1B8-4F04141A4544}"/>
    <cellStyle name="Normal 3 2 3 3 2 6 3" xfId="30296" xr:uid="{C496E6E4-1282-47C2-B1C7-9961AE8A150D}"/>
    <cellStyle name="Normal 3 2 3 3 2 6 3 2" xfId="31439" xr:uid="{5A0EDD58-F48D-4E4E-BD06-54CD1EEB56F7}"/>
    <cellStyle name="Normal 3 2 3 3 2 6 4" xfId="31636" xr:uid="{C5452A9F-2C0C-47BC-AC38-CC8ACD830D2A}"/>
    <cellStyle name="Normal 3 2 3 3 2 7" xfId="30117" xr:uid="{019B4B8F-7996-40B8-8487-A11E7446390C}"/>
    <cellStyle name="Normal 3 2 3 3 2 7 2" xfId="30478" xr:uid="{A9A1F17C-F870-4AC2-99F8-4C92612CB29A}"/>
    <cellStyle name="Normal 3 2 3 3 3" xfId="860" xr:uid="{00000000-0005-0000-0000-000009050000}"/>
    <cellStyle name="Normal 3 2 3 3 4" xfId="861" xr:uid="{00000000-0005-0000-0000-00000A050000}"/>
    <cellStyle name="Normal 3 2 3 3 4 2" xfId="862" xr:uid="{00000000-0005-0000-0000-00000B050000}"/>
    <cellStyle name="Normal 3 2 3 3 4 2 2" xfId="863" xr:uid="{00000000-0005-0000-0000-00000C050000}"/>
    <cellStyle name="Normal 3 2 3 3 4 2 2 2" xfId="864" xr:uid="{00000000-0005-0000-0000-00000D050000}"/>
    <cellStyle name="Normal 3 2 3 3 4 2 2 2 2" xfId="1989" xr:uid="{00000000-0005-0000-0000-00000E050000}"/>
    <cellStyle name="Normal 3 2 3 3 4 2 2 2 2 2" xfId="30086" xr:uid="{89E53FE7-94C9-4D91-BBC4-6F94CBF85A44}"/>
    <cellStyle name="Normal 3 2 3 3 4 2 2 2 3" xfId="3713" xr:uid="{00000000-0005-0000-0000-00007A040000}"/>
    <cellStyle name="Normal 3 2 3 3 4 2 2 2 3 2" xfId="4775" xr:uid="{3EE6A992-6E14-412B-A546-1161B9E0D3AE}"/>
    <cellStyle name="Normal 3 2 3 3 4 2 2 2 3 3" xfId="30238" xr:uid="{86BCA4BE-8FF9-4E7A-B9DD-185C56EFBE75}"/>
    <cellStyle name="Normal 3 2 3 3 4 2 2 2 3 3 2" xfId="31381" xr:uid="{1A51DAD1-F532-4907-8058-33633595C8CE}"/>
    <cellStyle name="Normal 3 2 3 3 4 2 2 2 3 4" xfId="31578" xr:uid="{E311BA82-333E-46A3-AD01-6013A34DAC67}"/>
    <cellStyle name="Normal 3 2 3 3 4 2 2 2 4" xfId="24732" xr:uid="{08713468-6514-49F8-B4E6-F61F3C4FDA44}"/>
    <cellStyle name="Normal 3 2 3 3 4 2 2 3" xfId="1990" xr:uid="{00000000-0005-0000-0000-00000F050000}"/>
    <cellStyle name="Normal 3 2 3 3 4 2 2 4" xfId="22853" xr:uid="{FAB5457A-0A0A-428D-8F1B-DAFEE4F83219}"/>
    <cellStyle name="Normal 3 2 3 3 4 2 3" xfId="865" xr:uid="{00000000-0005-0000-0000-000010050000}"/>
    <cellStyle name="Normal 3 2 3 3 4 2 3 2" xfId="866" xr:uid="{00000000-0005-0000-0000-000011050000}"/>
    <cellStyle name="Normal 3 2 3 3 4 2 3 2 2" xfId="24504" xr:uid="{EE8B293B-87C8-42E1-AF32-679531BFDE2A}"/>
    <cellStyle name="Normal 3 2 3 3 4 2 3 2 3" xfId="25816" xr:uid="{7C09AC0D-5F28-421E-9E99-2079FC6A8637}"/>
    <cellStyle name="Normal 3 2 3 3 4 2 3 3" xfId="867" xr:uid="{00000000-0005-0000-0000-000012050000}"/>
    <cellStyle name="Normal 3 2 3 3 4 2 3 3 2" xfId="24082" xr:uid="{5907E1A0-6497-4B7D-B2B6-A65DF4324FD1}"/>
    <cellStyle name="Normal 3 2 3 3 4 2 3 3 3" xfId="24459" xr:uid="{1AA0180D-7B02-4838-9AC9-29190EA47CF7}"/>
    <cellStyle name="Normal 3 2 3 3 4 2 3 4" xfId="2096" xr:uid="{00000000-0005-0000-0000-00000E020000}"/>
    <cellStyle name="Normal 3 2 3 3 4 2 3 4 2" xfId="4716" xr:uid="{84F79AEF-86F1-430E-9A02-46E9B0EA2D4B}"/>
    <cellStyle name="Normal 3 2 3 3 4 2 3 4 3" xfId="30177" xr:uid="{DE26479C-16AF-4053-ADA2-2366C14A6988}"/>
    <cellStyle name="Normal 3 2 3 3 4 2 3 4 3 2" xfId="31321" xr:uid="{98ADDAB9-7E5D-4B1A-B857-1BF8F72E74B4}"/>
    <cellStyle name="Normal 3 2 3 3 4 2 3 4 4" xfId="31517" xr:uid="{C975A579-45FB-4F57-850C-66AA6B19B7DF}"/>
    <cellStyle name="Normal 3 2 3 3 4 2 3 5" xfId="25609" xr:uid="{AE0E7AAC-A35C-4739-83F7-24B2349D3A43}"/>
    <cellStyle name="Normal 3 2 3 3 4 2 3 6" xfId="30536" xr:uid="{5DF49D80-F591-4B6B-AC8D-0AA109DB5F47}"/>
    <cellStyle name="Normal 3 2 3 3 4 2 4" xfId="23282" xr:uid="{607B55E2-785A-4475-A5AF-715CB366B607}"/>
    <cellStyle name="Normal 3 2 3 3 4 3" xfId="868" xr:uid="{00000000-0005-0000-0000-000013050000}"/>
    <cellStyle name="Normal 3 2 3 3 4 4" xfId="2920" xr:uid="{00000000-0005-0000-0000-00001D050000}"/>
    <cellStyle name="Normal 3 2 3 3 4 4 2" xfId="31296" xr:uid="{324C98B1-8E30-4CDB-8616-21FD670B2E3A}"/>
    <cellStyle name="Normal 3 2 3 3 4 5" xfId="2095" xr:uid="{00000000-0005-0000-0000-00000B020000}"/>
    <cellStyle name="Normal 3 2 3 3 4 5 2" xfId="3808" xr:uid="{88D4B6F8-D038-4FA2-9B5E-8BA2B2639DFB}"/>
    <cellStyle name="Normal 3 2 3 3 4 5 3" xfId="30176" xr:uid="{CB02CBFB-77EE-4C98-92E6-6936F3E8C9D8}"/>
    <cellStyle name="Normal 3 2 3 3 4 5 3 2" xfId="31320" xr:uid="{F2C34778-01E7-4E78-BC6F-88ABEE2BEE7D}"/>
    <cellStyle name="Normal 3 2 3 3 4 5 4" xfId="31516" xr:uid="{A79C0C5A-7EDD-4B02-A14A-86F26A0520E9}"/>
    <cellStyle name="Normal 3 2 3 3 4 6" xfId="3958" xr:uid="{5C36214B-B9A0-42AD-97C5-679BC9758736}"/>
    <cellStyle name="Normal 3 2 3 3 4 6 2" xfId="4776" xr:uid="{C6EA1D90-BF83-4CD0-B22B-769466A8D247}"/>
    <cellStyle name="Normal 3 2 3 3 4 6 3" xfId="30298" xr:uid="{9F6F5CBA-D16F-48D0-91E5-EA178C3A599A}"/>
    <cellStyle name="Normal 3 2 3 3 4 6 3 2" xfId="31441" xr:uid="{A0375E49-2C8F-471E-911A-A63C71DA3145}"/>
    <cellStyle name="Normal 3 2 3 3 4 6 4" xfId="31638" xr:uid="{849E470A-FB03-4831-8FE0-135351CE5670}"/>
    <cellStyle name="Normal 3 2 3 3 4 7" xfId="30119" xr:uid="{21708935-4338-4B04-A5B4-2B12A5C766F5}"/>
    <cellStyle name="Normal 3 2 3 3 4 7 2" xfId="30480" xr:uid="{F378E57F-2EEC-4F55-AB97-A5FA15FB5A75}"/>
    <cellStyle name="Normal 3 2 3 3 5" xfId="869" xr:uid="{00000000-0005-0000-0000-000014050000}"/>
    <cellStyle name="Normal 3 2 3 3 5 2" xfId="870" xr:uid="{00000000-0005-0000-0000-000015050000}"/>
    <cellStyle name="Normal 3 2 3 3 5 3" xfId="3714" xr:uid="{00000000-0005-0000-0000-000081040000}"/>
    <cellStyle name="Normal 3 2 3 3 5 3 2" xfId="4789" xr:uid="{345DF071-92C4-4D83-A3A4-5CDB82EFF459}"/>
    <cellStyle name="Normal 3 2 3 3 5 3 2 2" xfId="27326" xr:uid="{36392154-9601-4751-B21A-9FC0AC69F7FB}"/>
    <cellStyle name="Normal 3 2 3 3 5 3 3" xfId="25727" xr:uid="{5EC24068-D279-40A6-85E3-7D41DE988994}"/>
    <cellStyle name="Normal 3 2 3 3 5 3 4" xfId="30239" xr:uid="{57A3C330-EEF1-4F13-A663-4A6AAFC7B558}"/>
    <cellStyle name="Normal 3 2 3 3 5 3 4 2" xfId="31382" xr:uid="{BFC026E1-24FA-40A5-A536-7FBCD1AA6124}"/>
    <cellStyle name="Normal 3 2 3 3 5 3 5" xfId="31579" xr:uid="{78178B15-934C-461A-998B-6869636634B9}"/>
    <cellStyle name="Normal 3 2 3 3 5 4" xfId="25712" xr:uid="{FCFAC2BB-862B-4984-8025-D41B2E849CF9}"/>
    <cellStyle name="Normal 3 2 3 4" xfId="871" xr:uid="{00000000-0005-0000-0000-000016050000}"/>
    <cellStyle name="Normal 3 2 3 4 2" xfId="872" xr:uid="{00000000-0005-0000-0000-000017050000}"/>
    <cellStyle name="Normal 3 2 3 4 3" xfId="873" xr:uid="{00000000-0005-0000-0000-000018050000}"/>
    <cellStyle name="Normal 3 2 3 4 3 2" xfId="874" xr:uid="{00000000-0005-0000-0000-000019050000}"/>
    <cellStyle name="Normal 3 2 3 4 3 2 2" xfId="875" xr:uid="{00000000-0005-0000-0000-00001A050000}"/>
    <cellStyle name="Normal 3 2 3 4 3 2 2 2" xfId="25787" xr:uid="{CF3F732A-3464-44B7-ACAC-54207065C4A1}"/>
    <cellStyle name="Normal 3 2 3 4 3 2 2 3" xfId="24091" xr:uid="{464BB80B-BDC8-41C8-913C-E7E41BB7A4DF}"/>
    <cellStyle name="Normal 3 2 3 4 3 2 3" xfId="876" xr:uid="{00000000-0005-0000-0000-00001B050000}"/>
    <cellStyle name="Normal 3 2 3 4 3 2 3 2" xfId="1991" xr:uid="{00000000-0005-0000-0000-00001C050000}"/>
    <cellStyle name="Normal 3 2 3 4 3 2 3 3" xfId="3715" xr:uid="{00000000-0005-0000-0000-000088040000}"/>
    <cellStyle name="Normal 3 2 3 4 3 2 3 3 2" xfId="4771" xr:uid="{3F5C8904-0CB7-4A62-A566-1B839756158A}"/>
    <cellStyle name="Normal 3 2 3 4 3 2 3 3 3" xfId="30240" xr:uid="{09A3577F-9760-4766-9C2F-D9019747DF4A}"/>
    <cellStyle name="Normal 3 2 3 4 3 2 3 3 3 2" xfId="31383" xr:uid="{A4473E79-1F75-4888-8BBE-EA2C63CD76A1}"/>
    <cellStyle name="Normal 3 2 3 4 3 2 3 3 4" xfId="31580" xr:uid="{4CCDC4C7-EF66-4862-AB6F-4192F6078FC6}"/>
    <cellStyle name="Normal 3 2 3 4 3 2 4" xfId="25825" xr:uid="{1A6B0C1D-1919-427D-8E6B-3883E899BAEA}"/>
    <cellStyle name="Normal 3 2 3 4 3 3" xfId="877" xr:uid="{00000000-0005-0000-0000-00001D050000}"/>
    <cellStyle name="Normal 3 2 3 4 3 4" xfId="2921" xr:uid="{00000000-0005-0000-0000-000023050000}"/>
    <cellStyle name="Normal 3 2 3 4 3 4 2" xfId="31285" xr:uid="{8B70590F-73CC-44E1-B466-2B324B3DBBCB}"/>
    <cellStyle name="Normal 3 2 3 4 3 5" xfId="2098" xr:uid="{00000000-0005-0000-0000-000012020000}"/>
    <cellStyle name="Normal 3 2 3 4 3 5 2" xfId="4671" xr:uid="{C7488697-347C-4027-9144-3C9AC3B4D98F}"/>
    <cellStyle name="Normal 3 2 3 4 3 5 3" xfId="30179" xr:uid="{72FD9D08-8B3A-4237-9D8B-137B965D383B}"/>
    <cellStyle name="Normal 3 2 3 4 3 5 3 2" xfId="31323" xr:uid="{45EA9506-8E31-4B6C-9642-21F6D94811EA}"/>
    <cellStyle name="Normal 3 2 3 4 3 5 4" xfId="31519" xr:uid="{57B4B3E7-6D59-438C-A24A-74EBC3100FE4}"/>
    <cellStyle name="Normal 3 2 3 4 3 6" xfId="3960" xr:uid="{D1FAA155-8172-43EB-ACF9-9A7AA25E3D6E}"/>
    <cellStyle name="Normal 3 2 3 4 3 6 2" xfId="4784" xr:uid="{8A9EA233-ABD3-42E4-B860-F2A4E0132FC1}"/>
    <cellStyle name="Normal 3 2 3 4 3 6 3" xfId="30300" xr:uid="{81B67AB2-71E6-4678-8CF3-9987E9088F9B}"/>
    <cellStyle name="Normal 3 2 3 4 3 6 3 2" xfId="31443" xr:uid="{A98CF9BE-AAE6-4825-8E47-7EAA17C2BBF3}"/>
    <cellStyle name="Normal 3 2 3 4 3 6 4" xfId="31640" xr:uid="{AAEDCB10-67E7-4420-AA2F-0DDA1928FE65}"/>
    <cellStyle name="Normal 3 2 3 4 3 7" xfId="30121" xr:uid="{B13A17FC-0920-42D9-BFD0-704A408A0A4C}"/>
    <cellStyle name="Normal 3 2 3 4 3 7 2" xfId="30482" xr:uid="{10C38449-8AAA-4472-A41E-21A90DBA3EF1}"/>
    <cellStyle name="Normal 3 2 3 4 4" xfId="878" xr:uid="{00000000-0005-0000-0000-00001E050000}"/>
    <cellStyle name="Normal 3 2 3 4 4 2" xfId="1992" xr:uid="{00000000-0005-0000-0000-00001F050000}"/>
    <cellStyle name="Normal 3 2 3 4 4 3" xfId="3716" xr:uid="{00000000-0005-0000-0000-00008B040000}"/>
    <cellStyle name="Normal 3 2 3 4 4 3 2" xfId="4731" xr:uid="{6712E95B-D981-4590-85C2-AC9FC672C3C9}"/>
    <cellStyle name="Normal 3 2 3 4 4 3 3" xfId="30241" xr:uid="{4F7F6943-EDBD-49B8-92F4-C7F6E5EFC9D8}"/>
    <cellStyle name="Normal 3 2 3 4 4 3 3 2" xfId="31384" xr:uid="{7D216875-FD6D-42D1-B93A-66F40255D01A}"/>
    <cellStyle name="Normal 3 2 3 4 4 3 4" xfId="31581" xr:uid="{E9786FEF-20D7-44D2-9C67-93A7FB8E137B}"/>
    <cellStyle name="Normal 3 2 3 4 5" xfId="2097" xr:uid="{00000000-0005-0000-0000-000010020000}"/>
    <cellStyle name="Normal 3 2 3 4 5 2" xfId="3778" xr:uid="{8B0DC8D1-7DE9-4171-A63D-3B65DE7CC539}"/>
    <cellStyle name="Normal 3 2 3 4 5 3" xfId="30178" xr:uid="{92251D01-4C43-436B-89CC-A84B9DD25DD4}"/>
    <cellStyle name="Normal 3 2 3 4 5 3 2" xfId="31322" xr:uid="{FCE2C500-F43A-4375-A00C-E81F083CEF3F}"/>
    <cellStyle name="Normal 3 2 3 4 5 4" xfId="31518" xr:uid="{EB794679-BCC2-4055-AC27-37AACFDD1FB4}"/>
    <cellStyle name="Normal 3 2 3 4 6" xfId="3959" xr:uid="{C6836599-ECCD-4EBB-AA38-ABF0279C67FA}"/>
    <cellStyle name="Normal 3 2 3 4 6 2" xfId="4749" xr:uid="{E32033F8-C2D4-4D9A-8197-D59BB0805FFB}"/>
    <cellStyle name="Normal 3 2 3 4 6 3" xfId="30299" xr:uid="{D8F87D88-0F19-481C-A1CC-3146338754DB}"/>
    <cellStyle name="Normal 3 2 3 4 6 3 2" xfId="31442" xr:uid="{B4A69638-323B-49E7-90F5-90FE0D97664A}"/>
    <cellStyle name="Normal 3 2 3 4 6 4" xfId="31639" xr:uid="{7FD9D19C-1E53-40EA-BF81-22379F781951}"/>
    <cellStyle name="Normal 3 2 3 4 7" xfId="30120" xr:uid="{2902EA16-525C-4490-96D7-08F0557F0425}"/>
    <cellStyle name="Normal 3 2 3 4 7 2" xfId="30481" xr:uid="{DF6E23B2-6945-41B0-8306-2F702DBA91A9}"/>
    <cellStyle name="Normal 3 2 3 5" xfId="2066" xr:uid="{00000000-0005-0000-0000-000003020000}"/>
    <cellStyle name="Normal 3 2 3 5 2" xfId="4738" xr:uid="{1DEEA62F-24B4-4396-B677-5B3167946642}"/>
    <cellStyle name="Normal 3 2 3 5 3" xfId="30166" xr:uid="{75BDF039-D1D0-4720-91AF-54BBB162394D}"/>
    <cellStyle name="Normal 3 2 3 5 3 2" xfId="30483" xr:uid="{7C8CED2E-CFB8-4B18-9B98-486CBBF1CEE6}"/>
    <cellStyle name="Normal 3 2 3 5 4" xfId="31506" xr:uid="{D2C494B6-B581-4571-B629-4078CCA1DF19}"/>
    <cellStyle name="Normal 3 2 3 6" xfId="30112" xr:uid="{2DA27080-57C7-488E-9E66-228C66F3BB6F}"/>
    <cellStyle name="Normal 3 2 3 6 2" xfId="30471" xr:uid="{CBE48B84-9220-4165-B20B-487010328F48}"/>
    <cellStyle name="Normal 3 2 4" xfId="879" xr:uid="{00000000-0005-0000-0000-000020050000}"/>
    <cellStyle name="Normal 3 2 4 2" xfId="880" xr:uid="{00000000-0005-0000-0000-000021050000}"/>
    <cellStyle name="Normal 3 2 4 3" xfId="881" xr:uid="{00000000-0005-0000-0000-000022050000}"/>
    <cellStyle name="Normal 3 2 4 3 2" xfId="882" xr:uid="{00000000-0005-0000-0000-000023050000}"/>
    <cellStyle name="Normal 3 2 4 3 2 2" xfId="883" xr:uid="{00000000-0005-0000-0000-000024050000}"/>
    <cellStyle name="Normal 3 2 4 3 2 2 2" xfId="25818" xr:uid="{3EF99F25-A57D-4DC0-97CB-91B0DD3F630F}"/>
    <cellStyle name="Normal 3 2 4 3 2 2 3" xfId="25695" xr:uid="{19CA29BA-DCD1-4906-9A5C-D706283E436C}"/>
    <cellStyle name="Normal 3 2 4 3 2 3" xfId="884" xr:uid="{00000000-0005-0000-0000-000025050000}"/>
    <cellStyle name="Normal 3 2 4 3 2 3 2" xfId="1993" xr:uid="{00000000-0005-0000-0000-000026050000}"/>
    <cellStyle name="Normal 3 2 4 3 2 3 3" xfId="3717" xr:uid="{00000000-0005-0000-0000-000092040000}"/>
    <cellStyle name="Normal 3 2 4 3 2 3 3 2" xfId="4701" xr:uid="{E7124F84-1902-4C52-813A-2AD87B201F7F}"/>
    <cellStyle name="Normal 3 2 4 3 2 3 3 3" xfId="30242" xr:uid="{FB3B0704-45A1-4B1D-8FF2-DBF25C1101E3}"/>
    <cellStyle name="Normal 3 2 4 3 2 3 3 3 2" xfId="31385" xr:uid="{C389EE42-3048-406A-ACE1-5B5798D31786}"/>
    <cellStyle name="Normal 3 2 4 3 2 3 3 4" xfId="31582" xr:uid="{E69F89CA-AEBA-4937-8B6F-1B0F7B1F1450}"/>
    <cellStyle name="Normal 3 2 4 3 2 4" xfId="23427" xr:uid="{F5F16304-98F9-4382-9EBD-05DA6A2307A4}"/>
    <cellStyle name="Normal 3 2 4 3 3" xfId="885" xr:uid="{00000000-0005-0000-0000-000027050000}"/>
    <cellStyle name="Normal 3 2 4 3 4" xfId="2923" xr:uid="{00000000-0005-0000-0000-00002A050000}"/>
    <cellStyle name="Normal 3 2 4 3 4 2" xfId="31287" xr:uid="{C5493F1B-7833-429B-A3F9-F86186048626}"/>
    <cellStyle name="Normal 3 2 4 3 5" xfId="2100" xr:uid="{00000000-0005-0000-0000-000016020000}"/>
    <cellStyle name="Normal 3 2 4 3 5 2" xfId="4686" xr:uid="{06BFEBE3-1397-400F-9E69-D60195609A34}"/>
    <cellStyle name="Normal 3 2 4 3 5 3" xfId="30181" xr:uid="{CAF84CE8-A6AE-4653-8439-E2C2CC100971}"/>
    <cellStyle name="Normal 3 2 4 3 5 3 2" xfId="31325" xr:uid="{CD2BA927-620B-4490-8DBC-65DFEFB5E7E2}"/>
    <cellStyle name="Normal 3 2 4 3 5 4" xfId="31521" xr:uid="{F7EE645A-A73D-47E9-8833-528052C962F3}"/>
    <cellStyle name="Normal 3 2 4 3 6" xfId="3963" xr:uid="{C9BE7447-0E91-41CB-9714-02F1C566D84A}"/>
    <cellStyle name="Normal 3 2 4 3 6 2" xfId="4788" xr:uid="{0C195683-FC3A-4228-8CFA-81C976438B43}"/>
    <cellStyle name="Normal 3 2 4 3 6 3" xfId="30302" xr:uid="{5B46428E-4B5D-4956-93B7-0F396B73A2B2}"/>
    <cellStyle name="Normal 3 2 4 3 6 3 2" xfId="31445" xr:uid="{5A6B4B77-3513-4B99-8042-BE10B0FA72A0}"/>
    <cellStyle name="Normal 3 2 4 3 6 4" xfId="31642" xr:uid="{B3547189-4D1A-4E73-AD27-78C5227CE173}"/>
    <cellStyle name="Normal 3 2 4 3 7" xfId="30123" xr:uid="{2FC8C8CB-77C8-4CE3-9500-8BBF0E8D3D67}"/>
    <cellStyle name="Normal 3 2 4 3 7 2" xfId="30485" xr:uid="{FF9CD143-3DC5-4E78-9669-CDD5E69991DD}"/>
    <cellStyle name="Normal 3 2 4 4" xfId="2922" xr:uid="{00000000-0005-0000-0000-00002B050000}"/>
    <cellStyle name="Normal 3 2 4 4 2" xfId="25747" xr:uid="{F4A474D2-41DD-4D0C-B5D7-FFDAF17C5566}"/>
    <cellStyle name="Normal 3 2 4 4 2 2" xfId="29626" xr:uid="{0DCF3C32-0EA3-482C-941C-B4A52CDFF34B}"/>
    <cellStyle name="Normal 3 2 4 4 2 3" xfId="29599" xr:uid="{193FC249-A10F-445C-95C0-0B33E7ED076A}"/>
    <cellStyle name="Normal 3 2 4 4 2 3 2" xfId="29643" xr:uid="{150E5878-774A-4368-848F-E3C08FDFC92C}"/>
    <cellStyle name="Normal 3 2 4 4 2 3 3" xfId="30385" xr:uid="{EAB09D60-EC65-4583-A401-605E05C9795F}"/>
    <cellStyle name="Normal 3 2 4 4 2 3 4" xfId="30372" xr:uid="{EC861FD9-BC0C-408C-9531-DE32A58E2953}"/>
    <cellStyle name="Normal 3 2 4 4 2 3 4 2" xfId="31711" xr:uid="{3FB41312-390E-4923-8C3C-F8147726A4F3}"/>
    <cellStyle name="Normal 3 2 4 4 2 4" xfId="30355" xr:uid="{C34059E2-DD63-4FD3-8EEB-54B190A38F45}"/>
    <cellStyle name="Normal 3 2 4 4 2 4 2" xfId="31697" xr:uid="{6DCD7FB8-B5FD-4C77-BBC6-EAED650E4CF3}"/>
    <cellStyle name="Normal 3 2 4 4 3" xfId="24728" xr:uid="{154F7FD8-B3F3-4487-878D-5A0175DAC264}"/>
    <cellStyle name="Normal 3 2 4 5" xfId="2099" xr:uid="{00000000-0005-0000-0000-000014020000}"/>
    <cellStyle name="Normal 3 2 4 5 2" xfId="4645" xr:uid="{3EC2113D-E49B-4038-9F23-778F9B5DB2AD}"/>
    <cellStyle name="Normal 3 2 4 5 3" xfId="30180" xr:uid="{8EA82334-E7EE-4E69-990C-4DEAF38099AA}"/>
    <cellStyle name="Normal 3 2 4 5 3 2" xfId="31324" xr:uid="{E9CBBCA5-54AD-468F-B466-AB0737888486}"/>
    <cellStyle name="Normal 3 2 4 5 4" xfId="31520" xr:uid="{B5FE814E-E042-40D9-B41A-A129B9C70AF7}"/>
    <cellStyle name="Normal 3 2 4 6" xfId="3962" xr:uid="{7B02E248-334A-4390-803D-03A9529B2562}"/>
    <cellStyle name="Normal 3 2 4 6 2" xfId="4817" xr:uid="{2DE6B781-6A0F-4C4A-A762-5BA32CF9F8AB}"/>
    <cellStyle name="Normal 3 2 4 6 3" xfId="30301" xr:uid="{DD7F06BC-48FB-45F1-B5D9-2F7DC116529F}"/>
    <cellStyle name="Normal 3 2 4 6 3 2" xfId="31444" xr:uid="{F10D9DC9-263D-4EE8-996D-1DD37EFF76EA}"/>
    <cellStyle name="Normal 3 2 4 6 4" xfId="31641" xr:uid="{BCC20E6B-1DD8-47F1-B716-180F52FE094F}"/>
    <cellStyle name="Normal 3 2 4 7" xfId="30122" xr:uid="{2CF31ED3-BF8A-4420-A35A-63A9374EE9CB}"/>
    <cellStyle name="Normal 3 2 4 7 2" xfId="30484" xr:uid="{E8D1DD0B-859F-4702-9615-4F14D8E78C95}"/>
    <cellStyle name="Normal 3 2 5" xfId="29571" xr:uid="{750150B5-C7CA-4EA6-BA0D-6C0AEF29E2A9}"/>
    <cellStyle name="Normal 3 2 5 2" xfId="29630" xr:uid="{FC40ABBD-3EDE-4371-9FF9-A208F204AC39}"/>
    <cellStyle name="Normal 3 2 5 2 2" xfId="31250" xr:uid="{F12AF8C4-3DE1-4158-AA8E-7806F3A8EF51}"/>
    <cellStyle name="Normal 3 2 5 2 3" xfId="30467" xr:uid="{A19572E5-C2FE-4995-B8C9-236F90541CCE}"/>
    <cellStyle name="Normal 3 2 5 3" xfId="29600" xr:uid="{4BE0FB2A-CFA3-46C2-A6F3-5BD4CCDE876F}"/>
    <cellStyle name="Normal 3 2 5 3 2" xfId="29644" xr:uid="{012C5423-63EC-45C8-AB0D-9143CDABBBAF}"/>
    <cellStyle name="Normal 3 2 5 3 3" xfId="30386" xr:uid="{61D53CD0-CA5E-4F77-91D4-46F773F8DF85}"/>
    <cellStyle name="Normal 3 2 5 3 4" xfId="30373" xr:uid="{901B8119-F76A-44E0-936C-BA78095F8F22}"/>
    <cellStyle name="Normal 3 2 5 3 4 2" xfId="31712" xr:uid="{48E12EBD-4D36-46FA-BCC1-A806C8B17EDF}"/>
    <cellStyle name="Normal 3 2 5 4" xfId="29634" xr:uid="{B70E0C93-0F24-4A65-9A4C-6AA94B1973D9}"/>
    <cellStyle name="Normal 3 2 5 5" xfId="30356" xr:uid="{8D54E739-13BE-4332-8917-3C2D88CE836D}"/>
    <cellStyle name="Normal 3 2 5 5 2" xfId="31244" xr:uid="{93394BE0-19B6-4E50-8418-A98C9A434D03}"/>
    <cellStyle name="Normal 3 2 5 5 3" xfId="31698" xr:uid="{59429AA2-65FA-427B-BCCC-AF076B796573}"/>
    <cellStyle name="Normal 3 2 6" xfId="30109" xr:uid="{E75C1CB2-D09F-4E20-9707-91B0AD896C89}"/>
    <cellStyle name="Normal 3 2 6 2" xfId="31495" xr:uid="{75618FDA-0DC1-449E-A37B-B4C7EE151DBA}"/>
    <cellStyle name="Normal 3 3" xfId="886" xr:uid="{00000000-0005-0000-0000-000028050000}"/>
    <cellStyle name="Normal 3 3 2" xfId="29572" xr:uid="{255EAE38-A587-454A-A10E-047DE88AEFA0}"/>
    <cellStyle name="Normal 3 4" xfId="29573" xr:uid="{2F3070F6-1C88-4374-9425-21AEE0A4DFFB}"/>
    <cellStyle name="Normal 3 4 2" xfId="29631" xr:uid="{56437A54-78A7-4336-835A-B2D545FA46F6}"/>
    <cellStyle name="Normal 3 4 3" xfId="29592" xr:uid="{8EA9A8F3-AE43-4EF4-960D-AD7C26FB738D}"/>
    <cellStyle name="Normal 4" xfId="887" xr:uid="{00000000-0005-0000-0000-000029050000}"/>
    <cellStyle name="Normal 4 10" xfId="888" xr:uid="{00000000-0005-0000-0000-00002A050000}"/>
    <cellStyle name="Normal 4 10 10" xfId="9777" xr:uid="{124714D4-58FE-4A1A-95C3-0A3FC13E102A}"/>
    <cellStyle name="Normal 4 10 10 2" xfId="20157" xr:uid="{75151CA6-0830-4718-974F-DA1C711EC993}"/>
    <cellStyle name="Normal 4 10 11" xfId="22800" xr:uid="{DF8820E2-133B-4E33-BD57-2890C0DB6BE3}"/>
    <cellStyle name="Normal 4 10 12" xfId="12579" xr:uid="{A0231339-5278-4006-B10A-D98724736073}"/>
    <cellStyle name="Normal 4 10 2" xfId="889" xr:uid="{00000000-0005-0000-0000-00002B050000}"/>
    <cellStyle name="Normal 4 10 2 2" xfId="890" xr:uid="{00000000-0005-0000-0000-00002C050000}"/>
    <cellStyle name="Normal 4 10 2 2 2" xfId="5196" xr:uid="{2F990ED6-C403-433B-9416-DF936D9A58B9}"/>
    <cellStyle name="Normal 4 10 2 2 2 2" xfId="25733" xr:uid="{8EAC1899-FCAE-42AF-B292-F3C46DB240FD}"/>
    <cellStyle name="Normal 4 10 2 2 2 3" xfId="27275" xr:uid="{A64401EC-5285-4578-B7C7-D6B097D78689}"/>
    <cellStyle name="Normal 4 10 2 2 2 4" xfId="14493" xr:uid="{E7C4EC7E-9AAD-49FD-B157-0C8E5BCC24FC}"/>
    <cellStyle name="Normal 4 10 2 2 3" xfId="6946" xr:uid="{52EE871B-7087-409F-9C4F-E922AA7F83F3}"/>
    <cellStyle name="Normal 4 10 2 2 3 2" xfId="27607" xr:uid="{EDB7409E-4EFD-4903-9940-6903E7494269}"/>
    <cellStyle name="Normal 4 10 2 2 3 3" xfId="26627" xr:uid="{BAC96558-61F5-4DE7-BDC4-B43C1B7A7531}"/>
    <cellStyle name="Normal 4 10 2 2 3 4" xfId="17326" xr:uid="{76CC529E-0A0D-42AD-81FA-974DF2153082}"/>
    <cellStyle name="Normal 4 10 2 2 4" xfId="9779" xr:uid="{DBBF66FF-173D-4216-935C-22F75CD999F5}"/>
    <cellStyle name="Normal 4 10 2 2 4 2" xfId="29407" xr:uid="{89B580D3-DD76-45DF-8750-08C22EC08327}"/>
    <cellStyle name="Normal 4 10 2 2 4 3" xfId="20159" xr:uid="{4ECA2B16-6E25-4D5B-AFA6-B30E1F70021C}"/>
    <cellStyle name="Normal 4 10 2 2 5" xfId="23921" xr:uid="{104E3D88-6CBC-44D8-B9F2-BEAC9DD3083B}"/>
    <cellStyle name="Normal 4 10 2 2 6" xfId="13819" xr:uid="{9E4BF900-B394-4381-A3AD-81D1670F5184}"/>
    <cellStyle name="Normal 4 10 2 3" xfId="2759" xr:uid="{00000000-0005-0000-0000-000031050000}"/>
    <cellStyle name="Normal 4 10 2 3 2" xfId="5977" xr:uid="{CD34A8B9-3B58-4C5E-9CD2-ACBBE4EE33D3}"/>
    <cellStyle name="Normal 4 10 2 3 2 2" xfId="27608" xr:uid="{57EC37BA-FA62-4027-8554-F8D55147A022}"/>
    <cellStyle name="Normal 4 10 2 3 2 3" xfId="15430" xr:uid="{AD4EA0E3-BDF6-4138-BDE3-11682B8BF146}"/>
    <cellStyle name="Normal 4 10 2 3 3" xfId="7883" xr:uid="{A88F4761-7BB3-4048-BEB8-B05CE1392E24}"/>
    <cellStyle name="Normal 4 10 2 3 3 2" xfId="18263" xr:uid="{4F2930A9-615B-4D19-A7D8-75C546950B3C}"/>
    <cellStyle name="Normal 4 10 2 3 4" xfId="10716" xr:uid="{1A351FCC-9811-46B5-BF3B-5BB71B02F51D}"/>
    <cellStyle name="Normal 4 10 2 3 4 2" xfId="21096" xr:uid="{003F525A-3718-4585-88D3-595F3991A7B1}"/>
    <cellStyle name="Normal 4 10 2 3 5" xfId="23269" xr:uid="{F222276F-E2A3-49D9-8473-5AB2636BB857}"/>
    <cellStyle name="Normal 4 10 2 3 6" xfId="13205" xr:uid="{F353F1D6-BE84-4FA7-99E5-62DCA8E8199A}"/>
    <cellStyle name="Normal 4 10 2 4" xfId="4177" xr:uid="{64D4522C-9833-489C-A11E-8967B3AE04DC}"/>
    <cellStyle name="Normal 4 10 2 4 2" xfId="8949" xr:uid="{4A4CF90D-1119-4D6F-9E60-40792F233AB2}"/>
    <cellStyle name="Normal 4 10 2 4 2 2" xfId="29039" xr:uid="{C6649890-FA54-4194-AFE2-7FB2A9751A0E}"/>
    <cellStyle name="Normal 4 10 2 4 2 3" xfId="19329" xr:uid="{E43D67DB-6AFB-4D7F-A589-3770049FB9B0}"/>
    <cellStyle name="Normal 4 10 2 4 3" xfId="11782" xr:uid="{4A9C5750-FFB1-49CA-96CA-C07EBA6AC803}"/>
    <cellStyle name="Normal 4 10 2 4 3 2" xfId="22162" xr:uid="{2468264E-ABFB-4540-9DD4-0F7D7AD581B4}"/>
    <cellStyle name="Normal 4 10 2 4 4" xfId="23561" xr:uid="{B21780F6-0BF4-45CE-A462-C823F73BF55B}"/>
    <cellStyle name="Normal 4 10 2 4 5" xfId="16496" xr:uid="{DAFC14F9-0A12-427D-99CD-D54784F738DB}"/>
    <cellStyle name="Normal 4 10 2 5" xfId="5195" xr:uid="{4C483B6D-F99C-4B05-A1C7-57FA01DAB4FE}"/>
    <cellStyle name="Normal 4 10 2 5 2" xfId="28295" xr:uid="{FEBE1B3F-2BA5-47F7-BDDB-4A373A169525}"/>
    <cellStyle name="Normal 4 10 2 5 3" xfId="14492" xr:uid="{47A2088D-36D2-43B9-BB01-2CE873797F06}"/>
    <cellStyle name="Normal 4 10 2 6" xfId="6945" xr:uid="{1812DBF2-AC43-42C8-BB06-3A4BCCF931A4}"/>
    <cellStyle name="Normal 4 10 2 6 2" xfId="17325" xr:uid="{BD41452F-9AA6-46CE-9258-469684009A0E}"/>
    <cellStyle name="Normal 4 10 2 7" xfId="9778" xr:uid="{38551E4C-25A5-4760-BDFD-02D162B85D0F}"/>
    <cellStyle name="Normal 4 10 2 7 2" xfId="20158" xr:uid="{FCFD3159-8091-4CAA-9037-3A42E64BE277}"/>
    <cellStyle name="Normal 4 10 2 8" xfId="23611" xr:uid="{7F941E2A-5B00-435A-803E-7194FC9FD7CA}"/>
    <cellStyle name="Normal 4 10 2 9" xfId="12737" xr:uid="{9CDAF916-CA42-4BCB-898B-C40C959CFE87}"/>
    <cellStyle name="Normal 4 10 3" xfId="891" xr:uid="{00000000-0005-0000-0000-00002D050000}"/>
    <cellStyle name="Normal 4 10 3 2" xfId="4503" xr:uid="{6D16362C-AFEA-486B-8920-367F7420926C}"/>
    <cellStyle name="Normal 4 10 3 2 2" xfId="9275" xr:uid="{99780004-FDCD-4A0B-8152-2B60D64E3786}"/>
    <cellStyle name="Normal 4 10 3 2 2 2" xfId="29258" xr:uid="{2F30D234-DB78-4265-8658-4B0C0ACB0F03}"/>
    <cellStyle name="Normal 4 10 3 2 2 3" xfId="19655" xr:uid="{B1679AD5-1DD9-4259-88D7-6A9BEE476E54}"/>
    <cellStyle name="Normal 4 10 3 2 3" xfId="12108" xr:uid="{50409475-3339-438E-80D2-61FED637081C}"/>
    <cellStyle name="Normal 4 10 3 2 3 2" xfId="22488" xr:uid="{F584AAFA-DE45-43FC-AAB2-E438922775AE}"/>
    <cellStyle name="Normal 4 10 3 2 4" xfId="22876" xr:uid="{997B49FD-8D98-4B16-80E4-A50EDD2F2198}"/>
    <cellStyle name="Normal 4 10 3 2 5" xfId="16822" xr:uid="{ABF2F5DB-F94C-4116-9E2C-9D552532713D}"/>
    <cellStyle name="Normal 4 10 3 3" xfId="5197" xr:uid="{B1CC3607-94B5-4810-A1F3-7395FF18D1D6}"/>
    <cellStyle name="Normal 4 10 3 3 2" xfId="26813" xr:uid="{DF47A49C-0534-4116-AF38-6B71D8670BF1}"/>
    <cellStyle name="Normal 4 10 3 3 3" xfId="28469" xr:uid="{444FA6A7-6F81-48B9-A252-972A6C01D4C5}"/>
    <cellStyle name="Normal 4 10 3 3 4" xfId="14494" xr:uid="{0A2C7E0F-5ACA-417E-80A8-ECD75776F153}"/>
    <cellStyle name="Normal 4 10 3 4" xfId="6947" xr:uid="{4CF10D0D-797B-4C01-A8B0-EA55739C4E27}"/>
    <cellStyle name="Normal 4 10 3 4 2" xfId="25988" xr:uid="{D21D2495-EC4E-44BB-94AE-D83A4A64BA0B}"/>
    <cellStyle name="Normal 4 10 3 4 3" xfId="27106" xr:uid="{D70869A4-D7A0-4CD3-B673-5D493D3B83D5}"/>
    <cellStyle name="Normal 4 10 3 4 4" xfId="17327" xr:uid="{9BAD3453-D6AB-4662-8C5A-2F959146F325}"/>
    <cellStyle name="Normal 4 10 3 5" xfId="9780" xr:uid="{31153C1E-094A-4FAD-A2C8-AED2E6C459AA}"/>
    <cellStyle name="Normal 4 10 3 5 2" xfId="29408" xr:uid="{4DE15F0B-35BB-4D38-A351-1ACED23A656C}"/>
    <cellStyle name="Normal 4 10 3 5 3" xfId="20160" xr:uid="{FD4E44EC-FD3D-4838-A3BF-0409A06AAEAC}"/>
    <cellStyle name="Normal 4 10 3 6" xfId="22990" xr:uid="{909C1C0E-4459-460F-951C-D2504AD3D7ED}"/>
    <cellStyle name="Normal 4 10 3 7" xfId="13820" xr:uid="{78C8ED3A-E916-42F1-9E5C-77BEA5976622}"/>
    <cellStyle name="Normal 4 10 4" xfId="892" xr:uid="{00000000-0005-0000-0000-00002E050000}"/>
    <cellStyle name="Normal 4 10 4 2" xfId="5198" xr:uid="{29225B61-10D6-49E4-B689-7DA29A6BC097}"/>
    <cellStyle name="Normal 4 10 4 2 2" xfId="24956" xr:uid="{AEE2E6C1-3E49-4E6D-88C0-09DAAF73B352}"/>
    <cellStyle name="Normal 4 10 4 2 3" xfId="26659" xr:uid="{A8DEA6AF-CFB8-44D7-88A6-3CE79EA9FEB1}"/>
    <cellStyle name="Normal 4 10 4 2 4" xfId="14495" xr:uid="{67D78960-714B-470E-9828-13225757EC63}"/>
    <cellStyle name="Normal 4 10 4 3" xfId="6948" xr:uid="{3512A52E-2E69-4AEB-A4C3-1CFB7C727ABA}"/>
    <cellStyle name="Normal 4 10 4 3 2" xfId="26558" xr:uid="{BDC09E19-A8DC-4F8A-839B-81911E093972}"/>
    <cellStyle name="Normal 4 10 4 3 3" xfId="17328" xr:uid="{65139410-F264-46EF-B0CB-80BB4D5CA6DD}"/>
    <cellStyle name="Normal 4 10 4 4" xfId="9781" xr:uid="{9A037222-1BFE-4570-BCCA-F6B2B6A7F055}"/>
    <cellStyle name="Normal 4 10 4 4 2" xfId="20161" xr:uid="{6F7FF800-D959-46B1-8723-FBFEA0A67264}"/>
    <cellStyle name="Normal 4 10 4 5" xfId="25038" xr:uid="{23F471A2-23CF-485A-9470-EB8A1B60AB72}"/>
    <cellStyle name="Normal 4 10 4 6" xfId="13435" xr:uid="{CF48DE48-ED86-4D90-A8D2-8D05C52D06FF}"/>
    <cellStyle name="Normal 4 10 5" xfId="2566" xr:uid="{00000000-0005-0000-0000-000034050000}"/>
    <cellStyle name="Normal 4 10 5 2" xfId="5835" xr:uid="{C063FE69-F0E2-4D45-A560-F5030001885F}"/>
    <cellStyle name="Normal 4 10 5 2 2" xfId="27254" xr:uid="{D2E07114-4D43-403F-A8D1-6F81A59FAB76}"/>
    <cellStyle name="Normal 4 10 5 2 3" xfId="15238" xr:uid="{D834FF16-A543-4408-8F3B-37AD9D7D2200}"/>
    <cellStyle name="Normal 4 10 5 3" xfId="7691" xr:uid="{2C1D8F17-BEC3-43B3-8BDF-5F14666295EC}"/>
    <cellStyle name="Normal 4 10 5 3 2" xfId="18071" xr:uid="{2B470397-D95B-4E23-BB26-A2E974794C44}"/>
    <cellStyle name="Normal 4 10 5 4" xfId="10524" xr:uid="{067679B1-BCB4-410A-8AA3-E3D744CAAEFF}"/>
    <cellStyle name="Normal 4 10 5 4 2" xfId="20904" xr:uid="{10588034-D425-43C5-89B9-4325837A8516}"/>
    <cellStyle name="Normal 4 10 5 5" xfId="23394" xr:uid="{2F2F2D2C-FA05-499B-AC2D-4792A25519FF}"/>
    <cellStyle name="Normal 4 10 5 6" xfId="12954" xr:uid="{229E4CD9-6EB7-4CD6-A1B1-887CC1AE238F}"/>
    <cellStyle name="Normal 4 10 6" xfId="2345" xr:uid="{00000000-0005-0000-0000-00002E050000}"/>
    <cellStyle name="Normal 4 10 6 2" xfId="7472" xr:uid="{4C75DB08-23F8-4CAF-ABBC-50AD2AC7055B}"/>
    <cellStyle name="Normal 4 10 6 2 2" xfId="28667" xr:uid="{3A3895A9-3B5F-45D0-A0E2-D3A24D46753B}"/>
    <cellStyle name="Normal 4 10 6 2 3" xfId="17852" xr:uid="{1B249912-E446-4B58-99F3-1998A4168EE2}"/>
    <cellStyle name="Normal 4 10 6 3" xfId="10305" xr:uid="{019AA4D4-5DAF-44D6-AC54-157997CAA51B}"/>
    <cellStyle name="Normal 4 10 6 3 2" xfId="20685" xr:uid="{BFE40670-4102-4F76-B79E-BD0D3BEDD483}"/>
    <cellStyle name="Normal 4 10 6 4" xfId="23919" xr:uid="{AFB31ABC-E8BD-41CA-A82D-D9A333DD9C47}"/>
    <cellStyle name="Normal 4 10 6 5" xfId="15019" xr:uid="{BEB35555-2A89-47A1-9F06-ED7C9DB51EF0}"/>
    <cellStyle name="Normal 4 10 7" xfId="3965" xr:uid="{B398D8AF-AF4D-4953-A867-252CD87A368E}"/>
    <cellStyle name="Normal 4 10 7 2" xfId="8789" xr:uid="{8009325E-848F-44CF-8CE7-93567544C7F0}"/>
    <cellStyle name="Normal 4 10 7 2 2" xfId="19169" xr:uid="{F9015C3A-97F9-40AC-AB6E-36EC3FAA1859}"/>
    <cellStyle name="Normal 4 10 7 3" xfId="11622" xr:uid="{3B9E4398-FE99-49EB-BEBD-84478FB70F66}"/>
    <cellStyle name="Normal 4 10 7 3 2" xfId="22002" xr:uid="{F1D371AA-EE04-4AC1-936E-CABB6B6751A1}"/>
    <cellStyle name="Normal 4 10 7 4" xfId="26388" xr:uid="{8DF31F90-53E0-4729-BD5F-E35C09717A45}"/>
    <cellStyle name="Normal 4 10 7 5" xfId="16336" xr:uid="{A15950AC-AE0A-4B55-ABE7-98852093A5BE}"/>
    <cellStyle name="Normal 4 10 8" xfId="5194" xr:uid="{28570514-D5C4-4905-B43B-63E1E8E56905}"/>
    <cellStyle name="Normal 4 10 8 2" xfId="14491" xr:uid="{50DA1219-777D-49E6-9D7E-F5CD8917938C}"/>
    <cellStyle name="Normal 4 10 9" xfId="6944" xr:uid="{5E75A7EC-434D-4DBD-819F-AAC90135CA2A}"/>
    <cellStyle name="Normal 4 10 9 2" xfId="17324" xr:uid="{3784540D-38F1-4BA6-9FE3-DFA0FD8CD5D0}"/>
    <cellStyle name="Normal 4 11" xfId="893" xr:uid="{00000000-0005-0000-0000-00002F050000}"/>
    <cellStyle name="Normal 4 11 10" xfId="23938" xr:uid="{A29A5C35-9497-4456-94B7-96B69D98276A}"/>
    <cellStyle name="Normal 4 11 11" xfId="12580" xr:uid="{6D83FB98-F686-4977-84D3-7788A74DA022}"/>
    <cellStyle name="Normal 4 11 2" xfId="894" xr:uid="{00000000-0005-0000-0000-000030050000}"/>
    <cellStyle name="Normal 4 11 2 2" xfId="3270" xr:uid="{00000000-0005-0000-0000-000037050000}"/>
    <cellStyle name="Normal 4 11 2 2 2" xfId="6328" xr:uid="{422257B6-64B6-4FD2-9169-C308AC37E45B}"/>
    <cellStyle name="Normal 4 11 2 2 2 2" xfId="27125" xr:uid="{F46424DB-376F-4411-A9D8-5605D89B692E}"/>
    <cellStyle name="Normal 4 11 2 2 2 3" xfId="26633" xr:uid="{DD024171-1188-40BE-8A31-1FE665EDBEA7}"/>
    <cellStyle name="Normal 4 11 2 2 2 4" xfId="15897" xr:uid="{97A83557-1579-438A-BFE1-094E8A17055E}"/>
    <cellStyle name="Normal 4 11 2 2 3" xfId="8350" xr:uid="{4569C23E-23A8-48A1-9133-B6C5EA369EA8}"/>
    <cellStyle name="Normal 4 11 2 2 3 2" xfId="28894" xr:uid="{BCF56927-59AB-4D53-A564-B32C950163A7}"/>
    <cellStyle name="Normal 4 11 2 2 3 3" xfId="18730" xr:uid="{C19E651D-1BFC-49D5-9552-22C808F0466F}"/>
    <cellStyle name="Normal 4 11 2 2 4" xfId="11183" xr:uid="{CC767DF2-F9B1-4098-924A-07048EBA91A7}"/>
    <cellStyle name="Normal 4 11 2 2 4 2" xfId="21563" xr:uid="{2CD66983-92E9-4B98-85FC-BBC62957B6BE}"/>
    <cellStyle name="Normal 4 11 2 2 5" xfId="24395" xr:uid="{AC710497-B596-40CF-B1B6-07673D4BCB8A}"/>
    <cellStyle name="Normal 4 11 2 2 6" xfId="13821" xr:uid="{9D6D4C85-F89E-4BAD-909D-3CEEAEE3060E}"/>
    <cellStyle name="Normal 4 11 2 3" xfId="4178" xr:uid="{A3D9FC9E-C884-4182-99A1-15D851A03328}"/>
    <cellStyle name="Normal 4 11 2 3 2" xfId="8950" xr:uid="{C7D67904-A6B5-4E58-A37E-C61881918787}"/>
    <cellStyle name="Normal 4 11 2 3 2 2" xfId="29040" xr:uid="{11405609-5EB2-410C-B25F-19EA09DFA030}"/>
    <cellStyle name="Normal 4 11 2 3 2 3" xfId="19330" xr:uid="{6AE5F748-CAC3-448E-B693-7E762FA3B88C}"/>
    <cellStyle name="Normal 4 11 2 3 3" xfId="11783" xr:uid="{7656FD9F-4FAD-40CE-A345-FB3061CF248B}"/>
    <cellStyle name="Normal 4 11 2 3 3 2" xfId="22163" xr:uid="{A54CC9F8-27FF-48D5-9D56-9F66588D7148}"/>
    <cellStyle name="Normal 4 11 2 3 4" xfId="25441" xr:uid="{BE5BA760-5708-4590-9737-59AD92AAA8C0}"/>
    <cellStyle name="Normal 4 11 2 3 5" xfId="16497" xr:uid="{EDA214D0-3AC0-41E4-B616-F2DF26D4EADC}"/>
    <cellStyle name="Normal 4 11 2 4" xfId="5200" xr:uid="{EF58BE6A-9D74-4955-A514-6CA8700A9761}"/>
    <cellStyle name="Normal 4 11 2 4 2" xfId="27748" xr:uid="{69DE0498-5475-4844-A90A-D921B160EFC8}"/>
    <cellStyle name="Normal 4 11 2 4 3" xfId="26361" xr:uid="{E6DE96F4-08A3-4961-9CB4-43EBCB6DE24A}"/>
    <cellStyle name="Normal 4 11 2 4 4" xfId="14497" xr:uid="{C972E08F-E1D7-4653-AD82-C092706F6C00}"/>
    <cellStyle name="Normal 4 11 2 5" xfId="6950" xr:uid="{007FB6E7-99CC-45B7-ACD4-30A70BB9F5BC}"/>
    <cellStyle name="Normal 4 11 2 5 2" xfId="28220" xr:uid="{FB989381-3645-4DDC-9DE2-E0E023733860}"/>
    <cellStyle name="Normal 4 11 2 5 3" xfId="17330" xr:uid="{471B6248-D563-42FC-A1C8-9DB1B363A447}"/>
    <cellStyle name="Normal 4 11 2 6" xfId="9783" xr:uid="{98266657-D830-4610-8642-E34883EA72F7}"/>
    <cellStyle name="Normal 4 11 2 6 2" xfId="20163" xr:uid="{49BA9DDC-07D8-4507-AF2B-3F39882F6F56}"/>
    <cellStyle name="Normal 4 11 2 7" xfId="25481" xr:uid="{ECF008C8-FC1C-4156-9A22-45B511EE75F9}"/>
    <cellStyle name="Normal 4 11 2 8" xfId="12738" xr:uid="{CE750F0B-A59A-4848-8DA5-C2DA04F39545}"/>
    <cellStyle name="Normal 4 11 3" xfId="895" xr:uid="{00000000-0005-0000-0000-000031050000}"/>
    <cellStyle name="Normal 4 11 3 2" xfId="5201" xr:uid="{2E1820E0-DE5F-4951-BE40-AF1BF1A5D85C}"/>
    <cellStyle name="Normal 4 11 3 2 2" xfId="24248" xr:uid="{C3DCA927-B467-4C00-A75E-43B6B016A296}"/>
    <cellStyle name="Normal 4 11 3 2 3" xfId="27242" xr:uid="{6E42BF50-B2C1-4048-8C98-9746AA620B1F}"/>
    <cellStyle name="Normal 4 11 3 2 4" xfId="14498" xr:uid="{663F1602-3A8D-4050-9CB9-361C7838F1F8}"/>
    <cellStyle name="Normal 4 11 3 3" xfId="6951" xr:uid="{973B1C10-A9BC-4745-B24D-13C25E42E6D2}"/>
    <cellStyle name="Normal 4 11 3 3 2" xfId="26571" xr:uid="{1DAFE79A-FE64-4642-B880-E98401DB157E}"/>
    <cellStyle name="Normal 4 11 3 3 3" xfId="28711" xr:uid="{75F174E4-2B25-4693-A6D5-871A4C36939D}"/>
    <cellStyle name="Normal 4 11 3 3 4" xfId="17331" xr:uid="{FEC46F4D-76FF-4B41-8C9D-7F4B291D7522}"/>
    <cellStyle name="Normal 4 11 3 4" xfId="9784" xr:uid="{EC7D2FDD-2E66-42A9-AC23-21C61A1E8C9A}"/>
    <cellStyle name="Normal 4 11 3 4 2" xfId="27752" xr:uid="{F3C55A00-23B5-4E74-9342-14BB92757CAF}"/>
    <cellStyle name="Normal 4 11 3 4 3" xfId="29409" xr:uid="{23CECA96-2D78-4419-AADB-1FA77B4D92E3}"/>
    <cellStyle name="Normal 4 11 3 4 4" xfId="20164" xr:uid="{FF34C308-F182-4723-B386-56478E6A88EF}"/>
    <cellStyle name="Normal 4 11 3 5" xfId="24593" xr:uid="{DF4D5370-9363-4815-A144-5ED2EF678EC5}"/>
    <cellStyle name="Normal 4 11 3 6" xfId="27721" xr:uid="{237FAA27-9CA0-450E-9D6F-0C0AB50910A1}"/>
    <cellStyle name="Normal 4 11 3 7" xfId="13436" xr:uid="{A0E6ECE3-32F4-42B3-A9FE-51B01B004F69}"/>
    <cellStyle name="Normal 4 11 4" xfId="2760" xr:uid="{00000000-0005-0000-0000-000039050000}"/>
    <cellStyle name="Normal 4 11 4 2" xfId="5978" xr:uid="{87A430AB-7C63-4393-8C18-8DE595F89E92}"/>
    <cellStyle name="Normal 4 11 4 2 2" xfId="28308" xr:uid="{31479A3D-AA0F-433C-B726-845ECA7A4BC0}"/>
    <cellStyle name="Normal 4 11 4 2 3" xfId="15431" xr:uid="{75316486-30EA-4BAD-8A8A-4DB3E06AE648}"/>
    <cellStyle name="Normal 4 11 4 3" xfId="7884" xr:uid="{59D3A377-8E3F-490C-AFC1-D62BE1481183}"/>
    <cellStyle name="Normal 4 11 4 3 2" xfId="18264" xr:uid="{7674B51C-0A1C-4E03-ABDF-45DA282D52AB}"/>
    <cellStyle name="Normal 4 11 4 4" xfId="10717" xr:uid="{C782FBDC-F705-474F-8D14-AA325DD20226}"/>
    <cellStyle name="Normal 4 11 4 4 2" xfId="21097" xr:uid="{600158EB-E64C-439A-929E-ACD4D2F9D856}"/>
    <cellStyle name="Normal 4 11 4 5" xfId="24950" xr:uid="{7FF11B45-EE3F-4E2E-9A33-BF5853286B4F}"/>
    <cellStyle name="Normal 4 11 4 6" xfId="13206" xr:uid="{460D5277-D7C3-45F0-8C8B-3F5DBB214757}"/>
    <cellStyle name="Normal 4 11 5" xfId="2346" xr:uid="{00000000-0005-0000-0000-000035050000}"/>
    <cellStyle name="Normal 4 11 5 2" xfId="7473" xr:uid="{A7C97C58-31CC-48D5-BFB5-342305988F1C}"/>
    <cellStyle name="Normal 4 11 5 2 2" xfId="26211" xr:uid="{A2A640B7-60A5-49CF-BE18-57135DF6ECC8}"/>
    <cellStyle name="Normal 4 11 5 2 3" xfId="17853" xr:uid="{DEF1BADF-27BA-40D9-9927-23D01BD0883B}"/>
    <cellStyle name="Normal 4 11 5 3" xfId="10306" xr:uid="{9E9C59F0-0F99-4144-8617-DC0696ED2F12}"/>
    <cellStyle name="Normal 4 11 5 3 2" xfId="20686" xr:uid="{0C5B0B88-29E2-46B6-9CA2-37732EDBCBE4}"/>
    <cellStyle name="Normal 4 11 5 4" xfId="25363" xr:uid="{81C3F1E4-9E0A-4E0A-A47A-CBC1B9184618}"/>
    <cellStyle name="Normal 4 11 5 5" xfId="15020" xr:uid="{DB74DC40-0A53-4821-AE60-5974F9179CC8}"/>
    <cellStyle name="Normal 4 11 6" xfId="3966" xr:uid="{D703879A-933B-41A7-9664-DAA4B46FCA44}"/>
    <cellStyle name="Normal 4 11 6 2" xfId="8790" xr:uid="{0149D366-A63E-4BD8-B369-D310338AE810}"/>
    <cellStyle name="Normal 4 11 6 2 2" xfId="28983" xr:uid="{62A53759-9DD3-459A-AB38-1EF4A4B0B2DA}"/>
    <cellStyle name="Normal 4 11 6 2 3" xfId="19170" xr:uid="{C3D1823F-54EF-4F86-84D8-24599B1B7392}"/>
    <cellStyle name="Normal 4 11 6 3" xfId="11623" xr:uid="{9C84C254-5ADB-4981-A58D-3707101C53F7}"/>
    <cellStyle name="Normal 4 11 6 3 2" xfId="22003" xr:uid="{C6B4FB51-3192-4CB1-83D5-9EA7767ED264}"/>
    <cellStyle name="Normal 4 11 6 4" xfId="26956" xr:uid="{ACEEAE4C-42A7-46E1-8B88-C05C490ABBA1}"/>
    <cellStyle name="Normal 4 11 6 5" xfId="16337" xr:uid="{6C119AF7-4A86-4498-8290-777197E2AC60}"/>
    <cellStyle name="Normal 4 11 7" xfId="5199" xr:uid="{FD4783AB-79C3-462C-A7FF-FAEA4D5C2554}"/>
    <cellStyle name="Normal 4 11 7 2" xfId="28179" xr:uid="{1653654F-B952-43C3-8408-1156CECA0D2A}"/>
    <cellStyle name="Normal 4 11 7 3" xfId="14496" xr:uid="{2C7E8C08-4106-4B1D-86AC-6D30513B53E4}"/>
    <cellStyle name="Normal 4 11 8" xfId="6949" xr:uid="{2D3ADE6F-1842-4DCA-B659-5658EE21816A}"/>
    <cellStyle name="Normal 4 11 8 2" xfId="17329" xr:uid="{09F1D264-CA33-4FD5-8177-CD4AC8AC82D8}"/>
    <cellStyle name="Normal 4 11 9" xfId="9782" xr:uid="{5CC4D5CD-5FF7-4908-8DE7-35F60A6F9315}"/>
    <cellStyle name="Normal 4 11 9 2" xfId="20162" xr:uid="{E34969DE-2D7D-4AB6-A25A-9CB7EBA817FC}"/>
    <cellStyle name="Normal 4 12" xfId="896" xr:uid="{00000000-0005-0000-0000-000032050000}"/>
    <cellStyle name="Normal 4 12 10" xfId="12581" xr:uid="{DCABE360-45B6-4EA3-B5F4-36017D22F2CC}"/>
    <cellStyle name="Normal 4 12 2" xfId="897" xr:uid="{00000000-0005-0000-0000-000033050000}"/>
    <cellStyle name="Normal 4 12 2 2" xfId="2924" xr:uid="{00000000-0005-0000-0000-00003C050000}"/>
    <cellStyle name="Normal 4 12 2 2 2" xfId="6104" xr:uid="{634A1D84-B3FF-4062-B730-9391367CEA8B}"/>
    <cellStyle name="Normal 4 12 2 2 2 2" xfId="27168" xr:uid="{6CEFEC1B-9FDD-49AE-9D25-3A2253BCED70}"/>
    <cellStyle name="Normal 4 12 2 2 2 3" xfId="28747" xr:uid="{1D2F5DE6-BEA4-4A5C-B0C7-7D184973EF21}"/>
    <cellStyle name="Normal 4 12 2 2 2 4" xfId="15582" xr:uid="{27B295EA-F7A8-45B4-AB68-556507B428EA}"/>
    <cellStyle name="Normal 4 12 2 2 3" xfId="8035" xr:uid="{616C26B3-947A-49FA-BD36-3B2A420356CF}"/>
    <cellStyle name="Normal 4 12 2 2 3 2" xfId="28459" xr:uid="{05AA4C15-B790-495B-8255-79ED4BFB713F}"/>
    <cellStyle name="Normal 4 12 2 2 3 3" xfId="18415" xr:uid="{7403AFF8-7A6D-4366-8E7B-04CB4DA435BF}"/>
    <cellStyle name="Normal 4 12 2 2 4" xfId="10868" xr:uid="{0B66BEA1-2DA0-4971-AF66-14DA741A6ABA}"/>
    <cellStyle name="Normal 4 12 2 2 4 2" xfId="21248" xr:uid="{9A9A3C3E-A45C-4BB5-AD82-E772F9CC6453}"/>
    <cellStyle name="Normal 4 12 2 2 5" xfId="24515" xr:uid="{04AB7646-A1EF-4009-8334-09BD6D6CBC7F}"/>
    <cellStyle name="Normal 4 12 2 2 6" xfId="13437" xr:uid="{625EDEB5-736B-4FA7-9D86-01E759B994F5}"/>
    <cellStyle name="Normal 4 12 2 3" xfId="5203" xr:uid="{B217F201-1C7B-45FA-A90D-4F20461B5B19}"/>
    <cellStyle name="Normal 4 12 2 3 2" xfId="25722" xr:uid="{AA7395DA-514E-4EC9-B956-A8C021B2863E}"/>
    <cellStyle name="Normal 4 12 2 3 3" xfId="28389" xr:uid="{64F7476D-DA2B-4C85-830C-601C77AECF00}"/>
    <cellStyle name="Normal 4 12 2 3 4" xfId="14500" xr:uid="{26027C43-C40B-400B-AE4D-8C8B51EBBF56}"/>
    <cellStyle name="Normal 4 12 2 4" xfId="6953" xr:uid="{2DF026E7-287B-46D0-B40E-31BC81BB5547}"/>
    <cellStyle name="Normal 4 12 2 4 2" xfId="26894" xr:uid="{285CBFB0-56D2-43FA-9CDA-49B0387CB8AB}"/>
    <cellStyle name="Normal 4 12 2 4 3" xfId="26340" xr:uid="{F75AB44A-7251-4C39-8A84-FF4B43878775}"/>
    <cellStyle name="Normal 4 12 2 4 4" xfId="17333" xr:uid="{ADE3DD7F-7755-4823-9BD2-920113558A47}"/>
    <cellStyle name="Normal 4 12 2 5" xfId="9786" xr:uid="{9F0D8B6E-82C2-41E7-B057-8D66EF34F6CA}"/>
    <cellStyle name="Normal 4 12 2 5 2" xfId="29410" xr:uid="{183E9DC0-EE97-4D29-A17B-EFFA4F49DFB9}"/>
    <cellStyle name="Normal 4 12 2 5 3" xfId="20166" xr:uid="{5592E532-6E39-4B49-BE7D-5AD8AD3151C4}"/>
    <cellStyle name="Normal 4 12 2 6" xfId="23953" xr:uid="{EE0AA853-C38D-4770-A55C-847C9BC23139}"/>
    <cellStyle name="Normal 4 12 2 7" xfId="12739" xr:uid="{98562FE7-8A01-4979-A47E-9D928F196E2D}"/>
    <cellStyle name="Normal 4 12 3" xfId="898" xr:uid="{00000000-0005-0000-0000-000034050000}"/>
    <cellStyle name="Normal 4 12 3 2" xfId="5204" xr:uid="{CD64FA4D-5C8C-4AAF-9645-E09F3284E44B}"/>
    <cellStyle name="Normal 4 12 3 2 2" xfId="26741" xr:uid="{E5D20643-BFEE-45D2-B711-C150E749A21F}"/>
    <cellStyle name="Normal 4 12 3 2 3" xfId="26210" xr:uid="{3D2A3F0B-3F2B-4DA2-BD81-0958B9476F82}"/>
    <cellStyle name="Normal 4 12 3 2 4" xfId="14501" xr:uid="{267076F1-174C-4F9E-91BC-8AC70DB875E3}"/>
    <cellStyle name="Normal 4 12 3 3" xfId="6954" xr:uid="{CCF2BDA1-E7FE-4016-B600-01C32C5F9F63}"/>
    <cellStyle name="Normal 4 12 3 3 2" xfId="28627" xr:uid="{016B5C70-6D14-4500-B488-0CBAA4F7952F}"/>
    <cellStyle name="Normal 4 12 3 3 3" xfId="27124" xr:uid="{8695EB15-05C1-4107-80DB-8ABED91F2CFA}"/>
    <cellStyle name="Normal 4 12 3 3 4" xfId="17334" xr:uid="{46A2F113-93FC-4F7A-85D5-26AF1CF23737}"/>
    <cellStyle name="Normal 4 12 3 4" xfId="9787" xr:uid="{DE57C4DF-BE71-4218-B83D-48C5AFE60B98}"/>
    <cellStyle name="Normal 4 12 3 4 2" xfId="29411" xr:uid="{45DDAEE3-5E62-49C3-95DD-4C3223D521A4}"/>
    <cellStyle name="Normal 4 12 3 4 3" xfId="20167" xr:uid="{85DC60C8-A7EE-48C4-9507-C530C54A7198}"/>
    <cellStyle name="Normal 4 12 3 5" xfId="25021" xr:uid="{CEE429F4-2DEE-4700-A91D-D56E10462C09}"/>
    <cellStyle name="Normal 4 12 3 6" xfId="13207" xr:uid="{72AB36CC-13CA-44A9-8D88-F8D15F095357}"/>
    <cellStyle name="Normal 4 12 4" xfId="2347" xr:uid="{00000000-0005-0000-0000-00003A050000}"/>
    <cellStyle name="Normal 4 12 4 2" xfId="7474" xr:uid="{7C3BF43B-8669-497C-BFB5-14A2ECFB945C}"/>
    <cellStyle name="Normal 4 12 4 2 2" xfId="27277" xr:uid="{1A352666-929F-4969-ACBD-A3F9BE3A52DC}"/>
    <cellStyle name="Normal 4 12 4 2 3" xfId="17854" xr:uid="{70C770E9-C532-4702-8143-601419A1FBB6}"/>
    <cellStyle name="Normal 4 12 4 3" xfId="10307" xr:uid="{1769F406-21D2-4352-B632-41BA7F254E85}"/>
    <cellStyle name="Normal 4 12 4 3 2" xfId="20687" xr:uid="{C3EC5278-2AEB-4E7D-AE2A-7D13C0631397}"/>
    <cellStyle name="Normal 4 12 4 4" xfId="24205" xr:uid="{7EA7E858-9348-4727-8A46-7F661803DF3D}"/>
    <cellStyle name="Normal 4 12 4 5" xfId="15021" xr:uid="{18E7A2D1-2F0E-4D38-9A05-EF980972580D}"/>
    <cellStyle name="Normal 4 12 5" xfId="3967" xr:uid="{E45DB84D-C2E0-41C1-9817-A5A46BDFB000}"/>
    <cellStyle name="Normal 4 12 5 2" xfId="8791" xr:uid="{F2BE4F5B-71C8-4D96-ABD8-802C9C633C70}"/>
    <cellStyle name="Normal 4 12 5 2 2" xfId="28984" xr:uid="{92BDFB93-1FD9-434E-8573-AF9736FCD7A7}"/>
    <cellStyle name="Normal 4 12 5 2 3" xfId="19171" xr:uid="{BD863C3A-8279-4A1E-B14C-0410FBE9F500}"/>
    <cellStyle name="Normal 4 12 5 3" xfId="11624" xr:uid="{BBCEF7F9-6A49-4FB3-86B4-02ADBA6CD554}"/>
    <cellStyle name="Normal 4 12 5 3 2" xfId="22004" xr:uid="{07DBF146-159A-4C15-B659-0C96044AC077}"/>
    <cellStyle name="Normal 4 12 5 4" xfId="25644" xr:uid="{A5F3C60B-AED3-4A29-9B95-F4A30F1DF929}"/>
    <cellStyle name="Normal 4 12 5 5" xfId="16338" xr:uid="{A77CB27A-ACC2-4C79-AB61-710C18F409EB}"/>
    <cellStyle name="Normal 4 12 6" xfId="5202" xr:uid="{EC53401F-CAAA-4867-B8ED-56C47D0610B5}"/>
    <cellStyle name="Normal 4 12 6 2" xfId="26059" xr:uid="{C281C420-68F2-4658-9DF6-CB6D0F13247C}"/>
    <cellStyle name="Normal 4 12 6 3" xfId="28422" xr:uid="{53F68093-9E82-42A7-A119-0A0FDA27C4BD}"/>
    <cellStyle name="Normal 4 12 6 4" xfId="14499" xr:uid="{9CE49185-622B-4EE6-BA94-468245DBE3FA}"/>
    <cellStyle name="Normal 4 12 7" xfId="6952" xr:uid="{AB12BA99-8CB8-4001-822E-D3382C3B3961}"/>
    <cellStyle name="Normal 4 12 7 2" xfId="27258" xr:uid="{FE51C0DF-1F95-404A-8CDD-AEC36234FE02}"/>
    <cellStyle name="Normal 4 12 7 3" xfId="17332" xr:uid="{C06A5309-1141-4736-99C1-5A24C3FBE809}"/>
    <cellStyle name="Normal 4 12 8" xfId="9785" xr:uid="{3B503EFA-B53C-4520-AACE-13B0CFC6C78C}"/>
    <cellStyle name="Normal 4 12 8 2" xfId="20165" xr:uid="{F415702A-119B-45E9-A42F-CF6408FB0FCA}"/>
    <cellStyle name="Normal 4 12 9" xfId="23519" xr:uid="{51DA6533-86E2-4A52-81E2-09E783706291}"/>
    <cellStyle name="Normal 4 13" xfId="899" xr:uid="{00000000-0005-0000-0000-000035050000}"/>
    <cellStyle name="Normal 4 13 10" xfId="12500" xr:uid="{6B604244-E829-40F9-98FE-4ACF87DC7CC1}"/>
    <cellStyle name="Normal 4 13 2" xfId="3271" xr:uid="{00000000-0005-0000-0000-00003F050000}"/>
    <cellStyle name="Normal 4 13 2 2" xfId="6329" xr:uid="{87E1E428-F807-4D64-81F2-955CE5B9B15F}"/>
    <cellStyle name="Normal 4 13 2 2 2" xfId="23792" xr:uid="{D59CB827-DA22-4C9A-A52B-E8F689D31C7B}"/>
    <cellStyle name="Normal 4 13 2 2 3" xfId="27011" xr:uid="{EDEDC26E-BB3C-4921-9AD1-63E35B5FC1BD}"/>
    <cellStyle name="Normal 4 13 2 2 4" xfId="15898" xr:uid="{5EC8B708-034C-491D-8D80-3CB801241982}"/>
    <cellStyle name="Normal 4 13 2 3" xfId="8351" xr:uid="{A5932099-57E5-46AA-ADFF-147C9F815D1D}"/>
    <cellStyle name="Normal 4 13 2 3 2" xfId="26724" xr:uid="{D5472A88-48DB-4A92-AE76-CA0D4820680B}"/>
    <cellStyle name="Normal 4 13 2 3 3" xfId="28895" xr:uid="{68A91AF3-5B81-42F6-B542-E4A668378359}"/>
    <cellStyle name="Normal 4 13 2 3 4" xfId="18731" xr:uid="{2A7B73D7-2DA6-467E-B0F7-59DB2FDA1F45}"/>
    <cellStyle name="Normal 4 13 2 4" xfId="11184" xr:uid="{E6522B3F-B534-46BD-B1F8-E54B81978DEC}"/>
    <cellStyle name="Normal 4 13 2 4 2" xfId="29479" xr:uid="{C1EB1113-6F91-497D-8098-6077F7CA659F}"/>
    <cellStyle name="Normal 4 13 2 4 3" xfId="21564" xr:uid="{FFF1C304-F737-4899-85FF-4F64A82DC472}"/>
    <cellStyle name="Normal 4 13 2 5" xfId="25426" xr:uid="{5491DF8B-C668-47D9-9220-D57FC8C467BC}"/>
    <cellStyle name="Normal 4 13 2 6" xfId="13822" xr:uid="{19879D26-6E15-4A92-9AB5-6B1E4BA4702D}"/>
    <cellStyle name="Normal 4 13 3" xfId="2758" xr:uid="{00000000-0005-0000-0000-000040050000}"/>
    <cellStyle name="Normal 4 13 3 2" xfId="5976" xr:uid="{C5EBFA5E-4319-4D3B-9BA4-DA655EC302A5}"/>
    <cellStyle name="Normal 4 13 3 2 2" xfId="28296" xr:uid="{61B746F0-A0A8-49EA-A38A-D7E02619383E}"/>
    <cellStyle name="Normal 4 13 3 2 3" xfId="15429" xr:uid="{49E07FAD-520C-461D-BF81-97ACCA028A04}"/>
    <cellStyle name="Normal 4 13 3 3" xfId="7882" xr:uid="{F15A2016-2E3F-4981-9D85-2509551721D6}"/>
    <cellStyle name="Normal 4 13 3 3 2" xfId="18262" xr:uid="{59689636-9CA9-4DD4-AF26-D903B88C20A7}"/>
    <cellStyle name="Normal 4 13 3 4" xfId="10715" xr:uid="{87267858-A412-47D6-B81C-F9291A8BD5CE}"/>
    <cellStyle name="Normal 4 13 3 4 2" xfId="21095" xr:uid="{E59208FE-AB0D-4A91-8D81-DB6EC642A5C0}"/>
    <cellStyle name="Normal 4 13 3 5" xfId="24496" xr:uid="{292F3C2C-45F5-41AC-9A63-9806C86405F1}"/>
    <cellStyle name="Normal 4 13 3 6" xfId="13204" xr:uid="{CBDD1BC2-019F-46E0-922C-A5BAA6699982}"/>
    <cellStyle name="Normal 4 13 4" xfId="2268" xr:uid="{00000000-0005-0000-0000-00003E050000}"/>
    <cellStyle name="Normal 4 13 4 2" xfId="7395" xr:uid="{CC8487F6-CCB4-41CE-835A-BEEA09CABA5E}"/>
    <cellStyle name="Normal 4 13 4 2 2" xfId="27476" xr:uid="{9F4BE9A4-3425-45F5-8DAE-7C5BF41D0AEB}"/>
    <cellStyle name="Normal 4 13 4 2 3" xfId="17775" xr:uid="{FF1AF18A-B797-44D2-B284-F8888F5A911F}"/>
    <cellStyle name="Normal 4 13 4 3" xfId="10228" xr:uid="{2C42D95E-B991-44DF-9601-FDADFC4CABDB}"/>
    <cellStyle name="Normal 4 13 4 3 2" xfId="20608" xr:uid="{974A8033-DFF9-459A-9D5D-8EF269D2436D}"/>
    <cellStyle name="Normal 4 13 4 4" xfId="23138" xr:uid="{2FD6C9DA-8D5F-4F13-B981-BAEBE4081DE2}"/>
    <cellStyle name="Normal 4 13 4 5" xfId="14942" xr:uid="{53A7D4DD-540F-4215-BED1-BF79C1505C0B}"/>
    <cellStyle name="Normal 4 13 5" xfId="3964" xr:uid="{D16F06B3-A21C-479B-BEAB-1C1F90798DCF}"/>
    <cellStyle name="Normal 4 13 5 2" xfId="8788" xr:uid="{7D2EC6B6-27CF-415C-877B-93F017867EA0}"/>
    <cellStyle name="Normal 4 13 5 2 2" xfId="19168" xr:uid="{3403774A-C847-42DD-A15B-97CBD1BB539B}"/>
    <cellStyle name="Normal 4 13 5 3" xfId="11621" xr:uid="{4A67412A-AE8F-47B8-86EC-E986A2B0F1AB}"/>
    <cellStyle name="Normal 4 13 5 3 2" xfId="22001" xr:uid="{4AA1970C-3286-43D8-BE64-B700185DED2E}"/>
    <cellStyle name="Normal 4 13 5 4" xfId="27541" xr:uid="{5495F43B-CA44-4C8E-A854-BBEA35C4B19E}"/>
    <cellStyle name="Normal 4 13 5 5" xfId="16335" xr:uid="{06ECD207-B95A-4CFB-B99F-29EF69CE1FE3}"/>
    <cellStyle name="Normal 4 13 6" xfId="5205" xr:uid="{C458F4C8-14E2-4929-AFBF-06E395360C9E}"/>
    <cellStyle name="Normal 4 13 6 2" xfId="14502" xr:uid="{98CBFEFC-BE88-4A48-A09D-64FA5D3C9D98}"/>
    <cellStyle name="Normal 4 13 7" xfId="6955" xr:uid="{6171A00A-3FDF-4AC1-A965-8F0260EEC5A4}"/>
    <cellStyle name="Normal 4 13 7 2" xfId="17335" xr:uid="{6013EC13-8117-47F8-92F3-8A0922204AA6}"/>
    <cellStyle name="Normal 4 13 8" xfId="9788" xr:uid="{7A79EDC7-8CDC-4DA3-B8F3-F5218C551A8A}"/>
    <cellStyle name="Normal 4 13 8 2" xfId="20168" xr:uid="{2977E316-911C-4135-90C7-F85F921695AA}"/>
    <cellStyle name="Normal 4 13 9" xfId="23188" xr:uid="{0049094B-652F-4256-9DD1-5AC18D12FCB3}"/>
    <cellStyle name="Normal 4 14" xfId="900" xr:uid="{00000000-0005-0000-0000-000036050000}"/>
    <cellStyle name="Normal 4 14 2" xfId="3272" xr:uid="{00000000-0005-0000-0000-000042050000}"/>
    <cellStyle name="Normal 4 14 2 2" xfId="6330" xr:uid="{EBF0C4C7-22BC-4678-943F-7A8954364E8B}"/>
    <cellStyle name="Normal 4 14 2 2 2" xfId="25709" xr:uid="{24A5C626-BB17-41A5-8763-466C638DF9F5}"/>
    <cellStyle name="Normal 4 14 2 2 3" xfId="25945" xr:uid="{031FE5C5-FD31-45B2-B65F-D7A409591BBF}"/>
    <cellStyle name="Normal 4 14 2 2 4" xfId="15899" xr:uid="{C4139796-D729-47B9-A9EE-0C56577F82F1}"/>
    <cellStyle name="Normal 4 14 2 3" xfId="8352" xr:uid="{D18C4476-9EE3-4274-8EC9-41510C85EED9}"/>
    <cellStyle name="Normal 4 14 2 3 2" xfId="28896" xr:uid="{31EDBDC0-1C01-448C-80A3-0C1102463E42}"/>
    <cellStyle name="Normal 4 14 2 3 3" xfId="18732" xr:uid="{116CE884-36E6-458B-8EBF-0CF878CCB78D}"/>
    <cellStyle name="Normal 4 14 2 4" xfId="11185" xr:uid="{FF23DBB9-B391-4C40-8E22-DDB496BA0E70}"/>
    <cellStyle name="Normal 4 14 2 4 2" xfId="21565" xr:uid="{1D06F5B9-AC29-459C-8496-1E6985E6C505}"/>
    <cellStyle name="Normal 4 14 2 5" xfId="23443" xr:uid="{03ADCF2E-14D6-4252-BF04-660ECEFE52F0}"/>
    <cellStyle name="Normal 4 14 2 6" xfId="13823" xr:uid="{C9B8FDAE-C790-45AE-AF63-31AFDC27CD8A}"/>
    <cellStyle name="Normal 4 14 3" xfId="2867" xr:uid="{00000000-0005-0000-0000-000043050000}"/>
    <cellStyle name="Normal 4 14 3 2" xfId="6075" xr:uid="{2B80869F-2692-405E-B16B-761108533BDA}"/>
    <cellStyle name="Normal 4 14 3 2 2" xfId="28590" xr:uid="{2E8A635F-9F23-4FFE-A72D-8675581E8DF5}"/>
    <cellStyle name="Normal 4 14 3 2 3" xfId="15531" xr:uid="{66BD48B7-5DAA-4A82-8221-6527E8424D69}"/>
    <cellStyle name="Normal 4 14 3 3" xfId="7984" xr:uid="{446A1E6B-8CE3-4D2B-BFE0-178AE7CA6D15}"/>
    <cellStyle name="Normal 4 14 3 3 2" xfId="18364" xr:uid="{4E2B77D4-8D83-4DF2-90FA-F834308F4915}"/>
    <cellStyle name="Normal 4 14 3 4" xfId="10817" xr:uid="{BD86AA57-322F-4C1B-B018-62F6EACC4910}"/>
    <cellStyle name="Normal 4 14 3 4 2" xfId="21197" xr:uid="{0504E1B0-AD3F-4389-9F56-F5429C40419E}"/>
    <cellStyle name="Normal 4 14 3 5" xfId="24736" xr:uid="{AC9459C8-51C0-4A5B-A344-3EC32A48C7BC}"/>
    <cellStyle name="Normal 4 14 3 6" xfId="13352" xr:uid="{65544E5E-2E80-4374-94E1-E4633750314F}"/>
    <cellStyle name="Normal 4 14 4" xfId="4115" xr:uid="{614CDF0E-3883-47E3-B9E2-FC75AA6846B9}"/>
    <cellStyle name="Normal 4 14 4 2" xfId="8887" xr:uid="{CE0D2979-3CC2-4E16-99A1-E495EE2BF7BB}"/>
    <cellStyle name="Normal 4 14 4 2 2" xfId="29002" xr:uid="{02DC788F-D4EF-4769-90C2-42EE0E81F1C9}"/>
    <cellStyle name="Normal 4 14 4 2 3" xfId="19267" xr:uid="{34D3EBDB-64A3-49E2-8A69-EBE888B3B041}"/>
    <cellStyle name="Normal 4 14 4 3" xfId="11720" xr:uid="{CEC56EE9-02B4-4DAB-892F-AB3794B969BF}"/>
    <cellStyle name="Normal 4 14 4 3 2" xfId="22100" xr:uid="{2554EE88-C67C-4BCF-8418-02565EE91145}"/>
    <cellStyle name="Normal 4 14 4 4" xfId="23381" xr:uid="{0077080F-BFF5-424B-B2CB-B34D7942044F}"/>
    <cellStyle name="Normal 4 14 4 5" xfId="16434" xr:uid="{3A6C3A53-5140-4FDC-A0C3-5329963CFD37}"/>
    <cellStyle name="Normal 4 14 5" xfId="5206" xr:uid="{A457423E-1DF2-41DC-A4B5-DBB724771767}"/>
    <cellStyle name="Normal 4 14 5 2" xfId="26351" xr:uid="{B9924351-25AD-4A91-AF05-C171052E973F}"/>
    <cellStyle name="Normal 4 14 5 3" xfId="14503" xr:uid="{6FEBAEFD-D88F-4EB7-B72C-78789019A780}"/>
    <cellStyle name="Normal 4 14 6" xfId="6956" xr:uid="{CF72D73A-0632-421B-BDE2-E5D27A6E7A5A}"/>
    <cellStyle name="Normal 4 14 6 2" xfId="17336" xr:uid="{B4D81D25-1620-47CB-B9AF-15F441DD38DC}"/>
    <cellStyle name="Normal 4 14 7" xfId="9789" xr:uid="{BEDF55D9-9FFB-448B-833B-BBF689AE81E0}"/>
    <cellStyle name="Normal 4 14 7 2" xfId="20169" xr:uid="{4D3BEF02-6CB7-43D0-AB6B-141BC70CEAA7}"/>
    <cellStyle name="Normal 4 14 8" xfId="24097" xr:uid="{A6114E6A-4694-4940-BCA7-3B1717FB1401}"/>
    <cellStyle name="Normal 4 14 9" xfId="12658" xr:uid="{4B4642A6-DBBF-4669-8C69-8BCA481779DA}"/>
    <cellStyle name="Normal 4 15" xfId="901" xr:uid="{00000000-0005-0000-0000-000037050000}"/>
    <cellStyle name="Normal 4 15 2" xfId="5207" xr:uid="{2152EC8C-061D-420B-9D6B-B58F12C90A49}"/>
    <cellStyle name="Normal 4 15 2 2" xfId="24363" xr:uid="{4DDE4A4D-5F2B-4F7F-A5BA-15ADDE58C8FC}"/>
    <cellStyle name="Normal 4 15 2 3" xfId="27478" xr:uid="{32D9C258-AB46-44AB-8C29-2E03E7D079E8}"/>
    <cellStyle name="Normal 4 15 2 4" xfId="14504" xr:uid="{0D8F390E-A323-4C57-A1F7-8CBC2BB21E12}"/>
    <cellStyle name="Normal 4 15 2 5" xfId="30033" xr:uid="{69245435-96EF-48AD-A85F-F3C086021E6B}"/>
    <cellStyle name="Normal 4 15 3" xfId="6957" xr:uid="{6F949056-3DA3-4A4D-905A-8E552E3BD423}"/>
    <cellStyle name="Normal 4 15 3 2" xfId="25310" xr:uid="{D3F1DA03-AAD8-427C-9A93-A07E7808BF9D}"/>
    <cellStyle name="Normal 4 15 3 3" xfId="28385" xr:uid="{FA57FE5A-D7CC-482F-93E0-9A985B1546BB}"/>
    <cellStyle name="Normal 4 15 3 4" xfId="17337" xr:uid="{B2F5535D-F7D8-46A1-9426-87745292EA13}"/>
    <cellStyle name="Normal 4 15 4" xfId="9790" xr:uid="{7EFFA494-332C-4FF7-A18A-C4360C8277FD}"/>
    <cellStyle name="Normal 4 15 4 2" xfId="23556" xr:uid="{F8920579-D83A-4A1C-ACCE-0CFDA508B5D8}"/>
    <cellStyle name="Normal 4 15 4 3" xfId="20170" xr:uid="{A1DA45D1-08B2-44C7-B81E-B11857218F7E}"/>
    <cellStyle name="Normal 4 15 5" xfId="23966" xr:uid="{8CE3825A-C4F9-42C0-9621-05B76667C1F6}"/>
    <cellStyle name="Normal 4 15 6" xfId="13356" xr:uid="{A4669137-42CE-4AC9-95A3-3115BD22BB14}"/>
    <cellStyle name="Normal 4 16" xfId="902" xr:uid="{00000000-0005-0000-0000-000038050000}"/>
    <cellStyle name="Normal 4 16 2" xfId="5208" xr:uid="{FED3D8FC-DAFF-40C4-8DD7-BDE8EFB0E59C}"/>
    <cellStyle name="Normal 4 16 2 2" xfId="25769" xr:uid="{A75464D4-4AA7-42A5-BE86-C487126C1AC8}"/>
    <cellStyle name="Normal 4 16 2 3" xfId="14505" xr:uid="{6F1450C7-6852-41A6-99A6-860D40DDC944}"/>
    <cellStyle name="Normal 4 16 3" xfId="6958" xr:uid="{32BD0D16-5F5E-4167-A5E7-3E9B6E5A12B2}"/>
    <cellStyle name="Normal 4 16 3 2" xfId="25721" xr:uid="{BE9FDC77-A0F5-49B4-ACAB-A6AC91492FDD}"/>
    <cellStyle name="Normal 4 16 3 3" xfId="17338" xr:uid="{5FFB2571-FC61-46DC-AED1-B16F7DBA081F}"/>
    <cellStyle name="Normal 4 16 4" xfId="9791" xr:uid="{5607ABC0-E2B7-46E2-BB78-C9823B632A67}"/>
    <cellStyle name="Normal 4 16 4 2" xfId="20171" xr:uid="{AD2B9DBC-1BBE-452C-B586-31C906581171}"/>
    <cellStyle name="Normal 4 16 5" xfId="25148" xr:uid="{AE767CAC-5D02-4A93-A7AF-0BCE2601708A}"/>
    <cellStyle name="Normal 4 16 6" xfId="12817" xr:uid="{30E9AB7D-7F47-4B82-9C96-E2CA60C87215}"/>
    <cellStyle name="Normal 4 17" xfId="903" xr:uid="{00000000-0005-0000-0000-000039050000}"/>
    <cellStyle name="Normal 4 17 2" xfId="6959" xr:uid="{4A5672F2-61BE-4A26-A933-6069F299B438}"/>
    <cellStyle name="Normal 4 17 2 2" xfId="22970" xr:uid="{47BAEC2D-A30D-47E4-9F65-430C047338C1}"/>
    <cellStyle name="Normal 4 17 2 3" xfId="17339" xr:uid="{CB82390D-6283-4C29-B770-C95BE2A9E212}"/>
    <cellStyle name="Normal 4 17 3" xfId="9792" xr:uid="{F63229C1-550B-4ECA-9EA5-A392957143B7}"/>
    <cellStyle name="Normal 4 17 3 2" xfId="25671" xr:uid="{89A62B8C-B8B9-4918-BC48-D0A81FD726B1}"/>
    <cellStyle name="Normal 4 17 3 3" xfId="20172" xr:uid="{0E4FEF04-9206-48B5-B5BC-5E74285A7EC7}"/>
    <cellStyle name="Normal 4 17 4" xfId="25172" xr:uid="{401EA57A-55C0-47C2-8C89-5D0F48CD4901}"/>
    <cellStyle name="Normal 4 17 5" xfId="14506" xr:uid="{E46752DF-F9B2-4E78-B3A7-2D1EDDB35A8C}"/>
    <cellStyle name="Normal 4 18" xfId="3781" xr:uid="{498D3F45-FE58-4FFC-9753-731FB0ECD3C7}"/>
    <cellStyle name="Normal 4 18 2" xfId="8621" xr:uid="{2A84A90A-6745-4823-8323-8E280FE19B84}"/>
    <cellStyle name="Normal 4 18 2 2" xfId="25799" xr:uid="{DF47F90B-F627-44A8-A898-BE5751EC10DE}"/>
    <cellStyle name="Normal 4 18 2 3" xfId="19001" xr:uid="{F6671693-CA65-4EF4-9FDC-1C434716A144}"/>
    <cellStyle name="Normal 4 18 3" xfId="11454" xr:uid="{3D4288CC-D7A0-4E04-8090-27E9F64B29C3}"/>
    <cellStyle name="Normal 4 18 3 2" xfId="25820" xr:uid="{D49A171E-BC4A-4F1F-B755-F85082362E30}"/>
    <cellStyle name="Normal 4 18 3 3" xfId="21834" xr:uid="{EFC46C14-B2D6-475A-BCEA-D6DA30959BBB}"/>
    <cellStyle name="Normal 4 18 4" xfId="25742" xr:uid="{F7DD7180-DF6E-4610-8D3D-C1A548134F19}"/>
    <cellStyle name="Normal 4 18 5" xfId="16168" xr:uid="{E12B28AA-2ED9-4B37-A7BA-87C97A253640}"/>
    <cellStyle name="Normal 4 19" xfId="5193" xr:uid="{A7BC2BA0-0079-4964-AC4B-AEA350E58462}"/>
    <cellStyle name="Normal 4 19 2" xfId="25675" xr:uid="{DBF43541-1C55-4BB7-AD13-4C9F15C3B47E}"/>
    <cellStyle name="Normal 4 19 3" xfId="24782" xr:uid="{903C44A5-017A-4D5E-A0BB-942EB7E8D36D}"/>
    <cellStyle name="Normal 4 19 4" xfId="23923" xr:uid="{3B4CD16E-8E3C-430D-A3D8-3B182181D5ED}"/>
    <cellStyle name="Normal 4 19 5" xfId="14490" xr:uid="{13D57E3E-453D-45DA-956B-A9DC2EB73F7A}"/>
    <cellStyle name="Normal 4 2" xfId="904" xr:uid="{00000000-0005-0000-0000-00003A050000}"/>
    <cellStyle name="Normal 4 2 10" xfId="905" xr:uid="{00000000-0005-0000-0000-00003B050000}"/>
    <cellStyle name="Normal 4 2 10 10" xfId="12582" xr:uid="{1C1F3AF7-3FC1-4AF5-9260-175B9A0608D1}"/>
    <cellStyle name="Normal 4 2 10 2" xfId="906" xr:uid="{00000000-0005-0000-0000-00003C050000}"/>
    <cellStyle name="Normal 4 2 10 2 2" xfId="2925" xr:uid="{00000000-0005-0000-0000-000049050000}"/>
    <cellStyle name="Normal 4 2 10 2 2 2" xfId="6105" xr:uid="{2CD4AF38-1293-44D3-82FD-381A4547F7B7}"/>
    <cellStyle name="Normal 4 2 10 2 2 2 2" xfId="27610" xr:uid="{887708D4-A3AB-480B-98B7-F11C45DA195B}"/>
    <cellStyle name="Normal 4 2 10 2 2 2 3" xfId="27034" xr:uid="{F192572E-FA3E-4598-99B0-F88A932A5295}"/>
    <cellStyle name="Normal 4 2 10 2 2 2 4" xfId="15583" xr:uid="{15A7E389-7689-4BDC-A601-961369D4FD92}"/>
    <cellStyle name="Normal 4 2 10 2 2 3" xfId="8036" xr:uid="{828286EA-7AA6-42BA-9E2D-104102B86FF6}"/>
    <cellStyle name="Normal 4 2 10 2 2 3 2" xfId="26874" xr:uid="{381EB044-756A-4CF6-B112-722C8D9A299C}"/>
    <cellStyle name="Normal 4 2 10 2 2 3 3" xfId="18416" xr:uid="{E1C40F26-5762-414A-B56B-8AC5973DA0ED}"/>
    <cellStyle name="Normal 4 2 10 2 2 4" xfId="10869" xr:uid="{7A892757-E0BA-4BDD-8C0A-11B8DA7F1D97}"/>
    <cellStyle name="Normal 4 2 10 2 2 4 2" xfId="21249" xr:uid="{AE99E40C-C079-43E4-972C-D74167BF3429}"/>
    <cellStyle name="Normal 4 2 10 2 2 5" xfId="23954" xr:uid="{F2243CEE-2965-4A24-872D-A2AF7333F309}"/>
    <cellStyle name="Normal 4 2 10 2 2 6" xfId="13438" xr:uid="{3E22C284-E8F9-4AA6-8BAE-4DC6B7F62D90}"/>
    <cellStyle name="Normal 4 2 10 2 3" xfId="5211" xr:uid="{9E65A668-589A-46F2-A32A-A1C562E8551F}"/>
    <cellStyle name="Normal 4 2 10 2 3 2" xfId="23900" xr:uid="{E5C68282-A426-45FB-9A48-C863A41A3E5A}"/>
    <cellStyle name="Normal 4 2 10 2 3 3" xfId="28528" xr:uid="{37344D2D-FCB4-48A5-8B55-4E29C951C58C}"/>
    <cellStyle name="Normal 4 2 10 2 3 4" xfId="14509" xr:uid="{89F5FE66-9B28-4ECC-91DC-9E14D076BA8C}"/>
    <cellStyle name="Normal 4 2 10 2 4" xfId="6962" xr:uid="{F52CCE02-B732-4BA3-8AFE-DE0AF264F111}"/>
    <cellStyle name="Normal 4 2 10 2 4 2" xfId="28210" xr:uid="{FE22950C-8E64-4B3B-A5F8-003256BBE512}"/>
    <cellStyle name="Normal 4 2 10 2 4 3" xfId="26123" xr:uid="{43697AA5-C880-44F1-B32B-03B95CC3DF49}"/>
    <cellStyle name="Normal 4 2 10 2 4 4" xfId="17342" xr:uid="{43B24351-9F6E-4914-ACB2-477734EB2CCA}"/>
    <cellStyle name="Normal 4 2 10 2 5" xfId="9795" xr:uid="{28AC10B2-7BB0-4F20-825B-41B1E2AE93C8}"/>
    <cellStyle name="Normal 4 2 10 2 5 2" xfId="29412" xr:uid="{C8A3F48B-174F-4CDF-BF57-C3C2F558B252}"/>
    <cellStyle name="Normal 4 2 10 2 5 3" xfId="20175" xr:uid="{77BBB3EB-0C3C-4801-A6E3-6DFD2E77628F}"/>
    <cellStyle name="Normal 4 2 10 2 6" xfId="22802" xr:uid="{123F473C-911A-4770-95C8-FE7C33678C1B}"/>
    <cellStyle name="Normal 4 2 10 2 7" xfId="12740" xr:uid="{71B1A28C-A5A6-420E-82C3-2A2CD5871B5B}"/>
    <cellStyle name="Normal 4 2 10 3" xfId="907" xr:uid="{00000000-0005-0000-0000-00003D050000}"/>
    <cellStyle name="Normal 4 2 10 3 2" xfId="5212" xr:uid="{8975F72F-D0D1-4725-B25D-9618BD91B371}"/>
    <cellStyle name="Normal 4 2 10 3 2 2" xfId="26363" xr:uid="{4D41C7EA-7484-4536-8C34-C5C9B4859874}"/>
    <cellStyle name="Normal 4 2 10 3 2 3" xfId="26899" xr:uid="{86E894B8-780C-4340-8693-ADE2E5899790}"/>
    <cellStyle name="Normal 4 2 10 3 2 4" xfId="14510" xr:uid="{533CA289-1D73-4347-84A1-0DFBDDD3F8FB}"/>
    <cellStyle name="Normal 4 2 10 3 3" xfId="6963" xr:uid="{B3CA0F27-F4B7-4C63-B850-5C2CE75B6DA8}"/>
    <cellStyle name="Normal 4 2 10 3 3 2" xfId="27323" xr:uid="{1A707BEF-7010-4AE4-A4BB-FA2D06D6AA2E}"/>
    <cellStyle name="Normal 4 2 10 3 3 3" xfId="26897" xr:uid="{2AAD49CE-880D-499C-ACF2-026ED1631D1F}"/>
    <cellStyle name="Normal 4 2 10 3 3 4" xfId="17343" xr:uid="{E52061AB-851B-4536-A0F8-0B5AEE32FF85}"/>
    <cellStyle name="Normal 4 2 10 3 4" xfId="9796" xr:uid="{523F02B9-2BA8-4A3A-9530-DCCDB5AA4B06}"/>
    <cellStyle name="Normal 4 2 10 3 4 2" xfId="29413" xr:uid="{60897F67-55EC-4F07-9C22-3EA69EF53A89}"/>
    <cellStyle name="Normal 4 2 10 3 4 3" xfId="20176" xr:uid="{E526AFD1-0256-43FD-B196-BED2BF3B44C9}"/>
    <cellStyle name="Normal 4 2 10 3 5" xfId="23865" xr:uid="{D093FDC0-6426-4978-A82E-0CB54027E4C6}"/>
    <cellStyle name="Normal 4 2 10 3 6" xfId="13209" xr:uid="{C6392642-0716-4D14-82FD-0E3646BAFCE1}"/>
    <cellStyle name="Normal 4 2 10 4" xfId="2348" xr:uid="{00000000-0005-0000-0000-000047050000}"/>
    <cellStyle name="Normal 4 2 10 4 2" xfId="7475" xr:uid="{5328430A-944E-49B1-AEF6-B5C2F374381D}"/>
    <cellStyle name="Normal 4 2 10 4 2 2" xfId="26225" xr:uid="{8AD8243A-60C9-4B97-B713-D73A48CC2E83}"/>
    <cellStyle name="Normal 4 2 10 4 2 3" xfId="17855" xr:uid="{F611490C-610C-4B2B-99F6-21ED2EC5EB60}"/>
    <cellStyle name="Normal 4 2 10 4 3" xfId="10308" xr:uid="{39F63380-B06A-4B83-9287-B5BD44FC19A7}"/>
    <cellStyle name="Normal 4 2 10 4 3 2" xfId="20688" xr:uid="{9E0A6208-1AD8-4912-8171-8B69711FF9BF}"/>
    <cellStyle name="Normal 4 2 10 4 4" xfId="25313" xr:uid="{CDF812E3-72A6-4230-8038-5F24CF006DAC}"/>
    <cellStyle name="Normal 4 2 10 4 5" xfId="15022" xr:uid="{4C791D4B-FE7D-489A-8C76-E4CB6E277DEF}"/>
    <cellStyle name="Normal 4 2 10 5" xfId="3969" xr:uid="{5996B1B9-A7BD-475C-AA9E-7A83E249082B}"/>
    <cellStyle name="Normal 4 2 10 5 2" xfId="8793" xr:uid="{8F0B5B0A-F029-436A-BBAD-0CFE62AF8BD5}"/>
    <cellStyle name="Normal 4 2 10 5 2 2" xfId="28985" xr:uid="{650C1DE3-5727-426D-989E-C20D2CF3A5AA}"/>
    <cellStyle name="Normal 4 2 10 5 2 3" xfId="19173" xr:uid="{A2D633B8-973E-41F1-AA16-B3AB165CF25B}"/>
    <cellStyle name="Normal 4 2 10 5 3" xfId="11626" xr:uid="{2015F5DE-56CF-436F-AB5E-A7A6158128AB}"/>
    <cellStyle name="Normal 4 2 10 5 3 2" xfId="22006" xr:uid="{30C73229-9442-4B78-8A30-595244F9DEAD}"/>
    <cellStyle name="Normal 4 2 10 5 4" xfId="22908" xr:uid="{2583863C-D271-4D90-9F52-F208277C096D}"/>
    <cellStyle name="Normal 4 2 10 5 5" xfId="16340" xr:uid="{2C97BFC6-BB76-40E9-AD18-3C85D14907A3}"/>
    <cellStyle name="Normal 4 2 10 6" xfId="5210" xr:uid="{7459E4B8-8B62-4EAA-A827-940BFBA6FF6A}"/>
    <cellStyle name="Normal 4 2 10 6 2" xfId="27440" xr:uid="{BA04A4F7-4B2A-4328-A73E-5676854BE081}"/>
    <cellStyle name="Normal 4 2 10 6 3" xfId="26795" xr:uid="{AF87D0D5-F953-41E6-B3A6-2192A80CB766}"/>
    <cellStyle name="Normal 4 2 10 6 4" xfId="14508" xr:uid="{B695B458-2531-4728-B4B1-DCE341083A59}"/>
    <cellStyle name="Normal 4 2 10 7" xfId="6961" xr:uid="{D82B3822-C6A6-4197-9644-17BB0260DAC1}"/>
    <cellStyle name="Normal 4 2 10 7 2" xfId="27340" xr:uid="{1E33A25E-5900-4252-8E58-DED04262F6E4}"/>
    <cellStyle name="Normal 4 2 10 7 3" xfId="17341" xr:uid="{F60F3B04-A426-4F69-BD42-D9B3A45E81F0}"/>
    <cellStyle name="Normal 4 2 10 8" xfId="9794" xr:uid="{42CAC7D8-8534-4BAB-A687-1326501055A5}"/>
    <cellStyle name="Normal 4 2 10 8 2" xfId="20174" xr:uid="{1DE78D67-20A2-4EFB-8D84-458E5AAFFB0D}"/>
    <cellStyle name="Normal 4 2 10 9" xfId="24419" xr:uid="{4AB66C56-8C99-443A-99F7-92D80BCF7025}"/>
    <cellStyle name="Normal 4 2 11" xfId="908" xr:uid="{00000000-0005-0000-0000-00003E050000}"/>
    <cellStyle name="Normal 4 2 11 10" xfId="12501" xr:uid="{82FE4754-DCE8-4B64-A21E-29A06E00D4CD}"/>
    <cellStyle name="Normal 4 2 11 2" xfId="3273" xr:uid="{00000000-0005-0000-0000-00004C050000}"/>
    <cellStyle name="Normal 4 2 11 2 2" xfId="6331" xr:uid="{3C203743-DF6E-4A04-8565-9755DB1F4CA6}"/>
    <cellStyle name="Normal 4 2 11 2 2 2" xfId="23686" xr:uid="{C92B1744-22AD-4EA7-AE28-431EAA341AC6}"/>
    <cellStyle name="Normal 4 2 11 2 2 3" xfId="27085" xr:uid="{35868BFB-4865-4F17-83C6-445B51E8AC96}"/>
    <cellStyle name="Normal 4 2 11 2 2 4" xfId="15900" xr:uid="{51505143-F4E8-43E3-8E67-616BEB8A118A}"/>
    <cellStyle name="Normal 4 2 11 2 3" xfId="8353" xr:uid="{B9119ACF-DBF3-42DA-9795-7AF14DD2F561}"/>
    <cellStyle name="Normal 4 2 11 2 3 2" xfId="27973" xr:uid="{F8019C84-1CFE-4052-A5AC-1E5A131E1BB1}"/>
    <cellStyle name="Normal 4 2 11 2 3 3" xfId="28897" xr:uid="{C4FAB93F-9F72-4D0D-88BF-E4D59DA23AAF}"/>
    <cellStyle name="Normal 4 2 11 2 3 4" xfId="18733" xr:uid="{E1545138-1DF5-4929-BC30-0193935CBD6F}"/>
    <cellStyle name="Normal 4 2 11 2 4" xfId="11186" xr:uid="{B52E1FAC-3E81-4BAB-AB24-976BD2396174}"/>
    <cellStyle name="Normal 4 2 11 2 4 2" xfId="29480" xr:uid="{D6314228-13D1-48DA-9E27-0F30B8D9A2F6}"/>
    <cellStyle name="Normal 4 2 11 2 4 3" xfId="21566" xr:uid="{2451CC2A-117C-430E-9DFD-DE02DE6C3D00}"/>
    <cellStyle name="Normal 4 2 11 2 5" xfId="22874" xr:uid="{3F4E4A5F-4B50-4CDE-8F3E-536A49BDAFDD}"/>
    <cellStyle name="Normal 4 2 11 2 6" xfId="13824" xr:uid="{08AD87F2-2F3B-462B-81D3-DDD4297D05CF}"/>
    <cellStyle name="Normal 4 2 11 3" xfId="2761" xr:uid="{00000000-0005-0000-0000-00004D050000}"/>
    <cellStyle name="Normal 4 2 11 3 2" xfId="5979" xr:uid="{E778F592-8C4F-4F05-B7F8-FE05CFA5DD84}"/>
    <cellStyle name="Normal 4 2 11 3 2 2" xfId="28097" xr:uid="{E6A28BE8-67A0-436F-9730-C21C920A2F19}"/>
    <cellStyle name="Normal 4 2 11 3 2 3" xfId="15432" xr:uid="{DC4F2176-65E5-4192-BD37-E5EDE12B869B}"/>
    <cellStyle name="Normal 4 2 11 3 3" xfId="7885" xr:uid="{48A8E4B2-9E08-4646-95CF-2B2AC6C4BE97}"/>
    <cellStyle name="Normal 4 2 11 3 3 2" xfId="18265" xr:uid="{4AEFFEEF-80E6-4E04-9208-5928F5FA860F}"/>
    <cellStyle name="Normal 4 2 11 3 4" xfId="10718" xr:uid="{4A3E78A9-DA38-479D-9560-2A56A42EDE2E}"/>
    <cellStyle name="Normal 4 2 11 3 4 2" xfId="21098" xr:uid="{167E9FCA-9FBC-4FAD-9C38-9F2A59DE88BF}"/>
    <cellStyle name="Normal 4 2 11 3 5" xfId="22670" xr:uid="{A876EBD5-B8C4-4845-BA45-27AAAD52BC06}"/>
    <cellStyle name="Normal 4 2 11 3 6" xfId="13208" xr:uid="{C072739A-7930-4220-816B-56D8B9F019DF}"/>
    <cellStyle name="Normal 4 2 11 4" xfId="2269" xr:uid="{00000000-0005-0000-0000-00004B050000}"/>
    <cellStyle name="Normal 4 2 11 4 2" xfId="7396" xr:uid="{D3EBD313-E8E6-498E-9C69-81C7C91B4EF9}"/>
    <cellStyle name="Normal 4 2 11 4 2 2" xfId="26958" xr:uid="{24706F7D-8E66-4631-9E2D-73CE0996E932}"/>
    <cellStyle name="Normal 4 2 11 4 2 3" xfId="17776" xr:uid="{44BEC249-2C26-4D7D-8A7B-6EA093550D06}"/>
    <cellStyle name="Normal 4 2 11 4 3" xfId="10229" xr:uid="{37145A3E-5207-4822-9371-1701F1171EAC}"/>
    <cellStyle name="Normal 4 2 11 4 3 2" xfId="20609" xr:uid="{2648A42C-AFC5-4B2A-A487-921917475C33}"/>
    <cellStyle name="Normal 4 2 11 4 4" xfId="22720" xr:uid="{04B88765-A487-4E4C-9901-A4AFCC2BEA9D}"/>
    <cellStyle name="Normal 4 2 11 4 5" xfId="14943" xr:uid="{54722A99-E9CD-42FD-ADE5-3002164BBFB0}"/>
    <cellStyle name="Normal 4 2 11 5" xfId="3968" xr:uid="{40437C33-ED0F-4C4F-A451-25B473F93DC5}"/>
    <cellStyle name="Normal 4 2 11 5 2" xfId="8792" xr:uid="{F601A150-0B31-41E0-8DA0-B0CA702CE233}"/>
    <cellStyle name="Normal 4 2 11 5 2 2" xfId="19172" xr:uid="{C055CD5A-EEA0-4E2F-9C4C-0FFA1884F164}"/>
    <cellStyle name="Normal 4 2 11 5 3" xfId="11625" xr:uid="{18C1F18F-8736-4F0E-9183-DAE598D48C29}"/>
    <cellStyle name="Normal 4 2 11 5 3 2" xfId="22005" xr:uid="{5BD16FAA-15E3-4F97-BD1F-6159CFC80DB3}"/>
    <cellStyle name="Normal 4 2 11 5 4" xfId="28478" xr:uid="{107AD78C-92F9-4F1E-8FBC-B882481E552A}"/>
    <cellStyle name="Normal 4 2 11 5 5" xfId="16339" xr:uid="{FCFE0DAB-F5F6-45F3-A5B5-EC52EB7A7B1C}"/>
    <cellStyle name="Normal 4 2 11 6" xfId="5213" xr:uid="{B46CAF38-B055-486A-8BE3-EDDA147D0CE2}"/>
    <cellStyle name="Normal 4 2 11 6 2" xfId="14511" xr:uid="{9979028E-74D2-48FA-8DDB-B0FB662A7327}"/>
    <cellStyle name="Normal 4 2 11 7" xfId="6964" xr:uid="{2103BA03-C730-48E1-8A8E-3EA6EBE0DC67}"/>
    <cellStyle name="Normal 4 2 11 7 2" xfId="17344" xr:uid="{44ED385A-2AE5-488B-9AF7-EC162777E131}"/>
    <cellStyle name="Normal 4 2 11 8" xfId="9797" xr:uid="{3D1A39C1-0F2B-4485-8F3B-282F54907637}"/>
    <cellStyle name="Normal 4 2 11 8 2" xfId="20177" xr:uid="{1462CF82-5627-415F-A5F1-5446D590116B}"/>
    <cellStyle name="Normal 4 2 11 9" xfId="25482" xr:uid="{0AACD3D2-46F8-4DA4-BBF8-728F9B0062DF}"/>
    <cellStyle name="Normal 4 2 12" xfId="909" xr:uid="{00000000-0005-0000-0000-00003F050000}"/>
    <cellStyle name="Normal 4 2 12 2" xfId="3274" xr:uid="{00000000-0005-0000-0000-00004F050000}"/>
    <cellStyle name="Normal 4 2 12 2 2" xfId="6332" xr:uid="{57243C19-697E-473A-B248-624327C4602A}"/>
    <cellStyle name="Normal 4 2 12 2 2 2" xfId="28200" xr:uid="{7AE55AE3-FE7A-4884-B9D0-FF83A0F217D0}"/>
    <cellStyle name="Normal 4 2 12 2 2 3" xfId="15901" xr:uid="{3FE29F57-3DFD-4507-B092-AE152A169DD6}"/>
    <cellStyle name="Normal 4 2 12 2 3" xfId="8354" xr:uid="{5AD9B8F9-11BB-42FD-9C0F-B2ACEF54F25E}"/>
    <cellStyle name="Normal 4 2 12 2 3 2" xfId="18734" xr:uid="{F2D6770D-4D1C-4B5F-B4AE-F933182345A3}"/>
    <cellStyle name="Normal 4 2 12 2 4" xfId="11187" xr:uid="{22DEECCE-A0CD-40ED-AACB-44B8A1591DC2}"/>
    <cellStyle name="Normal 4 2 12 2 4 2" xfId="21567" xr:uid="{057485CF-B3AB-4D7F-A7B1-06107B4DC1A2}"/>
    <cellStyle name="Normal 4 2 12 2 5" xfId="24213" xr:uid="{A62A4FA9-8C7C-48B5-9FD5-D9DBE6429A79}"/>
    <cellStyle name="Normal 4 2 12 2 6" xfId="13825" xr:uid="{6B44576E-1ADF-4AAB-8E8F-03C03CF5113B}"/>
    <cellStyle name="Normal 4 2 12 3" xfId="4116" xr:uid="{C0E2A95B-A1C1-45B5-ABD0-12419E732CDB}"/>
    <cellStyle name="Normal 4 2 12 3 2" xfId="8888" xr:uid="{64CAA0F6-7251-41FA-B955-52C98B1D866C}"/>
    <cellStyle name="Normal 4 2 12 3 2 2" xfId="29003" xr:uid="{EAA76D94-DAD4-411C-9672-FB8590B35F01}"/>
    <cellStyle name="Normal 4 2 12 3 2 3" xfId="19268" xr:uid="{8DDE7DFE-B407-4EC4-9B14-CFB8194E7F6F}"/>
    <cellStyle name="Normal 4 2 12 3 3" xfId="11721" xr:uid="{3123DE6C-788F-444D-AB15-34EE5957B888}"/>
    <cellStyle name="Normal 4 2 12 3 3 2" xfId="22101" xr:uid="{F9A360FE-0F2C-4A6A-8E01-733B824AA1D3}"/>
    <cellStyle name="Normal 4 2 12 3 4" xfId="24660" xr:uid="{05599161-2CD7-4A59-BB2B-EC7793B7AAD8}"/>
    <cellStyle name="Normal 4 2 12 3 5" xfId="16435" xr:uid="{59BD7CDC-1EE6-43DC-846C-DEB35DC39991}"/>
    <cellStyle name="Normal 4 2 12 4" xfId="5214" xr:uid="{663F3992-2E3B-4876-9DF9-D8F9D70D6972}"/>
    <cellStyle name="Normal 4 2 12 4 2" xfId="24938" xr:uid="{545761CC-FC14-4597-9478-9D21E16AE88C}"/>
    <cellStyle name="Normal 4 2 12 4 3" xfId="26149" xr:uid="{2F7F0F47-228E-4280-8856-CE0E3D9B355A}"/>
    <cellStyle name="Normal 4 2 12 4 4" xfId="14512" xr:uid="{B29831FF-22CC-4496-B741-AED3B23604FD}"/>
    <cellStyle name="Normal 4 2 12 5" xfId="6965" xr:uid="{F9954EFB-9273-41C8-9A78-25F5E8F1288A}"/>
    <cellStyle name="Normal 4 2 12 5 2" xfId="26583" xr:uid="{03D41094-D075-4F1C-BF8B-A5362ED5EBAA}"/>
    <cellStyle name="Normal 4 2 12 5 3" xfId="17345" xr:uid="{C3F3474C-C1A6-41B5-979F-298D44083AF5}"/>
    <cellStyle name="Normal 4 2 12 6" xfId="9798" xr:uid="{76B95C7D-0586-474F-B8AF-B0CCFF19C26A}"/>
    <cellStyle name="Normal 4 2 12 6 2" xfId="20178" xr:uid="{7AEFD330-56B6-4B26-B329-F828984E1315}"/>
    <cellStyle name="Normal 4 2 12 7" xfId="24446" xr:uid="{58AE3336-1CE4-4012-A7DE-217525D1A1BC}"/>
    <cellStyle name="Normal 4 2 12 8" xfId="12659" xr:uid="{7F5BCED3-8E97-496B-A83E-ED562CA0D877}"/>
    <cellStyle name="Normal 4 2 13" xfId="910" xr:uid="{00000000-0005-0000-0000-000040050000}"/>
    <cellStyle name="Normal 4 2 13 2" xfId="5215" xr:uid="{B9CFA165-2251-4903-B5AF-7F91BE12455C}"/>
    <cellStyle name="Normal 4 2 13 2 2" xfId="25277" xr:uid="{683E918D-C673-4735-B0F8-FAC7A5B01144}"/>
    <cellStyle name="Normal 4 2 13 2 3" xfId="28339" xr:uid="{6051871C-D20C-4522-BEFE-D4EBAA8EA9F8}"/>
    <cellStyle name="Normal 4 2 13 2 4" xfId="14513" xr:uid="{D6AFA65F-6472-4E8B-91C1-FBAD54B3CD4F}"/>
    <cellStyle name="Normal 4 2 13 3" xfId="6966" xr:uid="{8C09D563-2893-4843-BCD4-CC10B1168477}"/>
    <cellStyle name="Normal 4 2 13 3 2" xfId="22912" xr:uid="{DCFAB4E1-ADFB-4B54-91B7-297FFF170CCE}"/>
    <cellStyle name="Normal 4 2 13 3 3" xfId="17346" xr:uid="{81640F5B-6D16-441B-9AE6-A663077F7A59}"/>
    <cellStyle name="Normal 4 2 13 4" xfId="9799" xr:uid="{9489FE99-E323-4CE2-AB84-C2870FBC4082}"/>
    <cellStyle name="Normal 4 2 13 4 2" xfId="20179" xr:uid="{EB5230F9-A7EA-4766-9CC0-A005FECC8416}"/>
    <cellStyle name="Normal 4 2 13 5" xfId="23199" xr:uid="{1F99CF31-EECD-4601-A448-FBD0619A42A1}"/>
    <cellStyle name="Normal 4 2 13 6" xfId="13357" xr:uid="{F6163DAC-A749-4C4C-BF5B-FBD5FE08AB67}"/>
    <cellStyle name="Normal 4 2 14" xfId="2431" xr:uid="{00000000-0005-0000-0000-000051050000}"/>
    <cellStyle name="Normal 4 2 14 2" xfId="5728" xr:uid="{1944C359-D1BC-4C47-8FAE-38DD4B5810C8}"/>
    <cellStyle name="Normal 4 2 14 2 2" xfId="28568" xr:uid="{ABE07BF4-324A-46E7-A17D-09E199107C54}"/>
    <cellStyle name="Normal 4 2 14 2 3" xfId="15103" xr:uid="{C59EDB31-B160-4473-BBB4-631B98FC424F}"/>
    <cellStyle name="Normal 4 2 14 3" xfId="7556" xr:uid="{0F980473-09F3-48ED-AC29-9374C6927889}"/>
    <cellStyle name="Normal 4 2 14 3 2" xfId="17936" xr:uid="{C350FC9B-C3ED-4025-BA32-18A6180B4119}"/>
    <cellStyle name="Normal 4 2 14 4" xfId="10389" xr:uid="{34FC9352-DF33-4BA8-8F66-F791B7E33A15}"/>
    <cellStyle name="Normal 4 2 14 4 2" xfId="20769" xr:uid="{6F721377-F3A7-491A-A3F2-EB95C437E24B}"/>
    <cellStyle name="Normal 4 2 14 5" xfId="23755" xr:uid="{EA0D995E-5FF6-4F57-868E-149D4A60FA02}"/>
    <cellStyle name="Normal 4 2 14 6" xfId="12818" xr:uid="{3DCF1676-21AA-4089-A749-0BE68428EC7A}"/>
    <cellStyle name="Normal 4 2 15" xfId="2158" xr:uid="{00000000-0005-0000-0000-000046050000}"/>
    <cellStyle name="Normal 4 2 15 2" xfId="7285" xr:uid="{68D389C6-B65B-4B57-8695-00107252F18A}"/>
    <cellStyle name="Normal 4 2 15 2 2" xfId="27149" xr:uid="{17A309DB-A644-477D-9B0D-A0536F0E8417}"/>
    <cellStyle name="Normal 4 2 15 2 3" xfId="17665" xr:uid="{7C4FD314-CB10-403B-83A5-8290EBEAC479}"/>
    <cellStyle name="Normal 4 2 15 3" xfId="10118" xr:uid="{CFC204A1-6795-48DE-89AF-D3D874DAFB26}"/>
    <cellStyle name="Normal 4 2 15 3 2" xfId="20498" xr:uid="{069D1D85-8652-419E-9121-EA4F3A6D8CD0}"/>
    <cellStyle name="Normal 4 2 15 4" xfId="23115" xr:uid="{0700854F-4580-478D-B6AB-331935D9045D}"/>
    <cellStyle name="Normal 4 2 15 5" xfId="14832" xr:uid="{9E532901-D255-4CD4-A05C-2D4608C4EE1A}"/>
    <cellStyle name="Normal 4 2 16" xfId="3782" xr:uid="{27CC7272-F4E2-4520-8C54-59A332157E49}"/>
    <cellStyle name="Normal 4 2 16 2" xfId="8622" xr:uid="{4EAA9704-FCEC-48C5-8844-C9B8227FEA16}"/>
    <cellStyle name="Normal 4 2 16 2 2" xfId="19002" xr:uid="{E0F32574-3B85-4CF3-BDB9-E03BC42D58A4}"/>
    <cellStyle name="Normal 4 2 16 3" xfId="11455" xr:uid="{E9BA206A-0C6C-4F83-914B-9E2E07F02FA7}"/>
    <cellStyle name="Normal 4 2 16 3 2" xfId="21835" xr:uid="{59BB904D-D1F2-4354-B67B-DE0EA2C8F00A}"/>
    <cellStyle name="Normal 4 2 16 4" xfId="25791" xr:uid="{35B12276-71AF-461C-AE9A-427A350131B5}"/>
    <cellStyle name="Normal 4 2 16 5" xfId="16169" xr:uid="{1545F333-97CF-46AF-850C-51D5368240A3}"/>
    <cellStyle name="Normal 4 2 17" xfId="5209" xr:uid="{40A45B17-08A7-429D-8BD0-7720AD32C752}"/>
    <cellStyle name="Normal 4 2 17 2" xfId="14507" xr:uid="{5B1A016E-2D09-4B3B-98B7-731CCA32B5ED}"/>
    <cellStyle name="Normal 4 2 18" xfId="6960" xr:uid="{1F9797DC-AAF9-450A-834E-2C1BBEA5DA7A}"/>
    <cellStyle name="Normal 4 2 18 2" xfId="17340" xr:uid="{30EFEE0E-5220-4048-9358-20DAC758A838}"/>
    <cellStyle name="Normal 4 2 19" xfId="9793" xr:uid="{9B414E89-376D-43A7-AFAD-BF33BE972A2C}"/>
    <cellStyle name="Normal 4 2 19 2" xfId="20173" xr:uid="{FB5A6142-9B43-46BF-9D60-43609F1B4AAD}"/>
    <cellStyle name="Normal 4 2 2" xfId="911" xr:uid="{00000000-0005-0000-0000-000041050000}"/>
    <cellStyle name="Normal 4 2 2 10" xfId="912" xr:uid="{00000000-0005-0000-0000-000042050000}"/>
    <cellStyle name="Normal 4 2 2 10 2" xfId="3275" xr:uid="{00000000-0005-0000-0000-000054050000}"/>
    <cellStyle name="Normal 4 2 2 10 2 2" xfId="6333" xr:uid="{185D5FB2-85C2-4416-AC75-4FDE5AC6B1DF}"/>
    <cellStyle name="Normal 4 2 2 10 2 2 2" xfId="26580" xr:uid="{B42086E8-B959-4099-801F-672DEC2E0025}"/>
    <cellStyle name="Normal 4 2 2 10 2 2 3" xfId="15902" xr:uid="{452F1F5D-5074-4FD2-95C9-D04823D47F33}"/>
    <cellStyle name="Normal 4 2 2 10 2 3" xfId="8355" xr:uid="{153892A2-F93F-4E14-B3F3-08E2EA9DECD7}"/>
    <cellStyle name="Normal 4 2 2 10 2 3 2" xfId="18735" xr:uid="{E97DF94D-DCCB-4B23-B8B5-E2072511C9D1}"/>
    <cellStyle name="Normal 4 2 2 10 2 4" xfId="11188" xr:uid="{132DB61E-A0F6-40EA-8A14-D18FC83EE2CE}"/>
    <cellStyle name="Normal 4 2 2 10 2 4 2" xfId="21568" xr:uid="{B16012CC-04A6-4971-91F8-10D17303B46B}"/>
    <cellStyle name="Normal 4 2 2 10 2 5" xfId="24012" xr:uid="{77E7BDF6-8B7A-4EB6-B150-4D77A6C11D38}"/>
    <cellStyle name="Normal 4 2 2 10 2 6" xfId="13826" xr:uid="{DA35EE25-1A4B-4F9B-B2C0-C383A2CD0766}"/>
    <cellStyle name="Normal 4 2 2 10 3" xfId="4179" xr:uid="{E8F62DEC-F5C8-42CD-A259-9BE651747801}"/>
    <cellStyle name="Normal 4 2 2 10 3 2" xfId="8951" xr:uid="{75BCDBA2-0158-4D5A-9CD1-5F782654B6F2}"/>
    <cellStyle name="Normal 4 2 2 10 3 2 2" xfId="29041" xr:uid="{BC5579B2-43A0-4EA1-A35A-04487637E72F}"/>
    <cellStyle name="Normal 4 2 2 10 3 2 3" xfId="19331" xr:uid="{5F984210-6810-47A9-B5F3-B59C911EC90B}"/>
    <cellStyle name="Normal 4 2 2 10 3 3" xfId="11784" xr:uid="{3339DDCC-70EA-478E-A9F8-32DBB8D883B2}"/>
    <cellStyle name="Normal 4 2 2 10 3 3 2" xfId="22164" xr:uid="{54E497B8-380D-4ACC-8784-CD20EE42FE48}"/>
    <cellStyle name="Normal 4 2 2 10 3 4" xfId="23608" xr:uid="{2C8585E0-C069-4507-BAC1-CCDE8C3D2477}"/>
    <cellStyle name="Normal 4 2 2 10 3 5" xfId="16498" xr:uid="{000A0721-BE3F-4DE6-A670-AAE937D1F561}"/>
    <cellStyle name="Normal 4 2 2 10 4" xfId="5217" xr:uid="{4EB3040A-9666-465A-9EBA-F4CF9D32B3C0}"/>
    <cellStyle name="Normal 4 2 2 10 4 2" xfId="25598" xr:uid="{203D3871-DD7E-4628-82BB-2C2F31A1BC76}"/>
    <cellStyle name="Normal 4 2 2 10 4 3" xfId="26291" xr:uid="{43B93DD7-EA6B-4238-A94D-730A91ED13F8}"/>
    <cellStyle name="Normal 4 2 2 10 4 4" xfId="14515" xr:uid="{87915702-98F2-4892-B3E9-B71660CD3F1A}"/>
    <cellStyle name="Normal 4 2 2 10 5" xfId="6968" xr:uid="{A464D24B-E40E-4838-AB46-D234D06B716F}"/>
    <cellStyle name="Normal 4 2 2 10 5 2" xfId="26301" xr:uid="{C027921C-8B3B-430A-9639-5218B95214C9}"/>
    <cellStyle name="Normal 4 2 2 10 5 3" xfId="17348" xr:uid="{B035E0E2-CAB1-4239-95B7-D4414DE2A23A}"/>
    <cellStyle name="Normal 4 2 2 10 6" xfId="9801" xr:uid="{CDFC3378-980C-472A-910D-BFCC669BD829}"/>
    <cellStyle name="Normal 4 2 2 10 6 2" xfId="20181" xr:uid="{940DF854-35D4-4CBB-9499-CA473C6DE8FA}"/>
    <cellStyle name="Normal 4 2 2 10 7" xfId="23009" xr:uid="{959DFF94-1B52-45F5-ADCF-7A6870F80A28}"/>
    <cellStyle name="Normal 4 2 2 10 8" xfId="12741" xr:uid="{C95538CA-7F08-4DE8-9100-45949CACB198}"/>
    <cellStyle name="Normal 4 2 2 11" xfId="913" xr:uid="{00000000-0005-0000-0000-000043050000}"/>
    <cellStyle name="Normal 4 2 2 11 2" xfId="5218" xr:uid="{27E7D2F7-8A58-4417-81DC-C797F66B222E}"/>
    <cellStyle name="Normal 4 2 2 11 2 2" xfId="22940" xr:uid="{E4853C26-B6A5-4022-B8BA-094D7181B69D}"/>
    <cellStyle name="Normal 4 2 2 11 2 3" xfId="28122" xr:uid="{803779A3-B52D-4DB8-9BA3-E064CEDB4EDF}"/>
    <cellStyle name="Normal 4 2 2 11 2 4" xfId="14516" xr:uid="{607B8411-1C42-495F-A5F9-E4A8C274DF3A}"/>
    <cellStyle name="Normal 4 2 2 11 3" xfId="6969" xr:uid="{5A4AC2D8-0476-44F7-850F-EBE5B9E95294}"/>
    <cellStyle name="Normal 4 2 2 11 3 2" xfId="27038" xr:uid="{EE41EE3F-7DAB-4326-8B66-E1F148D3036C}"/>
    <cellStyle name="Normal 4 2 2 11 3 3" xfId="17349" xr:uid="{E6278A32-D60F-4D6F-BA08-E494E08F2CBE}"/>
    <cellStyle name="Normal 4 2 2 11 4" xfId="9802" xr:uid="{071AFB65-363D-4AEF-8405-D54E4F6B7A51}"/>
    <cellStyle name="Normal 4 2 2 11 4 2" xfId="20182" xr:uid="{F96BCF8A-523F-4905-8DC7-50E08DFF478B}"/>
    <cellStyle name="Normal 4 2 2 11 5" xfId="23709" xr:uid="{DC3F3100-3942-4219-BF9A-89EFA33F2CAA}"/>
    <cellStyle name="Normal 4 2 2 11 6" xfId="13439" xr:uid="{25A1D4A9-1F40-41D7-995E-CD0254D7F015}"/>
    <cellStyle name="Normal 4 2 2 12" xfId="2439" xr:uid="{00000000-0005-0000-0000-000056050000}"/>
    <cellStyle name="Normal 4 2 2 12 2" xfId="5734" xr:uid="{8547517B-8782-4609-B33A-3D63C44BF131}"/>
    <cellStyle name="Normal 4 2 2 12 2 2" xfId="26015" xr:uid="{1CB25410-FC96-496C-8EB8-798C5784FD28}"/>
    <cellStyle name="Normal 4 2 2 12 2 3" xfId="15111" xr:uid="{0FE9A20C-C962-4A7A-AD94-954A69DDA6A6}"/>
    <cellStyle name="Normal 4 2 2 12 3" xfId="7564" xr:uid="{64007956-3482-47D2-9868-CCC187CEB834}"/>
    <cellStyle name="Normal 4 2 2 12 3 2" xfId="17944" xr:uid="{5606201E-E1C2-4C8B-828E-E5CB02270946}"/>
    <cellStyle name="Normal 4 2 2 12 4" xfId="10397" xr:uid="{86A3DC0E-5108-4020-8B99-37CB5341841F}"/>
    <cellStyle name="Normal 4 2 2 12 4 2" xfId="20777" xr:uid="{696A862E-EDD7-4007-BD2B-226DF2627FFB}"/>
    <cellStyle name="Normal 4 2 2 12 5" xfId="23021" xr:uid="{BAF468B8-ED33-44EA-A05D-FDAF302D77CB}"/>
    <cellStyle name="Normal 4 2 2 12 6" xfId="12826" xr:uid="{C759DABA-98F7-4310-A754-1D0D20A4DE9F}"/>
    <cellStyle name="Normal 4 2 2 13" xfId="2169" xr:uid="{00000000-0005-0000-0000-000052050000}"/>
    <cellStyle name="Normal 4 2 2 13 2" xfId="7296" xr:uid="{6FB8E346-A4FC-4EC0-B955-F22EE28F903C}"/>
    <cellStyle name="Normal 4 2 2 13 2 2" xfId="25881" xr:uid="{89DE9C29-9D64-4A61-9946-9E17F5F858CE}"/>
    <cellStyle name="Normal 4 2 2 13 2 3" xfId="17676" xr:uid="{317C0F3D-5A95-46DC-A00F-A42DFA954F0A}"/>
    <cellStyle name="Normal 4 2 2 13 3" xfId="10129" xr:uid="{008BE103-F31A-4EE0-9CE8-279CC533AB21}"/>
    <cellStyle name="Normal 4 2 2 13 3 2" xfId="20509" xr:uid="{6B6C2BA2-CE92-4379-BE26-7E3DB75D7A30}"/>
    <cellStyle name="Normal 4 2 2 13 4" xfId="25003" xr:uid="{51999392-4F95-43AF-A5E4-7A589442CCCB}"/>
    <cellStyle name="Normal 4 2 2 13 5" xfId="14843" xr:uid="{50A31E45-B226-41F3-96D7-F7AE06317ADE}"/>
    <cellStyle name="Normal 4 2 2 14" xfId="3970" xr:uid="{506337B6-E5FF-4C3A-AC3F-7F5EB249ADE2}"/>
    <cellStyle name="Normal 4 2 2 14 2" xfId="8794" xr:uid="{6816267C-CA97-4402-BD8A-30BAE9FFD2EB}"/>
    <cellStyle name="Normal 4 2 2 14 2 2" xfId="19174" xr:uid="{FEE2672A-26C4-496E-8CCD-E2CD8439F4EE}"/>
    <cellStyle name="Normal 4 2 2 14 3" xfId="11627" xr:uid="{0412BC77-676E-48C0-B280-5E17E1F24B54}"/>
    <cellStyle name="Normal 4 2 2 14 3 2" xfId="22007" xr:uid="{C47AF24F-E0E2-4DB5-8006-6E21B6128F61}"/>
    <cellStyle name="Normal 4 2 2 14 4" xfId="28255" xr:uid="{B55D04E7-6FDE-47CC-B0E4-A2E698104F39}"/>
    <cellStyle name="Normal 4 2 2 14 5" xfId="16341" xr:uid="{6FC29E5D-3ECF-4292-BEC7-408E86683948}"/>
    <cellStyle name="Normal 4 2 2 15" xfId="5216" xr:uid="{F75B133F-711A-4428-B6C2-C87F953FE4CB}"/>
    <cellStyle name="Normal 4 2 2 15 2" xfId="14514" xr:uid="{8D7CE6F0-F1F5-4E29-A5FE-BEC7F61EA2C6}"/>
    <cellStyle name="Normal 4 2 2 16" xfId="6967" xr:uid="{227B8A98-21E7-4B31-8E84-EB7743178BF0}"/>
    <cellStyle name="Normal 4 2 2 16 2" xfId="17347" xr:uid="{059F3E2E-C8A1-4492-8C20-7D394D910061}"/>
    <cellStyle name="Normal 4 2 2 17" xfId="9800" xr:uid="{A4C1941F-E307-4CEB-983A-FA32E492783F}"/>
    <cellStyle name="Normal 4 2 2 17 2" xfId="20180" xr:uid="{DB2017BF-18F0-4687-AD41-27960EC6A76F}"/>
    <cellStyle name="Normal 4 2 2 18" xfId="23650" xr:uid="{0A8A455A-A8EF-430F-92FD-55612F61147B}"/>
    <cellStyle name="Normal 4 2 2 19" xfId="12401" xr:uid="{7232607F-40C2-428E-83EC-64C6242A32AC}"/>
    <cellStyle name="Normal 4 2 2 2" xfId="914" xr:uid="{00000000-0005-0000-0000-000044050000}"/>
    <cellStyle name="Normal 4 2 2 2 10" xfId="5219" xr:uid="{364E115F-8F58-470F-8CA2-708DF92C7DC9}"/>
    <cellStyle name="Normal 4 2 2 2 10 2" xfId="14517" xr:uid="{7160F19E-8775-4FA0-900D-158F6A3203ED}"/>
    <cellStyle name="Normal 4 2 2 2 11" xfId="6970" xr:uid="{DCD49193-39B7-416C-B686-ADE5E64F7630}"/>
    <cellStyle name="Normal 4 2 2 2 11 2" xfId="17350" xr:uid="{1056EB77-8C93-489F-A457-7C6479E8980D}"/>
    <cellStyle name="Normal 4 2 2 2 12" xfId="9803" xr:uid="{0B953A81-D92E-44F0-A54A-527F8DE97B99}"/>
    <cellStyle name="Normal 4 2 2 2 12 2" xfId="20183" xr:uid="{09116E36-69EE-4EE1-AB7C-6ED61FACEDB4}"/>
    <cellStyle name="Normal 4 2 2 2 13" xfId="24789" xr:uid="{B823D996-2878-4B0A-BD9F-8035BEA5F8C9}"/>
    <cellStyle name="Normal 4 2 2 2 14" xfId="12424" xr:uid="{EF2096D0-6203-4F9D-8317-B60DD2079030}"/>
    <cellStyle name="Normal 4 2 2 2 2" xfId="915" xr:uid="{00000000-0005-0000-0000-000045050000}"/>
    <cellStyle name="Normal 4 2 2 2 2 10" xfId="6971" xr:uid="{FBFD471C-F7A4-4045-9E45-7FC9C20E281F}"/>
    <cellStyle name="Normal 4 2 2 2 2 10 2" xfId="17351" xr:uid="{81BE71D8-3FB8-45C2-9262-D46F9334548D}"/>
    <cellStyle name="Normal 4 2 2 2 2 11" xfId="9804" xr:uid="{6B2B4B35-2608-4CF9-9808-23B644968073}"/>
    <cellStyle name="Normal 4 2 2 2 2 11 2" xfId="20184" xr:uid="{4BD94397-7859-4669-8DE7-21131FC76711}"/>
    <cellStyle name="Normal 4 2 2 2 2 12" xfId="24467" xr:uid="{2675B592-A58D-4B77-8B94-8676EAB45A3C}"/>
    <cellStyle name="Normal 4 2 2 2 2 13" xfId="12484" xr:uid="{0078570A-5EDE-4ACF-8733-E2FB68784F0C}"/>
    <cellStyle name="Normal 4 2 2 2 2 2" xfId="916" xr:uid="{00000000-0005-0000-0000-000046050000}"/>
    <cellStyle name="Normal 4 2 2 2 2 2 10" xfId="13049" xr:uid="{381C7113-683D-43E6-BCCA-0D1F2EB08DFC}"/>
    <cellStyle name="Normal 4 2 2 2 2 2 2" xfId="2765" xr:uid="{00000000-0005-0000-0000-00005A050000}"/>
    <cellStyle name="Normal 4 2 2 2 2 2 2 2" xfId="3278" xr:uid="{00000000-0005-0000-0000-00005B050000}"/>
    <cellStyle name="Normal 4 2 2 2 2 2 2 2 2" xfId="6336" xr:uid="{B8ACEB30-0CE2-4173-B279-A6A7C4B74632}"/>
    <cellStyle name="Normal 4 2 2 2 2 2 2 2 2 2" xfId="27886" xr:uid="{7BD79C04-A0A8-4BF9-BA89-7647764278B8}"/>
    <cellStyle name="Normal 4 2 2 2 2 2 2 2 2 3" xfId="15905" xr:uid="{056C4EB1-52EB-49F9-8A39-8E3104E2BD69}"/>
    <cellStyle name="Normal 4 2 2 2 2 2 2 2 3" xfId="8358" xr:uid="{09D49612-BF5E-42A4-81E7-8D0CF8A45DFB}"/>
    <cellStyle name="Normal 4 2 2 2 2 2 2 2 3 2" xfId="18738" xr:uid="{A3F72BED-15B3-4F0D-B23D-DDE223D168C3}"/>
    <cellStyle name="Normal 4 2 2 2 2 2 2 2 4" xfId="11191" xr:uid="{4F15445F-E254-4744-AFD8-98DD5955A3F6}"/>
    <cellStyle name="Normal 4 2 2 2 2 2 2 2 4 2" xfId="21571" xr:uid="{5720F82A-957C-469D-B4DE-DEA634CA4FF5}"/>
    <cellStyle name="Normal 4 2 2 2 2 2 2 2 5" xfId="25448" xr:uid="{104A3E42-31B4-4435-A191-36A34B559480}"/>
    <cellStyle name="Normal 4 2 2 2 2 2 2 2 6" xfId="13829" xr:uid="{4CB194F4-5771-4E79-8CC9-8C1142B493C0}"/>
    <cellStyle name="Normal 4 2 2 2 2 2 2 3" xfId="4323" xr:uid="{F0596E22-3024-46AE-9601-D6EC0250F4CC}"/>
    <cellStyle name="Normal 4 2 2 2 2 2 2 3 2" xfId="9095" xr:uid="{BA6C2552-E7CD-45EC-8D65-1D81C7C490FD}"/>
    <cellStyle name="Normal 4 2 2 2 2 2 2 3 2 2" xfId="29138" xr:uid="{2ED4F116-AE48-4DD7-B2DC-0FA0ED7D4D2F}"/>
    <cellStyle name="Normal 4 2 2 2 2 2 2 3 2 3" xfId="19475" xr:uid="{E2B1A06E-BC42-48EB-A399-5AD1CF4AFF9A}"/>
    <cellStyle name="Normal 4 2 2 2 2 2 2 3 3" xfId="11928" xr:uid="{7B61F769-7681-4E74-8261-76194DC96EA4}"/>
    <cellStyle name="Normal 4 2 2 2 2 2 2 3 3 2" xfId="22308" xr:uid="{4B15C1DE-14C7-47ED-B545-930AF3BE57FD}"/>
    <cellStyle name="Normal 4 2 2 2 2 2 2 3 4" xfId="23971" xr:uid="{E14D23FD-4C6E-4A17-BDB4-4BC1E4323E26}"/>
    <cellStyle name="Normal 4 2 2 2 2 2 2 3 5" xfId="16642" xr:uid="{55064A3D-6723-44F9-BCAC-D31647776C51}"/>
    <cellStyle name="Normal 4 2 2 2 2 2 2 4" xfId="5983" xr:uid="{2D391F71-8852-498E-919B-1BC4D82E05D1}"/>
    <cellStyle name="Normal 4 2 2 2 2 2 2 4 2" xfId="28159" xr:uid="{47AFD2F5-31E0-4592-8088-089B9256271A}"/>
    <cellStyle name="Normal 4 2 2 2 2 2 2 4 3" xfId="15436" xr:uid="{85ED1564-DEA1-4D4E-86E0-9F3C30586B03}"/>
    <cellStyle name="Normal 4 2 2 2 2 2 2 5" xfId="7889" xr:uid="{3BEDB544-4F3A-460B-8604-4A7F80F80213}"/>
    <cellStyle name="Normal 4 2 2 2 2 2 2 5 2" xfId="18269" xr:uid="{7403030F-0C12-4503-9663-025B88F1465A}"/>
    <cellStyle name="Normal 4 2 2 2 2 2 2 6" xfId="10722" xr:uid="{D4E14310-DBD6-45F8-8432-B1F4E22B2EE9}"/>
    <cellStyle name="Normal 4 2 2 2 2 2 2 6 2" xfId="21102" xr:uid="{863C0D28-CD95-4B89-AD02-44CE4C7F79C9}"/>
    <cellStyle name="Normal 4 2 2 2 2 2 2 7" xfId="24429" xr:uid="{51103B87-10AF-43AF-9352-1EA17A854C2C}"/>
    <cellStyle name="Normal 4 2 2 2 2 2 2 8" xfId="13213" xr:uid="{8F923523-AF98-4C51-8FCF-0A238C899859}"/>
    <cellStyle name="Normal 4 2 2 2 2 2 3" xfId="3279" xr:uid="{00000000-0005-0000-0000-00005C050000}"/>
    <cellStyle name="Normal 4 2 2 2 2 2 3 2" xfId="4504" xr:uid="{C4960D59-ABB2-4263-B98F-3ADF28BD29AD}"/>
    <cellStyle name="Normal 4 2 2 2 2 2 3 2 2" xfId="9276" xr:uid="{5E2E79B0-1FA2-4ACF-9126-695F56DFD9EE}"/>
    <cellStyle name="Normal 4 2 2 2 2 2 3 2 2 2" xfId="19656" xr:uid="{FEECDFFA-5CAD-446C-B6DB-9EC0ACAF8C97}"/>
    <cellStyle name="Normal 4 2 2 2 2 2 3 2 3" xfId="12109" xr:uid="{C4879C75-18E5-4C23-8AF2-EA7F4561FCE3}"/>
    <cellStyle name="Normal 4 2 2 2 2 2 3 2 3 2" xfId="22489" xr:uid="{B343FD7E-829C-402E-B665-34829A6EF2A0}"/>
    <cellStyle name="Normal 4 2 2 2 2 2 3 2 4" xfId="26758" xr:uid="{D8DF39DE-DEBC-4B6D-BF97-3D569CC19CCF}"/>
    <cellStyle name="Normal 4 2 2 2 2 2 3 2 5" xfId="16823" xr:uid="{8D6CD8B5-B9D3-4D1A-932C-4FDA296EAACE}"/>
    <cellStyle name="Normal 4 2 2 2 2 2 3 3" xfId="6337" xr:uid="{3D22DF39-A235-4A42-AC45-2DFC73B9B481}"/>
    <cellStyle name="Normal 4 2 2 2 2 2 3 3 2" xfId="15906" xr:uid="{20EFF842-34D6-413B-A22E-5B91EEB0AD2A}"/>
    <cellStyle name="Normal 4 2 2 2 2 2 3 4" xfId="8359" xr:uid="{B62D4CB3-E43D-4F06-8BB2-4ED8C9FE06BC}"/>
    <cellStyle name="Normal 4 2 2 2 2 2 3 4 2" xfId="18739" xr:uid="{D52C76AA-AA51-4268-BE14-158A9A6BBDFF}"/>
    <cellStyle name="Normal 4 2 2 2 2 2 3 5" xfId="11192" xr:uid="{3E981503-59DE-4E02-9232-C87B1235CD5D}"/>
    <cellStyle name="Normal 4 2 2 2 2 2 3 5 2" xfId="21572" xr:uid="{44313A65-735C-4B6F-9E3D-EC1D47FD9835}"/>
    <cellStyle name="Normal 4 2 2 2 2 2 3 6" xfId="23992" xr:uid="{A66FD1E4-2484-479A-8073-731C626FE251}"/>
    <cellStyle name="Normal 4 2 2 2 2 2 3 7" xfId="13830" xr:uid="{7F59F0FA-9FEF-403D-A242-D34BDDD37F66}"/>
    <cellStyle name="Normal 4 2 2 2 2 2 4" xfId="3277" xr:uid="{00000000-0005-0000-0000-00005D050000}"/>
    <cellStyle name="Normal 4 2 2 2 2 2 4 2" xfId="6335" xr:uid="{7A735161-B8C5-44A4-A4CE-A5FEEF41D92B}"/>
    <cellStyle name="Normal 4 2 2 2 2 2 4 2 2" xfId="26631" xr:uid="{6DAB9FC2-EFC9-4B64-AED0-A9FEE05D1429}"/>
    <cellStyle name="Normal 4 2 2 2 2 2 4 2 3" xfId="15904" xr:uid="{82A4BE76-6424-490A-BAD3-E9981441ADFF}"/>
    <cellStyle name="Normal 4 2 2 2 2 2 4 3" xfId="8357" xr:uid="{C0A69965-9CE8-4AAD-90D3-8CD6D399852A}"/>
    <cellStyle name="Normal 4 2 2 2 2 2 4 3 2" xfId="18737" xr:uid="{F02D0328-7796-4150-9617-E54D067863F7}"/>
    <cellStyle name="Normal 4 2 2 2 2 2 4 4" xfId="11190" xr:uid="{DA82A739-2A85-4F7E-93B4-0A10E74E95B8}"/>
    <cellStyle name="Normal 4 2 2 2 2 2 4 4 2" xfId="21570" xr:uid="{2ADCF35A-5C13-4FBF-9683-A53E1D794BB6}"/>
    <cellStyle name="Normal 4 2 2 2 2 2 4 5" xfId="24755" xr:uid="{E3ED486C-C073-4F6D-924E-826C33313BA5}"/>
    <cellStyle name="Normal 4 2 2 2 2 2 4 6" xfId="13828" xr:uid="{D7B5A615-11BF-4D15-A925-307EF0939938}"/>
    <cellStyle name="Normal 4 2 2 2 2 2 5" xfId="4248" xr:uid="{CC6D375D-BD4D-40F5-9C57-7D2555740F5E}"/>
    <cellStyle name="Normal 4 2 2 2 2 2 5 2" xfId="9020" xr:uid="{4DC7DB8F-38A3-4B33-A67C-CF99CC9D11EE}"/>
    <cellStyle name="Normal 4 2 2 2 2 2 5 2 2" xfId="29091" xr:uid="{91B21A91-3A94-4F37-A8DC-9EB5B6AD36FC}"/>
    <cellStyle name="Normal 4 2 2 2 2 2 5 2 3" xfId="19400" xr:uid="{5CD80ABA-E1E9-4602-8258-8E1497F69587}"/>
    <cellStyle name="Normal 4 2 2 2 2 2 5 3" xfId="11853" xr:uid="{C0EF5E50-5348-49CA-B68D-21DE54DE347E}"/>
    <cellStyle name="Normal 4 2 2 2 2 2 5 3 2" xfId="22233" xr:uid="{91C55B56-521E-473A-B31D-860E68AB3DC2}"/>
    <cellStyle name="Normal 4 2 2 2 2 2 5 4" xfId="25470" xr:uid="{28BA4A29-AD1A-4A54-AE20-AEB3BC2E7175}"/>
    <cellStyle name="Normal 4 2 2 2 2 2 5 5" xfId="16567" xr:uid="{943696B2-CEE6-4E22-B067-25005356976F}"/>
    <cellStyle name="Normal 4 2 2 2 2 2 6" xfId="5221" xr:uid="{8D425C41-DB49-4C08-8292-EEBA558AED65}"/>
    <cellStyle name="Normal 4 2 2 2 2 2 6 2" xfId="26103" xr:uid="{3797F20E-714F-47D7-AABA-4F2A42BBC04D}"/>
    <cellStyle name="Normal 4 2 2 2 2 2 6 3" xfId="14519" xr:uid="{1EF54C17-758F-4721-881E-32B942577160}"/>
    <cellStyle name="Normal 4 2 2 2 2 2 7" xfId="6972" xr:uid="{4D95FE9B-573B-4455-80C7-E879AF30CE0A}"/>
    <cellStyle name="Normal 4 2 2 2 2 2 7 2" xfId="17352" xr:uid="{5E91A820-70D7-4845-B9B2-02D632E906BC}"/>
    <cellStyle name="Normal 4 2 2 2 2 2 8" xfId="9805" xr:uid="{6435EA55-4A57-4026-BBFE-853758CC3F04}"/>
    <cellStyle name="Normal 4 2 2 2 2 2 8 2" xfId="20185" xr:uid="{0040778D-3436-4031-B47B-7043A6EDC977}"/>
    <cellStyle name="Normal 4 2 2 2 2 2 9" xfId="22805" xr:uid="{405BFEED-439C-4ECB-9DD2-C937295F820A}"/>
    <cellStyle name="Normal 4 2 2 2 2 3" xfId="2764" xr:uid="{00000000-0005-0000-0000-00005E050000}"/>
    <cellStyle name="Normal 4 2 2 2 2 3 2" xfId="3280" xr:uid="{00000000-0005-0000-0000-00005F050000}"/>
    <cellStyle name="Normal 4 2 2 2 2 3 2 2" xfId="6338" xr:uid="{6F599886-50AC-44C8-BB63-387A109B2C0C}"/>
    <cellStyle name="Normal 4 2 2 2 2 3 2 2 2" xfId="28294" xr:uid="{C3D29537-2C39-45E4-9B83-9A7C9FBB291E}"/>
    <cellStyle name="Normal 4 2 2 2 2 3 2 2 3" xfId="15907" xr:uid="{12E46451-17A2-49E9-B949-BA87973F3990}"/>
    <cellStyle name="Normal 4 2 2 2 2 3 2 3" xfId="8360" xr:uid="{CAAA5857-6B10-4F1C-BD3B-47F91B744DDD}"/>
    <cellStyle name="Normal 4 2 2 2 2 3 2 3 2" xfId="18740" xr:uid="{366D2C2C-2663-4830-93C1-A3A75DC980BA}"/>
    <cellStyle name="Normal 4 2 2 2 2 3 2 4" xfId="11193" xr:uid="{AF994CEA-8DDC-4B2D-8F5B-4191DA0CEAA3}"/>
    <cellStyle name="Normal 4 2 2 2 2 3 2 4 2" xfId="21573" xr:uid="{3E972101-8543-4643-99BC-C2BC9EA6E181}"/>
    <cellStyle name="Normal 4 2 2 2 2 3 2 5" xfId="23819" xr:uid="{8317A978-06D6-47EF-A1A5-03A902BCAEFE}"/>
    <cellStyle name="Normal 4 2 2 2 2 3 2 6" xfId="13831" xr:uid="{33CB82B1-B3D6-4C39-97FB-08508AEE9FCB}"/>
    <cellStyle name="Normal 4 2 2 2 2 3 3" xfId="4322" xr:uid="{C3395475-EFDB-4698-84AF-97E8EB448CA9}"/>
    <cellStyle name="Normal 4 2 2 2 2 3 3 2" xfId="9094" xr:uid="{064CBE81-A934-4A21-A818-105ED985EC0D}"/>
    <cellStyle name="Normal 4 2 2 2 2 3 3 2 2" xfId="29137" xr:uid="{00C57CEC-F247-4291-9634-6F04CED5819E}"/>
    <cellStyle name="Normal 4 2 2 2 2 3 3 2 3" xfId="19474" xr:uid="{B03D30EE-5FE1-497E-A5A7-ADF8B01A2439}"/>
    <cellStyle name="Normal 4 2 2 2 2 3 3 3" xfId="11927" xr:uid="{E304E41F-6D35-4010-8A1E-A3B506FC073C}"/>
    <cellStyle name="Normal 4 2 2 2 2 3 3 3 2" xfId="22307" xr:uid="{1CCC0997-75C1-4453-B046-2440FA702C06}"/>
    <cellStyle name="Normal 4 2 2 2 2 3 3 4" xfId="23905" xr:uid="{331EDECF-7D60-4CE5-A477-CF6F841D8940}"/>
    <cellStyle name="Normal 4 2 2 2 2 3 3 5" xfId="16641" xr:uid="{DC8E110D-2CDC-4699-92F3-98582196137E}"/>
    <cellStyle name="Normal 4 2 2 2 2 3 4" xfId="5982" xr:uid="{82511949-F407-4787-AB88-3B911D3733BD}"/>
    <cellStyle name="Normal 4 2 2 2 2 3 4 2" xfId="28545" xr:uid="{567136AE-C2C4-4AD1-97D8-639A684F147D}"/>
    <cellStyle name="Normal 4 2 2 2 2 3 4 3" xfId="15435" xr:uid="{74A6AA41-E4EB-43E7-9C1E-5328428D32C7}"/>
    <cellStyle name="Normal 4 2 2 2 2 3 5" xfId="7888" xr:uid="{DE58D20C-2F88-4D7D-BD01-3512CBDC095E}"/>
    <cellStyle name="Normal 4 2 2 2 2 3 5 2" xfId="18268" xr:uid="{184D57AF-D37C-42E0-A9BF-D97A730CC4A5}"/>
    <cellStyle name="Normal 4 2 2 2 2 3 6" xfId="10721" xr:uid="{0B4729B8-3E78-47E4-A1D3-CC04345AB3EF}"/>
    <cellStyle name="Normal 4 2 2 2 2 3 6 2" xfId="21101" xr:uid="{3D377C8A-6FB9-41F2-BFA6-AE9A8EB3742C}"/>
    <cellStyle name="Normal 4 2 2 2 2 3 7" xfId="23862" xr:uid="{6D28C593-A7B1-439A-855E-26108A25625D}"/>
    <cellStyle name="Normal 4 2 2 2 2 3 8" xfId="13212" xr:uid="{2F74BFD1-832B-4EDB-8525-BB152BCEF047}"/>
    <cellStyle name="Normal 4 2 2 2 2 4" xfId="3281" xr:uid="{00000000-0005-0000-0000-000060050000}"/>
    <cellStyle name="Normal 4 2 2 2 2 4 2" xfId="4505" xr:uid="{A423A57F-4B31-4ABC-94E5-261B442008F4}"/>
    <cellStyle name="Normal 4 2 2 2 2 4 2 2" xfId="9277" xr:uid="{01125D3C-A911-41C1-A52A-E9713F0CA091}"/>
    <cellStyle name="Normal 4 2 2 2 2 4 2 2 2" xfId="19657" xr:uid="{4EAFBCB5-9E0A-4E27-87FE-F6B6E7A1E05A}"/>
    <cellStyle name="Normal 4 2 2 2 2 4 2 3" xfId="12110" xr:uid="{0C9A767A-4E2E-44B8-83BE-81C71939CEFE}"/>
    <cellStyle name="Normal 4 2 2 2 2 4 2 3 2" xfId="22490" xr:uid="{2A927B39-6FD2-4FF0-AB17-9AE29384958F}"/>
    <cellStyle name="Normal 4 2 2 2 2 4 2 4" xfId="27942" xr:uid="{7426BC20-4997-46FE-BA4F-2F944E01A8DB}"/>
    <cellStyle name="Normal 4 2 2 2 2 4 2 5" xfId="16824" xr:uid="{95E11B15-F74B-4978-B820-74FD92A3F434}"/>
    <cellStyle name="Normal 4 2 2 2 2 4 3" xfId="6339" xr:uid="{FF70B162-4850-4388-B5CA-EEFAEB34D3E2}"/>
    <cellStyle name="Normal 4 2 2 2 2 4 3 2" xfId="15908" xr:uid="{C215E602-59B2-4BC4-B2B0-158367296468}"/>
    <cellStyle name="Normal 4 2 2 2 2 4 4" xfId="8361" xr:uid="{A19C8D5D-4DAD-4D76-AEEE-A5DC9E9F75B7}"/>
    <cellStyle name="Normal 4 2 2 2 2 4 4 2" xfId="18741" xr:uid="{A805E533-3D68-46DF-A972-069B1DB12A96}"/>
    <cellStyle name="Normal 4 2 2 2 2 4 5" xfId="11194" xr:uid="{1E7601FC-DD29-49F5-AE25-E5EF8894E07D}"/>
    <cellStyle name="Normal 4 2 2 2 2 4 5 2" xfId="21574" xr:uid="{78D30B21-FCE6-4C62-B0A2-8757813E3BA7}"/>
    <cellStyle name="Normal 4 2 2 2 2 4 6" xfId="23534" xr:uid="{98E53F46-CB64-45E1-84CB-035C4715276C}"/>
    <cellStyle name="Normal 4 2 2 2 2 4 7" xfId="13832" xr:uid="{F6122276-2D32-4C10-8C43-5F49D34D894B}"/>
    <cellStyle name="Normal 4 2 2 2 2 5" xfId="3276" xr:uid="{00000000-0005-0000-0000-000061050000}"/>
    <cellStyle name="Normal 4 2 2 2 2 5 2" xfId="6334" xr:uid="{60F73424-790C-46E1-B5C6-885A1AF07FF6}"/>
    <cellStyle name="Normal 4 2 2 2 2 5 2 2" xfId="28000" xr:uid="{8BC18318-709F-4054-902A-E7AE5D25BFF9}"/>
    <cellStyle name="Normal 4 2 2 2 2 5 2 3" xfId="15903" xr:uid="{9C0574D4-FB05-4BD5-826A-8C05666DCD78}"/>
    <cellStyle name="Normal 4 2 2 2 2 5 3" xfId="8356" xr:uid="{CD849E83-F7D1-4A92-955F-9C1A6644143D}"/>
    <cellStyle name="Normal 4 2 2 2 2 5 3 2" xfId="18736" xr:uid="{4F487EA7-6651-4245-BF24-630B16ED073B}"/>
    <cellStyle name="Normal 4 2 2 2 2 5 4" xfId="11189" xr:uid="{D225D92F-E41F-42B4-B89D-25457A02BFCA}"/>
    <cellStyle name="Normal 4 2 2 2 2 5 4 2" xfId="21569" xr:uid="{12619C35-F315-4D9D-A84E-273D6CC5238A}"/>
    <cellStyle name="Normal 4 2 2 2 2 5 5" xfId="24252" xr:uid="{A296CF64-4476-444F-98F6-78180AB82126}"/>
    <cellStyle name="Normal 4 2 2 2 2 5 6" xfId="13827" xr:uid="{5FE98964-64C5-40FC-87C7-397116A3E87B}"/>
    <cellStyle name="Normal 4 2 2 2 2 6" xfId="2558" xr:uid="{00000000-0005-0000-0000-000062050000}"/>
    <cellStyle name="Normal 4 2 2 2 2 6 2" xfId="5828" xr:uid="{0DF684C7-764C-4AAC-8CD8-14201A6C6590}"/>
    <cellStyle name="Normal 4 2 2 2 2 6 2 2" xfId="27216" xr:uid="{0B025752-5132-41E9-99B4-38149AF0795A}"/>
    <cellStyle name="Normal 4 2 2 2 2 6 2 3" xfId="15230" xr:uid="{58068AC9-58D3-461F-BB08-9F9B2240891D}"/>
    <cellStyle name="Normal 4 2 2 2 2 6 3" xfId="7683" xr:uid="{230B2416-A2F5-44E7-8B0D-FE6882FF5675}"/>
    <cellStyle name="Normal 4 2 2 2 2 6 3 2" xfId="18063" xr:uid="{CC6576D4-B509-4518-9ED6-F821A660E7F9}"/>
    <cellStyle name="Normal 4 2 2 2 2 6 4" xfId="10516" xr:uid="{FDB8EBD0-01F4-4E5C-A1B8-6FB6E9030363}"/>
    <cellStyle name="Normal 4 2 2 2 2 6 4 2" xfId="20896" xr:uid="{7CF60288-1231-484C-BDA0-74CA89989A7F}"/>
    <cellStyle name="Normal 4 2 2 2 2 6 5" xfId="24947" xr:uid="{20493766-E88B-4D6A-BA0E-13FDFE62A073}"/>
    <cellStyle name="Normal 4 2 2 2 2 6 6" xfId="12946" xr:uid="{8A840297-6404-4D8D-BFD8-B0944E3D8CE5}"/>
    <cellStyle name="Normal 4 2 2 2 2 7" xfId="2252" xr:uid="{00000000-0005-0000-0000-000058050000}"/>
    <cellStyle name="Normal 4 2 2 2 2 7 2" xfId="7379" xr:uid="{6254E648-DD1A-4488-82E8-25A0BE964A06}"/>
    <cellStyle name="Normal 4 2 2 2 2 7 2 2" xfId="17759" xr:uid="{52AE3BC1-BB63-4E5C-BE16-6713D509A65E}"/>
    <cellStyle name="Normal 4 2 2 2 2 7 3" xfId="10212" xr:uid="{1E482F3D-96F8-440C-BE60-A80086D8B3A8}"/>
    <cellStyle name="Normal 4 2 2 2 2 7 3 2" xfId="20592" xr:uid="{6CC03342-5797-44F3-996E-B8275468CEDF}"/>
    <cellStyle name="Normal 4 2 2 2 2 7 4" xfId="22790" xr:uid="{9BCF720B-752D-48A4-9E53-8CFF0F96D762}"/>
    <cellStyle name="Normal 4 2 2 2 2 7 5" xfId="14926" xr:uid="{0FBE1125-EB6C-4287-97AB-777916CFB58B}"/>
    <cellStyle name="Normal 4 2 2 2 2 8" xfId="3803" xr:uid="{24DA41A7-685F-424A-BFC2-2BBAB9FDCAE4}"/>
    <cellStyle name="Normal 4 2 2 2 2 8 2" xfId="8639" xr:uid="{EE91C2E1-CEEC-4FA3-B153-68C755A4A508}"/>
    <cellStyle name="Normal 4 2 2 2 2 8 2 2" xfId="19019" xr:uid="{592F2261-B02C-4FA5-B080-1625E0E8FD5F}"/>
    <cellStyle name="Normal 4 2 2 2 2 8 3" xfId="11472" xr:uid="{3B65E4CB-832D-49D9-97A9-556C3AFB1965}"/>
    <cellStyle name="Normal 4 2 2 2 2 8 3 2" xfId="21852" xr:uid="{E01C12FF-0186-410A-A58F-A8D094EE9F31}"/>
    <cellStyle name="Normal 4 2 2 2 2 8 4" xfId="16186" xr:uid="{16C9592A-6A5B-4535-B26D-DF226ACE4CCA}"/>
    <cellStyle name="Normal 4 2 2 2 2 9" xfId="5220" xr:uid="{098FB361-0977-449C-A54A-751652BABDB3}"/>
    <cellStyle name="Normal 4 2 2 2 2 9 2" xfId="14518" xr:uid="{6C2C943B-1F73-4481-B253-8FC5292D5710}"/>
    <cellStyle name="Normal 4 2 2 2 3" xfId="917" xr:uid="{00000000-0005-0000-0000-000047050000}"/>
    <cellStyle name="Normal 4 2 2 2 3 10" xfId="9806" xr:uid="{47D7B61C-4B5F-48EF-AE2A-F6164E629AC3}"/>
    <cellStyle name="Normal 4 2 2 2 3 10 2" xfId="20186" xr:uid="{D188C3D8-E33C-44DA-A6D5-05210E795B88}"/>
    <cellStyle name="Normal 4 2 2 2 3 11" xfId="23765" xr:uid="{1FA630D4-DC6C-4FED-822C-365CE5A7D548}"/>
    <cellStyle name="Normal 4 2 2 2 3 12" xfId="12584" xr:uid="{56C1FD10-DAD2-4CAA-A17F-5A72D2C2C2C9}"/>
    <cellStyle name="Normal 4 2 2 2 3 2" xfId="2766" xr:uid="{00000000-0005-0000-0000-000064050000}"/>
    <cellStyle name="Normal 4 2 2 2 3 2 2" xfId="3283" xr:uid="{00000000-0005-0000-0000-000065050000}"/>
    <cellStyle name="Normal 4 2 2 2 3 2 2 2" xfId="6341" xr:uid="{23D571E8-0208-4D73-98AA-0AAC948AC8F0}"/>
    <cellStyle name="Normal 4 2 2 2 3 2 2 2 2" xfId="28086" xr:uid="{5BC5DC13-3946-4B4D-95D2-B4BCFDD9D2AE}"/>
    <cellStyle name="Normal 4 2 2 2 3 2 2 2 3" xfId="15910" xr:uid="{08EA4DAE-CBBF-42F3-991F-65568DD9D8C9}"/>
    <cellStyle name="Normal 4 2 2 2 3 2 2 3" xfId="8363" xr:uid="{5209D608-A312-4385-A725-D938A6D35EC6}"/>
    <cellStyle name="Normal 4 2 2 2 3 2 2 3 2" xfId="18743" xr:uid="{D9A02B23-C4B8-47F7-9E8B-68A9D5E2F43D}"/>
    <cellStyle name="Normal 4 2 2 2 3 2 2 4" xfId="11196" xr:uid="{9F13AB9E-7EC7-4554-AB2B-4E151B9AA314}"/>
    <cellStyle name="Normal 4 2 2 2 3 2 2 4 2" xfId="21576" xr:uid="{4EC84CC0-3C85-4F09-8318-6F62D9478C5A}"/>
    <cellStyle name="Normal 4 2 2 2 3 2 2 5" xfId="24054" xr:uid="{CB7E155F-202C-4244-8B23-502BD8CB1D41}"/>
    <cellStyle name="Normal 4 2 2 2 3 2 2 6" xfId="13834" xr:uid="{6E75D810-67ED-4B4C-8F20-A0E3D6FECAFB}"/>
    <cellStyle name="Normal 4 2 2 2 3 2 3" xfId="4324" xr:uid="{4FABEAB4-BFF2-4733-B2E3-5947C5455FC7}"/>
    <cellStyle name="Normal 4 2 2 2 3 2 3 2" xfId="9096" xr:uid="{640A9CF6-988B-43DD-9C1D-13B8166CF6A6}"/>
    <cellStyle name="Normal 4 2 2 2 3 2 3 2 2" xfId="29139" xr:uid="{ED13436E-3563-44D4-B170-08A5FAEABBCA}"/>
    <cellStyle name="Normal 4 2 2 2 3 2 3 2 3" xfId="19476" xr:uid="{DA1B4311-E792-4739-AAF3-B687F4D4F731}"/>
    <cellStyle name="Normal 4 2 2 2 3 2 3 3" xfId="11929" xr:uid="{B2075360-9661-4E49-A14A-B7FF820019B4}"/>
    <cellStyle name="Normal 4 2 2 2 3 2 3 3 2" xfId="22309" xr:uid="{3ED2E095-0567-4CF4-A874-D928FDC61044}"/>
    <cellStyle name="Normal 4 2 2 2 3 2 3 4" xfId="24002" xr:uid="{E80D8598-27AE-4BB1-93E8-53F0FDEABD7D}"/>
    <cellStyle name="Normal 4 2 2 2 3 2 3 5" xfId="16643" xr:uid="{77361467-D4BA-4CAE-AEE8-26900A67AE3F}"/>
    <cellStyle name="Normal 4 2 2 2 3 2 4" xfId="5984" xr:uid="{C72175AA-C9EA-4F44-8B5C-0438F0FD2F0B}"/>
    <cellStyle name="Normal 4 2 2 2 3 2 4 2" xfId="26192" xr:uid="{5C3FD90B-B17F-43D9-BD17-983240DFCE39}"/>
    <cellStyle name="Normal 4 2 2 2 3 2 4 3" xfId="15437" xr:uid="{27BBE414-D942-48C6-9663-F4403ACCD803}"/>
    <cellStyle name="Normal 4 2 2 2 3 2 5" xfId="7890" xr:uid="{41896ECE-885C-4CE2-8060-2565205E09B1}"/>
    <cellStyle name="Normal 4 2 2 2 3 2 5 2" xfId="18270" xr:uid="{65AEFC6B-78E4-4DB4-A21E-9056ED9F7F28}"/>
    <cellStyle name="Normal 4 2 2 2 3 2 6" xfId="10723" xr:uid="{FCBF7084-238B-4855-B8E2-AAD00D84AC09}"/>
    <cellStyle name="Normal 4 2 2 2 3 2 6 2" xfId="21103" xr:uid="{2774C62D-697B-41CD-9CAE-8906AD8BD80D}"/>
    <cellStyle name="Normal 4 2 2 2 3 2 7" xfId="24602" xr:uid="{23407B31-2950-4252-B410-1E954824E197}"/>
    <cellStyle name="Normal 4 2 2 2 3 2 8" xfId="13214" xr:uid="{8A13A376-05AC-4A95-9E3A-B70CB94A17E3}"/>
    <cellStyle name="Normal 4 2 2 2 3 3" xfId="3284" xr:uid="{00000000-0005-0000-0000-000066050000}"/>
    <cellStyle name="Normal 4 2 2 2 3 3 2" xfId="4506" xr:uid="{B51A62CE-E34A-4E74-9C18-46C2C94512CA}"/>
    <cellStyle name="Normal 4 2 2 2 3 3 2 2" xfId="9278" xr:uid="{2CCC404B-302C-4853-908C-10864B09B373}"/>
    <cellStyle name="Normal 4 2 2 2 3 3 2 2 2" xfId="29259" xr:uid="{A03F0689-EB93-4231-8FD5-B048413C71AC}"/>
    <cellStyle name="Normal 4 2 2 2 3 3 2 2 3" xfId="19658" xr:uid="{889C5688-D942-4CF4-92A9-4775679CC015}"/>
    <cellStyle name="Normal 4 2 2 2 3 3 2 3" xfId="12111" xr:uid="{9055429D-ECF7-46AB-9299-2C04CEFF549E}"/>
    <cellStyle name="Normal 4 2 2 2 3 3 2 3 2" xfId="22491" xr:uid="{B1D25EE4-F4B9-4EEE-BBE8-2F5C3345CEF8}"/>
    <cellStyle name="Normal 4 2 2 2 3 3 2 4" xfId="25060" xr:uid="{38AD75FE-55CD-4010-BCC9-A1FAA2F90A67}"/>
    <cellStyle name="Normal 4 2 2 2 3 3 2 5" xfId="16825" xr:uid="{2A67E511-EDDD-4A20-9C27-078451C900C7}"/>
    <cellStyle name="Normal 4 2 2 2 3 3 3" xfId="6342" xr:uid="{63CF34C2-9C02-4748-BD86-E2B2E19C348A}"/>
    <cellStyle name="Normal 4 2 2 2 3 3 3 2" xfId="26159" xr:uid="{8280DF36-EEE6-491A-9D09-664698192FC7}"/>
    <cellStyle name="Normal 4 2 2 2 3 3 3 3" xfId="15911" xr:uid="{34FDF884-0B17-49C1-BACF-F02E078DE7F8}"/>
    <cellStyle name="Normal 4 2 2 2 3 3 4" xfId="8364" xr:uid="{343CF02A-958B-4B44-8833-A4B600F0E7EC}"/>
    <cellStyle name="Normal 4 2 2 2 3 3 4 2" xfId="18744" xr:uid="{C508E7EE-F3B7-434D-BEF2-A9B5219E428B}"/>
    <cellStyle name="Normal 4 2 2 2 3 3 5" xfId="11197" xr:uid="{CD0BAF0A-1603-43A8-BCA6-7C56D9B4F913}"/>
    <cellStyle name="Normal 4 2 2 2 3 3 5 2" xfId="21577" xr:uid="{EF6C10FF-43B8-4280-B1FA-DF459CAE5F5E}"/>
    <cellStyle name="Normal 4 2 2 2 3 3 6" xfId="25018" xr:uid="{12EB2416-BD58-454B-9959-18E03C063F32}"/>
    <cellStyle name="Normal 4 2 2 2 3 3 7" xfId="13835" xr:uid="{CB5DEEED-B8EE-485A-9634-C2434881B8F5}"/>
    <cellStyle name="Normal 4 2 2 2 3 4" xfId="3282" xr:uid="{00000000-0005-0000-0000-000067050000}"/>
    <cellStyle name="Normal 4 2 2 2 3 4 2" xfId="6340" xr:uid="{84906B7B-D4F1-47A1-ABC3-A02A1312675E}"/>
    <cellStyle name="Normal 4 2 2 2 3 4 2 2" xfId="26647" xr:uid="{2C145300-C97C-4971-BF83-8398451F4330}"/>
    <cellStyle name="Normal 4 2 2 2 3 4 2 3" xfId="15909" xr:uid="{75841195-DF04-4BA5-82DE-9684B1D713F6}"/>
    <cellStyle name="Normal 4 2 2 2 3 4 3" xfId="8362" xr:uid="{AC708855-A337-4B62-A848-0B24072AFEEF}"/>
    <cellStyle name="Normal 4 2 2 2 3 4 3 2" xfId="18742" xr:uid="{0E1C300D-5ABE-4497-B2C7-47C2748CE773}"/>
    <cellStyle name="Normal 4 2 2 2 3 4 4" xfId="11195" xr:uid="{92CF7EB8-8E4F-4F3D-81F3-11FF89BB63E3}"/>
    <cellStyle name="Normal 4 2 2 2 3 4 4 2" xfId="21575" xr:uid="{19C844FD-E66B-4B11-A942-0C0DFBE1AA29}"/>
    <cellStyle name="Normal 4 2 2 2 3 4 5" xfId="24917" xr:uid="{11FE66E9-72D7-4C23-867F-9FD3DA77D68A}"/>
    <cellStyle name="Normal 4 2 2 2 3 4 6" xfId="13833" xr:uid="{ADE1AFF2-8C1A-4670-BFA5-266DCD9E2748}"/>
    <cellStyle name="Normal 4 2 2 2 3 5" xfId="2601" xr:uid="{00000000-0005-0000-0000-000068050000}"/>
    <cellStyle name="Normal 4 2 2 2 3 5 2" xfId="5866" xr:uid="{83688F7B-15CE-4845-A4A9-062CEA153E02}"/>
    <cellStyle name="Normal 4 2 2 2 3 5 2 2" xfId="28039" xr:uid="{66BDFECE-8E62-482C-B315-AAC3B030A9AD}"/>
    <cellStyle name="Normal 4 2 2 2 3 5 2 3" xfId="15273" xr:uid="{DA135101-8362-4D70-B2BA-A90EDCAD79F7}"/>
    <cellStyle name="Normal 4 2 2 2 3 5 3" xfId="7726" xr:uid="{722BF4E1-1CE2-4E31-B297-1429B8FCA87C}"/>
    <cellStyle name="Normal 4 2 2 2 3 5 3 2" xfId="18106" xr:uid="{B88ECCA1-EE4B-4376-B76B-EE8330706F0A}"/>
    <cellStyle name="Normal 4 2 2 2 3 5 4" xfId="10559" xr:uid="{88BE88D3-ECFE-4943-A802-391E49668A93}"/>
    <cellStyle name="Normal 4 2 2 2 3 5 4 2" xfId="20939" xr:uid="{16CB8B2A-B38A-40C8-86CD-E0877DEE8032}"/>
    <cellStyle name="Normal 4 2 2 2 3 5 5" xfId="25357" xr:uid="{0EE88708-E060-41B8-818F-1CF83BF59345}"/>
    <cellStyle name="Normal 4 2 2 2 3 5 6" xfId="12989" xr:uid="{4073137C-AB90-4AC6-B6E9-DEA045DBF4FF}"/>
    <cellStyle name="Normal 4 2 2 2 3 6" xfId="2350" xr:uid="{00000000-0005-0000-0000-000063050000}"/>
    <cellStyle name="Normal 4 2 2 2 3 6 2" xfId="7477" xr:uid="{225E50F3-147D-4227-B435-E86D71DD914B}"/>
    <cellStyle name="Normal 4 2 2 2 3 6 2 2" xfId="17857" xr:uid="{DD96CC2C-E349-4109-910F-25D613F735DA}"/>
    <cellStyle name="Normal 4 2 2 2 3 6 3" xfId="10310" xr:uid="{67DC567D-8371-4415-9382-97D6CD20ED76}"/>
    <cellStyle name="Normal 4 2 2 2 3 6 3 2" xfId="20690" xr:uid="{A9BB8DD5-D192-499E-AC36-22D30AAA30D7}"/>
    <cellStyle name="Normal 4 2 2 2 3 6 4" xfId="25412" xr:uid="{C30C510D-244E-47DB-8CD0-D58F70CF0CB9}"/>
    <cellStyle name="Normal 4 2 2 2 3 6 5" xfId="15024" xr:uid="{4657A565-7808-4B27-A1D8-8288D0C19352}"/>
    <cellStyle name="Normal 4 2 2 2 3 7" xfId="3880" xr:uid="{E15CBF60-A602-42B3-95FB-FF35C357C80E}"/>
    <cellStyle name="Normal 4 2 2 2 3 7 2" xfId="8712" xr:uid="{ECDC04D8-486B-4194-BB3F-DEAF1FC0A0BB}"/>
    <cellStyle name="Normal 4 2 2 2 3 7 2 2" xfId="19092" xr:uid="{3795D105-2DB6-4577-A405-88F1F3197116}"/>
    <cellStyle name="Normal 4 2 2 2 3 7 3" xfId="11545" xr:uid="{0789174A-1A15-4801-B531-51CDAB9C9C5E}"/>
    <cellStyle name="Normal 4 2 2 2 3 7 3 2" xfId="21925" xr:uid="{6233EBAD-153E-450C-85F9-6C2FB7690721}"/>
    <cellStyle name="Normal 4 2 2 2 3 7 4" xfId="16259" xr:uid="{E432F5C8-8152-420F-97B2-73F079D96A03}"/>
    <cellStyle name="Normal 4 2 2 2 3 8" xfId="5222" xr:uid="{86A7BF5F-C068-4C30-B73F-407DE4B95413}"/>
    <cellStyle name="Normal 4 2 2 2 3 8 2" xfId="14520" xr:uid="{9D8A3E58-18AD-4423-877D-AEAB447B1ABE}"/>
    <cellStyle name="Normal 4 2 2 2 3 9" xfId="6973" xr:uid="{728DC7B3-75EB-41E7-B869-E512F28904D9}"/>
    <cellStyle name="Normal 4 2 2 2 3 9 2" xfId="17353" xr:uid="{9727448C-8D0A-45F4-ABF5-A72216390A5E}"/>
    <cellStyle name="Normal 4 2 2 2 4" xfId="918" xr:uid="{00000000-0005-0000-0000-000048050000}"/>
    <cellStyle name="Normal 4 2 2 2 4 2" xfId="3285" xr:uid="{00000000-0005-0000-0000-00006A050000}"/>
    <cellStyle name="Normal 4 2 2 2 4 2 2" xfId="6343" xr:uid="{C4B46A48-1CA9-4BE2-8607-B3BB86308C02}"/>
    <cellStyle name="Normal 4 2 2 2 4 2 2 2" xfId="27137" xr:uid="{9F1F8244-E3A0-411C-A856-32B4C10DF939}"/>
    <cellStyle name="Normal 4 2 2 2 4 2 2 3" xfId="15912" xr:uid="{6A91B766-9518-4FD0-A550-63A3B3381BDF}"/>
    <cellStyle name="Normal 4 2 2 2 4 2 3" xfId="8365" xr:uid="{BFEB444A-B39A-427F-B850-AD955D810C96}"/>
    <cellStyle name="Normal 4 2 2 2 4 2 3 2" xfId="18745" xr:uid="{E249B219-2AFA-47BD-8707-2135478E115B}"/>
    <cellStyle name="Normal 4 2 2 2 4 2 4" xfId="11198" xr:uid="{290D993C-746C-436D-9BCC-EB5510327F57}"/>
    <cellStyle name="Normal 4 2 2 2 4 2 4 2" xfId="21578" xr:uid="{721941F7-07FA-487B-94A7-208AF6FD6CE7}"/>
    <cellStyle name="Normal 4 2 2 2 4 2 5" xfId="25409" xr:uid="{E82479EF-244A-4211-8851-32C1278A617F}"/>
    <cellStyle name="Normal 4 2 2 2 4 2 6" xfId="13836" xr:uid="{26738D8C-7092-4F23-9798-02C9AA1BC30E}"/>
    <cellStyle name="Normal 4 2 2 2 4 3" xfId="2763" xr:uid="{00000000-0005-0000-0000-00006B050000}"/>
    <cellStyle name="Normal 4 2 2 2 4 3 2" xfId="5981" xr:uid="{F98D6499-6964-458E-9AE0-1B03993E33FA}"/>
    <cellStyle name="Normal 4 2 2 2 4 3 2 2" xfId="28500" xr:uid="{04F6BEF0-094C-48B6-8107-1B362795A795}"/>
    <cellStyle name="Normal 4 2 2 2 4 3 2 3" xfId="15434" xr:uid="{D2312F29-7028-4CF6-8554-2D350BCC4FFB}"/>
    <cellStyle name="Normal 4 2 2 2 4 3 3" xfId="7887" xr:uid="{7CDFBBFC-194A-45A6-B073-04F587ED3E3F}"/>
    <cellStyle name="Normal 4 2 2 2 4 3 3 2" xfId="18267" xr:uid="{EC834A35-9453-4CAF-8950-F802DDB5DC6F}"/>
    <cellStyle name="Normal 4 2 2 2 4 3 4" xfId="10720" xr:uid="{FFBDCC92-C1E4-4C2B-AFAF-FBBADFEBAF62}"/>
    <cellStyle name="Normal 4 2 2 2 4 3 4 2" xfId="21100" xr:uid="{16B084A0-4AE6-498C-8517-15E85C982633}"/>
    <cellStyle name="Normal 4 2 2 2 4 3 5" xfId="24260" xr:uid="{D529CCF3-D1BC-4EC1-95A5-211BF8DDAEEA}"/>
    <cellStyle name="Normal 4 2 2 2 4 3 6" xfId="13211" xr:uid="{F91EB318-9735-4FC2-A7D6-63C57C1DAE43}"/>
    <cellStyle name="Normal 4 2 2 2 4 4" xfId="4180" xr:uid="{09F09E15-871D-4244-890C-93B16B2D3BE3}"/>
    <cellStyle name="Normal 4 2 2 2 4 4 2" xfId="8952" xr:uid="{3C265B06-A5BF-48AD-89A9-2D22F9A5D61E}"/>
    <cellStyle name="Normal 4 2 2 2 4 4 2 2" xfId="19332" xr:uid="{521178AC-315A-4187-A6DA-D40BCC284914}"/>
    <cellStyle name="Normal 4 2 2 2 4 4 3" xfId="11785" xr:uid="{D142966C-F984-4520-B50F-9E4FE6BA102C}"/>
    <cellStyle name="Normal 4 2 2 2 4 4 3 2" xfId="22165" xr:uid="{BDDD4821-8C01-4D78-BB38-35D03234A43C}"/>
    <cellStyle name="Normal 4 2 2 2 4 4 4" xfId="22775" xr:uid="{6B039AF2-98CF-4B6D-96D8-00C613B9D56F}"/>
    <cellStyle name="Normal 4 2 2 2 4 4 5" xfId="16499" xr:uid="{B917C92B-E32B-457D-9BDE-48FA35C389D2}"/>
    <cellStyle name="Normal 4 2 2 2 4 5" xfId="5223" xr:uid="{5C4D6AF4-82E1-41DD-BCC0-3E46B66D7E15}"/>
    <cellStyle name="Normal 4 2 2 2 4 5 2" xfId="14521" xr:uid="{B460FFE8-EBCA-443B-A0C9-5E288F9C981F}"/>
    <cellStyle name="Normal 4 2 2 2 4 6" xfId="6974" xr:uid="{C75A9B51-C5CA-4ADE-84AB-FF4ECCBA604E}"/>
    <cellStyle name="Normal 4 2 2 2 4 6 2" xfId="17354" xr:uid="{869329D5-6304-41A1-949E-A1C36BADE2D0}"/>
    <cellStyle name="Normal 4 2 2 2 4 7" xfId="9807" xr:uid="{A3D628FC-B9AB-4888-8202-144FB0F1C438}"/>
    <cellStyle name="Normal 4 2 2 2 4 7 2" xfId="20187" xr:uid="{3DB03CB8-537F-46DC-B9B9-47CADBD84AB8}"/>
    <cellStyle name="Normal 4 2 2 2 4 8" xfId="24897" xr:uid="{91E13E85-9BCB-4769-8D67-49E29F2EAF30}"/>
    <cellStyle name="Normal 4 2 2 2 4 9" xfId="12742" xr:uid="{9C685099-7178-41A6-87FD-6B656B7C8790}"/>
    <cellStyle name="Normal 4 2 2 2 5" xfId="3286" xr:uid="{00000000-0005-0000-0000-00006C050000}"/>
    <cellStyle name="Normal 4 2 2 2 5 2" xfId="4507" xr:uid="{C38558B0-20A2-4476-87DA-6BFF6065FB72}"/>
    <cellStyle name="Normal 4 2 2 2 5 2 2" xfId="9279" xr:uid="{E0806218-B591-4968-A464-B3CFC314A602}"/>
    <cellStyle name="Normal 4 2 2 2 5 2 2 2" xfId="29260" xr:uid="{CBE4C94A-BFEF-4921-B9D4-BDF3799D9EC4}"/>
    <cellStyle name="Normal 4 2 2 2 5 2 2 3" xfId="19659" xr:uid="{7F52E468-4C7D-4963-8EFE-B305532A9E98}"/>
    <cellStyle name="Normal 4 2 2 2 5 2 3" xfId="12112" xr:uid="{3FA5C244-90D7-448B-A003-E813D33AB845}"/>
    <cellStyle name="Normal 4 2 2 2 5 2 3 2" xfId="22492" xr:uid="{33C03823-B642-4C57-8C16-AAEC2EFF685B}"/>
    <cellStyle name="Normal 4 2 2 2 5 2 4" xfId="23423" xr:uid="{D869F22B-A0AF-40DB-AAF7-0AA930C414B2}"/>
    <cellStyle name="Normal 4 2 2 2 5 2 5" xfId="16826" xr:uid="{956D3CA5-05CC-4296-A22F-A38646B755B3}"/>
    <cellStyle name="Normal 4 2 2 2 5 3" xfId="6344" xr:uid="{EEC73034-AAE7-44A5-BFE4-E5EE8526D30F}"/>
    <cellStyle name="Normal 4 2 2 2 5 3 2" xfId="27664" xr:uid="{F78D3E12-E12D-48EB-9C6A-35C5A4F5082F}"/>
    <cellStyle name="Normal 4 2 2 2 5 3 3" xfId="15913" xr:uid="{D1C4BCCB-C9E7-43E1-B5D0-57A511DF6D74}"/>
    <cellStyle name="Normal 4 2 2 2 5 4" xfId="8366" xr:uid="{654E4D6B-CABE-4867-BC98-A2411752ACCC}"/>
    <cellStyle name="Normal 4 2 2 2 5 4 2" xfId="18746" xr:uid="{A97C0CFD-ACBD-4FA9-95F8-B58DB1F0A5EB}"/>
    <cellStyle name="Normal 4 2 2 2 5 5" xfId="11199" xr:uid="{0D07C26D-2E8B-4E1B-AB67-B08E32EB68DA}"/>
    <cellStyle name="Normal 4 2 2 2 5 5 2" xfId="21579" xr:uid="{DE9345F1-CDD7-4ABB-AC3F-44D7879809BD}"/>
    <cellStyle name="Normal 4 2 2 2 5 6" xfId="23626" xr:uid="{94716677-757A-4C82-AEF7-D595FF518AED}"/>
    <cellStyle name="Normal 4 2 2 2 5 7" xfId="13837" xr:uid="{F629A4FF-E862-472E-A6DE-BF2634491564}"/>
    <cellStyle name="Normal 4 2 2 2 6" xfId="2926" xr:uid="{00000000-0005-0000-0000-00006D050000}"/>
    <cellStyle name="Normal 4 2 2 2 6 2" xfId="6106" xr:uid="{EC6B6115-246A-4E2D-A4D0-BCBFD219C349}"/>
    <cellStyle name="Normal 4 2 2 2 6 2 2" xfId="27552" xr:uid="{E87F3D8D-DCB9-4655-8DE1-DCDB851F043B}"/>
    <cellStyle name="Normal 4 2 2 2 6 2 3" xfId="15584" xr:uid="{64957473-5187-4040-BCE6-86D8A7C2F96B}"/>
    <cellStyle name="Normal 4 2 2 2 6 3" xfId="8037" xr:uid="{4E390FF0-81EF-4B05-A5D5-D107E8BA8641}"/>
    <cellStyle name="Normal 4 2 2 2 6 3 2" xfId="18417" xr:uid="{4C9FF954-9B95-4E4F-94CC-9D81B58025F3}"/>
    <cellStyle name="Normal 4 2 2 2 6 4" xfId="10870" xr:uid="{C7D9EEDE-59CB-4892-A90E-D6CBAA776294}"/>
    <cellStyle name="Normal 4 2 2 2 6 4 2" xfId="21250" xr:uid="{013422BF-270B-44C7-AC44-3A278CD4DF6B}"/>
    <cellStyle name="Normal 4 2 2 2 6 5" xfId="22644" xr:uid="{E1543EFA-274E-4B41-AC5A-2033AED55C16}"/>
    <cellStyle name="Normal 4 2 2 2 6 6" xfId="13440" xr:uid="{1B856EAC-F127-4C13-9933-1ED8CDE6CD7F}"/>
    <cellStyle name="Normal 4 2 2 2 7" xfId="2498" xr:uid="{00000000-0005-0000-0000-00006E050000}"/>
    <cellStyle name="Normal 4 2 2 2 7 2" xfId="5781" xr:uid="{2155F36A-BC96-4357-8425-D920261F69FF}"/>
    <cellStyle name="Normal 4 2 2 2 7 2 2" xfId="26762" xr:uid="{ADAD11F8-F25F-4855-BAE8-EFC94FBD37D3}"/>
    <cellStyle name="Normal 4 2 2 2 7 2 3" xfId="15170" xr:uid="{E80883C3-46A1-47FD-B5AC-8A846D7591A9}"/>
    <cellStyle name="Normal 4 2 2 2 7 3" xfId="7623" xr:uid="{6DD1F1C5-4FF3-43BB-8726-56F22B3580A5}"/>
    <cellStyle name="Normal 4 2 2 2 7 3 2" xfId="18003" xr:uid="{543D6EC0-4DF1-47AB-A541-7269906FF7A8}"/>
    <cellStyle name="Normal 4 2 2 2 7 4" xfId="10456" xr:uid="{7B541D81-392E-494B-9E52-B84DFE8720F2}"/>
    <cellStyle name="Normal 4 2 2 2 7 4 2" xfId="20836" xr:uid="{9B9851DE-6809-4B6A-A05F-EFB36E3F281E}"/>
    <cellStyle name="Normal 4 2 2 2 7 5" xfId="25184" xr:uid="{1A35A034-AFBA-4F4A-875C-3A3926CBB46C}"/>
    <cellStyle name="Normal 4 2 2 2 7 6" xfId="12886" xr:uid="{973CBE25-492A-4DEE-9351-36187EA70F9D}"/>
    <cellStyle name="Normal 4 2 2 2 8" xfId="2192" xr:uid="{00000000-0005-0000-0000-000057050000}"/>
    <cellStyle name="Normal 4 2 2 2 8 2" xfId="7319" xr:uid="{202650CD-28B0-4E67-8827-41E01F03D3C2}"/>
    <cellStyle name="Normal 4 2 2 2 8 2 2" xfId="17699" xr:uid="{22E13DBB-C16D-40EB-A3AE-92B11712B437}"/>
    <cellStyle name="Normal 4 2 2 2 8 3" xfId="10152" xr:uid="{DDC1FFF8-DCB9-41A1-AD22-A544A04EC073}"/>
    <cellStyle name="Normal 4 2 2 2 8 3 2" xfId="20532" xr:uid="{282BB72D-2582-4555-8080-50D626A4473B}"/>
    <cellStyle name="Normal 4 2 2 2 8 4" xfId="22873" xr:uid="{18F331D2-7DF0-4D44-AC68-C52BAE4D538F}"/>
    <cellStyle name="Normal 4 2 2 2 8 5" xfId="14866" xr:uid="{C4251E7B-F494-4BCD-A000-9A36D0D12557}"/>
    <cellStyle name="Normal 4 2 2 2 9" xfId="3971" xr:uid="{E3924D78-0A6A-4160-954B-7BDD5285864D}"/>
    <cellStyle name="Normal 4 2 2 2 9 2" xfId="8795" xr:uid="{AB6CF9CE-B9D0-4210-B8E0-DC6533CA4258}"/>
    <cellStyle name="Normal 4 2 2 2 9 2 2" xfId="19175" xr:uid="{71695F3D-89F5-4DE4-B18F-DCFA154EECDC}"/>
    <cellStyle name="Normal 4 2 2 2 9 3" xfId="11628" xr:uid="{7AC8E88D-7772-433F-995A-E060E7D40B17}"/>
    <cellStyle name="Normal 4 2 2 2 9 3 2" xfId="22008" xr:uid="{881B4292-B64F-467F-B0F4-E3DBBC28FE57}"/>
    <cellStyle name="Normal 4 2 2 2 9 4" xfId="16342" xr:uid="{1D3749AB-17A1-4775-9954-ED2D5FA48BCC}"/>
    <cellStyle name="Normal 4 2 2 3" xfId="919" xr:uid="{00000000-0005-0000-0000-000049050000}"/>
    <cellStyle name="Normal 4 2 2 3 10" xfId="5224" xr:uid="{4C8EB03A-B9E6-4ADB-83F2-4632A0FD4A2B}"/>
    <cellStyle name="Normal 4 2 2 3 10 2" xfId="14522" xr:uid="{7B904648-2E13-475E-8929-1CAFDB91392D}"/>
    <cellStyle name="Normal 4 2 2 3 11" xfId="6975" xr:uid="{A6B2F5C6-3548-4D10-BB4C-0DD9C94E11B5}"/>
    <cellStyle name="Normal 4 2 2 3 11 2" xfId="17355" xr:uid="{81E6248D-E257-462A-8568-10D278AD3795}"/>
    <cellStyle name="Normal 4 2 2 3 12" xfId="9808" xr:uid="{27B0B000-06A1-4CF3-AE41-AC14DEA3D8C1}"/>
    <cellStyle name="Normal 4 2 2 3 12 2" xfId="20188" xr:uid="{F709525A-B072-44F6-B4E0-E5E26CF316E0}"/>
    <cellStyle name="Normal 4 2 2 3 13" xfId="23661" xr:uid="{5661E3C3-41EC-4747-A0C2-DAC047C18CE2}"/>
    <cellStyle name="Normal 4 2 2 3 14" xfId="12461" xr:uid="{45C8C42A-A7F7-4A77-9F12-E8B7335646F6}"/>
    <cellStyle name="Normal 4 2 2 3 2" xfId="920" xr:uid="{00000000-0005-0000-0000-00004A050000}"/>
    <cellStyle name="Normal 4 2 2 3 2 10" xfId="9809" xr:uid="{DE249236-C757-4834-993F-5C73C75AA67F}"/>
    <cellStyle name="Normal 4 2 2 3 2 10 2" xfId="20189" xr:uid="{F789E804-F60C-4EE6-897A-5E66BF106061}"/>
    <cellStyle name="Normal 4 2 2 3 2 11" xfId="25501" xr:uid="{CE144F7C-62F7-4442-9C6C-8946645A422A}"/>
    <cellStyle name="Normal 4 2 2 3 2 12" xfId="12585" xr:uid="{EDE6596E-3C0A-4452-99A5-DAF699009E35}"/>
    <cellStyle name="Normal 4 2 2 3 2 2" xfId="921" xr:uid="{00000000-0005-0000-0000-00004B050000}"/>
    <cellStyle name="Normal 4 2 2 3 2 2 2" xfId="3288" xr:uid="{00000000-0005-0000-0000-000072050000}"/>
    <cellStyle name="Normal 4 2 2 3 2 2 2 2" xfId="6346" xr:uid="{6A54CE14-D909-4302-97CD-DFEA3C63DEFE}"/>
    <cellStyle name="Normal 4 2 2 3 2 2 2 2 2" xfId="27288" xr:uid="{74314792-9A52-4FD3-83EA-A9758D019597}"/>
    <cellStyle name="Normal 4 2 2 3 2 2 2 2 3" xfId="26809" xr:uid="{B31CB6F5-F9A0-42C4-91F0-13935C43AE2C}"/>
    <cellStyle name="Normal 4 2 2 3 2 2 2 2 4" xfId="15915" xr:uid="{A27C0814-8A83-4DDB-8F7C-B1439C12E70C}"/>
    <cellStyle name="Normal 4 2 2 3 2 2 2 3" xfId="8368" xr:uid="{CF2509EC-CF3A-42B5-AB21-5E4FA426CA7D}"/>
    <cellStyle name="Normal 4 2 2 3 2 2 2 3 2" xfId="28898" xr:uid="{E9459B4A-E860-4D0C-B117-ECDB048044CA}"/>
    <cellStyle name="Normal 4 2 2 3 2 2 2 3 3" xfId="18748" xr:uid="{83C0937A-826D-42BF-9A56-14B96ACA789F}"/>
    <cellStyle name="Normal 4 2 2 3 2 2 2 4" xfId="11201" xr:uid="{B1333805-23F5-42D1-A06A-B10B1039CC81}"/>
    <cellStyle name="Normal 4 2 2 3 2 2 2 4 2" xfId="21581" xr:uid="{3B9F75CD-5554-435A-BE1A-EC7F02967A5D}"/>
    <cellStyle name="Normal 4 2 2 3 2 2 2 5" xfId="23527" xr:uid="{41D0B654-967F-4713-B25A-9593268AA2D9}"/>
    <cellStyle name="Normal 4 2 2 3 2 2 2 6" xfId="13839" xr:uid="{FC3937F6-94BF-45BD-BFF6-3D475EA41BE5}"/>
    <cellStyle name="Normal 4 2 2 3 2 2 3" xfId="4326" xr:uid="{B2787D4B-7961-437E-9E35-5D6DDF9D9A8E}"/>
    <cellStyle name="Normal 4 2 2 3 2 2 3 2" xfId="9098" xr:uid="{E9AC06A7-A309-4A91-99B9-7D5C2085F1AC}"/>
    <cellStyle name="Normal 4 2 2 3 2 2 3 2 2" xfId="29141" xr:uid="{75F295F7-4C31-466A-82B8-B55628C300EF}"/>
    <cellStyle name="Normal 4 2 2 3 2 2 3 2 3" xfId="19478" xr:uid="{E9EE146E-DB2D-4132-9FCC-ADA79ADCFB0B}"/>
    <cellStyle name="Normal 4 2 2 3 2 2 3 3" xfId="11931" xr:uid="{EA49450A-8459-4CB3-8CA4-26B90595B325}"/>
    <cellStyle name="Normal 4 2 2 3 2 2 3 3 2" xfId="22311" xr:uid="{86C4B435-7388-4D54-82D1-41ACDEF81221}"/>
    <cellStyle name="Normal 4 2 2 3 2 2 3 4" xfId="25508" xr:uid="{0D38197A-44CC-4C81-B138-82303A9591BC}"/>
    <cellStyle name="Normal 4 2 2 3 2 2 3 5" xfId="16645" xr:uid="{23980CF4-E09C-4D13-B87E-5CCFA853EF8E}"/>
    <cellStyle name="Normal 4 2 2 3 2 2 4" xfId="5226" xr:uid="{C90F8EC9-0711-4445-A27F-548BD7ABFFF8}"/>
    <cellStyle name="Normal 4 2 2 3 2 2 4 2" xfId="26825" xr:uid="{8A36930A-77D3-4494-8377-A6B36B48A0AA}"/>
    <cellStyle name="Normal 4 2 2 3 2 2 4 3" xfId="14524" xr:uid="{591D5692-58AF-4158-844E-AF60AA0FCE90}"/>
    <cellStyle name="Normal 4 2 2 3 2 2 5" xfId="6977" xr:uid="{E6250537-DD63-4B3A-BA35-405BF6064E52}"/>
    <cellStyle name="Normal 4 2 2 3 2 2 5 2" xfId="17357" xr:uid="{702F81DF-B704-48B8-85F6-1713D67E71D8}"/>
    <cellStyle name="Normal 4 2 2 3 2 2 6" xfId="9810" xr:uid="{C4E51B45-3297-4D8A-9EED-5C6B21E518ED}"/>
    <cellStyle name="Normal 4 2 2 3 2 2 6 2" xfId="20190" xr:uid="{1EFB45F9-AA05-429D-A87D-98B6282F9883}"/>
    <cellStyle name="Normal 4 2 2 3 2 2 7" xfId="24423" xr:uid="{CC96FF20-3507-443E-844E-77D6A8BEC4D1}"/>
    <cellStyle name="Normal 4 2 2 3 2 2 8" xfId="13216" xr:uid="{0E02A5E9-2AF7-4929-B622-2CFCBE6193BB}"/>
    <cellStyle name="Normal 4 2 2 3 2 3" xfId="3289" xr:uid="{00000000-0005-0000-0000-000073050000}"/>
    <cellStyle name="Normal 4 2 2 3 2 3 2" xfId="4508" xr:uid="{C36D94FA-6760-4288-AB2F-C8BAEE966C3F}"/>
    <cellStyle name="Normal 4 2 2 3 2 3 2 2" xfId="9280" xr:uid="{6303850A-18D2-40CD-83FF-372915C50C2A}"/>
    <cellStyle name="Normal 4 2 2 3 2 3 2 2 2" xfId="29261" xr:uid="{6EE79945-357E-4B97-8754-EA1A514ED2DD}"/>
    <cellStyle name="Normal 4 2 2 3 2 3 2 2 3" xfId="19660" xr:uid="{38C642DD-E7D8-458B-94A1-D590D07B8655}"/>
    <cellStyle name="Normal 4 2 2 3 2 3 2 3" xfId="12113" xr:uid="{B18BB930-11BE-45B0-A95D-58F13AC6782B}"/>
    <cellStyle name="Normal 4 2 2 3 2 3 2 3 2" xfId="22493" xr:uid="{5C6F0A01-4396-4DDA-817B-0CB09248E996}"/>
    <cellStyle name="Normal 4 2 2 3 2 3 2 4" xfId="24867" xr:uid="{729C037F-17CF-48D9-81BE-F87240CF6698}"/>
    <cellStyle name="Normal 4 2 2 3 2 3 2 5" xfId="16827" xr:uid="{EE1BA9C0-5CBB-4AB9-BBDE-109F29F2BBF9}"/>
    <cellStyle name="Normal 4 2 2 3 2 3 3" xfId="6347" xr:uid="{89E13BB4-452B-4B4E-B512-6F4C7AB53434}"/>
    <cellStyle name="Normal 4 2 2 3 2 3 3 2" xfId="28336" xr:uid="{41BDAC96-9A6F-49BB-8160-E581AB4DDD33}"/>
    <cellStyle name="Normal 4 2 2 3 2 3 3 3" xfId="15916" xr:uid="{61890395-B9E6-41F5-9477-2927DBD163D7}"/>
    <cellStyle name="Normal 4 2 2 3 2 3 4" xfId="8369" xr:uid="{7B3AB6B3-5718-43AF-973E-91A1BEB64A71}"/>
    <cellStyle name="Normal 4 2 2 3 2 3 4 2" xfId="18749" xr:uid="{46A5317C-FB63-4E74-8202-BFD9F96392BA}"/>
    <cellStyle name="Normal 4 2 2 3 2 3 5" xfId="11202" xr:uid="{062485BB-F023-41D3-95F6-7DFC4C3DDB9B}"/>
    <cellStyle name="Normal 4 2 2 3 2 3 5 2" xfId="21582" xr:uid="{50F5A99C-A45E-4535-B4A3-3AE894577F2B}"/>
    <cellStyle name="Normal 4 2 2 3 2 3 6" xfId="22705" xr:uid="{4B8116B2-847D-4D06-9AD9-012C0CA83F0C}"/>
    <cellStyle name="Normal 4 2 2 3 2 3 7" xfId="13840" xr:uid="{E5627E8D-234A-4478-BD39-83DA09E9BC12}"/>
    <cellStyle name="Normal 4 2 2 3 2 4" xfId="3287" xr:uid="{00000000-0005-0000-0000-000074050000}"/>
    <cellStyle name="Normal 4 2 2 3 2 4 2" xfId="6345" xr:uid="{D240B1F4-A6D0-448A-8BDF-63F85E91C8F8}"/>
    <cellStyle name="Normal 4 2 2 3 2 4 2 2" xfId="28474" xr:uid="{18314E4A-AE67-4B6F-B508-912FB11A91DB}"/>
    <cellStyle name="Normal 4 2 2 3 2 4 2 3" xfId="15914" xr:uid="{57CB71E1-FF78-4EF7-8785-8F6EDFBCB33B}"/>
    <cellStyle name="Normal 4 2 2 3 2 4 3" xfId="8367" xr:uid="{92240B2D-38C1-454D-B56E-7E3D0956F970}"/>
    <cellStyle name="Normal 4 2 2 3 2 4 3 2" xfId="18747" xr:uid="{55706EA9-509C-4177-8277-C7D144419419}"/>
    <cellStyle name="Normal 4 2 2 3 2 4 4" xfId="11200" xr:uid="{020EB1DA-255C-4C76-AB91-43E46051CB40}"/>
    <cellStyle name="Normal 4 2 2 3 2 4 4 2" xfId="21580" xr:uid="{211767A5-3246-4480-9B39-F538EC29A29B}"/>
    <cellStyle name="Normal 4 2 2 3 2 4 5" xfId="24204" xr:uid="{9082D8DB-4C96-4830-BD21-A262EBAE688D}"/>
    <cellStyle name="Normal 4 2 2 3 2 4 6" xfId="13838" xr:uid="{F70D6774-E243-4164-A7AF-951DE2E9E02A}"/>
    <cellStyle name="Normal 4 2 2 3 2 5" xfId="2535" xr:uid="{00000000-0005-0000-0000-000075050000}"/>
    <cellStyle name="Normal 4 2 2 3 2 5 2" xfId="5809" xr:uid="{FDCA5AD5-95DA-412D-8D47-258CC2B41DD1}"/>
    <cellStyle name="Normal 4 2 2 3 2 5 2 2" xfId="26978" xr:uid="{DD5C1E70-C5F2-4324-8FC2-7D920610937F}"/>
    <cellStyle name="Normal 4 2 2 3 2 5 2 3" xfId="15207" xr:uid="{80C0A50B-A75B-41D2-8A38-2CD2CE4DFE08}"/>
    <cellStyle name="Normal 4 2 2 3 2 5 3" xfId="7660" xr:uid="{4EEB0860-2372-458C-B5F9-A0CC253A1AE3}"/>
    <cellStyle name="Normal 4 2 2 3 2 5 3 2" xfId="18040" xr:uid="{EC5DD510-18CA-4DBC-A34C-F3120B2B44E6}"/>
    <cellStyle name="Normal 4 2 2 3 2 5 4" xfId="10493" xr:uid="{BA2AC357-34BA-4763-A738-292D2A44C02D}"/>
    <cellStyle name="Normal 4 2 2 3 2 5 4 2" xfId="20873" xr:uid="{97F0FD2C-82B5-497E-BD95-3C5AF1BAADE6}"/>
    <cellStyle name="Normal 4 2 2 3 2 5 5" xfId="23287" xr:uid="{AD5C5887-0803-4E20-9BB9-7BB57DB48E1C}"/>
    <cellStyle name="Normal 4 2 2 3 2 5 6" xfId="12923" xr:uid="{68E2A869-D5B2-42EE-8820-A9D0C6D71C9E}"/>
    <cellStyle name="Normal 4 2 2 3 2 6" xfId="2351" xr:uid="{00000000-0005-0000-0000-000070050000}"/>
    <cellStyle name="Normal 4 2 2 3 2 6 2" xfId="7478" xr:uid="{B3F065FD-3BF3-41C5-98FB-7285E0CEF677}"/>
    <cellStyle name="Normal 4 2 2 3 2 6 2 2" xfId="17858" xr:uid="{BDC82D49-BB9F-499F-BD8E-F48F4542180F}"/>
    <cellStyle name="Normal 4 2 2 3 2 6 3" xfId="10311" xr:uid="{7F6C7885-EA64-4EDE-A8FA-6AAF050F0977}"/>
    <cellStyle name="Normal 4 2 2 3 2 6 3 2" xfId="20691" xr:uid="{6FE03C0A-13E8-4886-927D-BBE3FE3D81F0}"/>
    <cellStyle name="Normal 4 2 2 3 2 6 4" xfId="24130" xr:uid="{E708F31D-9929-434E-A242-2DCD60721706}"/>
    <cellStyle name="Normal 4 2 2 3 2 6 5" xfId="15025" xr:uid="{DB145D00-6261-49DE-B2D9-6277AC08AB4C}"/>
    <cellStyle name="Normal 4 2 2 3 2 7" xfId="3892" xr:uid="{D96A2613-E50C-4D2C-900D-398FAFA7F405}"/>
    <cellStyle name="Normal 4 2 2 3 2 7 2" xfId="8724" xr:uid="{6B9C5CFA-735E-40A8-BC44-5B567045E3DA}"/>
    <cellStyle name="Normal 4 2 2 3 2 7 2 2" xfId="19104" xr:uid="{F878870E-6795-4137-B63C-DC6965F96EA3}"/>
    <cellStyle name="Normal 4 2 2 3 2 7 3" xfId="11557" xr:uid="{313CA58C-0C94-491D-8B0D-3F823C796A86}"/>
    <cellStyle name="Normal 4 2 2 3 2 7 3 2" xfId="21937" xr:uid="{7B76D477-D22B-41C2-AD72-52B2987A93E9}"/>
    <cellStyle name="Normal 4 2 2 3 2 7 4" xfId="16271" xr:uid="{2AF31336-C692-4258-A919-C034B70AC8E1}"/>
    <cellStyle name="Normal 4 2 2 3 2 8" xfId="5225" xr:uid="{11FEB477-B239-4E41-BF3C-424859C341A2}"/>
    <cellStyle name="Normal 4 2 2 3 2 8 2" xfId="14523" xr:uid="{1C01992E-5370-4D5F-9595-794570A6E419}"/>
    <cellStyle name="Normal 4 2 2 3 2 9" xfId="6976" xr:uid="{CD0EAC3F-8B8F-4C1C-9E73-3D82BD185AD1}"/>
    <cellStyle name="Normal 4 2 2 3 2 9 2" xfId="17356" xr:uid="{24878BB0-662F-4A83-B137-81A7CAFD42EF}"/>
    <cellStyle name="Normal 4 2 2 3 3" xfId="922" xr:uid="{00000000-0005-0000-0000-00004C050000}"/>
    <cellStyle name="Normal 4 2 2 3 3 10" xfId="24833" xr:uid="{4EECE424-3A63-471E-922A-1E15FA2706A9}"/>
    <cellStyle name="Normal 4 2 2 3 3 11" xfId="12743" xr:uid="{5741375C-0DE7-4CD2-9B1D-266696C61809}"/>
    <cellStyle name="Normal 4 2 2 3 3 2" xfId="2767" xr:uid="{00000000-0005-0000-0000-000077050000}"/>
    <cellStyle name="Normal 4 2 2 3 3 2 2" xfId="3291" xr:uid="{00000000-0005-0000-0000-000078050000}"/>
    <cellStyle name="Normal 4 2 2 3 3 2 2 2" xfId="6349" xr:uid="{434E8FF1-E3A1-4A7A-9D1D-E422117A86E0}"/>
    <cellStyle name="Normal 4 2 2 3 3 2 2 2 2" xfId="26280" xr:uid="{FB0C84E7-0B72-4918-9970-2FC3865AE175}"/>
    <cellStyle name="Normal 4 2 2 3 3 2 2 2 3" xfId="15918" xr:uid="{85CEAFD0-7320-4AB2-80CA-F5BBF7272431}"/>
    <cellStyle name="Normal 4 2 2 3 3 2 2 3" xfId="8371" xr:uid="{5658B379-62E3-4B78-A892-615E0DBF142B}"/>
    <cellStyle name="Normal 4 2 2 3 3 2 2 3 2" xfId="18751" xr:uid="{36ECC6A3-E66B-48C9-98EC-F0563C4FCFAC}"/>
    <cellStyle name="Normal 4 2 2 3 3 2 2 4" xfId="11204" xr:uid="{670C891C-FEE6-465B-9F49-17016E61A29A}"/>
    <cellStyle name="Normal 4 2 2 3 3 2 2 4 2" xfId="21584" xr:uid="{D8613B90-EF87-4E98-9B45-90E0CED13444}"/>
    <cellStyle name="Normal 4 2 2 3 3 2 2 5" xfId="24183" xr:uid="{B1BC3264-4C98-4DA8-852B-AF3043EB1577}"/>
    <cellStyle name="Normal 4 2 2 3 3 2 2 6" xfId="13842" xr:uid="{DB97B712-1A9D-4DC8-8486-4307375B2E4A}"/>
    <cellStyle name="Normal 4 2 2 3 3 2 3" xfId="4327" xr:uid="{C5AA2334-1273-4173-B3B8-B5CB37BE8962}"/>
    <cellStyle name="Normal 4 2 2 3 3 2 3 2" xfId="9099" xr:uid="{44C37417-6B57-4553-AC9B-D229E9B997B9}"/>
    <cellStyle name="Normal 4 2 2 3 3 2 3 2 2" xfId="29142" xr:uid="{D40A5EC6-241A-409E-91AE-4819692CFC03}"/>
    <cellStyle name="Normal 4 2 2 3 3 2 3 2 3" xfId="19479" xr:uid="{CEB719ED-63A8-4C8C-A753-FF73A8613B6A}"/>
    <cellStyle name="Normal 4 2 2 3 3 2 3 3" xfId="11932" xr:uid="{38255705-73A4-431D-9719-044B4F097BEE}"/>
    <cellStyle name="Normal 4 2 2 3 3 2 3 3 2" xfId="22312" xr:uid="{B81C1962-FF7F-4612-8257-B61BE007B819}"/>
    <cellStyle name="Normal 4 2 2 3 3 2 3 4" xfId="23172" xr:uid="{42F1F596-555E-403E-AB74-6EB1CAF57960}"/>
    <cellStyle name="Normal 4 2 2 3 3 2 3 5" xfId="16646" xr:uid="{86BE4334-F088-405C-A088-DDE12CDBF8A8}"/>
    <cellStyle name="Normal 4 2 2 3 3 2 4" xfId="5985" xr:uid="{6CD26D58-AE40-4F2C-9636-48FA196B1729}"/>
    <cellStyle name="Normal 4 2 2 3 3 2 4 2" xfId="26936" xr:uid="{EFA6AA2A-AF5C-45A6-A72E-1404566ABC42}"/>
    <cellStyle name="Normal 4 2 2 3 3 2 4 3" xfId="15438" xr:uid="{285B8E85-9421-4D07-9D13-478ADF68C046}"/>
    <cellStyle name="Normal 4 2 2 3 3 2 5" xfId="7891" xr:uid="{DB69350F-17D3-47EA-8934-579359DD09E7}"/>
    <cellStyle name="Normal 4 2 2 3 3 2 5 2" xfId="18271" xr:uid="{19F0100D-EDEA-431D-AC57-2928E2AF4EA9}"/>
    <cellStyle name="Normal 4 2 2 3 3 2 6" xfId="10724" xr:uid="{8D1D27BC-5F8E-4036-A1FD-5FB484E3065D}"/>
    <cellStyle name="Normal 4 2 2 3 3 2 6 2" xfId="21104" xr:uid="{8504755E-2C9A-444D-B39B-5EDE58B524F6}"/>
    <cellStyle name="Normal 4 2 2 3 3 2 7" xfId="23629" xr:uid="{6EDC3B47-764A-4865-B633-DFCF9A7B1D0B}"/>
    <cellStyle name="Normal 4 2 2 3 3 2 8" xfId="13217" xr:uid="{FE14FB89-FCA9-4C38-86FA-EE6B4E306967}"/>
    <cellStyle name="Normal 4 2 2 3 3 3" xfId="3292" xr:uid="{00000000-0005-0000-0000-000079050000}"/>
    <cellStyle name="Normal 4 2 2 3 3 3 2" xfId="4509" xr:uid="{BFC336D4-79D3-4CAA-B822-E16C2E6AE884}"/>
    <cellStyle name="Normal 4 2 2 3 3 3 2 2" xfId="9281" xr:uid="{69DB0E82-7231-4EF9-8E5F-CF704D83CF63}"/>
    <cellStyle name="Normal 4 2 2 3 3 3 2 2 2" xfId="29262" xr:uid="{0F0D3CEC-3DB5-4FAC-AC4A-01334006FD4B}"/>
    <cellStyle name="Normal 4 2 2 3 3 3 2 2 3" xfId="19661" xr:uid="{CFAF9355-601D-4DE1-89FD-013215428D57}"/>
    <cellStyle name="Normal 4 2 2 3 3 3 2 3" xfId="12114" xr:uid="{366E67AA-5270-44E8-84F4-C6842E565697}"/>
    <cellStyle name="Normal 4 2 2 3 3 3 2 3 2" xfId="22494" xr:uid="{0500BF19-E3B2-49DE-8FEF-1901F44CB56F}"/>
    <cellStyle name="Normal 4 2 2 3 3 3 2 4" xfId="25755" xr:uid="{6D702D5A-D6DB-4458-8921-97DB530C6936}"/>
    <cellStyle name="Normal 4 2 2 3 3 3 2 5" xfId="16828" xr:uid="{2923CDDE-CA22-4AEA-8B4A-88A1559BE632}"/>
    <cellStyle name="Normal 4 2 2 3 3 3 3" xfId="6350" xr:uid="{8F703B92-FDC1-4FDC-9B8E-05ACB1B45D6E}"/>
    <cellStyle name="Normal 4 2 2 3 3 3 3 2" xfId="25965" xr:uid="{3F45C47A-2625-4291-B192-E78EA09675B3}"/>
    <cellStyle name="Normal 4 2 2 3 3 3 3 3" xfId="15919" xr:uid="{A0BF842F-4A42-4357-9C5B-00165141087F}"/>
    <cellStyle name="Normal 4 2 2 3 3 3 4" xfId="8372" xr:uid="{B0888013-3562-4F65-95A4-9E67D43E46AC}"/>
    <cellStyle name="Normal 4 2 2 3 3 3 4 2" xfId="18752" xr:uid="{21D2A06D-0C57-4B89-8E20-DDF5DE4C50D7}"/>
    <cellStyle name="Normal 4 2 2 3 3 3 5" xfId="11205" xr:uid="{263D0205-7975-4EC4-A778-7A0F41CF251E}"/>
    <cellStyle name="Normal 4 2 2 3 3 3 5 2" xfId="21585" xr:uid="{C7BEB32D-BD0A-49D8-90C0-5C0856A866F3}"/>
    <cellStyle name="Normal 4 2 2 3 3 3 6" xfId="24965" xr:uid="{6E8C3C21-6818-4122-918C-BC5DFBBDDB90}"/>
    <cellStyle name="Normal 4 2 2 3 3 3 7" xfId="13843" xr:uid="{910A00BA-AC07-4195-839B-F5610560FFD8}"/>
    <cellStyle name="Normal 4 2 2 3 3 4" xfId="3290" xr:uid="{00000000-0005-0000-0000-00007A050000}"/>
    <cellStyle name="Normal 4 2 2 3 3 4 2" xfId="6348" xr:uid="{9D7252F3-DDE2-4834-AB9B-3929F2551B73}"/>
    <cellStyle name="Normal 4 2 2 3 3 4 2 2" xfId="28218" xr:uid="{F6B88384-9DF5-4FA3-A23A-94A0036F0EF3}"/>
    <cellStyle name="Normal 4 2 2 3 3 4 2 3" xfId="15917" xr:uid="{D2CFF331-E80F-464C-8BD8-60BF12FB9868}"/>
    <cellStyle name="Normal 4 2 2 3 3 4 3" xfId="8370" xr:uid="{AB962451-27B1-4F41-907F-B83B4F094BB9}"/>
    <cellStyle name="Normal 4 2 2 3 3 4 3 2" xfId="18750" xr:uid="{4E5B0C8C-151E-4AE7-979F-2824FF775781}"/>
    <cellStyle name="Normal 4 2 2 3 3 4 4" xfId="11203" xr:uid="{CCFEC741-96B6-4F2B-861C-63947B09A4A2}"/>
    <cellStyle name="Normal 4 2 2 3 3 4 4 2" xfId="21583" xr:uid="{8075C9AE-18BC-4386-A1D9-B2B11FD4B470}"/>
    <cellStyle name="Normal 4 2 2 3 3 4 5" xfId="23625" xr:uid="{820FAFF3-85BA-46F3-AAD0-40AD2B2749BE}"/>
    <cellStyle name="Normal 4 2 2 3 3 4 6" xfId="13841" xr:uid="{4DCF245E-C65B-4C56-9A5E-0585997F88EA}"/>
    <cellStyle name="Normal 4 2 2 3 3 5" xfId="2637" xr:uid="{00000000-0005-0000-0000-00007B050000}"/>
    <cellStyle name="Normal 4 2 2 3 3 5 2" xfId="5899" xr:uid="{17B37AA6-44D7-4370-98C4-D7ADFAD06DBC}"/>
    <cellStyle name="Normal 4 2 2 3 3 5 2 2" xfId="27039" xr:uid="{AB735D45-9A65-4A06-8525-2BE8A5B2CA4E}"/>
    <cellStyle name="Normal 4 2 2 3 3 5 2 3" xfId="15309" xr:uid="{03EF8E35-A3A1-40B1-A0AA-3274B08F9661}"/>
    <cellStyle name="Normal 4 2 2 3 3 5 3" xfId="7762" xr:uid="{730417C8-A719-4F27-B372-024378348F48}"/>
    <cellStyle name="Normal 4 2 2 3 3 5 3 2" xfId="18142" xr:uid="{9FF1DF2C-01F2-4D8B-9F5C-4E775CC9B449}"/>
    <cellStyle name="Normal 4 2 2 3 3 5 4" xfId="10595" xr:uid="{294E3DBE-82FE-404A-A616-C1D88ED52E16}"/>
    <cellStyle name="Normal 4 2 2 3 3 5 4 2" xfId="20975" xr:uid="{7A13C033-EFA9-4D00-9684-980FCECCD704}"/>
    <cellStyle name="Normal 4 2 2 3 3 5 5" xfId="23757" xr:uid="{432E6AD6-4EAB-492F-A35F-066FE9DD9890}"/>
    <cellStyle name="Normal 4 2 2 3 3 5 6" xfId="13026" xr:uid="{0E272F77-BD25-4C27-874E-AAC8C858BB75}"/>
    <cellStyle name="Normal 4 2 2 3 3 6" xfId="4181" xr:uid="{68A65460-D581-4268-8738-E9DAC0BA2ACE}"/>
    <cellStyle name="Normal 4 2 2 3 3 6 2" xfId="8953" xr:uid="{72870363-4ED9-436B-8DEE-F3E4DCA9B767}"/>
    <cellStyle name="Normal 4 2 2 3 3 6 2 2" xfId="19333" xr:uid="{F882F131-A388-4A1E-A9EB-7BDB8A9DEB8B}"/>
    <cellStyle name="Normal 4 2 2 3 3 6 3" xfId="11786" xr:uid="{3BE2E3DF-31AB-4D27-8776-8E7A73C85BFD}"/>
    <cellStyle name="Normal 4 2 2 3 3 6 3 2" xfId="22166" xr:uid="{3E8C096E-150E-4CA9-8FF5-55CFDBD96955}"/>
    <cellStyle name="Normal 4 2 2 3 3 6 4" xfId="25529" xr:uid="{6CC007BE-C920-424C-8722-5B87DEBD6519}"/>
    <cellStyle name="Normal 4 2 2 3 3 6 5" xfId="16500" xr:uid="{6B8E4524-C743-4582-8A35-0455456AEA2D}"/>
    <cellStyle name="Normal 4 2 2 3 3 7" xfId="5227" xr:uid="{654DADEF-5BEE-4A70-B479-EA4DF0B5269A}"/>
    <cellStyle name="Normal 4 2 2 3 3 7 2" xfId="14525" xr:uid="{214E56C4-AA70-4B46-8A87-F958FFAF30CE}"/>
    <cellStyle name="Normal 4 2 2 3 3 8" xfId="6978" xr:uid="{390F904A-24B0-4B71-B52A-F039CB888172}"/>
    <cellStyle name="Normal 4 2 2 3 3 8 2" xfId="17358" xr:uid="{FD5706EA-289E-4389-8085-F4B3DF5D361C}"/>
    <cellStyle name="Normal 4 2 2 3 3 9" xfId="9811" xr:uid="{9DAC1ADE-E604-40E8-B25C-8AE52CB94EF7}"/>
    <cellStyle name="Normal 4 2 2 3 3 9 2" xfId="20191" xr:uid="{EE60523C-88E7-4D9D-A06E-BF65E4676508}"/>
    <cellStyle name="Normal 4 2 2 3 4" xfId="923" xr:uid="{00000000-0005-0000-0000-00004D050000}"/>
    <cellStyle name="Normal 4 2 2 3 4 2" xfId="3293" xr:uid="{00000000-0005-0000-0000-00007D050000}"/>
    <cellStyle name="Normal 4 2 2 3 4 2 2" xfId="6351" xr:uid="{903EC303-10FC-411F-B382-8CA196B0FA9E}"/>
    <cellStyle name="Normal 4 2 2 3 4 2 2 2" xfId="26394" xr:uid="{2E55253E-8D44-49E1-A081-9E916C148A99}"/>
    <cellStyle name="Normal 4 2 2 3 4 2 2 3" xfId="15920" xr:uid="{A099347E-D2C8-429B-9BAA-3E2A90202DBF}"/>
    <cellStyle name="Normal 4 2 2 3 4 2 3" xfId="8373" xr:uid="{5D141035-696A-4E11-878E-EBD242DE40E9}"/>
    <cellStyle name="Normal 4 2 2 3 4 2 3 2" xfId="18753" xr:uid="{E53136B3-33EB-4D74-B5D8-661977FAD2C2}"/>
    <cellStyle name="Normal 4 2 2 3 4 2 4" xfId="11206" xr:uid="{60653EEB-44E4-4338-A45A-F98B38267337}"/>
    <cellStyle name="Normal 4 2 2 3 4 2 4 2" xfId="21586" xr:uid="{6E290F7F-7490-44E8-8D1D-849FA539D956}"/>
    <cellStyle name="Normal 4 2 2 3 4 2 5" xfId="25067" xr:uid="{4B20A928-3BF0-4131-9850-99DBE8EFBC68}"/>
    <cellStyle name="Normal 4 2 2 3 4 2 6" xfId="13844" xr:uid="{95F8A9EF-9FB0-41A9-B6CE-9892A4E3E2E1}"/>
    <cellStyle name="Normal 4 2 2 3 4 3" xfId="4325" xr:uid="{CFA2580C-8217-414C-9859-71B9E67B7CAC}"/>
    <cellStyle name="Normal 4 2 2 3 4 3 2" xfId="9097" xr:uid="{CC5DD4F7-4287-46E7-B743-0798B1E276C8}"/>
    <cellStyle name="Normal 4 2 2 3 4 3 2 2" xfId="29140" xr:uid="{A6F36CBA-F00B-4B19-A6C4-D9E5F3632040}"/>
    <cellStyle name="Normal 4 2 2 3 4 3 2 3" xfId="19477" xr:uid="{DA4AA475-C3E8-4EFE-A1B6-E2E5B8F0A4AD}"/>
    <cellStyle name="Normal 4 2 2 3 4 3 3" xfId="11930" xr:uid="{44D23ACD-5634-446E-BD46-8522CCB2B94C}"/>
    <cellStyle name="Normal 4 2 2 3 4 3 3 2" xfId="22310" xr:uid="{495D3382-AF99-4460-A947-CE81718D8307}"/>
    <cellStyle name="Normal 4 2 2 3 4 3 4" xfId="23364" xr:uid="{D1C35386-1376-4B27-B1B7-1514218E98E7}"/>
    <cellStyle name="Normal 4 2 2 3 4 3 5" xfId="16644" xr:uid="{46F62C47-74B7-4BFF-9FB8-0CA1E0F68596}"/>
    <cellStyle name="Normal 4 2 2 3 4 4" xfId="5228" xr:uid="{B06EC196-D623-41BB-9755-7F3CAFA7877F}"/>
    <cellStyle name="Normal 4 2 2 3 4 4 2" xfId="27061" xr:uid="{D2008287-8AB6-4294-98BF-F42428FDFB1F}"/>
    <cellStyle name="Normal 4 2 2 3 4 4 3" xfId="14526" xr:uid="{ED31B2A9-EB38-4D6F-B778-406C4AA72E44}"/>
    <cellStyle name="Normal 4 2 2 3 4 5" xfId="6979" xr:uid="{BCF7E8DF-2D67-4C25-AD26-C7642BF978DD}"/>
    <cellStyle name="Normal 4 2 2 3 4 5 2" xfId="17359" xr:uid="{23DFBA90-FA5C-47BC-8F39-12985AF4A672}"/>
    <cellStyle name="Normal 4 2 2 3 4 6" xfId="9812" xr:uid="{49073248-F7CD-4E09-AC9C-9F9DD844E98F}"/>
    <cellStyle name="Normal 4 2 2 3 4 6 2" xfId="20192" xr:uid="{7EF81C41-C72F-47F2-8707-1A56334CA33A}"/>
    <cellStyle name="Normal 4 2 2 3 4 7" xfId="24454" xr:uid="{DDEAE3DF-9B4E-4BFF-996F-73C4E7C1C643}"/>
    <cellStyle name="Normal 4 2 2 3 4 8" xfId="13215" xr:uid="{38D7521A-ACA3-4633-9CD1-86380A409521}"/>
    <cellStyle name="Normal 4 2 2 3 5" xfId="3294" xr:uid="{00000000-0005-0000-0000-00007E050000}"/>
    <cellStyle name="Normal 4 2 2 3 5 2" xfId="4510" xr:uid="{EDD4B0BD-21AD-4575-B0BB-6E5584BA8968}"/>
    <cellStyle name="Normal 4 2 2 3 5 2 2" xfId="9282" xr:uid="{0C10E1BC-B471-4F26-B951-4FBEE845F0BF}"/>
    <cellStyle name="Normal 4 2 2 3 5 2 2 2" xfId="29263" xr:uid="{6F325DE0-354A-4F89-BB12-BC82C49ED3C2}"/>
    <cellStyle name="Normal 4 2 2 3 5 2 2 3" xfId="19662" xr:uid="{E4450B45-E98A-494F-B564-0E51C692795D}"/>
    <cellStyle name="Normal 4 2 2 3 5 2 3" xfId="12115" xr:uid="{03F9FCD8-517E-4619-B5ED-92190ADB52B7}"/>
    <cellStyle name="Normal 4 2 2 3 5 2 3 2" xfId="22495" xr:uid="{E8762A68-8649-4416-B5BE-17AD1E4B5093}"/>
    <cellStyle name="Normal 4 2 2 3 5 2 4" xfId="23388" xr:uid="{426B393D-1C8B-46A7-948C-4EBB83DAF223}"/>
    <cellStyle name="Normal 4 2 2 3 5 2 5" xfId="16829" xr:uid="{D154F8CF-A302-4A23-9698-C405646370A4}"/>
    <cellStyle name="Normal 4 2 2 3 5 3" xfId="6352" xr:uid="{CA67D7C3-161B-41BD-8E71-FC9DC48DD57B}"/>
    <cellStyle name="Normal 4 2 2 3 5 3 2" xfId="27006" xr:uid="{AC6B385D-7441-4676-BB30-362DA48ABD73}"/>
    <cellStyle name="Normal 4 2 2 3 5 3 3" xfId="15921" xr:uid="{294CEA23-2C85-4770-89C3-EFD50B0A0C71}"/>
    <cellStyle name="Normal 4 2 2 3 5 4" xfId="8374" xr:uid="{429CF405-1390-403A-B8DD-D74AEEEE382B}"/>
    <cellStyle name="Normal 4 2 2 3 5 4 2" xfId="18754" xr:uid="{F0567FDE-6F5E-4EFC-B339-D3D8F41EAC59}"/>
    <cellStyle name="Normal 4 2 2 3 5 5" xfId="11207" xr:uid="{B4123C7D-1D5B-4683-9284-7DF1184A0883}"/>
    <cellStyle name="Normal 4 2 2 3 5 5 2" xfId="21587" xr:uid="{06EA28BA-E65A-4A86-9AA2-F77EB29C3F6B}"/>
    <cellStyle name="Normal 4 2 2 3 5 6" xfId="25322" xr:uid="{727BCEBE-3334-4D89-8771-987FA425547D}"/>
    <cellStyle name="Normal 4 2 2 3 5 7" xfId="13845" xr:uid="{DEFA00F6-18FB-427B-B130-728411644C83}"/>
    <cellStyle name="Normal 4 2 2 3 6" xfId="2927" xr:uid="{00000000-0005-0000-0000-00007F050000}"/>
    <cellStyle name="Normal 4 2 2 3 6 2" xfId="6107" xr:uid="{9F3C0357-5F61-4F3B-8096-0CF0F6AC8D66}"/>
    <cellStyle name="Normal 4 2 2 3 6 2 2" xfId="27470" xr:uid="{2E14018F-0E47-45B2-97A9-91B205A340B5}"/>
    <cellStyle name="Normal 4 2 2 3 6 2 3" xfId="15585" xr:uid="{64C90382-7B55-45A0-BEEB-8B0C1A2287BB}"/>
    <cellStyle name="Normal 4 2 2 3 6 3" xfId="8038" xr:uid="{723D2E27-132C-4556-87F6-C96E666DA9E2}"/>
    <cellStyle name="Normal 4 2 2 3 6 3 2" xfId="18418" xr:uid="{01B60CE9-C58F-40AD-B2ED-E2917838A755}"/>
    <cellStyle name="Normal 4 2 2 3 6 4" xfId="10871" xr:uid="{331A1D25-1E24-4484-BA91-7328824DCA98}"/>
    <cellStyle name="Normal 4 2 2 3 6 4 2" xfId="21251" xr:uid="{88F54577-95BD-42A6-85D4-E866A4006185}"/>
    <cellStyle name="Normal 4 2 2 3 6 5" xfId="25421" xr:uid="{8FF3C58E-8BD4-46B2-8C6F-993942D0C36F}"/>
    <cellStyle name="Normal 4 2 2 3 6 6" xfId="13441" xr:uid="{82146FBA-DF5A-403F-A8F8-AB19096A80A2}"/>
    <cellStyle name="Normal 4 2 2 3 7" xfId="2475" xr:uid="{00000000-0005-0000-0000-000080050000}"/>
    <cellStyle name="Normal 4 2 2 3 7 2" xfId="5763" xr:uid="{EC9D5935-AF72-4A26-A29D-51DAFC622B55}"/>
    <cellStyle name="Normal 4 2 2 3 7 2 2" xfId="27989" xr:uid="{E237374A-B761-4C1C-982F-F03C3356940D}"/>
    <cellStyle name="Normal 4 2 2 3 7 2 3" xfId="15147" xr:uid="{846F4005-524B-4E01-9B61-46CAB7B98D9C}"/>
    <cellStyle name="Normal 4 2 2 3 7 3" xfId="7600" xr:uid="{2DB1E442-9720-4757-BAC5-E023FA285D05}"/>
    <cellStyle name="Normal 4 2 2 3 7 3 2" xfId="17980" xr:uid="{F54C884B-2F83-4B33-B9F3-5FCE05C53621}"/>
    <cellStyle name="Normal 4 2 2 3 7 4" xfId="10433" xr:uid="{FEFE2369-68AF-434E-BCD2-AD61EC64D19A}"/>
    <cellStyle name="Normal 4 2 2 3 7 4 2" xfId="20813" xr:uid="{9C38CEA3-60C5-4E85-A799-A8CCAF3CBCF0}"/>
    <cellStyle name="Normal 4 2 2 3 7 5" xfId="23479" xr:uid="{667CD572-A39D-4242-BDBE-6BD6CBDADC26}"/>
    <cellStyle name="Normal 4 2 2 3 7 6" xfId="12863" xr:uid="{B3F4EDBB-7567-4018-802F-FF91A3DACCD9}"/>
    <cellStyle name="Normal 4 2 2 3 8" xfId="2229" xr:uid="{00000000-0005-0000-0000-00006F050000}"/>
    <cellStyle name="Normal 4 2 2 3 8 2" xfId="7356" xr:uid="{251AE1BE-6A83-459C-AEFA-B7D341745D18}"/>
    <cellStyle name="Normal 4 2 2 3 8 2 2" xfId="17736" xr:uid="{725D5F2A-A59D-4980-976E-3DAD4C780A9A}"/>
    <cellStyle name="Normal 4 2 2 3 8 3" xfId="10189" xr:uid="{CEA25CFD-DE8E-42A7-A923-AE34B8E6132F}"/>
    <cellStyle name="Normal 4 2 2 3 8 3 2" xfId="20569" xr:uid="{3701C557-99FE-4970-9E68-4ADB8F989C0B}"/>
    <cellStyle name="Normal 4 2 2 3 8 4" xfId="22664" xr:uid="{9BF09DFD-D193-4044-B1FF-E169C922CF43}"/>
    <cellStyle name="Normal 4 2 2 3 8 5" xfId="14903" xr:uid="{6ACCD0C8-4CE4-4F2E-8108-56149E92E85E}"/>
    <cellStyle name="Normal 4 2 2 3 9" xfId="3972" xr:uid="{0782F743-45C0-44C0-AEAC-8FCADDB238D7}"/>
    <cellStyle name="Normal 4 2 2 3 9 2" xfId="8796" xr:uid="{4AA8DE3C-01B3-4E95-9784-D962C9D85806}"/>
    <cellStyle name="Normal 4 2 2 3 9 2 2" xfId="19176" xr:uid="{F6E00A14-FBCC-4F12-9770-F7BEB8332FD4}"/>
    <cellStyle name="Normal 4 2 2 3 9 3" xfId="11629" xr:uid="{39C37010-AD2B-4D73-A546-B0C121666EB7}"/>
    <cellStyle name="Normal 4 2 2 3 9 3 2" xfId="22009" xr:uid="{59BB1F7F-F732-4642-B32D-D5C9FB5DAD06}"/>
    <cellStyle name="Normal 4 2 2 3 9 4" xfId="16343" xr:uid="{4EFDA8A4-00E8-4C1A-9A8D-8A09CE090A7D}"/>
    <cellStyle name="Normal 4 2 2 4" xfId="924" xr:uid="{00000000-0005-0000-0000-00004E050000}"/>
    <cellStyle name="Normal 4 2 2 4 10" xfId="6980" xr:uid="{43E72B32-F5E5-4D7A-8456-82088F87763A}"/>
    <cellStyle name="Normal 4 2 2 4 10 2" xfId="17360" xr:uid="{04BDADEE-CE3C-48F0-9BF5-EEC502683A20}"/>
    <cellStyle name="Normal 4 2 2 4 11" xfId="9813" xr:uid="{096BC897-755D-4269-9E65-AD651079D9D0}"/>
    <cellStyle name="Normal 4 2 2 4 11 2" xfId="20193" xr:uid="{A6A89815-2657-4104-BB75-987E6C39D265}"/>
    <cellStyle name="Normal 4 2 2 4 12" xfId="23878" xr:uid="{DB376193-8776-4576-A119-EDD2E75704CF}"/>
    <cellStyle name="Normal 4 2 2 4 13" xfId="12441" xr:uid="{73433729-7ABE-457A-8D58-3712B623EA70}"/>
    <cellStyle name="Normal 4 2 2 4 2" xfId="925" xr:uid="{00000000-0005-0000-0000-00004F050000}"/>
    <cellStyle name="Normal 4 2 2 4 2 10" xfId="9814" xr:uid="{74B6838E-3A0E-4581-8315-134652AC2605}"/>
    <cellStyle name="Normal 4 2 2 4 2 10 2" xfId="20194" xr:uid="{FA79C592-F3E4-45B7-8425-361543C0209D}"/>
    <cellStyle name="Normal 4 2 2 4 2 11" xfId="25135" xr:uid="{FE895F79-E79E-42EB-9468-F7EA69AAFCBD}"/>
    <cellStyle name="Normal 4 2 2 4 2 12" xfId="12586" xr:uid="{65891DFD-AC75-4EF2-BE1B-E12741DF5688}"/>
    <cellStyle name="Normal 4 2 2 4 2 2" xfId="926" xr:uid="{00000000-0005-0000-0000-000050050000}"/>
    <cellStyle name="Normal 4 2 2 4 2 2 2" xfId="3296" xr:uid="{00000000-0005-0000-0000-000084050000}"/>
    <cellStyle name="Normal 4 2 2 4 2 2 2 2" xfId="6354" xr:uid="{57213AAF-F5C4-44D0-A2B0-97F183471ECE}"/>
    <cellStyle name="Normal 4 2 2 4 2 2 2 2 2" xfId="27080" xr:uid="{FA7FA6CA-809C-434A-98F6-EFA80E8E9178}"/>
    <cellStyle name="Normal 4 2 2 4 2 2 2 2 3" xfId="27740" xr:uid="{F68157DE-0A3F-47CF-9F36-F86C136DC849}"/>
    <cellStyle name="Normal 4 2 2 4 2 2 2 2 4" xfId="15923" xr:uid="{B20FDE2B-52F5-42DE-AA97-018AFF58F137}"/>
    <cellStyle name="Normal 4 2 2 4 2 2 2 3" xfId="8376" xr:uid="{94A78240-CA92-4263-8B92-90DC69479D83}"/>
    <cellStyle name="Normal 4 2 2 4 2 2 2 3 2" xfId="28899" xr:uid="{1E60605B-AFC0-40FC-BDC4-0FBEA0E3394C}"/>
    <cellStyle name="Normal 4 2 2 4 2 2 2 3 3" xfId="18756" xr:uid="{07EB8F78-4D54-41C2-9ADD-00AC7DE8CF58}"/>
    <cellStyle name="Normal 4 2 2 4 2 2 2 4" xfId="11209" xr:uid="{7D57D94D-2B60-458D-BA6C-47C53AE0F291}"/>
    <cellStyle name="Normal 4 2 2 4 2 2 2 4 2" xfId="21589" xr:uid="{7271D98C-9040-49C3-9D7A-7C7D325CC6FB}"/>
    <cellStyle name="Normal 4 2 2 4 2 2 2 5" xfId="23384" xr:uid="{AA79B49B-DA04-48DE-850B-55B9AFF31B3F}"/>
    <cellStyle name="Normal 4 2 2 4 2 2 2 6" xfId="13847" xr:uid="{A33995DC-CE48-435F-9431-9C4EE806C447}"/>
    <cellStyle name="Normal 4 2 2 4 2 2 3" xfId="4328" xr:uid="{88AADD46-078C-4A1A-86CD-8C746649C1D3}"/>
    <cellStyle name="Normal 4 2 2 4 2 2 3 2" xfId="9100" xr:uid="{5AAA42F9-F8DA-4B91-9EB6-E9FE37649223}"/>
    <cellStyle name="Normal 4 2 2 4 2 2 3 2 2" xfId="29143" xr:uid="{B9E1C12C-87CA-4909-B0CC-617106AB27B7}"/>
    <cellStyle name="Normal 4 2 2 4 2 2 3 2 3" xfId="19480" xr:uid="{9F7414B7-8F52-4B89-BCA5-DE0EAD9F4546}"/>
    <cellStyle name="Normal 4 2 2 4 2 2 3 3" xfId="11933" xr:uid="{4502D610-E4EF-4C5E-9328-75FA8F718928}"/>
    <cellStyle name="Normal 4 2 2 4 2 2 3 3 2" xfId="22313" xr:uid="{11411F55-E273-4FE0-A186-04C1753E8C00}"/>
    <cellStyle name="Normal 4 2 2 4 2 2 3 4" xfId="25541" xr:uid="{954FFE69-45B1-4E9A-BDCD-E82D809935BA}"/>
    <cellStyle name="Normal 4 2 2 4 2 2 3 5" xfId="16647" xr:uid="{5B7A3110-2BE7-496F-AC9D-2E711862E030}"/>
    <cellStyle name="Normal 4 2 2 4 2 2 4" xfId="5231" xr:uid="{71A08C51-E181-4520-A87B-EB59AC28F586}"/>
    <cellStyle name="Normal 4 2 2 4 2 2 4 2" xfId="27675" xr:uid="{45FB5C57-856C-454C-9E6A-DB8981F59C9F}"/>
    <cellStyle name="Normal 4 2 2 4 2 2 4 3" xfId="14529" xr:uid="{9693F6C0-C7B6-4EB2-AC80-24099C13C0B3}"/>
    <cellStyle name="Normal 4 2 2 4 2 2 5" xfId="6982" xr:uid="{C34822D5-4980-4FB2-A8AB-9A66281BCD4A}"/>
    <cellStyle name="Normal 4 2 2 4 2 2 5 2" xfId="17362" xr:uid="{5B29B84B-2882-495A-A6A1-674BEE0C4A87}"/>
    <cellStyle name="Normal 4 2 2 4 2 2 6" xfId="9815" xr:uid="{B3D2A0E6-EF4F-442A-A3F6-CF3EBD577BB0}"/>
    <cellStyle name="Normal 4 2 2 4 2 2 6 2" xfId="20195" xr:uid="{8A7864B9-710E-45C3-B548-9810DBD6652D}"/>
    <cellStyle name="Normal 4 2 2 4 2 2 7" xfId="24869" xr:uid="{A3223941-99C9-4708-A4D9-962243FD31A6}"/>
    <cellStyle name="Normal 4 2 2 4 2 2 8" xfId="13219" xr:uid="{C4FAC374-CD0C-427D-9D1F-54A139A334CB}"/>
    <cellStyle name="Normal 4 2 2 4 2 3" xfId="3297" xr:uid="{00000000-0005-0000-0000-000085050000}"/>
    <cellStyle name="Normal 4 2 2 4 2 3 2" xfId="4511" xr:uid="{0818EA2E-927A-481A-859A-BCB273EFD974}"/>
    <cellStyle name="Normal 4 2 2 4 2 3 2 2" xfId="9283" xr:uid="{CCB918E8-A93E-4B16-84D4-AC3489B98F89}"/>
    <cellStyle name="Normal 4 2 2 4 2 3 2 2 2" xfId="29264" xr:uid="{EEDF7A42-8E48-4406-B6EE-1FF2A7C945F6}"/>
    <cellStyle name="Normal 4 2 2 4 2 3 2 2 3" xfId="19663" xr:uid="{AFB95E2C-728A-4693-BDBD-8364CF8A08B1}"/>
    <cellStyle name="Normal 4 2 2 4 2 3 2 3" xfId="12116" xr:uid="{93B9522D-5B6A-40E6-84CC-70C7765501C8}"/>
    <cellStyle name="Normal 4 2 2 4 2 3 2 3 2" xfId="22496" xr:uid="{67AD3FC9-E43D-458A-A5E2-6BC6C9BE5C24}"/>
    <cellStyle name="Normal 4 2 2 4 2 3 2 4" xfId="25272" xr:uid="{2DC845AD-6C37-486A-A7B8-01497128D10F}"/>
    <cellStyle name="Normal 4 2 2 4 2 3 2 5" xfId="16830" xr:uid="{0633965A-7B30-4EC2-8C0E-2C8A62B26074}"/>
    <cellStyle name="Normal 4 2 2 4 2 3 3" xfId="6355" xr:uid="{FDDB43A5-ABEA-49F9-8B54-B851083D45D7}"/>
    <cellStyle name="Normal 4 2 2 4 2 3 3 2" xfId="28219" xr:uid="{86F5E978-9FED-4FBE-BC62-5099C0089DEE}"/>
    <cellStyle name="Normal 4 2 2 4 2 3 3 3" xfId="15924" xr:uid="{55403D2F-1CF3-4059-A788-591AE8339692}"/>
    <cellStyle name="Normal 4 2 2 4 2 3 4" xfId="8377" xr:uid="{543F9E0E-EB2C-4DB4-8FC4-7742DCCA1393}"/>
    <cellStyle name="Normal 4 2 2 4 2 3 4 2" xfId="18757" xr:uid="{083473DA-79F7-4E5D-9210-F776595C2A0E}"/>
    <cellStyle name="Normal 4 2 2 4 2 3 5" xfId="11210" xr:uid="{A96EA365-06FB-400A-A0A0-F3301435CF8D}"/>
    <cellStyle name="Normal 4 2 2 4 2 3 5 2" xfId="21590" xr:uid="{2702454B-AC90-417A-B4E6-1021B0A56BC9}"/>
    <cellStyle name="Normal 4 2 2 4 2 3 6" xfId="23089" xr:uid="{DE759B16-35D1-44DC-BFF4-D8C2C2A31E68}"/>
    <cellStyle name="Normal 4 2 2 4 2 3 7" xfId="13848" xr:uid="{0ADE618F-B6AE-4C45-95BD-9B1583E34E61}"/>
    <cellStyle name="Normal 4 2 2 4 2 4" xfId="3295" xr:uid="{00000000-0005-0000-0000-000086050000}"/>
    <cellStyle name="Normal 4 2 2 4 2 4 2" xfId="6353" xr:uid="{AAF72A24-F1C6-480B-98DC-4A89960A15A5}"/>
    <cellStyle name="Normal 4 2 2 4 2 4 2 2" xfId="26249" xr:uid="{7442A6A0-3EDD-4480-B062-C50A51984114}"/>
    <cellStyle name="Normal 4 2 2 4 2 4 2 3" xfId="15922" xr:uid="{DA566C5C-2C16-4232-AE10-7BEF4D950917}"/>
    <cellStyle name="Normal 4 2 2 4 2 4 3" xfId="8375" xr:uid="{20768569-174D-40A4-9A7F-25676938BB96}"/>
    <cellStyle name="Normal 4 2 2 4 2 4 3 2" xfId="18755" xr:uid="{20CE6C7A-761A-46D0-96C2-AD0FF85A7D94}"/>
    <cellStyle name="Normal 4 2 2 4 2 4 4" xfId="11208" xr:uid="{DA374353-C8F8-4AE2-8C96-8538D52C51F7}"/>
    <cellStyle name="Normal 4 2 2 4 2 4 4 2" xfId="21588" xr:uid="{CFF0B452-282C-4DD8-9127-B61CE55EEAA7}"/>
    <cellStyle name="Normal 4 2 2 4 2 4 5" xfId="25395" xr:uid="{E892D505-0A99-41BD-8E5A-1F3F82763A3C}"/>
    <cellStyle name="Normal 4 2 2 4 2 4 6" xfId="13846" xr:uid="{06B5F8F0-3CB7-4B3F-9C0A-9D8FF13D20B1}"/>
    <cellStyle name="Normal 4 2 2 4 2 5" xfId="2618" xr:uid="{00000000-0005-0000-0000-000087050000}"/>
    <cellStyle name="Normal 4 2 2 4 2 5 2" xfId="5880" xr:uid="{171A5BF7-BC41-4681-85A6-995E693AE31B}"/>
    <cellStyle name="Normal 4 2 2 4 2 5 2 2" xfId="25852" xr:uid="{BE7B5EEC-EA53-42AF-B95F-D971A9CF9890}"/>
    <cellStyle name="Normal 4 2 2 4 2 5 2 3" xfId="15290" xr:uid="{85F14D3C-8ABE-4C7B-8EB9-96863347B539}"/>
    <cellStyle name="Normal 4 2 2 4 2 5 3" xfId="7743" xr:uid="{26A12828-DFE0-4715-9316-629A4B9DBE36}"/>
    <cellStyle name="Normal 4 2 2 4 2 5 3 2" xfId="18123" xr:uid="{AE099D59-17E4-4E4F-AA29-D90E573E0551}"/>
    <cellStyle name="Normal 4 2 2 4 2 5 4" xfId="10576" xr:uid="{3D7714DE-F127-4500-8005-EFFB419DAD0C}"/>
    <cellStyle name="Normal 4 2 2 4 2 5 4 2" xfId="20956" xr:uid="{38B96024-71F1-4D35-B8AD-4060713747C2}"/>
    <cellStyle name="Normal 4 2 2 4 2 5 5" xfId="25468" xr:uid="{39726886-B996-427D-9878-F32605EC1946}"/>
    <cellStyle name="Normal 4 2 2 4 2 5 6" xfId="13006" xr:uid="{F1E4B336-E499-4981-8108-CA3BBF41F09A}"/>
    <cellStyle name="Normal 4 2 2 4 2 6" xfId="2352" xr:uid="{00000000-0005-0000-0000-000082050000}"/>
    <cellStyle name="Normal 4 2 2 4 2 6 2" xfId="7479" xr:uid="{B1557CEC-49F6-4432-A9B6-3FA38E9ECDD5}"/>
    <cellStyle name="Normal 4 2 2 4 2 6 2 2" xfId="17859" xr:uid="{0E89E44A-523E-472B-943B-FA6A00816B8D}"/>
    <cellStyle name="Normal 4 2 2 4 2 6 3" xfId="10312" xr:uid="{8C71FD11-9122-4445-B3C1-70AB7805FDB4}"/>
    <cellStyle name="Normal 4 2 2 4 2 6 3 2" xfId="20692" xr:uid="{80D63F16-10E5-4DA3-A974-0043DAC15398}"/>
    <cellStyle name="Normal 4 2 2 4 2 6 4" xfId="24883" xr:uid="{3D4B304D-F455-457D-A90B-E2E5A08C7EA4}"/>
    <cellStyle name="Normal 4 2 2 4 2 6 5" xfId="15026" xr:uid="{B669BB6C-6997-4AD8-8732-EA1A33D9B286}"/>
    <cellStyle name="Normal 4 2 2 4 2 7" xfId="3893" xr:uid="{B1EFC525-476C-434F-9E37-E08229CCCE26}"/>
    <cellStyle name="Normal 4 2 2 4 2 7 2" xfId="8725" xr:uid="{FCE14AAF-D21D-4506-9395-355BAD6D8146}"/>
    <cellStyle name="Normal 4 2 2 4 2 7 2 2" xfId="19105" xr:uid="{F27D2E40-C611-4140-9B54-38E2E2EE971B}"/>
    <cellStyle name="Normal 4 2 2 4 2 7 3" xfId="11558" xr:uid="{AA35E4C3-6C6B-47D8-B322-4B463ED45D22}"/>
    <cellStyle name="Normal 4 2 2 4 2 7 3 2" xfId="21938" xr:uid="{23C4568E-9550-4B68-846A-7D11E933FE72}"/>
    <cellStyle name="Normal 4 2 2 4 2 7 4" xfId="16272" xr:uid="{6E29289B-C7EC-4ECC-B39D-909A5086C9CB}"/>
    <cellStyle name="Normal 4 2 2 4 2 8" xfId="5230" xr:uid="{50D16BA2-8008-491C-BC3B-413F344C97FB}"/>
    <cellStyle name="Normal 4 2 2 4 2 8 2" xfId="14528" xr:uid="{4C3EE0CF-CA2D-48BF-95C6-4BF5421807AC}"/>
    <cellStyle name="Normal 4 2 2 4 2 9" xfId="6981" xr:uid="{875A6027-B59C-4A05-9E65-B3598367CBD9}"/>
    <cellStyle name="Normal 4 2 2 4 2 9 2" xfId="17361" xr:uid="{31A635BB-04AE-4C97-823E-027693102A10}"/>
    <cellStyle name="Normal 4 2 2 4 3" xfId="927" xr:uid="{00000000-0005-0000-0000-000051050000}"/>
    <cellStyle name="Normal 4 2 2 4 3 2" xfId="3298" xr:uid="{00000000-0005-0000-0000-000089050000}"/>
    <cellStyle name="Normal 4 2 2 4 3 2 2" xfId="6356" xr:uid="{DB7ED969-706E-4EF0-8AEF-B44F27724A10}"/>
    <cellStyle name="Normal 4 2 2 4 3 2 2 2" xfId="23127" xr:uid="{9FE4B55D-C27F-4451-A7C1-C9A4141F9F8A}"/>
    <cellStyle name="Normal 4 2 2 4 3 2 2 3" xfId="27252" xr:uid="{CA430E71-5522-4843-98CF-6155ACFE8AD5}"/>
    <cellStyle name="Normal 4 2 2 4 3 2 2 4" xfId="15925" xr:uid="{C8B4B23E-964D-45F0-BD2E-16FB4962FA6A}"/>
    <cellStyle name="Normal 4 2 2 4 3 2 3" xfId="8378" xr:uid="{E71EE9B8-8A89-4351-94DC-B421A5A739E6}"/>
    <cellStyle name="Normal 4 2 2 4 3 2 3 2" xfId="28900" xr:uid="{8A9BB08A-E1CA-405D-AAF2-CCC73066E3DE}"/>
    <cellStyle name="Normal 4 2 2 4 3 2 3 3" xfId="18758" xr:uid="{39935B28-D386-4C98-8C09-EB303EB0DF92}"/>
    <cellStyle name="Normal 4 2 2 4 3 2 4" xfId="11211" xr:uid="{2C0893F6-16AC-4C83-9939-1FC44AAE1A9C}"/>
    <cellStyle name="Normal 4 2 2 4 3 2 4 2" xfId="21591" xr:uid="{A416532E-34D5-4011-986D-89B29049DD01}"/>
    <cellStyle name="Normal 4 2 2 4 3 2 5" xfId="23639" xr:uid="{ADB69F83-0DC2-4AB2-A25E-152CDECDF452}"/>
    <cellStyle name="Normal 4 2 2 4 3 2 6" xfId="13849" xr:uid="{A4050B32-F993-42F5-8D2A-3EA26B22D6A8}"/>
    <cellStyle name="Normal 4 2 2 4 3 3" xfId="2768" xr:uid="{00000000-0005-0000-0000-00008A050000}"/>
    <cellStyle name="Normal 4 2 2 4 3 3 2" xfId="5986" xr:uid="{D714554F-13C7-4848-82DA-F99578ED663A}"/>
    <cellStyle name="Normal 4 2 2 4 3 3 2 2" xfId="26168" xr:uid="{4A8A2886-3655-4331-8314-C7D89A290E72}"/>
    <cellStyle name="Normal 4 2 2 4 3 3 2 3" xfId="15439" xr:uid="{BC108CB3-8816-4F88-B024-2E3BE8906A44}"/>
    <cellStyle name="Normal 4 2 2 4 3 3 3" xfId="7892" xr:uid="{F9E1BE4C-D1B0-4252-8D15-CA52ECD0B49B}"/>
    <cellStyle name="Normal 4 2 2 4 3 3 3 2" xfId="18272" xr:uid="{9D3BCCF4-1B4A-4E65-BE42-0D0D7784F0B5}"/>
    <cellStyle name="Normal 4 2 2 4 3 3 4" xfId="10725" xr:uid="{F08D7AC6-7D0D-40B5-9DBE-C91C9CF97BB7}"/>
    <cellStyle name="Normal 4 2 2 4 3 3 4 2" xfId="21105" xr:uid="{8FB6AC6A-4B64-430D-A14E-25FF3B69A30F}"/>
    <cellStyle name="Normal 4 2 2 4 3 3 5" xfId="23730" xr:uid="{CF92C751-6CFD-4CA8-A398-128DAAC974AF}"/>
    <cellStyle name="Normal 4 2 2 4 3 3 6" xfId="13218" xr:uid="{E7F360B1-F7E5-46C2-A001-A68EAD7EDD58}"/>
    <cellStyle name="Normal 4 2 2 4 3 4" xfId="4182" xr:uid="{C41374AA-398E-49B6-93FD-E1A9331CDFBC}"/>
    <cellStyle name="Normal 4 2 2 4 3 4 2" xfId="8954" xr:uid="{2AE103A5-42BD-4788-B14D-BCB8209021C1}"/>
    <cellStyle name="Normal 4 2 2 4 3 4 2 2" xfId="29042" xr:uid="{1A00E0E5-F5CE-451B-9F9A-DA9C7B5273AD}"/>
    <cellStyle name="Normal 4 2 2 4 3 4 2 3" xfId="19334" xr:uid="{110560D6-4830-4636-B47C-84D0AA400F01}"/>
    <cellStyle name="Normal 4 2 2 4 3 4 3" xfId="11787" xr:uid="{4AB957CD-0568-492F-99FA-8AA901196C47}"/>
    <cellStyle name="Normal 4 2 2 4 3 4 3 2" xfId="22167" xr:uid="{959B2846-8940-444B-9242-3D2D882B8289}"/>
    <cellStyle name="Normal 4 2 2 4 3 4 4" xfId="23594" xr:uid="{85AB795E-D515-4FF1-B160-6B8D05B87815}"/>
    <cellStyle name="Normal 4 2 2 4 3 4 5" xfId="16501" xr:uid="{041B70B4-5B7D-41AE-8F55-49F80D50D331}"/>
    <cellStyle name="Normal 4 2 2 4 3 5" xfId="5232" xr:uid="{C79EFE5B-41C6-462D-B4AC-220D9794CBC6}"/>
    <cellStyle name="Normal 4 2 2 4 3 5 2" xfId="28285" xr:uid="{A131D15C-124D-4DEB-BDDF-DD0D370252B0}"/>
    <cellStyle name="Normal 4 2 2 4 3 5 3" xfId="14530" xr:uid="{239FF3B8-81F4-4B1E-8621-980706B91857}"/>
    <cellStyle name="Normal 4 2 2 4 3 6" xfId="6983" xr:uid="{13FAE052-AAAF-4089-9B8C-AC0A9A30A793}"/>
    <cellStyle name="Normal 4 2 2 4 3 6 2" xfId="17363" xr:uid="{798452EE-FFD2-46AE-A248-D50DB1B3F953}"/>
    <cellStyle name="Normal 4 2 2 4 3 7" xfId="9816" xr:uid="{F6094285-A40A-4F54-8464-644AB105B121}"/>
    <cellStyle name="Normal 4 2 2 4 3 7 2" xfId="20196" xr:uid="{E0FCD560-82AA-48F0-8626-A9CDB155C7F6}"/>
    <cellStyle name="Normal 4 2 2 4 3 8" xfId="23928" xr:uid="{B8BD615D-BCC6-44CB-97AB-FCFF8CC4069D}"/>
    <cellStyle name="Normal 4 2 2 4 3 9" xfId="12744" xr:uid="{EF6AB516-E6BA-436B-8008-52FF10DC7C72}"/>
    <cellStyle name="Normal 4 2 2 4 4" xfId="928" xr:uid="{00000000-0005-0000-0000-000052050000}"/>
    <cellStyle name="Normal 4 2 2 4 4 2" xfId="4512" xr:uid="{7F0BAE6F-8248-4C02-BF04-CC0E1E710B11}"/>
    <cellStyle name="Normal 4 2 2 4 4 2 2" xfId="9284" xr:uid="{C5A7C9DC-C510-4E40-89A9-1A786C2F8733}"/>
    <cellStyle name="Normal 4 2 2 4 4 2 2 2" xfId="29265" xr:uid="{9B6D7F25-F703-4899-B377-A6929FFA8706}"/>
    <cellStyle name="Normal 4 2 2 4 4 2 2 3" xfId="19664" xr:uid="{75DA1B32-F879-4F31-9D4A-AE0B31D392BA}"/>
    <cellStyle name="Normal 4 2 2 4 4 2 3" xfId="12117" xr:uid="{90B7D2CC-CB4E-4D61-8F2C-37CD29D6B66B}"/>
    <cellStyle name="Normal 4 2 2 4 4 2 3 2" xfId="22497" xr:uid="{12E16E5C-8897-4BE6-B2B0-329C403E707D}"/>
    <cellStyle name="Normal 4 2 2 4 4 2 4" xfId="25605" xr:uid="{95370623-BF1A-416E-987A-4E99F4F097B5}"/>
    <cellStyle name="Normal 4 2 2 4 4 2 5" xfId="16831" xr:uid="{5AF74597-6190-4DBE-B557-1DC9EE8ABB2C}"/>
    <cellStyle name="Normal 4 2 2 4 4 3" xfId="5233" xr:uid="{DC98DC4E-5DC0-4CF2-B1E2-0640CA7891F1}"/>
    <cellStyle name="Normal 4 2 2 4 4 3 2" xfId="25859" xr:uid="{39A713B4-432B-4920-8061-C58CD61DE077}"/>
    <cellStyle name="Normal 4 2 2 4 4 3 3" xfId="14531" xr:uid="{E125828D-806B-441F-8960-87D5B184F968}"/>
    <cellStyle name="Normal 4 2 2 4 4 4" xfId="6984" xr:uid="{B589063A-5A25-4BE9-873F-199C25D2C403}"/>
    <cellStyle name="Normal 4 2 2 4 4 4 2" xfId="17364" xr:uid="{5DA7FAB8-26C6-4D3C-AD00-27D33ACB7DE0}"/>
    <cellStyle name="Normal 4 2 2 4 4 5" xfId="9817" xr:uid="{5FDF8056-D649-42E6-86D3-515DFA2885AE}"/>
    <cellStyle name="Normal 4 2 2 4 4 5 2" xfId="20197" xr:uid="{9694BB31-BBB1-4DE5-AE33-972C3DB25A66}"/>
    <cellStyle name="Normal 4 2 2 4 4 6" xfId="22923" xr:uid="{38504A9F-730E-4AFE-84EC-6873EF8F377A}"/>
    <cellStyle name="Normal 4 2 2 4 4 7" xfId="13850" xr:uid="{48C4D6CF-5E56-4CE8-BED3-BA3B24319385}"/>
    <cellStyle name="Normal 4 2 2 4 5" xfId="2928" xr:uid="{00000000-0005-0000-0000-00008C050000}"/>
    <cellStyle name="Normal 4 2 2 4 5 2" xfId="6108" xr:uid="{94E986A0-9D03-4141-BAA9-6B86CD95BC63}"/>
    <cellStyle name="Normal 4 2 2 4 5 2 2" xfId="25713" xr:uid="{E5329199-FF78-4B4A-8B5D-D953DEA46CC1}"/>
    <cellStyle name="Normal 4 2 2 4 5 2 3" xfId="27966" xr:uid="{2BA4E496-5583-47CD-A334-E7ADA2E23914}"/>
    <cellStyle name="Normal 4 2 2 4 5 2 4" xfId="15586" xr:uid="{C60D9B1A-07BB-4E09-9939-2FD56421173C}"/>
    <cellStyle name="Normal 4 2 2 4 5 3" xfId="8039" xr:uid="{7DA0102F-5996-450F-A2F8-FD7CA9B9A43A}"/>
    <cellStyle name="Normal 4 2 2 4 5 3 2" xfId="28242" xr:uid="{4B0F276F-F12C-461C-96E8-541A24B9A97B}"/>
    <cellStyle name="Normal 4 2 2 4 5 3 3" xfId="18419" xr:uid="{66C3041F-BB06-46A9-8916-6826EF97BC08}"/>
    <cellStyle name="Normal 4 2 2 4 5 4" xfId="10872" xr:uid="{D17C5C4B-F940-4D53-86D1-51EE1CD3A322}"/>
    <cellStyle name="Normal 4 2 2 4 5 4 2" xfId="21252" xr:uid="{529D701B-8938-44F3-9B41-8B7D3475A218}"/>
    <cellStyle name="Normal 4 2 2 4 5 5" xfId="25271" xr:uid="{89D46EA6-8B48-4DE6-96C0-708E1778CD65}"/>
    <cellStyle name="Normal 4 2 2 4 5 6" xfId="13442" xr:uid="{0433115D-CD86-4F97-9A69-0CD7588BD6CA}"/>
    <cellStyle name="Normal 4 2 2 4 6" xfId="2455" xr:uid="{00000000-0005-0000-0000-00008D050000}"/>
    <cellStyle name="Normal 4 2 2 4 6 2" xfId="5747" xr:uid="{6B248BF3-FE3E-4975-ACF5-E79D0C31AE6B}"/>
    <cellStyle name="Normal 4 2 2 4 6 2 2" xfId="27109" xr:uid="{6D5AABAF-7EA6-482E-A3D3-B00D19E543D5}"/>
    <cellStyle name="Normal 4 2 2 4 6 2 3" xfId="15127" xr:uid="{472856FF-6085-4563-98BB-CE62A8294F52}"/>
    <cellStyle name="Normal 4 2 2 4 6 3" xfId="7580" xr:uid="{F76A5DB4-AE73-4355-9086-9B46F7852BB8}"/>
    <cellStyle name="Normal 4 2 2 4 6 3 2" xfId="17960" xr:uid="{735D299E-C6F1-4BB1-8DDD-5D65C0A2C320}"/>
    <cellStyle name="Normal 4 2 2 4 6 4" xfId="10413" xr:uid="{9021F540-409A-4C40-A5B4-87DF8A106FF3}"/>
    <cellStyle name="Normal 4 2 2 4 6 4 2" xfId="20793" xr:uid="{7220C185-106B-4FC8-9093-434972A947E8}"/>
    <cellStyle name="Normal 4 2 2 4 6 5" xfId="22677" xr:uid="{A71608BB-3685-495F-8A97-BC62EF5BA3EA}"/>
    <cellStyle name="Normal 4 2 2 4 6 6" xfId="12843" xr:uid="{0DD415B8-547E-4632-B007-51AFF8BE85A1}"/>
    <cellStyle name="Normal 4 2 2 4 7" xfId="2209" xr:uid="{00000000-0005-0000-0000-000081050000}"/>
    <cellStyle name="Normal 4 2 2 4 7 2" xfId="7336" xr:uid="{3BF7C5D6-6D70-4BAB-9DE4-9D0AB1537E19}"/>
    <cellStyle name="Normal 4 2 2 4 7 2 2" xfId="17716" xr:uid="{A5A87725-B542-456C-8C24-5938A5086B56}"/>
    <cellStyle name="Normal 4 2 2 4 7 3" xfId="10169" xr:uid="{4DC94CEA-72D3-4462-AEBD-33D0D4D37B08}"/>
    <cellStyle name="Normal 4 2 2 4 7 3 2" xfId="20549" xr:uid="{812DAA69-B456-4A1B-A0AE-237CBC55FE00}"/>
    <cellStyle name="Normal 4 2 2 4 7 4" xfId="25097" xr:uid="{59F58065-4199-4106-9A15-BD2C5391B7B0}"/>
    <cellStyle name="Normal 4 2 2 4 7 5" xfId="14883" xr:uid="{0112D7EC-2D98-4DEC-B91B-F1F848280BB9}"/>
    <cellStyle name="Normal 4 2 2 4 8" xfId="3973" xr:uid="{0ED48F26-5E12-4166-A72C-6C4C5EBBF6E1}"/>
    <cellStyle name="Normal 4 2 2 4 8 2" xfId="8797" xr:uid="{B54FB584-BA06-4EA1-8EA4-E90091879801}"/>
    <cellStyle name="Normal 4 2 2 4 8 2 2" xfId="19177" xr:uid="{43D71011-D7FA-43E6-AE67-38BB7485609A}"/>
    <cellStyle name="Normal 4 2 2 4 8 3" xfId="11630" xr:uid="{768F07F0-1087-4E61-808E-A14C0851C388}"/>
    <cellStyle name="Normal 4 2 2 4 8 3 2" xfId="22010" xr:uid="{46234296-031E-4FFD-AB74-AEB0A33D65BC}"/>
    <cellStyle name="Normal 4 2 2 4 8 4" xfId="16344" xr:uid="{EBCA9866-59FB-4AE0-99FD-11E1A4B490BA}"/>
    <cellStyle name="Normal 4 2 2 4 9" xfId="5229" xr:uid="{141EB3B9-3DBB-46EA-A0E2-EEA3709D310A}"/>
    <cellStyle name="Normal 4 2 2 4 9 2" xfId="14527" xr:uid="{5959E2D1-4D58-4EA5-A4A4-9B85D8ADCB59}"/>
    <cellStyle name="Normal 4 2 2 5" xfId="929" xr:uid="{00000000-0005-0000-0000-000053050000}"/>
    <cellStyle name="Normal 4 2 2 5 10" xfId="9818" xr:uid="{58171749-EBE0-41BC-A70E-179CEEF4D561}"/>
    <cellStyle name="Normal 4 2 2 5 10 2" xfId="20198" xr:uid="{F2D3F1B8-6D2E-44D4-A005-7B245604EB93}"/>
    <cellStyle name="Normal 4 2 2 5 11" xfId="23640" xr:uid="{4F6A9DC8-DC4E-49AC-9523-A707C70EEC77}"/>
    <cellStyle name="Normal 4 2 2 5 12" xfId="12587" xr:uid="{4A902344-3DCA-4B79-8C03-DAFE5EFE6440}"/>
    <cellStyle name="Normal 4 2 2 5 2" xfId="930" xr:uid="{00000000-0005-0000-0000-000054050000}"/>
    <cellStyle name="Normal 4 2 2 5 2 2" xfId="931" xr:uid="{00000000-0005-0000-0000-000055050000}"/>
    <cellStyle name="Normal 4 2 2 5 2 2 2" xfId="5236" xr:uid="{BB2A55E1-3D3F-4778-BABA-3D7670BAE9A7}"/>
    <cellStyle name="Normal 4 2 2 5 2 2 2 2" xfId="24781" xr:uid="{74E8F1D5-1987-43CF-86B6-92E1C1DC5CAE}"/>
    <cellStyle name="Normal 4 2 2 5 2 2 2 3" xfId="27416" xr:uid="{91A993C5-8F2D-4A39-B491-DF055DE86D3F}"/>
    <cellStyle name="Normal 4 2 2 5 2 2 2 4" xfId="14534" xr:uid="{A58CF70A-7684-468F-AF9E-72F91CDEE923}"/>
    <cellStyle name="Normal 4 2 2 5 2 2 3" xfId="6987" xr:uid="{B06B3D5D-2FFD-47A5-9374-E7A749D7EB10}"/>
    <cellStyle name="Normal 4 2 2 5 2 2 3 2" xfId="27618" xr:uid="{686F00C0-92AF-48EF-8F7F-341E1897A390}"/>
    <cellStyle name="Normal 4 2 2 5 2 2 3 3" xfId="27355" xr:uid="{702B176F-70B9-4C22-9475-A180B82C544E}"/>
    <cellStyle name="Normal 4 2 2 5 2 2 3 4" xfId="17367" xr:uid="{7DE463CC-A07F-486F-BB45-A1F85BEC3835}"/>
    <cellStyle name="Normal 4 2 2 5 2 2 4" xfId="9820" xr:uid="{D5FE8D46-57A1-4FC6-9783-A476A8A2C32E}"/>
    <cellStyle name="Normal 4 2 2 5 2 2 4 2" xfId="29414" xr:uid="{68BE820C-826A-4F57-ADEA-F7F33A39BF0A}"/>
    <cellStyle name="Normal 4 2 2 5 2 2 4 3" xfId="20200" xr:uid="{F308CD53-9FA7-4232-AE58-24B2EA28331A}"/>
    <cellStyle name="Normal 4 2 2 5 2 2 5" xfId="24680" xr:uid="{1AB2CD9D-E3DE-4EBE-B49B-256598088DFA}"/>
    <cellStyle name="Normal 4 2 2 5 2 2 6" xfId="13851" xr:uid="{D5346BBC-C88F-434A-BAD1-F6962974956D}"/>
    <cellStyle name="Normal 4 2 2 5 2 3" xfId="2769" xr:uid="{00000000-0005-0000-0000-000091050000}"/>
    <cellStyle name="Normal 4 2 2 5 2 3 2" xfId="5987" xr:uid="{4F79CE1D-FD04-4C1D-A924-F43EB3944698}"/>
    <cellStyle name="Normal 4 2 2 5 2 3 2 2" xfId="27661" xr:uid="{78AB8423-D389-4A4C-AA7F-9649141E7E78}"/>
    <cellStyle name="Normal 4 2 2 5 2 3 2 3" xfId="15440" xr:uid="{531E4F4E-25E5-4752-B345-7AB1E9CE93D1}"/>
    <cellStyle name="Normal 4 2 2 5 2 3 3" xfId="7893" xr:uid="{CF0B3C64-E9A4-45CB-A1FE-9AC51949BCF2}"/>
    <cellStyle name="Normal 4 2 2 5 2 3 3 2" xfId="18273" xr:uid="{2B965257-6DF8-4838-AC3B-96710552853B}"/>
    <cellStyle name="Normal 4 2 2 5 2 3 4" xfId="10726" xr:uid="{9D62CC09-3D0C-4422-B8FC-85CA6C106737}"/>
    <cellStyle name="Normal 4 2 2 5 2 3 4 2" xfId="21106" xr:uid="{BFCBB2F2-3BD5-4435-B291-1D9922CF1C77}"/>
    <cellStyle name="Normal 4 2 2 5 2 3 5" xfId="24431" xr:uid="{B81F789B-A9FC-42A8-8330-5722F5ED092D}"/>
    <cellStyle name="Normal 4 2 2 5 2 3 6" xfId="13220" xr:uid="{0AE12896-55C9-400E-B3AD-39B52619F1E1}"/>
    <cellStyle name="Normal 4 2 2 5 2 4" xfId="4183" xr:uid="{C65CDB0D-6C14-4C4C-87D1-96C498932E52}"/>
    <cellStyle name="Normal 4 2 2 5 2 4 2" xfId="8955" xr:uid="{AEBCDB12-132A-452C-88C9-3FC1C24CFE4E}"/>
    <cellStyle name="Normal 4 2 2 5 2 4 2 2" xfId="29043" xr:uid="{26AD6E36-E1A2-433D-A82E-BC36F2F67C15}"/>
    <cellStyle name="Normal 4 2 2 5 2 4 2 3" xfId="19335" xr:uid="{C7C432BD-09CF-4123-8F42-D072425FBBA1}"/>
    <cellStyle name="Normal 4 2 2 5 2 4 3" xfId="11788" xr:uid="{A55D2D27-6739-4D76-82E6-630FED310E41}"/>
    <cellStyle name="Normal 4 2 2 5 2 4 3 2" xfId="22168" xr:uid="{321A2C97-4639-4556-BBDC-487AF3689163}"/>
    <cellStyle name="Normal 4 2 2 5 2 4 4" xfId="25059" xr:uid="{1F29A50C-4EA9-4D04-AC66-CEF83CD20367}"/>
    <cellStyle name="Normal 4 2 2 5 2 4 5" xfId="16502" xr:uid="{440D7215-C38F-4516-A4CE-2A597E91CD6C}"/>
    <cellStyle name="Normal 4 2 2 5 2 5" xfId="5235" xr:uid="{5B25C12D-A192-48CA-AC6B-FE90824957C4}"/>
    <cellStyle name="Normal 4 2 2 5 2 5 2" xfId="26477" xr:uid="{783D4596-487B-4E3C-BB7C-A9BBBD3AC4AA}"/>
    <cellStyle name="Normal 4 2 2 5 2 5 3" xfId="14533" xr:uid="{3D001904-949B-4072-A028-E4CB6746FFCE}"/>
    <cellStyle name="Normal 4 2 2 5 2 6" xfId="6986" xr:uid="{45EC6BC5-5E6F-4537-B521-428A8AFBB9A5}"/>
    <cellStyle name="Normal 4 2 2 5 2 6 2" xfId="17366" xr:uid="{862A1209-6E22-4B39-845A-AFB905B8255E}"/>
    <cellStyle name="Normal 4 2 2 5 2 7" xfId="9819" xr:uid="{AAC5116F-CB34-4B2F-8E39-FFF7ED7A0A97}"/>
    <cellStyle name="Normal 4 2 2 5 2 7 2" xfId="20199" xr:uid="{7412C043-D4CC-480B-86F4-33890837420C}"/>
    <cellStyle name="Normal 4 2 2 5 2 8" xfId="24651" xr:uid="{88F5A006-EB78-4F59-BF5B-E07823D4D7C3}"/>
    <cellStyle name="Normal 4 2 2 5 2 9" xfId="12745" xr:uid="{431D2F21-2C4D-4F5F-BA8F-7DD2E2FAB5CD}"/>
    <cellStyle name="Normal 4 2 2 5 3" xfId="932" xr:uid="{00000000-0005-0000-0000-000056050000}"/>
    <cellStyle name="Normal 4 2 2 5 3 2" xfId="4513" xr:uid="{E049B8BE-D8B3-4C11-B71A-CECFADEA9B46}"/>
    <cellStyle name="Normal 4 2 2 5 3 2 2" xfId="9285" xr:uid="{59266FD9-2CBC-409D-BE2A-DADD88089D21}"/>
    <cellStyle name="Normal 4 2 2 5 3 2 2 2" xfId="29266" xr:uid="{8F65F3E8-198E-4DC9-B2F5-2F429F94C8C2}"/>
    <cellStyle name="Normal 4 2 2 5 3 2 2 3" xfId="19665" xr:uid="{171404A7-91D5-4668-BD99-3D813849E06B}"/>
    <cellStyle name="Normal 4 2 2 5 3 2 3" xfId="12118" xr:uid="{729A547F-B580-400E-A1FF-6F5B18CD426C}"/>
    <cellStyle name="Normal 4 2 2 5 3 2 3 2" xfId="22498" xr:uid="{0D8505EA-1315-4A5E-B875-2CCF2ABF7183}"/>
    <cellStyle name="Normal 4 2 2 5 3 2 4" xfId="23438" xr:uid="{05B6868B-10CB-4611-8174-C49205B1C086}"/>
    <cellStyle name="Normal 4 2 2 5 3 2 5" xfId="16832" xr:uid="{04DF7987-3D04-4196-95B7-14D3FE0348E2}"/>
    <cellStyle name="Normal 4 2 2 5 3 3" xfId="5237" xr:uid="{D0DC0D79-6B0D-42F4-8359-B63BD6B67808}"/>
    <cellStyle name="Normal 4 2 2 5 3 3 2" xfId="23030" xr:uid="{6C72D273-C781-4929-9BDC-EC14BA3726CA}"/>
    <cellStyle name="Normal 4 2 2 5 3 3 3" xfId="27283" xr:uid="{FEC6DF22-1838-4905-B289-846F6F736681}"/>
    <cellStyle name="Normal 4 2 2 5 3 3 4" xfId="14535" xr:uid="{9362DCF5-4498-4EE8-8D1C-A467273DD596}"/>
    <cellStyle name="Normal 4 2 2 5 3 4" xfId="6988" xr:uid="{901345E2-1587-469C-939D-B36370FF6A42}"/>
    <cellStyle name="Normal 4 2 2 5 3 4 2" xfId="25626" xr:uid="{3D7F0D0C-9321-4763-AD34-9EF0AE3FF06C}"/>
    <cellStyle name="Normal 4 2 2 5 3 4 3" xfId="28581" xr:uid="{63F75DC7-B827-4F4B-831E-0EB2CFD23B86}"/>
    <cellStyle name="Normal 4 2 2 5 3 4 4" xfId="17368" xr:uid="{8DCB8E37-B49A-46AC-82EB-538434DD6566}"/>
    <cellStyle name="Normal 4 2 2 5 3 5" xfId="9821" xr:uid="{22B8E61A-940A-44EF-A67B-1FEF8E888503}"/>
    <cellStyle name="Normal 4 2 2 5 3 5 2" xfId="29415" xr:uid="{8E69B30C-E9F1-4BF1-A24F-F3AC703D1500}"/>
    <cellStyle name="Normal 4 2 2 5 3 5 3" xfId="20201" xr:uid="{AC92B244-EF5E-4695-B110-FEA706E96ED0}"/>
    <cellStyle name="Normal 4 2 2 5 3 6" xfId="23037" xr:uid="{B1C54EFA-4EE1-4FC3-8C1B-3F4ED1734102}"/>
    <cellStyle name="Normal 4 2 2 5 3 7" xfId="13852" xr:uid="{BAFA886D-9DEC-4C30-B41C-4298CE465B14}"/>
    <cellStyle name="Normal 4 2 2 5 4" xfId="933" xr:uid="{00000000-0005-0000-0000-000057050000}"/>
    <cellStyle name="Normal 4 2 2 5 4 2" xfId="5238" xr:uid="{FBF7B6F4-DCA5-464C-A60C-8751E1E408E9}"/>
    <cellStyle name="Normal 4 2 2 5 4 2 2" xfId="24704" xr:uid="{C7485AA5-B669-4551-9315-FC080ED8CFEA}"/>
    <cellStyle name="Normal 4 2 2 5 4 2 3" xfId="26234" xr:uid="{6AD5F11A-EA59-4309-8090-DC567E72943C}"/>
    <cellStyle name="Normal 4 2 2 5 4 2 4" xfId="14536" xr:uid="{7ECE356E-313B-42CB-A1D3-FCC2375DFF9A}"/>
    <cellStyle name="Normal 4 2 2 5 4 3" xfId="6989" xr:uid="{E84AAD02-12D7-498D-988A-7DE82B4F9F15}"/>
    <cellStyle name="Normal 4 2 2 5 4 3 2" xfId="27046" xr:uid="{699BE569-BFB6-4A74-9F07-4D458083C0BC}"/>
    <cellStyle name="Normal 4 2 2 5 4 3 3" xfId="17369" xr:uid="{A1361F66-D4AA-4CF8-9DAD-7AD2D9E3D438}"/>
    <cellStyle name="Normal 4 2 2 5 4 4" xfId="9822" xr:uid="{BE39222B-A1CF-424C-B8B8-0E83D50105AB}"/>
    <cellStyle name="Normal 4 2 2 5 4 4 2" xfId="20202" xr:uid="{E020F430-1093-46F8-9E00-662975A4E683}"/>
    <cellStyle name="Normal 4 2 2 5 4 5" xfId="24316" xr:uid="{31FBF425-6E7C-4A0E-B0B8-02059FDD6E19}"/>
    <cellStyle name="Normal 4 2 2 5 4 6" xfId="13443" xr:uid="{1695C9F3-8203-4C46-A191-BA26B2A9EFE9}"/>
    <cellStyle name="Normal 4 2 2 5 5" xfId="2515" xr:uid="{00000000-0005-0000-0000-000094050000}"/>
    <cellStyle name="Normal 4 2 2 5 5 2" xfId="5793" xr:uid="{77BAEC64-5E37-4042-98C2-8298A57D0226}"/>
    <cellStyle name="Normal 4 2 2 5 5 2 2" xfId="27530" xr:uid="{AD85F3C9-B223-4255-90FB-AD6300F365A0}"/>
    <cellStyle name="Normal 4 2 2 5 5 2 3" xfId="15187" xr:uid="{3C121F72-D4F8-4D10-8449-508995BBCF3A}"/>
    <cellStyle name="Normal 4 2 2 5 5 3" xfId="7640" xr:uid="{F8DB22E3-7B6D-4144-802D-7AA035B0A0EE}"/>
    <cellStyle name="Normal 4 2 2 5 5 3 2" xfId="18020" xr:uid="{A4DF8C86-0048-4F64-8F80-FAD5B89C41FF}"/>
    <cellStyle name="Normal 4 2 2 5 5 4" xfId="10473" xr:uid="{8C3DC2F1-19B5-4410-B4B5-C002ABC268E2}"/>
    <cellStyle name="Normal 4 2 2 5 5 4 2" xfId="20853" xr:uid="{CF407E97-4759-4A15-ABD7-8BBA39E492D5}"/>
    <cellStyle name="Normal 4 2 2 5 5 5" xfId="24482" xr:uid="{8D7EE892-8887-495A-A9A0-AD53852F641B}"/>
    <cellStyle name="Normal 4 2 2 5 5 6" xfId="12903" xr:uid="{D6A48E63-4E4B-45EA-A18E-8440363B7741}"/>
    <cellStyle name="Normal 4 2 2 5 6" xfId="2353" xr:uid="{00000000-0005-0000-0000-00008E050000}"/>
    <cellStyle name="Normal 4 2 2 5 6 2" xfId="7480" xr:uid="{DB22DD5E-9B79-40A0-9C8D-3FA9C2E3A5B5}"/>
    <cellStyle name="Normal 4 2 2 5 6 2 2" xfId="28093" xr:uid="{71BE59F2-93C1-40BC-814A-90D10CD9E6F6}"/>
    <cellStyle name="Normal 4 2 2 5 6 2 3" xfId="17860" xr:uid="{F9370712-E4E1-4873-B0F5-71AD2E79E593}"/>
    <cellStyle name="Normal 4 2 2 5 6 3" xfId="10313" xr:uid="{EFD862F5-19BF-4263-BCA2-5A933F86B82B}"/>
    <cellStyle name="Normal 4 2 2 5 6 3 2" xfId="20693" xr:uid="{41724785-511B-42F5-800E-97FAF9D83914}"/>
    <cellStyle name="Normal 4 2 2 5 6 4" xfId="23718" xr:uid="{D1BE1319-0532-4686-98EF-6512B4ADDEDD}"/>
    <cellStyle name="Normal 4 2 2 5 6 5" xfId="15027" xr:uid="{7E22B584-62AC-47F9-A90D-CB5E498CB451}"/>
    <cellStyle name="Normal 4 2 2 5 7" xfId="3974" xr:uid="{C4ACFCEF-14B3-40AE-ABFF-B000279843F1}"/>
    <cellStyle name="Normal 4 2 2 5 7 2" xfId="8798" xr:uid="{C5D84EDB-E9B5-4072-9365-B9F8F88EE448}"/>
    <cellStyle name="Normal 4 2 2 5 7 2 2" xfId="19178" xr:uid="{9E213812-8C20-4C0B-BA78-7AFC9E58DEB3}"/>
    <cellStyle name="Normal 4 2 2 5 7 3" xfId="11631" xr:uid="{C23ADEDA-2837-47F1-9E98-FDE60199FEC2}"/>
    <cellStyle name="Normal 4 2 2 5 7 3 2" xfId="22011" xr:uid="{2254D8D2-FDA5-4C97-B63B-61350D6E97E8}"/>
    <cellStyle name="Normal 4 2 2 5 7 4" xfId="28328" xr:uid="{9E80C560-B7C3-4DF8-8EF7-1A19A15D5A9C}"/>
    <cellStyle name="Normal 4 2 2 5 7 5" xfId="16345" xr:uid="{4A3E1B43-F1F0-4F84-A199-892F3592355D}"/>
    <cellStyle name="Normal 4 2 2 5 8" xfId="5234" xr:uid="{99EDCC47-7759-4792-8EE3-30957819F237}"/>
    <cellStyle name="Normal 4 2 2 5 8 2" xfId="14532" xr:uid="{05C04DB2-3738-498B-8248-64DBEBF26A1B}"/>
    <cellStyle name="Normal 4 2 2 5 9" xfId="6985" xr:uid="{7234C7C5-2619-42B4-9EBE-929194430821}"/>
    <cellStyle name="Normal 4 2 2 5 9 2" xfId="17365" xr:uid="{5C19578B-13BB-4230-930C-8CB16E58F99E}"/>
    <cellStyle name="Normal 4 2 2 6" xfId="934" xr:uid="{00000000-0005-0000-0000-000058050000}"/>
    <cellStyle name="Normal 4 2 2 6 10" xfId="9823" xr:uid="{2561D18D-4E72-4AE6-AA97-22DF5CAF4D20}"/>
    <cellStyle name="Normal 4 2 2 6 10 2" xfId="20203" xr:uid="{DD89E622-D3D6-4B3E-B7AD-5A25DA26FF2A}"/>
    <cellStyle name="Normal 4 2 2 6 11" xfId="23591" xr:uid="{11A9B7DB-80B6-4EA4-A830-7E6CBC498292}"/>
    <cellStyle name="Normal 4 2 2 6 12" xfId="12588" xr:uid="{E2F84217-4F6D-4768-A087-B3CEB335A4E4}"/>
    <cellStyle name="Normal 4 2 2 6 2" xfId="935" xr:uid="{00000000-0005-0000-0000-000059050000}"/>
    <cellStyle name="Normal 4 2 2 6 2 2" xfId="936" xr:uid="{00000000-0005-0000-0000-00005A050000}"/>
    <cellStyle name="Normal 4 2 2 6 2 2 2" xfId="5241" xr:uid="{6F5B2623-C032-414D-8BC1-BDCFC1F6835C}"/>
    <cellStyle name="Normal 4 2 2 6 2 2 2 2" xfId="22744" xr:uid="{09CD513C-488E-4419-97B1-B67AF03D62BA}"/>
    <cellStyle name="Normal 4 2 2 6 2 2 2 3" xfId="27581" xr:uid="{DFB8FFD9-D5C8-4DA4-8614-F96625D45145}"/>
    <cellStyle name="Normal 4 2 2 6 2 2 2 4" xfId="14539" xr:uid="{A5EF2391-BEAF-477E-8940-36D03BE1E800}"/>
    <cellStyle name="Normal 4 2 2 6 2 2 3" xfId="6992" xr:uid="{95F4974A-894F-4860-8699-13AB1BEB70AB}"/>
    <cellStyle name="Normal 4 2 2 6 2 2 3 2" xfId="27619" xr:uid="{ED699511-B2B0-4ECF-BFA3-495CB59F5F4E}"/>
    <cellStyle name="Normal 4 2 2 6 2 2 3 3" xfId="26661" xr:uid="{EF9AA21E-2E22-4858-8F3D-7B1CA787E389}"/>
    <cellStyle name="Normal 4 2 2 6 2 2 3 4" xfId="17372" xr:uid="{5F93B48C-62FE-4CC8-ADE3-9E2B782D49B9}"/>
    <cellStyle name="Normal 4 2 2 6 2 2 4" xfId="9825" xr:uid="{1D8DD49B-3C79-41E4-9C8F-9484788576C5}"/>
    <cellStyle name="Normal 4 2 2 6 2 2 4 2" xfId="29416" xr:uid="{CCD0D234-5A2B-4730-A0F9-0150433F8D5E}"/>
    <cellStyle name="Normal 4 2 2 6 2 2 4 3" xfId="20205" xr:uid="{C31C3F99-CC06-43B0-A424-4AF2C4049761}"/>
    <cellStyle name="Normal 4 2 2 6 2 2 5" xfId="24362" xr:uid="{4C68074B-E687-4033-8FEB-9F77E550AE00}"/>
    <cellStyle name="Normal 4 2 2 6 2 2 6" xfId="13853" xr:uid="{DAA0A645-9EEE-48A8-AF04-A76D1DCAD4DD}"/>
    <cellStyle name="Normal 4 2 2 6 2 3" xfId="2770" xr:uid="{00000000-0005-0000-0000-000098050000}"/>
    <cellStyle name="Normal 4 2 2 6 2 3 2" xfId="5988" xr:uid="{77158A41-DC44-4BAC-82C0-46E3F59185DA}"/>
    <cellStyle name="Normal 4 2 2 6 2 3 2 2" xfId="26908" xr:uid="{B6EF9791-E7B2-44FD-ACE6-D90AB1367990}"/>
    <cellStyle name="Normal 4 2 2 6 2 3 2 3" xfId="15441" xr:uid="{3320EA68-7558-45B0-AFEC-B1ADC52F4049}"/>
    <cellStyle name="Normal 4 2 2 6 2 3 3" xfId="7894" xr:uid="{44AC1D0C-A867-43BA-A801-5D1DFE078152}"/>
    <cellStyle name="Normal 4 2 2 6 2 3 3 2" xfId="18274" xr:uid="{8879CEAB-EFBF-4490-9446-1A37C0675D06}"/>
    <cellStyle name="Normal 4 2 2 6 2 3 4" xfId="10727" xr:uid="{FC74A597-35EC-4AFA-97DC-58E59BEF5AB2}"/>
    <cellStyle name="Normal 4 2 2 6 2 3 4 2" xfId="21107" xr:uid="{6F74B78A-DFE0-4366-8219-445536C6F776}"/>
    <cellStyle name="Normal 4 2 2 6 2 3 5" xfId="25359" xr:uid="{5DD0AF5D-8B3F-444E-AA6A-9DCDDE37FF46}"/>
    <cellStyle name="Normal 4 2 2 6 2 3 6" xfId="13221" xr:uid="{9A48E49D-3543-4A53-84C3-D924CEF31E0D}"/>
    <cellStyle name="Normal 4 2 2 6 2 4" xfId="4184" xr:uid="{4A600C20-B7B2-4CC1-8893-32A614127785}"/>
    <cellStyle name="Normal 4 2 2 6 2 4 2" xfId="8956" xr:uid="{EA0D9F9D-E07C-4CB9-BE3E-87351E77F228}"/>
    <cellStyle name="Normal 4 2 2 6 2 4 2 2" xfId="29044" xr:uid="{2DBA315C-5C30-47D3-A2FB-DEF876A68A13}"/>
    <cellStyle name="Normal 4 2 2 6 2 4 2 3" xfId="19336" xr:uid="{975FDC66-83DC-45C1-BC2E-40F9A9AC5561}"/>
    <cellStyle name="Normal 4 2 2 6 2 4 3" xfId="11789" xr:uid="{CA5CD5B8-C598-4FC7-9B17-45027E2B06BD}"/>
    <cellStyle name="Normal 4 2 2 6 2 4 3 2" xfId="22169" xr:uid="{A0187298-99B6-4651-BD1A-6C1C79138CB1}"/>
    <cellStyle name="Normal 4 2 2 6 2 4 4" xfId="23965" xr:uid="{388895BE-FD39-4AF5-B105-8FDC92A42E0B}"/>
    <cellStyle name="Normal 4 2 2 6 2 4 5" xfId="16503" xr:uid="{C5169F37-8B69-4859-8714-687CB20A635B}"/>
    <cellStyle name="Normal 4 2 2 6 2 5" xfId="5240" xr:uid="{662E116E-9EC3-4A06-979B-4EFE42AE6890}"/>
    <cellStyle name="Normal 4 2 2 6 2 5 2" xfId="28373" xr:uid="{70454BAD-28A9-4101-AE6B-D9ED288DDA2B}"/>
    <cellStyle name="Normal 4 2 2 6 2 5 3" xfId="14538" xr:uid="{5187D604-5B23-4136-BC05-65A19767659B}"/>
    <cellStyle name="Normal 4 2 2 6 2 6" xfId="6991" xr:uid="{FF310834-285A-481B-9925-936D55C32865}"/>
    <cellStyle name="Normal 4 2 2 6 2 6 2" xfId="17371" xr:uid="{3DB2F12C-026A-4A45-B982-D32BF14048DC}"/>
    <cellStyle name="Normal 4 2 2 6 2 7" xfId="9824" xr:uid="{ECA44F94-06E9-4180-9BDD-88E77CCD4115}"/>
    <cellStyle name="Normal 4 2 2 6 2 7 2" xfId="20204" xr:uid="{E0440E39-4A6D-45F4-8B3C-3D4577E20CFE}"/>
    <cellStyle name="Normal 4 2 2 6 2 8" xfId="22933" xr:uid="{1FA73B3E-1D31-499C-8A57-0C8195DC023A}"/>
    <cellStyle name="Normal 4 2 2 6 2 9" xfId="12746" xr:uid="{F073804B-386A-4A13-9194-C1CB16759E4B}"/>
    <cellStyle name="Normal 4 2 2 6 3" xfId="937" xr:uid="{00000000-0005-0000-0000-00005B050000}"/>
    <cellStyle name="Normal 4 2 2 6 3 2" xfId="4514" xr:uid="{3C535D30-4F3D-46CB-AFA7-72D4C11D4890}"/>
    <cellStyle name="Normal 4 2 2 6 3 2 2" xfId="9286" xr:uid="{9A792B1F-E3F2-44F4-BC2C-B5A5BE9CC4A8}"/>
    <cellStyle name="Normal 4 2 2 6 3 2 2 2" xfId="29267" xr:uid="{8CF39A1A-A244-4345-BA53-8293D37B0FDB}"/>
    <cellStyle name="Normal 4 2 2 6 3 2 2 3" xfId="19666" xr:uid="{2A9B5CC3-3017-488E-97D0-098DAD78554D}"/>
    <cellStyle name="Normal 4 2 2 6 3 2 3" xfId="12119" xr:uid="{1A834563-6AB8-48AC-BECC-0CB2AF0093DD}"/>
    <cellStyle name="Normal 4 2 2 6 3 2 3 2" xfId="22499" xr:uid="{7C83541A-4FC0-4BB7-82C5-06FE99E97000}"/>
    <cellStyle name="Normal 4 2 2 6 3 2 4" xfId="24963" xr:uid="{F3290EC6-C128-4396-83B4-C190E6F07075}"/>
    <cellStyle name="Normal 4 2 2 6 3 2 5" xfId="16833" xr:uid="{2607B29E-3790-41F8-B887-50EC8B36D73A}"/>
    <cellStyle name="Normal 4 2 2 6 3 3" xfId="5242" xr:uid="{90D8FC7C-E81B-4DA4-BA7F-0935FFDDE95B}"/>
    <cellStyle name="Normal 4 2 2 6 3 3 2" xfId="26823" xr:uid="{4FF99E2A-6C61-4C03-ACCE-44D4D0A6E67D}"/>
    <cellStyle name="Normal 4 2 2 6 3 3 3" xfId="27487" xr:uid="{2C8E640E-2B5A-4837-A3E7-41231A33D013}"/>
    <cellStyle name="Normal 4 2 2 6 3 3 4" xfId="14540" xr:uid="{AE953FB9-649F-4C31-9347-AD2DA4997FA0}"/>
    <cellStyle name="Normal 4 2 2 6 3 4" xfId="6993" xr:uid="{3C5B5C16-8376-49F8-B0CB-5AB1F34D0DFB}"/>
    <cellStyle name="Normal 4 2 2 6 3 4 2" xfId="27286" xr:uid="{3980CFEC-2FE6-4C5C-BED4-9B7570AFD8E2}"/>
    <cellStyle name="Normal 4 2 2 6 3 4 3" xfId="27273" xr:uid="{862D206E-6C31-4D59-A121-52856B57CFD7}"/>
    <cellStyle name="Normal 4 2 2 6 3 4 4" xfId="17373" xr:uid="{550094BF-19E4-4FD0-8B2B-5979CB7F0FF3}"/>
    <cellStyle name="Normal 4 2 2 6 3 5" xfId="9826" xr:uid="{CEB9C7F4-F0A1-4722-B955-5F2C1D176CBB}"/>
    <cellStyle name="Normal 4 2 2 6 3 5 2" xfId="29417" xr:uid="{26618566-766D-4872-8583-5618A3E842C7}"/>
    <cellStyle name="Normal 4 2 2 6 3 5 3" xfId="20206" xr:uid="{B3B95895-399D-4E1D-BF34-EA2962EEC19E}"/>
    <cellStyle name="Normal 4 2 2 6 3 6" xfId="24231" xr:uid="{514BFD68-60B8-4E2A-BEBA-EB6872B3289A}"/>
    <cellStyle name="Normal 4 2 2 6 3 7" xfId="13854" xr:uid="{5C8A8026-B8CF-48C7-B291-F159243D9733}"/>
    <cellStyle name="Normal 4 2 2 6 4" xfId="938" xr:uid="{00000000-0005-0000-0000-00005C050000}"/>
    <cellStyle name="Normal 4 2 2 6 4 2" xfId="5243" xr:uid="{8B7500D1-1045-40FB-A876-21499B7F35D7}"/>
    <cellStyle name="Normal 4 2 2 6 4 2 2" xfId="23327" xr:uid="{9F3982A5-F9A4-42BF-94FD-1144EC865199}"/>
    <cellStyle name="Normal 4 2 2 6 4 2 3" xfId="26271" xr:uid="{0A351F3D-29E9-459A-BE2F-2BDA2C34C3E0}"/>
    <cellStyle name="Normal 4 2 2 6 4 2 4" xfId="14541" xr:uid="{E29ABD2C-8DF0-401D-B148-402D0B0DBC6B}"/>
    <cellStyle name="Normal 4 2 2 6 4 3" xfId="6994" xr:uid="{4F566D0D-B754-4C10-8F65-41EB9DAD07DA}"/>
    <cellStyle name="Normal 4 2 2 6 4 3 2" xfId="27220" xr:uid="{A972ADBB-CA94-4267-9428-02104DFCED14}"/>
    <cellStyle name="Normal 4 2 2 6 4 3 3" xfId="17374" xr:uid="{F7CBC127-F930-4B83-8A23-AF06F29B60B2}"/>
    <cellStyle name="Normal 4 2 2 6 4 4" xfId="9827" xr:uid="{EA920DFB-FD30-4FB8-BCE4-997A3CE84931}"/>
    <cellStyle name="Normal 4 2 2 6 4 4 2" xfId="20207" xr:uid="{FAE1C70A-5106-450B-8D57-D90B25E4D0FB}"/>
    <cellStyle name="Normal 4 2 2 6 4 5" xfId="23583" xr:uid="{ECD4C5CC-E49D-4568-8896-C362906263EC}"/>
    <cellStyle name="Normal 4 2 2 6 4 6" xfId="13444" xr:uid="{6CB2BAB9-19E6-4059-BDB0-2427D88FA990}"/>
    <cellStyle name="Normal 4 2 2 6 5" xfId="2578" xr:uid="{00000000-0005-0000-0000-00009B050000}"/>
    <cellStyle name="Normal 4 2 2 6 5 2" xfId="5843" xr:uid="{BB13DED3-5EA3-43B9-963D-8ACB59D162CF}"/>
    <cellStyle name="Normal 4 2 2 6 5 2 2" xfId="26840" xr:uid="{437FD476-A855-46B3-934E-248641D8A05B}"/>
    <cellStyle name="Normal 4 2 2 6 5 2 3" xfId="15250" xr:uid="{693E8A13-DBC6-4777-94D9-DF3033BB3255}"/>
    <cellStyle name="Normal 4 2 2 6 5 3" xfId="7703" xr:uid="{D062841D-12D1-4B74-8218-F4536D4677E6}"/>
    <cellStyle name="Normal 4 2 2 6 5 3 2" xfId="18083" xr:uid="{F8220E91-E151-48CE-B448-569CB90D494F}"/>
    <cellStyle name="Normal 4 2 2 6 5 4" xfId="10536" xr:uid="{DD7E7BC7-C813-4AA2-801A-51231DD1A7A6}"/>
    <cellStyle name="Normal 4 2 2 6 5 4 2" xfId="20916" xr:uid="{16A8D1CD-5EC0-4376-BDD5-9CC83AA89412}"/>
    <cellStyle name="Normal 4 2 2 6 5 5" xfId="24971" xr:uid="{6D93BF68-17F3-41CB-9DDA-E8C0E8DEE6BD}"/>
    <cellStyle name="Normal 4 2 2 6 5 6" xfId="12966" xr:uid="{1B54A201-D8DB-4CA1-9906-E4EF9C822C61}"/>
    <cellStyle name="Normal 4 2 2 6 6" xfId="2354" xr:uid="{00000000-0005-0000-0000-000095050000}"/>
    <cellStyle name="Normal 4 2 2 6 6 2" xfId="7481" xr:uid="{FAEF91AF-9211-4435-A837-B87E36160B8C}"/>
    <cellStyle name="Normal 4 2 2 6 6 2 2" xfId="26931" xr:uid="{5B19A4BC-3F78-4EE6-8F92-C8895AE3E6EA}"/>
    <cellStyle name="Normal 4 2 2 6 6 2 3" xfId="17861" xr:uid="{5525B37D-CB38-447D-85B6-6EE5E847F0DC}"/>
    <cellStyle name="Normal 4 2 2 6 6 3" xfId="10314" xr:uid="{DA2AEF52-F208-4F89-A091-302F21486427}"/>
    <cellStyle name="Normal 4 2 2 6 6 3 2" xfId="20694" xr:uid="{B4B6196F-62E2-4FDD-996A-245C9E1D4C98}"/>
    <cellStyle name="Normal 4 2 2 6 6 4" xfId="23032" xr:uid="{09ED6ABB-BDED-4F80-B8BB-8E7246681CA1}"/>
    <cellStyle name="Normal 4 2 2 6 6 5" xfId="15028" xr:uid="{C22F411D-7C67-4A71-B13B-8EE2229526A0}"/>
    <cellStyle name="Normal 4 2 2 6 7" xfId="3975" xr:uid="{3C44D71E-0ED7-4B64-B21F-FB171EDB30F8}"/>
    <cellStyle name="Normal 4 2 2 6 7 2" xfId="8799" xr:uid="{CDB8CAFA-399C-4118-97FE-5516055D49DA}"/>
    <cellStyle name="Normal 4 2 2 6 7 2 2" xfId="19179" xr:uid="{285168F4-5223-4535-A0CE-271C75819637}"/>
    <cellStyle name="Normal 4 2 2 6 7 3" xfId="11632" xr:uid="{A488E30D-91C2-44D5-AB3E-7785E8398C46}"/>
    <cellStyle name="Normal 4 2 2 6 7 3 2" xfId="22012" xr:uid="{F707871D-780D-4C95-B221-B241EF4E1839}"/>
    <cellStyle name="Normal 4 2 2 6 7 4" xfId="27576" xr:uid="{36575FDE-8F80-4BA2-AC5B-6CB7E45CBDEC}"/>
    <cellStyle name="Normal 4 2 2 6 7 5" xfId="16346" xr:uid="{AFC830DC-84AB-4ED2-BEE4-C2ADF3452D36}"/>
    <cellStyle name="Normal 4 2 2 6 8" xfId="5239" xr:uid="{5BDB20EC-E8E3-44DF-84B7-9AFAC17D679F}"/>
    <cellStyle name="Normal 4 2 2 6 8 2" xfId="14537" xr:uid="{7843AA79-BD79-4A07-84FF-0BAB2ADCF180}"/>
    <cellStyle name="Normal 4 2 2 6 9" xfId="6990" xr:uid="{7A743304-F793-4464-8858-A840A2C99EAD}"/>
    <cellStyle name="Normal 4 2 2 6 9 2" xfId="17370" xr:uid="{2C470E94-78DF-49F4-ADD7-DE0028853463}"/>
    <cellStyle name="Normal 4 2 2 7" xfId="939" xr:uid="{00000000-0005-0000-0000-00005D050000}"/>
    <cellStyle name="Normal 4 2 2 7 10" xfId="12589" xr:uid="{F487EBE3-2457-4BE7-A555-B738C8F4B1CC}"/>
    <cellStyle name="Normal 4 2 2 7 2" xfId="940" xr:uid="{00000000-0005-0000-0000-00005E050000}"/>
    <cellStyle name="Normal 4 2 2 7 2 2" xfId="2929" xr:uid="{00000000-0005-0000-0000-00009E050000}"/>
    <cellStyle name="Normal 4 2 2 7 2 2 2" xfId="6109" xr:uid="{57C0A4CB-A731-4894-954B-67C4835C67DD}"/>
    <cellStyle name="Normal 4 2 2 7 2 2 2 2" xfId="28551" xr:uid="{00EB9B60-60AE-47DF-87FC-A929CF3ECBC9}"/>
    <cellStyle name="Normal 4 2 2 7 2 2 2 3" xfId="28560" xr:uid="{0D04EC90-A42A-42BA-BEC8-C572A8A71233}"/>
    <cellStyle name="Normal 4 2 2 7 2 2 2 4" xfId="15587" xr:uid="{989D8687-E2BC-414E-B06B-B1EEA33901DE}"/>
    <cellStyle name="Normal 4 2 2 7 2 2 3" xfId="8040" xr:uid="{E11D03F5-4B64-441A-B3A8-AF846F4FD19D}"/>
    <cellStyle name="Normal 4 2 2 7 2 2 3 2" xfId="28546" xr:uid="{B1383DD4-151F-44B8-845C-866CCE70ABA6}"/>
    <cellStyle name="Normal 4 2 2 7 2 2 3 3" xfId="18420" xr:uid="{0D9E908E-557F-4CB0-8D4D-439C683CD112}"/>
    <cellStyle name="Normal 4 2 2 7 2 2 4" xfId="10873" xr:uid="{CD1F0151-0780-4C32-A907-04B6AC3F91C0}"/>
    <cellStyle name="Normal 4 2 2 7 2 2 4 2" xfId="21253" xr:uid="{E173457F-7059-4390-9D22-FBD5B29E91A9}"/>
    <cellStyle name="Normal 4 2 2 7 2 2 5" xfId="24335" xr:uid="{9B020136-7BA9-4ECA-901B-0B93B9691C85}"/>
    <cellStyle name="Normal 4 2 2 7 2 2 6" xfId="13445" xr:uid="{CB385DE0-E6B5-435B-8AB0-FC43CF144F09}"/>
    <cellStyle name="Normal 4 2 2 7 2 3" xfId="5245" xr:uid="{D04BEBCB-D9B3-46E7-9F67-2B62050C65D8}"/>
    <cellStyle name="Normal 4 2 2 7 2 3 2" xfId="22815" xr:uid="{6EC1EBB6-14EB-46B1-B179-3A987D46FA48}"/>
    <cellStyle name="Normal 4 2 2 7 2 3 3" xfId="27003" xr:uid="{BABBEF22-2173-49D7-B125-D2184A702964}"/>
    <cellStyle name="Normal 4 2 2 7 2 3 4" xfId="14543" xr:uid="{BD1DD18D-ADD1-4FCB-9B93-1322F539C844}"/>
    <cellStyle name="Normal 4 2 2 7 2 4" xfId="6996" xr:uid="{86F6412A-F37C-4495-A69A-3EA4E32F3A34}"/>
    <cellStyle name="Normal 4 2 2 7 2 4 2" xfId="26235" xr:uid="{FEE8BE2B-87B2-4DAA-9A76-C334EC6AE9DB}"/>
    <cellStyle name="Normal 4 2 2 7 2 4 3" xfId="28379" xr:uid="{EA9DC767-E875-4F33-9676-DFF1AE133D23}"/>
    <cellStyle name="Normal 4 2 2 7 2 4 4" xfId="17376" xr:uid="{DFCFE355-5189-466F-8882-4EDE43DCB1DD}"/>
    <cellStyle name="Normal 4 2 2 7 2 5" xfId="9829" xr:uid="{7F2563CD-AD6A-483B-8E73-61E5882B47DA}"/>
    <cellStyle name="Normal 4 2 2 7 2 5 2" xfId="29418" xr:uid="{441BBF49-982E-411F-A346-AEDD884F8C83}"/>
    <cellStyle name="Normal 4 2 2 7 2 5 3" xfId="20209" xr:uid="{7AB1868C-4F40-4E23-939E-075A2BBFBB20}"/>
    <cellStyle name="Normal 4 2 2 7 2 6" xfId="25432" xr:uid="{31D5A380-4290-46FB-957A-611FB36B4545}"/>
    <cellStyle name="Normal 4 2 2 7 2 7" xfId="12747" xr:uid="{22704B4E-8FE0-49EF-A78F-8EA5E20E7E73}"/>
    <cellStyle name="Normal 4 2 2 7 3" xfId="941" xr:uid="{00000000-0005-0000-0000-00005F050000}"/>
    <cellStyle name="Normal 4 2 2 7 3 2" xfId="5246" xr:uid="{B40BB902-CB0E-40C3-A0CD-B7F27874C6B2}"/>
    <cellStyle name="Normal 4 2 2 7 3 2 2" xfId="27669" xr:uid="{17E9F41F-C4CD-4EDE-ABF5-8174F052771D}"/>
    <cellStyle name="Normal 4 2 2 7 3 2 3" xfId="27517" xr:uid="{FD804A08-F8CC-4A4A-A913-C66336A6B8B3}"/>
    <cellStyle name="Normal 4 2 2 7 3 2 4" xfId="14544" xr:uid="{DBF67581-FF04-4376-8D32-9033CD4C85DC}"/>
    <cellStyle name="Normal 4 2 2 7 3 3" xfId="6997" xr:uid="{43D0183A-0402-46DC-A9A6-746377F5DC85}"/>
    <cellStyle name="Normal 4 2 2 7 3 3 2" xfId="27613" xr:uid="{877A84E7-BEAE-42D5-98EC-569717F4AA35}"/>
    <cellStyle name="Normal 4 2 2 7 3 3 3" xfId="27755" xr:uid="{1AA65364-8454-410A-83E3-AA9DDBDD96C7}"/>
    <cellStyle name="Normal 4 2 2 7 3 3 4" xfId="17377" xr:uid="{BBDB9507-B01F-4BEC-AB97-141A5F057185}"/>
    <cellStyle name="Normal 4 2 2 7 3 4" xfId="9830" xr:uid="{CB5FE095-E508-4487-95A1-4C0A4FB94C21}"/>
    <cellStyle name="Normal 4 2 2 7 3 4 2" xfId="29419" xr:uid="{F8ED6E61-114B-4280-81CA-949C17B9017D}"/>
    <cellStyle name="Normal 4 2 2 7 3 4 3" xfId="20210" xr:uid="{F73018EA-2BD9-4911-861A-F3E27C3C8E03}"/>
    <cellStyle name="Normal 4 2 2 7 3 5" xfId="22781" xr:uid="{3C1090F0-CECB-4396-8D62-6EE60CEF2CBA}"/>
    <cellStyle name="Normal 4 2 2 7 3 6" xfId="13222" xr:uid="{F238A0EC-F728-491D-AB52-3CBDDEEC0F2B}"/>
    <cellStyle name="Normal 4 2 2 7 4" xfId="2355" xr:uid="{00000000-0005-0000-0000-00009C050000}"/>
    <cellStyle name="Normal 4 2 2 7 4 2" xfId="7482" xr:uid="{AF381B43-6F28-42FB-ADF6-39881F3664B6}"/>
    <cellStyle name="Normal 4 2 2 7 4 2 2" xfId="27341" xr:uid="{4C124964-6D75-43BD-87A3-DB5968AB63FC}"/>
    <cellStyle name="Normal 4 2 2 7 4 2 3" xfId="17862" xr:uid="{1AA920BF-D970-4DB5-96D4-82BE17E020E1}"/>
    <cellStyle name="Normal 4 2 2 7 4 3" xfId="10315" xr:uid="{17223411-B143-474A-9153-83094A1A8D56}"/>
    <cellStyle name="Normal 4 2 2 7 4 3 2" xfId="20695" xr:uid="{578AB773-C1CD-4F3D-AAA2-422DB0737571}"/>
    <cellStyle name="Normal 4 2 2 7 4 4" xfId="24351" xr:uid="{3E4651B1-E0F7-4322-977E-C1E96A9EB270}"/>
    <cellStyle name="Normal 4 2 2 7 4 5" xfId="15029" xr:uid="{C73873C5-A60C-4636-A163-84B1757B618D}"/>
    <cellStyle name="Normal 4 2 2 7 5" xfId="3976" xr:uid="{934EA604-89F8-4E07-B3A6-51317F9C39B3}"/>
    <cellStyle name="Normal 4 2 2 7 5 2" xfId="8800" xr:uid="{E97C1750-D686-46D2-90C1-4907475BF21F}"/>
    <cellStyle name="Normal 4 2 2 7 5 2 2" xfId="28986" xr:uid="{16F49C96-6BD1-419D-918F-631C11AFE1DC}"/>
    <cellStyle name="Normal 4 2 2 7 5 2 3" xfId="19180" xr:uid="{911759E1-9787-40A1-8AE4-7B1622E8E587}"/>
    <cellStyle name="Normal 4 2 2 7 5 3" xfId="11633" xr:uid="{3CEC2403-4157-40CA-9E59-0F5F1916D13A}"/>
    <cellStyle name="Normal 4 2 2 7 5 3 2" xfId="22013" xr:uid="{A5C5B410-8379-4663-B995-C71596118E97}"/>
    <cellStyle name="Normal 4 2 2 7 5 4" xfId="22972" xr:uid="{4BDC54B1-DED7-41CA-BED8-E15591FD4457}"/>
    <cellStyle name="Normal 4 2 2 7 5 5" xfId="16347" xr:uid="{2A1BC78A-509C-4FA4-9AE8-1B2CDACF40D9}"/>
    <cellStyle name="Normal 4 2 2 7 6" xfId="5244" xr:uid="{258B6F67-E5EF-4F01-8939-97492B16C45F}"/>
    <cellStyle name="Normal 4 2 2 7 6 2" xfId="27172" xr:uid="{4124BC3B-E978-4BFE-B8F2-6D9FFD167813}"/>
    <cellStyle name="Normal 4 2 2 7 6 3" xfId="28734" xr:uid="{58230EF1-BA5D-4231-AA59-4E83E22C59CC}"/>
    <cellStyle name="Normal 4 2 2 7 6 4" xfId="14542" xr:uid="{F4F19B9C-E86A-4A6A-B6B4-A7727EA94E00}"/>
    <cellStyle name="Normal 4 2 2 7 7" xfId="6995" xr:uid="{AA130C79-5346-4DC8-A7EA-6C1A6065897D}"/>
    <cellStyle name="Normal 4 2 2 7 7 2" xfId="26940" xr:uid="{612954AE-D8B5-49B2-89B9-2B002DFA3236}"/>
    <cellStyle name="Normal 4 2 2 7 7 3" xfId="17375" xr:uid="{A97E16E6-D345-4653-842F-738BB3BAE9E2}"/>
    <cellStyle name="Normal 4 2 2 7 8" xfId="9828" xr:uid="{184DB9DC-A051-4499-9310-FBC8AE4FAFAB}"/>
    <cellStyle name="Normal 4 2 2 7 8 2" xfId="20208" xr:uid="{0D6BC51B-4DDB-4E0B-AD2F-F96D6CB6D943}"/>
    <cellStyle name="Normal 4 2 2 7 9" xfId="23192" xr:uid="{188E0066-9312-4677-B353-400A1C65B06B}"/>
    <cellStyle name="Normal 4 2 2 8" xfId="942" xr:uid="{00000000-0005-0000-0000-000060050000}"/>
    <cellStyle name="Normal 4 2 2 8 10" xfId="12590" xr:uid="{B079923D-5E20-4831-A1EE-294B4200D102}"/>
    <cellStyle name="Normal 4 2 2 8 2" xfId="943" xr:uid="{00000000-0005-0000-0000-000061050000}"/>
    <cellStyle name="Normal 4 2 2 8 2 2" xfId="2930" xr:uid="{00000000-0005-0000-0000-0000A2050000}"/>
    <cellStyle name="Normal 4 2 2 8 2 2 2" xfId="6110" xr:uid="{09581792-6878-4251-A402-1BF73B90A971}"/>
    <cellStyle name="Normal 4 2 2 8 2 2 2 2" xfId="27835" xr:uid="{FE74F500-C292-4503-BFFC-57F6AAF580A9}"/>
    <cellStyle name="Normal 4 2 2 8 2 2 2 3" xfId="25970" xr:uid="{1EC5700D-4A61-4448-AD6F-E00583B5722B}"/>
    <cellStyle name="Normal 4 2 2 8 2 2 2 4" xfId="15588" xr:uid="{69769A35-F4BD-42E6-B479-E5B6925471AA}"/>
    <cellStyle name="Normal 4 2 2 8 2 2 3" xfId="8041" xr:uid="{64C8C9E2-9C80-4C86-96BF-735E47896E8C}"/>
    <cellStyle name="Normal 4 2 2 8 2 2 3 2" xfId="26182" xr:uid="{C1C144FB-D2B9-41FE-823D-8E407FAFD562}"/>
    <cellStyle name="Normal 4 2 2 8 2 2 3 3" xfId="18421" xr:uid="{AB733DD3-59EB-44FD-88FE-C553D0930AAA}"/>
    <cellStyle name="Normal 4 2 2 8 2 2 4" xfId="10874" xr:uid="{2EAAE8FA-6A0E-43DF-9D0F-6BE18F13AB63}"/>
    <cellStyle name="Normal 4 2 2 8 2 2 4 2" xfId="21254" xr:uid="{18E1EACE-9DC3-4EB3-AFCB-C3BB85F96F7E}"/>
    <cellStyle name="Normal 4 2 2 8 2 2 5" xfId="22785" xr:uid="{B6D41360-5303-4439-9539-3A457D6A800A}"/>
    <cellStyle name="Normal 4 2 2 8 2 2 6" xfId="13446" xr:uid="{D0DBE192-C6E1-426F-AF69-9E13AE9C728B}"/>
    <cellStyle name="Normal 4 2 2 8 2 3" xfId="5248" xr:uid="{289C0D3D-8600-4311-B6E6-04C89FA3FACF}"/>
    <cellStyle name="Normal 4 2 2 8 2 3 2" xfId="24678" xr:uid="{30638458-4653-4069-B1A0-FAB5B964E877}"/>
    <cellStyle name="Normal 4 2 2 8 2 3 3" xfId="28554" xr:uid="{52728E3E-1CE5-4205-BB37-C736E33D8CFB}"/>
    <cellStyle name="Normal 4 2 2 8 2 3 4" xfId="14546" xr:uid="{5F5559E7-9E8E-4F3C-921F-83265B2F862F}"/>
    <cellStyle name="Normal 4 2 2 8 2 4" xfId="6999" xr:uid="{98938B21-9FC9-4129-B01A-6E0E21BDE738}"/>
    <cellStyle name="Normal 4 2 2 8 2 4 2" xfId="26485" xr:uid="{DC37F2DE-BCCF-4A97-9840-6F251271A387}"/>
    <cellStyle name="Normal 4 2 2 8 2 4 3" xfId="25854" xr:uid="{77C348A3-9279-4F9E-979F-2E574ED2C001}"/>
    <cellStyle name="Normal 4 2 2 8 2 4 4" xfId="17379" xr:uid="{E33761A8-9F00-4268-951C-63294C6FA910}"/>
    <cellStyle name="Normal 4 2 2 8 2 5" xfId="9832" xr:uid="{A5738BC8-A75D-4FBB-887B-14D7995DCF5F}"/>
    <cellStyle name="Normal 4 2 2 8 2 5 2" xfId="29420" xr:uid="{F5410C9A-1AA5-45A9-AF2D-08D2E333369C}"/>
    <cellStyle name="Normal 4 2 2 8 2 5 3" xfId="20212" xr:uid="{E4AA0D4E-B5A6-4F5A-8840-62CE0C869968}"/>
    <cellStyle name="Normal 4 2 2 8 2 6" xfId="23798" xr:uid="{00FC52DA-01F4-4867-AD5C-93D2839C800E}"/>
    <cellStyle name="Normal 4 2 2 8 2 7" xfId="12748" xr:uid="{94FB40D9-BF27-4CB1-A214-31A4E496E876}"/>
    <cellStyle name="Normal 4 2 2 8 3" xfId="944" xr:uid="{00000000-0005-0000-0000-000062050000}"/>
    <cellStyle name="Normal 4 2 2 8 3 2" xfId="5249" xr:uid="{4D9BC826-49DF-4AF2-88B9-97A48C6BF2E8}"/>
    <cellStyle name="Normal 4 2 2 8 3 2 2" xfId="28392" xr:uid="{3AC4B514-BA35-4187-9298-F5195983ED60}"/>
    <cellStyle name="Normal 4 2 2 8 3 2 3" xfId="27147" xr:uid="{DADAAF39-1753-4664-BB00-A256FBA3CE3B}"/>
    <cellStyle name="Normal 4 2 2 8 3 2 4" xfId="14547" xr:uid="{BFEDBC4C-51DC-489D-AFEF-2749A13AABAB}"/>
    <cellStyle name="Normal 4 2 2 8 3 3" xfId="7000" xr:uid="{7F52BAFA-DE2F-4D6A-BEE8-CD7532851F97}"/>
    <cellStyle name="Normal 4 2 2 8 3 3 2" xfId="26438" xr:uid="{0FDE18EF-223E-4F9E-BB32-181FFF94D91A}"/>
    <cellStyle name="Normal 4 2 2 8 3 3 3" xfId="26749" xr:uid="{B6B9B256-7109-4468-8C1C-C130722DBA2B}"/>
    <cellStyle name="Normal 4 2 2 8 3 3 4" xfId="17380" xr:uid="{2B25E608-5F2C-423F-8C80-1375E2FAA2E4}"/>
    <cellStyle name="Normal 4 2 2 8 3 4" xfId="9833" xr:uid="{08A94F09-7809-4B28-882D-1B0F769EEEBD}"/>
    <cellStyle name="Normal 4 2 2 8 3 4 2" xfId="29421" xr:uid="{F109C8A4-44EC-41D2-92AB-8AC5B9E76DF1}"/>
    <cellStyle name="Normal 4 2 2 8 3 4 3" xfId="20213" xr:uid="{C5866C1F-E534-4979-B683-7A6B8D29D865}"/>
    <cellStyle name="Normal 4 2 2 8 3 5" xfId="22905" xr:uid="{A1855F6E-7621-41E9-B405-D45D8B422CE2}"/>
    <cellStyle name="Normal 4 2 2 8 3 6" xfId="13223" xr:uid="{261B8577-FDAC-4371-A1E3-01F7881F1F22}"/>
    <cellStyle name="Normal 4 2 2 8 4" xfId="2356" xr:uid="{00000000-0005-0000-0000-0000A0050000}"/>
    <cellStyle name="Normal 4 2 2 8 4 2" xfId="7483" xr:uid="{78E28C14-4BF2-45E6-90B6-51A0B78E35A8}"/>
    <cellStyle name="Normal 4 2 2 8 4 2 2" xfId="27648" xr:uid="{5D9CE891-17CD-4AA8-87DC-A95426A137B3}"/>
    <cellStyle name="Normal 4 2 2 8 4 2 3" xfId="17863" xr:uid="{5EA0968A-AC38-4283-8C58-897FF3CD151A}"/>
    <cellStyle name="Normal 4 2 2 8 4 3" xfId="10316" xr:uid="{B156299D-1585-4445-91F5-30774E13C2E2}"/>
    <cellStyle name="Normal 4 2 2 8 4 3 2" xfId="20696" xr:uid="{F3E85103-AE30-4527-A3BE-52C908370154}"/>
    <cellStyle name="Normal 4 2 2 8 4 4" xfId="25494" xr:uid="{1CC4CB99-89F5-432B-B534-392FA34B5B4B}"/>
    <cellStyle name="Normal 4 2 2 8 4 5" xfId="15030" xr:uid="{8CB859D4-7AE7-42E7-8605-196CC4590EC4}"/>
    <cellStyle name="Normal 4 2 2 8 5" xfId="3977" xr:uid="{1CC1E78C-F7DE-4130-A584-0982B132CF8E}"/>
    <cellStyle name="Normal 4 2 2 8 5 2" xfId="8801" xr:uid="{BA955A1A-5670-4FC0-99AD-5A2856B5D440}"/>
    <cellStyle name="Normal 4 2 2 8 5 2 2" xfId="28987" xr:uid="{34079C3E-CB67-4FC5-806A-7653903E694E}"/>
    <cellStyle name="Normal 4 2 2 8 5 2 3" xfId="19181" xr:uid="{44DB25A4-5BF0-40DB-8D02-41DD4CB5D720}"/>
    <cellStyle name="Normal 4 2 2 8 5 3" xfId="11634" xr:uid="{7E0DE244-4DBA-4549-ACCF-6E1DACEE34DD}"/>
    <cellStyle name="Normal 4 2 2 8 5 3 2" xfId="22014" xr:uid="{FF8FDA02-F622-47D5-89FC-F44A0ED0CF69}"/>
    <cellStyle name="Normal 4 2 2 8 5 4" xfId="23983" xr:uid="{37E8991E-E7DC-475D-A227-1F381F3327D3}"/>
    <cellStyle name="Normal 4 2 2 8 5 5" xfId="16348" xr:uid="{2226C1CB-C3F7-4DA7-A464-EC9956605E01}"/>
    <cellStyle name="Normal 4 2 2 8 6" xfId="5247" xr:uid="{872CE609-91EB-4200-84DC-9E4CAEF16719}"/>
    <cellStyle name="Normal 4 2 2 8 6 2" xfId="26521" xr:uid="{E356F0AA-9DB5-42C0-A8A8-D027EA83DE7F}"/>
    <cellStyle name="Normal 4 2 2 8 6 3" xfId="27056" xr:uid="{A4791983-7DC8-4FC4-9115-A49572A6DAB9}"/>
    <cellStyle name="Normal 4 2 2 8 6 4" xfId="14545" xr:uid="{660A899C-A2B3-44D5-A0AE-70E3028FA2FC}"/>
    <cellStyle name="Normal 4 2 2 8 7" xfId="6998" xr:uid="{F5CE00E5-403B-4776-BAF1-667226287A9D}"/>
    <cellStyle name="Normal 4 2 2 8 7 2" xfId="28724" xr:uid="{75DAF2BA-C780-463B-B47B-59D04D56A534}"/>
    <cellStyle name="Normal 4 2 2 8 7 3" xfId="17378" xr:uid="{7BBB0A78-A78B-4E47-A061-57FD249F2CAB}"/>
    <cellStyle name="Normal 4 2 2 8 8" xfId="9831" xr:uid="{3FCAB39E-5391-4F05-990F-45A67FFFFF88}"/>
    <cellStyle name="Normal 4 2 2 8 8 2" xfId="20211" xr:uid="{605D1BF4-2DAB-48AE-AA26-C94C99E2D0C0}"/>
    <cellStyle name="Normal 4 2 2 8 9" xfId="23105" xr:uid="{FA722071-1ED3-40CD-A15E-0F1B6755E765}"/>
    <cellStyle name="Normal 4 2 2 9" xfId="945" xr:uid="{00000000-0005-0000-0000-000063050000}"/>
    <cellStyle name="Normal 4 2 2 9 10" xfId="12583" xr:uid="{DE514E55-F128-4711-B21D-61AFB7B8B980}"/>
    <cellStyle name="Normal 4 2 2 9 2" xfId="3299" xr:uid="{00000000-0005-0000-0000-0000A5050000}"/>
    <cellStyle name="Normal 4 2 2 9 2 2" xfId="6357" xr:uid="{6E4E1E2D-8A1F-4B24-9424-9540C19E367E}"/>
    <cellStyle name="Normal 4 2 2 9 2 2 2" xfId="24063" xr:uid="{45CEF859-7BCD-43A7-9DF0-135D1D6D9722}"/>
    <cellStyle name="Normal 4 2 2 9 2 2 3" xfId="26598" xr:uid="{9106F3BF-F128-4A95-B1CD-60CF1E93C852}"/>
    <cellStyle name="Normal 4 2 2 9 2 2 4" xfId="15926" xr:uid="{594B141C-1131-44FA-9644-D29B5916A6AA}"/>
    <cellStyle name="Normal 4 2 2 9 2 3" xfId="8379" xr:uid="{680DAFC1-10CF-4115-A50B-E062B27340DB}"/>
    <cellStyle name="Normal 4 2 2 9 2 3 2" xfId="27082" xr:uid="{F65F60EC-4525-406B-B346-1CC28797EB54}"/>
    <cellStyle name="Normal 4 2 2 9 2 3 3" xfId="28901" xr:uid="{A099C605-7E55-41EE-943A-37B7A9E230B0}"/>
    <cellStyle name="Normal 4 2 2 9 2 3 4" xfId="18759" xr:uid="{BE8CF6AF-34B7-4897-A3C5-ABCA19E9F174}"/>
    <cellStyle name="Normal 4 2 2 9 2 4" xfId="11212" xr:uid="{4A039120-EAC4-4732-B509-DF19BC2B8961}"/>
    <cellStyle name="Normal 4 2 2 9 2 4 2" xfId="29481" xr:uid="{3EECB917-46C5-426D-B71C-9CAD5E36E357}"/>
    <cellStyle name="Normal 4 2 2 9 2 4 3" xfId="21592" xr:uid="{043FC9C7-426D-49F9-9931-347D933E02D0}"/>
    <cellStyle name="Normal 4 2 2 9 2 5" xfId="23212" xr:uid="{935A0560-C5B2-4465-8504-275C632C1F9F}"/>
    <cellStyle name="Normal 4 2 2 9 2 6" xfId="13855" xr:uid="{F186F80C-532F-4235-A090-3A81DB8588C4}"/>
    <cellStyle name="Normal 4 2 2 9 3" xfId="2762" xr:uid="{00000000-0005-0000-0000-0000A6050000}"/>
    <cellStyle name="Normal 4 2 2 9 3 2" xfId="5980" xr:uid="{2AF29E17-0413-428C-BBF0-234F517D09CF}"/>
    <cellStyle name="Normal 4 2 2 9 3 2 2" xfId="26729" xr:uid="{CBD8DB94-08B9-4486-9B8A-70ABEDF9C196}"/>
    <cellStyle name="Normal 4 2 2 9 3 2 3" xfId="15433" xr:uid="{58F35442-55F3-4803-AFFB-C5B9DA17A21B}"/>
    <cellStyle name="Normal 4 2 2 9 3 3" xfId="7886" xr:uid="{AD2FD54C-B7B0-483B-84C4-9315D79E4958}"/>
    <cellStyle name="Normal 4 2 2 9 3 3 2" xfId="18266" xr:uid="{8E6CD3BB-045E-4361-A340-E92C1684F0E3}"/>
    <cellStyle name="Normal 4 2 2 9 3 4" xfId="10719" xr:uid="{22042846-8DA7-4EFF-AF99-F515EC8385E3}"/>
    <cellStyle name="Normal 4 2 2 9 3 4 2" xfId="21099" xr:uid="{B4348F17-6C32-4A25-BAB2-9572A3923888}"/>
    <cellStyle name="Normal 4 2 2 9 3 5" xfId="24452" xr:uid="{5593175C-5566-4DF7-A66F-443ED8A91F7A}"/>
    <cellStyle name="Normal 4 2 2 9 3 6" xfId="13210" xr:uid="{D542F37B-7C2B-405F-B27E-0A0D239496E8}"/>
    <cellStyle name="Normal 4 2 2 9 4" xfId="2349" xr:uid="{00000000-0005-0000-0000-0000A4050000}"/>
    <cellStyle name="Normal 4 2 2 9 4 2" xfId="7476" xr:uid="{8319465A-71C1-44B2-86C2-66BC9E2147B4}"/>
    <cellStyle name="Normal 4 2 2 9 4 2 2" xfId="28679" xr:uid="{FC39BD23-F123-4A99-81DC-DB5D583C8804}"/>
    <cellStyle name="Normal 4 2 2 9 4 2 3" xfId="17856" xr:uid="{DD2E3797-C5E2-486C-9C3E-C72BADED4EAE}"/>
    <cellStyle name="Normal 4 2 2 9 4 3" xfId="10309" xr:uid="{2202193C-5B0D-41BD-BF6A-D20065EA68DF}"/>
    <cellStyle name="Normal 4 2 2 9 4 3 2" xfId="20689" xr:uid="{E46D9796-DE38-44E1-B95E-34EA2AC7FE65}"/>
    <cellStyle name="Normal 4 2 2 9 4 4" xfId="23962" xr:uid="{E211FAC1-22F6-4376-BF8E-9B6235C4893B}"/>
    <cellStyle name="Normal 4 2 2 9 4 5" xfId="15023" xr:uid="{84A360AA-ACC9-47BE-A916-17EADE44D08D}"/>
    <cellStyle name="Normal 4 2 2 9 5" xfId="3858" xr:uid="{0DFD9279-66F4-49BF-8ABE-BC45BE9D3279}"/>
    <cellStyle name="Normal 4 2 2 9 5 2" xfId="8690" xr:uid="{22B78481-BFA1-4D5C-BE0A-88DA74F04189}"/>
    <cellStyle name="Normal 4 2 2 9 5 2 2" xfId="19070" xr:uid="{D855CF00-E479-4DC7-A6F1-A54F0034438A}"/>
    <cellStyle name="Normal 4 2 2 9 5 3" xfId="11523" xr:uid="{84137D52-6A9A-45E9-822B-5688EA979476}"/>
    <cellStyle name="Normal 4 2 2 9 5 3 2" xfId="21903" xr:uid="{57BCF616-2B4E-42BA-BADD-ED4A680DF9F5}"/>
    <cellStyle name="Normal 4 2 2 9 5 4" xfId="26843" xr:uid="{3833537E-321F-4F08-8CD8-D4323549DA52}"/>
    <cellStyle name="Normal 4 2 2 9 5 5" xfId="16237" xr:uid="{7AD6093B-7B22-41CD-B28E-14C576F4FB21}"/>
    <cellStyle name="Normal 4 2 2 9 6" xfId="5250" xr:uid="{5F5B01DA-BF19-4D3F-9F37-461CE1DBE838}"/>
    <cellStyle name="Normal 4 2 2 9 6 2" xfId="14548" xr:uid="{CD01CB4D-BD54-4DA9-A0D7-6B36D8D57A7B}"/>
    <cellStyle name="Normal 4 2 2 9 7" xfId="7001" xr:uid="{0CE4F7C6-4118-43BE-A668-888ED1884BDB}"/>
    <cellStyle name="Normal 4 2 2 9 7 2" xfId="17381" xr:uid="{75471894-3CE6-4529-BE28-CAA3D6503453}"/>
    <cellStyle name="Normal 4 2 2 9 8" xfId="9834" xr:uid="{E0C65649-4008-44CA-BB86-D5E7ACF05731}"/>
    <cellStyle name="Normal 4 2 2 9 8 2" xfId="20214" xr:uid="{C03B357F-14E5-4DE0-BF16-B52EACF1B891}"/>
    <cellStyle name="Normal 4 2 2 9 9" xfId="24588" xr:uid="{B8116788-610A-4EF1-98E6-02B0A43EF3E3}"/>
    <cellStyle name="Normal 4 2 20" xfId="24905" xr:uid="{7CC5CC8E-A63E-44A8-9265-588E7557C3B6}"/>
    <cellStyle name="Normal 4 2 21" xfId="12390" xr:uid="{DF718B35-7351-4E69-B0D4-B23D8E6301EC}"/>
    <cellStyle name="Normal 4 2 3" xfId="946" xr:uid="{00000000-0005-0000-0000-000064050000}"/>
    <cellStyle name="Normal 4 2 3 10" xfId="5251" xr:uid="{2BD7E16D-467E-4203-BADC-0CC44CE1E35D}"/>
    <cellStyle name="Normal 4 2 3 10 2" xfId="14549" xr:uid="{7E3E2729-B3B9-497B-9C2D-2A6EA9BCF7EF}"/>
    <cellStyle name="Normal 4 2 3 11" xfId="7002" xr:uid="{0F8E82CF-DA38-44A7-9BAB-8EAF0FCC0A4D}"/>
    <cellStyle name="Normal 4 2 3 11 2" xfId="17382" xr:uid="{DE1D59A2-929D-42C0-BC66-443196226E3C}"/>
    <cellStyle name="Normal 4 2 3 12" xfId="9835" xr:uid="{9EED1AAC-1B2A-4562-ACE5-EE2F4E445031}"/>
    <cellStyle name="Normal 4 2 3 12 2" xfId="20215" xr:uid="{5B5515BB-C269-49F4-B6E4-B5A0733E303D}"/>
    <cellStyle name="Normal 4 2 3 13" xfId="24783" xr:uid="{A50685D2-0C11-46DF-A4A3-25F902E1626C}"/>
    <cellStyle name="Normal 4 2 3 14" xfId="12410" xr:uid="{B9A8D04E-3872-4C08-963B-4B8410F1CD3C}"/>
    <cellStyle name="Normal 4 2 3 2" xfId="947" xr:uid="{00000000-0005-0000-0000-000065050000}"/>
    <cellStyle name="Normal 4 2 3 2 10" xfId="7003" xr:uid="{F478E16C-4463-449F-9221-67C12BABAE90}"/>
    <cellStyle name="Normal 4 2 3 2 10 2" xfId="17383" xr:uid="{C78D9F6F-5C52-48CF-B7AA-8014ADBBEB0A}"/>
    <cellStyle name="Normal 4 2 3 2 11" xfId="9836" xr:uid="{E70F5F20-0996-46D8-B0A2-42AC2D61A96F}"/>
    <cellStyle name="Normal 4 2 3 2 11 2" xfId="20216" xr:uid="{2C568235-566C-418C-BCE9-C55DC896AC01}"/>
    <cellStyle name="Normal 4 2 3 2 12" xfId="25210" xr:uid="{50186835-642E-4C8F-BE3D-DA803AC18C20}"/>
    <cellStyle name="Normal 4 2 3 2 13" xfId="12470" xr:uid="{2BC600A7-7EE7-4979-8C49-A434A72939B8}"/>
    <cellStyle name="Normal 4 2 3 2 2" xfId="948" xr:uid="{00000000-0005-0000-0000-000066050000}"/>
    <cellStyle name="Normal 4 2 3 2 2 10" xfId="9837" xr:uid="{01B031BC-6941-4B26-920C-332DEB14A125}"/>
    <cellStyle name="Normal 4 2 3 2 2 10 2" xfId="20217" xr:uid="{2C21B5A5-C225-4DEB-AA3B-DADBCFFE6C9F}"/>
    <cellStyle name="Normal 4 2 3 2 2 11" xfId="23490" xr:uid="{29759637-3DD4-4B69-9EB4-0B6F77170251}"/>
    <cellStyle name="Normal 4 2 3 2 2 12" xfId="12592" xr:uid="{882EF21D-6320-4356-B7D3-F83F9DD7C4F1}"/>
    <cellStyle name="Normal 4 2 3 2 2 2" xfId="2773" xr:uid="{00000000-0005-0000-0000-0000AA050000}"/>
    <cellStyle name="Normal 4 2 3 2 2 2 2" xfId="3301" xr:uid="{00000000-0005-0000-0000-0000AB050000}"/>
    <cellStyle name="Normal 4 2 3 2 2 2 2 2" xfId="6359" xr:uid="{89C8923C-17D9-4D31-A862-C14CE5CDE0D1}"/>
    <cellStyle name="Normal 4 2 3 2 2 2 2 2 2" xfId="27087" xr:uid="{9413C2A7-B792-46C6-B470-36EAB6526A64}"/>
    <cellStyle name="Normal 4 2 3 2 2 2 2 2 3" xfId="27368" xr:uid="{8D83968A-3E50-434B-8AD6-D9FDCBC984C3}"/>
    <cellStyle name="Normal 4 2 3 2 2 2 2 2 4" xfId="15928" xr:uid="{C58D3C4E-58B5-4615-BF7F-AB772A204B50}"/>
    <cellStyle name="Normal 4 2 3 2 2 2 2 3" xfId="8381" xr:uid="{E7C5AB54-797F-4A79-9674-94828B119DB3}"/>
    <cellStyle name="Normal 4 2 3 2 2 2 2 3 2" xfId="28902" xr:uid="{6831838B-07E0-47FC-8E04-3542DE05B01C}"/>
    <cellStyle name="Normal 4 2 3 2 2 2 2 3 3" xfId="18761" xr:uid="{CF0DDA58-F101-49AE-B8A9-46CB315448F3}"/>
    <cellStyle name="Normal 4 2 3 2 2 2 2 4" xfId="11214" xr:uid="{68A94025-047D-46F7-A5BA-D75DB98B96E7}"/>
    <cellStyle name="Normal 4 2 3 2 2 2 2 4 2" xfId="21594" xr:uid="{2C15B6F5-4265-4456-9222-C45B17C039E0}"/>
    <cellStyle name="Normal 4 2 3 2 2 2 2 5" xfId="24684" xr:uid="{C5E5FD7D-6ABB-4102-91D2-EC65BB6FFFD7}"/>
    <cellStyle name="Normal 4 2 3 2 2 2 2 6" xfId="13857" xr:uid="{5C226E65-CF46-4114-8E35-A29BF53894EB}"/>
    <cellStyle name="Normal 4 2 3 2 2 2 3" xfId="4329" xr:uid="{27964B00-F2D5-4596-8451-9BDBD56C8BA5}"/>
    <cellStyle name="Normal 4 2 3 2 2 2 3 2" xfId="9101" xr:uid="{331C5B4E-823D-40A5-9607-5D646183B846}"/>
    <cellStyle name="Normal 4 2 3 2 2 2 3 2 2" xfId="29144" xr:uid="{8B4C61EA-15E4-415C-B554-8D03E2FA2398}"/>
    <cellStyle name="Normal 4 2 3 2 2 2 3 2 3" xfId="19481" xr:uid="{A90DAA79-9986-42C1-AF04-803FAF98A659}"/>
    <cellStyle name="Normal 4 2 3 2 2 2 3 3" xfId="11934" xr:uid="{6AB7CE6B-BE9F-4E5F-9313-B4981AD8D99C}"/>
    <cellStyle name="Normal 4 2 3 2 2 2 3 3 2" xfId="22314" xr:uid="{2D89B00A-FC2B-4D78-9F4A-7403D079C90C}"/>
    <cellStyle name="Normal 4 2 3 2 2 2 3 4" xfId="24018" xr:uid="{0E925F37-F8D0-4034-9A48-975C7D9B5AC4}"/>
    <cellStyle name="Normal 4 2 3 2 2 2 3 5" xfId="16648" xr:uid="{6741DDB6-C341-459C-97DE-702DF4E29657}"/>
    <cellStyle name="Normal 4 2 3 2 2 2 4" xfId="5991" xr:uid="{2C18F543-E27B-44AB-AA06-5A23FBB080E9}"/>
    <cellStyle name="Normal 4 2 3 2 2 2 4 2" xfId="26945" xr:uid="{C72013DD-CCEE-42D1-B77D-D0BB95452F1E}"/>
    <cellStyle name="Normal 4 2 3 2 2 2 4 3" xfId="15444" xr:uid="{0172374D-8479-418D-A352-D52BDF8306D6}"/>
    <cellStyle name="Normal 4 2 3 2 2 2 5" xfId="7897" xr:uid="{BD4BBE6C-17C2-4BAD-9B37-8819241E2577}"/>
    <cellStyle name="Normal 4 2 3 2 2 2 5 2" xfId="18277" xr:uid="{C8293643-2729-45A0-BD7A-83B397918AA0}"/>
    <cellStyle name="Normal 4 2 3 2 2 2 6" xfId="10730" xr:uid="{D6A86BD5-84AE-4B43-BFB3-076C681E8B27}"/>
    <cellStyle name="Normal 4 2 3 2 2 2 6 2" xfId="21110" xr:uid="{75728E5D-5DA3-4043-B9D4-F03ABC5DC432}"/>
    <cellStyle name="Normal 4 2 3 2 2 2 7" xfId="25032" xr:uid="{4321F765-EAF6-481E-A724-328A23CA2969}"/>
    <cellStyle name="Normal 4 2 3 2 2 2 8" xfId="13226" xr:uid="{7904ED2D-EE61-4575-9F4B-C331B77A69FA}"/>
    <cellStyle name="Normal 4 2 3 2 2 3" xfId="3302" xr:uid="{00000000-0005-0000-0000-0000AC050000}"/>
    <cellStyle name="Normal 4 2 3 2 2 3 2" xfId="4515" xr:uid="{6D50011B-C532-44D6-B43D-E87F903FA790}"/>
    <cellStyle name="Normal 4 2 3 2 2 3 2 2" xfId="9287" xr:uid="{8D03004E-54FE-42EA-BBF9-DAC429B21F80}"/>
    <cellStyle name="Normal 4 2 3 2 2 3 2 2 2" xfId="29268" xr:uid="{C3570ED0-8F16-4676-A172-7EB71B59F115}"/>
    <cellStyle name="Normal 4 2 3 2 2 3 2 2 3" xfId="19667" xr:uid="{C83973C4-CA0B-4189-BF9C-4B2DF2D97896}"/>
    <cellStyle name="Normal 4 2 3 2 2 3 2 3" xfId="12120" xr:uid="{B45241BD-47E5-41DD-8F19-D2A2C33AA965}"/>
    <cellStyle name="Normal 4 2 3 2 2 3 2 3 2" xfId="22500" xr:uid="{00B22D51-F239-41D7-93A6-EDFBDBCA48CE}"/>
    <cellStyle name="Normal 4 2 3 2 2 3 2 4" xfId="27016" xr:uid="{ACAC9304-7BC3-4B7A-B5D3-8DDDC874B00D}"/>
    <cellStyle name="Normal 4 2 3 2 2 3 2 5" xfId="16834" xr:uid="{0A25D8D4-2ACB-40B7-9679-7ADBBFEE6610}"/>
    <cellStyle name="Normal 4 2 3 2 2 3 3" xfId="6360" xr:uid="{31E8356A-95F4-4A6F-8EA7-687AD58AFD19}"/>
    <cellStyle name="Normal 4 2 3 2 2 3 3 2" xfId="28321" xr:uid="{636BBC61-C6A5-426B-9BD5-D5F6145FE51D}"/>
    <cellStyle name="Normal 4 2 3 2 2 3 3 3" xfId="15929" xr:uid="{C1A5858E-96D1-4ADF-AFED-1104CA10BD0D}"/>
    <cellStyle name="Normal 4 2 3 2 2 3 4" xfId="8382" xr:uid="{F588F986-11CF-4770-8E5C-3AAFFD6146FC}"/>
    <cellStyle name="Normal 4 2 3 2 2 3 4 2" xfId="18762" xr:uid="{877D9809-B8DD-4D96-BDBB-73B4F76E6343}"/>
    <cellStyle name="Normal 4 2 3 2 2 3 5" xfId="11215" xr:uid="{6C284A0A-0DC0-41B9-AFD7-BB3873B1608C}"/>
    <cellStyle name="Normal 4 2 3 2 2 3 5 2" xfId="21595" xr:uid="{1EB8083D-F766-404A-9589-599184D0F8A6}"/>
    <cellStyle name="Normal 4 2 3 2 2 3 6" xfId="22989" xr:uid="{ABF29836-2AA1-48B7-A366-FE398257733C}"/>
    <cellStyle name="Normal 4 2 3 2 2 3 7" xfId="13858" xr:uid="{37BD2BD6-6E1C-4EA9-821F-99B055D3BA2A}"/>
    <cellStyle name="Normal 4 2 3 2 2 4" xfId="3300" xr:uid="{00000000-0005-0000-0000-0000AD050000}"/>
    <cellStyle name="Normal 4 2 3 2 2 4 2" xfId="6358" xr:uid="{C1E464F8-AD39-4D30-9CFC-7E54408ACAD2}"/>
    <cellStyle name="Normal 4 2 3 2 2 4 2 2" xfId="28148" xr:uid="{895B60BC-4B23-490E-8F89-B62CD9351C4B}"/>
    <cellStyle name="Normal 4 2 3 2 2 4 2 3" xfId="15927" xr:uid="{C3F78B7A-B76F-42F1-A0C8-740D407FEDCB}"/>
    <cellStyle name="Normal 4 2 3 2 2 4 3" xfId="8380" xr:uid="{6FA2E360-57D4-424A-A42E-97DB80382D28}"/>
    <cellStyle name="Normal 4 2 3 2 2 4 3 2" xfId="18760" xr:uid="{8E534455-B4D4-4109-80B2-D739C51C212E}"/>
    <cellStyle name="Normal 4 2 3 2 2 4 4" xfId="11213" xr:uid="{30F27D84-F851-40B0-9D8D-BA613509A3E2}"/>
    <cellStyle name="Normal 4 2 3 2 2 4 4 2" xfId="21593" xr:uid="{6FD68503-E85E-4487-AB1B-B7DF3D8B2CA8}"/>
    <cellStyle name="Normal 4 2 3 2 2 4 5" xfId="24494" xr:uid="{9398B8F6-1C04-4B30-BFD4-86091FC23EB6}"/>
    <cellStyle name="Normal 4 2 3 2 2 4 6" xfId="13856" xr:uid="{AFA105AB-BB52-4C3D-BD2F-99B293002E2D}"/>
    <cellStyle name="Normal 4 2 3 2 2 5" xfId="2646" xr:uid="{00000000-0005-0000-0000-0000AE050000}"/>
    <cellStyle name="Normal 4 2 3 2 2 5 2" xfId="5908" xr:uid="{A3FC01D2-D45A-456E-9AC5-41FF7184AB71}"/>
    <cellStyle name="Normal 4 2 3 2 2 5 2 2" xfId="28291" xr:uid="{168AFBF8-E05A-463D-9143-C9F6C7EEC90D}"/>
    <cellStyle name="Normal 4 2 3 2 2 5 2 3" xfId="15318" xr:uid="{7017F6D0-2B0F-410C-AF05-2E7D82D05083}"/>
    <cellStyle name="Normal 4 2 3 2 2 5 3" xfId="7771" xr:uid="{EC396275-686B-4429-B869-F947FD668551}"/>
    <cellStyle name="Normal 4 2 3 2 2 5 3 2" xfId="18151" xr:uid="{5805ACAA-2B3B-4747-8109-FA18F1B78B4F}"/>
    <cellStyle name="Normal 4 2 3 2 2 5 4" xfId="10604" xr:uid="{5520C602-4FB1-4F6C-980B-28E47F4C9F0D}"/>
    <cellStyle name="Normal 4 2 3 2 2 5 4 2" xfId="20984" xr:uid="{64D02580-9128-44F4-8D2A-A1D7F5788E88}"/>
    <cellStyle name="Normal 4 2 3 2 2 5 5" xfId="24694" xr:uid="{E8B465D9-82D9-4919-811F-327B99579B46}"/>
    <cellStyle name="Normal 4 2 3 2 2 5 6" xfId="13035" xr:uid="{AA6CA743-EE39-466F-B850-6BC8A8B217C6}"/>
    <cellStyle name="Normal 4 2 3 2 2 6" xfId="2358" xr:uid="{00000000-0005-0000-0000-0000A9050000}"/>
    <cellStyle name="Normal 4 2 3 2 2 6 2" xfId="7485" xr:uid="{140F805A-541E-43C4-951D-18A360B72EC2}"/>
    <cellStyle name="Normal 4 2 3 2 2 6 2 2" xfId="17865" xr:uid="{6B0A4DE7-4013-4690-A577-A913A2F03A51}"/>
    <cellStyle name="Normal 4 2 3 2 2 6 3" xfId="10318" xr:uid="{1A9B45D9-F693-4EDD-A7FC-60EABD2FDB3F}"/>
    <cellStyle name="Normal 4 2 3 2 2 6 3 2" xfId="20698" xr:uid="{B208B857-17A3-4C04-A607-D312BE9DF30A}"/>
    <cellStyle name="Normal 4 2 3 2 2 6 4" xfId="24044" xr:uid="{24AB5370-DA9D-4625-959B-D5A0319939BC}"/>
    <cellStyle name="Normal 4 2 3 2 2 6 5" xfId="15032" xr:uid="{E66AFB57-8F73-4358-A693-4779C3AE1A89}"/>
    <cellStyle name="Normal 4 2 3 2 2 7" xfId="3895" xr:uid="{201BE687-BFB5-471C-A6BF-20D48642CE65}"/>
    <cellStyle name="Normal 4 2 3 2 2 7 2" xfId="8727" xr:uid="{6B7A5A98-A6EE-4599-91CD-E248789F73D3}"/>
    <cellStyle name="Normal 4 2 3 2 2 7 2 2" xfId="19107" xr:uid="{28446D4C-D83B-4EF5-99AE-7D201A018481}"/>
    <cellStyle name="Normal 4 2 3 2 2 7 3" xfId="11560" xr:uid="{5E360618-2024-470E-8639-5E6E01524EF8}"/>
    <cellStyle name="Normal 4 2 3 2 2 7 3 2" xfId="21940" xr:uid="{38436333-B084-437E-89B5-61DA0343ED2B}"/>
    <cellStyle name="Normal 4 2 3 2 2 7 4" xfId="16274" xr:uid="{E4A4DB8E-6B8E-494C-B7EE-57E61DD45AFC}"/>
    <cellStyle name="Normal 4 2 3 2 2 8" xfId="5253" xr:uid="{A0D37A58-A5CE-4436-A5BA-AA581978EEF0}"/>
    <cellStyle name="Normal 4 2 3 2 2 8 2" xfId="14551" xr:uid="{E92DD833-C60D-4522-B768-1B23C313C5C1}"/>
    <cellStyle name="Normal 4 2 3 2 2 9" xfId="7004" xr:uid="{A1A12B1C-79E2-4292-A8DF-9E447994414D}"/>
    <cellStyle name="Normal 4 2 3 2 2 9 2" xfId="17384" xr:uid="{08055018-930A-4323-A1B6-7CA228461C3D}"/>
    <cellStyle name="Normal 4 2 3 2 3" xfId="949" xr:uid="{00000000-0005-0000-0000-000067050000}"/>
    <cellStyle name="Normal 4 2 3 2 3 2" xfId="3303" xr:uid="{00000000-0005-0000-0000-0000B0050000}"/>
    <cellStyle name="Normal 4 2 3 2 3 2 2" xfId="6361" xr:uid="{1DC87285-0E28-413E-8C88-23F2F54535AE}"/>
    <cellStyle name="Normal 4 2 3 2 3 2 2 2" xfId="28334" xr:uid="{F131C03A-78F1-4AA3-803E-095AC8C2BCE5}"/>
    <cellStyle name="Normal 4 2 3 2 3 2 2 3" xfId="28340" xr:uid="{F15967C9-914A-40B1-AE8D-3A04A5D89435}"/>
    <cellStyle name="Normal 4 2 3 2 3 2 2 4" xfId="15930" xr:uid="{A0E735FF-EF44-431E-8F4A-5BEA4BBE314F}"/>
    <cellStyle name="Normal 4 2 3 2 3 2 3" xfId="8383" xr:uid="{0D16436B-43B1-4701-AE20-562C8D2723FA}"/>
    <cellStyle name="Normal 4 2 3 2 3 2 3 2" xfId="28903" xr:uid="{DC4F5CF2-0BCB-475F-8754-C18E7002E24E}"/>
    <cellStyle name="Normal 4 2 3 2 3 2 3 3" xfId="18763" xr:uid="{EB8A1894-2ECB-4438-B172-0D5CC3623BCE}"/>
    <cellStyle name="Normal 4 2 3 2 3 2 4" xfId="11216" xr:uid="{8AA50733-FEA7-44DA-A0D2-249F1802EE85}"/>
    <cellStyle name="Normal 4 2 3 2 3 2 4 2" xfId="21596" xr:uid="{AD49165A-94CF-4684-A9E8-62561DFC9419}"/>
    <cellStyle name="Normal 4 2 3 2 3 2 5" xfId="22870" xr:uid="{002A3DE3-8149-4791-9736-8E2B5599730A}"/>
    <cellStyle name="Normal 4 2 3 2 3 2 6" xfId="13859" xr:uid="{58D514D3-D6F4-41FF-B495-C30AA68E8D35}"/>
    <cellStyle name="Normal 4 2 3 2 3 3" xfId="2772" xr:uid="{00000000-0005-0000-0000-0000B1050000}"/>
    <cellStyle name="Normal 4 2 3 2 3 3 2" xfId="5990" xr:uid="{8EDC80F3-BB18-4116-839C-24DC107942DB}"/>
    <cellStyle name="Normal 4 2 3 2 3 3 2 2" xfId="26261" xr:uid="{867E8E3F-0666-4250-8DB7-7B567C4BCF8A}"/>
    <cellStyle name="Normal 4 2 3 2 3 3 2 3" xfId="15443" xr:uid="{51B34A18-73E8-4CC0-8B49-CCB35097E2D7}"/>
    <cellStyle name="Normal 4 2 3 2 3 3 3" xfId="7896" xr:uid="{56C41649-7049-4178-8B09-EA4F8628B3FF}"/>
    <cellStyle name="Normal 4 2 3 2 3 3 3 2" xfId="18276" xr:uid="{73B3F451-57B1-4100-BC37-6E7BF8770B14}"/>
    <cellStyle name="Normal 4 2 3 2 3 3 4" xfId="10729" xr:uid="{9E0578E9-AC8C-442E-8BBD-318D8230F97F}"/>
    <cellStyle name="Normal 4 2 3 2 3 3 4 2" xfId="21109" xr:uid="{A455727F-EC3B-477D-AA65-D9F9B6D3A6D7}"/>
    <cellStyle name="Normal 4 2 3 2 3 3 5" xfId="23976" xr:uid="{71D7DFB1-FD17-45FC-9DAF-7EEBC8A1FDF0}"/>
    <cellStyle name="Normal 4 2 3 2 3 3 6" xfId="13225" xr:uid="{0125291F-2C52-47D9-B6FF-93F5D4843EBA}"/>
    <cellStyle name="Normal 4 2 3 2 3 4" xfId="4186" xr:uid="{1DEFBAE0-A0A3-432C-A9F0-42580848E4E3}"/>
    <cellStyle name="Normal 4 2 3 2 3 4 2" xfId="8958" xr:uid="{2CE25E94-B24F-47E3-B36F-915FC78AF815}"/>
    <cellStyle name="Normal 4 2 3 2 3 4 2 2" xfId="29046" xr:uid="{56B3A386-38B6-4496-A9F5-076351356B47}"/>
    <cellStyle name="Normal 4 2 3 2 3 4 2 3" xfId="19338" xr:uid="{52C3D09E-D789-46D0-AF42-8DADEA265E27}"/>
    <cellStyle name="Normal 4 2 3 2 3 4 3" xfId="11791" xr:uid="{E4AA35A6-6AA7-4362-9E90-6C2936F3F133}"/>
    <cellStyle name="Normal 4 2 3 2 3 4 3 2" xfId="22171" xr:uid="{EF60385F-7448-4608-871D-B3FFAF694B51}"/>
    <cellStyle name="Normal 4 2 3 2 3 4 4" xfId="24949" xr:uid="{A4C522DF-B142-4EDE-8BF4-D44C81DAD4B8}"/>
    <cellStyle name="Normal 4 2 3 2 3 4 5" xfId="16505" xr:uid="{66085C31-CC84-4EB7-AB8A-120650E692A0}"/>
    <cellStyle name="Normal 4 2 3 2 3 5" xfId="5254" xr:uid="{9CEF59E5-F63B-43F6-8764-B25EF6C72324}"/>
    <cellStyle name="Normal 4 2 3 2 3 5 2" xfId="26862" xr:uid="{D0D7369A-B1F8-49C2-BF13-4CE12D00315A}"/>
    <cellStyle name="Normal 4 2 3 2 3 5 3" xfId="14552" xr:uid="{407CB54E-EC64-446F-8A2E-79F52CB746A4}"/>
    <cellStyle name="Normal 4 2 3 2 3 6" xfId="7005" xr:uid="{D036AE8A-60CC-4471-B10D-D2D5F097C2E2}"/>
    <cellStyle name="Normal 4 2 3 2 3 6 2" xfId="17385" xr:uid="{312546B7-C2EE-4F4D-9E26-9827A40EDFC1}"/>
    <cellStyle name="Normal 4 2 3 2 3 7" xfId="9838" xr:uid="{9E5AA68B-6EF3-4A19-B637-4A7F39B6DD8A}"/>
    <cellStyle name="Normal 4 2 3 2 3 7 2" xfId="20218" xr:uid="{BF15622C-D1C2-4A1D-913D-74CA0331F1F5}"/>
    <cellStyle name="Normal 4 2 3 2 3 8" xfId="25281" xr:uid="{D1F3FED7-DA20-4543-9147-972C7FD1A832}"/>
    <cellStyle name="Normal 4 2 3 2 3 9" xfId="12750" xr:uid="{A7A86424-DB42-45CE-9B3C-4830D0D72C9E}"/>
    <cellStyle name="Normal 4 2 3 2 4" xfId="3304" xr:uid="{00000000-0005-0000-0000-0000B2050000}"/>
    <cellStyle name="Normal 4 2 3 2 4 2" xfId="4516" xr:uid="{CC245521-A2AC-4403-9DBB-2B958F5DD097}"/>
    <cellStyle name="Normal 4 2 3 2 4 2 2" xfId="9288" xr:uid="{08FDC34A-6A5C-4A47-8F82-5B4324C8952A}"/>
    <cellStyle name="Normal 4 2 3 2 4 2 2 2" xfId="29269" xr:uid="{F55B0AE7-0F44-4986-B904-EB5A6313EDFA}"/>
    <cellStyle name="Normal 4 2 3 2 4 2 2 3" xfId="19668" xr:uid="{D7C76DF2-C637-432C-A52F-A79C20205DCE}"/>
    <cellStyle name="Normal 4 2 3 2 4 2 3" xfId="12121" xr:uid="{C904939E-AA7A-4366-B7AE-0EC5A39F67DE}"/>
    <cellStyle name="Normal 4 2 3 2 4 2 3 2" xfId="22501" xr:uid="{E01C7A6A-D51A-41E0-9D6A-16388F585402}"/>
    <cellStyle name="Normal 4 2 3 2 4 2 4" xfId="23346" xr:uid="{8BD4559B-4551-4936-92B9-C1B49A254CE3}"/>
    <cellStyle name="Normal 4 2 3 2 4 2 5" xfId="16835" xr:uid="{A66A5541-0154-492A-A1DF-3DEB613431E2}"/>
    <cellStyle name="Normal 4 2 3 2 4 3" xfId="6362" xr:uid="{EFA12493-F5FD-40B4-922B-403F198A4304}"/>
    <cellStyle name="Normal 4 2 3 2 4 3 2" xfId="26371" xr:uid="{6821BBD7-193D-49E1-A55A-C90B2C39E0B1}"/>
    <cellStyle name="Normal 4 2 3 2 4 3 3" xfId="15931" xr:uid="{1225C357-DC62-4259-90D6-E17258668A84}"/>
    <cellStyle name="Normal 4 2 3 2 4 4" xfId="8384" xr:uid="{C8CC2FE3-0278-4EBA-A280-6ECBA6B8B0A2}"/>
    <cellStyle name="Normal 4 2 3 2 4 4 2" xfId="18764" xr:uid="{B3567CBE-B310-4F26-A778-B9771B386D27}"/>
    <cellStyle name="Normal 4 2 3 2 4 5" xfId="11217" xr:uid="{1BB41705-20E0-409C-BD64-ABB46268D385}"/>
    <cellStyle name="Normal 4 2 3 2 4 5 2" xfId="21597" xr:uid="{BDFBD6A6-3646-4816-935F-631C49FCFD95}"/>
    <cellStyle name="Normal 4 2 3 2 4 6" xfId="24826" xr:uid="{AE3AA3E4-9541-4B09-9F86-C5D934D3E664}"/>
    <cellStyle name="Normal 4 2 3 2 4 7" xfId="13860" xr:uid="{72206FC7-0B96-4509-889B-0E5EF82238B5}"/>
    <cellStyle name="Normal 4 2 3 2 5" xfId="2932" xr:uid="{00000000-0005-0000-0000-0000B3050000}"/>
    <cellStyle name="Normal 4 2 3 2 5 2" xfId="6112" xr:uid="{EF13CB29-EC77-4A1D-88AE-CAE52F2FC3B3}"/>
    <cellStyle name="Normal 4 2 3 2 5 2 2" xfId="28661" xr:uid="{7FDDA227-0F7C-4717-8083-31E3C4B59D6B}"/>
    <cellStyle name="Normal 4 2 3 2 5 2 3" xfId="27366" xr:uid="{F83B9E79-4EF2-4F17-8A88-6CB3A0D6F5C5}"/>
    <cellStyle name="Normal 4 2 3 2 5 2 4" xfId="15590" xr:uid="{53CFB214-7340-4827-9A6F-BDE0BF13CBB9}"/>
    <cellStyle name="Normal 4 2 3 2 5 3" xfId="8043" xr:uid="{347405AE-F7E2-4DD0-BA1B-F9A73032B4C7}"/>
    <cellStyle name="Normal 4 2 3 2 5 3 2" xfId="28306" xr:uid="{75F39DE5-DF17-4FE6-AF6E-915A60CB5CC9}"/>
    <cellStyle name="Normal 4 2 3 2 5 3 3" xfId="18423" xr:uid="{1FFD5126-76AE-472E-A6C8-2CD846D10A2E}"/>
    <cellStyle name="Normal 4 2 3 2 5 4" xfId="10876" xr:uid="{A21240A8-3425-459D-AF7A-C9D596F96081}"/>
    <cellStyle name="Normal 4 2 3 2 5 4 2" xfId="21256" xr:uid="{0B0B6316-5ECB-4927-A0F0-F4C72259B9D7}"/>
    <cellStyle name="Normal 4 2 3 2 5 5" xfId="24258" xr:uid="{B62637BC-DF2E-4927-89BE-19F4E21E80B3}"/>
    <cellStyle name="Normal 4 2 3 2 5 6" xfId="13448" xr:uid="{00C74991-E7D3-4282-85AC-90BD2FEBBDC3}"/>
    <cellStyle name="Normal 4 2 3 2 6" xfId="2544" xr:uid="{00000000-0005-0000-0000-0000B4050000}"/>
    <cellStyle name="Normal 4 2 3 2 6 2" xfId="5816" xr:uid="{293E0C98-CA98-4DC3-95C7-2B18B15748A0}"/>
    <cellStyle name="Normal 4 2 3 2 6 2 2" xfId="26774" xr:uid="{9A034F82-9F94-4ECB-859C-CEA7A0663522}"/>
    <cellStyle name="Normal 4 2 3 2 6 2 3" xfId="15216" xr:uid="{8760C568-CBB1-4F6B-93C2-E327735E125D}"/>
    <cellStyle name="Normal 4 2 3 2 6 3" xfId="7669" xr:uid="{ECD6D6BF-7F36-4DC7-9056-51D43448CFF4}"/>
    <cellStyle name="Normal 4 2 3 2 6 3 2" xfId="18049" xr:uid="{EDC4F534-B97F-4705-BBC8-F6DFD30BAFE9}"/>
    <cellStyle name="Normal 4 2 3 2 6 4" xfId="10502" xr:uid="{B8CB40EC-3BE5-425D-B580-8F666E98AC96}"/>
    <cellStyle name="Normal 4 2 3 2 6 4 2" xfId="20882" xr:uid="{FE33DD13-8CD9-453C-9183-1343E8CB61AB}"/>
    <cellStyle name="Normal 4 2 3 2 6 5" xfId="22678" xr:uid="{EB2771FF-83DB-4BE8-A70D-8195FE8EBA09}"/>
    <cellStyle name="Normal 4 2 3 2 6 6" xfId="12932" xr:uid="{D8998256-A5DA-4B45-ADDC-1254E901F31A}"/>
    <cellStyle name="Normal 4 2 3 2 7" xfId="2238" xr:uid="{00000000-0005-0000-0000-0000A8050000}"/>
    <cellStyle name="Normal 4 2 3 2 7 2" xfId="7365" xr:uid="{8972484A-F219-462A-B65C-E92E4BCE5B24}"/>
    <cellStyle name="Normal 4 2 3 2 7 2 2" xfId="17745" xr:uid="{5400C91C-C59A-4A59-BFAE-AD35B9953A4B}"/>
    <cellStyle name="Normal 4 2 3 2 7 3" xfId="10198" xr:uid="{1834C5A4-DF54-4ACD-B293-AA63E8F7B8A8}"/>
    <cellStyle name="Normal 4 2 3 2 7 3 2" xfId="20578" xr:uid="{4EFD0C23-D13F-4498-9E25-5DFA90E608A0}"/>
    <cellStyle name="Normal 4 2 3 2 7 4" xfId="25079" xr:uid="{2AC24674-5A1C-4C89-9E80-72D1B23C7B66}"/>
    <cellStyle name="Normal 4 2 3 2 7 5" xfId="14912" xr:uid="{D54D9855-96DB-4DFE-9369-CBFBE4A30470}"/>
    <cellStyle name="Normal 4 2 3 2 8" xfId="3979" xr:uid="{46C4FFC8-6B57-4E1D-9AB5-47E04C856F6C}"/>
    <cellStyle name="Normal 4 2 3 2 8 2" xfId="8803" xr:uid="{4249F5BD-5F3F-4FD7-9E7A-C74EFE76F35D}"/>
    <cellStyle name="Normal 4 2 3 2 8 2 2" xfId="19183" xr:uid="{BAF09C08-6348-4832-B716-BB9E0DEEF79D}"/>
    <cellStyle name="Normal 4 2 3 2 8 3" xfId="11636" xr:uid="{CF34461F-5565-4C10-9587-05B8EA19FE1E}"/>
    <cellStyle name="Normal 4 2 3 2 8 3 2" xfId="22016" xr:uid="{20FCD6BC-C0B5-4954-B835-407699632997}"/>
    <cellStyle name="Normal 4 2 3 2 8 4" xfId="16350" xr:uid="{16C5E8BC-4143-47D9-9547-8053EA412692}"/>
    <cellStyle name="Normal 4 2 3 2 9" xfId="5252" xr:uid="{C4DC83C7-5871-4468-8486-F18B902F0D8C}"/>
    <cellStyle name="Normal 4 2 3 2 9 2" xfId="14550" xr:uid="{06E05F03-E05C-4EE0-B763-08078DB2805A}"/>
    <cellStyle name="Normal 4 2 3 3" xfId="950" xr:uid="{00000000-0005-0000-0000-000068050000}"/>
    <cellStyle name="Normal 4 2 3 3 10" xfId="9839" xr:uid="{25EC58C3-493E-406E-9427-BDB78C0B423E}"/>
    <cellStyle name="Normal 4 2 3 3 10 2" xfId="20219" xr:uid="{58AA0474-729E-4792-A811-73D61CB923D0}"/>
    <cellStyle name="Normal 4 2 3 3 11" xfId="24420" xr:uid="{E5DA6052-0696-452F-B06B-5C15C8DF8469}"/>
    <cellStyle name="Normal 4 2 3 3 12" xfId="12591" xr:uid="{3473E772-2AF7-46BA-A18B-3FBEDCDF24EE}"/>
    <cellStyle name="Normal 4 2 3 3 2" xfId="2774" xr:uid="{00000000-0005-0000-0000-0000B6050000}"/>
    <cellStyle name="Normal 4 2 3 3 2 2" xfId="3306" xr:uid="{00000000-0005-0000-0000-0000B7050000}"/>
    <cellStyle name="Normal 4 2 3 3 2 2 2" xfId="6364" xr:uid="{1CD81F59-7311-4C80-8F59-FA3959D45C6D}"/>
    <cellStyle name="Normal 4 2 3 3 2 2 2 2" xfId="26838" xr:uid="{729D81C3-FBFE-4689-A24D-F8590F273366}"/>
    <cellStyle name="Normal 4 2 3 3 2 2 2 3" xfId="26512" xr:uid="{A3A5386B-1A73-44F3-83F4-93626DC275F4}"/>
    <cellStyle name="Normal 4 2 3 3 2 2 2 4" xfId="15933" xr:uid="{00B7F0D6-92A1-4ED3-92F7-88BA358D614F}"/>
    <cellStyle name="Normal 4 2 3 3 2 2 3" xfId="8386" xr:uid="{748B9053-2A21-47A1-984C-38961D1872F4}"/>
    <cellStyle name="Normal 4 2 3 3 2 2 3 2" xfId="28904" xr:uid="{5852EDAE-9229-44E9-9A01-E6402EBC8D99}"/>
    <cellStyle name="Normal 4 2 3 3 2 2 3 3" xfId="18766" xr:uid="{27E3F9E4-1B75-4C4B-AA8D-3A9730581E47}"/>
    <cellStyle name="Normal 4 2 3 3 2 2 4" xfId="11219" xr:uid="{EA7DAFF5-A74A-426B-8108-9FB71F75132A}"/>
    <cellStyle name="Normal 4 2 3 3 2 2 4 2" xfId="21599" xr:uid="{7EDEEF2A-3542-4197-8FD6-9FA4B3BC94A7}"/>
    <cellStyle name="Normal 4 2 3 3 2 2 5" xfId="24426" xr:uid="{621059D3-C646-4807-9D3C-53A7E5B31D1B}"/>
    <cellStyle name="Normal 4 2 3 3 2 2 6" xfId="13862" xr:uid="{CEAF4B72-FBA7-454E-8D40-FD66885426E4}"/>
    <cellStyle name="Normal 4 2 3 3 2 3" xfId="4330" xr:uid="{05CAFDE6-C50A-4589-AD93-6071FC671BE7}"/>
    <cellStyle name="Normal 4 2 3 3 2 3 2" xfId="9102" xr:uid="{53504C1E-5403-49B7-885A-7F774A86E723}"/>
    <cellStyle name="Normal 4 2 3 3 2 3 2 2" xfId="29145" xr:uid="{221F318D-85CC-436E-B3FC-9C23CB56A426}"/>
    <cellStyle name="Normal 4 2 3 3 2 3 2 3" xfId="19482" xr:uid="{7AA7ABA4-CF2E-4DC2-9BFB-C7D2BBBE2E34}"/>
    <cellStyle name="Normal 4 2 3 3 2 3 3" xfId="11935" xr:uid="{855938AF-DA06-4CBF-8344-B869F971499C}"/>
    <cellStyle name="Normal 4 2 3 3 2 3 3 2" xfId="22315" xr:uid="{DCE2DCA2-3880-4FDD-A21B-992878DB8C8C}"/>
    <cellStyle name="Normal 4 2 3 3 2 3 4" xfId="24631" xr:uid="{31BFE68F-5225-47AC-B413-6F9B1FA70CB6}"/>
    <cellStyle name="Normal 4 2 3 3 2 3 5" xfId="16649" xr:uid="{C8E3014B-3479-4810-A4B6-11EFC4FC6373}"/>
    <cellStyle name="Normal 4 2 3 3 2 4" xfId="5992" xr:uid="{4A083A20-F2B9-4B42-9C6C-2B5F9C35C786}"/>
    <cellStyle name="Normal 4 2 3 3 2 4 2" xfId="28530" xr:uid="{6509E96D-230F-4003-8AFF-B9FDDB608DA4}"/>
    <cellStyle name="Normal 4 2 3 3 2 4 3" xfId="15445" xr:uid="{6C00E0FF-7983-403D-ADDB-8492E9A85854}"/>
    <cellStyle name="Normal 4 2 3 3 2 5" xfId="7898" xr:uid="{FA3EA1E6-DF14-446C-8C6A-7F6484382840}"/>
    <cellStyle name="Normal 4 2 3 3 2 5 2" xfId="18278" xr:uid="{C88802F8-DB09-441A-8344-7FFE42018A16}"/>
    <cellStyle name="Normal 4 2 3 3 2 6" xfId="10731" xr:uid="{D226724E-27D9-46CA-8390-7EF0A1056DF1}"/>
    <cellStyle name="Normal 4 2 3 3 2 6 2" xfId="21111" xr:uid="{D4B45722-41BB-4EB2-87B5-9BF3F3D98ADA}"/>
    <cellStyle name="Normal 4 2 3 3 2 7" xfId="23778" xr:uid="{72E4F31F-6C76-4827-B67C-DE9FFF561400}"/>
    <cellStyle name="Normal 4 2 3 3 2 8" xfId="13227" xr:uid="{10621F8B-1202-4589-B35D-FC72626CA259}"/>
    <cellStyle name="Normal 4 2 3 3 3" xfId="3307" xr:uid="{00000000-0005-0000-0000-0000B8050000}"/>
    <cellStyle name="Normal 4 2 3 3 3 2" xfId="4517" xr:uid="{6A4DCA90-A371-4656-9F2C-A2BDC2A6E07E}"/>
    <cellStyle name="Normal 4 2 3 3 3 2 2" xfId="9289" xr:uid="{6696BC9B-BBBD-4529-A2F4-FA8F579DD210}"/>
    <cellStyle name="Normal 4 2 3 3 3 2 2 2" xfId="29270" xr:uid="{E1FBAC63-15C8-410D-A466-36AF06B1ABAB}"/>
    <cellStyle name="Normal 4 2 3 3 3 2 2 3" xfId="19669" xr:uid="{5ED27F23-74DC-4247-875C-17F5FF39ACD8}"/>
    <cellStyle name="Normal 4 2 3 3 3 2 3" xfId="12122" xr:uid="{70A5F0E8-F95E-43FC-A12A-136F0DCD80A2}"/>
    <cellStyle name="Normal 4 2 3 3 3 2 3 2" xfId="22502" xr:uid="{5C352434-C6EA-430B-BB36-DE50FA1E7877}"/>
    <cellStyle name="Normal 4 2 3 3 3 2 4" xfId="25766" xr:uid="{5D5807B8-C6E2-4DDA-8FB4-D0E1EAD322A2}"/>
    <cellStyle name="Normal 4 2 3 3 3 2 5" xfId="16836" xr:uid="{E457555B-79B1-4831-A149-E9AD6EBAD87E}"/>
    <cellStyle name="Normal 4 2 3 3 3 3" xfId="6365" xr:uid="{D742FCCB-FC4F-41F2-BB18-70C256890AC6}"/>
    <cellStyle name="Normal 4 2 3 3 3 3 2" xfId="28739" xr:uid="{FB0F97AE-4E29-46C0-9017-9E207224AAF9}"/>
    <cellStyle name="Normal 4 2 3 3 3 3 3" xfId="15934" xr:uid="{B8B4A67E-5B91-47B3-8FEB-6941B5C87163}"/>
    <cellStyle name="Normal 4 2 3 3 3 4" xfId="8387" xr:uid="{6160E50C-8FB4-4FCC-BCCC-76AAA6C492E0}"/>
    <cellStyle name="Normal 4 2 3 3 3 4 2" xfId="18767" xr:uid="{13F72318-6A94-4295-83EA-AD682ED409AB}"/>
    <cellStyle name="Normal 4 2 3 3 3 5" xfId="11220" xr:uid="{A367C1C9-3790-43E4-8419-1CC1DE1B226C}"/>
    <cellStyle name="Normal 4 2 3 3 3 5 2" xfId="21600" xr:uid="{EAA6C400-7A9E-40E3-A705-620CD434DCBF}"/>
    <cellStyle name="Normal 4 2 3 3 3 6" xfId="22746" xr:uid="{E1F60546-EC14-433B-9FDD-85E285577137}"/>
    <cellStyle name="Normal 4 2 3 3 3 7" xfId="13863" xr:uid="{D936FFB1-B32F-4448-955D-C731B03C3AE5}"/>
    <cellStyle name="Normal 4 2 3 3 4" xfId="3305" xr:uid="{00000000-0005-0000-0000-0000B9050000}"/>
    <cellStyle name="Normal 4 2 3 3 4 2" xfId="6363" xr:uid="{30C827C5-2CB7-4BC0-BFD5-76805C33FFE3}"/>
    <cellStyle name="Normal 4 2 3 3 4 2 2" xfId="26649" xr:uid="{02E9A7EC-19AB-41B7-81E7-5CC820E9A12C}"/>
    <cellStyle name="Normal 4 2 3 3 4 2 3" xfId="15932" xr:uid="{3F283C22-AD3C-4861-B3F9-958A11C50E18}"/>
    <cellStyle name="Normal 4 2 3 3 4 3" xfId="8385" xr:uid="{BA647B05-0B4A-478B-A3C2-83934F5B1711}"/>
    <cellStyle name="Normal 4 2 3 3 4 3 2" xfId="18765" xr:uid="{2DA0F929-F647-4B86-BDA4-3941F920FF48}"/>
    <cellStyle name="Normal 4 2 3 3 4 4" xfId="11218" xr:uid="{314E0CC9-533F-4CE4-90BB-D31C8E9329D9}"/>
    <cellStyle name="Normal 4 2 3 3 4 4 2" xfId="21598" xr:uid="{1EA1C35A-8471-4577-B748-62F55A1B3D00}"/>
    <cellStyle name="Normal 4 2 3 3 4 5" xfId="25458" xr:uid="{73B82462-F451-4208-880C-A1F4B204F064}"/>
    <cellStyle name="Normal 4 2 3 3 4 6" xfId="13861" xr:uid="{E7BD0201-9B39-48E2-9735-4501A70B220C}"/>
    <cellStyle name="Normal 4 2 3 3 5" xfId="2587" xr:uid="{00000000-0005-0000-0000-0000BA050000}"/>
    <cellStyle name="Normal 4 2 3 3 5 2" xfId="5852" xr:uid="{8600F437-F318-40A9-853F-30090BC6E1B0}"/>
    <cellStyle name="Normal 4 2 3 3 5 2 2" xfId="28345" xr:uid="{02921BA6-4E50-482B-9BD4-81F5B53598B8}"/>
    <cellStyle name="Normal 4 2 3 3 5 2 3" xfId="15259" xr:uid="{18221306-AFAC-4DA7-B87A-9C58515CB900}"/>
    <cellStyle name="Normal 4 2 3 3 5 3" xfId="7712" xr:uid="{5F2B10FC-B0EA-42A9-9A6A-313FFA47B160}"/>
    <cellStyle name="Normal 4 2 3 3 5 3 2" xfId="18092" xr:uid="{88A28A0F-5B43-43B2-8BDD-3EE9879C34E4}"/>
    <cellStyle name="Normal 4 2 3 3 5 4" xfId="10545" xr:uid="{A1424A49-014E-4746-A827-C11BAA5DE421}"/>
    <cellStyle name="Normal 4 2 3 3 5 4 2" xfId="20925" xr:uid="{C4B02CBA-BBA7-446F-9367-3CABF4C2E6A1}"/>
    <cellStyle name="Normal 4 2 3 3 5 5" xfId="25528" xr:uid="{283AA715-620D-45CA-8179-4D82E62BE102}"/>
    <cellStyle name="Normal 4 2 3 3 5 6" xfId="12975" xr:uid="{BA51BFBE-5042-4DFB-8D87-728311F73588}"/>
    <cellStyle name="Normal 4 2 3 3 6" xfId="2357" xr:uid="{00000000-0005-0000-0000-0000B5050000}"/>
    <cellStyle name="Normal 4 2 3 3 6 2" xfId="7484" xr:uid="{CFCE80E9-BE88-44D5-94F3-67D08275F55A}"/>
    <cellStyle name="Normal 4 2 3 3 6 2 2" xfId="17864" xr:uid="{8B93EE89-852A-4CEA-A44F-44CE7F43AFFC}"/>
    <cellStyle name="Normal 4 2 3 3 6 3" xfId="10317" xr:uid="{42D561D3-C464-42ED-B3E6-9BD5E46FBCE1}"/>
    <cellStyle name="Normal 4 2 3 3 6 3 2" xfId="20697" xr:uid="{2F9CC1EE-1342-43F7-A6F0-B696DB089CA9}"/>
    <cellStyle name="Normal 4 2 3 3 6 4" xfId="23179" xr:uid="{CF85037C-BA88-49FF-94D5-224F9ACE17E7}"/>
    <cellStyle name="Normal 4 2 3 3 6 5" xfId="15031" xr:uid="{524619C0-8F27-4B96-ADCA-377414F4603C}"/>
    <cellStyle name="Normal 4 2 3 3 7" xfId="3894" xr:uid="{9FA658B2-0CD2-44BB-93CB-908D10C28D28}"/>
    <cellStyle name="Normal 4 2 3 3 7 2" xfId="8726" xr:uid="{0027EAC9-44D8-40A9-B4C2-10D13AE413C5}"/>
    <cellStyle name="Normal 4 2 3 3 7 2 2" xfId="19106" xr:uid="{B2C7124D-EEFF-4D90-9921-5B7E5FF6CB40}"/>
    <cellStyle name="Normal 4 2 3 3 7 3" xfId="11559" xr:uid="{85C81E62-23DD-4DBB-90AF-911629682FB0}"/>
    <cellStyle name="Normal 4 2 3 3 7 3 2" xfId="21939" xr:uid="{747F3EE8-D18B-4691-AF48-12BF0211BB3A}"/>
    <cellStyle name="Normal 4 2 3 3 7 4" xfId="16273" xr:uid="{B4975713-7DDF-4D95-A163-79EEBF40DD73}"/>
    <cellStyle name="Normal 4 2 3 3 8" xfId="5255" xr:uid="{C825A153-7A6F-448C-BD12-5CD9A2172765}"/>
    <cellStyle name="Normal 4 2 3 3 8 2" xfId="14553" xr:uid="{6FF81324-D179-4090-971F-FA778C240155}"/>
    <cellStyle name="Normal 4 2 3 3 9" xfId="7006" xr:uid="{0F80BCE5-D41C-4C50-9E02-DC90E42D3A42}"/>
    <cellStyle name="Normal 4 2 3 3 9 2" xfId="17386" xr:uid="{9DB66723-671B-4FA2-82E4-F01D3F77FABC}"/>
    <cellStyle name="Normal 4 2 3 4" xfId="951" xr:uid="{00000000-0005-0000-0000-000069050000}"/>
    <cellStyle name="Normal 4 2 3 4 2" xfId="3308" xr:uid="{00000000-0005-0000-0000-0000BC050000}"/>
    <cellStyle name="Normal 4 2 3 4 2 2" xfId="6366" xr:uid="{15885116-FA71-4A90-A75B-3F076EA644CD}"/>
    <cellStyle name="Normal 4 2 3 4 2 2 2" xfId="23393" xr:uid="{66009578-905B-4570-A71A-3FD44C5C0E5C}"/>
    <cellStyle name="Normal 4 2 3 4 2 2 3" xfId="26051" xr:uid="{F3B831F5-176A-4CB0-B3CF-DF8EA10CC7D8}"/>
    <cellStyle name="Normal 4 2 3 4 2 2 4" xfId="15935" xr:uid="{2F9AD8D0-D03E-4CD9-9C68-0AC8D31E95B6}"/>
    <cellStyle name="Normal 4 2 3 4 2 3" xfId="8388" xr:uid="{7764CF8C-0268-4BB4-972C-E444BCA261A8}"/>
    <cellStyle name="Normal 4 2 3 4 2 3 2" xfId="28905" xr:uid="{D36AFA7C-32FB-4232-A06E-892CD04B86A6}"/>
    <cellStyle name="Normal 4 2 3 4 2 3 3" xfId="18768" xr:uid="{8D9D8AA9-35A1-4D8D-88E4-9F8EEDB17C57}"/>
    <cellStyle name="Normal 4 2 3 4 2 4" xfId="11221" xr:uid="{9EFA8B02-449A-49EC-A945-AD1EE6AB5C80}"/>
    <cellStyle name="Normal 4 2 3 4 2 4 2" xfId="21601" xr:uid="{EB21F535-F292-4B26-A798-028930C99D81}"/>
    <cellStyle name="Normal 4 2 3 4 2 5" xfId="23072" xr:uid="{F8FFBBA4-8152-47B0-9D71-FEA29ABDAEAE}"/>
    <cellStyle name="Normal 4 2 3 4 2 6" xfId="13864" xr:uid="{21A75129-1CE7-427E-8DF6-1A9767C2842D}"/>
    <cellStyle name="Normal 4 2 3 4 3" xfId="2771" xr:uid="{00000000-0005-0000-0000-0000BD050000}"/>
    <cellStyle name="Normal 4 2 3 4 3 2" xfId="5989" xr:uid="{E2680F38-B585-4DC0-B2C6-9A27103D3997}"/>
    <cellStyle name="Normal 4 2 3 4 3 2 2" xfId="26824" xr:uid="{18882200-BFC7-42E2-88CF-85BD31EEE036}"/>
    <cellStyle name="Normal 4 2 3 4 3 2 3" xfId="15442" xr:uid="{38C3E382-4FB3-4F4C-B2DB-ED232731AE46}"/>
    <cellStyle name="Normal 4 2 3 4 3 3" xfId="7895" xr:uid="{41E82A28-46F4-449C-BD43-86E81CD4F6E1}"/>
    <cellStyle name="Normal 4 2 3 4 3 3 2" xfId="18275" xr:uid="{781466C1-8E2B-4D70-A405-474B6799E0AE}"/>
    <cellStyle name="Normal 4 2 3 4 3 4" xfId="10728" xr:uid="{FF171E7E-21DD-4186-BFA0-C0FDC4F1D159}"/>
    <cellStyle name="Normal 4 2 3 4 3 4 2" xfId="21108" xr:uid="{A88CFF59-1E1E-4C8D-9D05-B6D999DB226E}"/>
    <cellStyle name="Normal 4 2 3 4 3 5" xfId="22892" xr:uid="{74F1C319-2A39-4A13-BD63-641BD69B3F50}"/>
    <cellStyle name="Normal 4 2 3 4 3 6" xfId="13224" xr:uid="{35154037-21B1-4EFD-9FE0-89D44781CB67}"/>
    <cellStyle name="Normal 4 2 3 4 4" xfId="4185" xr:uid="{677A8D55-C78B-4372-9CCE-17A940B9914E}"/>
    <cellStyle name="Normal 4 2 3 4 4 2" xfId="8957" xr:uid="{7E885884-59BB-4B78-B243-9D257FF8CC04}"/>
    <cellStyle name="Normal 4 2 3 4 4 2 2" xfId="29045" xr:uid="{61A6C1D5-8F16-4CC6-9D49-5014EC7A95B3}"/>
    <cellStyle name="Normal 4 2 3 4 4 2 3" xfId="19337" xr:uid="{406E4F20-38A8-478E-82AB-991C1FDD3868}"/>
    <cellStyle name="Normal 4 2 3 4 4 3" xfId="11790" xr:uid="{DA45C73A-14CB-473A-9D6C-EBAFC3F9EDD8}"/>
    <cellStyle name="Normal 4 2 3 4 4 3 2" xfId="22170" xr:uid="{0D04C51E-441E-4B20-B961-65F8017070B8}"/>
    <cellStyle name="Normal 4 2 3 4 4 4" xfId="24708" xr:uid="{2261FEC8-4A5A-4445-9FE4-C5A480F122B5}"/>
    <cellStyle name="Normal 4 2 3 4 4 5" xfId="16504" xr:uid="{214CB978-CEDA-4045-A914-8AAF6B152B01}"/>
    <cellStyle name="Normal 4 2 3 4 5" xfId="5256" xr:uid="{6B7659AE-173E-427E-80E3-F83930005EB9}"/>
    <cellStyle name="Normal 4 2 3 4 5 2" xfId="26197" xr:uid="{C4CD90A9-9AC9-4AAA-9DD5-66469D0F5C02}"/>
    <cellStyle name="Normal 4 2 3 4 5 3" xfId="14554" xr:uid="{CA229418-26F0-4924-99F4-B7745655967E}"/>
    <cellStyle name="Normal 4 2 3 4 6" xfId="7007" xr:uid="{4A190C7E-CA6F-4FDD-9C9D-9E6AF75E39F4}"/>
    <cellStyle name="Normal 4 2 3 4 6 2" xfId="17387" xr:uid="{8BCECC1B-C486-4F49-AAEA-FE27C8A84A4A}"/>
    <cellStyle name="Normal 4 2 3 4 7" xfId="9840" xr:uid="{6B4666AB-6BD3-45FE-988D-A4432552852B}"/>
    <cellStyle name="Normal 4 2 3 4 7 2" xfId="20220" xr:uid="{2AB87C0F-0D72-46BE-B503-049391DECB0B}"/>
    <cellStyle name="Normal 4 2 3 4 8" xfId="24045" xr:uid="{8496056C-5F7A-4783-BE4F-4D1CDE1E88A8}"/>
    <cellStyle name="Normal 4 2 3 4 9" xfId="12749" xr:uid="{D879B53D-03A7-421F-926A-7C7F27CFB1EB}"/>
    <cellStyle name="Normal 4 2 3 5" xfId="952" xr:uid="{00000000-0005-0000-0000-00006A050000}"/>
    <cellStyle name="Normal 4 2 3 5 2" xfId="4518" xr:uid="{4656EF47-2BD5-4483-8BFA-04B1850E55AE}"/>
    <cellStyle name="Normal 4 2 3 5 2 2" xfId="9290" xr:uid="{2B386E9D-B1B9-4E1D-BA7C-01B1EDFB051A}"/>
    <cellStyle name="Normal 4 2 3 5 2 2 2" xfId="29271" xr:uid="{A7637314-6F51-4FED-819F-042454F4C41F}"/>
    <cellStyle name="Normal 4 2 3 5 2 2 3" xfId="19670" xr:uid="{51701C86-A7D7-4F9C-9536-1B7BA0A22FD5}"/>
    <cellStyle name="Normal 4 2 3 5 2 3" xfId="12123" xr:uid="{573B4A00-59BC-47E7-B6BB-4C2F67C2A1F4}"/>
    <cellStyle name="Normal 4 2 3 5 2 3 2" xfId="22503" xr:uid="{30C8EF28-C1F2-4282-981B-CD5A597746E1}"/>
    <cellStyle name="Normal 4 2 3 5 2 4" xfId="24715" xr:uid="{2A754CB1-007A-4F5B-91B5-EED4802A381E}"/>
    <cellStyle name="Normal 4 2 3 5 2 5" xfId="16837" xr:uid="{4FF1ABBF-2E9E-42E5-8193-FC78B514B1B4}"/>
    <cellStyle name="Normal 4 2 3 5 3" xfId="5257" xr:uid="{0F54D9FF-DC19-49A4-8495-82236AB0606A}"/>
    <cellStyle name="Normal 4 2 3 5 3 2" xfId="27585" xr:uid="{525EDE61-2BC9-4F10-B427-4CE0CD04B50F}"/>
    <cellStyle name="Normal 4 2 3 5 3 3" xfId="14555" xr:uid="{35796630-1041-4014-9D5A-87EB276C3477}"/>
    <cellStyle name="Normal 4 2 3 5 4" xfId="7008" xr:uid="{8CF81234-63BF-40BF-9EA6-1CDFD899DB31}"/>
    <cellStyle name="Normal 4 2 3 5 4 2" xfId="17388" xr:uid="{BA189343-9CA4-4276-9188-1B3B861D1F3B}"/>
    <cellStyle name="Normal 4 2 3 5 5" xfId="9841" xr:uid="{1D591E55-031E-4F44-B24C-F11C9D68E9B2}"/>
    <cellStyle name="Normal 4 2 3 5 5 2" xfId="20221" xr:uid="{8E5CDEBF-5808-4D1C-90FB-14AA86F96FA6}"/>
    <cellStyle name="Normal 4 2 3 5 6" xfId="23040" xr:uid="{E2B3C8B6-91D6-4008-8B66-921D62637234}"/>
    <cellStyle name="Normal 4 2 3 5 7" xfId="13865" xr:uid="{14965001-C387-42B6-836B-8AFE06586FE5}"/>
    <cellStyle name="Normal 4 2 3 6" xfId="2931" xr:uid="{00000000-0005-0000-0000-0000BF050000}"/>
    <cellStyle name="Normal 4 2 3 6 2" xfId="6111" xr:uid="{446165BE-328B-44C8-BC15-FB79F76ED3D9}"/>
    <cellStyle name="Normal 4 2 3 6 2 2" xfId="25665" xr:uid="{83A359C9-2336-419C-AED0-B1E6C7ADE2E8}"/>
    <cellStyle name="Normal 4 2 3 6 2 3" xfId="28261" xr:uid="{B0AD0ECD-F641-4279-B08F-41B1D1038CE9}"/>
    <cellStyle name="Normal 4 2 3 6 2 4" xfId="15589" xr:uid="{0E0ED630-CABF-4DD8-ABA9-CEF30DFEA6BF}"/>
    <cellStyle name="Normal 4 2 3 6 3" xfId="8042" xr:uid="{FDEF862E-B81A-41E9-8BE9-99343B878974}"/>
    <cellStyle name="Normal 4 2 3 6 3 2" xfId="26107" xr:uid="{C978C064-4C7E-4CED-9004-622384883182}"/>
    <cellStyle name="Normal 4 2 3 6 3 3" xfId="18422" xr:uid="{D90FBCF7-0408-4492-8E8B-05AC1B94A270}"/>
    <cellStyle name="Normal 4 2 3 6 4" xfId="10875" xr:uid="{6BC091B2-B780-4BC4-A5AF-BA3A2D12F4F8}"/>
    <cellStyle name="Normal 4 2 3 6 4 2" xfId="21255" xr:uid="{05D21080-D7B8-4B54-9613-D0E1C1F22DD4}"/>
    <cellStyle name="Normal 4 2 3 6 5" xfId="24677" xr:uid="{38FC6B86-80D9-4670-960F-8730C0CFC4C4}"/>
    <cellStyle name="Normal 4 2 3 6 6" xfId="13447" xr:uid="{16A609A2-FE49-43CB-BB3E-F2262B30A475}"/>
    <cellStyle name="Normal 4 2 3 7" xfId="2484" xr:uid="{00000000-0005-0000-0000-0000C0050000}"/>
    <cellStyle name="Normal 4 2 3 7 2" xfId="5770" xr:uid="{F4A12FC9-BED2-42A5-BCFE-7B22AB063CA7}"/>
    <cellStyle name="Normal 4 2 3 7 2 2" xfId="28123" xr:uid="{2E024300-D0E0-41D1-91A3-3749EA92F464}"/>
    <cellStyle name="Normal 4 2 3 7 2 3" xfId="15156" xr:uid="{5FDF95AF-F9CB-4C85-8ED8-1E7BFACCB765}"/>
    <cellStyle name="Normal 4 2 3 7 3" xfId="7609" xr:uid="{F335C29A-EA68-4417-BE03-E7024A1ADE71}"/>
    <cellStyle name="Normal 4 2 3 7 3 2" xfId="17989" xr:uid="{CDE19C8D-7B38-483D-B4BF-2E34F83D91F9}"/>
    <cellStyle name="Normal 4 2 3 7 4" xfId="10442" xr:uid="{C0DFBBA3-8AC1-44DE-941A-9074A9D381B9}"/>
    <cellStyle name="Normal 4 2 3 7 4 2" xfId="20822" xr:uid="{08D247D1-525B-4DBB-9278-847036D3334D}"/>
    <cellStyle name="Normal 4 2 3 7 5" xfId="22676" xr:uid="{E59BC248-21DD-4CA6-8C42-120C4A42E3D2}"/>
    <cellStyle name="Normal 4 2 3 7 6" xfId="12872" xr:uid="{0914C74F-D3F8-4A3C-8F28-E02E0FA47CA2}"/>
    <cellStyle name="Normal 4 2 3 8" xfId="2178" xr:uid="{00000000-0005-0000-0000-0000A7050000}"/>
    <cellStyle name="Normal 4 2 3 8 2" xfId="7305" xr:uid="{EF585BE3-52CF-4A9C-B6EB-C56CD98A4930}"/>
    <cellStyle name="Normal 4 2 3 8 2 2" xfId="17685" xr:uid="{05F10ABB-C7A8-4DAF-B37D-4495F74C9B2E}"/>
    <cellStyle name="Normal 4 2 3 8 3" xfId="10138" xr:uid="{17119CE7-9826-4EB9-A82D-A92672FF273E}"/>
    <cellStyle name="Normal 4 2 3 8 3 2" xfId="20518" xr:uid="{90BBE726-0B56-42FB-963E-A2DB570C4DAC}"/>
    <cellStyle name="Normal 4 2 3 8 4" xfId="24122" xr:uid="{6A19462F-AFFE-4E51-9668-9EDB2B36017B}"/>
    <cellStyle name="Normal 4 2 3 8 5" xfId="14852" xr:uid="{EED6880F-F7E4-4B99-8530-CBEB91354EB0}"/>
    <cellStyle name="Normal 4 2 3 9" xfId="3978" xr:uid="{7818914E-813A-42B3-A95F-7A98C3EB8C89}"/>
    <cellStyle name="Normal 4 2 3 9 2" xfId="8802" xr:uid="{5B3B7504-11EE-438E-99B2-7CC4C7B6A29C}"/>
    <cellStyle name="Normal 4 2 3 9 2 2" xfId="19182" xr:uid="{EB5EC1D6-71C1-4505-B131-A9764C468763}"/>
    <cellStyle name="Normal 4 2 3 9 3" xfId="11635" xr:uid="{0231D9F0-98E3-48FE-A32C-E5F266DB8F08}"/>
    <cellStyle name="Normal 4 2 3 9 3 2" xfId="22015" xr:uid="{02F3A305-D4E3-402F-A954-D00A09EA835A}"/>
    <cellStyle name="Normal 4 2 3 9 4" xfId="16349" xr:uid="{15FFFFCF-8FC4-4468-AC0B-775E7AB98BF2}"/>
    <cellStyle name="Normal 4 2 4" xfId="953" xr:uid="{00000000-0005-0000-0000-00006B050000}"/>
    <cellStyle name="Normal 4 2 4 10" xfId="5258" xr:uid="{92557A2A-6922-415A-915C-DC7EBA6DC24E}"/>
    <cellStyle name="Normal 4 2 4 10 2" xfId="14556" xr:uid="{4DA1E953-C235-4F77-811B-235A94CD7C1C}"/>
    <cellStyle name="Normal 4 2 4 11" xfId="7009" xr:uid="{E287E4C4-88A8-4146-9B3E-DEAB030FA39B}"/>
    <cellStyle name="Normal 4 2 4 11 2" xfId="17389" xr:uid="{5D3E21C3-6CB3-4E3A-9BDF-15A54915CED8}"/>
    <cellStyle name="Normal 4 2 4 12" xfId="9842" xr:uid="{53F88A13-5143-45C1-8FE3-AA389BB93023}"/>
    <cellStyle name="Normal 4 2 4 12 2" xfId="20222" xr:uid="{DFEBD4B4-3DC5-4B4C-AC56-D72D0D9DC9F6}"/>
    <cellStyle name="Normal 4 2 4 13" xfId="25127" xr:uid="{914E5B49-75AF-4E14-8809-E53FB4E312D0}"/>
    <cellStyle name="Normal 4 2 4 14" xfId="12416" xr:uid="{4EC55601-18DD-4A6B-ABFF-18BC1EB06292}"/>
    <cellStyle name="Normal 4 2 4 2" xfId="954" xr:uid="{00000000-0005-0000-0000-00006C050000}"/>
    <cellStyle name="Normal 4 2 4 2 10" xfId="7010" xr:uid="{1B33CC15-95FC-4B88-B900-A5A070CDF8CE}"/>
    <cellStyle name="Normal 4 2 4 2 10 2" xfId="17390" xr:uid="{D9C72AD7-7534-4359-8C9D-EC3093305EF7}"/>
    <cellStyle name="Normal 4 2 4 2 11" xfId="9843" xr:uid="{327F9A4D-7C9F-4596-A209-3C53C77B10F7}"/>
    <cellStyle name="Normal 4 2 4 2 11 2" xfId="20223" xr:uid="{ED97466E-5897-48B5-A257-A8C01C9B7D3D}"/>
    <cellStyle name="Normal 4 2 4 2 12" xfId="25405" xr:uid="{7BE420BF-B3C3-49CC-8877-309657D14EC0}"/>
    <cellStyle name="Normal 4 2 4 2 13" xfId="12476" xr:uid="{9AAAE6D2-BDFE-4D25-A37D-C614586DC883}"/>
    <cellStyle name="Normal 4 2 4 2 2" xfId="955" xr:uid="{00000000-0005-0000-0000-00006D050000}"/>
    <cellStyle name="Normal 4 2 4 2 2 10" xfId="13041" xr:uid="{0518ADBA-EAE1-44C9-BD9C-5C095DBC040B}"/>
    <cellStyle name="Normal 4 2 4 2 2 2" xfId="2777" xr:uid="{00000000-0005-0000-0000-0000C4050000}"/>
    <cellStyle name="Normal 4 2 4 2 2 2 2" xfId="3311" xr:uid="{00000000-0005-0000-0000-0000C5050000}"/>
    <cellStyle name="Normal 4 2 4 2 2 2 2 2" xfId="6369" xr:uid="{F7F46212-965D-443A-BC2B-8EF3D4E7B6E4}"/>
    <cellStyle name="Normal 4 2 4 2 2 2 2 2 2" xfId="28489" xr:uid="{F27A126C-BAC6-4865-B2A7-C59E5C630FC1}"/>
    <cellStyle name="Normal 4 2 4 2 2 2 2 2 3" xfId="15938" xr:uid="{CF796483-6C59-458A-B0D3-CF3607D2D278}"/>
    <cellStyle name="Normal 4 2 4 2 2 2 2 3" xfId="8391" xr:uid="{02B35389-3627-4F92-8F2E-F4E26D2545B4}"/>
    <cellStyle name="Normal 4 2 4 2 2 2 2 3 2" xfId="18771" xr:uid="{72A46A02-D935-4C9F-A630-70B89D1277EA}"/>
    <cellStyle name="Normal 4 2 4 2 2 2 2 4" xfId="11224" xr:uid="{D6261DBD-B929-4065-B8D2-98236B18BA5D}"/>
    <cellStyle name="Normal 4 2 4 2 2 2 2 4 2" xfId="21604" xr:uid="{E0D20DC9-2DD0-47EB-8B99-FA7962417642}"/>
    <cellStyle name="Normal 4 2 4 2 2 2 2 5" xfId="25287" xr:uid="{79B17386-25AF-4533-BB2D-E27F54B6F6C9}"/>
    <cellStyle name="Normal 4 2 4 2 2 2 2 6" xfId="13868" xr:uid="{F35C7E5F-69FA-446D-9166-6E3F72F158FB}"/>
    <cellStyle name="Normal 4 2 4 2 2 2 3" xfId="4332" xr:uid="{962AEA59-F20B-410D-B9C7-AE0EB4985D35}"/>
    <cellStyle name="Normal 4 2 4 2 2 2 3 2" xfId="9104" xr:uid="{D6825B2B-352F-463F-BF6B-9A946D68C952}"/>
    <cellStyle name="Normal 4 2 4 2 2 2 3 2 2" xfId="29147" xr:uid="{748526D6-91CD-4708-BEEB-DF016A2128D5}"/>
    <cellStyle name="Normal 4 2 4 2 2 2 3 2 3" xfId="19484" xr:uid="{32966831-1FDA-4A3F-A819-3B84E1552744}"/>
    <cellStyle name="Normal 4 2 4 2 2 2 3 3" xfId="11937" xr:uid="{4E76D198-2015-488C-8EDD-AECFC07D6198}"/>
    <cellStyle name="Normal 4 2 4 2 2 2 3 3 2" xfId="22317" xr:uid="{C7D158B7-F744-434B-A515-35CADF5090FC}"/>
    <cellStyle name="Normal 4 2 4 2 2 2 3 4" xfId="23288" xr:uid="{24CDC4A8-6E19-4F8C-B89D-82F45A458965}"/>
    <cellStyle name="Normal 4 2 4 2 2 2 3 5" xfId="16651" xr:uid="{746A0C6C-721F-41CB-B94D-A0F160F2C2B5}"/>
    <cellStyle name="Normal 4 2 4 2 2 2 4" xfId="5995" xr:uid="{0C60D263-E577-4612-B43C-D2384F51FA2A}"/>
    <cellStyle name="Normal 4 2 4 2 2 2 4 2" xfId="27101" xr:uid="{D3ED555A-8C77-4222-A8A7-6D61AB6ADC8B}"/>
    <cellStyle name="Normal 4 2 4 2 2 2 4 3" xfId="15448" xr:uid="{C1BE2F4E-2212-42A8-BC0B-9788EA180924}"/>
    <cellStyle name="Normal 4 2 4 2 2 2 5" xfId="7901" xr:uid="{BAECB433-03CF-4A94-8327-A5F1E50AC443}"/>
    <cellStyle name="Normal 4 2 4 2 2 2 5 2" xfId="18281" xr:uid="{AF4AACD1-6E5C-4C26-9158-465C893271F8}"/>
    <cellStyle name="Normal 4 2 4 2 2 2 6" xfId="10734" xr:uid="{7579DA1D-51EB-403F-8267-0189AEB5DC1D}"/>
    <cellStyle name="Normal 4 2 4 2 2 2 6 2" xfId="21114" xr:uid="{0E774EBC-C085-4829-821B-A528B72D724D}"/>
    <cellStyle name="Normal 4 2 4 2 2 2 7" xfId="24084" xr:uid="{73281CDE-EC60-44AC-A9D4-25E152DFDF7D}"/>
    <cellStyle name="Normal 4 2 4 2 2 2 8" xfId="13230" xr:uid="{65423134-FD4E-4F49-A63E-35B75C1BC091}"/>
    <cellStyle name="Normal 4 2 4 2 2 3" xfId="3312" xr:uid="{00000000-0005-0000-0000-0000C6050000}"/>
    <cellStyle name="Normal 4 2 4 2 2 3 2" xfId="4519" xr:uid="{8785A69D-3EE6-4D8B-93FB-1937C1B62C27}"/>
    <cellStyle name="Normal 4 2 4 2 2 3 2 2" xfId="9291" xr:uid="{0CE73404-82F4-45BB-A3C1-EE240E66AF64}"/>
    <cellStyle name="Normal 4 2 4 2 2 3 2 2 2" xfId="19671" xr:uid="{2D31876F-5C19-471D-9CB3-84A3016DE877}"/>
    <cellStyle name="Normal 4 2 4 2 2 3 2 3" xfId="12124" xr:uid="{EF807780-426F-4880-BB7D-7F818E4480F2}"/>
    <cellStyle name="Normal 4 2 4 2 2 3 2 3 2" xfId="22504" xr:uid="{64838BF5-17B6-4C61-A36B-832640FF7334}"/>
    <cellStyle name="Normal 4 2 4 2 2 3 2 4" xfId="26546" xr:uid="{2F8CD3E1-4934-4E26-9941-D6217A646EDC}"/>
    <cellStyle name="Normal 4 2 4 2 2 3 2 5" xfId="16838" xr:uid="{4B27BEDA-DFE1-4D06-81F0-214FA72DD545}"/>
    <cellStyle name="Normal 4 2 4 2 2 3 3" xfId="6370" xr:uid="{DE2B9C1A-7D2C-4E97-A9E9-FA07BA1D056A}"/>
    <cellStyle name="Normal 4 2 4 2 2 3 3 2" xfId="15939" xr:uid="{037C1F9C-AFAD-4BFD-8509-067930C5B2E5}"/>
    <cellStyle name="Normal 4 2 4 2 2 3 4" xfId="8392" xr:uid="{93F7310A-E24F-470B-865E-8F0FA2BDF80A}"/>
    <cellStyle name="Normal 4 2 4 2 2 3 4 2" xfId="18772" xr:uid="{0FE431C9-DEA2-4068-B33E-F71B35EA269A}"/>
    <cellStyle name="Normal 4 2 4 2 2 3 5" xfId="11225" xr:uid="{FA16BA0A-8D55-44C9-AD70-122FC48F14CE}"/>
    <cellStyle name="Normal 4 2 4 2 2 3 5 2" xfId="21605" xr:uid="{B37FAB07-9E6E-42DD-B067-BBB4D564F671}"/>
    <cellStyle name="Normal 4 2 4 2 2 3 6" xfId="23424" xr:uid="{D1976568-D927-41C7-9358-2AD2A9196E78}"/>
    <cellStyle name="Normal 4 2 4 2 2 3 7" xfId="13869" xr:uid="{4370A27A-01EB-48DE-B0CC-5E8DBC2BEFDC}"/>
    <cellStyle name="Normal 4 2 4 2 2 4" xfId="3310" xr:uid="{00000000-0005-0000-0000-0000C7050000}"/>
    <cellStyle name="Normal 4 2 4 2 2 4 2" xfId="6368" xr:uid="{7A44404F-AA80-4570-8CDB-9231464368EF}"/>
    <cellStyle name="Normal 4 2 4 2 2 4 2 2" xfId="26932" xr:uid="{B273AB90-00EF-4FBF-BE01-C8EBF67866F2}"/>
    <cellStyle name="Normal 4 2 4 2 2 4 2 3" xfId="15937" xr:uid="{28CB331E-9E5B-4D0F-988F-3C4F109C63F6}"/>
    <cellStyle name="Normal 4 2 4 2 2 4 3" xfId="8390" xr:uid="{0172FC6E-FC4E-4F13-96F8-1607BE35AEEB}"/>
    <cellStyle name="Normal 4 2 4 2 2 4 3 2" xfId="18770" xr:uid="{76737887-7890-46BC-B264-607C3D6E499B}"/>
    <cellStyle name="Normal 4 2 4 2 2 4 4" xfId="11223" xr:uid="{2D578303-F774-4DB9-A7CD-9CDC432616E6}"/>
    <cellStyle name="Normal 4 2 4 2 2 4 4 2" xfId="21603" xr:uid="{47EFD2C0-9AE5-4458-A1E1-8046DAB75A2C}"/>
    <cellStyle name="Normal 4 2 4 2 2 4 5" xfId="24015" xr:uid="{F2A8BBA6-C5D5-49B6-B0DC-99C672104553}"/>
    <cellStyle name="Normal 4 2 4 2 2 4 6" xfId="13867" xr:uid="{F836A739-A2AB-4BB8-AAF8-5D4AF36B6200}"/>
    <cellStyle name="Normal 4 2 4 2 2 5" xfId="4242" xr:uid="{080A2A35-79CB-43D1-BE90-8CDF17E2F6E3}"/>
    <cellStyle name="Normal 4 2 4 2 2 5 2" xfId="9014" xr:uid="{DAAFFD7E-0CCD-49A9-942D-210CFCF066B2}"/>
    <cellStyle name="Normal 4 2 4 2 2 5 2 2" xfId="29085" xr:uid="{042BA6CC-D052-4310-B171-689D1E606A0D}"/>
    <cellStyle name="Normal 4 2 4 2 2 5 2 3" xfId="19394" xr:uid="{4822A939-ABCE-45AB-A315-428FFFB8BB69}"/>
    <cellStyle name="Normal 4 2 4 2 2 5 3" xfId="11847" xr:uid="{683F1369-E79F-46C0-AD14-15C0B0BC8D4C}"/>
    <cellStyle name="Normal 4 2 4 2 2 5 3 2" xfId="22227" xr:uid="{E5817707-8332-443A-9A27-C6DE16A5E818}"/>
    <cellStyle name="Normal 4 2 4 2 2 5 4" xfId="23877" xr:uid="{1E86306A-C4AE-4B58-9D5C-ECBA812BB9EE}"/>
    <cellStyle name="Normal 4 2 4 2 2 5 5" xfId="16561" xr:uid="{6867C43A-9BE3-4D83-AF41-2B08BA695F8D}"/>
    <cellStyle name="Normal 4 2 4 2 2 6" xfId="5260" xr:uid="{926A9510-1618-4DE8-AE32-0C9D5C1DC7BA}"/>
    <cellStyle name="Normal 4 2 4 2 2 6 2" xfId="28023" xr:uid="{C920E4B9-51D9-4B10-BFEB-0E9B2B6DD5B0}"/>
    <cellStyle name="Normal 4 2 4 2 2 6 3" xfId="14558" xr:uid="{E0B42F2F-9A83-450B-BFD0-BE9F73EBE884}"/>
    <cellStyle name="Normal 4 2 4 2 2 7" xfId="7011" xr:uid="{9C06AE77-04AE-4BE3-B528-0CD51FE2D7DA}"/>
    <cellStyle name="Normal 4 2 4 2 2 7 2" xfId="17391" xr:uid="{0D9F1507-2644-4F0F-AF87-7E6471B57AD0}"/>
    <cellStyle name="Normal 4 2 4 2 2 8" xfId="9844" xr:uid="{3BB55576-924D-46BE-B9A0-A56BE8FCAD76}"/>
    <cellStyle name="Normal 4 2 4 2 2 8 2" xfId="20224" xr:uid="{ACE81BFD-BC41-493A-B7C4-C130180CB59F}"/>
    <cellStyle name="Normal 4 2 4 2 2 9" xfId="23719" xr:uid="{D3D4FF7D-323D-45D6-90EF-54DD0DC62D32}"/>
    <cellStyle name="Normal 4 2 4 2 3" xfId="2776" xr:uid="{00000000-0005-0000-0000-0000C8050000}"/>
    <cellStyle name="Normal 4 2 4 2 3 2" xfId="3313" xr:uid="{00000000-0005-0000-0000-0000C9050000}"/>
    <cellStyle name="Normal 4 2 4 2 3 2 2" xfId="6371" xr:uid="{3034CCE6-2921-4E19-B6FD-B1D298CB8E59}"/>
    <cellStyle name="Normal 4 2 4 2 3 2 2 2" xfId="27620" xr:uid="{225BA693-0DA8-4F0B-A53B-B11194CFE94D}"/>
    <cellStyle name="Normal 4 2 4 2 3 2 2 3" xfId="15940" xr:uid="{FF16E160-FC3D-464B-B18D-4D3E46F71D68}"/>
    <cellStyle name="Normal 4 2 4 2 3 2 3" xfId="8393" xr:uid="{8FB1FC54-74E8-4DA3-8655-887DA7849E99}"/>
    <cellStyle name="Normal 4 2 4 2 3 2 3 2" xfId="18773" xr:uid="{550E4618-083D-477F-86F6-4039DA182DE9}"/>
    <cellStyle name="Normal 4 2 4 2 3 2 4" xfId="11226" xr:uid="{2FF5B702-1560-46AD-BB2C-45570E0258DF}"/>
    <cellStyle name="Normal 4 2 4 2 3 2 4 2" xfId="21606" xr:uid="{AC194AAA-EE0A-4439-93ED-269F8CCCABC7}"/>
    <cellStyle name="Normal 4 2 4 2 3 2 5" xfId="22673" xr:uid="{6623DC24-859C-4C35-A09A-414CDFD69DB4}"/>
    <cellStyle name="Normal 4 2 4 2 3 2 6" xfId="13870" xr:uid="{BDE09925-C603-461C-94CB-8A7B94EF6F41}"/>
    <cellStyle name="Normal 4 2 4 2 3 3" xfId="4331" xr:uid="{812642AA-2F67-4D04-9730-19298251B28E}"/>
    <cellStyle name="Normal 4 2 4 2 3 3 2" xfId="9103" xr:uid="{30592C62-F469-4BB5-A47B-645FDFC4B6BF}"/>
    <cellStyle name="Normal 4 2 4 2 3 3 2 2" xfId="29146" xr:uid="{A43D4E21-EA3A-4B0C-8483-C847C1CCF7CF}"/>
    <cellStyle name="Normal 4 2 4 2 3 3 2 3" xfId="19483" xr:uid="{FFE8A291-82FB-4590-9360-9D10B30EBE60}"/>
    <cellStyle name="Normal 4 2 4 2 3 3 3" xfId="11936" xr:uid="{11B5E0CA-C911-41C9-8225-BB28855B304D}"/>
    <cellStyle name="Normal 4 2 4 2 3 3 3 2" xfId="22316" xr:uid="{D0D9BE2E-E845-408F-A1FE-0975102FD49A}"/>
    <cellStyle name="Normal 4 2 4 2 3 3 4" xfId="22891" xr:uid="{92ABD060-088C-4B16-86E2-C32F8F1874F1}"/>
    <cellStyle name="Normal 4 2 4 2 3 3 5" xfId="16650" xr:uid="{32EDD925-5E33-4629-B8F7-906615A7D0D9}"/>
    <cellStyle name="Normal 4 2 4 2 3 4" xfId="5994" xr:uid="{7E0FEAE9-697D-4CAB-8C77-FE5F637AB917}"/>
    <cellStyle name="Normal 4 2 4 2 3 4 2" xfId="26418" xr:uid="{6AF32965-CB40-4E1B-A384-F6859406EF9D}"/>
    <cellStyle name="Normal 4 2 4 2 3 4 3" xfId="15447" xr:uid="{E4AB833E-CC38-4790-9DF9-373431051397}"/>
    <cellStyle name="Normal 4 2 4 2 3 5" xfId="7900" xr:uid="{CEA57206-BF81-4A5C-B62A-E54E6CF77200}"/>
    <cellStyle name="Normal 4 2 4 2 3 5 2" xfId="18280" xr:uid="{2486CE3D-79C5-4516-99C1-FD27BC917075}"/>
    <cellStyle name="Normal 4 2 4 2 3 6" xfId="10733" xr:uid="{50EE12FB-49FF-476E-BE79-8D8770D0E190}"/>
    <cellStyle name="Normal 4 2 4 2 3 6 2" xfId="21113" xr:uid="{AF64C935-7421-4998-8763-FC34486390AD}"/>
    <cellStyle name="Normal 4 2 4 2 3 7" xfId="22649" xr:uid="{ED92971D-D461-49A0-A131-B7FD85763F17}"/>
    <cellStyle name="Normal 4 2 4 2 3 8" xfId="13229" xr:uid="{A611D601-F0E9-425F-AB32-0EA5A12CFE9A}"/>
    <cellStyle name="Normal 4 2 4 2 4" xfId="3314" xr:uid="{00000000-0005-0000-0000-0000CA050000}"/>
    <cellStyle name="Normal 4 2 4 2 4 2" xfId="4520" xr:uid="{EBF02899-363D-4B62-A808-B3044BC09E29}"/>
    <cellStyle name="Normal 4 2 4 2 4 2 2" xfId="9292" xr:uid="{7ACC878A-16A9-4172-977D-81BF61D19206}"/>
    <cellStyle name="Normal 4 2 4 2 4 2 2 2" xfId="19672" xr:uid="{D1872F77-AB94-42A4-84AE-EDBC51F3A6E0}"/>
    <cellStyle name="Normal 4 2 4 2 4 2 3" xfId="12125" xr:uid="{569EAB24-B76E-46E9-B726-5291FDA0C70C}"/>
    <cellStyle name="Normal 4 2 4 2 4 2 3 2" xfId="22505" xr:uid="{061AF932-B759-4066-8606-FAF0806E618A}"/>
    <cellStyle name="Normal 4 2 4 2 4 2 4" xfId="28075" xr:uid="{EA672EFD-D258-430E-937C-4BC693A8DE0C}"/>
    <cellStyle name="Normal 4 2 4 2 4 2 5" xfId="16839" xr:uid="{0631AB2A-381A-4A8C-9275-1424D19CBF58}"/>
    <cellStyle name="Normal 4 2 4 2 4 3" xfId="6372" xr:uid="{2ACB0DEE-7F68-473F-B9E7-87CE39C00104}"/>
    <cellStyle name="Normal 4 2 4 2 4 3 2" xfId="15941" xr:uid="{E99ED3F9-6E3E-4662-B33C-DAA5B06A64E4}"/>
    <cellStyle name="Normal 4 2 4 2 4 4" xfId="8394" xr:uid="{3B6FE961-AF3D-46E2-A45B-901CD3B1A982}"/>
    <cellStyle name="Normal 4 2 4 2 4 4 2" xfId="18774" xr:uid="{C2741261-5B1E-4A3E-9111-6B97C33F7416}"/>
    <cellStyle name="Normal 4 2 4 2 4 5" xfId="11227" xr:uid="{6BC4CB2D-BD78-4E8F-8FDD-8EE21A39A908}"/>
    <cellStyle name="Normal 4 2 4 2 4 5 2" xfId="21607" xr:uid="{0024434E-5028-4B47-ACCB-860E25A35D66}"/>
    <cellStyle name="Normal 4 2 4 2 4 6" xfId="23780" xr:uid="{5546BA34-C2F9-4A3D-911A-801708B8FC18}"/>
    <cellStyle name="Normal 4 2 4 2 4 7" xfId="13871" xr:uid="{9843B0F1-36BB-4B59-AD97-144F1B1C1F0E}"/>
    <cellStyle name="Normal 4 2 4 2 5" xfId="3309" xr:uid="{00000000-0005-0000-0000-0000CB050000}"/>
    <cellStyle name="Normal 4 2 4 2 5 2" xfId="6367" xr:uid="{2902E2AC-1B99-4252-B238-5086F32D4E9D}"/>
    <cellStyle name="Normal 4 2 4 2 5 2 2" xfId="28618" xr:uid="{362A7BD1-C6C4-4B09-9554-DD0D52E657B6}"/>
    <cellStyle name="Normal 4 2 4 2 5 2 3" xfId="15936" xr:uid="{CF7AAE41-0500-49DB-8EF9-B8C509FE47E8}"/>
    <cellStyle name="Normal 4 2 4 2 5 3" xfId="8389" xr:uid="{E296C98D-5351-40B8-834F-F7AE11C3AFCC}"/>
    <cellStyle name="Normal 4 2 4 2 5 3 2" xfId="18769" xr:uid="{BDF2FD51-EECC-41A5-B8D8-A06F223DB737}"/>
    <cellStyle name="Normal 4 2 4 2 5 4" xfId="11222" xr:uid="{32C67B06-4400-4139-937F-33EA1CEA39C1}"/>
    <cellStyle name="Normal 4 2 4 2 5 4 2" xfId="21602" xr:uid="{581DDE93-88FD-41F2-9948-C412E49B9C8A}"/>
    <cellStyle name="Normal 4 2 4 2 5 5" xfId="25567" xr:uid="{FF97EFD9-CC4F-472D-98A1-329FB1323446}"/>
    <cellStyle name="Normal 4 2 4 2 5 6" xfId="13866" xr:uid="{D43EB5C4-067F-45E0-A802-03405DAC100D}"/>
    <cellStyle name="Normal 4 2 4 2 6" xfId="2550" xr:uid="{00000000-0005-0000-0000-0000CC050000}"/>
    <cellStyle name="Normal 4 2 4 2 6 2" xfId="5822" xr:uid="{425935FD-0E62-4907-911C-E41F2F006040}"/>
    <cellStyle name="Normal 4 2 4 2 6 2 2" xfId="28037" xr:uid="{A5513BCD-E24A-4DB2-AE03-44F9719771AE}"/>
    <cellStyle name="Normal 4 2 4 2 6 2 3" xfId="15222" xr:uid="{07F338FD-F839-4E3C-99C4-6AB2B21E5AED}"/>
    <cellStyle name="Normal 4 2 4 2 6 3" xfId="7675" xr:uid="{B06AE91E-263D-4B4E-AF68-43E9E5BF1265}"/>
    <cellStyle name="Normal 4 2 4 2 6 3 2" xfId="18055" xr:uid="{2EE5CE7C-94FE-46D3-A05B-B306C33CF854}"/>
    <cellStyle name="Normal 4 2 4 2 6 4" xfId="10508" xr:uid="{16FC5834-2F35-4B6E-9609-B79E58FA3039}"/>
    <cellStyle name="Normal 4 2 4 2 6 4 2" xfId="20888" xr:uid="{2F41DFA0-7255-4962-9DC0-3E2586712447}"/>
    <cellStyle name="Normal 4 2 4 2 6 5" xfId="22851" xr:uid="{D2F25CE2-2851-4F73-8812-EB629C46D578}"/>
    <cellStyle name="Normal 4 2 4 2 6 6" xfId="12938" xr:uid="{80EFA000-D408-4BDD-83A4-401B63CA3E02}"/>
    <cellStyle name="Normal 4 2 4 2 7" xfId="2244" xr:uid="{00000000-0005-0000-0000-0000C2050000}"/>
    <cellStyle name="Normal 4 2 4 2 7 2" xfId="7371" xr:uid="{F7F1B275-66AB-4022-8265-651F51F5C17B}"/>
    <cellStyle name="Normal 4 2 4 2 7 2 2" xfId="17751" xr:uid="{7074B6A5-E76B-41F1-A4ED-D6E1DA724EE7}"/>
    <cellStyle name="Normal 4 2 4 2 7 3" xfId="10204" xr:uid="{AA56B796-9B68-4D2F-A740-E2B35951BE7A}"/>
    <cellStyle name="Normal 4 2 4 2 7 3 2" xfId="20584" xr:uid="{45CB5D69-4C00-4515-AA34-2C35CD5498F3}"/>
    <cellStyle name="Normal 4 2 4 2 7 4" xfId="25382" xr:uid="{5C36B8E6-AD19-4220-8F11-1089BFCC3729}"/>
    <cellStyle name="Normal 4 2 4 2 7 5" xfId="14918" xr:uid="{89F83DB4-8451-40E4-880F-82AA340D582C}"/>
    <cellStyle name="Normal 4 2 4 2 8" xfId="3797" xr:uid="{92B94B7A-8A75-4181-A5F0-12A617A71729}"/>
    <cellStyle name="Normal 4 2 4 2 8 2" xfId="8633" xr:uid="{3295DEAA-3E4C-40F1-94A6-40A5E974671F}"/>
    <cellStyle name="Normal 4 2 4 2 8 2 2" xfId="19013" xr:uid="{A4A7CBC2-6FB2-4F80-8CCB-A189AA545466}"/>
    <cellStyle name="Normal 4 2 4 2 8 3" xfId="11466" xr:uid="{092FD2DF-FDAA-4AFC-ADD4-54A07F16BDDE}"/>
    <cellStyle name="Normal 4 2 4 2 8 3 2" xfId="21846" xr:uid="{CF964CEC-DF7C-4824-9B75-8E453D2C7A6C}"/>
    <cellStyle name="Normal 4 2 4 2 8 4" xfId="16180" xr:uid="{708598F8-338C-40AB-9EBB-E35B994521DF}"/>
    <cellStyle name="Normal 4 2 4 2 9" xfId="5259" xr:uid="{19C31006-CBFA-424E-879C-38FA46CC37EE}"/>
    <cellStyle name="Normal 4 2 4 2 9 2" xfId="14557" xr:uid="{198AD25B-9C39-4DCE-B323-71648C5F7486}"/>
    <cellStyle name="Normal 4 2 4 3" xfId="956" xr:uid="{00000000-0005-0000-0000-00006E050000}"/>
    <cellStyle name="Normal 4 2 4 3 10" xfId="9845" xr:uid="{7980634C-EEAA-4B39-8FFA-914BAAF0CC29}"/>
    <cellStyle name="Normal 4 2 4 3 10 2" xfId="20225" xr:uid="{6B728514-C6A1-40AB-99FD-B709BFEBC66E}"/>
    <cellStyle name="Normal 4 2 4 3 11" xfId="23247" xr:uid="{2890303F-A444-48F4-997B-2BDA5BBD2609}"/>
    <cellStyle name="Normal 4 2 4 3 12" xfId="12593" xr:uid="{EB4DE55D-FA03-4AD2-9DA8-31FB62808FAF}"/>
    <cellStyle name="Normal 4 2 4 3 2" xfId="2778" xr:uid="{00000000-0005-0000-0000-0000CE050000}"/>
    <cellStyle name="Normal 4 2 4 3 2 2" xfId="3316" xr:uid="{00000000-0005-0000-0000-0000CF050000}"/>
    <cellStyle name="Normal 4 2 4 3 2 2 2" xfId="6374" xr:uid="{E50A07B0-BEE2-489E-9328-83695D23809A}"/>
    <cellStyle name="Normal 4 2 4 3 2 2 2 2" xfId="25842" xr:uid="{472F1B4B-D996-42A5-AE97-D0B5975D1982}"/>
    <cellStyle name="Normal 4 2 4 3 2 2 2 3" xfId="15943" xr:uid="{F4A97B65-CBBB-4D81-840C-1203349D4D8C}"/>
    <cellStyle name="Normal 4 2 4 3 2 2 3" xfId="8396" xr:uid="{61B68C81-9A57-46C7-AC09-69E53D88C48D}"/>
    <cellStyle name="Normal 4 2 4 3 2 2 3 2" xfId="18776" xr:uid="{68B13D81-919E-4D55-800C-81439CD569C6}"/>
    <cellStyle name="Normal 4 2 4 3 2 2 4" xfId="11229" xr:uid="{0BD21476-923E-4824-AE68-1108E11C47D3}"/>
    <cellStyle name="Normal 4 2 4 3 2 2 4 2" xfId="21609" xr:uid="{4BD11946-4B3B-4DC7-9A8B-1A09CDDBFB32}"/>
    <cellStyle name="Normal 4 2 4 3 2 2 5" xfId="22995" xr:uid="{20FBB001-AEB4-4236-8AE0-B9172F175F21}"/>
    <cellStyle name="Normal 4 2 4 3 2 2 6" xfId="13873" xr:uid="{BEA246CD-FA76-4EEA-BA5E-0099DC825D91}"/>
    <cellStyle name="Normal 4 2 4 3 2 3" xfId="4333" xr:uid="{70FD9E69-BE70-4E32-ADCD-F26EF1031737}"/>
    <cellStyle name="Normal 4 2 4 3 2 3 2" xfId="9105" xr:uid="{100E7661-CCFA-499C-BB8E-570D9B3A707D}"/>
    <cellStyle name="Normal 4 2 4 3 2 3 2 2" xfId="29148" xr:uid="{29E033BA-1F02-4D6D-814F-B5190BB6A064}"/>
    <cellStyle name="Normal 4 2 4 3 2 3 2 3" xfId="19485" xr:uid="{A6C3521C-E9B0-4EFC-A02D-68BCB64C3270}"/>
    <cellStyle name="Normal 4 2 4 3 2 3 3" xfId="11938" xr:uid="{7D859E24-DC83-412D-A9F2-3B346F54493F}"/>
    <cellStyle name="Normal 4 2 4 3 2 3 3 2" xfId="22318" xr:uid="{51A16266-628D-4559-8096-4A7C5716C82E}"/>
    <cellStyle name="Normal 4 2 4 3 2 3 4" xfId="25252" xr:uid="{8DA9FE6F-EC62-464D-9C2A-257FAB75C469}"/>
    <cellStyle name="Normal 4 2 4 3 2 3 5" xfId="16652" xr:uid="{3CF6BB31-513A-4429-A908-3D4465B49ACF}"/>
    <cellStyle name="Normal 4 2 4 3 2 4" xfId="5996" xr:uid="{C585EE5C-0C7E-4E8A-9EBC-9D4EF2C48856}"/>
    <cellStyle name="Normal 4 2 4 3 2 4 2" xfId="26670" xr:uid="{47545DB1-A879-44A8-A9D7-C66E01693FF4}"/>
    <cellStyle name="Normal 4 2 4 3 2 4 3" xfId="15449" xr:uid="{8FA7142E-13FD-4095-B363-FEBBA079393F}"/>
    <cellStyle name="Normal 4 2 4 3 2 5" xfId="7902" xr:uid="{E59910C0-C8CE-45D7-8BB1-921365E4C248}"/>
    <cellStyle name="Normal 4 2 4 3 2 5 2" xfId="18282" xr:uid="{61889791-4194-436A-AFA4-EA738B9CB93A}"/>
    <cellStyle name="Normal 4 2 4 3 2 6" xfId="10735" xr:uid="{FFB2F7C2-6EE7-42F3-9FF2-8DC2D385AAA6}"/>
    <cellStyle name="Normal 4 2 4 3 2 6 2" xfId="21115" xr:uid="{8A2E294C-E80C-446E-89C6-617A1C88DD9E}"/>
    <cellStyle name="Normal 4 2 4 3 2 7" xfId="25368" xr:uid="{3C979E4B-0444-4BCB-8C20-F21BF7A98A39}"/>
    <cellStyle name="Normal 4 2 4 3 2 8" xfId="13231" xr:uid="{6955B6A0-96C5-49EC-AECE-9F1DC348D231}"/>
    <cellStyle name="Normal 4 2 4 3 3" xfId="3317" xr:uid="{00000000-0005-0000-0000-0000D0050000}"/>
    <cellStyle name="Normal 4 2 4 3 3 2" xfId="4521" xr:uid="{452F2669-B5DC-43ED-B942-D6EBDB042C62}"/>
    <cellStyle name="Normal 4 2 4 3 3 2 2" xfId="9293" xr:uid="{3FBD5F5F-665F-452F-93EF-157A2DBBF1A6}"/>
    <cellStyle name="Normal 4 2 4 3 3 2 2 2" xfId="29272" xr:uid="{7E93B808-D226-4A8E-B51A-B82780826BD8}"/>
    <cellStyle name="Normal 4 2 4 3 3 2 2 3" xfId="19673" xr:uid="{E694131A-4781-43A4-A698-72ABD9B8FA16}"/>
    <cellStyle name="Normal 4 2 4 3 3 2 3" xfId="12126" xr:uid="{D1BCF4B3-80F5-4106-9F87-F4DC69AC2871}"/>
    <cellStyle name="Normal 4 2 4 3 3 2 3 2" xfId="22506" xr:uid="{E7DB2DAD-96C3-4485-AD62-16D728226575}"/>
    <cellStyle name="Normal 4 2 4 3 3 2 4" xfId="24879" xr:uid="{875B205B-2264-4E6B-8CD0-E13992B167CA}"/>
    <cellStyle name="Normal 4 2 4 3 3 2 5" xfId="16840" xr:uid="{24E0BF4E-6AED-40AF-A46E-61B426B2C917}"/>
    <cellStyle name="Normal 4 2 4 3 3 3" xfId="6375" xr:uid="{ECA3A690-95F0-4B75-B420-41EDABD93669}"/>
    <cellStyle name="Normal 4 2 4 3 3 3 2" xfId="26693" xr:uid="{B3F5872F-FD91-4319-B1D5-D871FE0E9206}"/>
    <cellStyle name="Normal 4 2 4 3 3 3 3" xfId="15944" xr:uid="{47A21E3D-874D-401A-9839-50F84F8E920E}"/>
    <cellStyle name="Normal 4 2 4 3 3 4" xfId="8397" xr:uid="{F19C02D7-8DC5-4E0D-BA09-0471247CCC2C}"/>
    <cellStyle name="Normal 4 2 4 3 3 4 2" xfId="18777" xr:uid="{543CCA03-FCB4-473C-AA4F-B71195258A1A}"/>
    <cellStyle name="Normal 4 2 4 3 3 5" xfId="11230" xr:uid="{48AC09F0-BAB9-4B80-A3CE-E17B4D1C7BA0}"/>
    <cellStyle name="Normal 4 2 4 3 3 5 2" xfId="21610" xr:uid="{8E76B7AC-06C0-4221-981D-E581F58FC62F}"/>
    <cellStyle name="Normal 4 2 4 3 3 6" xfId="23896" xr:uid="{7BF36CE9-B073-43AB-9892-A0943BCB676A}"/>
    <cellStyle name="Normal 4 2 4 3 3 7" xfId="13874" xr:uid="{8029D831-5042-4AD6-A5E1-0CED18B1F5B1}"/>
    <cellStyle name="Normal 4 2 4 3 4" xfId="3315" xr:uid="{00000000-0005-0000-0000-0000D1050000}"/>
    <cellStyle name="Normal 4 2 4 3 4 2" xfId="6373" xr:uid="{9DFC3F29-3736-430A-B542-2324A0EA1F82}"/>
    <cellStyle name="Normal 4 2 4 3 4 2 2" xfId="27826" xr:uid="{0A4B0E17-AEFA-4D43-9BC3-A991821EE378}"/>
    <cellStyle name="Normal 4 2 4 3 4 2 3" xfId="15942" xr:uid="{EAF7A55A-280E-4753-905E-BC552F1928D2}"/>
    <cellStyle name="Normal 4 2 4 3 4 3" xfId="8395" xr:uid="{E86F7CF2-CD6F-4DB7-9ABB-E9E1EEFC979F}"/>
    <cellStyle name="Normal 4 2 4 3 4 3 2" xfId="18775" xr:uid="{7A4A18A8-B832-4AEB-8D35-C27912FCFA5B}"/>
    <cellStyle name="Normal 4 2 4 3 4 4" xfId="11228" xr:uid="{3A26AD30-EC9F-463E-A463-C23AF88236A3}"/>
    <cellStyle name="Normal 4 2 4 3 4 4 2" xfId="21608" xr:uid="{4BEE525C-BAEF-4447-8C43-4AD1DBBC7ABF}"/>
    <cellStyle name="Normal 4 2 4 3 4 5" xfId="23204" xr:uid="{387481E8-0217-4D9E-ACC1-0A0134F28288}"/>
    <cellStyle name="Normal 4 2 4 3 4 6" xfId="13872" xr:uid="{B3D46E0D-F9A7-4D5A-8CE8-D2AAB8E1B247}"/>
    <cellStyle name="Normal 4 2 4 3 5" xfId="2593" xr:uid="{00000000-0005-0000-0000-0000D2050000}"/>
    <cellStyle name="Normal 4 2 4 3 5 2" xfId="5858" xr:uid="{6540DA4C-6EF8-475E-B40F-063D43474F28}"/>
    <cellStyle name="Normal 4 2 4 3 5 2 2" xfId="25909" xr:uid="{BE00B786-DECC-4F16-B902-A37A54F38A67}"/>
    <cellStyle name="Normal 4 2 4 3 5 2 3" xfId="15265" xr:uid="{02D90CFF-227E-4DA4-89FB-D4473886255B}"/>
    <cellStyle name="Normal 4 2 4 3 5 3" xfId="7718" xr:uid="{73D32EFB-44BA-467F-89E4-C29677B39BEE}"/>
    <cellStyle name="Normal 4 2 4 3 5 3 2" xfId="18098" xr:uid="{2D339902-8E18-40CA-AB08-92129A3BFFB9}"/>
    <cellStyle name="Normal 4 2 4 3 5 4" xfId="10551" xr:uid="{69470CF8-E37E-47CF-B505-27957D5B8C8C}"/>
    <cellStyle name="Normal 4 2 4 3 5 4 2" xfId="20931" xr:uid="{4AA63951-640B-4C91-AC44-4D9057252DB3}"/>
    <cellStyle name="Normal 4 2 4 3 5 5" xfId="24572" xr:uid="{5574917E-5A39-4BAB-89DC-E95C233A8071}"/>
    <cellStyle name="Normal 4 2 4 3 5 6" xfId="12981" xr:uid="{A5A747CE-AD30-4B2E-AC5B-55284CF6B1FF}"/>
    <cellStyle name="Normal 4 2 4 3 6" xfId="2359" xr:uid="{00000000-0005-0000-0000-0000CD050000}"/>
    <cellStyle name="Normal 4 2 4 3 6 2" xfId="7486" xr:uid="{258536EB-589C-4882-95FC-7FE7C3FB078A}"/>
    <cellStyle name="Normal 4 2 4 3 6 2 2" xfId="17866" xr:uid="{78D6E1BC-F4AD-471C-869D-9B211C8274AD}"/>
    <cellStyle name="Normal 4 2 4 3 6 3" xfId="10319" xr:uid="{1795E98D-1858-4E51-8516-5CA312E08E91}"/>
    <cellStyle name="Normal 4 2 4 3 6 3 2" xfId="20699" xr:uid="{BFFF2118-A297-4E22-8250-8D3F309BBCDC}"/>
    <cellStyle name="Normal 4 2 4 3 6 4" xfId="24042" xr:uid="{4B2ECA22-7162-4B4E-9675-47FF2997767C}"/>
    <cellStyle name="Normal 4 2 4 3 6 5" xfId="15033" xr:uid="{2E5F23A7-93B1-46BB-B5A6-52CF70AFEEC1}"/>
    <cellStyle name="Normal 4 2 4 3 7" xfId="3896" xr:uid="{407F759E-344C-46F4-B726-31C28228A117}"/>
    <cellStyle name="Normal 4 2 4 3 7 2" xfId="8728" xr:uid="{29F472D2-E110-4D88-9F61-E13E5FA9C81B}"/>
    <cellStyle name="Normal 4 2 4 3 7 2 2" xfId="19108" xr:uid="{2284EC89-07AC-411D-82FE-34F09DF7D6CB}"/>
    <cellStyle name="Normal 4 2 4 3 7 3" xfId="11561" xr:uid="{CD4DEB1D-45A5-48C7-9769-59B46F61D03D}"/>
    <cellStyle name="Normal 4 2 4 3 7 3 2" xfId="21941" xr:uid="{770ADE17-99E5-4AFE-B579-1A98EE501125}"/>
    <cellStyle name="Normal 4 2 4 3 7 4" xfId="16275" xr:uid="{6FB5E671-849F-4DE7-8BF9-30A2B731599F}"/>
    <cellStyle name="Normal 4 2 4 3 8" xfId="5261" xr:uid="{5AB2208D-2ECB-46B1-A1AD-1C10EFA86D2C}"/>
    <cellStyle name="Normal 4 2 4 3 8 2" xfId="14559" xr:uid="{4386F813-09E8-4B41-BDF4-20EFB92A3414}"/>
    <cellStyle name="Normal 4 2 4 3 9" xfId="7012" xr:uid="{789A5CDE-7332-4F6B-BBF3-E319B9A8D71B}"/>
    <cellStyle name="Normal 4 2 4 3 9 2" xfId="17392" xr:uid="{0280FBB0-A649-4BD5-9490-08CDC4E0C773}"/>
    <cellStyle name="Normal 4 2 4 4" xfId="957" xr:uid="{00000000-0005-0000-0000-00006F050000}"/>
    <cellStyle name="Normal 4 2 4 4 2" xfId="3318" xr:uid="{00000000-0005-0000-0000-0000D4050000}"/>
    <cellStyle name="Normal 4 2 4 4 2 2" xfId="6376" xr:uid="{8F0A29D2-D7B3-4E56-8B87-AD49C0CD0FE5}"/>
    <cellStyle name="Normal 4 2 4 4 2 2 2" xfId="28145" xr:uid="{15F7E190-0EFB-4B46-AA08-B9FC031F951D}"/>
    <cellStyle name="Normal 4 2 4 4 2 2 3" xfId="15945" xr:uid="{487857BB-B8D6-44AB-AAD0-1E227A507C31}"/>
    <cellStyle name="Normal 4 2 4 4 2 3" xfId="8398" xr:uid="{3C143CBE-B596-4111-8A73-325C4AE99A01}"/>
    <cellStyle name="Normal 4 2 4 4 2 3 2" xfId="18778" xr:uid="{E3F37898-0DDA-4A76-BB45-32C1418C3704}"/>
    <cellStyle name="Normal 4 2 4 4 2 4" xfId="11231" xr:uid="{E3F73AD3-0682-43FA-B6BE-B1AC0C81098B}"/>
    <cellStyle name="Normal 4 2 4 4 2 4 2" xfId="21611" xr:uid="{A4317B59-8ACE-4D43-99A5-700EF431C073}"/>
    <cellStyle name="Normal 4 2 4 4 2 5" xfId="23511" xr:uid="{5D01FDC3-A29C-4A13-BF5E-B5E597BBEDD5}"/>
    <cellStyle name="Normal 4 2 4 4 2 6" xfId="13875" xr:uid="{EF4703E9-A033-4E67-A333-D632E5176286}"/>
    <cellStyle name="Normal 4 2 4 4 3" xfId="2775" xr:uid="{00000000-0005-0000-0000-0000D5050000}"/>
    <cellStyle name="Normal 4 2 4 4 3 2" xfId="5993" xr:uid="{E39637DE-8B66-4185-BED9-6C2E3B488169}"/>
    <cellStyle name="Normal 4 2 4 4 3 2 2" xfId="26672" xr:uid="{4E299BC9-8DB1-4608-9829-A2D535EA19CC}"/>
    <cellStyle name="Normal 4 2 4 4 3 2 3" xfId="15446" xr:uid="{A86BE9B4-5BF6-4AC2-845B-0F93735DE431}"/>
    <cellStyle name="Normal 4 2 4 4 3 3" xfId="7899" xr:uid="{49FB707D-5367-445B-843A-C1E85E660FEB}"/>
    <cellStyle name="Normal 4 2 4 4 3 3 2" xfId="18279" xr:uid="{CB8FFE37-A4C6-48A6-96A9-2AF7AF0CA451}"/>
    <cellStyle name="Normal 4 2 4 4 3 4" xfId="10732" xr:uid="{3CC66CFE-E550-4D08-A1AB-2B1B4982A0A6}"/>
    <cellStyle name="Normal 4 2 4 4 3 4 2" xfId="21112" xr:uid="{7E5A6ECD-BFCC-41EB-82DF-4C12E332DF0E}"/>
    <cellStyle name="Normal 4 2 4 4 3 5" xfId="23582" xr:uid="{D9A6BF4D-F8C7-42C0-8A5E-D7AA8EA7777E}"/>
    <cellStyle name="Normal 4 2 4 4 3 6" xfId="13228" xr:uid="{A90A061A-B369-4680-847B-0A783306D795}"/>
    <cellStyle name="Normal 4 2 4 4 4" xfId="4187" xr:uid="{37541807-A374-4414-A8FC-CA3014A4BA8C}"/>
    <cellStyle name="Normal 4 2 4 4 4 2" xfId="8959" xr:uid="{E638087D-DBF0-408F-9269-238EAE4FDAD1}"/>
    <cellStyle name="Normal 4 2 4 4 4 2 2" xfId="19339" xr:uid="{82C4527E-C1FD-4226-B7E8-DBAACF9A92D8}"/>
    <cellStyle name="Normal 4 2 4 4 4 3" xfId="11792" xr:uid="{C2E290E2-01AD-4948-8E08-B7B63F83A8DE}"/>
    <cellStyle name="Normal 4 2 4 4 4 3 2" xfId="22172" xr:uid="{C48759BE-054B-4476-9F46-1DE0B3D590AF}"/>
    <cellStyle name="Normal 4 2 4 4 4 4" xfId="23088" xr:uid="{49F7775F-FA77-45F2-A31A-5733512B8D0F}"/>
    <cellStyle name="Normal 4 2 4 4 4 5" xfId="16506" xr:uid="{602C9A63-5940-4C18-8981-5534B09B89AD}"/>
    <cellStyle name="Normal 4 2 4 4 5" xfId="5262" xr:uid="{1319BDE0-2551-4B68-9802-4AF23C378265}"/>
    <cellStyle name="Normal 4 2 4 4 5 2" xfId="14560" xr:uid="{506F6334-74C2-4EB3-B6D2-460CE5A593E1}"/>
    <cellStyle name="Normal 4 2 4 4 6" xfId="7013" xr:uid="{1FD27AA7-1AC6-427C-87A2-0A63C3C06FDA}"/>
    <cellStyle name="Normal 4 2 4 4 6 2" xfId="17393" xr:uid="{B84107C5-AF48-4DF1-B84D-7E20783158E9}"/>
    <cellStyle name="Normal 4 2 4 4 7" xfId="9846" xr:uid="{F632BA21-DE08-4DDC-BDE3-5FFF9D26B162}"/>
    <cellStyle name="Normal 4 2 4 4 7 2" xfId="20226" xr:uid="{BDE3FB14-5D7D-4075-8FDC-057441F77C7D}"/>
    <cellStyle name="Normal 4 2 4 4 8" xfId="23799" xr:uid="{4AD55E4F-86CD-4A1A-86B9-10820CEB76B6}"/>
    <cellStyle name="Normal 4 2 4 4 9" xfId="12751" xr:uid="{DC1691DB-C08E-4886-BA52-B7506B2A424A}"/>
    <cellStyle name="Normal 4 2 4 5" xfId="3319" xr:uid="{00000000-0005-0000-0000-0000D6050000}"/>
    <cellStyle name="Normal 4 2 4 5 2" xfId="4522" xr:uid="{0E8E5B39-AFE5-4CA4-91C7-A3464D3F00BB}"/>
    <cellStyle name="Normal 4 2 4 5 2 2" xfId="9294" xr:uid="{D591BF78-F04D-47D5-928F-52D8E541F8AB}"/>
    <cellStyle name="Normal 4 2 4 5 2 2 2" xfId="29273" xr:uid="{E258C256-3FE8-4006-AD74-D535CAB304C6}"/>
    <cellStyle name="Normal 4 2 4 5 2 2 3" xfId="19674" xr:uid="{F7F64A4D-2122-45F6-82E2-5BE09EFD026C}"/>
    <cellStyle name="Normal 4 2 4 5 2 3" xfId="12127" xr:uid="{5847B0E9-E996-4C29-941D-70FE8A368C53}"/>
    <cellStyle name="Normal 4 2 4 5 2 3 2" xfId="22507" xr:uid="{B14B6018-F271-4684-8764-3ACE4519415E}"/>
    <cellStyle name="Normal 4 2 4 5 2 4" xfId="23307" xr:uid="{CCA219FC-92C2-4C0C-BF3E-6F6BEBE0DE9F}"/>
    <cellStyle name="Normal 4 2 4 5 2 5" xfId="16841" xr:uid="{CF25A3E3-5418-4DC1-9C6E-A406DC03D001}"/>
    <cellStyle name="Normal 4 2 4 5 3" xfId="6377" xr:uid="{256B6FAA-C2C9-4ACE-B9C7-6FC9B51CDB96}"/>
    <cellStyle name="Normal 4 2 4 5 3 2" xfId="27142" xr:uid="{70BFEA5C-4E6C-4F46-95C9-B5C80A30C9F4}"/>
    <cellStyle name="Normal 4 2 4 5 3 3" xfId="15946" xr:uid="{743BA6B8-A56E-4CBB-9753-736E70BD010B}"/>
    <cellStyle name="Normal 4 2 4 5 4" xfId="8399" xr:uid="{3570482D-F52B-470B-89CD-2CD3F4ABBB04}"/>
    <cellStyle name="Normal 4 2 4 5 4 2" xfId="18779" xr:uid="{2BC47C64-585F-462F-AF3E-C7AF3A226651}"/>
    <cellStyle name="Normal 4 2 4 5 5" xfId="11232" xr:uid="{1C6947AC-084A-43D7-9915-2206CA974BD9}"/>
    <cellStyle name="Normal 4 2 4 5 5 2" xfId="21612" xr:uid="{559AE209-05D8-4985-B557-0D438344104A}"/>
    <cellStyle name="Normal 4 2 4 5 6" xfId="23981" xr:uid="{664207EE-4914-4965-9834-53028B4545F1}"/>
    <cellStyle name="Normal 4 2 4 5 7" xfId="13876" xr:uid="{0277DFB1-73A2-4180-A054-EB5BD2A38890}"/>
    <cellStyle name="Normal 4 2 4 6" xfId="2933" xr:uid="{00000000-0005-0000-0000-0000D7050000}"/>
    <cellStyle name="Normal 4 2 4 6 2" xfId="6113" xr:uid="{C3DED480-E875-415D-B2C5-2357CB13D6CB}"/>
    <cellStyle name="Normal 4 2 4 6 2 2" xfId="28597" xr:uid="{E6CCCEB0-5E6C-474F-83E3-B0858B991066}"/>
    <cellStyle name="Normal 4 2 4 6 2 3" xfId="15591" xr:uid="{4E4B3070-74E1-4F0F-AA9D-7F9455C98DCE}"/>
    <cellStyle name="Normal 4 2 4 6 3" xfId="8044" xr:uid="{CF045047-FE2E-438C-A3AF-36CFCCD81394}"/>
    <cellStyle name="Normal 4 2 4 6 3 2" xfId="18424" xr:uid="{6974ED14-239E-4C96-B588-6D4C3D4FAC53}"/>
    <cellStyle name="Normal 4 2 4 6 4" xfId="10877" xr:uid="{271A16A4-2E4D-4EDB-B60B-F37169EF597F}"/>
    <cellStyle name="Normal 4 2 4 6 4 2" xfId="21257" xr:uid="{E48D12CF-779A-4ED9-8B8B-FF952051B37A}"/>
    <cellStyle name="Normal 4 2 4 6 5" xfId="24062" xr:uid="{B8F51B56-D343-4566-AA4C-10BF28E83B0A}"/>
    <cellStyle name="Normal 4 2 4 6 6" xfId="13449" xr:uid="{77F5DE15-377E-43E2-AD6E-5E17F1ADD0A4}"/>
    <cellStyle name="Normal 4 2 4 7" xfId="2490" xr:uid="{00000000-0005-0000-0000-0000D8050000}"/>
    <cellStyle name="Normal 4 2 4 7 2" xfId="5775" xr:uid="{F018ECED-5A6F-4447-9A54-9EE76DDBE63F}"/>
    <cellStyle name="Normal 4 2 4 7 2 2" xfId="26494" xr:uid="{20CD0C60-F007-4614-9B70-9A17FB6DFF1D}"/>
    <cellStyle name="Normal 4 2 4 7 2 3" xfId="15162" xr:uid="{E1E7917D-0F93-4527-AE06-FB2AF4482F01}"/>
    <cellStyle name="Normal 4 2 4 7 3" xfId="7615" xr:uid="{6514BE92-1F04-4928-8709-D85A419C7015}"/>
    <cellStyle name="Normal 4 2 4 7 3 2" xfId="17995" xr:uid="{9CEE5451-D453-4DDB-9594-21DEED4014B7}"/>
    <cellStyle name="Normal 4 2 4 7 4" xfId="10448" xr:uid="{38B26B3D-726D-459F-AF2C-ECD1E29A4E39}"/>
    <cellStyle name="Normal 4 2 4 7 4 2" xfId="20828" xr:uid="{1E7E024D-C69D-493A-99B3-BA694475E263}"/>
    <cellStyle name="Normal 4 2 4 7 5" xfId="23758" xr:uid="{3E8674F5-2E40-4193-BA4B-289E887374FE}"/>
    <cellStyle name="Normal 4 2 4 7 6" xfId="12878" xr:uid="{36D69116-BF77-4B1C-AEC5-5834A30DC7E7}"/>
    <cellStyle name="Normal 4 2 4 8" xfId="2184" xr:uid="{00000000-0005-0000-0000-0000C1050000}"/>
    <cellStyle name="Normal 4 2 4 8 2" xfId="7311" xr:uid="{F12A16AD-7B72-415C-9FDB-084D86B3C010}"/>
    <cellStyle name="Normal 4 2 4 8 2 2" xfId="17691" xr:uid="{5429233F-C9A4-4E27-A5B1-9C96FFE0F1DC}"/>
    <cellStyle name="Normal 4 2 4 8 3" xfId="10144" xr:uid="{81ABF9DE-FCB1-4960-BBE8-9EDEB58738B3}"/>
    <cellStyle name="Normal 4 2 4 8 3 2" xfId="20524" xr:uid="{CEF406A1-D7FF-40FB-86B1-E3777551BBAD}"/>
    <cellStyle name="Normal 4 2 4 8 4" xfId="23696" xr:uid="{991D425F-ED78-4AF1-A784-690BB22855BD}"/>
    <cellStyle name="Normal 4 2 4 8 5" xfId="14858" xr:uid="{F13E48C5-0826-4DBF-9B5F-E3424307332A}"/>
    <cellStyle name="Normal 4 2 4 9" xfId="3980" xr:uid="{45AF6E9E-6287-4168-9448-70EA475F6D56}"/>
    <cellStyle name="Normal 4 2 4 9 2" xfId="8804" xr:uid="{96A98EB3-8991-4181-A17C-6603F625A4A6}"/>
    <cellStyle name="Normal 4 2 4 9 2 2" xfId="19184" xr:uid="{8BBAFF3B-41EF-46F1-A4FD-B9358D20F12A}"/>
    <cellStyle name="Normal 4 2 4 9 3" xfId="11637" xr:uid="{23034033-ACF7-4415-A7E9-1BCB1E9700BD}"/>
    <cellStyle name="Normal 4 2 4 9 3 2" xfId="22017" xr:uid="{B28099F8-D03B-4A07-9886-76653D588664}"/>
    <cellStyle name="Normal 4 2 4 9 4" xfId="16351" xr:uid="{A710A958-0260-4144-B2F9-F9DE1EBA01CF}"/>
    <cellStyle name="Normal 4 2 5" xfId="958" xr:uid="{00000000-0005-0000-0000-000070050000}"/>
    <cellStyle name="Normal 4 2 5 10" xfId="5263" xr:uid="{0CBE73A5-7193-4D2C-A908-00C86B036AD4}"/>
    <cellStyle name="Normal 4 2 5 10 2" xfId="14561" xr:uid="{A731E1B3-3F9F-4889-B99A-0145435E747A}"/>
    <cellStyle name="Normal 4 2 5 11" xfId="7014" xr:uid="{3967B753-E8EF-48AC-83DE-54B8730320A3}"/>
    <cellStyle name="Normal 4 2 5 11 2" xfId="17394" xr:uid="{490C3C79-1905-444B-A011-4DBCF704CF26}"/>
    <cellStyle name="Normal 4 2 5 12" xfId="9847" xr:uid="{33654FB9-4B74-41A2-813A-B8AE1BDE3AB7}"/>
    <cellStyle name="Normal 4 2 5 12 2" xfId="20227" xr:uid="{5AF73625-CF6A-48A5-916A-015C667A23E4}"/>
    <cellStyle name="Normal 4 2 5 13" xfId="25430" xr:uid="{8BAE80AC-F656-4AEE-B7FB-D550FE15D202}"/>
    <cellStyle name="Normal 4 2 5 14" xfId="12450" xr:uid="{146E16A4-1DDA-401D-A374-6B4A02EC93AD}"/>
    <cellStyle name="Normal 4 2 5 2" xfId="959" xr:uid="{00000000-0005-0000-0000-000071050000}"/>
    <cellStyle name="Normal 4 2 5 2 10" xfId="9848" xr:uid="{B26CF3D7-1113-434C-8C60-5E5772F9ADCC}"/>
    <cellStyle name="Normal 4 2 5 2 10 2" xfId="20228" xr:uid="{15613978-8531-43E1-8060-4069E3668F7C}"/>
    <cellStyle name="Normal 4 2 5 2 11" xfId="23551" xr:uid="{E140D3AB-46F1-4E88-94C1-1F97E001E18E}"/>
    <cellStyle name="Normal 4 2 5 2 12" xfId="12594" xr:uid="{3E88260C-B2CB-41BC-91B2-A4DF1C1B4BA0}"/>
    <cellStyle name="Normal 4 2 5 2 2" xfId="960" xr:uid="{00000000-0005-0000-0000-000072050000}"/>
    <cellStyle name="Normal 4 2 5 2 2 2" xfId="3321" xr:uid="{00000000-0005-0000-0000-0000DC050000}"/>
    <cellStyle name="Normal 4 2 5 2 2 2 2" xfId="6379" xr:uid="{B770ADED-9101-408A-83A1-B924951FF274}"/>
    <cellStyle name="Normal 4 2 5 2 2 2 2 2" xfId="28266" xr:uid="{C74EC279-60EC-4E28-A305-0DCD07AF538C}"/>
    <cellStyle name="Normal 4 2 5 2 2 2 2 3" xfId="26684" xr:uid="{C3478ABA-1720-4FAC-8FED-923AEB8466D0}"/>
    <cellStyle name="Normal 4 2 5 2 2 2 2 4" xfId="15948" xr:uid="{7C2475F4-8D89-4CA3-8E9E-C24BB1B3C501}"/>
    <cellStyle name="Normal 4 2 5 2 2 2 3" xfId="8401" xr:uid="{C22CFE14-56FC-4F3C-AF93-DD42ECF197AC}"/>
    <cellStyle name="Normal 4 2 5 2 2 2 3 2" xfId="28906" xr:uid="{57FFE5EE-767B-4502-97BB-CDFC96E7FA7D}"/>
    <cellStyle name="Normal 4 2 5 2 2 2 3 3" xfId="18781" xr:uid="{EC3C5B6E-4CC2-4105-9791-A067BF9E0F15}"/>
    <cellStyle name="Normal 4 2 5 2 2 2 4" xfId="11234" xr:uid="{E2E5DE9D-117A-48A6-81CD-2FA1A7C81124}"/>
    <cellStyle name="Normal 4 2 5 2 2 2 4 2" xfId="21614" xr:uid="{2AA75FDA-06FB-4904-BDD8-843D86CA359A}"/>
    <cellStyle name="Normal 4 2 5 2 2 2 5" xfId="22738" xr:uid="{BE7C205A-0BA3-4733-A7F0-821BF620A085}"/>
    <cellStyle name="Normal 4 2 5 2 2 2 6" xfId="13878" xr:uid="{D2F893E2-3F1E-4A3F-9EB0-404D65F01C6D}"/>
    <cellStyle name="Normal 4 2 5 2 2 3" xfId="4335" xr:uid="{5BE6B68A-7B10-4B7E-854E-6FFB4FFE172B}"/>
    <cellStyle name="Normal 4 2 5 2 2 3 2" xfId="9107" xr:uid="{1302051A-ABE6-4175-AA37-19EB6E160850}"/>
    <cellStyle name="Normal 4 2 5 2 2 3 2 2" xfId="29150" xr:uid="{99041798-5A95-422D-AE30-E4AE237CFDBC}"/>
    <cellStyle name="Normal 4 2 5 2 2 3 2 3" xfId="19487" xr:uid="{3C106315-F70B-4A49-A801-9FBE3D5B27D2}"/>
    <cellStyle name="Normal 4 2 5 2 2 3 3" xfId="11940" xr:uid="{86EFA8A8-BEE4-47A3-AF34-8FFF9C28A589}"/>
    <cellStyle name="Normal 4 2 5 2 2 3 3 2" xfId="22320" xr:uid="{EF63205B-BB47-4CBB-BE9E-5BC10AEF294F}"/>
    <cellStyle name="Normal 4 2 5 2 2 3 4" xfId="25217" xr:uid="{19DF6725-F748-4B6D-90AD-46D9D3FFDDBE}"/>
    <cellStyle name="Normal 4 2 5 2 2 3 5" xfId="16654" xr:uid="{92D965AF-E9A9-4832-A5CA-A4A2669210C2}"/>
    <cellStyle name="Normal 4 2 5 2 2 4" xfId="5265" xr:uid="{2276ACD1-E7D6-4418-A080-980DEAE92B44}"/>
    <cellStyle name="Normal 4 2 5 2 2 4 2" xfId="25997" xr:uid="{CE44DA71-1C40-4684-8046-9C67712C9040}"/>
    <cellStyle name="Normal 4 2 5 2 2 4 3" xfId="14563" xr:uid="{EC1BC237-9119-4647-97ED-878B17EF3299}"/>
    <cellStyle name="Normal 4 2 5 2 2 5" xfId="7016" xr:uid="{19BD68A2-67CA-4449-AA4B-DDBA978C8675}"/>
    <cellStyle name="Normal 4 2 5 2 2 5 2" xfId="17396" xr:uid="{F9B737A5-8B7A-461F-8D10-F24CC8DCE17C}"/>
    <cellStyle name="Normal 4 2 5 2 2 6" xfId="9849" xr:uid="{1CBAEAD7-2B41-4B13-B4C6-ACEE43A54F72}"/>
    <cellStyle name="Normal 4 2 5 2 2 6 2" xfId="20229" xr:uid="{173F5588-FDB3-4B71-B930-4E0584D44597}"/>
    <cellStyle name="Normal 4 2 5 2 2 7" xfId="25503" xr:uid="{D33929E5-E0B8-4C10-91F3-31EBD339EBD4}"/>
    <cellStyle name="Normal 4 2 5 2 2 8" xfId="13233" xr:uid="{4F9CECE8-EB50-49F4-9389-259541B4B9EF}"/>
    <cellStyle name="Normal 4 2 5 2 3" xfId="3322" xr:uid="{00000000-0005-0000-0000-0000DD050000}"/>
    <cellStyle name="Normal 4 2 5 2 3 2" xfId="4523" xr:uid="{347C5674-4DFD-40C4-B12F-56BE80C5BE4E}"/>
    <cellStyle name="Normal 4 2 5 2 3 2 2" xfId="9295" xr:uid="{3F581F5C-90FA-474F-BF10-5137BEAE4725}"/>
    <cellStyle name="Normal 4 2 5 2 3 2 2 2" xfId="29274" xr:uid="{0CBB4331-0319-490B-B15B-9200E81CA6A4}"/>
    <cellStyle name="Normal 4 2 5 2 3 2 2 3" xfId="19675" xr:uid="{838DF7E9-BA6F-4FBF-B781-FB2858570C60}"/>
    <cellStyle name="Normal 4 2 5 2 3 2 3" xfId="12128" xr:uid="{7FABD496-6C93-4FDA-A3DD-F96ABDEEAAC0}"/>
    <cellStyle name="Normal 4 2 5 2 3 2 3 2" xfId="22508" xr:uid="{35BD0BB6-0B4C-4E1B-A833-D8A806597684}"/>
    <cellStyle name="Normal 4 2 5 2 3 2 4" xfId="25655" xr:uid="{F9AED57B-FB20-4B83-AFC5-9B9BF17A3DBE}"/>
    <cellStyle name="Normal 4 2 5 2 3 2 5" xfId="16842" xr:uid="{2D5ADDA7-B3A4-4C7D-939C-F6084C4E276A}"/>
    <cellStyle name="Normal 4 2 5 2 3 3" xfId="6380" xr:uid="{CD6C82C8-A74A-433D-B39F-B9C161BA02EE}"/>
    <cellStyle name="Normal 4 2 5 2 3 3 2" xfId="28290" xr:uid="{B9A18EF6-7C90-4427-ADEF-358CCBDACFD6}"/>
    <cellStyle name="Normal 4 2 5 2 3 3 3" xfId="15949" xr:uid="{BE577C5B-C10E-446F-8688-350CADE73FEF}"/>
    <cellStyle name="Normal 4 2 5 2 3 4" xfId="8402" xr:uid="{9718EDC0-0073-4EC3-B6B9-540CB1B96F41}"/>
    <cellStyle name="Normal 4 2 5 2 3 4 2" xfId="18782" xr:uid="{ACEE0FCB-F137-469D-8B77-9CB741FA1AC7}"/>
    <cellStyle name="Normal 4 2 5 2 3 5" xfId="11235" xr:uid="{5AE48A34-F6DB-4551-BA3E-857436778BD5}"/>
    <cellStyle name="Normal 4 2 5 2 3 5 2" xfId="21615" xr:uid="{A40392E5-DC6A-4C8D-8E01-AF1046A67A4D}"/>
    <cellStyle name="Normal 4 2 5 2 3 6" xfId="22757" xr:uid="{C5EB7D95-B669-4759-BF56-E246B3848CF9}"/>
    <cellStyle name="Normal 4 2 5 2 3 7" xfId="13879" xr:uid="{6DBC202F-6DB1-4F1E-A066-512B436B0C98}"/>
    <cellStyle name="Normal 4 2 5 2 4" xfId="3320" xr:uid="{00000000-0005-0000-0000-0000DE050000}"/>
    <cellStyle name="Normal 4 2 5 2 4 2" xfId="6378" xr:uid="{432CD6A6-AFDF-41D6-BFC3-3790A92C6F84}"/>
    <cellStyle name="Normal 4 2 5 2 4 2 2" xfId="26376" xr:uid="{82ABE11C-256E-4056-918B-A35B699AB672}"/>
    <cellStyle name="Normal 4 2 5 2 4 2 3" xfId="15947" xr:uid="{C37600C8-3ED2-440B-8690-8C3B3063BCDD}"/>
    <cellStyle name="Normal 4 2 5 2 4 3" xfId="8400" xr:uid="{E8E189F8-8F4B-4890-9701-B5D1C06B73F2}"/>
    <cellStyle name="Normal 4 2 5 2 4 3 2" xfId="18780" xr:uid="{5CAD051B-AFF1-400C-8267-4F53AB69DDA2}"/>
    <cellStyle name="Normal 4 2 5 2 4 4" xfId="11233" xr:uid="{FBA4F533-2B3C-4CCD-973C-9CAB932C23CE}"/>
    <cellStyle name="Normal 4 2 5 2 4 4 2" xfId="21613" xr:uid="{D2FC6275-5A85-4ECA-933B-0219857FE0FB}"/>
    <cellStyle name="Normal 4 2 5 2 4 5" xfId="24155" xr:uid="{D8002FA3-967C-4F90-ACC8-5D137DBF6F85}"/>
    <cellStyle name="Normal 4 2 5 2 4 6" xfId="13877" xr:uid="{D694F6F7-2BF7-4D7B-96A4-EED1281B6703}"/>
    <cellStyle name="Normal 4 2 5 2 5" xfId="2524" xr:uid="{00000000-0005-0000-0000-0000DF050000}"/>
    <cellStyle name="Normal 4 2 5 2 5 2" xfId="5801" xr:uid="{11D778BA-8E15-4019-B38A-8E52B38AEBF0}"/>
    <cellStyle name="Normal 4 2 5 2 5 2 2" xfId="25982" xr:uid="{6A9AA136-2BD0-4FBF-9ABB-282C03ECF6E4}"/>
    <cellStyle name="Normal 4 2 5 2 5 2 3" xfId="15196" xr:uid="{16AA72AB-A281-4DDC-AB5D-460210E2E450}"/>
    <cellStyle name="Normal 4 2 5 2 5 3" xfId="7649" xr:uid="{4A162BEF-2978-4CE7-BE45-90F48C2F33A4}"/>
    <cellStyle name="Normal 4 2 5 2 5 3 2" xfId="18029" xr:uid="{A9BED9A7-98A0-45A8-9F06-91AB686E446A}"/>
    <cellStyle name="Normal 4 2 5 2 5 4" xfId="10482" xr:uid="{FAACC862-64F7-4F79-A96E-E160C786ABCD}"/>
    <cellStyle name="Normal 4 2 5 2 5 4 2" xfId="20862" xr:uid="{F9F4DD29-D3C2-476C-AD88-BB91E3826189}"/>
    <cellStyle name="Normal 4 2 5 2 5 5" xfId="23975" xr:uid="{38614436-59D6-4DEC-8B43-2E00B0443410}"/>
    <cellStyle name="Normal 4 2 5 2 5 6" xfId="12912" xr:uid="{65572533-9279-4D9C-B564-FD495FB82F6F}"/>
    <cellStyle name="Normal 4 2 5 2 6" xfId="2360" xr:uid="{00000000-0005-0000-0000-0000DA050000}"/>
    <cellStyle name="Normal 4 2 5 2 6 2" xfId="7487" xr:uid="{6258D792-03F6-4DD9-BEBA-5118EF4C3843}"/>
    <cellStyle name="Normal 4 2 5 2 6 2 2" xfId="17867" xr:uid="{4E480B7B-420E-401D-A276-81C4402CB61A}"/>
    <cellStyle name="Normal 4 2 5 2 6 3" xfId="10320" xr:uid="{166DEC97-5528-433D-9E11-55CBE0AF026F}"/>
    <cellStyle name="Normal 4 2 5 2 6 3 2" xfId="20700" xr:uid="{A2F4F4BD-0514-452A-9200-A93BC546385A}"/>
    <cellStyle name="Normal 4 2 5 2 6 4" xfId="23308" xr:uid="{39990AC5-8C6B-4B0D-8798-96B022C2360D}"/>
    <cellStyle name="Normal 4 2 5 2 6 5" xfId="15034" xr:uid="{B2BFCC8C-E173-4385-9802-1DD47ED3D577}"/>
    <cellStyle name="Normal 4 2 5 2 7" xfId="3897" xr:uid="{CB65113C-B265-478E-9D02-6C0656EEE1BA}"/>
    <cellStyle name="Normal 4 2 5 2 7 2" xfId="8729" xr:uid="{F611B9F0-8701-45BA-A1D0-35AEA580EF9B}"/>
    <cellStyle name="Normal 4 2 5 2 7 2 2" xfId="19109" xr:uid="{8C51E9BE-0237-4151-B049-E10F9C4E50BC}"/>
    <cellStyle name="Normal 4 2 5 2 7 3" xfId="11562" xr:uid="{A087CB4F-BC5D-45D1-9053-01A720DEFB4C}"/>
    <cellStyle name="Normal 4 2 5 2 7 3 2" xfId="21942" xr:uid="{C1497DF3-61B4-49B1-BBCD-BCAC48179AF9}"/>
    <cellStyle name="Normal 4 2 5 2 7 4" xfId="16276" xr:uid="{CEADDF0D-E011-4200-AC7B-8AC418DCC36E}"/>
    <cellStyle name="Normal 4 2 5 2 8" xfId="5264" xr:uid="{20239CCB-D576-44EC-92EA-AE90C1783381}"/>
    <cellStyle name="Normal 4 2 5 2 8 2" xfId="14562" xr:uid="{EB0580DD-36D2-4FF5-95A1-7A591DC27CD8}"/>
    <cellStyle name="Normal 4 2 5 2 9" xfId="7015" xr:uid="{795DA4D6-C3B5-4D29-AFD2-CAB6BA65E474}"/>
    <cellStyle name="Normal 4 2 5 2 9 2" xfId="17395" xr:uid="{BC3F3C25-047F-4FC7-92EC-024B562BEF50}"/>
    <cellStyle name="Normal 4 2 5 3" xfId="961" xr:uid="{00000000-0005-0000-0000-000073050000}"/>
    <cellStyle name="Normal 4 2 5 3 10" xfId="23369" xr:uid="{79750114-A351-4CCB-867C-76DE717FA61F}"/>
    <cellStyle name="Normal 4 2 5 3 11" xfId="12752" xr:uid="{68D682AD-CD8A-4A06-B9ED-79FA4A5D9671}"/>
    <cellStyle name="Normal 4 2 5 3 2" xfId="2779" xr:uid="{00000000-0005-0000-0000-0000E1050000}"/>
    <cellStyle name="Normal 4 2 5 3 2 2" xfId="3324" xr:uid="{00000000-0005-0000-0000-0000E2050000}"/>
    <cellStyle name="Normal 4 2 5 3 2 2 2" xfId="6382" xr:uid="{C605AE42-8AF8-4194-BC12-7E70C5668458}"/>
    <cellStyle name="Normal 4 2 5 3 2 2 2 2" xfId="25935" xr:uid="{881930D7-1D5F-4EE7-99A4-6ED322AE55F4}"/>
    <cellStyle name="Normal 4 2 5 3 2 2 2 3" xfId="15951" xr:uid="{9C3F95C9-7282-4699-ABF6-D9D420A73124}"/>
    <cellStyle name="Normal 4 2 5 3 2 2 3" xfId="8404" xr:uid="{63265D94-9F3F-4751-862E-84A7C7425231}"/>
    <cellStyle name="Normal 4 2 5 3 2 2 3 2" xfId="18784" xr:uid="{87EB6427-0939-4666-98F2-B807DC62D3A7}"/>
    <cellStyle name="Normal 4 2 5 3 2 2 4" xfId="11237" xr:uid="{6D46F3E2-61ED-49DD-A7B0-4D3D5DE01971}"/>
    <cellStyle name="Normal 4 2 5 3 2 2 4 2" xfId="21617" xr:uid="{D9A396D4-C104-4104-8079-35ECEFA27857}"/>
    <cellStyle name="Normal 4 2 5 3 2 2 5" xfId="22733" xr:uid="{79BD1422-BA6E-495E-B773-5F7BDF605971}"/>
    <cellStyle name="Normal 4 2 5 3 2 2 6" xfId="13881" xr:uid="{ED7E36B9-4F50-4BEF-8561-30C24B6E9567}"/>
    <cellStyle name="Normal 4 2 5 3 2 3" xfId="4336" xr:uid="{39B36460-E5E2-499F-B81B-388D9582238E}"/>
    <cellStyle name="Normal 4 2 5 3 2 3 2" xfId="9108" xr:uid="{B92390C0-83F6-4DAD-BC04-EB8BF96EDE31}"/>
    <cellStyle name="Normal 4 2 5 3 2 3 2 2" xfId="29151" xr:uid="{070640E3-9208-4E43-A10C-1694F45BCA18}"/>
    <cellStyle name="Normal 4 2 5 3 2 3 2 3" xfId="19488" xr:uid="{7F818460-2C5F-4647-B0B0-F6EF4BED27A8}"/>
    <cellStyle name="Normal 4 2 5 3 2 3 3" xfId="11941" xr:uid="{945CD2CC-9CFA-4EC6-9F24-795824B1CA01}"/>
    <cellStyle name="Normal 4 2 5 3 2 3 3 2" xfId="22321" xr:uid="{22E56662-CC04-4231-9943-6BCB77BBCA11}"/>
    <cellStyle name="Normal 4 2 5 3 2 3 4" xfId="22643" xr:uid="{A0C14500-DB99-4ED6-9B7F-46A1EE961179}"/>
    <cellStyle name="Normal 4 2 5 3 2 3 5" xfId="16655" xr:uid="{10B3DEC3-B4E7-4C9B-AB4B-DB531B6D72E3}"/>
    <cellStyle name="Normal 4 2 5 3 2 4" xfId="5997" xr:uid="{1A0F0C4D-3DB7-4C15-A38C-F56B40761BAE}"/>
    <cellStyle name="Normal 4 2 5 3 2 4 2" xfId="26489" xr:uid="{29AFC224-D2C8-4CEC-9F58-60B5AC8080FC}"/>
    <cellStyle name="Normal 4 2 5 3 2 4 3" xfId="15450" xr:uid="{2DFD23E7-52D0-45DD-9860-4A74BC84B353}"/>
    <cellStyle name="Normal 4 2 5 3 2 5" xfId="7903" xr:uid="{E883D2D4-FF50-40C7-9722-8245DECE913C}"/>
    <cellStyle name="Normal 4 2 5 3 2 5 2" xfId="18283" xr:uid="{6B2F9257-DA6A-49DC-9D36-382C53D5F344}"/>
    <cellStyle name="Normal 4 2 5 3 2 6" xfId="10736" xr:uid="{A815C69A-3F68-4268-BC28-4657AC26A748}"/>
    <cellStyle name="Normal 4 2 5 3 2 6 2" xfId="21116" xr:uid="{EAC72D7D-689A-4F1C-B1FF-EC52E59BBEC3}"/>
    <cellStyle name="Normal 4 2 5 3 2 7" xfId="23623" xr:uid="{62CEBA34-760D-405C-B215-4548645090E9}"/>
    <cellStyle name="Normal 4 2 5 3 2 8" xfId="13234" xr:uid="{B446E305-1C65-492A-AE55-2E81932ACC2B}"/>
    <cellStyle name="Normal 4 2 5 3 3" xfId="3325" xr:uid="{00000000-0005-0000-0000-0000E3050000}"/>
    <cellStyle name="Normal 4 2 5 3 3 2" xfId="4524" xr:uid="{E5453EDB-7847-48AE-AA88-4DA4D08CB3CA}"/>
    <cellStyle name="Normal 4 2 5 3 3 2 2" xfId="9296" xr:uid="{594792DB-F602-4F9B-9710-0E8420CA1289}"/>
    <cellStyle name="Normal 4 2 5 3 3 2 2 2" xfId="29275" xr:uid="{5FD6E443-B487-4105-A522-1BD6A7BDFD1D}"/>
    <cellStyle name="Normal 4 2 5 3 3 2 2 3" xfId="19676" xr:uid="{00548E8E-C009-4C8F-B5E6-2C47547A9FC3}"/>
    <cellStyle name="Normal 4 2 5 3 3 2 3" xfId="12129" xr:uid="{55C2624A-BC5F-448E-89A1-BB428B91C339}"/>
    <cellStyle name="Normal 4 2 5 3 3 2 3 2" xfId="22509" xr:uid="{EF73F6D8-9102-4476-B85B-C502DAF53583}"/>
    <cellStyle name="Normal 4 2 5 3 3 2 4" xfId="23690" xr:uid="{AFEAA7CE-90A4-465C-836A-F5D5C5D436D2}"/>
    <cellStyle name="Normal 4 2 5 3 3 2 5" xfId="16843" xr:uid="{FA2F7731-E4AF-4871-9E36-71D90F3B9AF3}"/>
    <cellStyle name="Normal 4 2 5 3 3 3" xfId="6383" xr:uid="{B816879C-A5F2-4FEF-81E0-B90C1C1B71B1}"/>
    <cellStyle name="Normal 4 2 5 3 3 3 2" xfId="26304" xr:uid="{FF48CE8C-519D-4A38-88D4-DA1956A00C79}"/>
    <cellStyle name="Normal 4 2 5 3 3 3 3" xfId="15952" xr:uid="{5907614C-2626-4B8F-BDEA-CFD0E8F86ED4}"/>
    <cellStyle name="Normal 4 2 5 3 3 4" xfId="8405" xr:uid="{EA9A7BC6-C0E7-45EB-A8CF-4EBA6BADE169}"/>
    <cellStyle name="Normal 4 2 5 3 3 4 2" xfId="18785" xr:uid="{19191B56-EA36-4B20-AEED-830A10CAAD27}"/>
    <cellStyle name="Normal 4 2 5 3 3 5" xfId="11238" xr:uid="{C636646A-A91B-4460-BE67-329647A062AB}"/>
    <cellStyle name="Normal 4 2 5 3 3 5 2" xfId="21618" xr:uid="{6DA88660-B64C-4244-939E-63DEB00E3242}"/>
    <cellStyle name="Normal 4 2 5 3 3 6" xfId="22697" xr:uid="{AC4C5E30-F5D9-4B86-8D24-26742E4CF504}"/>
    <cellStyle name="Normal 4 2 5 3 3 7" xfId="13882" xr:uid="{C8DF9A62-7C81-4C4A-9EA7-7888785F30B1}"/>
    <cellStyle name="Normal 4 2 5 3 4" xfId="3323" xr:uid="{00000000-0005-0000-0000-0000E4050000}"/>
    <cellStyle name="Normal 4 2 5 3 4 2" xfId="6381" xr:uid="{387E779B-00CE-4EC3-892B-B2B90CA3EFE7}"/>
    <cellStyle name="Normal 4 2 5 3 4 2 2" xfId="26888" xr:uid="{A286A1A6-8CF2-4D80-8B25-D8F8DE6624FF}"/>
    <cellStyle name="Normal 4 2 5 3 4 2 3" xfId="15950" xr:uid="{37752C60-178A-4A20-9C24-8CC6E9C19ACC}"/>
    <cellStyle name="Normal 4 2 5 3 4 3" xfId="8403" xr:uid="{54A2113F-AA51-4487-952D-0029B2365B37}"/>
    <cellStyle name="Normal 4 2 5 3 4 3 2" xfId="18783" xr:uid="{3A1B1FB0-E466-42DE-9132-0C42DBD5D2D6}"/>
    <cellStyle name="Normal 4 2 5 3 4 4" xfId="11236" xr:uid="{0B0ACCC4-DB40-4733-81F6-2F736105CA80}"/>
    <cellStyle name="Normal 4 2 5 3 4 4 2" xfId="21616" xr:uid="{74A7B9B8-7A1A-454F-A977-76690D774C54}"/>
    <cellStyle name="Normal 4 2 5 3 4 5" xfId="24186" xr:uid="{A47BE7BA-D7F5-402A-AC36-51DDB649C961}"/>
    <cellStyle name="Normal 4 2 5 3 4 6" xfId="13880" xr:uid="{48A85F04-0BE0-47B5-B892-DE3379BFCC42}"/>
    <cellStyle name="Normal 4 2 5 3 5" xfId="2627" xr:uid="{00000000-0005-0000-0000-0000E5050000}"/>
    <cellStyle name="Normal 4 2 5 3 5 2" xfId="5889" xr:uid="{F9EB9A5C-A7DA-4DF2-8279-9B34F07990F0}"/>
    <cellStyle name="Normal 4 2 5 3 5 2 2" xfId="26989" xr:uid="{0D84CEF1-9AE5-410B-8E6D-1BA242AC0101}"/>
    <cellStyle name="Normal 4 2 5 3 5 2 3" xfId="15299" xr:uid="{0A4BA692-CC5E-4132-9D94-17C7477AC0CB}"/>
    <cellStyle name="Normal 4 2 5 3 5 3" xfId="7752" xr:uid="{25712DD4-1059-4CA5-9A3C-EFA115EC4468}"/>
    <cellStyle name="Normal 4 2 5 3 5 3 2" xfId="18132" xr:uid="{2E6B801A-C33C-4D75-9C90-F828E5EC0C3B}"/>
    <cellStyle name="Normal 4 2 5 3 5 4" xfId="10585" xr:uid="{B468A150-16E3-4D01-BBAB-E817329AD542}"/>
    <cellStyle name="Normal 4 2 5 3 5 4 2" xfId="20965" xr:uid="{BFCE8A20-96C1-4BCF-A6A5-A248B059E7A5}"/>
    <cellStyle name="Normal 4 2 5 3 5 5" xfId="22843" xr:uid="{ABB10640-FEDD-4C24-868F-7A8EA3B27B59}"/>
    <cellStyle name="Normal 4 2 5 3 5 6" xfId="13015" xr:uid="{220D344D-761E-4309-BD03-807ABD6DDB3A}"/>
    <cellStyle name="Normal 4 2 5 3 6" xfId="4188" xr:uid="{BC304B4B-82E9-4E7C-B296-6D65F062491B}"/>
    <cellStyle name="Normal 4 2 5 3 6 2" xfId="8960" xr:uid="{6903D274-2589-436F-A52D-2707B23AF46A}"/>
    <cellStyle name="Normal 4 2 5 3 6 2 2" xfId="19340" xr:uid="{D9D5D96A-E195-4626-94D0-384CD033A3BF}"/>
    <cellStyle name="Normal 4 2 5 3 6 3" xfId="11793" xr:uid="{C1F6140E-B44B-4175-86C0-F6252E1D6231}"/>
    <cellStyle name="Normal 4 2 5 3 6 3 2" xfId="22173" xr:uid="{34510711-65CB-48FB-8757-F6F2AA6CFE45}"/>
    <cellStyle name="Normal 4 2 5 3 6 4" xfId="24607" xr:uid="{F66BF6C3-8931-40E4-85D4-741BA5B42733}"/>
    <cellStyle name="Normal 4 2 5 3 6 5" xfId="16507" xr:uid="{8C4F2945-644E-48C4-A252-2306264F717A}"/>
    <cellStyle name="Normal 4 2 5 3 7" xfId="5266" xr:uid="{C09DB10E-1F2D-449E-B56E-05130914761F}"/>
    <cellStyle name="Normal 4 2 5 3 7 2" xfId="14564" xr:uid="{F33A083D-51F9-40EF-9E9E-66C1606CF4B3}"/>
    <cellStyle name="Normal 4 2 5 3 8" xfId="7017" xr:uid="{53721B6D-FBE2-43DF-BCCD-E6655CA3DD99}"/>
    <cellStyle name="Normal 4 2 5 3 8 2" xfId="17397" xr:uid="{072A331F-596B-4952-8436-15C6FFD85F80}"/>
    <cellStyle name="Normal 4 2 5 3 9" xfId="9850" xr:uid="{A24F73A7-1478-4E03-B26A-41F723577305}"/>
    <cellStyle name="Normal 4 2 5 3 9 2" xfId="20230" xr:uid="{66E85D27-4E42-4EE3-87C0-78058182270B}"/>
    <cellStyle name="Normal 4 2 5 4" xfId="962" xr:uid="{00000000-0005-0000-0000-000074050000}"/>
    <cellStyle name="Normal 4 2 5 4 2" xfId="3326" xr:uid="{00000000-0005-0000-0000-0000E7050000}"/>
    <cellStyle name="Normal 4 2 5 4 2 2" xfId="6384" xr:uid="{2D8A9C61-8F07-4BE3-B6CB-92BA97D88958}"/>
    <cellStyle name="Normal 4 2 5 4 2 2 2" xfId="26262" xr:uid="{FFE65A06-3AB4-4919-A981-6F99564EA57D}"/>
    <cellStyle name="Normal 4 2 5 4 2 2 3" xfId="15953" xr:uid="{BB3D1C01-5747-4DAE-B9BD-95C9518332E1}"/>
    <cellStyle name="Normal 4 2 5 4 2 3" xfId="8406" xr:uid="{C8EA9E31-80AB-44C4-A0ED-22532E9C6E9A}"/>
    <cellStyle name="Normal 4 2 5 4 2 3 2" xfId="18786" xr:uid="{6C8F56C3-F9D8-4581-A2A6-9B795558E906}"/>
    <cellStyle name="Normal 4 2 5 4 2 4" xfId="11239" xr:uid="{6658D817-0906-49C9-A476-79B6586D018E}"/>
    <cellStyle name="Normal 4 2 5 4 2 4 2" xfId="21619" xr:uid="{40772340-F376-4654-B687-93962604834C}"/>
    <cellStyle name="Normal 4 2 5 4 2 5" xfId="23350" xr:uid="{A7470EB6-7774-4F99-ADA4-26A6B94C1DE6}"/>
    <cellStyle name="Normal 4 2 5 4 2 6" xfId="13883" xr:uid="{2F51F388-9219-431B-84AF-102469B74FD8}"/>
    <cellStyle name="Normal 4 2 5 4 3" xfId="4334" xr:uid="{F79196D7-441F-4273-8A49-2B180DFCA0FD}"/>
    <cellStyle name="Normal 4 2 5 4 3 2" xfId="9106" xr:uid="{CEE77492-61F9-4417-BAFD-C519B7073992}"/>
    <cellStyle name="Normal 4 2 5 4 3 2 2" xfId="29149" xr:uid="{5DF036F2-C522-4BE5-89DB-31C26EA17703}"/>
    <cellStyle name="Normal 4 2 5 4 3 2 3" xfId="19486" xr:uid="{C968488D-217B-48EF-8AB1-EE20461C5AB5}"/>
    <cellStyle name="Normal 4 2 5 4 3 3" xfId="11939" xr:uid="{DC646F8A-CF8E-4E4C-AABB-920E1ABA1CAC}"/>
    <cellStyle name="Normal 4 2 5 4 3 3 2" xfId="22319" xr:uid="{90E7123E-3C95-4430-B5F5-CAEF48BF0651}"/>
    <cellStyle name="Normal 4 2 5 4 3 4" xfId="24549" xr:uid="{B08EFD12-EDA2-48E2-8B12-53A8A0C19493}"/>
    <cellStyle name="Normal 4 2 5 4 3 5" xfId="16653" xr:uid="{FC7ABEB3-79E1-40C6-809F-C09973868853}"/>
    <cellStyle name="Normal 4 2 5 4 4" xfId="5267" xr:uid="{90636868-3CBD-43CF-9E0C-16942A9F471A}"/>
    <cellStyle name="Normal 4 2 5 4 4 2" xfId="27536" xr:uid="{9BB7A04A-111A-48BD-950A-D4021D2D8F4B}"/>
    <cellStyle name="Normal 4 2 5 4 4 3" xfId="14565" xr:uid="{F358DA77-44A8-4EA2-97FD-95B69369D8E1}"/>
    <cellStyle name="Normal 4 2 5 4 5" xfId="7018" xr:uid="{180F0E22-7AF7-42B8-9CAF-B98E3A758FB0}"/>
    <cellStyle name="Normal 4 2 5 4 5 2" xfId="17398" xr:uid="{E5377EE4-82A2-4E2C-B29F-B7FAA78461F2}"/>
    <cellStyle name="Normal 4 2 5 4 6" xfId="9851" xr:uid="{EE520D22-54F9-4A56-882D-EDD964009DA5}"/>
    <cellStyle name="Normal 4 2 5 4 6 2" xfId="20231" xr:uid="{3E91A0AC-E69E-438A-BEC3-6BC5C92BA4B4}"/>
    <cellStyle name="Normal 4 2 5 4 7" xfId="23687" xr:uid="{F8AB6D34-FDEA-4429-8542-10CAF464858D}"/>
    <cellStyle name="Normal 4 2 5 4 8" xfId="13232" xr:uid="{52DFCB45-735F-4B62-8392-014FB9CBE2FC}"/>
    <cellStyle name="Normal 4 2 5 5" xfId="3327" xr:uid="{00000000-0005-0000-0000-0000E8050000}"/>
    <cellStyle name="Normal 4 2 5 5 2" xfId="4525" xr:uid="{6D8784FB-DF71-4A83-8BDB-B3BDE7149BF9}"/>
    <cellStyle name="Normal 4 2 5 5 2 2" xfId="9297" xr:uid="{939521D8-ADC4-43CB-94FA-F0819C3406E9}"/>
    <cellStyle name="Normal 4 2 5 5 2 2 2" xfId="29276" xr:uid="{19DF4257-E43C-469F-9C16-B24162758384}"/>
    <cellStyle name="Normal 4 2 5 5 2 2 3" xfId="19677" xr:uid="{A5E31672-4691-46A0-B679-F339810D17C6}"/>
    <cellStyle name="Normal 4 2 5 5 2 3" xfId="12130" xr:uid="{99A63C92-0408-437E-9FB4-E8FC1C9FCFAA}"/>
    <cellStyle name="Normal 4 2 5 5 2 3 2" xfId="22510" xr:uid="{67C58881-5862-41EE-9DD7-947707FCFD34}"/>
    <cellStyle name="Normal 4 2 5 5 2 4" xfId="22986" xr:uid="{A8AA8306-3676-4E55-A536-A97B78DC1C8C}"/>
    <cellStyle name="Normal 4 2 5 5 2 5" xfId="16844" xr:uid="{F53A3395-D366-43D3-947A-A5C3B26D2711}"/>
    <cellStyle name="Normal 4 2 5 5 3" xfId="6385" xr:uid="{7B8F94D8-8887-4BA3-866C-407C1FBD36D0}"/>
    <cellStyle name="Normal 4 2 5 5 3 2" xfId="27817" xr:uid="{87681F70-42A7-43F7-8321-22E7CEF77D0C}"/>
    <cellStyle name="Normal 4 2 5 5 3 3" xfId="15954" xr:uid="{5AA64C3B-0F1C-42DE-B554-03458BE76FAC}"/>
    <cellStyle name="Normal 4 2 5 5 4" xfId="8407" xr:uid="{D8F9B07C-BF9A-4884-A50C-878839D29542}"/>
    <cellStyle name="Normal 4 2 5 5 4 2" xfId="18787" xr:uid="{7EE55C6F-078D-4EB4-97C4-E0C515C05408}"/>
    <cellStyle name="Normal 4 2 5 5 5" xfId="11240" xr:uid="{BEBAF8B2-74C4-45AF-8296-FB1ACA4054FD}"/>
    <cellStyle name="Normal 4 2 5 5 5 2" xfId="21620" xr:uid="{E8BDEB03-F972-4EEF-AED1-3CE2087889AB}"/>
    <cellStyle name="Normal 4 2 5 5 6" xfId="25326" xr:uid="{CD8F67A7-A3F0-427E-B834-3775BDAD38C0}"/>
    <cellStyle name="Normal 4 2 5 5 7" xfId="13884" xr:uid="{85D00D68-9ECF-44FF-A6D4-9D8CC9870C10}"/>
    <cellStyle name="Normal 4 2 5 6" xfId="2934" xr:uid="{00000000-0005-0000-0000-0000E9050000}"/>
    <cellStyle name="Normal 4 2 5 6 2" xfId="6114" xr:uid="{BE900F96-FEA2-4E30-92A8-CAE0953D3425}"/>
    <cellStyle name="Normal 4 2 5 6 2 2" xfId="27271" xr:uid="{14F8E04A-0425-4615-95E5-8CD6F3472A76}"/>
    <cellStyle name="Normal 4 2 5 6 2 3" xfId="15592" xr:uid="{02E86C8F-E312-4B22-A092-CD1A084F2D56}"/>
    <cellStyle name="Normal 4 2 5 6 3" xfId="8045" xr:uid="{FDB47C98-6356-471F-B78F-D9589B434C33}"/>
    <cellStyle name="Normal 4 2 5 6 3 2" xfId="18425" xr:uid="{ACB89726-CBF0-487C-A098-8B8203A24883}"/>
    <cellStyle name="Normal 4 2 5 6 4" xfId="10878" xr:uid="{D467590A-68A2-4185-81DF-CE6DFE8C83CB}"/>
    <cellStyle name="Normal 4 2 5 6 4 2" xfId="21258" xr:uid="{C6486E78-3A73-4F03-8C3B-96DFCE1ED896}"/>
    <cellStyle name="Normal 4 2 5 6 5" xfId="23649" xr:uid="{8E98ABBA-56EF-4EB2-8C80-C71F3B7F9032}"/>
    <cellStyle name="Normal 4 2 5 6 6" xfId="13450" xr:uid="{A84DE8E5-B24F-4345-923E-B3A2D97ACC76}"/>
    <cellStyle name="Normal 4 2 5 7" xfId="2464" xr:uid="{00000000-0005-0000-0000-0000EA050000}"/>
    <cellStyle name="Normal 4 2 5 7 2" xfId="5755" xr:uid="{B3C0D14B-390F-41E4-BDFD-0922C0DFF1F0}"/>
    <cellStyle name="Normal 4 2 5 7 2 2" xfId="27790" xr:uid="{B73C931D-43BD-471E-82AB-D8E8B2765E0C}"/>
    <cellStyle name="Normal 4 2 5 7 2 3" xfId="15136" xr:uid="{434BEB20-E85A-4B68-8FD8-E53101751DE4}"/>
    <cellStyle name="Normal 4 2 5 7 3" xfId="7589" xr:uid="{98097413-696C-4D6B-B43B-A312583BFC60}"/>
    <cellStyle name="Normal 4 2 5 7 3 2" xfId="17969" xr:uid="{91808D4E-F3DA-4DE1-806C-2787AF64E39E}"/>
    <cellStyle name="Normal 4 2 5 7 4" xfId="10422" xr:uid="{C7695EA6-FCC5-46B3-8581-BABB751203C3}"/>
    <cellStyle name="Normal 4 2 5 7 4 2" xfId="20802" xr:uid="{C91687E2-92DF-49FB-83E1-C765A8EEDC20}"/>
    <cellStyle name="Normal 4 2 5 7 5" xfId="23071" xr:uid="{47CF11B8-F3BB-4AAE-920F-7AD967892354}"/>
    <cellStyle name="Normal 4 2 5 7 6" xfId="12852" xr:uid="{A38FCE37-52D1-467C-BFAB-9EB57318F51A}"/>
    <cellStyle name="Normal 4 2 5 8" xfId="2218" xr:uid="{00000000-0005-0000-0000-0000D9050000}"/>
    <cellStyle name="Normal 4 2 5 8 2" xfId="7345" xr:uid="{4572ABC9-1896-420C-86A5-CA9F76DFAD18}"/>
    <cellStyle name="Normal 4 2 5 8 2 2" xfId="17725" xr:uid="{38E23D4E-CAE6-422B-9F2C-0834EA8B1317}"/>
    <cellStyle name="Normal 4 2 5 8 3" xfId="10178" xr:uid="{3DE857B0-E18A-4932-8D4C-3AFD4D4E0790}"/>
    <cellStyle name="Normal 4 2 5 8 3 2" xfId="20558" xr:uid="{D5152B89-6BA3-4F88-8144-44DA55D45D7C}"/>
    <cellStyle name="Normal 4 2 5 8 4" xfId="22679" xr:uid="{BF7C7BED-1E09-48AF-BDAE-3B31DE56324F}"/>
    <cellStyle name="Normal 4 2 5 8 5" xfId="14892" xr:uid="{D71B3A97-AF0F-4824-915F-65B51B64D8FB}"/>
    <cellStyle name="Normal 4 2 5 9" xfId="3981" xr:uid="{02D1CB85-E6A3-4145-AB9C-27FB597ED793}"/>
    <cellStyle name="Normal 4 2 5 9 2" xfId="8805" xr:uid="{D0323B9F-1984-415E-B9FC-A3EA0A4AA7C1}"/>
    <cellStyle name="Normal 4 2 5 9 2 2" xfId="19185" xr:uid="{7F24D07F-AB6C-4885-B430-C8903F1F7EDB}"/>
    <cellStyle name="Normal 4 2 5 9 3" xfId="11638" xr:uid="{5809E595-3478-4878-8122-F05D934B4A9B}"/>
    <cellStyle name="Normal 4 2 5 9 3 2" xfId="22018" xr:uid="{B97DDBE7-F401-4CF7-89ED-4BA7425BFDC2}"/>
    <cellStyle name="Normal 4 2 5 9 4" xfId="16352" xr:uid="{06C86599-A475-46F6-813F-4124D8A04094}"/>
    <cellStyle name="Normal 4 2 6" xfId="963" xr:uid="{00000000-0005-0000-0000-000075050000}"/>
    <cellStyle name="Normal 4 2 6 10" xfId="7019" xr:uid="{DEFFBE65-696A-4203-9BDA-4690425232DD}"/>
    <cellStyle name="Normal 4 2 6 10 2" xfId="17399" xr:uid="{0291D174-1953-4046-9ED3-0F6455134A09}"/>
    <cellStyle name="Normal 4 2 6 11" xfId="9852" xr:uid="{2DFF8B14-F295-4A73-9C97-CE02457F3E60}"/>
    <cellStyle name="Normal 4 2 6 11 2" xfId="20232" xr:uid="{DF6BB936-6B5B-4984-BAD0-AF167AF2B481}"/>
    <cellStyle name="Normal 4 2 6 12" xfId="23291" xr:uid="{0A0B5212-006E-47FF-824A-9A325E4E6528}"/>
    <cellStyle name="Normal 4 2 6 13" xfId="12433" xr:uid="{DCA0F383-9FD0-412D-95B2-3029A322B4DD}"/>
    <cellStyle name="Normal 4 2 6 2" xfId="964" xr:uid="{00000000-0005-0000-0000-000076050000}"/>
    <cellStyle name="Normal 4 2 6 2 10" xfId="9853" xr:uid="{AAF76A15-98AD-4B4E-B884-BCF135D9E71E}"/>
    <cellStyle name="Normal 4 2 6 2 10 2" xfId="20233" xr:uid="{D322F266-7F4C-4A30-80C0-03EC2326BB7A}"/>
    <cellStyle name="Normal 4 2 6 2 11" xfId="25490" xr:uid="{93B5B837-D4AE-458F-909D-9852DE494C60}"/>
    <cellStyle name="Normal 4 2 6 2 12" xfId="12595" xr:uid="{70D1879F-DFEE-439A-8114-F9F951CC7F53}"/>
    <cellStyle name="Normal 4 2 6 2 2" xfId="965" xr:uid="{00000000-0005-0000-0000-000077050000}"/>
    <cellStyle name="Normal 4 2 6 2 2 2" xfId="3329" xr:uid="{00000000-0005-0000-0000-0000EE050000}"/>
    <cellStyle name="Normal 4 2 6 2 2 2 2" xfId="6387" xr:uid="{BAC233AC-A810-4E84-B638-9230A1EF5733}"/>
    <cellStyle name="Normal 4 2 6 2 2 2 2 2" xfId="27437" xr:uid="{01FEDD6C-50A2-42AD-BAEA-5B3F2BA9B97A}"/>
    <cellStyle name="Normal 4 2 6 2 2 2 2 3" xfId="25892" xr:uid="{D370D220-E45B-4428-804E-88C734B5BA41}"/>
    <cellStyle name="Normal 4 2 6 2 2 2 2 4" xfId="15956" xr:uid="{B86B1128-6148-4733-AA93-440790B6DAC6}"/>
    <cellStyle name="Normal 4 2 6 2 2 2 3" xfId="8409" xr:uid="{13F54889-9A2A-4EAE-9E4D-B98CA4578160}"/>
    <cellStyle name="Normal 4 2 6 2 2 2 3 2" xfId="28907" xr:uid="{23A09F88-3BC4-4005-89B4-928F9EB03608}"/>
    <cellStyle name="Normal 4 2 6 2 2 2 3 3" xfId="18789" xr:uid="{FBBABA64-E424-4A9F-AA21-7B14DA85B7DB}"/>
    <cellStyle name="Normal 4 2 6 2 2 2 4" xfId="11242" xr:uid="{7408C84E-0E61-492E-ACF8-C9C3926B6747}"/>
    <cellStyle name="Normal 4 2 6 2 2 2 4 2" xfId="21622" xr:uid="{E053CD8D-E533-488E-B006-84049A8B0B14}"/>
    <cellStyle name="Normal 4 2 6 2 2 2 5" xfId="23776" xr:uid="{F2768962-D32F-4F2C-B61F-D72571688E4C}"/>
    <cellStyle name="Normal 4 2 6 2 2 2 6" xfId="13886" xr:uid="{0B2A3A0F-5995-44D1-B366-34381A1C7D8E}"/>
    <cellStyle name="Normal 4 2 6 2 2 3" xfId="4337" xr:uid="{857F86B8-95F4-4D78-8DC8-9C82D2E1F62A}"/>
    <cellStyle name="Normal 4 2 6 2 2 3 2" xfId="9109" xr:uid="{1F71B0AA-B07E-4E1B-B426-81E8CE243CCB}"/>
    <cellStyle name="Normal 4 2 6 2 2 3 2 2" xfId="29152" xr:uid="{1E8BF86F-831C-480C-922A-037576019845}"/>
    <cellStyle name="Normal 4 2 6 2 2 3 2 3" xfId="19489" xr:uid="{7D3B6463-E4B3-4766-BC1A-4E297A722C8A}"/>
    <cellStyle name="Normal 4 2 6 2 2 3 3" xfId="11942" xr:uid="{BE966F00-1B64-4BBB-9425-77D4C0A09E5B}"/>
    <cellStyle name="Normal 4 2 6 2 2 3 3 2" xfId="22322" xr:uid="{0FFB036E-9636-4239-8BEA-C670967D3303}"/>
    <cellStyle name="Normal 4 2 6 2 2 3 4" xfId="25209" xr:uid="{E1531264-CDA4-4A91-86DD-32418CD92D27}"/>
    <cellStyle name="Normal 4 2 6 2 2 3 5" xfId="16656" xr:uid="{26BB06FE-C18D-48A2-88D1-79ACDB3FEBE0}"/>
    <cellStyle name="Normal 4 2 6 2 2 4" xfId="5270" xr:uid="{845432CD-F2D3-4D76-907D-D59FA9CD2874}"/>
    <cellStyle name="Normal 4 2 6 2 2 4 2" xfId="27715" xr:uid="{A445EB11-AC63-43BA-9DB2-5C1783F44351}"/>
    <cellStyle name="Normal 4 2 6 2 2 4 3" xfId="14568" xr:uid="{A512F79D-014F-4042-B953-7D07D24825A3}"/>
    <cellStyle name="Normal 4 2 6 2 2 5" xfId="7021" xr:uid="{D760C8EB-0D87-4AC0-8888-2BA1C8E6609F}"/>
    <cellStyle name="Normal 4 2 6 2 2 5 2" xfId="17401" xr:uid="{9F4F324B-1C74-4189-84AD-6C60919BC47C}"/>
    <cellStyle name="Normal 4 2 6 2 2 6" xfId="9854" xr:uid="{1C183A3C-01F1-47A9-99F4-EA098027F5B3}"/>
    <cellStyle name="Normal 4 2 6 2 2 6 2" xfId="20234" xr:uid="{BAF14791-1445-4BFD-BB71-EA245F0BD374}"/>
    <cellStyle name="Normal 4 2 6 2 2 7" xfId="24662" xr:uid="{715982D8-8CCD-4DB3-A321-1023E28E91DD}"/>
    <cellStyle name="Normal 4 2 6 2 2 8" xfId="13236" xr:uid="{AE4511A6-6A37-451D-9339-1781BCD0E6C2}"/>
    <cellStyle name="Normal 4 2 6 2 3" xfId="3330" xr:uid="{00000000-0005-0000-0000-0000EF050000}"/>
    <cellStyle name="Normal 4 2 6 2 3 2" xfId="4526" xr:uid="{3B4A1E04-19F3-4BAC-8FB4-223D8C385833}"/>
    <cellStyle name="Normal 4 2 6 2 3 2 2" xfId="9298" xr:uid="{2643789D-BFF3-4FDE-89AE-576DAE0B7112}"/>
    <cellStyle name="Normal 4 2 6 2 3 2 2 2" xfId="29277" xr:uid="{ADC3726D-943B-4422-AA3B-312D33597F2D}"/>
    <cellStyle name="Normal 4 2 6 2 3 2 2 3" xfId="19678" xr:uid="{7F045121-FE28-46D2-8BD9-F2FD593D591E}"/>
    <cellStyle name="Normal 4 2 6 2 3 2 3" xfId="12131" xr:uid="{0E3A85B9-3D67-49A3-AC4A-3F0B11D3BE28}"/>
    <cellStyle name="Normal 4 2 6 2 3 2 3 2" xfId="22511" xr:uid="{A532BA39-5A27-49FF-B9D0-60AB1D2FC30C}"/>
    <cellStyle name="Normal 4 2 6 2 3 2 4" xfId="25730" xr:uid="{D479B867-F913-46C3-8BC5-AD701191ADBD}"/>
    <cellStyle name="Normal 4 2 6 2 3 2 5" xfId="16845" xr:uid="{5D574386-622A-4518-AF71-2749C6E6758C}"/>
    <cellStyle name="Normal 4 2 6 2 3 3" xfId="6388" xr:uid="{E3EC29E1-6B29-4691-AB1C-9E9E1E6D1FED}"/>
    <cellStyle name="Normal 4 2 6 2 3 3 2" xfId="26452" xr:uid="{EDC3EDAC-2582-499B-83E7-7013BC20D12A}"/>
    <cellStyle name="Normal 4 2 6 2 3 3 3" xfId="15957" xr:uid="{70662303-3DE4-41B2-BA67-8D3E9A6F8572}"/>
    <cellStyle name="Normal 4 2 6 2 3 4" xfId="8410" xr:uid="{BA7460BF-5E29-4C76-B10D-498E7A56FBC8}"/>
    <cellStyle name="Normal 4 2 6 2 3 4 2" xfId="18790" xr:uid="{AA8F3C40-3D91-473A-941F-906738993696}"/>
    <cellStyle name="Normal 4 2 6 2 3 5" xfId="11243" xr:uid="{895AA936-CA0C-4AD0-9B67-A23D4BBA7485}"/>
    <cellStyle name="Normal 4 2 6 2 3 5 2" xfId="21623" xr:uid="{B0D3F07F-5DD6-4BB5-8FA2-B4B5E91E4DE2}"/>
    <cellStyle name="Normal 4 2 6 2 3 6" xfId="23643" xr:uid="{FAEA117C-7D53-4795-9506-15D60D08DB14}"/>
    <cellStyle name="Normal 4 2 6 2 3 7" xfId="13887" xr:uid="{07894BF5-186F-46A5-90C3-C0E35D34DD71}"/>
    <cellStyle name="Normal 4 2 6 2 4" xfId="3328" xr:uid="{00000000-0005-0000-0000-0000F0050000}"/>
    <cellStyle name="Normal 4 2 6 2 4 2" xfId="6386" xr:uid="{1EFB95CC-F524-4CCE-B4C8-B3532779C91A}"/>
    <cellStyle name="Normal 4 2 6 2 4 2 2" xfId="27677" xr:uid="{5221F9D5-5C43-4BD8-A639-B8EAD77C4AA0}"/>
    <cellStyle name="Normal 4 2 6 2 4 2 3" xfId="15955" xr:uid="{4AA7393A-9535-46B1-AE7B-422F403D5E63}"/>
    <cellStyle name="Normal 4 2 6 2 4 3" xfId="8408" xr:uid="{BD057D78-443F-4F6A-BD3C-B805CE90C35E}"/>
    <cellStyle name="Normal 4 2 6 2 4 3 2" xfId="18788" xr:uid="{D7A8E92A-98A9-40BB-94F4-2F8B9EA5559F}"/>
    <cellStyle name="Normal 4 2 6 2 4 4" xfId="11241" xr:uid="{B77882D4-2BB8-4E51-817A-F4DFBF0C2F01}"/>
    <cellStyle name="Normal 4 2 6 2 4 4 2" xfId="21621" xr:uid="{19B015B6-C3D9-4F13-A81C-788AA33944AD}"/>
    <cellStyle name="Normal 4 2 6 2 4 5" xfId="24570" xr:uid="{9069EFC3-BB10-45D2-ACFB-9403E33DCD81}"/>
    <cellStyle name="Normal 4 2 6 2 4 6" xfId="13885" xr:uid="{4372CB72-119F-489D-BBEB-1AD6D0581791}"/>
    <cellStyle name="Normal 4 2 6 2 5" xfId="2610" xr:uid="{00000000-0005-0000-0000-0000F1050000}"/>
    <cellStyle name="Normal 4 2 6 2 5 2" xfId="5874" xr:uid="{07DD4D81-18F0-424D-AB3F-DCC8D97687DA}"/>
    <cellStyle name="Normal 4 2 6 2 5 2 2" xfId="28154" xr:uid="{0A8188F9-9BE0-4643-A3E1-78D3C7C185FA}"/>
    <cellStyle name="Normal 4 2 6 2 5 2 3" xfId="15282" xr:uid="{7DA7F9BC-5C98-4BE4-9B9A-C10CE37169CE}"/>
    <cellStyle name="Normal 4 2 6 2 5 3" xfId="7735" xr:uid="{FED3B4A8-396E-42D7-B50F-9D3B0DBCA14D}"/>
    <cellStyle name="Normal 4 2 6 2 5 3 2" xfId="18115" xr:uid="{3D2EC2C8-79D0-47C5-80A4-2811D2A4C0F5}"/>
    <cellStyle name="Normal 4 2 6 2 5 4" xfId="10568" xr:uid="{B4611E73-2207-41F3-8632-1E9574B02295}"/>
    <cellStyle name="Normal 4 2 6 2 5 4 2" xfId="20948" xr:uid="{C2CB5B8B-BB12-453B-9554-7525A2BD3805}"/>
    <cellStyle name="Normal 4 2 6 2 5 5" xfId="23500" xr:uid="{01E9226A-9A95-4F7B-B42B-1AACED1D9B86}"/>
    <cellStyle name="Normal 4 2 6 2 5 6" xfId="12998" xr:uid="{9A39D173-392B-4426-AD21-69500934C59C}"/>
    <cellStyle name="Normal 4 2 6 2 6" xfId="2361" xr:uid="{00000000-0005-0000-0000-0000EC050000}"/>
    <cellStyle name="Normal 4 2 6 2 6 2" xfId="7488" xr:uid="{36A58D09-B824-4A83-8738-F5426A950A4E}"/>
    <cellStyle name="Normal 4 2 6 2 6 2 2" xfId="17868" xr:uid="{B28F8718-5697-444D-AE82-7AF47CC92C2B}"/>
    <cellStyle name="Normal 4 2 6 2 6 3" xfId="10321" xr:uid="{3ED99E39-33F5-4F31-98CE-B9FEE95B9407}"/>
    <cellStyle name="Normal 4 2 6 2 6 3 2" xfId="20701" xr:uid="{37D94780-3B16-4555-9083-35032C5908D6}"/>
    <cellStyle name="Normal 4 2 6 2 6 4" xfId="23376" xr:uid="{1A3EA359-9DE4-4D7E-8066-FF4884B37497}"/>
    <cellStyle name="Normal 4 2 6 2 6 5" xfId="15035" xr:uid="{7F5C3E7B-8BFC-4881-9F5E-4D195B13A68F}"/>
    <cellStyle name="Normal 4 2 6 2 7" xfId="3898" xr:uid="{AA3D5DF3-B1EE-4297-AA11-BA003746AEB6}"/>
    <cellStyle name="Normal 4 2 6 2 7 2" xfId="8730" xr:uid="{53ADFC7F-9696-475D-9D78-12468888E6C4}"/>
    <cellStyle name="Normal 4 2 6 2 7 2 2" xfId="19110" xr:uid="{54C6A38B-1B82-465D-A279-513907E7CFA6}"/>
    <cellStyle name="Normal 4 2 6 2 7 3" xfId="11563" xr:uid="{6B266857-CB04-46C9-B790-0A3E49B6057C}"/>
    <cellStyle name="Normal 4 2 6 2 7 3 2" xfId="21943" xr:uid="{972EF6E0-3C28-452F-8AE8-878C81AA9467}"/>
    <cellStyle name="Normal 4 2 6 2 7 4" xfId="16277" xr:uid="{0F76F6A9-D3F2-42FB-8BF3-311F1A13DB19}"/>
    <cellStyle name="Normal 4 2 6 2 8" xfId="5269" xr:uid="{319875FB-8008-49E7-9C02-EED376AEFF7C}"/>
    <cellStyle name="Normal 4 2 6 2 8 2" xfId="14567" xr:uid="{DDF5DFE2-BAD9-4697-BDB6-C9BA65F2F991}"/>
    <cellStyle name="Normal 4 2 6 2 9" xfId="7020" xr:uid="{0F7B2D12-A05C-4F27-BE47-222BC3C4A06A}"/>
    <cellStyle name="Normal 4 2 6 2 9 2" xfId="17400" xr:uid="{CDA9802D-6A62-4039-96EA-9AB473645173}"/>
    <cellStyle name="Normal 4 2 6 3" xfId="966" xr:uid="{00000000-0005-0000-0000-000078050000}"/>
    <cellStyle name="Normal 4 2 6 3 2" xfId="3331" xr:uid="{00000000-0005-0000-0000-0000F3050000}"/>
    <cellStyle name="Normal 4 2 6 3 2 2" xfId="6389" xr:uid="{FE92993F-BAF8-4C5B-9F7C-AE05EE62D22B}"/>
    <cellStyle name="Normal 4 2 6 3 2 2 2" xfId="25677" xr:uid="{C0EE5ABE-996E-4F6B-B7AD-58B41061E466}"/>
    <cellStyle name="Normal 4 2 6 3 2 2 3" xfId="27988" xr:uid="{2F42EDBE-BC3F-4C91-BAAE-6B0948836DED}"/>
    <cellStyle name="Normal 4 2 6 3 2 2 4" xfId="15958" xr:uid="{7426F8A1-AE9F-41EA-8EA0-D58B5D52ACF8}"/>
    <cellStyle name="Normal 4 2 6 3 2 3" xfId="8411" xr:uid="{C474FC15-91E5-4D33-B0F6-A82653846DB4}"/>
    <cellStyle name="Normal 4 2 6 3 2 3 2" xfId="28908" xr:uid="{CF51905B-2ADD-40D8-A7FB-31E292C6AF88}"/>
    <cellStyle name="Normal 4 2 6 3 2 3 3" xfId="18791" xr:uid="{343A9DA3-0E4B-4C2D-9F23-ED2461D33386}"/>
    <cellStyle name="Normal 4 2 6 3 2 4" xfId="11244" xr:uid="{90FC2832-9F79-4557-BE5E-1089DDFF8350}"/>
    <cellStyle name="Normal 4 2 6 3 2 4 2" xfId="21624" xr:uid="{8DA32EF5-1CEB-4CC4-BC92-F33A8B50D9F0}"/>
    <cellStyle name="Normal 4 2 6 3 2 5" xfId="24311" xr:uid="{B6AAD285-E742-4B62-B4ED-57D839C9066F}"/>
    <cellStyle name="Normal 4 2 6 3 2 6" xfId="13888" xr:uid="{1B2BD6CC-67ED-4A93-99E0-2748B9D2A540}"/>
    <cellStyle name="Normal 4 2 6 3 3" xfId="2780" xr:uid="{00000000-0005-0000-0000-0000F4050000}"/>
    <cellStyle name="Normal 4 2 6 3 3 2" xfId="5998" xr:uid="{1684FD6E-1C2D-4B92-B5D1-821C8B9D5A9C}"/>
    <cellStyle name="Normal 4 2 6 3 3 2 2" xfId="28343" xr:uid="{7C3DF070-E185-4A69-87FA-43E27DBE019C}"/>
    <cellStyle name="Normal 4 2 6 3 3 2 3" xfId="15451" xr:uid="{77B3597A-511B-4796-85FD-53FDBEE36A9B}"/>
    <cellStyle name="Normal 4 2 6 3 3 3" xfId="7904" xr:uid="{9A99C179-EF21-47B5-92A9-F85335778B74}"/>
    <cellStyle name="Normal 4 2 6 3 3 3 2" xfId="18284" xr:uid="{82730A57-B685-428B-A2BD-50CA72A6FBD0}"/>
    <cellStyle name="Normal 4 2 6 3 3 4" xfId="10737" xr:uid="{9F70DF0B-080C-4430-B3C0-91DD352022C6}"/>
    <cellStyle name="Normal 4 2 6 3 3 4 2" xfId="21117" xr:uid="{2466BF61-16A6-4DF7-A8C3-712F105B9071}"/>
    <cellStyle name="Normal 4 2 6 3 3 5" xfId="23880" xr:uid="{8596DDE8-CBB3-4C0D-A541-2F54AE8282B1}"/>
    <cellStyle name="Normal 4 2 6 3 3 6" xfId="13235" xr:uid="{21DE1455-38A9-4019-B32C-08D8109886B2}"/>
    <cellStyle name="Normal 4 2 6 3 4" xfId="4189" xr:uid="{40606041-DA8B-4377-AA3C-F2C00702F787}"/>
    <cellStyle name="Normal 4 2 6 3 4 2" xfId="8961" xr:uid="{C66EE141-AE82-434F-B65F-361BAD69F1E6}"/>
    <cellStyle name="Normal 4 2 6 3 4 2 2" xfId="29047" xr:uid="{9382D94B-DCB1-4011-9176-F3AC01C961F4}"/>
    <cellStyle name="Normal 4 2 6 3 4 2 3" xfId="19341" xr:uid="{23366CE6-989D-4451-AD99-E1CAB3D4CF0C}"/>
    <cellStyle name="Normal 4 2 6 3 4 3" xfId="11794" xr:uid="{6C6B874E-6267-4F5F-86D1-6C14266CB4C3}"/>
    <cellStyle name="Normal 4 2 6 3 4 3 2" xfId="22174" xr:uid="{C33C7272-BA02-473F-9F73-3E5525316369}"/>
    <cellStyle name="Normal 4 2 6 3 4 4" xfId="24916" xr:uid="{D1A430FD-F708-4F93-8B88-EB63EA560D80}"/>
    <cellStyle name="Normal 4 2 6 3 4 5" xfId="16508" xr:uid="{8609A487-7754-4F40-89C8-88528592A204}"/>
    <cellStyle name="Normal 4 2 6 3 5" xfId="5271" xr:uid="{584CF36E-63D8-4E1F-B462-50FA7D66AD92}"/>
    <cellStyle name="Normal 4 2 6 3 5 2" xfId="25936" xr:uid="{26C2E12F-6534-4FBA-A1C8-87642CD37059}"/>
    <cellStyle name="Normal 4 2 6 3 5 3" xfId="14569" xr:uid="{3B8A09C0-1692-46C5-96B7-FE928EDDD8A3}"/>
    <cellStyle name="Normal 4 2 6 3 6" xfId="7022" xr:uid="{B44D897B-9503-442F-886D-E558BAF987A4}"/>
    <cellStyle name="Normal 4 2 6 3 6 2" xfId="17402" xr:uid="{03DB9A1F-E3DC-424B-8835-C0B872E74A93}"/>
    <cellStyle name="Normal 4 2 6 3 7" xfId="9855" xr:uid="{A24C2DCE-6D31-4069-BE85-1EABC0836247}"/>
    <cellStyle name="Normal 4 2 6 3 7 2" xfId="20235" xr:uid="{16F25DB6-6C13-48F7-8EEF-F305CFA7EA75}"/>
    <cellStyle name="Normal 4 2 6 3 8" xfId="23278" xr:uid="{53F1ADCD-A2B6-443C-90D0-30C7F86D4AF5}"/>
    <cellStyle name="Normal 4 2 6 3 9" xfId="12753" xr:uid="{004352A9-0DBB-4201-B860-3A2496E83A61}"/>
    <cellStyle name="Normal 4 2 6 4" xfId="967" xr:uid="{00000000-0005-0000-0000-000079050000}"/>
    <cellStyle name="Normal 4 2 6 4 2" xfId="4527" xr:uid="{DED110EA-4FF8-44EC-81CD-282E94001006}"/>
    <cellStyle name="Normal 4 2 6 4 2 2" xfId="9299" xr:uid="{0DA1CCB9-C711-4155-A334-3C6A56E58164}"/>
    <cellStyle name="Normal 4 2 6 4 2 2 2" xfId="29278" xr:uid="{B90B2C4E-6921-4B87-9274-42B9C74AD2DF}"/>
    <cellStyle name="Normal 4 2 6 4 2 2 3" xfId="19679" xr:uid="{5D0EEA66-234D-4E46-AE98-B416CEAB992B}"/>
    <cellStyle name="Normal 4 2 6 4 2 3" xfId="12132" xr:uid="{24F307D8-4CC8-4225-993F-EB795795E782}"/>
    <cellStyle name="Normal 4 2 6 4 2 3 2" xfId="22512" xr:uid="{BFF4A2C3-5869-44F5-8885-D70070B4C538}"/>
    <cellStyle name="Normal 4 2 6 4 2 4" xfId="25433" xr:uid="{A49B63E4-FA31-42C2-BDFB-FC8FAB4DB1DA}"/>
    <cellStyle name="Normal 4 2 6 4 2 5" xfId="16846" xr:uid="{151BECC0-F259-4535-9B23-B11A73E29759}"/>
    <cellStyle name="Normal 4 2 6 4 3" xfId="5272" xr:uid="{030FAB88-72EC-442A-B69B-959D39BD510A}"/>
    <cellStyle name="Normal 4 2 6 4 3 2" xfId="28016" xr:uid="{940E6B7D-174B-42BA-9111-E86BD89D0A21}"/>
    <cellStyle name="Normal 4 2 6 4 3 3" xfId="14570" xr:uid="{7709087C-7763-4E58-9AF2-9BFC0C3F1F94}"/>
    <cellStyle name="Normal 4 2 6 4 4" xfId="7023" xr:uid="{6C011319-2626-4F1A-923C-913F15298D48}"/>
    <cellStyle name="Normal 4 2 6 4 4 2" xfId="17403" xr:uid="{9A48E7CE-7C90-447D-874F-D9D1D8BC9CEC}"/>
    <cellStyle name="Normal 4 2 6 4 5" xfId="9856" xr:uid="{4AC0B897-9F0B-4935-9EE5-C071DBF6BAB3}"/>
    <cellStyle name="Normal 4 2 6 4 5 2" xfId="20236" xr:uid="{E84A4B4A-75CD-4A59-B7DF-5D11CA0F2256}"/>
    <cellStyle name="Normal 4 2 6 4 6" xfId="23676" xr:uid="{E2572290-DD8A-4041-88A8-76E5A43C2C3E}"/>
    <cellStyle name="Normal 4 2 6 4 7" xfId="13889" xr:uid="{FDD0F8A3-0BCC-477E-BBAD-878A7FAEB041}"/>
    <cellStyle name="Normal 4 2 6 5" xfId="2935" xr:uid="{00000000-0005-0000-0000-0000F6050000}"/>
    <cellStyle name="Normal 4 2 6 5 2" xfId="6115" xr:uid="{49FD57F7-0D14-41A4-BB9A-FD686BE73B14}"/>
    <cellStyle name="Normal 4 2 6 5 2 2" xfId="25666" xr:uid="{9617A641-5376-4873-B334-0A18ACE25AF7}"/>
    <cellStyle name="Normal 4 2 6 5 2 3" xfId="26829" xr:uid="{486B707A-D64E-4F41-991E-646BFC4E3308}"/>
    <cellStyle name="Normal 4 2 6 5 2 4" xfId="15593" xr:uid="{7BC0E760-E082-469C-B346-2F2688DE3869}"/>
    <cellStyle name="Normal 4 2 6 5 3" xfId="8046" xr:uid="{04086D41-E9AD-40AE-BF3A-BADDAEFD08AE}"/>
    <cellStyle name="Normal 4 2 6 5 3 2" xfId="28753" xr:uid="{070C6FAE-E5E7-403F-BD1E-5634967E85B2}"/>
    <cellStyle name="Normal 4 2 6 5 3 3" xfId="18426" xr:uid="{0FD652B7-BF6E-46EC-AE54-2D00C96B8C57}"/>
    <cellStyle name="Normal 4 2 6 5 4" xfId="10879" xr:uid="{833C2923-73FE-445C-A9CB-EDDC2620A496}"/>
    <cellStyle name="Normal 4 2 6 5 4 2" xfId="21259" xr:uid="{3822B3BA-483E-493F-9034-8BC640CD0A99}"/>
    <cellStyle name="Normal 4 2 6 5 5" xfId="23175" xr:uid="{6E0C4EA4-0CE7-4116-B59E-5195228600A9}"/>
    <cellStyle name="Normal 4 2 6 5 6" xfId="13451" xr:uid="{99AC9C3F-479A-4003-A88D-B5EC02EAB443}"/>
    <cellStyle name="Normal 4 2 6 6" xfId="2447" xr:uid="{00000000-0005-0000-0000-0000F7050000}"/>
    <cellStyle name="Normal 4 2 6 6 2" xfId="5741" xr:uid="{E78AD926-4D52-4521-A7B9-95BD7DBAD383}"/>
    <cellStyle name="Normal 4 2 6 6 2 2" xfId="27910" xr:uid="{A90D7833-AFF6-4E69-9896-A39DF4AE1AE7}"/>
    <cellStyle name="Normal 4 2 6 6 2 3" xfId="15119" xr:uid="{2616915A-7E35-44F3-9F82-326B14B23196}"/>
    <cellStyle name="Normal 4 2 6 6 3" xfId="7572" xr:uid="{E02D6971-BBD4-4B48-851B-BCCDE6302B70}"/>
    <cellStyle name="Normal 4 2 6 6 3 2" xfId="17952" xr:uid="{1C7BCFD2-81D3-417A-A632-8DD7D1A65E82}"/>
    <cellStyle name="Normal 4 2 6 6 4" xfId="10405" xr:uid="{ECFF3D03-DFA7-4425-A720-F403C59C6701}"/>
    <cellStyle name="Normal 4 2 6 6 4 2" xfId="20785" xr:uid="{99A73FA3-7F73-437D-8071-4F5B3A3C8AF7}"/>
    <cellStyle name="Normal 4 2 6 6 5" xfId="23436" xr:uid="{37C8720F-BA41-4E79-99AA-D6470235F8D2}"/>
    <cellStyle name="Normal 4 2 6 6 6" xfId="12835" xr:uid="{570C49A3-FAF4-495A-8892-2CC6AD9653A7}"/>
    <cellStyle name="Normal 4 2 6 7" xfId="2201" xr:uid="{00000000-0005-0000-0000-0000EB050000}"/>
    <cellStyle name="Normal 4 2 6 7 2" xfId="7328" xr:uid="{EBE469A9-310C-4141-944D-1CC1B26602A5}"/>
    <cellStyle name="Normal 4 2 6 7 2 2" xfId="17708" xr:uid="{1B9B7FBB-2472-47EE-AF99-0BCDBA0F2444}"/>
    <cellStyle name="Normal 4 2 6 7 3" xfId="10161" xr:uid="{0FF57B05-FD99-4351-97BE-855AEFD9ED1D}"/>
    <cellStyle name="Normal 4 2 6 7 3 2" xfId="20541" xr:uid="{4BB541D0-49FA-4AB4-92D3-9EE0782C903D}"/>
    <cellStyle name="Normal 4 2 6 7 4" xfId="25073" xr:uid="{C021C09F-3E96-449F-BFCD-20D6CB46C1A5}"/>
    <cellStyle name="Normal 4 2 6 7 5" xfId="14875" xr:uid="{91C5B66E-C397-486B-A351-7B86C9C2CEA2}"/>
    <cellStyle name="Normal 4 2 6 8" xfId="3982" xr:uid="{39E719C9-56D6-454A-BB9F-E7BC7A19B069}"/>
    <cellStyle name="Normal 4 2 6 8 2" xfId="8806" xr:uid="{18AFC519-0509-452D-8D8A-E81B6F817390}"/>
    <cellStyle name="Normal 4 2 6 8 2 2" xfId="19186" xr:uid="{81B46A5A-09ED-45DA-A568-F500B1B04E8D}"/>
    <cellStyle name="Normal 4 2 6 8 3" xfId="11639" xr:uid="{5810BEEF-9E1E-42DF-91A4-FCAFB5433636}"/>
    <cellStyle name="Normal 4 2 6 8 3 2" xfId="22019" xr:uid="{F7A5AD6D-91FB-4763-B22A-F3CC08EE0549}"/>
    <cellStyle name="Normal 4 2 6 8 4" xfId="16353" xr:uid="{59D4C8B2-18FC-4EB9-943C-77A8A3AF0FF2}"/>
    <cellStyle name="Normal 4 2 6 9" xfId="5268" xr:uid="{2CC65B87-FEB3-4BEB-BE29-375ED386E1E2}"/>
    <cellStyle name="Normal 4 2 6 9 2" xfId="14566" xr:uid="{65D57A87-172B-4717-93B8-77D04244D815}"/>
    <cellStyle name="Normal 4 2 7" xfId="968" xr:uid="{00000000-0005-0000-0000-00007A050000}"/>
    <cellStyle name="Normal 4 2 7 10" xfId="7024" xr:uid="{C75AEBD9-7B22-4650-B68F-FC6B3EC006A0}"/>
    <cellStyle name="Normal 4 2 7 10 2" xfId="17404" xr:uid="{87CEF99F-4E84-4987-AC5A-6617EE727F05}"/>
    <cellStyle name="Normal 4 2 7 11" xfId="9857" xr:uid="{DD7630E6-64D9-45F8-BAA3-1C33580C3CC4}"/>
    <cellStyle name="Normal 4 2 7 11 2" xfId="20237" xr:uid="{2914F869-D008-4CB9-978A-74E781FD64FE}"/>
    <cellStyle name="Normal 4 2 7 12" xfId="23946" xr:uid="{EA3501E9-9971-4DAE-8CC0-9B7F32512BE8}"/>
    <cellStyle name="Normal 4 2 7 13" xfId="12495" xr:uid="{272FD9C3-2939-41EC-936A-6EFD742FF676}"/>
    <cellStyle name="Normal 4 2 7 2" xfId="969" xr:uid="{00000000-0005-0000-0000-00007B050000}"/>
    <cellStyle name="Normal 4 2 7 2 10" xfId="9858" xr:uid="{9B1E82FD-5E66-4F20-A2F0-EA31C6173BC7}"/>
    <cellStyle name="Normal 4 2 7 2 10 2" xfId="20238" xr:uid="{CDA7754F-4E62-4B5E-ACDC-34F9341A588E}"/>
    <cellStyle name="Normal 4 2 7 2 11" xfId="23335" xr:uid="{C8EDA597-C8F0-40E0-A26F-E41264E8DF50}"/>
    <cellStyle name="Normal 4 2 7 2 12" xfId="12596" xr:uid="{4FC3BA18-ABA9-4F00-9F2B-682E5BCFE915}"/>
    <cellStyle name="Normal 4 2 7 2 2" xfId="970" xr:uid="{00000000-0005-0000-0000-00007C050000}"/>
    <cellStyle name="Normal 4 2 7 2 2 2" xfId="3333" xr:uid="{00000000-0005-0000-0000-0000FB050000}"/>
    <cellStyle name="Normal 4 2 7 2 2 2 2" xfId="6391" xr:uid="{A104640B-11BD-4307-BACA-F462E8B05409}"/>
    <cellStyle name="Normal 4 2 7 2 2 2 2 2" xfId="27728" xr:uid="{538036BB-6F49-4B5A-84C5-6ECF941CE508}"/>
    <cellStyle name="Normal 4 2 7 2 2 2 2 3" xfId="28151" xr:uid="{CEC9637F-0D22-4ED5-AFD2-B7FD4F6F8D4F}"/>
    <cellStyle name="Normal 4 2 7 2 2 2 2 4" xfId="15960" xr:uid="{A2981CF7-3FE6-48D9-ACFC-DC1AF20C26CD}"/>
    <cellStyle name="Normal 4 2 7 2 2 2 3" xfId="8413" xr:uid="{76B45A79-A86F-4FDF-88DF-BD113CF49B1F}"/>
    <cellStyle name="Normal 4 2 7 2 2 2 3 2" xfId="28909" xr:uid="{6A21A0C9-778A-41D3-A142-0869BA7FE5AB}"/>
    <cellStyle name="Normal 4 2 7 2 2 2 3 3" xfId="18793" xr:uid="{8D161002-90FE-4100-A6C9-D02BC4700E68}"/>
    <cellStyle name="Normal 4 2 7 2 2 2 4" xfId="11246" xr:uid="{88C8BC9F-1286-4DEA-895C-BDF3D493CA6A}"/>
    <cellStyle name="Normal 4 2 7 2 2 2 4 2" xfId="21626" xr:uid="{9B01512E-6756-409F-80A5-11331296626B}"/>
    <cellStyle name="Normal 4 2 7 2 2 2 5" xfId="23509" xr:uid="{515FCD7A-96F3-4928-AF9E-7936EDFDB442}"/>
    <cellStyle name="Normal 4 2 7 2 2 2 6" xfId="13891" xr:uid="{5C584651-4D2E-4164-840F-CBB3F2363E79}"/>
    <cellStyle name="Normal 4 2 7 2 2 3" xfId="4338" xr:uid="{A2F0346D-0964-4489-AF9A-98C76D704BA2}"/>
    <cellStyle name="Normal 4 2 7 2 2 3 2" xfId="9110" xr:uid="{0CBE516C-84E1-4BA7-82F7-74CD1B506B4D}"/>
    <cellStyle name="Normal 4 2 7 2 2 3 2 2" xfId="29153" xr:uid="{FCA1CA00-3E69-4FEC-B15C-28A1C0FBA569}"/>
    <cellStyle name="Normal 4 2 7 2 2 3 2 3" xfId="19490" xr:uid="{F3510842-5E75-4AA4-ACED-6DCBEF17394C}"/>
    <cellStyle name="Normal 4 2 7 2 2 3 3" xfId="11943" xr:uid="{CBC68661-EB31-45DB-AA6D-FDF871813ED8}"/>
    <cellStyle name="Normal 4 2 7 2 2 3 3 2" xfId="22323" xr:uid="{EC4EDDC2-1E88-46F3-B002-8553D44B8F4D}"/>
    <cellStyle name="Normal 4 2 7 2 2 3 4" xfId="24292" xr:uid="{E6583185-FB7E-4BF1-A4F8-BE5929EDEE2F}"/>
    <cellStyle name="Normal 4 2 7 2 2 3 5" xfId="16657" xr:uid="{6380045C-725D-495C-8C15-E83B6E688C2F}"/>
    <cellStyle name="Normal 4 2 7 2 2 4" xfId="5275" xr:uid="{CF2F36A8-4210-46F0-AEF4-C136B3BC60D2}"/>
    <cellStyle name="Normal 4 2 7 2 2 4 2" xfId="26859" xr:uid="{44C835BE-4E5C-4EFB-B161-4A7B3A6435B3}"/>
    <cellStyle name="Normal 4 2 7 2 2 4 3" xfId="14573" xr:uid="{2B704AB7-BF60-4CD9-80D1-B23DB9D717E9}"/>
    <cellStyle name="Normal 4 2 7 2 2 5" xfId="7026" xr:uid="{67B594AD-469D-4118-80E6-64E604FD07BB}"/>
    <cellStyle name="Normal 4 2 7 2 2 5 2" xfId="17406" xr:uid="{F2DD9EA1-BE8D-4470-B982-6C580029D30A}"/>
    <cellStyle name="Normal 4 2 7 2 2 6" xfId="9859" xr:uid="{6A5DB13C-3DFB-4216-A525-675D4274090C}"/>
    <cellStyle name="Normal 4 2 7 2 2 6 2" xfId="20239" xr:uid="{237421BF-F932-4FFF-AB38-6B092A3E3278}"/>
    <cellStyle name="Normal 4 2 7 2 2 7" xfId="23368" xr:uid="{5144D789-F1E1-4F92-B0B6-1A55B20AE894}"/>
    <cellStyle name="Normal 4 2 7 2 2 8" xfId="13238" xr:uid="{814A08A0-E839-4E7D-857B-9695706BF099}"/>
    <cellStyle name="Normal 4 2 7 2 3" xfId="3334" xr:uid="{00000000-0005-0000-0000-0000FC050000}"/>
    <cellStyle name="Normal 4 2 7 2 3 2" xfId="4528" xr:uid="{113E0108-CA11-426D-A7AE-4C0788D53CB6}"/>
    <cellStyle name="Normal 4 2 7 2 3 2 2" xfId="9300" xr:uid="{0BFB295B-C3F7-4F36-86D6-CBDBA07D92B4}"/>
    <cellStyle name="Normal 4 2 7 2 3 2 2 2" xfId="29279" xr:uid="{39582063-3B8C-4E67-9507-ADA9A0C73728}"/>
    <cellStyle name="Normal 4 2 7 2 3 2 2 3" xfId="19680" xr:uid="{ADBD3F24-B1B1-4250-89F9-F5C959B05EFB}"/>
    <cellStyle name="Normal 4 2 7 2 3 2 3" xfId="12133" xr:uid="{1222DCB9-48E2-4AA9-842E-5EF1B5E119F0}"/>
    <cellStyle name="Normal 4 2 7 2 3 2 3 2" xfId="22513" xr:uid="{FE61A86C-E855-49B0-8C22-5164BF01611A}"/>
    <cellStyle name="Normal 4 2 7 2 3 2 4" xfId="24370" xr:uid="{34139AB0-1605-4A00-8935-FE283338C7CC}"/>
    <cellStyle name="Normal 4 2 7 2 3 2 5" xfId="16847" xr:uid="{7892A2B9-A497-431C-A7D0-1FF51ECDCB89}"/>
    <cellStyle name="Normal 4 2 7 2 3 3" xfId="6392" xr:uid="{24005D36-6C58-4A2A-AC91-27423652490B}"/>
    <cellStyle name="Normal 4 2 7 2 3 3 2" xfId="26922" xr:uid="{9FE2913F-4DF2-45FF-AA04-A1B4D2E9EA23}"/>
    <cellStyle name="Normal 4 2 7 2 3 3 3" xfId="15961" xr:uid="{0E2461BA-E4A1-420E-9D22-2B797902385B}"/>
    <cellStyle name="Normal 4 2 7 2 3 4" xfId="8414" xr:uid="{EF939839-3CEB-4523-8745-D961CA6A0D8D}"/>
    <cellStyle name="Normal 4 2 7 2 3 4 2" xfId="18794" xr:uid="{A96BBD39-090B-488A-894B-9326A5CCA39E}"/>
    <cellStyle name="Normal 4 2 7 2 3 5" xfId="11247" xr:uid="{C9992B36-10B0-4ED1-8DDD-7BF4ED461CBC}"/>
    <cellStyle name="Normal 4 2 7 2 3 5 2" xfId="21627" xr:uid="{394874BC-F433-4BF5-BD59-6F5C02316855}"/>
    <cellStyle name="Normal 4 2 7 2 3 6" xfId="24972" xr:uid="{C1B4319E-1D3B-4F63-AE06-22BBEEEA9372}"/>
    <cellStyle name="Normal 4 2 7 2 3 7" xfId="13892" xr:uid="{92B057E0-91C3-4B1B-B171-94837575EFAD}"/>
    <cellStyle name="Normal 4 2 7 2 4" xfId="3332" xr:uid="{00000000-0005-0000-0000-0000FD050000}"/>
    <cellStyle name="Normal 4 2 7 2 4 2" xfId="6390" xr:uid="{111BF01C-1114-4917-AD87-FB5B2FE55A85}"/>
    <cellStyle name="Normal 4 2 7 2 4 2 2" xfId="28654" xr:uid="{B7FA4BFC-8DF5-4D39-98F2-1F99C9FA3540}"/>
    <cellStyle name="Normal 4 2 7 2 4 2 3" xfId="15959" xr:uid="{E123A4F9-E181-44DD-B24C-B0952899D43E}"/>
    <cellStyle name="Normal 4 2 7 2 4 3" xfId="8412" xr:uid="{B30E7EE4-CD91-4910-83EA-305F60F8FAFD}"/>
    <cellStyle name="Normal 4 2 7 2 4 3 2" xfId="18792" xr:uid="{D21EB055-EE75-4725-A2C2-169E92B31C0B}"/>
    <cellStyle name="Normal 4 2 7 2 4 4" xfId="11245" xr:uid="{F76FAE72-67FD-4B53-B162-C0300C65DF8F}"/>
    <cellStyle name="Normal 4 2 7 2 4 4 2" xfId="21625" xr:uid="{C3CEF82F-8E1C-483A-B617-9BBE836DCB9A}"/>
    <cellStyle name="Normal 4 2 7 2 4 5" xfId="22915" xr:uid="{A524EB65-2F3D-4896-91AB-2D00C4E7B88E}"/>
    <cellStyle name="Normal 4 2 7 2 4 6" xfId="13890" xr:uid="{FA41583B-3916-4931-BB11-0693536E74F3}"/>
    <cellStyle name="Normal 4 2 7 2 5" xfId="2658" xr:uid="{00000000-0005-0000-0000-0000FE050000}"/>
    <cellStyle name="Normal 4 2 7 2 5 2" xfId="5918" xr:uid="{0B8E98C4-A267-4536-882E-A4447A842A72}"/>
    <cellStyle name="Normal 4 2 7 2 5 2 2" xfId="28524" xr:uid="{B360D795-95FD-463C-9900-756996F4A2B5}"/>
    <cellStyle name="Normal 4 2 7 2 5 2 3" xfId="15330" xr:uid="{74AE6123-61E8-4FD5-ADF8-771B47BB86F2}"/>
    <cellStyle name="Normal 4 2 7 2 5 3" xfId="7783" xr:uid="{34AB58B6-C80F-4279-9365-4E2AAAFAD3DC}"/>
    <cellStyle name="Normal 4 2 7 2 5 3 2" xfId="18163" xr:uid="{1E982559-A11B-4DF8-899E-505850C975CD}"/>
    <cellStyle name="Normal 4 2 7 2 5 4" xfId="10616" xr:uid="{D7B3D5ED-EF51-4FF0-A314-EE0A11BF7CCE}"/>
    <cellStyle name="Normal 4 2 7 2 5 4 2" xfId="20996" xr:uid="{DB13A2EA-6374-421D-984E-7992E4D06FE6}"/>
    <cellStyle name="Normal 4 2 7 2 5 5" xfId="23326" xr:uid="{7140C098-BC0D-4672-B2B9-EE4625B52432}"/>
    <cellStyle name="Normal 4 2 7 2 5 6" xfId="13060" xr:uid="{5131B977-8762-4AD2-B136-13B11C91F4DB}"/>
    <cellStyle name="Normal 4 2 7 2 6" xfId="2362" xr:uid="{00000000-0005-0000-0000-0000F9050000}"/>
    <cellStyle name="Normal 4 2 7 2 6 2" xfId="7489" xr:uid="{6D14173A-43EB-49FA-8F83-F337B32B1E9C}"/>
    <cellStyle name="Normal 4 2 7 2 6 2 2" xfId="17869" xr:uid="{E4CB5BC6-FF96-4E57-95EA-5649002034A5}"/>
    <cellStyle name="Normal 4 2 7 2 6 3" xfId="10322" xr:uid="{072E85DB-784C-42A4-B9B3-6D28478D462C}"/>
    <cellStyle name="Normal 4 2 7 2 6 3 2" xfId="20702" xr:uid="{97AF1658-E4E3-4AB0-B9D6-BF6C3B1E1215}"/>
    <cellStyle name="Normal 4 2 7 2 6 4" xfId="23979" xr:uid="{7E8A1A54-5878-43CD-AFD2-E284B8365121}"/>
    <cellStyle name="Normal 4 2 7 2 6 5" xfId="15036" xr:uid="{880158E5-203E-48BE-BEEE-0FCB4F074F6F}"/>
    <cellStyle name="Normal 4 2 7 2 7" xfId="3899" xr:uid="{95B3FED8-33A7-4EE0-B147-F06D67130D62}"/>
    <cellStyle name="Normal 4 2 7 2 7 2" xfId="8731" xr:uid="{9F10AB3E-B78D-4030-986E-CBE8C079A842}"/>
    <cellStyle name="Normal 4 2 7 2 7 2 2" xfId="19111" xr:uid="{F1A858DD-C3DB-4077-B8BF-B36DF118D961}"/>
    <cellStyle name="Normal 4 2 7 2 7 3" xfId="11564" xr:uid="{EB48044C-321E-41BB-B7B5-229AF60CC36C}"/>
    <cellStyle name="Normal 4 2 7 2 7 3 2" xfId="21944" xr:uid="{358D9FE7-445A-4896-A7EE-AA20328B1EEE}"/>
    <cellStyle name="Normal 4 2 7 2 7 4" xfId="16278" xr:uid="{13C88D2F-287E-4A14-B313-C8CA6C86FF4D}"/>
    <cellStyle name="Normal 4 2 7 2 8" xfId="5274" xr:uid="{237905E0-C648-4B61-B7E0-EC5463F82D93}"/>
    <cellStyle name="Normal 4 2 7 2 8 2" xfId="14572" xr:uid="{05B823AA-78FD-4DE9-BEEE-402DE116742F}"/>
    <cellStyle name="Normal 4 2 7 2 9" xfId="7025" xr:uid="{48F952B1-AD2A-4E5D-8EA9-E2F952458A23}"/>
    <cellStyle name="Normal 4 2 7 2 9 2" xfId="17405" xr:uid="{094EAE94-18DC-4BC2-864D-753A9ACBD085}"/>
    <cellStyle name="Normal 4 2 7 3" xfId="971" xr:uid="{00000000-0005-0000-0000-00007D050000}"/>
    <cellStyle name="Normal 4 2 7 3 2" xfId="3335" xr:uid="{00000000-0005-0000-0000-000000060000}"/>
    <cellStyle name="Normal 4 2 7 3 2 2" xfId="6393" xr:uid="{6894B5CC-A9EF-4A60-BDE9-95263FC21D97}"/>
    <cellStyle name="Normal 4 2 7 3 2 2 2" xfId="24619" xr:uid="{5E855E91-9205-4EEA-A6EF-2EDDC6D19AEC}"/>
    <cellStyle name="Normal 4 2 7 3 2 2 3" xfId="28411" xr:uid="{20943430-55D3-462E-BC2F-75B8BB4DA39D}"/>
    <cellStyle name="Normal 4 2 7 3 2 2 4" xfId="15962" xr:uid="{A624F227-6BF0-4751-A735-E610CB4161D9}"/>
    <cellStyle name="Normal 4 2 7 3 2 3" xfId="8415" xr:uid="{F49FB817-3E57-46EA-82E0-F65264ECE60D}"/>
    <cellStyle name="Normal 4 2 7 3 2 3 2" xfId="28910" xr:uid="{C67EA1F7-CEAB-40B8-B20E-1D6E5080FF91}"/>
    <cellStyle name="Normal 4 2 7 3 2 3 3" xfId="18795" xr:uid="{4373D8BB-E58E-429B-A6EE-2F8F0C677499}"/>
    <cellStyle name="Normal 4 2 7 3 2 4" xfId="11248" xr:uid="{94D54862-EBCD-4AB4-994D-2B7E41C49496}"/>
    <cellStyle name="Normal 4 2 7 3 2 4 2" xfId="21628" xr:uid="{83B10924-4B83-4D1E-A513-05EBC9E74FBE}"/>
    <cellStyle name="Normal 4 2 7 3 2 5" xfId="23540" xr:uid="{35D40B51-041E-45E9-826C-55A1A9E1D1AD}"/>
    <cellStyle name="Normal 4 2 7 3 2 6" xfId="13893" xr:uid="{59EEE289-60C0-4CE9-AD10-F17BDF93D2B8}"/>
    <cellStyle name="Normal 4 2 7 3 3" xfId="2781" xr:uid="{00000000-0005-0000-0000-000001060000}"/>
    <cellStyle name="Normal 4 2 7 3 3 2" xfId="5999" xr:uid="{862657B4-C8A8-4485-AD9D-2E02B17136BA}"/>
    <cellStyle name="Normal 4 2 7 3 3 2 2" xfId="26447" xr:uid="{2BD4EA99-7000-4956-8F32-99348924CBDE}"/>
    <cellStyle name="Normal 4 2 7 3 3 2 3" xfId="15452" xr:uid="{7EB9AA54-6740-4350-8021-517A5B053727}"/>
    <cellStyle name="Normal 4 2 7 3 3 3" xfId="7905" xr:uid="{561FFBA7-0444-4BE1-A885-359AA0311B2A}"/>
    <cellStyle name="Normal 4 2 7 3 3 3 2" xfId="18285" xr:uid="{FC06019D-4AA8-44CB-AE39-E5C0BEA226EB}"/>
    <cellStyle name="Normal 4 2 7 3 3 4" xfId="10738" xr:uid="{4AECFF8A-6016-43FA-BDF8-CE807158EFA1}"/>
    <cellStyle name="Normal 4 2 7 3 3 4 2" xfId="21118" xr:uid="{1270DBE3-E6EE-4E4C-AF01-1B829F41CC24}"/>
    <cellStyle name="Normal 4 2 7 3 3 5" xfId="23866" xr:uid="{5F4B6C36-E53B-4916-B805-5DDA1C345929}"/>
    <cellStyle name="Normal 4 2 7 3 3 6" xfId="13237" xr:uid="{AF5EC30D-9029-4B11-A9CD-FBECBFF08BFB}"/>
    <cellStyle name="Normal 4 2 7 3 4" xfId="4190" xr:uid="{EE098A8E-BB8D-44E9-98A5-A8DCD7678D57}"/>
    <cellStyle name="Normal 4 2 7 3 4 2" xfId="8962" xr:uid="{6D043502-6E4C-4B0F-87E4-A2DD1FC9E754}"/>
    <cellStyle name="Normal 4 2 7 3 4 2 2" xfId="29048" xr:uid="{1F7E944F-324A-4193-8BB1-22B01FABCC39}"/>
    <cellStyle name="Normal 4 2 7 3 4 2 3" xfId="19342" xr:uid="{C05A1BEC-8249-4BD2-BCD5-417BABEB63CD}"/>
    <cellStyle name="Normal 4 2 7 3 4 3" xfId="11795" xr:uid="{89D4EB9E-A9AC-4A1D-8027-0C3EC3B29DE1}"/>
    <cellStyle name="Normal 4 2 7 3 4 3 2" xfId="22175" xr:uid="{BDF2FB53-3E3B-4EA3-BE85-D79FD0004FA2}"/>
    <cellStyle name="Normal 4 2 7 3 4 4" xfId="24010" xr:uid="{DCAF9AA8-B18D-4E10-9745-AAFD5B1F7DE0}"/>
    <cellStyle name="Normal 4 2 7 3 4 5" xfId="16509" xr:uid="{A3F04144-E344-4A3A-BB98-1F3C830D127F}"/>
    <cellStyle name="Normal 4 2 7 3 5" xfId="5276" xr:uid="{A8E8EAA8-488D-4AC8-B651-AA208792813B}"/>
    <cellStyle name="Normal 4 2 7 3 5 2" xfId="27539" xr:uid="{C9D662AF-980D-43AF-BA91-F77D209B3D77}"/>
    <cellStyle name="Normal 4 2 7 3 5 3" xfId="14574" xr:uid="{9E0F34C7-04E4-4686-9E4C-C7AABA552520}"/>
    <cellStyle name="Normal 4 2 7 3 6" xfId="7027" xr:uid="{7101569A-1C52-4460-BE75-A60726303EEF}"/>
    <cellStyle name="Normal 4 2 7 3 6 2" xfId="17407" xr:uid="{73635458-58A4-4D2A-ADCA-702B8E38EC46}"/>
    <cellStyle name="Normal 4 2 7 3 7" xfId="9860" xr:uid="{5A92F21F-822C-4C88-8BEA-8D714C64FC1F}"/>
    <cellStyle name="Normal 4 2 7 3 7 2" xfId="20240" xr:uid="{C911BBDC-5203-4D2A-8C89-901D5AF5BED9}"/>
    <cellStyle name="Normal 4 2 7 3 8" xfId="25456" xr:uid="{90304659-5AF2-40EA-8466-8A49D787F88E}"/>
    <cellStyle name="Normal 4 2 7 3 9" xfId="12754" xr:uid="{67BD0219-01D4-4407-BD68-97C2F796C297}"/>
    <cellStyle name="Normal 4 2 7 4" xfId="972" xr:uid="{00000000-0005-0000-0000-00007E050000}"/>
    <cellStyle name="Normal 4 2 7 4 2" xfId="4529" xr:uid="{1E03E791-A4F0-4FB5-93A5-7A859C73DCFD}"/>
    <cellStyle name="Normal 4 2 7 4 2 2" xfId="9301" xr:uid="{43907C58-C7A7-48A0-B170-8259FB5E8ACB}"/>
    <cellStyle name="Normal 4 2 7 4 2 2 2" xfId="29280" xr:uid="{139B9E3C-FA64-4957-A942-870D28718899}"/>
    <cellStyle name="Normal 4 2 7 4 2 2 3" xfId="19681" xr:uid="{7FF9FCA9-5DAF-4A37-8A8B-FE7CAD87B57C}"/>
    <cellStyle name="Normal 4 2 7 4 2 3" xfId="12134" xr:uid="{2300D057-5705-4915-9AB1-A036255FD8A3}"/>
    <cellStyle name="Normal 4 2 7 4 2 3 2" xfId="22514" xr:uid="{EF00A232-1983-45C7-99C1-25BCFF2E7EE2}"/>
    <cellStyle name="Normal 4 2 7 4 2 4" xfId="23565" xr:uid="{BD0EB80D-CB65-46D1-B51A-AA6D713E4E69}"/>
    <cellStyle name="Normal 4 2 7 4 2 5" xfId="16848" xr:uid="{82CA5815-F667-49B8-B966-4215EB8CC32D}"/>
    <cellStyle name="Normal 4 2 7 4 3" xfId="5277" xr:uid="{22659D20-DD1F-4B09-B732-A690D86AD939}"/>
    <cellStyle name="Normal 4 2 7 4 3 2" xfId="27683" xr:uid="{7C8346FC-C56E-452B-845C-60471E2ECAC1}"/>
    <cellStyle name="Normal 4 2 7 4 3 3" xfId="14575" xr:uid="{1AC289DB-6F21-4F7A-BC7E-6DBEDD1998F8}"/>
    <cellStyle name="Normal 4 2 7 4 4" xfId="7028" xr:uid="{8416F650-4C2F-4026-8F20-CE8F217DFC58}"/>
    <cellStyle name="Normal 4 2 7 4 4 2" xfId="17408" xr:uid="{D9805223-DFCB-457D-A67F-E58230512B5E}"/>
    <cellStyle name="Normal 4 2 7 4 5" xfId="9861" xr:uid="{A724B2CB-7BED-4B8C-96C2-AD817E70DCBE}"/>
    <cellStyle name="Normal 4 2 7 4 5 2" xfId="20241" xr:uid="{50162262-81D2-40EF-A075-39283F170340}"/>
    <cellStyle name="Normal 4 2 7 4 6" xfId="23903" xr:uid="{21A97C26-5C37-4054-ACD8-665D44C1149B}"/>
    <cellStyle name="Normal 4 2 7 4 7" xfId="13894" xr:uid="{918B7820-9462-45BD-B17C-037886FBE9D2}"/>
    <cellStyle name="Normal 4 2 7 5" xfId="2936" xr:uid="{00000000-0005-0000-0000-000003060000}"/>
    <cellStyle name="Normal 4 2 7 5 2" xfId="6116" xr:uid="{4E59170C-A0D3-49D8-957B-76561BEAE973}"/>
    <cellStyle name="Normal 4 2 7 5 2 2" xfId="24513" xr:uid="{A45598E6-5926-4D21-8EB2-CE84B2657D3F}"/>
    <cellStyle name="Normal 4 2 7 5 2 3" xfId="26198" xr:uid="{AA8D113C-C45A-433D-8B8F-D20F15EF0C47}"/>
    <cellStyle name="Normal 4 2 7 5 2 4" xfId="15594" xr:uid="{6E5B6E54-4529-4FE5-8D08-C2D7262A1083}"/>
    <cellStyle name="Normal 4 2 7 5 3" xfId="8047" xr:uid="{E61B217A-FAFA-46D5-9601-820A7AB65639}"/>
    <cellStyle name="Normal 4 2 7 5 3 2" xfId="28754" xr:uid="{B33DB8FE-1A40-41F1-A5BA-6DB9326581DF}"/>
    <cellStyle name="Normal 4 2 7 5 3 3" xfId="18427" xr:uid="{9A1B3D19-05F5-4054-966C-18D7751C3232}"/>
    <cellStyle name="Normal 4 2 7 5 4" xfId="10880" xr:uid="{1A42C680-86E1-47A7-9141-E27611283B61}"/>
    <cellStyle name="Normal 4 2 7 5 4 2" xfId="21260" xr:uid="{08B6FE4A-85C6-47F0-A09E-72D4D427BDD0}"/>
    <cellStyle name="Normal 4 2 7 5 5" xfId="25297" xr:uid="{E8A4723B-7430-4152-866A-C03EA5D7A761}"/>
    <cellStyle name="Normal 4 2 7 5 6" xfId="13452" xr:uid="{3289B5C0-3A6A-4D8E-AB22-8FE956432551}"/>
    <cellStyle name="Normal 4 2 7 6" xfId="2507" xr:uid="{00000000-0005-0000-0000-000004060000}"/>
    <cellStyle name="Normal 4 2 7 6 2" xfId="5787" xr:uid="{D52005AF-2FD7-4964-8C65-E3FED5FFCA25}"/>
    <cellStyle name="Normal 4 2 7 6 2 2" xfId="27325" xr:uid="{C5AD142D-D34C-4179-BC57-4615AA9022B0}"/>
    <cellStyle name="Normal 4 2 7 6 2 3" xfId="15179" xr:uid="{E37280FA-A970-48C9-A71C-BBA6CABAD5CF}"/>
    <cellStyle name="Normal 4 2 7 6 3" xfId="7632" xr:uid="{34061503-8091-4780-87EA-093AEE054C3C}"/>
    <cellStyle name="Normal 4 2 7 6 3 2" xfId="18012" xr:uid="{D7A4ED82-176C-46F8-90D3-7040E1566BCA}"/>
    <cellStyle name="Normal 4 2 7 6 4" xfId="10465" xr:uid="{AD8D5477-D29B-41A9-AD12-DB26F66C767E}"/>
    <cellStyle name="Normal 4 2 7 6 4 2" xfId="20845" xr:uid="{DAEE3A37-A98F-44D5-93C3-F127EEC8E705}"/>
    <cellStyle name="Normal 4 2 7 6 5" xfId="25132" xr:uid="{8DAD8510-DDBC-49B2-8DEF-0977FB2DAA8B}"/>
    <cellStyle name="Normal 4 2 7 6 6" xfId="12895" xr:uid="{7276ED74-3708-442E-BAE4-517CF65E217E}"/>
    <cellStyle name="Normal 4 2 7 7" xfId="2263" xr:uid="{00000000-0005-0000-0000-0000F8050000}"/>
    <cellStyle name="Normal 4 2 7 7 2" xfId="7390" xr:uid="{EFF16FA0-9C71-493F-95AA-E397F7814545}"/>
    <cellStyle name="Normal 4 2 7 7 2 2" xfId="17770" xr:uid="{CD268DC7-A4E1-4080-A456-3EAB59D7C165}"/>
    <cellStyle name="Normal 4 2 7 7 3" xfId="10223" xr:uid="{F4D6F143-BEE0-443A-8E81-CB84D87B5788}"/>
    <cellStyle name="Normal 4 2 7 7 3 2" xfId="20603" xr:uid="{C788F3F1-2412-475C-9F43-691E266D0447}"/>
    <cellStyle name="Normal 4 2 7 7 4" xfId="23221" xr:uid="{38E5DFB3-6F3A-406F-920D-BC317E0B4430}"/>
    <cellStyle name="Normal 4 2 7 7 5" xfId="14937" xr:uid="{FB8C50A0-7E4D-42A5-B082-0D28309EE4E5}"/>
    <cellStyle name="Normal 4 2 7 8" xfId="3983" xr:uid="{894844A2-3842-4181-B8E7-16CD020B5E9F}"/>
    <cellStyle name="Normal 4 2 7 8 2" xfId="8807" xr:uid="{D83763B7-C4DB-4AAE-B760-BDE32A09BEA3}"/>
    <cellStyle name="Normal 4 2 7 8 2 2" xfId="19187" xr:uid="{BAF878A4-C149-4CDE-B6BF-0ABAEFBF5B28}"/>
    <cellStyle name="Normal 4 2 7 8 3" xfId="11640" xr:uid="{CA2EB3B0-0D40-415C-BB8F-BDE2BA540984}"/>
    <cellStyle name="Normal 4 2 7 8 3 2" xfId="22020" xr:uid="{C0E05051-576E-4D76-B98B-56BAF7B24591}"/>
    <cellStyle name="Normal 4 2 7 8 4" xfId="16354" xr:uid="{2B28B409-2F3B-4695-8596-639C2FE9F156}"/>
    <cellStyle name="Normal 4 2 7 9" xfId="5273" xr:uid="{41A31826-BDF1-4198-B72A-456F75655F7C}"/>
    <cellStyle name="Normal 4 2 7 9 2" xfId="14571" xr:uid="{DD627F48-FB14-4FDE-8D46-EF8C6AFB9050}"/>
    <cellStyle name="Normal 4 2 8" xfId="973" xr:uid="{00000000-0005-0000-0000-00007F050000}"/>
    <cellStyle name="Normal 4 2 8 10" xfId="9862" xr:uid="{75B5D47C-3C06-4BA9-BAB7-CF12BC487F82}"/>
    <cellStyle name="Normal 4 2 8 10 2" xfId="20242" xr:uid="{F2035F97-69F5-40A0-A689-99D44FA158A6}"/>
    <cellStyle name="Normal 4 2 8 11" xfId="23627" xr:uid="{C9769FB7-88D1-4C49-90B2-0DEDE9CEE586}"/>
    <cellStyle name="Normal 4 2 8 12" xfId="12597" xr:uid="{94C67E68-5FB3-4D88-B6D6-262D1A8D722D}"/>
    <cellStyle name="Normal 4 2 8 2" xfId="974" xr:uid="{00000000-0005-0000-0000-000080050000}"/>
    <cellStyle name="Normal 4 2 8 2 2" xfId="975" xr:uid="{00000000-0005-0000-0000-000081050000}"/>
    <cellStyle name="Normal 4 2 8 2 2 2" xfId="5280" xr:uid="{002BCBA6-CD3C-4A9A-96DB-18E92E45D4D5}"/>
    <cellStyle name="Normal 4 2 8 2 2 2 2" xfId="24270" xr:uid="{14820CE3-F87E-466C-80FF-9BE9231B28D8}"/>
    <cellStyle name="Normal 4 2 8 2 2 2 3" xfId="27690" xr:uid="{46442BAB-1B2C-4337-B4B3-1CF398D708A1}"/>
    <cellStyle name="Normal 4 2 8 2 2 2 4" xfId="14578" xr:uid="{4A11DA3F-6388-4B19-8DBF-84C8A00B7040}"/>
    <cellStyle name="Normal 4 2 8 2 2 3" xfId="7031" xr:uid="{2345E928-B604-4966-8111-D0A1B7B10269}"/>
    <cellStyle name="Normal 4 2 8 2 2 3 2" xfId="27629" xr:uid="{86E3D177-B74D-4433-97E5-99913C69C2F3}"/>
    <cellStyle name="Normal 4 2 8 2 2 3 3" xfId="27357" xr:uid="{E36BBA77-4B6C-459C-A521-6C8AD49668ED}"/>
    <cellStyle name="Normal 4 2 8 2 2 3 4" xfId="17411" xr:uid="{8ACBB9DF-75CC-499A-8D42-666817D0A63E}"/>
    <cellStyle name="Normal 4 2 8 2 2 4" xfId="9864" xr:uid="{0222AE8A-FA30-4B54-998A-218DFD9AECF0}"/>
    <cellStyle name="Normal 4 2 8 2 2 4 2" xfId="29422" xr:uid="{56BAF5F6-A05D-4E15-97F0-42BAF4887226}"/>
    <cellStyle name="Normal 4 2 8 2 2 4 3" xfId="20244" xr:uid="{529E0624-A9C6-42C3-B82F-FF024053C18A}"/>
    <cellStyle name="Normal 4 2 8 2 2 5" xfId="23861" xr:uid="{D643BF77-5398-43B8-AF2A-B97DC68FCA4F}"/>
    <cellStyle name="Normal 4 2 8 2 2 6" xfId="13895" xr:uid="{B116A3FE-836C-4744-AB75-B8244732AB29}"/>
    <cellStyle name="Normal 4 2 8 2 3" xfId="2782" xr:uid="{00000000-0005-0000-0000-000008060000}"/>
    <cellStyle name="Normal 4 2 8 2 3 2" xfId="6000" xr:uid="{E8246B52-2A51-4F88-AC27-87867C91476B}"/>
    <cellStyle name="Normal 4 2 8 2 3 2 2" xfId="26822" xr:uid="{B399A5AE-E54C-4055-8B1F-27845F8D9C65}"/>
    <cellStyle name="Normal 4 2 8 2 3 2 3" xfId="15453" xr:uid="{3E018943-2CD0-4769-A24D-63BF4DC0DECE}"/>
    <cellStyle name="Normal 4 2 8 2 3 3" xfId="7906" xr:uid="{81F47BCD-69A1-4897-9B7D-7E3451F84B91}"/>
    <cellStyle name="Normal 4 2 8 2 3 3 2" xfId="18286" xr:uid="{C12A5E93-74C0-46E0-BDE6-78BC8F2E9ABB}"/>
    <cellStyle name="Normal 4 2 8 2 3 4" xfId="10739" xr:uid="{E9675B84-B9EA-4486-B079-CD600A3057C6}"/>
    <cellStyle name="Normal 4 2 8 2 3 4 2" xfId="21119" xr:uid="{9E097176-4296-4319-9D0D-F40CDD27D0EE}"/>
    <cellStyle name="Normal 4 2 8 2 3 5" xfId="24391" xr:uid="{8BFC6150-DDD5-4709-BCCF-CA80D506DB04}"/>
    <cellStyle name="Normal 4 2 8 2 3 6" xfId="13239" xr:uid="{8F32D7EC-28A5-4F4A-8E4B-1800717ACCE7}"/>
    <cellStyle name="Normal 4 2 8 2 4" xfId="4191" xr:uid="{2A119F8A-9286-4A7E-B655-6A76E0F727CE}"/>
    <cellStyle name="Normal 4 2 8 2 4 2" xfId="8963" xr:uid="{4EE76E04-26A7-4DB0-A2F6-E193951983E8}"/>
    <cellStyle name="Normal 4 2 8 2 4 2 2" xfId="29049" xr:uid="{1B4FE232-DAB5-41C4-AF05-BFC09F349536}"/>
    <cellStyle name="Normal 4 2 8 2 4 2 3" xfId="19343" xr:uid="{EC4FD09F-8278-4AE5-BB20-B5D05061C366}"/>
    <cellStyle name="Normal 4 2 8 2 4 3" xfId="11796" xr:uid="{88CB058E-A897-43F8-9BE8-9308FB6D48A2}"/>
    <cellStyle name="Normal 4 2 8 2 4 3 2" xfId="22176" xr:uid="{E422BD9F-6B07-4EDE-AECE-D4090BCAF21F}"/>
    <cellStyle name="Normal 4 2 8 2 4 4" xfId="24873" xr:uid="{D2DFC07E-BC0F-4B14-B90C-7760A4F759F0}"/>
    <cellStyle name="Normal 4 2 8 2 4 5" xfId="16510" xr:uid="{C2F4B2D6-95B7-4E77-90D0-FB34BE448CB5}"/>
    <cellStyle name="Normal 4 2 8 2 5" xfId="5279" xr:uid="{A0B63C32-334A-400F-8AE8-957C2A98584E}"/>
    <cellStyle name="Normal 4 2 8 2 5 2" xfId="28503" xr:uid="{05DF3D99-40EB-4D60-9B0F-0C7BFA56CE37}"/>
    <cellStyle name="Normal 4 2 8 2 5 3" xfId="14577" xr:uid="{F60E8D24-EF7F-4A09-A8FF-33FD0DA3A323}"/>
    <cellStyle name="Normal 4 2 8 2 6" xfId="7030" xr:uid="{3FC9E43D-66F9-4D0D-B694-16FD46AA2275}"/>
    <cellStyle name="Normal 4 2 8 2 6 2" xfId="17410" xr:uid="{2F4FB22F-28D8-4590-B5D7-FC6875ECAB61}"/>
    <cellStyle name="Normal 4 2 8 2 7" xfId="9863" xr:uid="{108CC694-574B-46C5-8649-D126581961E9}"/>
    <cellStyle name="Normal 4 2 8 2 7 2" xfId="20243" xr:uid="{CA6E0A24-F8E0-45E8-A475-93964168AAEF}"/>
    <cellStyle name="Normal 4 2 8 2 8" xfId="23429" xr:uid="{C489105B-F240-4C4D-A27A-4B04AF9510C6}"/>
    <cellStyle name="Normal 4 2 8 2 9" xfId="12755" xr:uid="{685156F6-C842-4C4E-AE35-CF03A474A500}"/>
    <cellStyle name="Normal 4 2 8 3" xfId="976" xr:uid="{00000000-0005-0000-0000-000082050000}"/>
    <cellStyle name="Normal 4 2 8 3 2" xfId="4530" xr:uid="{C776B60D-BF65-45A6-9F7F-097D3AA61C69}"/>
    <cellStyle name="Normal 4 2 8 3 2 2" xfId="9302" xr:uid="{626F593F-0981-431F-8F98-91D2430A6026}"/>
    <cellStyle name="Normal 4 2 8 3 2 2 2" xfId="29281" xr:uid="{8C33BE09-90BA-4A9D-B79D-F483669A1BC0}"/>
    <cellStyle name="Normal 4 2 8 3 2 2 3" xfId="19682" xr:uid="{AEC3E18F-3EAA-4A99-B9C5-F5C568C4CFF8}"/>
    <cellStyle name="Normal 4 2 8 3 2 3" xfId="12135" xr:uid="{6227930D-EBD1-4EDE-BD4B-0FA572848A41}"/>
    <cellStyle name="Normal 4 2 8 3 2 3 2" xfId="22515" xr:uid="{ADB20690-2F4B-426C-B993-8AAC8EABC124}"/>
    <cellStyle name="Normal 4 2 8 3 2 4" xfId="25630" xr:uid="{73FF503C-0874-4AB0-9772-E3019965A795}"/>
    <cellStyle name="Normal 4 2 8 3 2 5" xfId="16849" xr:uid="{5047CEF5-2DB8-43FD-9B18-DADA40C9C559}"/>
    <cellStyle name="Normal 4 2 8 3 3" xfId="5281" xr:uid="{EA308A1F-9E21-466B-9181-BBA1F7A7BEF0}"/>
    <cellStyle name="Normal 4 2 8 3 3 2" xfId="26831" xr:uid="{73526452-4BA8-4E4D-B954-246CF43DC764}"/>
    <cellStyle name="Normal 4 2 8 3 3 3" xfId="26084" xr:uid="{DE5FB2D0-3406-4A9B-86E1-7733C577CEAC}"/>
    <cellStyle name="Normal 4 2 8 3 3 4" xfId="14579" xr:uid="{4E1C39A6-4501-45F4-BF32-26DDC8688B75}"/>
    <cellStyle name="Normal 4 2 8 3 4" xfId="7032" xr:uid="{B01B7BF7-1BDB-47D2-BA16-EA3A3599A1B1}"/>
    <cellStyle name="Normal 4 2 8 3 4 2" xfId="27592" xr:uid="{27D5A90D-3C2E-465B-A7B7-E69A4DDE8F5A}"/>
    <cellStyle name="Normal 4 2 8 3 4 3" xfId="25880" xr:uid="{BD3B06D1-5D7C-4E88-BE62-74FC4F57D391}"/>
    <cellStyle name="Normal 4 2 8 3 4 4" xfId="17412" xr:uid="{067B1167-04F2-4B58-A44C-19BE32FA69A8}"/>
    <cellStyle name="Normal 4 2 8 3 5" xfId="9865" xr:uid="{584A9564-4815-4898-BF0C-36D2ED106056}"/>
    <cellStyle name="Normal 4 2 8 3 5 2" xfId="29423" xr:uid="{7C3D385E-C8A0-4F65-B338-1A2D9FF74FA3}"/>
    <cellStyle name="Normal 4 2 8 3 5 3" xfId="20245" xr:uid="{416B0672-457C-4CA1-AEEC-CD1B3247D0E3}"/>
    <cellStyle name="Normal 4 2 8 3 6" xfId="23273" xr:uid="{187F3FCC-75E3-4883-98CD-D692FA43E764}"/>
    <cellStyle name="Normal 4 2 8 3 7" xfId="13896" xr:uid="{5A4033B9-864B-4331-8EFB-88FA31432662}"/>
    <cellStyle name="Normal 4 2 8 4" xfId="977" xr:uid="{00000000-0005-0000-0000-000083050000}"/>
    <cellStyle name="Normal 4 2 8 4 2" xfId="5282" xr:uid="{7E5248ED-DB83-44BA-8982-5B910168DAEA}"/>
    <cellStyle name="Normal 4 2 8 4 2 2" xfId="24817" xr:uid="{7C816423-915D-482F-A730-34901DA47CB3}"/>
    <cellStyle name="Normal 4 2 8 4 2 3" xfId="27699" xr:uid="{C548D3E3-BE2C-4ADB-B55F-8F36A895B4C9}"/>
    <cellStyle name="Normal 4 2 8 4 2 4" xfId="14580" xr:uid="{8F6EFBFC-0F84-45AC-A641-ED0E255EE901}"/>
    <cellStyle name="Normal 4 2 8 4 3" xfId="7033" xr:uid="{8F6F6C15-2E1B-4DFB-B6D7-5649EF620FE1}"/>
    <cellStyle name="Normal 4 2 8 4 3 2" xfId="27527" xr:uid="{671E24FF-B631-4BD0-BC0B-D23BC6C0B1D0}"/>
    <cellStyle name="Normal 4 2 8 4 3 3" xfId="17413" xr:uid="{9239E6D0-09E5-4713-98D9-D26FF7E42A05}"/>
    <cellStyle name="Normal 4 2 8 4 4" xfId="9866" xr:uid="{E5832AE4-B69A-4E63-A369-26E8F0D5640B}"/>
    <cellStyle name="Normal 4 2 8 4 4 2" xfId="20246" xr:uid="{832710B5-4915-4486-BF68-871BDDD9F1C0}"/>
    <cellStyle name="Normal 4 2 8 4 5" xfId="25091" xr:uid="{A242D922-0156-4748-8368-BC0D5D54FB29}"/>
    <cellStyle name="Normal 4 2 8 4 6" xfId="13453" xr:uid="{18CC260C-6143-4E38-815E-E806F6423DC4}"/>
    <cellStyle name="Normal 4 2 8 5" xfId="2567" xr:uid="{00000000-0005-0000-0000-00000B060000}"/>
    <cellStyle name="Normal 4 2 8 5 2" xfId="5836" xr:uid="{2B602938-BE88-46F4-AEED-0480511D709B}"/>
    <cellStyle name="Normal 4 2 8 5 2 2" xfId="28065" xr:uid="{0AE654D7-F739-4ED1-BFDA-1BC756BA7DF0}"/>
    <cellStyle name="Normal 4 2 8 5 2 3" xfId="15239" xr:uid="{16EA463A-6ED1-4BD1-85B3-08A833DFF1D2}"/>
    <cellStyle name="Normal 4 2 8 5 3" xfId="7692" xr:uid="{F235D23B-8571-4175-AA1A-18813D62F247}"/>
    <cellStyle name="Normal 4 2 8 5 3 2" xfId="18072" xr:uid="{87371162-240D-41A4-89A2-EA13734C2C8A}"/>
    <cellStyle name="Normal 4 2 8 5 4" xfId="10525" xr:uid="{64C7662A-6B89-4E97-AE09-A82A5BE3A734}"/>
    <cellStyle name="Normal 4 2 8 5 4 2" xfId="20905" xr:uid="{1D8E848B-D2CB-469F-AD14-D24CDAAEBACF}"/>
    <cellStyle name="Normal 4 2 8 5 5" xfId="24226" xr:uid="{D93D1C32-E8A1-48DF-81B0-2813A9FDDF3C}"/>
    <cellStyle name="Normal 4 2 8 5 6" xfId="12955" xr:uid="{A1298907-49AF-4C2B-A33A-1F1253F4A8E9}"/>
    <cellStyle name="Normal 4 2 8 6" xfId="2363" xr:uid="{00000000-0005-0000-0000-000005060000}"/>
    <cellStyle name="Normal 4 2 8 6 2" xfId="7490" xr:uid="{623DA9FF-7B9B-411D-B8E0-140CD750E036}"/>
    <cellStyle name="Normal 4 2 8 6 2 2" xfId="28072" xr:uid="{7DB86C15-161B-4423-B90D-A5EA2145346E}"/>
    <cellStyle name="Normal 4 2 8 6 2 3" xfId="17870" xr:uid="{F4A2072C-9F0D-4DAF-8BA8-0DF0D6F03F70}"/>
    <cellStyle name="Normal 4 2 8 6 3" xfId="10323" xr:uid="{9F013E8F-994F-4C24-87B6-D31789EAB697}"/>
    <cellStyle name="Normal 4 2 8 6 3 2" xfId="20703" xr:uid="{4BAE5CB0-31DA-46A6-A93C-B4220F77CAB5}"/>
    <cellStyle name="Normal 4 2 8 6 4" xfId="23042" xr:uid="{727CA44D-E866-4381-906F-15827DBC514F}"/>
    <cellStyle name="Normal 4 2 8 6 5" xfId="15037" xr:uid="{DC13B300-0AAB-4FEA-924B-B41E1F402523}"/>
    <cellStyle name="Normal 4 2 8 7" xfId="3984" xr:uid="{0D503DE1-E6FB-41B9-872C-260C16FD35DF}"/>
    <cellStyle name="Normal 4 2 8 7 2" xfId="8808" xr:uid="{2238076B-17C5-4BB0-8771-7246541852C0}"/>
    <cellStyle name="Normal 4 2 8 7 2 2" xfId="19188" xr:uid="{D50F9003-10E7-4758-88F1-5489C3DD8E39}"/>
    <cellStyle name="Normal 4 2 8 7 3" xfId="11641" xr:uid="{5609E8A0-B570-4536-9E8D-EF43746CF1A3}"/>
    <cellStyle name="Normal 4 2 8 7 3 2" xfId="22021" xr:uid="{3E45361C-DB83-47CD-ACDE-DB7B2162FCDE}"/>
    <cellStyle name="Normal 4 2 8 7 4" xfId="26981" xr:uid="{A0368A9F-F8DF-48B0-8AF2-25EE521D4116}"/>
    <cellStyle name="Normal 4 2 8 7 5" xfId="16355" xr:uid="{83063297-299C-4D8E-A1EC-68A069649514}"/>
    <cellStyle name="Normal 4 2 8 8" xfId="5278" xr:uid="{F36601DD-9793-4E6C-A6F7-1BEE8586145E}"/>
    <cellStyle name="Normal 4 2 8 8 2" xfId="14576" xr:uid="{0F9B40D2-AF9E-4369-B145-F10988D4531B}"/>
    <cellStyle name="Normal 4 2 8 9" xfId="7029" xr:uid="{1EFC0CD8-F643-412B-958A-E519945578B1}"/>
    <cellStyle name="Normal 4 2 8 9 2" xfId="17409" xr:uid="{C449D1EC-A7C5-48A1-BDFF-346BD6863E2E}"/>
    <cellStyle name="Normal 4 2 9" xfId="978" xr:uid="{00000000-0005-0000-0000-000084050000}"/>
    <cellStyle name="Normal 4 2 9 10" xfId="24697" xr:uid="{1BC18EEE-28F1-4D7D-BBBE-1BB67F6215FF}"/>
    <cellStyle name="Normal 4 2 9 11" xfId="12598" xr:uid="{736C4B30-A948-4E20-A4A9-4004E479C4BA}"/>
    <cellStyle name="Normal 4 2 9 2" xfId="979" xr:uid="{00000000-0005-0000-0000-000085050000}"/>
    <cellStyle name="Normal 4 2 9 2 2" xfId="3336" xr:uid="{00000000-0005-0000-0000-00000E060000}"/>
    <cellStyle name="Normal 4 2 9 2 2 2" xfId="6394" xr:uid="{85737081-3632-4418-8D8B-482B84C5F817}"/>
    <cellStyle name="Normal 4 2 9 2 2 2 2" xfId="27958" xr:uid="{B1F2C022-8335-4926-9921-99B718CBC7A8}"/>
    <cellStyle name="Normal 4 2 9 2 2 2 3" xfId="26515" xr:uid="{17C870E6-F094-46EF-AF70-8A284D8C113A}"/>
    <cellStyle name="Normal 4 2 9 2 2 2 4" xfId="15963" xr:uid="{B2B4E031-D27B-4E61-900F-7265CAED60DE}"/>
    <cellStyle name="Normal 4 2 9 2 2 3" xfId="8416" xr:uid="{4FDCBAA5-9629-4E67-9817-0322E2190FE2}"/>
    <cellStyle name="Normal 4 2 9 2 2 3 2" xfId="28911" xr:uid="{7DB9E4D2-0ADB-4E13-8EFD-5A7E368FC6F0}"/>
    <cellStyle name="Normal 4 2 9 2 2 3 3" xfId="18796" xr:uid="{B3E3D26E-4A4A-4ABA-BA70-31CFAB7E1A7F}"/>
    <cellStyle name="Normal 4 2 9 2 2 4" xfId="11249" xr:uid="{DFFCE619-3FE1-4D27-A046-5ECDC4FED236}"/>
    <cellStyle name="Normal 4 2 9 2 2 4 2" xfId="21629" xr:uid="{71893766-D46A-4B71-92F4-42CDAFC58422}"/>
    <cellStyle name="Normal 4 2 9 2 2 5" xfId="25245" xr:uid="{9ABB1AF1-AFA9-4E59-BCBA-2CC8F3B327FF}"/>
    <cellStyle name="Normal 4 2 9 2 2 6" xfId="13897" xr:uid="{AE5C2F51-3957-42C2-B249-4FDF23092ACD}"/>
    <cellStyle name="Normal 4 2 9 2 3" xfId="4192" xr:uid="{4F4C7D3C-EC36-41C6-8F6F-636865ADBAC5}"/>
    <cellStyle name="Normal 4 2 9 2 3 2" xfId="8964" xr:uid="{B5A22BA2-6878-4F6D-96CF-A3E0B0C9D051}"/>
    <cellStyle name="Normal 4 2 9 2 3 2 2" xfId="29050" xr:uid="{31E5468C-2CC0-4D6B-9530-B5CE5EEEB8D2}"/>
    <cellStyle name="Normal 4 2 9 2 3 2 3" xfId="19344" xr:uid="{E38136C2-795B-4D28-BB2A-83F81243C71D}"/>
    <cellStyle name="Normal 4 2 9 2 3 3" xfId="11797" xr:uid="{5DA08E2F-2DFD-4E9E-B540-595FA3528708}"/>
    <cellStyle name="Normal 4 2 9 2 3 3 2" xfId="22177" xr:uid="{9A29D151-0C95-46D7-AE97-35CB67D05839}"/>
    <cellStyle name="Normal 4 2 9 2 3 4" xfId="23241" xr:uid="{D0592480-FAD9-4F74-BD50-575F47EA9966}"/>
    <cellStyle name="Normal 4 2 9 2 3 5" xfId="16511" xr:uid="{8C702828-AFCB-4120-863A-A536385D3145}"/>
    <cellStyle name="Normal 4 2 9 2 4" xfId="5284" xr:uid="{53B389DF-D682-4A0E-8BEB-331AAF4C3CEE}"/>
    <cellStyle name="Normal 4 2 9 2 4 2" xfId="26653" xr:uid="{185D022D-E2CF-4615-BB19-920BD47AA99E}"/>
    <cellStyle name="Normal 4 2 9 2 4 3" xfId="28629" xr:uid="{6A98504E-B232-4026-B271-C589E09AD7D7}"/>
    <cellStyle name="Normal 4 2 9 2 4 4" xfId="14582" xr:uid="{455BA2F0-BC97-4A95-832E-27DBD9094669}"/>
    <cellStyle name="Normal 4 2 9 2 5" xfId="7035" xr:uid="{A5B16A84-63C1-4BD0-B771-236B34CFA1D7}"/>
    <cellStyle name="Normal 4 2 9 2 5 2" xfId="27138" xr:uid="{43FC2B26-B15F-4196-9AAE-72144CDB43D5}"/>
    <cellStyle name="Normal 4 2 9 2 5 3" xfId="17415" xr:uid="{D4574702-FFA2-4546-8A44-76862B42F0C4}"/>
    <cellStyle name="Normal 4 2 9 2 6" xfId="9868" xr:uid="{0ED17B6E-F62B-447B-A94A-5AAAE28E3315}"/>
    <cellStyle name="Normal 4 2 9 2 6 2" xfId="20248" xr:uid="{52007826-FC97-4682-B597-7143189CCC7D}"/>
    <cellStyle name="Normal 4 2 9 2 7" xfId="24989" xr:uid="{99193BA7-1C8B-4A46-A25D-4485E2BE0A4C}"/>
    <cellStyle name="Normal 4 2 9 2 8" xfId="12756" xr:uid="{59F4C902-4A6A-41B3-B2B7-E74F5E7CB393}"/>
    <cellStyle name="Normal 4 2 9 3" xfId="980" xr:uid="{00000000-0005-0000-0000-000086050000}"/>
    <cellStyle name="Normal 4 2 9 3 2" xfId="5285" xr:uid="{5A311702-84C2-47AB-A3FB-F5C8D392B100}"/>
    <cellStyle name="Normal 4 2 9 3 2 2" xfId="23740" xr:uid="{01A71D77-0373-4EB3-B9DF-80215CF7D626}"/>
    <cellStyle name="Normal 4 2 9 3 2 3" xfId="27710" xr:uid="{C37C1A31-55F7-48E1-A38A-D34EC57AB787}"/>
    <cellStyle name="Normal 4 2 9 3 2 4" xfId="14583" xr:uid="{761168BF-2B18-4C42-AC39-95747D971D35}"/>
    <cellStyle name="Normal 4 2 9 3 3" xfId="7036" xr:uid="{366C57EB-7033-4AA0-991A-DF21D35E5D57}"/>
    <cellStyle name="Normal 4 2 9 3 3 2" xfId="27630" xr:uid="{E6647535-F096-4F67-B5CE-22F93FC73584}"/>
    <cellStyle name="Normal 4 2 9 3 3 3" xfId="27204" xr:uid="{7136C924-2548-445A-8895-85C21611BDF4}"/>
    <cellStyle name="Normal 4 2 9 3 3 4" xfId="17416" xr:uid="{85577A67-3650-4B79-B56D-89F335AEBC42}"/>
    <cellStyle name="Normal 4 2 9 3 4" xfId="9869" xr:uid="{6C5704B4-FC3A-4877-AF08-7878EA373C0B}"/>
    <cellStyle name="Normal 4 2 9 3 4 2" xfId="26694" xr:uid="{B68923CF-F64F-4FE9-B16C-E0A3A0DF64EE}"/>
    <cellStyle name="Normal 4 2 9 3 4 3" xfId="29424" xr:uid="{84E1DE07-325C-41D1-AD82-DF07BFEEF52C}"/>
    <cellStyle name="Normal 4 2 9 3 4 4" xfId="20249" xr:uid="{224D8381-8C81-4F39-97B6-C28351A151A5}"/>
    <cellStyle name="Normal 4 2 9 3 5" xfId="22717" xr:uid="{3B7EF572-2B4D-4A32-8E47-ED37BAFAD9A2}"/>
    <cellStyle name="Normal 4 2 9 3 6" xfId="27773" xr:uid="{60B996DF-D627-4A20-A0F3-FD18C1023D7E}"/>
    <cellStyle name="Normal 4 2 9 3 7" xfId="13454" xr:uid="{ED6C3D71-3215-4FD4-A087-AEEF8B0E7655}"/>
    <cellStyle name="Normal 4 2 9 4" xfId="2783" xr:uid="{00000000-0005-0000-0000-000010060000}"/>
    <cellStyle name="Normal 4 2 9 4 2" xfId="6001" xr:uid="{5B23AC81-87E8-4D19-BBCC-C615337C2E49}"/>
    <cellStyle name="Normal 4 2 9 4 2 2" xfId="28612" xr:uid="{116A0CEA-2948-497B-9BD2-94F0B4CC7B1A}"/>
    <cellStyle name="Normal 4 2 9 4 2 3" xfId="15454" xr:uid="{B9396408-B53A-4678-841B-2A3CDC5033FF}"/>
    <cellStyle name="Normal 4 2 9 4 3" xfId="7907" xr:uid="{186C58AA-4B64-44FC-B2B5-3F1E3A4256B5}"/>
    <cellStyle name="Normal 4 2 9 4 3 2" xfId="18287" xr:uid="{C72F8021-8254-4869-82B8-2E95D17084B8}"/>
    <cellStyle name="Normal 4 2 9 4 4" xfId="10740" xr:uid="{C61E9972-1B7D-4D24-A78C-8DD052BDE4AE}"/>
    <cellStyle name="Normal 4 2 9 4 4 2" xfId="21120" xr:uid="{CB788F74-DDC2-42F0-AE44-6FCC5E8FD954}"/>
    <cellStyle name="Normal 4 2 9 4 5" xfId="24980" xr:uid="{B2004425-31FC-4288-8FF7-D5697CA49C00}"/>
    <cellStyle name="Normal 4 2 9 4 6" xfId="13240" xr:uid="{FB3EA9A0-28F6-49CF-A929-F194F94A4FAE}"/>
    <cellStyle name="Normal 4 2 9 5" xfId="2364" xr:uid="{00000000-0005-0000-0000-00000C060000}"/>
    <cellStyle name="Normal 4 2 9 5 2" xfId="7491" xr:uid="{AB29F732-18B8-4461-941D-8D1A560AB5C2}"/>
    <cellStyle name="Normal 4 2 9 5 2 2" xfId="27472" xr:uid="{FA8BAB30-618F-4D5E-B9DC-4BB9E35ADD12}"/>
    <cellStyle name="Normal 4 2 9 5 2 3" xfId="17871" xr:uid="{6B849158-6D64-4B4A-8AAD-2EDA30776E4F}"/>
    <cellStyle name="Normal 4 2 9 5 3" xfId="10324" xr:uid="{6552F46C-CBC0-4F33-BAE8-8F78EF5A1D08}"/>
    <cellStyle name="Normal 4 2 9 5 3 2" xfId="20704" xr:uid="{3DFE3164-85F3-428E-BC47-E7535BD0CB2F}"/>
    <cellStyle name="Normal 4 2 9 5 4" xfId="23612" xr:uid="{0C4CE829-02ED-4680-A5EC-B27FE438262D}"/>
    <cellStyle name="Normal 4 2 9 5 5" xfId="15038" xr:uid="{1C424D77-7E30-41D7-A2B0-AC375F658583}"/>
    <cellStyle name="Normal 4 2 9 6" xfId="3985" xr:uid="{2081E4A0-2A0D-472E-894C-28A332A6A6F5}"/>
    <cellStyle name="Normal 4 2 9 6 2" xfId="8809" xr:uid="{D95BEDCE-3DB6-4310-A41A-A464FB9268D6}"/>
    <cellStyle name="Normal 4 2 9 6 2 2" xfId="28988" xr:uid="{A653E288-0828-461A-AF3A-EA6DD7D1ACC1}"/>
    <cellStyle name="Normal 4 2 9 6 2 3" xfId="19189" xr:uid="{578F7CDB-B29D-4105-A45B-84C2314EF4AD}"/>
    <cellStyle name="Normal 4 2 9 6 3" xfId="11642" xr:uid="{9CA866A3-CB78-493C-B8EB-D6F3F63E18D8}"/>
    <cellStyle name="Normal 4 2 9 6 3 2" xfId="22022" xr:uid="{30F1378C-3BD4-4503-9B02-20514C361F13}"/>
    <cellStyle name="Normal 4 2 9 6 4" xfId="28484" xr:uid="{4C17BFAD-749F-47FD-8705-EC1CD83CB710}"/>
    <cellStyle name="Normal 4 2 9 6 5" xfId="16356" xr:uid="{AA4F05ED-B016-419B-A844-584D08DC2CBE}"/>
    <cellStyle name="Normal 4 2 9 7" xfId="5283" xr:uid="{85EDD228-FBD8-4AA1-B472-1931854E7F68}"/>
    <cellStyle name="Normal 4 2 9 7 2" xfId="26610" xr:uid="{C4DC5367-9F95-43B1-8EE7-48ECB31B25EF}"/>
    <cellStyle name="Normal 4 2 9 7 3" xfId="14581" xr:uid="{1E121E5D-ABF5-4EF0-B016-F171581C28C4}"/>
    <cellStyle name="Normal 4 2 9 8" xfId="7034" xr:uid="{2234AECC-897F-4F0C-8FF2-2937045B6D58}"/>
    <cellStyle name="Normal 4 2 9 8 2" xfId="17414" xr:uid="{5420E77A-C3D8-47C1-95B2-6DF6C0CC7DAE}"/>
    <cellStyle name="Normal 4 2 9 9" xfId="9867" xr:uid="{AC175359-7CA8-4095-8AEA-4603FC6D285E}"/>
    <cellStyle name="Normal 4 2 9 9 2" xfId="20247" xr:uid="{445870CE-DF3A-4EA0-A8E1-BF46B37E8949}"/>
    <cellStyle name="Normal 4 20" xfId="6943" xr:uid="{E5601753-EC59-4977-8FB5-EEB0F80A55B2}"/>
    <cellStyle name="Normal 4 20 2" xfId="25792" xr:uid="{733D533C-A0A8-4A04-88DC-892CA7B11E9A}"/>
    <cellStyle name="Normal 4 20 3" xfId="24029" xr:uid="{22F76A3A-8637-4E9C-B992-261509B13550}"/>
    <cellStyle name="Normal 4 20 4" xfId="17323" xr:uid="{5CEF4AA7-294C-443E-87C5-D24C01734031}"/>
    <cellStyle name="Normal 4 21" xfId="9776" xr:uid="{66584F7F-5120-4B7C-BA26-A2A9646FAF34}"/>
    <cellStyle name="Normal 4 21 2" xfId="23750" xr:uid="{96F41DEB-7FBA-4E04-8E58-35A3FFA8C282}"/>
    <cellStyle name="Normal 4 21 3" xfId="20156" xr:uid="{89F4FCE5-136C-4E64-82F3-9A9D86157179}"/>
    <cellStyle name="Normal 4 22" xfId="23826" xr:uid="{89B62F44-3C78-4195-9036-0186F7E268B9}"/>
    <cellStyle name="Normal 4 23" xfId="25782" xr:uid="{6F6096DE-56CA-421D-A3CC-34838D6F30D6}"/>
    <cellStyle name="Normal 4 24" xfId="23759" xr:uid="{443C657F-6607-423A-BC22-E4DD780257E1}"/>
    <cellStyle name="Normal 4 25" xfId="12389" xr:uid="{880E111A-3019-4B5F-9A20-969303458D7D}"/>
    <cellStyle name="Normal 4 3" xfId="981" xr:uid="{00000000-0005-0000-0000-000087050000}"/>
    <cellStyle name="Normal 4 3 2" xfId="982" xr:uid="{00000000-0005-0000-0000-000088050000}"/>
    <cellStyle name="Normal 4 4" xfId="983" xr:uid="{00000000-0005-0000-0000-000089050000}"/>
    <cellStyle name="Normal 4 4 10" xfId="984" xr:uid="{00000000-0005-0000-0000-00008A050000}"/>
    <cellStyle name="Normal 4 4 10 2" xfId="3337" xr:uid="{00000000-0005-0000-0000-000015060000}"/>
    <cellStyle name="Normal 4 4 10 2 2" xfId="6395" xr:uid="{2B3C16A7-0299-4D00-884B-418C5FB40CB9}"/>
    <cellStyle name="Normal 4 4 10 2 2 2" xfId="27438" xr:uid="{B25B4AEB-DE57-41AC-928A-065CFEEE6CAA}"/>
    <cellStyle name="Normal 4 4 10 2 2 3" xfId="15964" xr:uid="{7879A539-78A4-448A-A87F-E92FBAEF97DC}"/>
    <cellStyle name="Normal 4 4 10 2 3" xfId="8417" xr:uid="{583422FB-6557-44D6-AB50-5D8EE6570BE5}"/>
    <cellStyle name="Normal 4 4 10 2 3 2" xfId="18797" xr:uid="{749FCA83-AC03-4587-814B-41BBBD87E1DA}"/>
    <cellStyle name="Normal 4 4 10 2 4" xfId="11250" xr:uid="{ED6D8674-A3A4-45F5-A466-51DA9A2688F7}"/>
    <cellStyle name="Normal 4 4 10 2 4 2" xfId="21630" xr:uid="{F3A80C5E-84E7-435B-9BE0-0FCC838237D5}"/>
    <cellStyle name="Normal 4 4 10 2 5" xfId="23135" xr:uid="{4773E5C8-78B3-4A69-B50A-E73FFA2FBCCF}"/>
    <cellStyle name="Normal 4 4 10 2 6" xfId="13898" xr:uid="{DC64F37C-163F-4469-88FD-03E34F86253B}"/>
    <cellStyle name="Normal 4 4 10 3" xfId="4193" xr:uid="{BA9BCFEA-7265-4417-99C4-FCCF7A9A6298}"/>
    <cellStyle name="Normal 4 4 10 3 2" xfId="8965" xr:uid="{FCE9226C-6C34-4450-AE7E-4069F92C8732}"/>
    <cellStyle name="Normal 4 4 10 3 2 2" xfId="29051" xr:uid="{04607B34-5BE2-473C-94A5-198042603CA1}"/>
    <cellStyle name="Normal 4 4 10 3 2 3" xfId="19345" xr:uid="{C227E74E-86D9-442A-A358-7EDCD5C42F03}"/>
    <cellStyle name="Normal 4 4 10 3 3" xfId="11798" xr:uid="{4D658857-33C5-4111-A534-AC3F607D2353}"/>
    <cellStyle name="Normal 4 4 10 3 3 2" xfId="22178" xr:uid="{B810C485-A883-462F-983E-B8A6B7F20A14}"/>
    <cellStyle name="Normal 4 4 10 3 4" xfId="24274" xr:uid="{48B0F57A-7D64-4953-B01F-A611DA132406}"/>
    <cellStyle name="Normal 4 4 10 3 5" xfId="16512" xr:uid="{12443884-7777-4CDA-8CA1-6F5A9B0565BD}"/>
    <cellStyle name="Normal 4 4 10 4" xfId="5287" xr:uid="{8C67447C-FE59-4471-B4BA-EDFAF1272678}"/>
    <cellStyle name="Normal 4 4 10 4 2" xfId="23733" xr:uid="{BF527957-304C-458A-90FD-A22AE275089D}"/>
    <cellStyle name="Normal 4 4 10 4 3" xfId="27391" xr:uid="{55AD940C-30E6-4902-A365-A64DF68773C4}"/>
    <cellStyle name="Normal 4 4 10 4 4" xfId="14585" xr:uid="{66285ADD-B94E-44A6-9734-A772E61513B9}"/>
    <cellStyle name="Normal 4 4 10 5" xfId="7038" xr:uid="{4E23692F-4825-41D4-987B-33F6C6BA84E7}"/>
    <cellStyle name="Normal 4 4 10 5 2" xfId="27503" xr:uid="{66B24CEC-5671-4237-8B96-DA92835B61DB}"/>
    <cellStyle name="Normal 4 4 10 5 3" xfId="17418" xr:uid="{7E1F0AF1-E2B3-4486-B108-6C288AC71D52}"/>
    <cellStyle name="Normal 4 4 10 6" xfId="9871" xr:uid="{4AAC2B23-A6C8-4572-A41A-52CE581C565E}"/>
    <cellStyle name="Normal 4 4 10 6 2" xfId="20251" xr:uid="{1B20F519-9A0D-4D39-90C2-F1CA31D4020E}"/>
    <cellStyle name="Normal 4 4 10 7" xfId="24731" xr:uid="{1F622891-86BB-47F3-BF5E-F05E5D38CFB9}"/>
    <cellStyle name="Normal 4 4 10 8" xfId="12757" xr:uid="{5706E484-CBB5-4107-881D-3B86DB21800A}"/>
    <cellStyle name="Normal 4 4 11" xfId="985" xr:uid="{00000000-0005-0000-0000-00008B050000}"/>
    <cellStyle name="Normal 4 4 11 2" xfId="5288" xr:uid="{2D01C6A3-5E13-49D3-A264-A301C24C97E9}"/>
    <cellStyle name="Normal 4 4 11 2 2" xfId="24020" xr:uid="{B7878FE6-C1FB-463C-8E21-644148B194B4}"/>
    <cellStyle name="Normal 4 4 11 2 3" xfId="26194" xr:uid="{C93C88BF-660A-4278-B197-F382EEC7D5F7}"/>
    <cellStyle name="Normal 4 4 11 2 4" xfId="14586" xr:uid="{9C93F634-F45F-427F-BBDD-237ABA4E4D74}"/>
    <cellStyle name="Normal 4 4 11 3" xfId="7039" xr:uid="{BA85FB4F-4182-4FEA-9F2D-3C1253BFF8AC}"/>
    <cellStyle name="Normal 4 4 11 3 2" xfId="28736" xr:uid="{B917CE2C-9F5A-4BE6-88C0-05B474DDDE7F}"/>
    <cellStyle name="Normal 4 4 11 3 3" xfId="17419" xr:uid="{593FFA6A-25F3-488F-B567-620550E0658E}"/>
    <cellStyle name="Normal 4 4 11 4" xfId="9872" xr:uid="{E736C63F-2AC8-40E9-B856-007691D1358D}"/>
    <cellStyle name="Normal 4 4 11 4 2" xfId="20252" xr:uid="{3DE2923C-A1D4-4A30-817B-099939583E53}"/>
    <cellStyle name="Normal 4 4 11 5" xfId="23382" xr:uid="{8753CE19-BDC1-496D-9B10-84F52A2C2977}"/>
    <cellStyle name="Normal 4 4 11 6" xfId="13455" xr:uid="{1A418053-A1DE-4ACB-B87E-72BACB563292}"/>
    <cellStyle name="Normal 4 4 12" xfId="2438" xr:uid="{00000000-0005-0000-0000-000017060000}"/>
    <cellStyle name="Normal 4 4 12 2" xfId="5733" xr:uid="{E71BE5E9-4E25-48CB-9343-145BEA0EBCC5}"/>
    <cellStyle name="Normal 4 4 12 2 2" xfId="26576" xr:uid="{21AE1773-78AE-4197-A9B0-3BBFB9C9E91E}"/>
    <cellStyle name="Normal 4 4 12 2 3" xfId="15110" xr:uid="{FC799BCE-0E7F-4FBA-92BD-CF35EA6E6931}"/>
    <cellStyle name="Normal 4 4 12 3" xfId="7563" xr:uid="{E0AD47AD-FCB9-46D2-A82B-78269D50B0CC}"/>
    <cellStyle name="Normal 4 4 12 3 2" xfId="17943" xr:uid="{F1BCDD12-3285-44A3-83BB-45A3826FA9EF}"/>
    <cellStyle name="Normal 4 4 12 4" xfId="10396" xr:uid="{0F79B491-781B-4AA5-BCCF-0ECA010CA42D}"/>
    <cellStyle name="Normal 4 4 12 4 2" xfId="20776" xr:uid="{D67BBA4C-FCB8-489E-AB99-439196C30658}"/>
    <cellStyle name="Normal 4 4 12 5" xfId="23460" xr:uid="{EA478E3F-F02C-4621-92A9-EB4311A7D3A0}"/>
    <cellStyle name="Normal 4 4 12 6" xfId="12825" xr:uid="{CB655288-B256-4B54-8734-27010C1AAA7E}"/>
    <cellStyle name="Normal 4 4 13" xfId="2168" xr:uid="{00000000-0005-0000-0000-000013060000}"/>
    <cellStyle name="Normal 4 4 13 2" xfId="7295" xr:uid="{57CB4F8B-BA01-4C5B-AB7D-D92DB9F23A1A}"/>
    <cellStyle name="Normal 4 4 13 2 2" xfId="27891" xr:uid="{268AFB25-8671-4D25-B439-C5B125B633C7}"/>
    <cellStyle name="Normal 4 4 13 2 3" xfId="17675" xr:uid="{FF2C2023-6DE8-4DD5-9ABF-6A5128AAD6C7}"/>
    <cellStyle name="Normal 4 4 13 3" xfId="10128" xr:uid="{5E6F0728-FF33-458B-A04C-3ABC0E193730}"/>
    <cellStyle name="Normal 4 4 13 3 2" xfId="20508" xr:uid="{F9EC4638-AF3D-4BC2-9A3D-B74529B7EE0F}"/>
    <cellStyle name="Normal 4 4 13 4" xfId="23827" xr:uid="{52337421-501D-41E5-AECA-1496CD97E96F}"/>
    <cellStyle name="Normal 4 4 13 5" xfId="14842" xr:uid="{7FE6E188-AC7A-4DD5-AC00-61B0300A9B35}"/>
    <cellStyle name="Normal 4 4 14" xfId="3986" xr:uid="{32463145-0242-4FD3-A3C7-1AE8BB5420B2}"/>
    <cellStyle name="Normal 4 4 14 2" xfId="8810" xr:uid="{96E81A39-F7BE-4A1A-A2D4-A37A066F9669}"/>
    <cellStyle name="Normal 4 4 14 2 2" xfId="19190" xr:uid="{36253008-536F-4BEE-84DC-4A737DA8E433}"/>
    <cellStyle name="Normal 4 4 14 3" xfId="11643" xr:uid="{2F1DDD0D-D96B-415F-809D-56D584388FF7}"/>
    <cellStyle name="Normal 4 4 14 3 2" xfId="22023" xr:uid="{383070A4-5390-471A-AD4E-826DCA4547CE}"/>
    <cellStyle name="Normal 4 4 14 4" xfId="27556" xr:uid="{744D9950-0345-4247-B848-A80C1FEA7202}"/>
    <cellStyle name="Normal 4 4 14 5" xfId="16357" xr:uid="{E8A4D107-3532-44AA-8749-422BA1D4FE1D}"/>
    <cellStyle name="Normal 4 4 15" xfId="5286" xr:uid="{C2382099-3E92-49C9-AA4B-4EABED7BD494}"/>
    <cellStyle name="Normal 4 4 15 2" xfId="14584" xr:uid="{959891F0-419E-410A-AEA5-D53342EE6FB7}"/>
    <cellStyle name="Normal 4 4 16" xfId="7037" xr:uid="{8C2EBE04-C40B-4FA8-9156-B892929DEFBD}"/>
    <cellStyle name="Normal 4 4 16 2" xfId="17417" xr:uid="{56D911EF-30F2-45D0-8E50-FFA41229358F}"/>
    <cellStyle name="Normal 4 4 17" xfId="9870" xr:uid="{995A7B1C-9591-4AA1-82E2-F53A667DBFCB}"/>
    <cellStyle name="Normal 4 4 17 2" xfId="20250" xr:uid="{01A18C04-7DF0-48CC-AA97-6996ACE26D4A}"/>
    <cellStyle name="Normal 4 4 18" xfId="24748" xr:uid="{703F48F3-BBAE-4AE8-B24A-6032927DEB6F}"/>
    <cellStyle name="Normal 4 4 19" xfId="12400" xr:uid="{A9899CC4-8D74-42E8-BCF8-C9D3A48E992D}"/>
    <cellStyle name="Normal 4 4 2" xfId="986" xr:uid="{00000000-0005-0000-0000-00008C050000}"/>
    <cellStyle name="Normal 4 4 2 10" xfId="5289" xr:uid="{C9173801-F243-4242-8E05-DC6C5B03108B}"/>
    <cellStyle name="Normal 4 4 2 10 2" xfId="14587" xr:uid="{F26842E6-D563-4B7F-8110-180DFE5C4E58}"/>
    <cellStyle name="Normal 4 4 2 11" xfId="7040" xr:uid="{C1444B38-653A-47C1-BC0B-D3D8BF26F179}"/>
    <cellStyle name="Normal 4 4 2 11 2" xfId="17420" xr:uid="{314483FD-0D38-4D7A-8265-1ED74DFD92C4}"/>
    <cellStyle name="Normal 4 4 2 12" xfId="9873" xr:uid="{A3AC162A-2DE9-4F7B-AD6A-DE6A3844C058}"/>
    <cellStyle name="Normal 4 4 2 12 2" xfId="20253" xr:uid="{59975E48-62EE-45A4-B296-82A3B2ACB754}"/>
    <cellStyle name="Normal 4 4 2 13" xfId="25535" xr:uid="{9F4800AD-9630-4E1B-AD92-F43594679442}"/>
    <cellStyle name="Normal 4 4 2 14" xfId="12423" xr:uid="{D74C7FFF-C9EB-42C1-9F53-D6CE6B1B9E77}"/>
    <cellStyle name="Normal 4 4 2 2" xfId="987" xr:uid="{00000000-0005-0000-0000-00008D050000}"/>
    <cellStyle name="Normal 4 4 2 2 10" xfId="7041" xr:uid="{0C75F5A4-51F1-48A4-A6E7-A128AD4FCE49}"/>
    <cellStyle name="Normal 4 4 2 2 10 2" xfId="17421" xr:uid="{135BC228-1136-41D3-8267-62DFD5C8E68A}"/>
    <cellStyle name="Normal 4 4 2 2 11" xfId="9874" xr:uid="{604D1C80-960E-4BFA-9D20-5FC2026C65D6}"/>
    <cellStyle name="Normal 4 4 2 2 11 2" xfId="20254" xr:uid="{E35A96B7-C2BD-43FB-BDC2-1739CB2156B3}"/>
    <cellStyle name="Normal 4 4 2 2 12" xfId="24313" xr:uid="{4A384093-1FFD-408D-922E-635A1B405B55}"/>
    <cellStyle name="Normal 4 4 2 2 13" xfId="12483" xr:uid="{175A71FC-C908-4D69-AB58-4779FA75F504}"/>
    <cellStyle name="Normal 4 4 2 2 2" xfId="988" xr:uid="{00000000-0005-0000-0000-00008E050000}"/>
    <cellStyle name="Normal 4 4 2 2 2 10" xfId="13048" xr:uid="{A6E6A654-C557-4408-A191-9785EF23F9C9}"/>
    <cellStyle name="Normal 4 4 2 2 2 2" xfId="2787" xr:uid="{00000000-0005-0000-0000-00001B060000}"/>
    <cellStyle name="Normal 4 4 2 2 2 2 2" xfId="3340" xr:uid="{00000000-0005-0000-0000-00001C060000}"/>
    <cellStyle name="Normal 4 4 2 2 2 2 2 2" xfId="6398" xr:uid="{511D1F66-3411-48B0-8203-F4A9DA2F0FDA}"/>
    <cellStyle name="Normal 4 4 2 2 2 2 2 2 2" xfId="26975" xr:uid="{CF2747F8-798C-4EE4-A498-23C0D530D462}"/>
    <cellStyle name="Normal 4 4 2 2 2 2 2 2 3" xfId="15967" xr:uid="{2496F23A-2799-4B71-A3D3-B015345047AD}"/>
    <cellStyle name="Normal 4 4 2 2 2 2 2 3" xfId="8420" xr:uid="{970E17C2-EE93-4EEC-BB27-5FEFC93133D0}"/>
    <cellStyle name="Normal 4 4 2 2 2 2 2 3 2" xfId="18800" xr:uid="{E6AD4DF1-08AE-468A-9A9E-EB0A51DD43C1}"/>
    <cellStyle name="Normal 4 4 2 2 2 2 2 4" xfId="11253" xr:uid="{DA6302FF-5F54-4CB8-8D31-2B5660D0A0D0}"/>
    <cellStyle name="Normal 4 4 2 2 2 2 2 4 2" xfId="21633" xr:uid="{3B1D8A81-8262-4551-AF7F-A106365422DE}"/>
    <cellStyle name="Normal 4 4 2 2 2 2 2 5" xfId="24646" xr:uid="{4EE14F1F-6E23-4F8C-A333-BDD37E0A2B32}"/>
    <cellStyle name="Normal 4 4 2 2 2 2 2 6" xfId="13901" xr:uid="{380085B0-B0B8-4C53-8E8D-9D2D868E11CD}"/>
    <cellStyle name="Normal 4 4 2 2 2 2 3" xfId="4340" xr:uid="{AEAE18D6-B6A2-4423-B376-EE2258BAE3B4}"/>
    <cellStyle name="Normal 4 4 2 2 2 2 3 2" xfId="9112" xr:uid="{F7CAB04E-5C88-4621-AFBE-A71D17F42617}"/>
    <cellStyle name="Normal 4 4 2 2 2 2 3 2 2" xfId="29155" xr:uid="{6A8DDABF-4C37-439B-8667-261F05E25C34}"/>
    <cellStyle name="Normal 4 4 2 2 2 2 3 2 3" xfId="19492" xr:uid="{A792F0D7-A64E-4E0E-B7F9-423078DB920D}"/>
    <cellStyle name="Normal 4 4 2 2 2 2 3 3" xfId="11945" xr:uid="{CE8EBFB3-29D4-4601-A9E4-2D7CF75189D9}"/>
    <cellStyle name="Normal 4 4 2 2 2 2 3 3 2" xfId="22325" xr:uid="{84601BE3-0C8C-4632-A8BF-59F4D773A787}"/>
    <cellStyle name="Normal 4 4 2 2 2 2 3 4" xfId="22997" xr:uid="{99EE9227-CAEB-4D8C-80C0-AE85048853AE}"/>
    <cellStyle name="Normal 4 4 2 2 2 2 3 5" xfId="16659" xr:uid="{DBE0CC71-F13E-4119-9FD5-C290E64E1003}"/>
    <cellStyle name="Normal 4 4 2 2 2 2 4" xfId="6005" xr:uid="{E29511A5-072F-46C5-9071-ECE49B5D10BB}"/>
    <cellStyle name="Normal 4 4 2 2 2 2 4 2" xfId="25960" xr:uid="{21EA62E7-FDEC-4B32-A0A4-DC9A3B600A76}"/>
    <cellStyle name="Normal 4 4 2 2 2 2 4 3" xfId="15458" xr:uid="{D612C83B-A711-4645-8E86-03E48856C23E}"/>
    <cellStyle name="Normal 4 4 2 2 2 2 5" xfId="7911" xr:uid="{5E99DD95-E668-4AC6-A724-57D53EA08726}"/>
    <cellStyle name="Normal 4 4 2 2 2 2 5 2" xfId="18291" xr:uid="{3BD3DDD6-EF27-4A7D-BAA0-A7558C56A056}"/>
    <cellStyle name="Normal 4 4 2 2 2 2 6" xfId="10744" xr:uid="{1D69AD4B-070D-42F5-9F2C-846D09B973BA}"/>
    <cellStyle name="Normal 4 4 2 2 2 2 6 2" xfId="21124" xr:uid="{A8EC71FD-2B66-42EE-A265-6214D0EAC78E}"/>
    <cellStyle name="Normal 4 4 2 2 2 2 7" xfId="25549" xr:uid="{2EB83C0E-B6E5-49D5-90F4-89EB3B468253}"/>
    <cellStyle name="Normal 4 4 2 2 2 2 8" xfId="13244" xr:uid="{97FE9524-DB6E-4184-B9C3-5EBAD2CD12E5}"/>
    <cellStyle name="Normal 4 4 2 2 2 3" xfId="3341" xr:uid="{00000000-0005-0000-0000-00001D060000}"/>
    <cellStyle name="Normal 4 4 2 2 2 3 2" xfId="4531" xr:uid="{D57982D1-20D9-4173-95B8-81B03C06454C}"/>
    <cellStyle name="Normal 4 4 2 2 2 3 2 2" xfId="9303" xr:uid="{1906EB99-6934-4261-AEAC-9930B70BD463}"/>
    <cellStyle name="Normal 4 4 2 2 2 3 2 2 2" xfId="19683" xr:uid="{1CADBF01-9C05-4A55-B9F4-3B06C0E8A9DB}"/>
    <cellStyle name="Normal 4 4 2 2 2 3 2 3" xfId="12136" xr:uid="{B1998454-18F7-4601-BEA8-E7004959746B}"/>
    <cellStyle name="Normal 4 4 2 2 2 3 2 3 2" xfId="22516" xr:uid="{5F06841B-3EAD-4DB7-A203-7E3CF23CB48B}"/>
    <cellStyle name="Normal 4 4 2 2 2 3 2 4" xfId="27163" xr:uid="{0D40DEB6-A1C5-4870-864E-B777A435FACC}"/>
    <cellStyle name="Normal 4 4 2 2 2 3 2 5" xfId="16850" xr:uid="{9305266D-298E-4E88-83D3-F06AB75B37F3}"/>
    <cellStyle name="Normal 4 4 2 2 2 3 3" xfId="6399" xr:uid="{F0F6FE15-531E-46FD-B7EC-7220C77B92AD}"/>
    <cellStyle name="Normal 4 4 2 2 2 3 3 2" xfId="15968" xr:uid="{393AECD1-A0B3-4EBC-99E7-9080A686AED5}"/>
    <cellStyle name="Normal 4 4 2 2 2 3 4" xfId="8421" xr:uid="{504702F1-FB65-4350-9EA7-4CC0BB8656F8}"/>
    <cellStyle name="Normal 4 4 2 2 2 3 4 2" xfId="18801" xr:uid="{9F5804A4-D7E8-4AC6-8592-695651461A87}"/>
    <cellStyle name="Normal 4 4 2 2 2 3 5" xfId="11254" xr:uid="{DAA82E6E-C4E8-4C7E-84D1-1D2ABE0E9881}"/>
    <cellStyle name="Normal 4 4 2 2 2 3 5 2" xfId="21634" xr:uid="{CCEC414D-7C2C-494A-BF66-DD3C43D3A7A0}"/>
    <cellStyle name="Normal 4 4 2 2 2 3 6" xfId="24483" xr:uid="{8E9E08F5-837D-4108-9E5C-415FBCA96176}"/>
    <cellStyle name="Normal 4 4 2 2 2 3 7" xfId="13902" xr:uid="{C469E6A9-5373-4DAB-812F-E339E68D49A2}"/>
    <cellStyle name="Normal 4 4 2 2 2 4" xfId="3339" xr:uid="{00000000-0005-0000-0000-00001E060000}"/>
    <cellStyle name="Normal 4 4 2 2 2 4 2" xfId="6397" xr:uid="{F81A55A4-5FE1-4013-B08F-3EABC539D636}"/>
    <cellStyle name="Normal 4 4 2 2 2 4 2 2" xfId="28322" xr:uid="{569CA92F-9FC0-4280-9EA4-DC0F7D5BD3B3}"/>
    <cellStyle name="Normal 4 4 2 2 2 4 2 3" xfId="15966" xr:uid="{26A3D037-3327-422B-B13C-C701142E81BC}"/>
    <cellStyle name="Normal 4 4 2 2 2 4 3" xfId="8419" xr:uid="{BF5ED76A-EB79-4BF6-8079-CCFD13518FC9}"/>
    <cellStyle name="Normal 4 4 2 2 2 4 3 2" xfId="18799" xr:uid="{A8F6A1F1-2A47-4B4E-A529-28F5E372A247}"/>
    <cellStyle name="Normal 4 4 2 2 2 4 4" xfId="11252" xr:uid="{A27CFCA9-37A9-487C-8559-55C0F7A213CE}"/>
    <cellStyle name="Normal 4 4 2 2 2 4 4 2" xfId="21632" xr:uid="{02BF1CB0-7FEF-4913-8B53-0ACB069F257B}"/>
    <cellStyle name="Normal 4 4 2 2 2 4 5" xfId="23066" xr:uid="{727C9D6C-675F-405D-9B22-9C4EDD2BF3FD}"/>
    <cellStyle name="Normal 4 4 2 2 2 4 6" xfId="13900" xr:uid="{8552BB07-E4B1-47A4-A0DF-E45B39E14019}"/>
    <cellStyle name="Normal 4 4 2 2 2 5" xfId="4247" xr:uid="{1B5DDFF2-700E-49C0-B6C4-9115F3C3A1FC}"/>
    <cellStyle name="Normal 4 4 2 2 2 5 2" xfId="9019" xr:uid="{E9AF53E9-8F82-4245-B39F-F5E954B3F427}"/>
    <cellStyle name="Normal 4 4 2 2 2 5 2 2" xfId="29090" xr:uid="{EFF38729-D6BC-4932-AC44-EA578773EBC7}"/>
    <cellStyle name="Normal 4 4 2 2 2 5 2 3" xfId="19399" xr:uid="{53BA4873-F7AA-46D5-984C-7D06F76CE2C6}"/>
    <cellStyle name="Normal 4 4 2 2 2 5 3" xfId="11852" xr:uid="{9484FA93-8A4D-4135-8E3C-B9DA048FEECE}"/>
    <cellStyle name="Normal 4 4 2 2 2 5 3 2" xfId="22232" xr:uid="{E714DF82-67F8-4F82-92EA-6A400075F110}"/>
    <cellStyle name="Normal 4 4 2 2 2 5 4" xfId="24203" xr:uid="{4E8C4B6F-C3D7-4D57-9485-08951DB99FBF}"/>
    <cellStyle name="Normal 4 4 2 2 2 5 5" xfId="16566" xr:uid="{1DABC36D-944F-42FD-8DE0-AA39F762EE91}"/>
    <cellStyle name="Normal 4 4 2 2 2 6" xfId="5291" xr:uid="{4E40497E-6E2A-434D-87A7-EA8E5896162A}"/>
    <cellStyle name="Normal 4 4 2 2 2 6 2" xfId="27335" xr:uid="{72415122-6861-485B-B3F3-915932AD873D}"/>
    <cellStyle name="Normal 4 4 2 2 2 6 3" xfId="14589" xr:uid="{341FD1A3-1C03-474C-B496-7F4B76F75C23}"/>
    <cellStyle name="Normal 4 4 2 2 2 7" xfId="7042" xr:uid="{A3223282-F4FF-4C25-B57C-E63E4EE3075F}"/>
    <cellStyle name="Normal 4 4 2 2 2 7 2" xfId="17422" xr:uid="{CA7AAA4B-5AC8-4800-8104-9B57188E912F}"/>
    <cellStyle name="Normal 4 4 2 2 2 8" xfId="9875" xr:uid="{AA367147-979C-4209-BE07-E247F79F9987}"/>
    <cellStyle name="Normal 4 4 2 2 2 8 2" xfId="20255" xr:uid="{E25F9F74-8F47-47F4-859D-31C44F7078A0}"/>
    <cellStyle name="Normal 4 4 2 2 2 9" xfId="24172" xr:uid="{340DEFD4-3A60-455F-B7D1-FCE635C519F5}"/>
    <cellStyle name="Normal 4 4 2 2 3" xfId="2786" xr:uid="{00000000-0005-0000-0000-00001F060000}"/>
    <cellStyle name="Normal 4 4 2 2 3 2" xfId="3342" xr:uid="{00000000-0005-0000-0000-000020060000}"/>
    <cellStyle name="Normal 4 4 2 2 3 2 2" xfId="6400" xr:uid="{69768A5D-02B3-4CE8-980B-44CE4EE92A71}"/>
    <cellStyle name="Normal 4 4 2 2 3 2 2 2" xfId="28722" xr:uid="{D78FEAF6-37AF-4F64-9E40-DDF82F1432CF}"/>
    <cellStyle name="Normal 4 4 2 2 3 2 2 3" xfId="15969" xr:uid="{200B21F8-E051-4512-9808-A4DB8CC59D82}"/>
    <cellStyle name="Normal 4 4 2 2 3 2 3" xfId="8422" xr:uid="{3466F2CD-DCA8-4546-8C86-8F3CD1535758}"/>
    <cellStyle name="Normal 4 4 2 2 3 2 3 2" xfId="18802" xr:uid="{602CFB8F-DA78-4834-BA32-7C58AC4CE0DE}"/>
    <cellStyle name="Normal 4 4 2 2 3 2 4" xfId="11255" xr:uid="{6A126DB7-D971-4949-B4D3-9A5DE6CF484A}"/>
    <cellStyle name="Normal 4 4 2 2 3 2 4 2" xfId="21635" xr:uid="{5D54963C-899E-4456-97FC-F90A8C8DDD6B}"/>
    <cellStyle name="Normal 4 4 2 2 3 2 5" xfId="24234" xr:uid="{6CC866C5-BA2D-4DAA-AD10-0FFB2AAC7F19}"/>
    <cellStyle name="Normal 4 4 2 2 3 2 6" xfId="13903" xr:uid="{A7148D7B-9C79-4FA5-BC09-D7F830210FCF}"/>
    <cellStyle name="Normal 4 4 2 2 3 3" xfId="4339" xr:uid="{6A44BF57-F8D2-4E33-BB4C-9D0E9446C87B}"/>
    <cellStyle name="Normal 4 4 2 2 3 3 2" xfId="9111" xr:uid="{79B1799D-E6E3-4844-817D-B3AC2660A494}"/>
    <cellStyle name="Normal 4 4 2 2 3 3 2 2" xfId="29154" xr:uid="{2B362ED0-5344-4B36-A5F2-DC29B4E651E2}"/>
    <cellStyle name="Normal 4 4 2 2 3 3 2 3" xfId="19491" xr:uid="{8910AE9E-9AEE-4D3D-AAB5-C1CF1E1231AC}"/>
    <cellStyle name="Normal 4 4 2 2 3 3 3" xfId="11944" xr:uid="{B582E6F3-2430-4631-8D32-76DEBB197905}"/>
    <cellStyle name="Normal 4 4 2 2 3 3 3 2" xfId="22324" xr:uid="{D543972F-32F3-49D1-A40E-9621FB165C4F}"/>
    <cellStyle name="Normal 4 4 2 2 3 3 4" xfId="24909" xr:uid="{C974BD5E-5D88-4BDE-B086-E99DF87B1C01}"/>
    <cellStyle name="Normal 4 4 2 2 3 3 5" xfId="16658" xr:uid="{F417541B-77ED-42A0-A242-4B91FFDC9C95}"/>
    <cellStyle name="Normal 4 4 2 2 3 4" xfId="6004" xr:uid="{96248991-7D51-4E9B-97A5-A5A3DE115131}"/>
    <cellStyle name="Normal 4 4 2 2 3 4 2" xfId="26937" xr:uid="{5DDB1C1B-3D0C-4DBD-8063-DDE3D7FB13FF}"/>
    <cellStyle name="Normal 4 4 2 2 3 4 3" xfId="15457" xr:uid="{FB994E50-F762-4F05-815A-55EF3687280F}"/>
    <cellStyle name="Normal 4 4 2 2 3 5" xfId="7910" xr:uid="{9EB05466-062C-4469-9947-9025F4C8A514}"/>
    <cellStyle name="Normal 4 4 2 2 3 5 2" xfId="18290" xr:uid="{8C3FAA84-6586-49A1-BE99-2CBB983CBD69}"/>
    <cellStyle name="Normal 4 4 2 2 3 6" xfId="10743" xr:uid="{47C44A2D-A4D2-4DED-A7A4-C203843BB499}"/>
    <cellStyle name="Normal 4 4 2 2 3 6 2" xfId="21123" xr:uid="{DFBB5A1F-C978-4328-A712-F706247A5CEF}"/>
    <cellStyle name="Normal 4 4 2 2 3 7" xfId="23720" xr:uid="{53983EAF-405A-4A68-B671-E39B9079E1D0}"/>
    <cellStyle name="Normal 4 4 2 2 3 8" xfId="13243" xr:uid="{7D6F806D-EC38-440D-B3AD-83353E843758}"/>
    <cellStyle name="Normal 4 4 2 2 4" xfId="3343" xr:uid="{00000000-0005-0000-0000-000021060000}"/>
    <cellStyle name="Normal 4 4 2 2 4 2" xfId="4532" xr:uid="{B295BD5D-4A86-43B3-8633-BD21E21795ED}"/>
    <cellStyle name="Normal 4 4 2 2 4 2 2" xfId="9304" xr:uid="{4AA3D06E-817C-4FE4-A047-54D579A4D61A}"/>
    <cellStyle name="Normal 4 4 2 2 4 2 2 2" xfId="19684" xr:uid="{4BF8F51E-12F7-4D38-BE3F-526DF59CA949}"/>
    <cellStyle name="Normal 4 4 2 2 4 2 3" xfId="12137" xr:uid="{42F26D03-D924-4299-9354-48DF765EA6E1}"/>
    <cellStyle name="Normal 4 4 2 2 4 2 3 2" xfId="22517" xr:uid="{C2826C7B-C340-49D4-AEB9-19C403F9D96B}"/>
    <cellStyle name="Normal 4 4 2 2 4 2 4" xfId="25861" xr:uid="{EDF842B6-3937-4137-8EAE-444882F0819C}"/>
    <cellStyle name="Normal 4 4 2 2 4 2 5" xfId="16851" xr:uid="{7F9F8C60-6B4E-4F6F-A10A-3CE6DA5F2761}"/>
    <cellStyle name="Normal 4 4 2 2 4 3" xfId="6401" xr:uid="{3940C7DE-70FB-49CF-BD1E-CC4625C42B7A}"/>
    <cellStyle name="Normal 4 4 2 2 4 3 2" xfId="15970" xr:uid="{2D54A11E-FF4C-47AC-AE13-47EB5DD75731}"/>
    <cellStyle name="Normal 4 4 2 2 4 4" xfId="8423" xr:uid="{3F679B0C-F09E-4C98-B721-4D0AB18F3AE6}"/>
    <cellStyle name="Normal 4 4 2 2 4 4 2" xfId="18803" xr:uid="{3343F9AC-DB0D-480C-A640-F8DE770B3567}"/>
    <cellStyle name="Normal 4 4 2 2 4 5" xfId="11256" xr:uid="{2302EC03-7E78-4B3A-84BC-D18671DC7463}"/>
    <cellStyle name="Normal 4 4 2 2 4 5 2" xfId="21636" xr:uid="{4E879307-37C7-4D37-AA7E-98FC66DD073C}"/>
    <cellStyle name="Normal 4 4 2 2 4 6" xfId="25391" xr:uid="{2B1BE565-3070-4CBD-A8A7-826B87398CCA}"/>
    <cellStyle name="Normal 4 4 2 2 4 7" xfId="13904" xr:uid="{A9A64EC3-4267-44C0-8F66-ADF1DBE3DA21}"/>
    <cellStyle name="Normal 4 4 2 2 5" xfId="3338" xr:uid="{00000000-0005-0000-0000-000022060000}"/>
    <cellStyle name="Normal 4 4 2 2 5 2" xfId="6396" xr:uid="{5062E618-E82E-42FB-A778-7EC3F6941EE7}"/>
    <cellStyle name="Normal 4 4 2 2 5 2 2" xfId="26529" xr:uid="{BF4A22E8-47BF-4AE4-8B06-189C61C88340}"/>
    <cellStyle name="Normal 4 4 2 2 5 2 3" xfId="15965" xr:uid="{34CFE1EC-966C-4649-BDA4-5B79ED1C886F}"/>
    <cellStyle name="Normal 4 4 2 2 5 3" xfId="8418" xr:uid="{0B715A8F-AAB0-4DFA-BAE7-20B7354D978C}"/>
    <cellStyle name="Normal 4 4 2 2 5 3 2" xfId="18798" xr:uid="{41F0A7D8-AB8E-4B60-982D-97BA8ADCC0F1}"/>
    <cellStyle name="Normal 4 4 2 2 5 4" xfId="11251" xr:uid="{85457368-CE3B-45FB-BA69-8CC85A11D34F}"/>
    <cellStyle name="Normal 4 4 2 2 5 4 2" xfId="21631" xr:uid="{193BE4AF-9649-42CB-89A7-80CFD85DE0CE}"/>
    <cellStyle name="Normal 4 4 2 2 5 5" xfId="24585" xr:uid="{9CB8F697-BCC2-40ED-847C-A67F724127DE}"/>
    <cellStyle name="Normal 4 4 2 2 5 6" xfId="13899" xr:uid="{8DD6C700-A359-472F-A44D-9D09EC1DD08E}"/>
    <cellStyle name="Normal 4 4 2 2 6" xfId="2557" xr:uid="{00000000-0005-0000-0000-000023060000}"/>
    <cellStyle name="Normal 4 4 2 2 6 2" xfId="5827" xr:uid="{DC4B1AE2-E38E-4F7D-B7F9-68E626E6D6E0}"/>
    <cellStyle name="Normal 4 4 2 2 6 2 2" xfId="28406" xr:uid="{0294B801-8558-4D60-BB1D-C74AED4ACEAA}"/>
    <cellStyle name="Normal 4 4 2 2 6 2 3" xfId="15229" xr:uid="{FCF708E1-6C2E-4FB3-B0DE-25CA0F80D6F0}"/>
    <cellStyle name="Normal 4 4 2 2 6 3" xfId="7682" xr:uid="{5ECF2951-199F-4EA0-BB10-67F9E1354813}"/>
    <cellStyle name="Normal 4 4 2 2 6 3 2" xfId="18062" xr:uid="{95620D9C-ED80-4DB4-8DD5-77F617E8DEC6}"/>
    <cellStyle name="Normal 4 4 2 2 6 4" xfId="10515" xr:uid="{2CB7DFE3-E213-4A1A-BE1A-20DE844B62D1}"/>
    <cellStyle name="Normal 4 4 2 2 6 4 2" xfId="20895" xr:uid="{C939A820-A911-45B8-861D-39CA8982E263}"/>
    <cellStyle name="Normal 4 4 2 2 6 5" xfId="25092" xr:uid="{50630A23-1783-4E8E-8EBD-8E95B5AE0135}"/>
    <cellStyle name="Normal 4 4 2 2 6 6" xfId="12945" xr:uid="{DC969C50-06CB-42DE-AAA8-B174C5A7B8E8}"/>
    <cellStyle name="Normal 4 4 2 2 7" xfId="2251" xr:uid="{00000000-0005-0000-0000-000019060000}"/>
    <cellStyle name="Normal 4 4 2 2 7 2" xfId="7378" xr:uid="{49CA78DA-20A4-4038-8506-5DDD29FC25DE}"/>
    <cellStyle name="Normal 4 4 2 2 7 2 2" xfId="17758" xr:uid="{1B2A0586-7E36-4B38-834F-A9A444B3A174}"/>
    <cellStyle name="Normal 4 4 2 2 7 3" xfId="10211" xr:uid="{572E385B-266A-46A8-9ED4-56DED6012742}"/>
    <cellStyle name="Normal 4 4 2 2 7 3 2" xfId="20591" xr:uid="{C8CD3E5D-43F1-48B5-ACE9-D6CD559183A0}"/>
    <cellStyle name="Normal 4 4 2 2 7 4" xfId="25250" xr:uid="{83230BF6-A134-4CA9-9917-EEAFA2C3B914}"/>
    <cellStyle name="Normal 4 4 2 2 7 5" xfId="14925" xr:uid="{D659C309-94E5-4BC5-B696-F22FD405B31F}"/>
    <cellStyle name="Normal 4 4 2 2 8" xfId="3802" xr:uid="{DDC15438-3D68-4FAD-9D9B-C7E2E167FEA4}"/>
    <cellStyle name="Normal 4 4 2 2 8 2" xfId="8638" xr:uid="{4C619C33-DE7C-49B8-B166-2CA910B63CFD}"/>
    <cellStyle name="Normal 4 4 2 2 8 2 2" xfId="19018" xr:uid="{44B94BF2-0CAD-4A78-B3B9-ECF987ADDE5A}"/>
    <cellStyle name="Normal 4 4 2 2 8 3" xfId="11471" xr:uid="{7B76BDC5-3EC5-42AF-8E55-BFF102FBEAC6}"/>
    <cellStyle name="Normal 4 4 2 2 8 3 2" xfId="21851" xr:uid="{34AC7D1B-4264-4C58-B0E6-F3D739E9EB6C}"/>
    <cellStyle name="Normal 4 4 2 2 8 4" xfId="16185" xr:uid="{545ED7F2-872A-448F-928C-E98B0C60218F}"/>
    <cellStyle name="Normal 4 4 2 2 9" xfId="5290" xr:uid="{4258AE63-37FA-4E3B-88C7-E1ACC51B3145}"/>
    <cellStyle name="Normal 4 4 2 2 9 2" xfId="14588" xr:uid="{28244A37-8FC1-4209-BC34-54CFE44D5963}"/>
    <cellStyle name="Normal 4 4 2 3" xfId="989" xr:uid="{00000000-0005-0000-0000-00008F050000}"/>
    <cellStyle name="Normal 4 4 2 3 10" xfId="9876" xr:uid="{B1AD3C3B-E4EF-4540-8370-CA00C891082A}"/>
    <cellStyle name="Normal 4 4 2 3 10 2" xfId="20256" xr:uid="{4960A5F0-C12E-4B12-AC3D-EEDB6B8C464C}"/>
    <cellStyle name="Normal 4 4 2 3 11" xfId="25424" xr:uid="{0AB0255F-72B3-4885-B9E1-813751B34C02}"/>
    <cellStyle name="Normal 4 4 2 3 12" xfId="12600" xr:uid="{CA292A13-D5E7-41FE-9B23-465F582E343E}"/>
    <cellStyle name="Normal 4 4 2 3 2" xfId="2788" xr:uid="{00000000-0005-0000-0000-000025060000}"/>
    <cellStyle name="Normal 4 4 2 3 2 2" xfId="3345" xr:uid="{00000000-0005-0000-0000-000026060000}"/>
    <cellStyle name="Normal 4 4 2 3 2 2 2" xfId="6403" xr:uid="{343E5849-A095-4356-A6E4-AA28C144EC79}"/>
    <cellStyle name="Normal 4 4 2 3 2 2 2 2" xfId="28617" xr:uid="{9F7BCF5F-F784-4400-B20C-6A8977FADB81}"/>
    <cellStyle name="Normal 4 4 2 3 2 2 2 3" xfId="15972" xr:uid="{591177A3-FFCB-4982-BC14-F6A0916A77D9}"/>
    <cellStyle name="Normal 4 4 2 3 2 2 3" xfId="8425" xr:uid="{C2FF869B-A854-4C88-816D-6510E892D87D}"/>
    <cellStyle name="Normal 4 4 2 3 2 2 3 2" xfId="18805" xr:uid="{7FFBDEA1-A1E4-4C6D-AE1C-A491E9D3ABD1}"/>
    <cellStyle name="Normal 4 4 2 3 2 2 4" xfId="11258" xr:uid="{CD8E96AA-81A3-461E-A843-965AE1CC3170}"/>
    <cellStyle name="Normal 4 4 2 3 2 2 4 2" xfId="21638" xr:uid="{77235E0C-8C7F-4FA5-9A70-8801406D4A23}"/>
    <cellStyle name="Normal 4 4 2 3 2 2 5" xfId="25543" xr:uid="{7E2DF8E2-5082-41B1-A468-00E7FFC3BF73}"/>
    <cellStyle name="Normal 4 4 2 3 2 2 6" xfId="13906" xr:uid="{B88B7EB3-9F60-4C35-8B12-3E2052EF28BE}"/>
    <cellStyle name="Normal 4 4 2 3 2 3" xfId="4341" xr:uid="{74B3D252-263A-4214-BAD9-6E1714328469}"/>
    <cellStyle name="Normal 4 4 2 3 2 3 2" xfId="9113" xr:uid="{DB4B5A45-226D-48AB-B1C4-D080C1D639FB}"/>
    <cellStyle name="Normal 4 4 2 3 2 3 2 2" xfId="29156" xr:uid="{77C2008E-03E2-4F0C-8CD8-F2962237139D}"/>
    <cellStyle name="Normal 4 4 2 3 2 3 2 3" xfId="19493" xr:uid="{F109FBB9-64BD-468A-9BC6-6BCA65B9F0D5}"/>
    <cellStyle name="Normal 4 4 2 3 2 3 3" xfId="11946" xr:uid="{44FA4A1B-9B44-4CF4-832E-40967D5F0FCA}"/>
    <cellStyle name="Normal 4 4 2 3 2 3 3 2" xfId="22326" xr:uid="{FA817901-995B-4402-B4DD-318F52720169}"/>
    <cellStyle name="Normal 4 4 2 3 2 3 4" xfId="24399" xr:uid="{64414920-5AB8-4F86-809F-DC5AA7D433CB}"/>
    <cellStyle name="Normal 4 4 2 3 2 3 5" xfId="16660" xr:uid="{8F21A49A-4D31-4E84-B3AA-8FFCA76483E1}"/>
    <cellStyle name="Normal 4 4 2 3 2 4" xfId="6006" xr:uid="{9ED9DD77-8200-4D6A-8D46-C6657E276F95}"/>
    <cellStyle name="Normal 4 4 2 3 2 4 2" xfId="27779" xr:uid="{AE5FCA32-9F15-45B6-9EEB-C0AFB6BF84CE}"/>
    <cellStyle name="Normal 4 4 2 3 2 4 3" xfId="15459" xr:uid="{0F694240-3902-4780-8B9A-3D5321D5FECC}"/>
    <cellStyle name="Normal 4 4 2 3 2 5" xfId="7912" xr:uid="{E3EE78A6-E101-42FF-AEEA-BFEBB2AF86C3}"/>
    <cellStyle name="Normal 4 4 2 3 2 5 2" xfId="18292" xr:uid="{C1E16FBA-FE8E-4A54-B65B-A50FA1CAC283}"/>
    <cellStyle name="Normal 4 4 2 3 2 6" xfId="10745" xr:uid="{0FFF8D92-EAD0-434C-BD7F-BD069BCCF53A}"/>
    <cellStyle name="Normal 4 4 2 3 2 6 2" xfId="21125" xr:uid="{5EB6700C-27A8-4AD6-876E-4973B72CA798}"/>
    <cellStyle name="Normal 4 4 2 3 2 7" xfId="24692" xr:uid="{D52FFB66-82B9-4586-B744-665C9F32E133}"/>
    <cellStyle name="Normal 4 4 2 3 2 8" xfId="13245" xr:uid="{A24D2BD8-95B1-4F46-A668-2EE59A1BDC03}"/>
    <cellStyle name="Normal 4 4 2 3 3" xfId="3346" xr:uid="{00000000-0005-0000-0000-000027060000}"/>
    <cellStyle name="Normal 4 4 2 3 3 2" xfId="4533" xr:uid="{B667C967-0561-4C42-8BC5-90F59086EA4F}"/>
    <cellStyle name="Normal 4 4 2 3 3 2 2" xfId="9305" xr:uid="{5D054F46-D740-4D54-A354-11CE584B8EC4}"/>
    <cellStyle name="Normal 4 4 2 3 3 2 2 2" xfId="29282" xr:uid="{4D6ACDE4-B724-4058-B0EB-6FD435DC408F}"/>
    <cellStyle name="Normal 4 4 2 3 3 2 2 3" xfId="19685" xr:uid="{AD9CB9B7-9155-4620-BD89-267FF7E163A2}"/>
    <cellStyle name="Normal 4 4 2 3 3 2 3" xfId="12138" xr:uid="{B1CEB952-4071-4AA7-B3E2-61A45C9196DF}"/>
    <cellStyle name="Normal 4 4 2 3 3 2 3 2" xfId="22518" xr:uid="{CA3F5B6B-0FB8-40ED-95B1-0404A707E6EF}"/>
    <cellStyle name="Normal 4 4 2 3 3 2 4" xfId="25828" xr:uid="{B557E776-EDB1-4F38-8179-39D0DD17A096}"/>
    <cellStyle name="Normal 4 4 2 3 3 2 5" xfId="16852" xr:uid="{0AC8B89C-7AF6-4A8E-88EC-20BF3A4E2B09}"/>
    <cellStyle name="Normal 4 4 2 3 3 3" xfId="6404" xr:uid="{3E03D1E4-46FB-4EA6-A55D-6CE5D746A0FA}"/>
    <cellStyle name="Normal 4 4 2 3 3 3 2" xfId="27086" xr:uid="{AF6B99DB-4970-44F9-83F8-550353C549F2}"/>
    <cellStyle name="Normal 4 4 2 3 3 3 3" xfId="15973" xr:uid="{05546C51-7A74-4DC9-A123-D32CCF69BB41}"/>
    <cellStyle name="Normal 4 4 2 3 3 4" xfId="8426" xr:uid="{47DC54E8-D290-438B-A9F6-0A176AE63C6C}"/>
    <cellStyle name="Normal 4 4 2 3 3 4 2" xfId="18806" xr:uid="{E1755450-EC70-4494-BA45-A16E3958D2BB}"/>
    <cellStyle name="Normal 4 4 2 3 3 5" xfId="11259" xr:uid="{A6D1E6E4-5971-4942-887A-43650AFFEA0C}"/>
    <cellStyle name="Normal 4 4 2 3 3 5 2" xfId="21639" xr:uid="{B6280641-65D5-4190-AE7B-601DF9196AC1}"/>
    <cellStyle name="Normal 4 4 2 3 3 6" xfId="25562" xr:uid="{A8C4EC16-EA7A-4861-A0BB-F346D7F4F3D0}"/>
    <cellStyle name="Normal 4 4 2 3 3 7" xfId="13907" xr:uid="{02D88B39-740F-4D60-9A15-9A15A8A2BCB9}"/>
    <cellStyle name="Normal 4 4 2 3 4" xfId="3344" xr:uid="{00000000-0005-0000-0000-000028060000}"/>
    <cellStyle name="Normal 4 4 2 3 4 2" xfId="6402" xr:uid="{7CF52855-B221-49CE-A471-59823C1C5EC2}"/>
    <cellStyle name="Normal 4 4 2 3 4 2 2" xfId="27392" xr:uid="{196D2709-DB11-4493-87A8-571EF4FEB300}"/>
    <cellStyle name="Normal 4 4 2 3 4 2 3" xfId="15971" xr:uid="{78E67D20-8500-42B0-8342-77833EBFD547}"/>
    <cellStyle name="Normal 4 4 2 3 4 3" xfId="8424" xr:uid="{D392A788-D3F4-495C-92BB-C7DF535D7F6E}"/>
    <cellStyle name="Normal 4 4 2 3 4 3 2" xfId="18804" xr:uid="{C7850F2B-0321-44D0-A29E-DC57D5733915}"/>
    <cellStyle name="Normal 4 4 2 3 4 4" xfId="11257" xr:uid="{9F189DF0-C5E1-44CC-AC28-952D571D9414}"/>
    <cellStyle name="Normal 4 4 2 3 4 4 2" xfId="21637" xr:uid="{A6696CC3-A819-425E-8415-27596BCDCEF6}"/>
    <cellStyle name="Normal 4 4 2 3 4 5" xfId="25496" xr:uid="{F3F66694-76D2-4DD2-A42D-A490901CEB69}"/>
    <cellStyle name="Normal 4 4 2 3 4 6" xfId="13905" xr:uid="{BA747545-B287-4E7B-A45F-5E00E23DCEAE}"/>
    <cellStyle name="Normal 4 4 2 3 5" xfId="2600" xr:uid="{00000000-0005-0000-0000-000029060000}"/>
    <cellStyle name="Normal 4 4 2 3 5 2" xfId="5865" xr:uid="{139BE8FC-28F1-4734-8901-3B834D3D2588}"/>
    <cellStyle name="Normal 4 4 2 3 5 2 2" xfId="26184" xr:uid="{4DB9D009-C49D-4C9D-8B31-40E993ACDE8F}"/>
    <cellStyle name="Normal 4 4 2 3 5 2 3" xfId="15272" xr:uid="{14A9D6DC-889E-4B88-A44F-DB60655AF6C1}"/>
    <cellStyle name="Normal 4 4 2 3 5 3" xfId="7725" xr:uid="{E5424755-DE56-4D99-BDD0-F7BA8BA601D0}"/>
    <cellStyle name="Normal 4 4 2 3 5 3 2" xfId="18105" xr:uid="{44B2E874-9A5E-4728-B49D-E29AB0D6C375}"/>
    <cellStyle name="Normal 4 4 2 3 5 4" xfId="10558" xr:uid="{1872EAE9-2A01-45E2-840D-0999BEEF9D85}"/>
    <cellStyle name="Normal 4 4 2 3 5 4 2" xfId="20938" xr:uid="{BB83D161-21E9-4D6B-9DDF-6055BE109484}"/>
    <cellStyle name="Normal 4 4 2 3 5 5" xfId="23361" xr:uid="{37031A89-35BD-4127-BFD7-60F5F3E9C2EE}"/>
    <cellStyle name="Normal 4 4 2 3 5 6" xfId="12988" xr:uid="{412C8670-516E-44AC-ABE8-D75E24AA086C}"/>
    <cellStyle name="Normal 4 4 2 3 6" xfId="2366" xr:uid="{00000000-0005-0000-0000-000024060000}"/>
    <cellStyle name="Normal 4 4 2 3 6 2" xfId="7493" xr:uid="{030E696C-1599-4734-A257-268A964EDB54}"/>
    <cellStyle name="Normal 4 4 2 3 6 2 2" xfId="17873" xr:uid="{15D93248-80F7-4215-82CC-88F904825CB5}"/>
    <cellStyle name="Normal 4 4 2 3 6 3" xfId="10326" xr:uid="{20779726-FE34-46AE-8D69-243702F2566F}"/>
    <cellStyle name="Normal 4 4 2 3 6 3 2" xfId="20706" xr:uid="{0C161F4E-0E79-4057-B1D8-D0034A4E854D}"/>
    <cellStyle name="Normal 4 4 2 3 6 4" xfId="22909" xr:uid="{794A6DF2-1520-439A-BD2D-2EBAECF1CA97}"/>
    <cellStyle name="Normal 4 4 2 3 6 5" xfId="15040" xr:uid="{CA3A1C99-7CFD-4A4C-82D1-2277B4C1D22D}"/>
    <cellStyle name="Normal 4 4 2 3 7" xfId="3901" xr:uid="{A0A63680-17CA-489F-95A6-D6826EDC068D}"/>
    <cellStyle name="Normal 4 4 2 3 7 2" xfId="8733" xr:uid="{07A899F3-7EEC-467F-AEF0-B12738453FE0}"/>
    <cellStyle name="Normal 4 4 2 3 7 2 2" xfId="19113" xr:uid="{250E8EC4-8884-454C-9B4B-249992F96958}"/>
    <cellStyle name="Normal 4 4 2 3 7 3" xfId="11566" xr:uid="{9A952F7A-904B-45D3-880B-F6D974671C03}"/>
    <cellStyle name="Normal 4 4 2 3 7 3 2" xfId="21946" xr:uid="{B6ED0CF5-C516-4F13-A8BB-97E471131A4F}"/>
    <cellStyle name="Normal 4 4 2 3 7 4" xfId="16280" xr:uid="{7FA5334C-9CED-4ACE-9A17-0DE4230501E4}"/>
    <cellStyle name="Normal 4 4 2 3 8" xfId="5292" xr:uid="{8FC8B013-9E56-4911-9A8B-CAF8045B656D}"/>
    <cellStyle name="Normal 4 4 2 3 8 2" xfId="14590" xr:uid="{BC50FF17-FFFF-4D6D-B145-ACDCA896327D}"/>
    <cellStyle name="Normal 4 4 2 3 9" xfId="7043" xr:uid="{EE83E8F2-A16A-4CD0-BC5F-8F969FE98924}"/>
    <cellStyle name="Normal 4 4 2 3 9 2" xfId="17423" xr:uid="{51AFD0D0-CB0B-4931-8E43-E335997652BE}"/>
    <cellStyle name="Normal 4 4 2 4" xfId="990" xr:uid="{00000000-0005-0000-0000-000090050000}"/>
    <cellStyle name="Normal 4 4 2 4 2" xfId="3347" xr:uid="{00000000-0005-0000-0000-00002B060000}"/>
    <cellStyle name="Normal 4 4 2 4 2 2" xfId="6405" xr:uid="{20B61733-C29A-4013-826A-91229857E97E}"/>
    <cellStyle name="Normal 4 4 2 4 2 2 2" xfId="27177" xr:uid="{AE11D454-1CD7-41CE-B9C4-CA1ECC737D00}"/>
    <cellStyle name="Normal 4 4 2 4 2 2 3" xfId="15974" xr:uid="{297D34D7-ACE3-4DC9-866A-BB601572E752}"/>
    <cellStyle name="Normal 4 4 2 4 2 3" xfId="8427" xr:uid="{6A70F0BF-D7D0-4B85-B0C1-79744443D8AD}"/>
    <cellStyle name="Normal 4 4 2 4 2 3 2" xfId="18807" xr:uid="{267F612C-EEAF-43EE-B20C-E6ECA5E6DB21}"/>
    <cellStyle name="Normal 4 4 2 4 2 4" xfId="11260" xr:uid="{C6886769-9BD0-4F8E-A386-8BBF708CF0BA}"/>
    <cellStyle name="Normal 4 4 2 4 2 4 2" xfId="21640" xr:uid="{C9F7911D-DEE3-403B-83CD-E2A6C409A7AC}"/>
    <cellStyle name="Normal 4 4 2 4 2 5" xfId="23986" xr:uid="{B23B2DF9-82EF-45C7-9FBB-906912C74F17}"/>
    <cellStyle name="Normal 4 4 2 4 2 6" xfId="13908" xr:uid="{2F1045BB-53EA-4FB1-890A-6A2795B420BD}"/>
    <cellStyle name="Normal 4 4 2 4 3" xfId="2785" xr:uid="{00000000-0005-0000-0000-00002C060000}"/>
    <cellStyle name="Normal 4 4 2 4 3 2" xfId="6003" xr:uid="{95EA8E11-5537-4A68-AF65-8399F5C49F15}"/>
    <cellStyle name="Normal 4 4 2 4 3 2 2" xfId="28142" xr:uid="{68EEADF2-2AD1-47CD-95C5-623C2B15C40B}"/>
    <cellStyle name="Normal 4 4 2 4 3 2 3" xfId="15456" xr:uid="{81AC6881-060D-49E2-85F5-2E625E9E456B}"/>
    <cellStyle name="Normal 4 4 2 4 3 3" xfId="7909" xr:uid="{E3C17826-5BD3-463F-BCD5-BEEF9F957C4C}"/>
    <cellStyle name="Normal 4 4 2 4 3 3 2" xfId="18289" xr:uid="{4A831123-808B-4BCA-BC87-E889B02E29A8}"/>
    <cellStyle name="Normal 4 4 2 4 3 4" xfId="10742" xr:uid="{C684B92C-9FED-4F5B-B80A-33BD8DA70E4D}"/>
    <cellStyle name="Normal 4 4 2 4 3 4 2" xfId="21122" xr:uid="{0740E351-8637-4EB1-A9B8-E45D0364FF18}"/>
    <cellStyle name="Normal 4 4 2 4 3 5" xfId="22648" xr:uid="{771BE6F7-1616-4895-81F6-29430F4DFF5C}"/>
    <cellStyle name="Normal 4 4 2 4 3 6" xfId="13242" xr:uid="{75F1AEE9-9B4E-4585-8635-8BF605B8F223}"/>
    <cellStyle name="Normal 4 4 2 4 4" xfId="4194" xr:uid="{96BB92AC-F20C-4C4D-AE25-AF828871AFE4}"/>
    <cellStyle name="Normal 4 4 2 4 4 2" xfId="8966" xr:uid="{213E87B1-4640-4830-B3FE-2730CE3A4E12}"/>
    <cellStyle name="Normal 4 4 2 4 4 2 2" xfId="19346" xr:uid="{4732E8CE-8314-4A71-965F-4492544F64DC}"/>
    <cellStyle name="Normal 4 4 2 4 4 3" xfId="11799" xr:uid="{1E649367-FA4B-4B30-B77B-B6496126789A}"/>
    <cellStyle name="Normal 4 4 2 4 4 3 2" xfId="22179" xr:uid="{54000B27-16F5-4737-97AC-5EF6B85A6040}"/>
    <cellStyle name="Normal 4 4 2 4 4 4" xfId="23153" xr:uid="{8F9319D7-B853-4F09-B86A-AB41BD9E4F06}"/>
    <cellStyle name="Normal 4 4 2 4 4 5" xfId="16513" xr:uid="{59A15F81-D3BA-4822-93BE-A4760071BFE6}"/>
    <cellStyle name="Normal 4 4 2 4 5" xfId="5293" xr:uid="{533E2B35-FCAF-412B-9DCA-D713E1E837DA}"/>
    <cellStyle name="Normal 4 4 2 4 5 2" xfId="14591" xr:uid="{E45A6DA9-F6DD-4BE1-88EF-D73B6CBFE0B3}"/>
    <cellStyle name="Normal 4 4 2 4 6" xfId="7044" xr:uid="{7D54AB82-DC51-48D5-8538-93D0951DDF25}"/>
    <cellStyle name="Normal 4 4 2 4 6 2" xfId="17424" xr:uid="{0C0B500B-9BD5-484C-824A-61E62BE1B3F2}"/>
    <cellStyle name="Normal 4 4 2 4 7" xfId="9877" xr:uid="{35D85105-00A8-431A-98BC-D4A460429DBC}"/>
    <cellStyle name="Normal 4 4 2 4 7 2" xfId="20257" xr:uid="{A72441B9-8FDE-4736-968C-4714EBB2DBAE}"/>
    <cellStyle name="Normal 4 4 2 4 8" xfId="23945" xr:uid="{519AB3C6-84B3-4A4B-9948-7581BC858FCF}"/>
    <cellStyle name="Normal 4 4 2 4 9" xfId="12758" xr:uid="{1396107D-6352-405C-BCA7-4BC444A9CA14}"/>
    <cellStyle name="Normal 4 4 2 5" xfId="3348" xr:uid="{00000000-0005-0000-0000-00002D060000}"/>
    <cellStyle name="Normal 4 4 2 5 2" xfId="4534" xr:uid="{5E60AF2D-179F-4D24-AD54-5B7AA556A5DD}"/>
    <cellStyle name="Normal 4 4 2 5 2 2" xfId="9306" xr:uid="{35E01CA6-96A3-4431-B026-E09FEF25DB54}"/>
    <cellStyle name="Normal 4 4 2 5 2 2 2" xfId="29283" xr:uid="{C68B05B6-DAA6-4829-9645-882AF5471896}"/>
    <cellStyle name="Normal 4 4 2 5 2 2 3" xfId="19686" xr:uid="{BCAC5E27-933A-43D6-8166-3CDC64456C93}"/>
    <cellStyle name="Normal 4 4 2 5 2 3" xfId="12139" xr:uid="{0D0CE1D9-91A3-4A1B-9092-D86677B77CD0}"/>
    <cellStyle name="Normal 4 4 2 5 2 3 2" xfId="22519" xr:uid="{F63EBC74-937D-4CFC-9C04-84CE1B457986}"/>
    <cellStyle name="Normal 4 4 2 5 2 4" xfId="24129" xr:uid="{3F722632-BEB6-4346-8723-E53DF6D918A5}"/>
    <cellStyle name="Normal 4 4 2 5 2 5" xfId="16853" xr:uid="{36E94304-D19A-4F07-9B37-DC544DDD0F39}"/>
    <cellStyle name="Normal 4 4 2 5 3" xfId="6406" xr:uid="{F785735A-DF6A-4C2D-8853-2D9398843D1C}"/>
    <cellStyle name="Normal 4 4 2 5 3 2" xfId="28161" xr:uid="{4B461DD2-E85E-4D0F-A84C-F33FEE6549B2}"/>
    <cellStyle name="Normal 4 4 2 5 3 3" xfId="15975" xr:uid="{C15983D7-7394-45E1-8C77-4667DF42AD09}"/>
    <cellStyle name="Normal 4 4 2 5 4" xfId="8428" xr:uid="{5C2664CF-91DD-4A80-AE8E-2B2FB102247E}"/>
    <cellStyle name="Normal 4 4 2 5 4 2" xfId="18808" xr:uid="{312626E5-694C-4D09-8BFA-5A6B78A28534}"/>
    <cellStyle name="Normal 4 4 2 5 5" xfId="11261" xr:uid="{AE33355B-2358-4410-84AB-CD4C0EDC0107}"/>
    <cellStyle name="Normal 4 4 2 5 5 2" xfId="21641" xr:uid="{3F5C8609-160F-4530-A90A-D78FEBD4EE7D}"/>
    <cellStyle name="Normal 4 4 2 5 6" xfId="25518" xr:uid="{A9CA32F4-4CF4-4CCD-A676-7EC5AC72E217}"/>
    <cellStyle name="Normal 4 4 2 5 7" xfId="13909" xr:uid="{FF8E5222-B025-4A0F-B407-00746D92BB11}"/>
    <cellStyle name="Normal 4 4 2 6" xfId="2937" xr:uid="{00000000-0005-0000-0000-00002E060000}"/>
    <cellStyle name="Normal 4 4 2 6 2" xfId="6117" xr:uid="{5B3B8C6D-A847-46E6-9FFA-E283D1827F41}"/>
    <cellStyle name="Normal 4 4 2 6 2 2" xfId="27502" xr:uid="{256FD398-1765-4561-B83B-60BA0532852E}"/>
    <cellStyle name="Normal 4 4 2 6 2 3" xfId="15595" xr:uid="{628FFAED-D951-44EC-8EDC-07AD4BDDC531}"/>
    <cellStyle name="Normal 4 4 2 6 3" xfId="8048" xr:uid="{3159FA81-94C4-4D3A-8F13-76BF2389BBB9}"/>
    <cellStyle name="Normal 4 4 2 6 3 2" xfId="18428" xr:uid="{360F8008-33CF-4D76-82CB-D0439AE14674}"/>
    <cellStyle name="Normal 4 4 2 6 4" xfId="10881" xr:uid="{1A7917F8-51D4-4B2F-849F-B7F8A81829AD}"/>
    <cellStyle name="Normal 4 4 2 6 4 2" xfId="21261" xr:uid="{EA4F534D-6D68-42D7-98EB-6CBB0775F31C}"/>
    <cellStyle name="Normal 4 4 2 6 5" xfId="22759" xr:uid="{BE31A1BC-E09B-45D6-A853-5E4B01C10954}"/>
    <cellStyle name="Normal 4 4 2 6 6" xfId="13456" xr:uid="{AC3B5C53-4470-46C2-BD54-B93BA475B524}"/>
    <cellStyle name="Normal 4 4 2 7" xfId="2497" xr:uid="{00000000-0005-0000-0000-00002F060000}"/>
    <cellStyle name="Normal 4 4 2 7 2" xfId="5780" xr:uid="{6C89BBB6-B358-40CC-A506-DF06AF094E74}"/>
    <cellStyle name="Normal 4 4 2 7 2 2" xfId="27187" xr:uid="{AF97877D-DC51-4FD6-8AB3-CF38E2140017}"/>
    <cellStyle name="Normal 4 4 2 7 2 3" xfId="15169" xr:uid="{57C8706A-73C8-4E4E-B7B5-23D436CB38CA}"/>
    <cellStyle name="Normal 4 4 2 7 3" xfId="7622" xr:uid="{4963D2F7-C942-410B-A0FB-94E0DC35EA63}"/>
    <cellStyle name="Normal 4 4 2 7 3 2" xfId="18002" xr:uid="{EB8D888C-28AD-4A32-A8EE-59687F8BC34F}"/>
    <cellStyle name="Normal 4 4 2 7 4" xfId="10455" xr:uid="{42BE68C6-AD2C-4A30-85AC-FF0D67F7855A}"/>
    <cellStyle name="Normal 4 4 2 7 4 2" xfId="20835" xr:uid="{CB5FC10B-AC48-4DA8-A409-C02114CDE171}"/>
    <cellStyle name="Normal 4 4 2 7 5" xfId="22931" xr:uid="{FA34AF95-0BFC-4073-918E-2CF4FC4D06D4}"/>
    <cellStyle name="Normal 4 4 2 7 6" xfId="12885" xr:uid="{3372F42B-11D6-48F8-94B4-E68C129381B2}"/>
    <cellStyle name="Normal 4 4 2 8" xfId="2191" xr:uid="{00000000-0005-0000-0000-000018060000}"/>
    <cellStyle name="Normal 4 4 2 8 2" xfId="7318" xr:uid="{F821927E-FF2E-47FC-B390-71685C7CCE2B}"/>
    <cellStyle name="Normal 4 4 2 8 2 2" xfId="17698" xr:uid="{38FF1FEC-56E1-4843-B852-D3A78EC33CC7}"/>
    <cellStyle name="Normal 4 4 2 8 3" xfId="10151" xr:uid="{71790410-07D4-467B-A565-A2406DC2C56F}"/>
    <cellStyle name="Normal 4 4 2 8 3 2" xfId="20531" xr:uid="{409FBD40-5A2B-4A72-809F-EE173AC1241F}"/>
    <cellStyle name="Normal 4 4 2 8 4" xfId="23160" xr:uid="{06BF8221-A1D6-47ED-82A6-7E370277956D}"/>
    <cellStyle name="Normal 4 4 2 8 5" xfId="14865" xr:uid="{881F6974-E9F0-46E4-8294-8C2A320F09FA}"/>
    <cellStyle name="Normal 4 4 2 9" xfId="3987" xr:uid="{B16C01AD-B9E5-44C6-ADA8-D9B3921D7DFB}"/>
    <cellStyle name="Normal 4 4 2 9 2" xfId="8811" xr:uid="{281D8EDE-F9A6-43C1-9742-21DE38177E57}"/>
    <cellStyle name="Normal 4 4 2 9 2 2" xfId="19191" xr:uid="{9AEBB8E4-FDE3-413D-AA75-01417202CE90}"/>
    <cellStyle name="Normal 4 4 2 9 3" xfId="11644" xr:uid="{3267E1C4-3272-441D-8A24-461403A7F96B}"/>
    <cellStyle name="Normal 4 4 2 9 3 2" xfId="22024" xr:uid="{DDD9BDDF-AFFC-4EB4-9874-C133700B6679}"/>
    <cellStyle name="Normal 4 4 2 9 4" xfId="16358" xr:uid="{C9A5B588-EB5B-4732-9027-4843E7F14F44}"/>
    <cellStyle name="Normal 4 4 3" xfId="991" xr:uid="{00000000-0005-0000-0000-000091050000}"/>
    <cellStyle name="Normal 4 4 3 10" xfId="5294" xr:uid="{88B6DE60-D7A5-41FD-996D-110C6073BC2F}"/>
    <cellStyle name="Normal 4 4 3 10 2" xfId="14592" xr:uid="{CEA30152-4AF3-4C5C-BEAC-D06BFA565B8E}"/>
    <cellStyle name="Normal 4 4 3 11" xfId="7045" xr:uid="{2DC32E99-2A6D-4B7A-91E3-D2377718AACA}"/>
    <cellStyle name="Normal 4 4 3 11 2" xfId="17425" xr:uid="{8134CA82-294A-4E34-AA54-41DC39FEAD23}"/>
    <cellStyle name="Normal 4 4 3 12" xfId="9878" xr:uid="{A898B6A6-D9A0-49CF-843D-5A41ACD04B3E}"/>
    <cellStyle name="Normal 4 4 3 12 2" xfId="20258" xr:uid="{67DD2765-FEF1-4A0A-A1BE-F5BF3D9D41ED}"/>
    <cellStyle name="Normal 4 4 3 13" xfId="24670" xr:uid="{8E62B68A-D58A-4532-91A2-F2AF68881A4F}"/>
    <cellStyle name="Normal 4 4 3 14" xfId="12460" xr:uid="{6D09E4C8-F1C9-40F3-A072-8BF6DC8D0B70}"/>
    <cellStyle name="Normal 4 4 3 2" xfId="992" xr:uid="{00000000-0005-0000-0000-000092050000}"/>
    <cellStyle name="Normal 4 4 3 2 10" xfId="9879" xr:uid="{F255A013-70AB-4A59-8633-B48A70F454FC}"/>
    <cellStyle name="Normal 4 4 3 2 10 2" xfId="20259" xr:uid="{D28DD238-54D2-4B69-A7C1-6CE81E63D2FA}"/>
    <cellStyle name="Normal 4 4 3 2 11" xfId="24674" xr:uid="{366AD8EB-E5A1-4DD2-B560-9D07126072B4}"/>
    <cellStyle name="Normal 4 4 3 2 12" xfId="12601" xr:uid="{1D5673CB-386D-40C7-88B0-0DB1519D39A4}"/>
    <cellStyle name="Normal 4 4 3 2 2" xfId="993" xr:uid="{00000000-0005-0000-0000-000093050000}"/>
    <cellStyle name="Normal 4 4 3 2 2 2" xfId="3350" xr:uid="{00000000-0005-0000-0000-000033060000}"/>
    <cellStyle name="Normal 4 4 3 2 2 2 2" xfId="6408" xr:uid="{00633550-0CEB-489C-BF76-9FA9D44E0746}"/>
    <cellStyle name="Normal 4 4 3 2 2 2 2 2" xfId="28047" xr:uid="{107BB400-7316-403D-A324-78BEE252AE6E}"/>
    <cellStyle name="Normal 4 4 3 2 2 2 2 3" xfId="28056" xr:uid="{D4671570-37DF-4E1F-9685-441CF788607D}"/>
    <cellStyle name="Normal 4 4 3 2 2 2 2 4" xfId="15977" xr:uid="{569A8433-37B8-4B2D-BED4-516E8C1CFB99}"/>
    <cellStyle name="Normal 4 4 3 2 2 2 3" xfId="8430" xr:uid="{43432A74-8AD5-42AF-A9F2-FCAC50F97D32}"/>
    <cellStyle name="Normal 4 4 3 2 2 2 3 2" xfId="28912" xr:uid="{6D738C94-1394-421B-8925-58847C9B12F2}"/>
    <cellStyle name="Normal 4 4 3 2 2 2 3 3" xfId="18810" xr:uid="{C04674E1-32BF-4D6F-B1B9-B9F6653E7F7B}"/>
    <cellStyle name="Normal 4 4 3 2 2 2 4" xfId="11263" xr:uid="{3EDAD551-5A33-47A0-9975-2DE6BABECBDF}"/>
    <cellStyle name="Normal 4 4 3 2 2 2 4 2" xfId="21643" xr:uid="{EBB800D0-4C8B-483A-A777-005DB570AC02}"/>
    <cellStyle name="Normal 4 4 3 2 2 2 5" xfId="25193" xr:uid="{AC222BDA-295B-4B7F-9BF5-C5D478EC2486}"/>
    <cellStyle name="Normal 4 4 3 2 2 2 6" xfId="13911" xr:uid="{27E63BC5-56C9-489C-A731-AF3D82D6E2CC}"/>
    <cellStyle name="Normal 4 4 3 2 2 3" xfId="4343" xr:uid="{0C5886EB-F9A9-433B-B04A-12B1F791A654}"/>
    <cellStyle name="Normal 4 4 3 2 2 3 2" xfId="9115" xr:uid="{48B52A04-3533-40E8-BBC6-9F81FA09C7E8}"/>
    <cellStyle name="Normal 4 4 3 2 2 3 2 2" xfId="29158" xr:uid="{CC7B71A2-16DA-44FB-ABEF-A9D0EFEE69CE}"/>
    <cellStyle name="Normal 4 4 3 2 2 3 2 3" xfId="19495" xr:uid="{5F1BACCC-80CB-498D-9DAC-6A7E5380D294}"/>
    <cellStyle name="Normal 4 4 3 2 2 3 3" xfId="11948" xr:uid="{25FC1F0C-D661-4395-8501-84C4EA98AB69}"/>
    <cellStyle name="Normal 4 4 3 2 2 3 3 2" xfId="22328" xr:uid="{206E4AEB-9D88-4016-85D2-A25E338C833B}"/>
    <cellStyle name="Normal 4 4 3 2 2 3 4" xfId="23497" xr:uid="{AA8374BD-F104-48E4-8843-A94EBE10930E}"/>
    <cellStyle name="Normal 4 4 3 2 2 3 5" xfId="16662" xr:uid="{072914E5-77BE-4B58-9C08-4E51D0FBFA68}"/>
    <cellStyle name="Normal 4 4 3 2 2 4" xfId="5296" xr:uid="{26717934-BE0B-4FD6-B482-94A25175970F}"/>
    <cellStyle name="Normal 4 4 3 2 2 4 2" xfId="27803" xr:uid="{E471440A-0506-45A8-8DCF-223AF063FB8B}"/>
    <cellStyle name="Normal 4 4 3 2 2 4 3" xfId="14594" xr:uid="{58AA8BF7-CC5F-4C5B-9F16-DC942AD323E2}"/>
    <cellStyle name="Normal 4 4 3 2 2 5" xfId="7047" xr:uid="{8C01A2C2-DACA-42D4-ADB1-02790D8E85E5}"/>
    <cellStyle name="Normal 4 4 3 2 2 5 2" xfId="17427" xr:uid="{5B993106-9B55-4855-9C3B-A88708F6DFCF}"/>
    <cellStyle name="Normal 4 4 3 2 2 6" xfId="9880" xr:uid="{9BCF11DB-9CF6-4244-8DF9-783DEDCCADDA}"/>
    <cellStyle name="Normal 4 4 3 2 2 6 2" xfId="20260" xr:uid="{56E7D71D-6185-4232-B67F-A7EC19DCE073}"/>
    <cellStyle name="Normal 4 4 3 2 2 7" xfId="24305" xr:uid="{7A7012E4-D9D2-45AE-B5A2-4FCEDA725ACA}"/>
    <cellStyle name="Normal 4 4 3 2 2 8" xfId="13247" xr:uid="{64D362F5-1611-4AC2-AE01-8C579BB6751B}"/>
    <cellStyle name="Normal 4 4 3 2 3" xfId="3351" xr:uid="{00000000-0005-0000-0000-000034060000}"/>
    <cellStyle name="Normal 4 4 3 2 3 2" xfId="4535" xr:uid="{2A0F3A8C-4A5A-47EC-ACD2-D50F6D6C82F7}"/>
    <cellStyle name="Normal 4 4 3 2 3 2 2" xfId="9307" xr:uid="{386CECEE-1C2B-4675-9F80-8A8AAECC8B6F}"/>
    <cellStyle name="Normal 4 4 3 2 3 2 2 2" xfId="29284" xr:uid="{62E6EE81-F264-4690-B08D-D11F23B9190D}"/>
    <cellStyle name="Normal 4 4 3 2 3 2 2 3" xfId="19687" xr:uid="{EFA10093-6DA2-4B7C-80EA-DD8CD4FA7702}"/>
    <cellStyle name="Normal 4 4 3 2 3 2 3" xfId="12140" xr:uid="{F280EA41-8078-48B8-A463-73C033571C38}"/>
    <cellStyle name="Normal 4 4 3 2 3 2 3 2" xfId="22520" xr:uid="{3D09AA19-0E66-4EB2-A359-633324598582}"/>
    <cellStyle name="Normal 4 4 3 2 3 2 4" xfId="24813" xr:uid="{952D9C29-925D-4A29-8664-70B026A402B6}"/>
    <cellStyle name="Normal 4 4 3 2 3 2 5" xfId="16854" xr:uid="{C02EC18D-4EC3-4EB0-B8D4-17E8B5FDB6EA}"/>
    <cellStyle name="Normal 4 4 3 2 3 3" xfId="6409" xr:uid="{91A91A5F-D051-4EBF-9066-F692AF96864B}"/>
    <cellStyle name="Normal 4 4 3 2 3 3 2" xfId="27554" xr:uid="{C9E2869B-EC75-4687-95C0-6BE5BB5077ED}"/>
    <cellStyle name="Normal 4 4 3 2 3 3 3" xfId="15978" xr:uid="{D4A3621A-2D8E-4B11-9F92-F68142AEBBDA}"/>
    <cellStyle name="Normal 4 4 3 2 3 4" xfId="8431" xr:uid="{A0F448F4-0E27-4CD4-BA2E-E84BC0C84681}"/>
    <cellStyle name="Normal 4 4 3 2 3 4 2" xfId="18811" xr:uid="{4B0F16B0-9C06-4C83-AD89-0D17C2242C3F}"/>
    <cellStyle name="Normal 4 4 3 2 3 5" xfId="11264" xr:uid="{7DF33F54-5FDB-44FE-9057-7B6E59DA09A5}"/>
    <cellStyle name="Normal 4 4 3 2 3 5 2" xfId="21644" xr:uid="{3754B178-E58F-47DB-A78C-F96880072886}"/>
    <cellStyle name="Normal 4 4 3 2 3 6" xfId="23031" xr:uid="{CA007D25-6172-437D-A65E-BFAE886AC180}"/>
    <cellStyle name="Normal 4 4 3 2 3 7" xfId="13912" xr:uid="{BB4D16E7-B394-45F0-AFD2-45F403903763}"/>
    <cellStyle name="Normal 4 4 3 2 4" xfId="3349" xr:uid="{00000000-0005-0000-0000-000035060000}"/>
    <cellStyle name="Normal 4 4 3 2 4 2" xfId="6407" xr:uid="{E1D61AF0-110C-4A7F-A9D6-B3B628E21F99}"/>
    <cellStyle name="Normal 4 4 3 2 4 2 2" xfId="28569" xr:uid="{E915782A-F4DA-4A59-9F00-74A4A8A56104}"/>
    <cellStyle name="Normal 4 4 3 2 4 2 3" xfId="15976" xr:uid="{7C31119E-A159-4E6B-8ADB-126245A31818}"/>
    <cellStyle name="Normal 4 4 3 2 4 3" xfId="8429" xr:uid="{8EE90E21-299B-47B2-A2F4-C7BFE3DD8AAD}"/>
    <cellStyle name="Normal 4 4 3 2 4 3 2" xfId="18809" xr:uid="{7AA1D0A5-007E-4050-9A9B-72623895D301}"/>
    <cellStyle name="Normal 4 4 3 2 4 4" xfId="11262" xr:uid="{94D5D4E3-3608-46BD-B574-85ECE77FAC8E}"/>
    <cellStyle name="Normal 4 4 3 2 4 4 2" xfId="21642" xr:uid="{3EDEE02D-59D4-47A9-9F5E-D57F2BAEF8D7}"/>
    <cellStyle name="Normal 4 4 3 2 4 5" xfId="24727" xr:uid="{D696B5D4-4C25-48F6-A7D7-B57F18260A53}"/>
    <cellStyle name="Normal 4 4 3 2 4 6" xfId="13910" xr:uid="{B03E9160-65CA-4ED8-8AEF-3BE7EC556657}"/>
    <cellStyle name="Normal 4 4 3 2 5" xfId="2534" xr:uid="{00000000-0005-0000-0000-000036060000}"/>
    <cellStyle name="Normal 4 4 3 2 5 2" xfId="5808" xr:uid="{D4BF47C8-FF73-444E-81E2-7F182E7B0AC6}"/>
    <cellStyle name="Normal 4 4 3 2 5 2 2" xfId="26997" xr:uid="{F6291A55-DD33-42BA-BA02-ED344CCDFB28}"/>
    <cellStyle name="Normal 4 4 3 2 5 2 3" xfId="15206" xr:uid="{79871B39-F309-4A30-AD38-F63F5787752B}"/>
    <cellStyle name="Normal 4 4 3 2 5 3" xfId="7659" xr:uid="{58CC0819-D813-425A-973A-3EEEAF1A1778}"/>
    <cellStyle name="Normal 4 4 3 2 5 3 2" xfId="18039" xr:uid="{6EA1ED6B-715D-48FC-A3CB-64B3312C0AA3}"/>
    <cellStyle name="Normal 4 4 3 2 5 4" xfId="10492" xr:uid="{81719869-DC8F-4F37-ABC0-DE4BF813ED34}"/>
    <cellStyle name="Normal 4 4 3 2 5 4 2" xfId="20872" xr:uid="{B8068C4B-6753-42D6-B3E8-27426EE0C0F6}"/>
    <cellStyle name="Normal 4 4 3 2 5 5" xfId="24541" xr:uid="{A318FF14-026E-45A3-A70F-1A2111E853AF}"/>
    <cellStyle name="Normal 4 4 3 2 5 6" xfId="12922" xr:uid="{09E791B4-3C1F-4420-BF75-EC5501BDD391}"/>
    <cellStyle name="Normal 4 4 3 2 6" xfId="2367" xr:uid="{00000000-0005-0000-0000-000031060000}"/>
    <cellStyle name="Normal 4 4 3 2 6 2" xfId="7494" xr:uid="{192012FC-A505-4340-98FE-A3126E95501E}"/>
    <cellStyle name="Normal 4 4 3 2 6 2 2" xfId="17874" xr:uid="{03111FB6-39A8-451B-96F2-72E8DD23A6B9}"/>
    <cellStyle name="Normal 4 4 3 2 6 3" xfId="10327" xr:uid="{904AECDB-464E-4755-BE19-8F70B5547D5C}"/>
    <cellStyle name="Normal 4 4 3 2 6 3 2" xfId="20707" xr:uid="{CFB0C1BB-A858-4141-8C35-EE59CCB35971}"/>
    <cellStyle name="Normal 4 4 3 2 6 4" xfId="25587" xr:uid="{432B12DE-9603-4960-A1BB-3A86AE412E29}"/>
    <cellStyle name="Normal 4 4 3 2 6 5" xfId="15041" xr:uid="{B0DAF18C-3B61-444C-889B-8081FD024C30}"/>
    <cellStyle name="Normal 4 4 3 2 7" xfId="3902" xr:uid="{6225CC75-CA53-4133-8BE5-2959BE0A2A54}"/>
    <cellStyle name="Normal 4 4 3 2 7 2" xfId="8734" xr:uid="{650C195F-1910-4E5D-9E1B-E17080A82A8C}"/>
    <cellStyle name="Normal 4 4 3 2 7 2 2" xfId="19114" xr:uid="{39532BFA-4E0E-4D98-8650-C1361F182236}"/>
    <cellStyle name="Normal 4 4 3 2 7 3" xfId="11567" xr:uid="{FE4574BF-3DA2-426C-8908-083B65F401C2}"/>
    <cellStyle name="Normal 4 4 3 2 7 3 2" xfId="21947" xr:uid="{3CE25913-3A01-4CB2-95CD-67E3AF59AB1A}"/>
    <cellStyle name="Normal 4 4 3 2 7 4" xfId="16281" xr:uid="{8394EDD0-2244-44D5-BD54-BA89D120D19C}"/>
    <cellStyle name="Normal 4 4 3 2 8" xfId="5295" xr:uid="{CC0C7A1D-A8E1-4FAD-A9D6-DBDD1C0D7E69}"/>
    <cellStyle name="Normal 4 4 3 2 8 2" xfId="14593" xr:uid="{A9B60DA8-CCEB-4E20-8F16-DFEB8FE5C967}"/>
    <cellStyle name="Normal 4 4 3 2 9" xfId="7046" xr:uid="{4B57BBD0-EBA8-4E97-B741-1C10AE2A913B}"/>
    <cellStyle name="Normal 4 4 3 2 9 2" xfId="17426" xr:uid="{6A3E1E8E-7DFE-4F85-8B1D-A88865591F12}"/>
    <cellStyle name="Normal 4 4 3 3" xfId="994" xr:uid="{00000000-0005-0000-0000-000094050000}"/>
    <cellStyle name="Normal 4 4 3 3 10" xfId="22808" xr:uid="{987EE5FF-8B79-4E53-A401-27689ED6ACC7}"/>
    <cellStyle name="Normal 4 4 3 3 11" xfId="12759" xr:uid="{5F98A08F-7AEE-4A90-BF5A-5E6C2B3C6D77}"/>
    <cellStyle name="Normal 4 4 3 3 2" xfId="2789" xr:uid="{00000000-0005-0000-0000-000038060000}"/>
    <cellStyle name="Normal 4 4 3 3 2 2" xfId="3353" xr:uid="{00000000-0005-0000-0000-000039060000}"/>
    <cellStyle name="Normal 4 4 3 3 2 2 2" xfId="6411" xr:uid="{F0D7B8CE-5989-4B44-A11D-6BE5EE023DAE}"/>
    <cellStyle name="Normal 4 4 3 3 2 2 2 2" xfId="26311" xr:uid="{20ECE3AB-95E1-4C72-8547-E6DAA8F39BBE}"/>
    <cellStyle name="Normal 4 4 3 3 2 2 2 3" xfId="15980" xr:uid="{8E92EA97-8D72-4EEE-A896-10989C13FA8E}"/>
    <cellStyle name="Normal 4 4 3 3 2 2 3" xfId="8433" xr:uid="{D7890BE3-5F25-4868-9459-F482288A4646}"/>
    <cellStyle name="Normal 4 4 3 3 2 2 3 2" xfId="18813" xr:uid="{266E21A7-4E13-495B-9688-0FE00F07C4C2}"/>
    <cellStyle name="Normal 4 4 3 3 2 2 4" xfId="11266" xr:uid="{6B8BCF1B-AAD3-4E3A-B2FC-149DEA071F0B}"/>
    <cellStyle name="Normal 4 4 3 3 2 2 4 2" xfId="21646" xr:uid="{CA266A13-83DD-4E1A-8451-05463928871A}"/>
    <cellStyle name="Normal 4 4 3 3 2 2 5" xfId="24323" xr:uid="{5C4AF685-1C8F-44AD-A0D2-86B37A4B3AE6}"/>
    <cellStyle name="Normal 4 4 3 3 2 2 6" xfId="13914" xr:uid="{CAC97086-7938-48DA-894B-B82DA6F61B8B}"/>
    <cellStyle name="Normal 4 4 3 3 2 3" xfId="4344" xr:uid="{9B92228C-3E74-489C-8801-556384B30F1A}"/>
    <cellStyle name="Normal 4 4 3 3 2 3 2" xfId="9116" xr:uid="{DDADC91D-FC06-4187-AE2E-AF80FDA92CF5}"/>
    <cellStyle name="Normal 4 4 3 3 2 3 2 2" xfId="29159" xr:uid="{89767C29-DD53-4656-9EB4-8C1FAE3C4C6D}"/>
    <cellStyle name="Normal 4 4 3 3 2 3 2 3" xfId="19496" xr:uid="{14738460-639F-4038-8F22-F3168F19F5A3}"/>
    <cellStyle name="Normal 4 4 3 3 2 3 3" xfId="11949" xr:uid="{C13D50FA-4882-4268-B2A3-32EA8066D09C}"/>
    <cellStyle name="Normal 4 4 3 3 2 3 3 2" xfId="22329" xr:uid="{276D7538-C8F0-4F78-ACF2-D991DFD3DB63}"/>
    <cellStyle name="Normal 4 4 3 3 2 3 4" xfId="25488" xr:uid="{87FF3322-4FC3-4053-A1F2-F8EFC4AAE8BF}"/>
    <cellStyle name="Normal 4 4 3 3 2 3 5" xfId="16663" xr:uid="{64F5A6FE-B27C-419C-8DAC-DD7DEEE8DD7E}"/>
    <cellStyle name="Normal 4 4 3 3 2 4" xfId="6007" xr:uid="{DC03F221-C779-438F-B08A-301AB2C51A32}"/>
    <cellStyle name="Normal 4 4 3 3 2 4 2" xfId="26753" xr:uid="{7E56A677-DD69-4423-A87C-C38E81CDF76C}"/>
    <cellStyle name="Normal 4 4 3 3 2 4 3" xfId="15460" xr:uid="{8CE8E04D-DABA-4F74-A4D7-17932519216B}"/>
    <cellStyle name="Normal 4 4 3 3 2 5" xfId="7913" xr:uid="{135AA85E-B505-4979-8CFE-8F669DFB904C}"/>
    <cellStyle name="Normal 4 4 3 3 2 5 2" xfId="18293" xr:uid="{9C6875CF-756F-4369-917A-1465F7590E8E}"/>
    <cellStyle name="Normal 4 4 3 3 2 6" xfId="10746" xr:uid="{81E31FC3-9B90-4324-A081-8B029DE02FBB}"/>
    <cellStyle name="Normal 4 4 3 3 2 6 2" xfId="21126" xr:uid="{BB59E8E2-2876-44B8-9E50-3A0D9FDF678F}"/>
    <cellStyle name="Normal 4 4 3 3 2 7" xfId="24539" xr:uid="{D0303B1B-2F01-471D-8F33-C7270CAF9253}"/>
    <cellStyle name="Normal 4 4 3 3 2 8" xfId="13248" xr:uid="{173229FF-8CBC-415F-9F70-A0EEEACE8ADD}"/>
    <cellStyle name="Normal 4 4 3 3 3" xfId="3354" xr:uid="{00000000-0005-0000-0000-00003A060000}"/>
    <cellStyle name="Normal 4 4 3 3 3 2" xfId="4536" xr:uid="{2AF32572-1D55-4043-826F-337A7D3BA8CE}"/>
    <cellStyle name="Normal 4 4 3 3 3 2 2" xfId="9308" xr:uid="{45D872CE-A08D-46C5-A3DD-CDA2BF6CAC57}"/>
    <cellStyle name="Normal 4 4 3 3 3 2 2 2" xfId="29285" xr:uid="{CE6FA758-4B8B-4C6D-806B-8AE678C81868}"/>
    <cellStyle name="Normal 4 4 3 3 3 2 2 3" xfId="19688" xr:uid="{44E12208-224C-4FDB-A214-4B6F69A1F655}"/>
    <cellStyle name="Normal 4 4 3 3 3 2 3" xfId="12141" xr:uid="{52809B32-C92D-4190-AB94-36EA9F3C327D}"/>
    <cellStyle name="Normal 4 4 3 3 3 2 3 2" xfId="22521" xr:uid="{45274F09-A6A6-4C4A-90F6-70E767FA7A66}"/>
    <cellStyle name="Normal 4 4 3 3 3 2 4" xfId="24208" xr:uid="{756062A5-B80E-49F4-AFE4-CD7C99C58703}"/>
    <cellStyle name="Normal 4 4 3 3 3 2 5" xfId="16855" xr:uid="{91FE53EC-E4A0-4C39-AE05-CD1981029634}"/>
    <cellStyle name="Normal 4 4 3 3 3 3" xfId="6412" xr:uid="{EA003898-62FC-4629-B6C3-D855DEF0542D}"/>
    <cellStyle name="Normal 4 4 3 3 3 3 2" xfId="27035" xr:uid="{EB7ADEE8-6F10-447A-9F5D-DBF7D9E7F011}"/>
    <cellStyle name="Normal 4 4 3 3 3 3 3" xfId="15981" xr:uid="{4F70E156-9B38-42D4-8E18-B4690DD41064}"/>
    <cellStyle name="Normal 4 4 3 3 3 4" xfId="8434" xr:uid="{28892803-79E2-452F-90CA-6BC77CF0B8F1}"/>
    <cellStyle name="Normal 4 4 3 3 3 4 2" xfId="18814" xr:uid="{F25BF1F6-DAE9-4182-B9D8-83B852976089}"/>
    <cellStyle name="Normal 4 4 3 3 3 5" xfId="11267" xr:uid="{A07FF229-102F-4CE4-B5BB-201F868E9851}"/>
    <cellStyle name="Normal 4 4 3 3 3 5 2" xfId="21647" xr:uid="{9572FE2A-D274-485D-A855-286B92CDED99}"/>
    <cellStyle name="Normal 4 4 3 3 3 6" xfId="24689" xr:uid="{6416F198-8AD4-4B3A-9F17-CEEADF7E3048}"/>
    <cellStyle name="Normal 4 4 3 3 3 7" xfId="13915" xr:uid="{7B4F3DE0-9FDC-4221-AD6B-EE360D26973C}"/>
    <cellStyle name="Normal 4 4 3 3 4" xfId="3352" xr:uid="{00000000-0005-0000-0000-00003B060000}"/>
    <cellStyle name="Normal 4 4 3 3 4 2" xfId="6410" xr:uid="{6A58AA44-063B-43CE-B4FE-985CDAE9F865}"/>
    <cellStyle name="Normal 4 4 3 3 4 2 2" xfId="27093" xr:uid="{01FB4A3D-7480-408E-ABA8-EF7662A5402B}"/>
    <cellStyle name="Normal 4 4 3 3 4 2 3" xfId="15979" xr:uid="{A73A6EF9-151F-4F93-AD08-B5DD39728763}"/>
    <cellStyle name="Normal 4 4 3 3 4 3" xfId="8432" xr:uid="{CF293C32-F919-4C58-AC3E-3E5AB26D8B3C}"/>
    <cellStyle name="Normal 4 4 3 3 4 3 2" xfId="18812" xr:uid="{477A468F-C2D5-4456-890A-FF41B7654703}"/>
    <cellStyle name="Normal 4 4 3 3 4 4" xfId="11265" xr:uid="{A039E16B-631D-427E-895C-CBABD9D4E697}"/>
    <cellStyle name="Normal 4 4 3 3 4 4 2" xfId="21645" xr:uid="{47BDA3F0-6F5E-462A-BC6D-126B47833054}"/>
    <cellStyle name="Normal 4 4 3 3 4 5" xfId="24364" xr:uid="{9538830B-933E-45F1-BC65-9663407F486D}"/>
    <cellStyle name="Normal 4 4 3 3 4 6" xfId="13913" xr:uid="{93F374F6-97EE-4EBD-99B3-147461753B05}"/>
    <cellStyle name="Normal 4 4 3 3 5" xfId="2636" xr:uid="{00000000-0005-0000-0000-00003C060000}"/>
    <cellStyle name="Normal 4 4 3 3 5 2" xfId="5898" xr:uid="{63CA9AAF-F898-4537-8DBE-380FD52EA124}"/>
    <cellStyle name="Normal 4 4 3 3 5 2 2" xfId="25898" xr:uid="{5187551B-F931-4F3F-9206-E053730CE909}"/>
    <cellStyle name="Normal 4 4 3 3 5 2 3" xfId="15308" xr:uid="{961BEBA4-5A1C-4407-BA52-D43019A5E04F}"/>
    <cellStyle name="Normal 4 4 3 3 5 3" xfId="7761" xr:uid="{C6EFDBEE-700F-410E-BB09-BCD1CE215D15}"/>
    <cellStyle name="Normal 4 4 3 3 5 3 2" xfId="18141" xr:uid="{552287C7-C581-4E88-BBC5-A50C28782E2B}"/>
    <cellStyle name="Normal 4 4 3 3 5 4" xfId="10594" xr:uid="{DAA8BED5-C170-49E3-AC82-37DBA6B62B26}"/>
    <cellStyle name="Normal 4 4 3 3 5 4 2" xfId="20974" xr:uid="{7E5C18AC-3CCD-4195-B99A-712E5F5B6083}"/>
    <cellStyle name="Normal 4 4 3 3 5 5" xfId="22811" xr:uid="{7D0DEE30-7119-4E67-838F-7CD9460FC46C}"/>
    <cellStyle name="Normal 4 4 3 3 5 6" xfId="13025" xr:uid="{24990CB0-AC00-47D7-8D6B-73BD6DB6B8DC}"/>
    <cellStyle name="Normal 4 4 3 3 6" xfId="4195" xr:uid="{F8050C67-3479-48F0-B876-AD9FA46BA241}"/>
    <cellStyle name="Normal 4 4 3 3 6 2" xfId="8967" xr:uid="{93D58050-9847-47E1-A557-62177E9B5932}"/>
    <cellStyle name="Normal 4 4 3 3 6 2 2" xfId="19347" xr:uid="{98EFF169-CDEC-4076-B940-C5FA2B85906C}"/>
    <cellStyle name="Normal 4 4 3 3 6 3" xfId="11800" xr:uid="{F09FD3D1-DFD5-4556-90D5-D910BA727AD6}"/>
    <cellStyle name="Normal 4 4 3 3 6 3 2" xfId="22180" xr:uid="{E36F1620-3757-4F53-B69F-A9FF7618A73E}"/>
    <cellStyle name="Normal 4 4 3 3 6 4" xfId="24371" xr:uid="{8EE0D10C-BDC4-4D48-970D-E5DE062DDB5A}"/>
    <cellStyle name="Normal 4 4 3 3 6 5" xfId="16514" xr:uid="{72836CC3-ABF1-40C5-A4D5-2351DEC11668}"/>
    <cellStyle name="Normal 4 4 3 3 7" xfId="5297" xr:uid="{5803F386-E0DE-4418-9726-4CE82A63EF34}"/>
    <cellStyle name="Normal 4 4 3 3 7 2" xfId="14595" xr:uid="{74767BF4-0B8F-4645-BCD0-84EFEFF6D25E}"/>
    <cellStyle name="Normal 4 4 3 3 8" xfId="7048" xr:uid="{013B7FAA-C254-48DA-BE9F-BA80F3E2D199}"/>
    <cellStyle name="Normal 4 4 3 3 8 2" xfId="17428" xr:uid="{CC2020D9-9169-4658-A4C8-416E8A9C78A1}"/>
    <cellStyle name="Normal 4 4 3 3 9" xfId="9881" xr:uid="{EAFE72B4-CD0F-40A2-97A0-4393DEC9A480}"/>
    <cellStyle name="Normal 4 4 3 3 9 2" xfId="20261" xr:uid="{7041593E-E7E2-47B3-9CA6-05347C57A4CB}"/>
    <cellStyle name="Normal 4 4 3 4" xfId="995" xr:uid="{00000000-0005-0000-0000-000095050000}"/>
    <cellStyle name="Normal 4 4 3 4 2" xfId="3355" xr:uid="{00000000-0005-0000-0000-00003E060000}"/>
    <cellStyle name="Normal 4 4 3 4 2 2" xfId="6413" xr:uid="{7251E840-34B1-4638-AC6A-DA67EA434AB4}"/>
    <cellStyle name="Normal 4 4 3 4 2 2 2" xfId="26060" xr:uid="{627FC662-B7FB-4583-9C2B-9F337F31DCAE}"/>
    <cellStyle name="Normal 4 4 3 4 2 2 3" xfId="15982" xr:uid="{AE59D1FA-1A30-4209-96F1-FC197317C669}"/>
    <cellStyle name="Normal 4 4 3 4 2 3" xfId="8435" xr:uid="{5FF22C8E-A8CA-4C6B-B4FA-1490ED4E47C3}"/>
    <cellStyle name="Normal 4 4 3 4 2 3 2" xfId="18815" xr:uid="{0686A48E-2A88-4628-8EFC-A49CE885F430}"/>
    <cellStyle name="Normal 4 4 3 4 2 4" xfId="11268" xr:uid="{167CC1D2-CD4C-4712-A33D-4E588DE42570}"/>
    <cellStyle name="Normal 4 4 3 4 2 4 2" xfId="21648" xr:uid="{0F4F9595-CB11-459A-9B40-40764B12B937}"/>
    <cellStyle name="Normal 4 4 3 4 2 5" xfId="23485" xr:uid="{B004CFA2-89DD-4179-9F8C-5BDF9FA7BDC5}"/>
    <cellStyle name="Normal 4 4 3 4 2 6" xfId="13916" xr:uid="{944A871A-516B-42FA-94EF-A5BB54FDED7E}"/>
    <cellStyle name="Normal 4 4 3 4 3" xfId="4342" xr:uid="{7D4F83D3-ACB9-40A9-BBF0-BFDC42BC3647}"/>
    <cellStyle name="Normal 4 4 3 4 3 2" xfId="9114" xr:uid="{8B672895-02F4-46D7-BB07-6191B75ECEC7}"/>
    <cellStyle name="Normal 4 4 3 4 3 2 2" xfId="29157" xr:uid="{A8188E99-EE5E-42EB-9D07-DBEA1FB140BD}"/>
    <cellStyle name="Normal 4 4 3 4 3 2 3" xfId="19494" xr:uid="{9E0D9D45-A637-47A1-9D94-DEA945466858}"/>
    <cellStyle name="Normal 4 4 3 4 3 3" xfId="11947" xr:uid="{C37B62D0-5209-4909-91FD-D300A2FB3891}"/>
    <cellStyle name="Normal 4 4 3 4 3 3 2" xfId="22327" xr:uid="{B968BC1A-6B8E-47ED-8584-A864CEFD6B6E}"/>
    <cellStyle name="Normal 4 4 3 4 3 4" xfId="23224" xr:uid="{E16F06DC-0EB0-4FC7-9607-F13D9592841D}"/>
    <cellStyle name="Normal 4 4 3 4 3 5" xfId="16661" xr:uid="{44126946-98A6-4740-950A-C7DA3BB4B45B}"/>
    <cellStyle name="Normal 4 4 3 4 4" xfId="5298" xr:uid="{B0EF2E6D-81B5-48F8-B5FD-D81DFC1CB626}"/>
    <cellStyle name="Normal 4 4 3 4 4 2" xfId="28043" xr:uid="{6482ACAE-82B8-439A-9FFC-FDEEFD39B253}"/>
    <cellStyle name="Normal 4 4 3 4 4 3" xfId="14596" xr:uid="{05C94D4E-4FFF-4497-9FCE-11AB953A9D8B}"/>
    <cellStyle name="Normal 4 4 3 4 5" xfId="7049" xr:uid="{169A6ED1-AF28-4045-B936-96D7BAF9625C}"/>
    <cellStyle name="Normal 4 4 3 4 5 2" xfId="17429" xr:uid="{55477A33-839D-48A0-B2A9-85A0FB0C2238}"/>
    <cellStyle name="Normal 4 4 3 4 6" xfId="9882" xr:uid="{196C6DFC-AC44-49BA-89EA-E03915D11B78}"/>
    <cellStyle name="Normal 4 4 3 4 6 2" xfId="20262" xr:uid="{5DFA6B1E-FEC9-426B-83FA-6CDD2B651B13}"/>
    <cellStyle name="Normal 4 4 3 4 7" xfId="24157" xr:uid="{679951C8-21CD-4A49-8DEB-8C20A8418E6C}"/>
    <cellStyle name="Normal 4 4 3 4 8" xfId="13246" xr:uid="{BFC39E2A-444A-4AC8-87C8-4CEB439C1644}"/>
    <cellStyle name="Normal 4 4 3 5" xfId="3356" xr:uid="{00000000-0005-0000-0000-00003F060000}"/>
    <cellStyle name="Normal 4 4 3 5 2" xfId="4537" xr:uid="{8A1DAF0E-EF1C-4E08-A67F-6C06BB375A4D}"/>
    <cellStyle name="Normal 4 4 3 5 2 2" xfId="9309" xr:uid="{CAD5FF71-949E-40AB-9FA0-088DF4BD839F}"/>
    <cellStyle name="Normal 4 4 3 5 2 2 2" xfId="29286" xr:uid="{04BB506C-2A71-4BFD-9845-6C9AA9AF36AB}"/>
    <cellStyle name="Normal 4 4 3 5 2 2 3" xfId="19689" xr:uid="{1F201D51-087C-4219-9FA9-38A39C07136D}"/>
    <cellStyle name="Normal 4 4 3 5 2 3" xfId="12142" xr:uid="{99908F6F-0D6F-4271-9A75-E206ECA258FF}"/>
    <cellStyle name="Normal 4 4 3 5 2 3 2" xfId="22522" xr:uid="{CB2EB327-0AD0-446F-9664-EBA463D847E2}"/>
    <cellStyle name="Normal 4 4 3 5 2 4" xfId="25266" xr:uid="{59F5CA62-8120-4F2C-82A0-5045539D4C2C}"/>
    <cellStyle name="Normal 4 4 3 5 2 5" xfId="16856" xr:uid="{A7B407D5-A51A-41A0-9711-DBE7947E463E}"/>
    <cellStyle name="Normal 4 4 3 5 3" xfId="6414" xr:uid="{CB4A76D2-9AF0-432D-8C48-8A7BB9C8B18C}"/>
    <cellStyle name="Normal 4 4 3 5 3 2" xfId="27157" xr:uid="{0269E9CC-6336-44C0-9176-1025DBB3DCDF}"/>
    <cellStyle name="Normal 4 4 3 5 3 3" xfId="15983" xr:uid="{93FFE143-70C4-48D4-B0A9-0885E9789A11}"/>
    <cellStyle name="Normal 4 4 3 5 4" xfId="8436" xr:uid="{C59EB907-09EE-4AF8-9019-C46D350EC7AB}"/>
    <cellStyle name="Normal 4 4 3 5 4 2" xfId="18816" xr:uid="{6EC7306D-7F0A-4B8B-A8F4-A2A7C560959F}"/>
    <cellStyle name="Normal 4 4 3 5 5" xfId="11269" xr:uid="{BD58CF5E-C3B1-4856-902E-79D56DF7931B}"/>
    <cellStyle name="Normal 4 4 3 5 5 2" xfId="21649" xr:uid="{CE9BBF40-A647-4A2F-8447-89D4B662BB27}"/>
    <cellStyle name="Normal 4 4 3 5 6" xfId="23883" xr:uid="{A113E34D-D55D-4C94-B3BC-F05EF30CC8D4}"/>
    <cellStyle name="Normal 4 4 3 5 7" xfId="13917" xr:uid="{22523A95-0F8B-4172-A2CD-B835B020C780}"/>
    <cellStyle name="Normal 4 4 3 6" xfId="2938" xr:uid="{00000000-0005-0000-0000-000040060000}"/>
    <cellStyle name="Normal 4 4 3 6 2" xfId="6118" xr:uid="{DAC4F8C5-D0B8-4672-83B5-E618AEE1E164}"/>
    <cellStyle name="Normal 4 4 3 6 2 2" xfId="26027" xr:uid="{43F22F43-3278-459A-86F1-BF6E3EF45ED3}"/>
    <cellStyle name="Normal 4 4 3 6 2 3" xfId="15596" xr:uid="{4A0DFF66-2F17-4F1E-85EE-1F4F98DB0015}"/>
    <cellStyle name="Normal 4 4 3 6 3" xfId="8049" xr:uid="{94716FC5-8F13-4058-8889-0545E749DA1E}"/>
    <cellStyle name="Normal 4 4 3 6 3 2" xfId="18429" xr:uid="{F8B88A64-3EF7-435B-A3AD-B277C67767EB}"/>
    <cellStyle name="Normal 4 4 3 6 4" xfId="10882" xr:uid="{C89B3736-DD14-48BD-9BEE-2E04D4FFF3F3}"/>
    <cellStyle name="Normal 4 4 3 6 4 2" xfId="21262" xr:uid="{DB4FBF38-5967-4781-80B6-28D8D153C6A8}"/>
    <cellStyle name="Normal 4 4 3 6 5" xfId="25211" xr:uid="{8363F849-2C9F-40E3-ADF2-CEAC733F65BD}"/>
    <cellStyle name="Normal 4 4 3 6 6" xfId="13457" xr:uid="{B2CBB650-F62F-4F3D-9ED1-D997039E7260}"/>
    <cellStyle name="Normal 4 4 3 7" xfId="2474" xr:uid="{00000000-0005-0000-0000-000041060000}"/>
    <cellStyle name="Normal 4 4 3 7 2" xfId="5762" xr:uid="{04F4AD66-B574-4C00-A1F1-8D40955AE931}"/>
    <cellStyle name="Normal 4 4 3 7 2 2" xfId="27725" xr:uid="{05E38D40-B47F-4473-95C7-E575DD5E21BF}"/>
    <cellStyle name="Normal 4 4 3 7 2 3" xfId="15146" xr:uid="{E55ACBE3-7A92-459B-BB2E-4901B83E95AC}"/>
    <cellStyle name="Normal 4 4 3 7 3" xfId="7599" xr:uid="{C573B88B-0CEC-432B-9DC8-08DC4E6E5C0A}"/>
    <cellStyle name="Normal 4 4 3 7 3 2" xfId="17979" xr:uid="{2302D6E8-5E33-4D96-A441-5E5C58D74428}"/>
    <cellStyle name="Normal 4 4 3 7 4" xfId="10432" xr:uid="{221AB999-3A8B-4ACE-BD55-0D81C441226A}"/>
    <cellStyle name="Normal 4 4 3 7 4 2" xfId="20812" xr:uid="{5D18B6B0-C345-43D1-ACE3-D4A698FC58C5}"/>
    <cellStyle name="Normal 4 4 3 7 5" xfId="25516" xr:uid="{5D7CF3EF-018B-418A-9426-0D93F1C34BEF}"/>
    <cellStyle name="Normal 4 4 3 7 6" xfId="12862" xr:uid="{95CACAF6-1DCB-4CE2-8C6F-C5861D75F36F}"/>
    <cellStyle name="Normal 4 4 3 8" xfId="2228" xr:uid="{00000000-0005-0000-0000-000030060000}"/>
    <cellStyle name="Normal 4 4 3 8 2" xfId="7355" xr:uid="{6A905C87-9A3B-4A07-AB8A-4890593BF642}"/>
    <cellStyle name="Normal 4 4 3 8 2 2" xfId="17735" xr:uid="{543C0C35-BFED-4A8C-A94F-D63E5B9AE1FA}"/>
    <cellStyle name="Normal 4 4 3 8 3" xfId="10188" xr:uid="{7C8E4474-2D02-499F-823F-221C6F1866F6}"/>
    <cellStyle name="Normal 4 4 3 8 3 2" xfId="20568" xr:uid="{4F0ADA6F-04D7-4078-B371-BEF3B5039476}"/>
    <cellStyle name="Normal 4 4 3 8 4" xfId="25376" xr:uid="{5C1437F5-D43E-4C9A-B2CD-ED81A8DDE73B}"/>
    <cellStyle name="Normal 4 4 3 8 5" xfId="14902" xr:uid="{78FD2DB4-8E45-4A7F-8A47-5460CDF24FEC}"/>
    <cellStyle name="Normal 4 4 3 9" xfId="3988" xr:uid="{E3EF4A25-2BD2-4977-A5C2-BF07C1113585}"/>
    <cellStyle name="Normal 4 4 3 9 2" xfId="8812" xr:uid="{E3390F32-FEB1-4383-9E9C-3691EC5FFFA9}"/>
    <cellStyle name="Normal 4 4 3 9 2 2" xfId="19192" xr:uid="{9CAA230E-3855-44C1-A67D-E17285B6D908}"/>
    <cellStyle name="Normal 4 4 3 9 3" xfId="11645" xr:uid="{3F163151-6B58-42FF-9191-F2DC3A72ECB1}"/>
    <cellStyle name="Normal 4 4 3 9 3 2" xfId="22025" xr:uid="{800E4C39-AC10-43D6-B521-0C64FFA290AB}"/>
    <cellStyle name="Normal 4 4 3 9 4" xfId="16359" xr:uid="{DCC940C9-7269-4FEE-9495-8A70DA8BD9C5}"/>
    <cellStyle name="Normal 4 4 4" xfId="996" xr:uid="{00000000-0005-0000-0000-000096050000}"/>
    <cellStyle name="Normal 4 4 4 10" xfId="7050" xr:uid="{C7EDBE78-CBBC-4E77-85E1-B0EA1E404434}"/>
    <cellStyle name="Normal 4 4 4 10 2" xfId="17430" xr:uid="{C4658174-9C40-49D0-932A-153629210D9C}"/>
    <cellStyle name="Normal 4 4 4 11" xfId="9883" xr:uid="{0D7AAE92-58E4-4069-BAAD-BB4CDE465704}"/>
    <cellStyle name="Normal 4 4 4 11 2" xfId="20263" xr:uid="{FE144F4F-1237-49AD-979F-2F30ED9D0743}"/>
    <cellStyle name="Normal 4 4 4 12" xfId="24624" xr:uid="{D6B99D32-8AA4-4D90-8DBD-F965311751D9}"/>
    <cellStyle name="Normal 4 4 4 13" xfId="12440" xr:uid="{FDD600BA-CCB6-4777-8D78-6A0CFC90510C}"/>
    <cellStyle name="Normal 4 4 4 2" xfId="997" xr:uid="{00000000-0005-0000-0000-000097050000}"/>
    <cellStyle name="Normal 4 4 4 2 10" xfId="9884" xr:uid="{C2544300-9B7C-4D63-A209-433FAFF2B1BB}"/>
    <cellStyle name="Normal 4 4 4 2 10 2" xfId="20264" xr:uid="{454D89D9-088E-4D7B-A9A4-004194F8E69A}"/>
    <cellStyle name="Normal 4 4 4 2 11" xfId="25244" xr:uid="{755DBE33-9620-456B-8558-6BA420681A39}"/>
    <cellStyle name="Normal 4 4 4 2 12" xfId="12602" xr:uid="{317D7DEB-5229-49CD-A413-E09E43704806}"/>
    <cellStyle name="Normal 4 4 4 2 2" xfId="998" xr:uid="{00000000-0005-0000-0000-000098050000}"/>
    <cellStyle name="Normal 4 4 4 2 2 2" xfId="3358" xr:uid="{00000000-0005-0000-0000-000045060000}"/>
    <cellStyle name="Normal 4 4 4 2 2 2 2" xfId="6416" xr:uid="{03875090-6E5F-44DD-833A-6C80608078B2}"/>
    <cellStyle name="Normal 4 4 4 2 2 2 2 2" xfId="27415" xr:uid="{2A107DA5-8E44-4520-B9A3-0C79CB3B4BE1}"/>
    <cellStyle name="Normal 4 4 4 2 2 2 2 3" xfId="28108" xr:uid="{766FF5AA-D9D0-4267-A2D6-2B413820192A}"/>
    <cellStyle name="Normal 4 4 4 2 2 2 2 4" xfId="15985" xr:uid="{3EDEC9DC-1BAD-43F4-95DB-A66C7D3F005A}"/>
    <cellStyle name="Normal 4 4 4 2 2 2 3" xfId="8438" xr:uid="{81DEBED4-72AF-42F8-A26D-222CBED8B206}"/>
    <cellStyle name="Normal 4 4 4 2 2 2 3 2" xfId="28913" xr:uid="{59046FA9-E20D-42FC-8A8F-E4227D0ADEC5}"/>
    <cellStyle name="Normal 4 4 4 2 2 2 3 3" xfId="18818" xr:uid="{327CDD8B-9457-4377-A186-8ED1745D4513}"/>
    <cellStyle name="Normal 4 4 4 2 2 2 4" xfId="11271" xr:uid="{51CFC370-F3A0-464B-98B4-EBB03C9F9D6C}"/>
    <cellStyle name="Normal 4 4 4 2 2 2 4 2" xfId="21651" xr:uid="{FCEE6F84-EA65-4CF2-B6F6-CDBB8409B79D}"/>
    <cellStyle name="Normal 4 4 4 2 2 2 5" xfId="23970" xr:uid="{6579C9DC-357E-4683-808E-C8719EB303A7}"/>
    <cellStyle name="Normal 4 4 4 2 2 2 6" xfId="13919" xr:uid="{04038268-992C-4F4A-A232-EF235BA526B4}"/>
    <cellStyle name="Normal 4 4 4 2 2 3" xfId="4345" xr:uid="{0B3F94E3-2FFB-4B2E-B348-19C8D38C1109}"/>
    <cellStyle name="Normal 4 4 4 2 2 3 2" xfId="9117" xr:uid="{C51B5BA3-1795-46B3-93DC-6466DFA19D6F}"/>
    <cellStyle name="Normal 4 4 4 2 2 3 2 2" xfId="29160" xr:uid="{0BA37C82-7F31-4B7E-95E8-2EEA5A3621B4}"/>
    <cellStyle name="Normal 4 4 4 2 2 3 2 3" xfId="19497" xr:uid="{2B7C2475-5837-421D-B8D8-C0AD4F400F54}"/>
    <cellStyle name="Normal 4 4 4 2 2 3 3" xfId="11950" xr:uid="{5EF607E3-F114-438E-A977-013EA6F4F8B6}"/>
    <cellStyle name="Normal 4 4 4 2 2 3 3 2" xfId="22330" xr:uid="{DE1E38F4-A7EB-4AAD-AA00-235D4C03562C}"/>
    <cellStyle name="Normal 4 4 4 2 2 3 4" xfId="23005" xr:uid="{3EB73B3C-11A5-4348-8660-1BFC5438E94E}"/>
    <cellStyle name="Normal 4 4 4 2 2 3 5" xfId="16664" xr:uid="{3AB601D0-759A-4D76-A956-E79F8EEBE6AD}"/>
    <cellStyle name="Normal 4 4 4 2 2 4" xfId="5301" xr:uid="{B6F40529-B4B1-4694-A218-89E1C16032D1}"/>
    <cellStyle name="Normal 4 4 4 2 2 4 2" xfId="26237" xr:uid="{28A02B0F-598D-41B6-8F44-B963E986971B}"/>
    <cellStyle name="Normal 4 4 4 2 2 4 3" xfId="14599" xr:uid="{003158B8-DD79-470F-9493-4A5824D92015}"/>
    <cellStyle name="Normal 4 4 4 2 2 5" xfId="7052" xr:uid="{813813DB-D9EA-4254-98F7-FF76AA85D24F}"/>
    <cellStyle name="Normal 4 4 4 2 2 5 2" xfId="17432" xr:uid="{4E2E89F7-34E3-43A6-A6DB-9EC0660C511E}"/>
    <cellStyle name="Normal 4 4 4 2 2 6" xfId="9885" xr:uid="{D37245F8-80AD-4059-8292-4C422DCA8EF6}"/>
    <cellStyle name="Normal 4 4 4 2 2 6 2" xfId="20265" xr:uid="{DF08AAFB-E7E5-497E-9BC1-7D22BF52ED72}"/>
    <cellStyle name="Normal 4 4 4 2 2 7" xfId="22692" xr:uid="{698C1711-3145-47CF-B9B8-41766CD035E6}"/>
    <cellStyle name="Normal 4 4 4 2 2 8" xfId="13250" xr:uid="{F7631C25-4395-4C75-9604-187F6D7A00F4}"/>
    <cellStyle name="Normal 4 4 4 2 3" xfId="3359" xr:uid="{00000000-0005-0000-0000-000046060000}"/>
    <cellStyle name="Normal 4 4 4 2 3 2" xfId="4538" xr:uid="{6C592024-E6C0-4BA9-A6C4-3A387FCA3D0F}"/>
    <cellStyle name="Normal 4 4 4 2 3 2 2" xfId="9310" xr:uid="{C6C96E63-FAE4-4FA8-8BCE-9E3954748629}"/>
    <cellStyle name="Normal 4 4 4 2 3 2 2 2" xfId="29287" xr:uid="{722FD663-4CC9-481F-9761-D61B64D26F4F}"/>
    <cellStyle name="Normal 4 4 4 2 3 2 2 3" xfId="19690" xr:uid="{A797533B-0B78-43A6-BB75-FE0103340D18}"/>
    <cellStyle name="Normal 4 4 4 2 3 2 3" xfId="12143" xr:uid="{83EF80AA-773B-4C80-AD96-03CE0E217BA2}"/>
    <cellStyle name="Normal 4 4 4 2 3 2 3 2" xfId="22523" xr:uid="{843DC306-8A7A-44D2-B7D0-6F75C703E697}"/>
    <cellStyle name="Normal 4 4 4 2 3 2 4" xfId="25029" xr:uid="{E337B512-1A3F-4BE0-A402-BE5A32D9B531}"/>
    <cellStyle name="Normal 4 4 4 2 3 2 5" xfId="16857" xr:uid="{F0C4DF11-AE9A-4EA8-AA94-AE2F06721B06}"/>
    <cellStyle name="Normal 4 4 4 2 3 3" xfId="6417" xr:uid="{6AA0058B-163A-43B1-BF97-8F9AB6566545}"/>
    <cellStyle name="Normal 4 4 4 2 3 3 2" xfId="28460" xr:uid="{8BCAE36E-3244-4F56-A696-61B2998E5499}"/>
    <cellStyle name="Normal 4 4 4 2 3 3 3" xfId="15986" xr:uid="{6AC2A3E9-7F45-4EF9-8304-D1EB3F06F742}"/>
    <cellStyle name="Normal 4 4 4 2 3 4" xfId="8439" xr:uid="{05322411-0D9D-457F-8699-F75A702D7B11}"/>
    <cellStyle name="Normal 4 4 4 2 3 4 2" xfId="18819" xr:uid="{297C8E3D-ADA5-4FF7-BE81-5DCE5B75A70E}"/>
    <cellStyle name="Normal 4 4 4 2 3 5" xfId="11272" xr:uid="{9446F13C-0682-450A-8B07-2F76361B7A4E}"/>
    <cellStyle name="Normal 4 4 4 2 3 5 2" xfId="21652" xr:uid="{B7020106-92DF-4608-AEC6-11E2C53A6FD3}"/>
    <cellStyle name="Normal 4 4 4 2 3 6" xfId="23114" xr:uid="{F6400042-C5B9-4CD0-BBAD-F179BC62A198}"/>
    <cellStyle name="Normal 4 4 4 2 3 7" xfId="13920" xr:uid="{7A6FAA70-C76F-4F6E-848A-AA747600E6E3}"/>
    <cellStyle name="Normal 4 4 4 2 4" xfId="3357" xr:uid="{00000000-0005-0000-0000-000047060000}"/>
    <cellStyle name="Normal 4 4 4 2 4 2" xfId="6415" xr:uid="{23355853-80A7-4A78-A41B-E45AA896A13D}"/>
    <cellStyle name="Normal 4 4 4 2 4 2 2" xfId="28113" xr:uid="{F127CEAD-9991-4F39-B678-176E526676D4}"/>
    <cellStyle name="Normal 4 4 4 2 4 2 3" xfId="15984" xr:uid="{FAF76BCB-D658-4156-9F72-9A8697882695}"/>
    <cellStyle name="Normal 4 4 4 2 4 3" xfId="8437" xr:uid="{7B236C5C-734C-4965-B2CE-BDBF780D9809}"/>
    <cellStyle name="Normal 4 4 4 2 4 3 2" xfId="18817" xr:uid="{D95EB734-FD68-4B4B-B266-2EC15198E1D9}"/>
    <cellStyle name="Normal 4 4 4 2 4 4" xfId="11270" xr:uid="{30724C10-8100-409A-B817-4823F50D671E}"/>
    <cellStyle name="Normal 4 4 4 2 4 4 2" xfId="21650" xr:uid="{B65EB3B9-7E98-40E8-BC01-369943033362}"/>
    <cellStyle name="Normal 4 4 4 2 4 5" xfId="23004" xr:uid="{FEA1E906-64FF-477F-9484-405B5D1B794A}"/>
    <cellStyle name="Normal 4 4 4 2 4 6" xfId="13918" xr:uid="{9482425E-F774-44A7-B2ED-6B6EE1893FB1}"/>
    <cellStyle name="Normal 4 4 4 2 5" xfId="2617" xr:uid="{00000000-0005-0000-0000-000048060000}"/>
    <cellStyle name="Normal 4 4 4 2 5 2" xfId="5879" xr:uid="{33825492-25B5-435A-917F-DF36DD52F69F}"/>
    <cellStyle name="Normal 4 4 4 2 5 2 2" xfId="28647" xr:uid="{12A95FD4-41F3-4CB7-932A-F8854F50C05D}"/>
    <cellStyle name="Normal 4 4 4 2 5 2 3" xfId="15289" xr:uid="{AFC81E78-B694-4FF6-B936-15FE27118288}"/>
    <cellStyle name="Normal 4 4 4 2 5 3" xfId="7742" xr:uid="{35232396-C4CC-4A08-9C67-964A44A0B0F5}"/>
    <cellStyle name="Normal 4 4 4 2 5 3 2" xfId="18122" xr:uid="{B6CE81D5-60BE-4F7A-9E73-E26308BEA637}"/>
    <cellStyle name="Normal 4 4 4 2 5 4" xfId="10575" xr:uid="{1B794C2B-1150-434B-85D5-01106D15398A}"/>
    <cellStyle name="Normal 4 4 4 2 5 4 2" xfId="20955" xr:uid="{A478C077-071A-46C1-9A5D-904B27385D3D}"/>
    <cellStyle name="Normal 4 4 4 2 5 5" xfId="23193" xr:uid="{8BEBB367-103D-4B1A-8995-B086E2583F9D}"/>
    <cellStyle name="Normal 4 4 4 2 5 6" xfId="13005" xr:uid="{A60375D1-5A3A-4503-B222-2600E2ADFD57}"/>
    <cellStyle name="Normal 4 4 4 2 6" xfId="2368" xr:uid="{00000000-0005-0000-0000-000043060000}"/>
    <cellStyle name="Normal 4 4 4 2 6 2" xfId="7495" xr:uid="{8808D859-AFD6-4F47-BF56-55B490B67563}"/>
    <cellStyle name="Normal 4 4 4 2 6 2 2" xfId="17875" xr:uid="{EFD93F5E-27EE-4326-B314-D61FA627E15F}"/>
    <cellStyle name="Normal 4 4 4 2 6 3" xfId="10328" xr:uid="{59ADA348-4017-4F47-AF30-6D76FA1F83F0}"/>
    <cellStyle name="Normal 4 4 4 2 6 3 2" xfId="20708" xr:uid="{F5854A93-6CCD-4D0A-9D7E-F813AC8B912E}"/>
    <cellStyle name="Normal 4 4 4 2 6 4" xfId="24317" xr:uid="{2C2BA283-8368-40A7-A7D6-1DF17894BA38}"/>
    <cellStyle name="Normal 4 4 4 2 6 5" xfId="15042" xr:uid="{FF33693C-B094-4380-95E9-3BEBAB21CEB7}"/>
    <cellStyle name="Normal 4 4 4 2 7" xfId="3903" xr:uid="{3CF4A500-B3E0-4AE2-981C-1CFFF06BCB70}"/>
    <cellStyle name="Normal 4 4 4 2 7 2" xfId="8735" xr:uid="{84D55116-D32B-4F3F-A3B2-025EAF3A323B}"/>
    <cellStyle name="Normal 4 4 4 2 7 2 2" xfId="19115" xr:uid="{CF8D7CE0-0912-4DBC-8FF5-7FFB36BF357D}"/>
    <cellStyle name="Normal 4 4 4 2 7 3" xfId="11568" xr:uid="{8AACB377-32CA-47EB-BE8A-762FBFB8EA64}"/>
    <cellStyle name="Normal 4 4 4 2 7 3 2" xfId="21948" xr:uid="{9075AC60-42C0-4533-B8A0-D752A7D07D1D}"/>
    <cellStyle name="Normal 4 4 4 2 7 4" xfId="16282" xr:uid="{95389B44-4309-4BC8-8D3C-A340EBF746B7}"/>
    <cellStyle name="Normal 4 4 4 2 8" xfId="5300" xr:uid="{1341A64F-6777-4FF1-9766-E908731CD750}"/>
    <cellStyle name="Normal 4 4 4 2 8 2" xfId="14598" xr:uid="{3D161FB4-19CB-4C08-B57D-D32DCEE28B32}"/>
    <cellStyle name="Normal 4 4 4 2 9" xfId="7051" xr:uid="{0093FB22-402C-4E22-BBED-493F2DDF5C82}"/>
    <cellStyle name="Normal 4 4 4 2 9 2" xfId="17431" xr:uid="{A0BC1E9E-0F8E-459B-AA01-3A63550230D3}"/>
    <cellStyle name="Normal 4 4 4 3" xfId="999" xr:uid="{00000000-0005-0000-0000-000099050000}"/>
    <cellStyle name="Normal 4 4 4 3 2" xfId="3360" xr:uid="{00000000-0005-0000-0000-00004A060000}"/>
    <cellStyle name="Normal 4 4 4 3 2 2" xfId="6418" xr:uid="{EF36B197-7777-4FDF-AEA2-8F5B89E9B752}"/>
    <cellStyle name="Normal 4 4 4 3 2 2 2" xfId="24358" xr:uid="{3070BF9F-455E-4C20-BB12-28F81AE11C96}"/>
    <cellStyle name="Normal 4 4 4 3 2 2 3" xfId="27506" xr:uid="{FDAED2D3-C308-4D07-8CB8-832ABFE1FFAA}"/>
    <cellStyle name="Normal 4 4 4 3 2 2 4" xfId="15987" xr:uid="{18C9191D-C427-4466-9D49-FA8BB378B91F}"/>
    <cellStyle name="Normal 4 4 4 3 2 3" xfId="8440" xr:uid="{9A5E3006-8ED1-4BA3-B888-ACF2AFE02C90}"/>
    <cellStyle name="Normal 4 4 4 3 2 3 2" xfId="28914" xr:uid="{D289254B-F133-4E78-81C9-4FE6B12FEEAD}"/>
    <cellStyle name="Normal 4 4 4 3 2 3 3" xfId="18820" xr:uid="{6E427F0D-995F-4EFD-AA7C-868FC2D13D79}"/>
    <cellStyle name="Normal 4 4 4 3 2 4" xfId="11273" xr:uid="{C959BA1D-45C3-4CBE-95EC-63870B9EAEE3}"/>
    <cellStyle name="Normal 4 4 4 3 2 4 2" xfId="21653" xr:uid="{68C168EE-973D-4DD6-B0ED-252385BB05DE}"/>
    <cellStyle name="Normal 4 4 4 3 2 5" xfId="24085" xr:uid="{648B5734-43DF-47B8-94AB-7B939DF0D284}"/>
    <cellStyle name="Normal 4 4 4 3 2 6" xfId="13921" xr:uid="{BCFA1EE3-744B-495B-892C-6BC66199C631}"/>
    <cellStyle name="Normal 4 4 4 3 3" xfId="2790" xr:uid="{00000000-0005-0000-0000-00004B060000}"/>
    <cellStyle name="Normal 4 4 4 3 3 2" xfId="6008" xr:uid="{95E61078-FB29-4C07-B9E5-FDA436C0E0C6}"/>
    <cellStyle name="Normal 4 4 4 3 3 2 2" xfId="26585" xr:uid="{2C82A59E-33E1-4421-A1FC-2EBE935B4ED8}"/>
    <cellStyle name="Normal 4 4 4 3 3 2 3" xfId="15461" xr:uid="{238BF7DF-13F3-46F9-9D9F-73CA532FC1DA}"/>
    <cellStyle name="Normal 4 4 4 3 3 3" xfId="7914" xr:uid="{0A713D77-728E-4A0A-B24A-81E84B27D68C}"/>
    <cellStyle name="Normal 4 4 4 3 3 3 2" xfId="18294" xr:uid="{6F660398-876E-4C90-A8BF-E7FF7BB518D4}"/>
    <cellStyle name="Normal 4 4 4 3 3 4" xfId="10747" xr:uid="{9590D4EC-AB45-469F-9D72-29B273297575}"/>
    <cellStyle name="Normal 4 4 4 3 3 4 2" xfId="21127" xr:uid="{D48D81C7-E343-4E2E-9532-C38DE0581C14}"/>
    <cellStyle name="Normal 4 4 4 3 3 5" xfId="24409" xr:uid="{C51E5AEC-B189-445D-A2C7-0E691DE2A0E4}"/>
    <cellStyle name="Normal 4 4 4 3 3 6" xfId="13249" xr:uid="{334BB120-5E5A-4C8B-AE73-AAF022AD44AE}"/>
    <cellStyle name="Normal 4 4 4 3 4" xfId="4196" xr:uid="{F1121B20-CEB1-41F1-BA26-3F0D5DDF91BF}"/>
    <cellStyle name="Normal 4 4 4 3 4 2" xfId="8968" xr:uid="{33353A15-1115-4ECC-9A78-82C9DEA231AE}"/>
    <cellStyle name="Normal 4 4 4 3 4 2 2" xfId="29052" xr:uid="{58F58315-0D2F-4E36-8DE9-E69163B7E633}"/>
    <cellStyle name="Normal 4 4 4 3 4 2 3" xfId="19348" xr:uid="{08C5529B-46A8-4265-AF4B-73ACC32FFD23}"/>
    <cellStyle name="Normal 4 4 4 3 4 3" xfId="11801" xr:uid="{2D458C5F-5EEE-419C-9490-F08D1F28FF2E}"/>
    <cellStyle name="Normal 4 4 4 3 4 3 2" xfId="22181" xr:uid="{13DA5644-7E85-4460-BE72-9AF8C8A93061}"/>
    <cellStyle name="Normal 4 4 4 3 4 4" xfId="22719" xr:uid="{1E103680-36F1-4460-8DE2-BCEAE104A888}"/>
    <cellStyle name="Normal 4 4 4 3 4 5" xfId="16515" xr:uid="{B32F69D1-5E44-4D9A-A7DA-11119775A014}"/>
    <cellStyle name="Normal 4 4 4 3 5" xfId="5302" xr:uid="{26D8D285-4BD4-42C3-814B-D5E76D472217}"/>
    <cellStyle name="Normal 4 4 4 3 5 2" xfId="28583" xr:uid="{FD7291A3-5A85-446F-AAA8-EADA62D85BD7}"/>
    <cellStyle name="Normal 4 4 4 3 5 3" xfId="14600" xr:uid="{8BCF75F2-EFBF-464C-820C-50E2DDF40C47}"/>
    <cellStyle name="Normal 4 4 4 3 6" xfId="7053" xr:uid="{F9A011E1-01BB-41C3-93B9-100A91510B54}"/>
    <cellStyle name="Normal 4 4 4 3 6 2" xfId="17433" xr:uid="{1A2FCC99-9A97-403C-971D-8D906980A398}"/>
    <cellStyle name="Normal 4 4 4 3 7" xfId="9886" xr:uid="{33CBCAA6-CE80-4B7E-A27B-E5A0EF03059A}"/>
    <cellStyle name="Normal 4 4 4 3 7 2" xfId="20266" xr:uid="{B739B518-4225-4A2D-A54D-1F1F17AB9887}"/>
    <cellStyle name="Normal 4 4 4 3 8" xfId="24764" xr:uid="{CE7969E2-243A-4991-BF98-03934FF15AF2}"/>
    <cellStyle name="Normal 4 4 4 3 9" xfId="12760" xr:uid="{9BB78BC4-A0D4-45A9-B779-47B542FC8BDE}"/>
    <cellStyle name="Normal 4 4 4 4" xfId="1000" xr:uid="{00000000-0005-0000-0000-00009A050000}"/>
    <cellStyle name="Normal 4 4 4 4 2" xfId="4539" xr:uid="{40DC97A7-EFEC-4AFF-8A63-2DE337282EEB}"/>
    <cellStyle name="Normal 4 4 4 4 2 2" xfId="9311" xr:uid="{0494D8E1-F902-4156-BE81-8D8B6E4D57C7}"/>
    <cellStyle name="Normal 4 4 4 4 2 2 2" xfId="29288" xr:uid="{4E8DAD54-7AA9-4797-9C24-9A650D8CB110}"/>
    <cellStyle name="Normal 4 4 4 4 2 2 3" xfId="19691" xr:uid="{D2B72895-373F-472F-AA24-DFC2EFC23C45}"/>
    <cellStyle name="Normal 4 4 4 4 2 3" xfId="12144" xr:uid="{4FC85916-88D8-4513-8180-248E7D47A6A5}"/>
    <cellStyle name="Normal 4 4 4 4 2 3 2" xfId="22524" xr:uid="{F04625F9-D5CC-4A3C-88D0-AA3C4FB2FA89}"/>
    <cellStyle name="Normal 4 4 4 4 2 4" xfId="25002" xr:uid="{13C1ABF9-9831-400B-8E57-98B05C393A51}"/>
    <cellStyle name="Normal 4 4 4 4 2 5" xfId="16858" xr:uid="{93A21151-956D-4EAD-A21D-18CBE156C7FD}"/>
    <cellStyle name="Normal 4 4 4 4 3" xfId="5303" xr:uid="{B1C309C8-6158-462A-BC6A-39E1933C118C}"/>
    <cellStyle name="Normal 4 4 4 4 3 2" xfId="27253" xr:uid="{6833989B-6348-47FF-818F-5372255DABFF}"/>
    <cellStyle name="Normal 4 4 4 4 3 3" xfId="14601" xr:uid="{6A2FA2C5-145A-4A4D-A081-0C65923EA226}"/>
    <cellStyle name="Normal 4 4 4 4 4" xfId="7054" xr:uid="{5E8FAC5F-71C8-4B72-BBAF-40664B6F0139}"/>
    <cellStyle name="Normal 4 4 4 4 4 2" xfId="17434" xr:uid="{5956EB13-1F99-4810-AA12-F694AFF457BC}"/>
    <cellStyle name="Normal 4 4 4 4 5" xfId="9887" xr:uid="{5FEA5465-80B1-4F65-81A4-A0D8F4AE1FFD}"/>
    <cellStyle name="Normal 4 4 4 4 5 2" xfId="20267" xr:uid="{77EEE273-1844-4963-886E-62ADB1BE98B3}"/>
    <cellStyle name="Normal 4 4 4 4 6" xfId="24314" xr:uid="{EF200C13-1907-4CFE-876F-33E195346D9F}"/>
    <cellStyle name="Normal 4 4 4 4 7" xfId="13922" xr:uid="{5D0D793A-53DE-4DF1-8764-15253F1951D4}"/>
    <cellStyle name="Normal 4 4 4 5" xfId="2939" xr:uid="{00000000-0005-0000-0000-00004D060000}"/>
    <cellStyle name="Normal 4 4 4 5 2" xfId="6119" xr:uid="{F66C619A-2CAC-410A-9256-818C85270A5E}"/>
    <cellStyle name="Normal 4 4 4 5 2 2" xfId="23908" xr:uid="{ECE91F37-C94C-4C62-B4F6-71DC1DC279E9}"/>
    <cellStyle name="Normal 4 4 4 5 2 3" xfId="26448" xr:uid="{CDB1F90C-B5A8-448C-B98A-27F3C5A43FF9}"/>
    <cellStyle name="Normal 4 4 4 5 2 4" xfId="15597" xr:uid="{1403C9B5-01B1-4946-86B2-6DED425ABC8F}"/>
    <cellStyle name="Normal 4 4 4 5 3" xfId="8050" xr:uid="{970FAA52-611A-4954-853F-D0ED3EE406BD}"/>
    <cellStyle name="Normal 4 4 4 5 3 2" xfId="28755" xr:uid="{1A902706-A498-4277-9E62-C751294506B3}"/>
    <cellStyle name="Normal 4 4 4 5 3 3" xfId="18430" xr:uid="{789A6F01-BDCB-49E4-8410-AA4F139DDE1E}"/>
    <cellStyle name="Normal 4 4 4 5 4" xfId="10883" xr:uid="{7B73EF1F-0DF8-4C67-9A50-E91B64C2867C}"/>
    <cellStyle name="Normal 4 4 4 5 4 2" xfId="21263" xr:uid="{FD611D95-78A3-4EE2-9927-46CEFD0025A1}"/>
    <cellStyle name="Normal 4 4 4 5 5" xfId="23994" xr:uid="{1BB774CB-2475-4D4E-ACDF-D608B77C3D12}"/>
    <cellStyle name="Normal 4 4 4 5 6" xfId="13458" xr:uid="{881F866B-C540-4C52-B006-F4F95350F7A5}"/>
    <cellStyle name="Normal 4 4 4 6" xfId="2454" xr:uid="{00000000-0005-0000-0000-00004E060000}"/>
    <cellStyle name="Normal 4 4 4 6 2" xfId="5746" xr:uid="{53A72FD4-2156-487B-9E14-8A5AE2F690C6}"/>
    <cellStyle name="Normal 4 4 4 6 2 2" xfId="26508" xr:uid="{3D30474E-7C03-4D01-95CC-84AE7DAC330D}"/>
    <cellStyle name="Normal 4 4 4 6 2 3" xfId="15126" xr:uid="{9ED9DA40-6B69-4083-AC75-8061A2FA2246}"/>
    <cellStyle name="Normal 4 4 4 6 3" xfId="7579" xr:uid="{CD32499E-F957-46D1-A227-04F7752BF8EB}"/>
    <cellStyle name="Normal 4 4 4 6 3 2" xfId="17959" xr:uid="{5A14481B-CFDC-460B-9FD8-9E0E00EBE5FB}"/>
    <cellStyle name="Normal 4 4 4 6 4" xfId="10412" xr:uid="{42512874-7CC1-4149-908D-506BCD2C29DA}"/>
    <cellStyle name="Normal 4 4 4 6 4 2" xfId="20792" xr:uid="{47521CC3-FF20-4DED-BD47-0781D0D359F5}"/>
    <cellStyle name="Normal 4 4 4 6 5" xfId="25520" xr:uid="{28EFAA7B-5092-4738-B6D0-1E6C65227573}"/>
    <cellStyle name="Normal 4 4 4 6 6" xfId="12842" xr:uid="{4461657B-C7B1-4A5E-88F2-8DD171F38710}"/>
    <cellStyle name="Normal 4 4 4 7" xfId="2208" xr:uid="{00000000-0005-0000-0000-000042060000}"/>
    <cellStyle name="Normal 4 4 4 7 2" xfId="7335" xr:uid="{B38A0759-A4BD-40D7-8CB4-2F5033E2E40F}"/>
    <cellStyle name="Normal 4 4 4 7 2 2" xfId="17715" xr:uid="{ECA286C6-441E-452C-9375-FA7C7E525C61}"/>
    <cellStyle name="Normal 4 4 4 7 3" xfId="10168" xr:uid="{6D7A39DA-7FE7-417A-870F-9781090D11A3}"/>
    <cellStyle name="Normal 4 4 4 7 3 2" xfId="20548" xr:uid="{A4BECFF5-4159-4887-B7F0-434CBC23D0FE}"/>
    <cellStyle name="Normal 4 4 4 7 4" xfId="23398" xr:uid="{485C1E1D-C2FB-48B6-8826-2BB7DFBE3364}"/>
    <cellStyle name="Normal 4 4 4 7 5" xfId="14882" xr:uid="{A6DFB3F5-1D5A-4872-A120-85A7BD096F16}"/>
    <cellStyle name="Normal 4 4 4 8" xfId="3989" xr:uid="{8CD16E0F-DA36-42CE-A34D-ED6AF1FE0895}"/>
    <cellStyle name="Normal 4 4 4 8 2" xfId="8813" xr:uid="{32E12176-7258-4154-A73E-B50821AC7B1A}"/>
    <cellStyle name="Normal 4 4 4 8 2 2" xfId="19193" xr:uid="{58F8214F-97C5-436E-B51A-96BADBE2730D}"/>
    <cellStyle name="Normal 4 4 4 8 3" xfId="11646" xr:uid="{7DEE0DDE-B74F-49B8-BFC0-32E5073415E7}"/>
    <cellStyle name="Normal 4 4 4 8 3 2" xfId="22026" xr:uid="{B885DA79-08FA-4705-AD66-CCDCBB227D49}"/>
    <cellStyle name="Normal 4 4 4 8 4" xfId="16360" xr:uid="{ABFCD0AC-F0DA-4C64-A82C-4EF2D27FFBBE}"/>
    <cellStyle name="Normal 4 4 4 9" xfId="5299" xr:uid="{EF5C3EB4-638F-445E-A79E-41DEB3B50A4C}"/>
    <cellStyle name="Normal 4 4 4 9 2" xfId="14597" xr:uid="{7D3033D7-2B29-4887-9509-AC9C23F1FE5B}"/>
    <cellStyle name="Normal 4 4 5" xfId="1001" xr:uid="{00000000-0005-0000-0000-00009B050000}"/>
    <cellStyle name="Normal 4 4 5 10" xfId="9888" xr:uid="{16F5F45C-D235-49B7-94DE-A3E2C2D06838}"/>
    <cellStyle name="Normal 4 4 5 10 2" xfId="20268" xr:uid="{242E4335-78F5-4F5F-9ABA-CC9C49C6DC96}"/>
    <cellStyle name="Normal 4 4 5 11" xfId="24926" xr:uid="{7998F79C-D3E2-49A1-A95A-98AC8C432774}"/>
    <cellStyle name="Normal 4 4 5 12" xfId="12603" xr:uid="{68B74E87-9871-4A40-87AE-ACC328289E58}"/>
    <cellStyle name="Normal 4 4 5 2" xfId="1002" xr:uid="{00000000-0005-0000-0000-00009C050000}"/>
    <cellStyle name="Normal 4 4 5 2 2" xfId="1003" xr:uid="{00000000-0005-0000-0000-00009D050000}"/>
    <cellStyle name="Normal 4 4 5 2 2 2" xfId="5306" xr:uid="{DD7857A8-D175-4583-AE4A-26DD2B7F5062}"/>
    <cellStyle name="Normal 4 4 5 2 2 2 2" xfId="25702" xr:uid="{88AC2463-1BB3-42E3-9D48-8398256D4AF6}"/>
    <cellStyle name="Normal 4 4 5 2 2 2 3" xfId="26828" xr:uid="{46B3AC03-328A-4440-A341-F5CB77FE611F}"/>
    <cellStyle name="Normal 4 4 5 2 2 2 4" xfId="14604" xr:uid="{E3723172-F2EA-4EFD-BC2F-2C970FA713A4}"/>
    <cellStyle name="Normal 4 4 5 2 2 3" xfId="7057" xr:uid="{DDA45C04-3CFE-4ABA-84CD-152D16D7CC78}"/>
    <cellStyle name="Normal 4 4 5 2 2 3 2" xfId="27634" xr:uid="{BDBB6237-0921-42FE-8629-80819553752C}"/>
    <cellStyle name="Normal 4 4 5 2 2 3 3" xfId="28073" xr:uid="{7C5B4288-D4C8-47CC-B70F-A18C7C11D12F}"/>
    <cellStyle name="Normal 4 4 5 2 2 3 4" xfId="17437" xr:uid="{0AF1FA6A-7CE4-4E51-9CB2-924344A4D2C5}"/>
    <cellStyle name="Normal 4 4 5 2 2 4" xfId="9890" xr:uid="{9093B250-F6EE-4859-9F00-A4653F8B99CD}"/>
    <cellStyle name="Normal 4 4 5 2 2 4 2" xfId="29425" xr:uid="{0CD80B09-EF99-4B7F-AB69-5810AA88D4E4}"/>
    <cellStyle name="Normal 4 4 5 2 2 4 3" xfId="20270" xr:uid="{75EACD12-2681-422C-AC08-3CB872F5B78D}"/>
    <cellStyle name="Normal 4 4 5 2 2 5" xfId="25255" xr:uid="{147C0FE4-3A21-4E94-9914-1B4814A4D8B1}"/>
    <cellStyle name="Normal 4 4 5 2 2 6" xfId="13923" xr:uid="{07E36866-7C18-4DD0-B284-0EF3D8727234}"/>
    <cellStyle name="Normal 4 4 5 2 3" xfId="2791" xr:uid="{00000000-0005-0000-0000-000052060000}"/>
    <cellStyle name="Normal 4 4 5 2 3 2" xfId="6009" xr:uid="{CE7AFD0E-8092-4DA3-80F8-8FA81744DA66}"/>
    <cellStyle name="Normal 4 4 5 2 3 2 2" xfId="27205" xr:uid="{B2E27831-7E3C-49D0-9011-0B7B44A0E7CE}"/>
    <cellStyle name="Normal 4 4 5 2 3 2 3" xfId="15462" xr:uid="{917B7BE5-EDBF-473D-AFC2-BA32433A78DD}"/>
    <cellStyle name="Normal 4 4 5 2 3 3" xfId="7915" xr:uid="{EA3B60D5-C874-427B-8716-9D53F5F4FB6E}"/>
    <cellStyle name="Normal 4 4 5 2 3 3 2" xfId="18295" xr:uid="{B17C187E-B186-4CB5-83C8-40E34B0FA39F}"/>
    <cellStyle name="Normal 4 4 5 2 3 4" xfId="10748" xr:uid="{BDE02073-8405-44C1-BC1B-B051ADC26AA9}"/>
    <cellStyle name="Normal 4 4 5 2 3 4 2" xfId="21128" xr:uid="{F99F29C8-8C7E-4F3E-86C8-704FA96D7231}"/>
    <cellStyle name="Normal 4 4 5 2 3 5" xfId="25480" xr:uid="{A91A1B21-AD46-4711-9B50-CA06B4675BB3}"/>
    <cellStyle name="Normal 4 4 5 2 3 6" xfId="13251" xr:uid="{969C48FF-68B7-4182-A723-66124E589D51}"/>
    <cellStyle name="Normal 4 4 5 2 4" xfId="4197" xr:uid="{99BFB79F-B4CF-4F3B-AAE0-35DF005617EE}"/>
    <cellStyle name="Normal 4 4 5 2 4 2" xfId="8969" xr:uid="{57CE870F-D132-458D-A873-BDB54D8DF4DB}"/>
    <cellStyle name="Normal 4 4 5 2 4 2 2" xfId="29053" xr:uid="{4CF38B8C-6BC1-4C32-B00A-D2DFCB03C3D3}"/>
    <cellStyle name="Normal 4 4 5 2 4 2 3" xfId="19349" xr:uid="{EFDE5DC0-FBAC-409F-A800-8830F172B514}"/>
    <cellStyle name="Normal 4 4 5 2 4 3" xfId="11802" xr:uid="{99DF6630-E4B6-4123-81D2-8F0F5B6EB153}"/>
    <cellStyle name="Normal 4 4 5 2 4 3 2" xfId="22182" xr:uid="{13945A86-9CA3-42D3-9554-8748E71DA122}"/>
    <cellStyle name="Normal 4 4 5 2 4 4" xfId="24717" xr:uid="{45D4E709-B390-40F3-A9F2-4EFA576767BD}"/>
    <cellStyle name="Normal 4 4 5 2 4 5" xfId="16516" xr:uid="{EE3A76F2-C586-4F5F-86EC-2C80C357EE49}"/>
    <cellStyle name="Normal 4 4 5 2 5" xfId="5305" xr:uid="{7D73C64A-02AC-4435-9EEB-01CCDC2B77C3}"/>
    <cellStyle name="Normal 4 4 5 2 5 2" xfId="27879" xr:uid="{AE1F5D17-E54A-4D73-A1CA-3D24092FF178}"/>
    <cellStyle name="Normal 4 4 5 2 5 3" xfId="14603" xr:uid="{3FBA9A7A-34D1-4BE1-AC5D-2344FF63AEBC}"/>
    <cellStyle name="Normal 4 4 5 2 6" xfId="7056" xr:uid="{A37449EC-D562-42CE-A322-BD1E226405CD}"/>
    <cellStyle name="Normal 4 4 5 2 6 2" xfId="17436" xr:uid="{4E6D09B3-DEBE-405E-8E6E-A21E5E93C3EC}"/>
    <cellStyle name="Normal 4 4 5 2 7" xfId="9889" xr:uid="{2829D9F3-BBFF-4808-8252-16EA7EF502D5}"/>
    <cellStyle name="Normal 4 4 5 2 7 2" xfId="20269" xr:uid="{E754C17D-384F-4DDB-B7AC-967A21976FDC}"/>
    <cellStyle name="Normal 4 4 5 2 8" xfId="23290" xr:uid="{40574334-C0E6-4AC8-9B36-A66A8ED60D16}"/>
    <cellStyle name="Normal 4 4 5 2 9" xfId="12761" xr:uid="{F71B41F8-EF3C-4354-A8B2-90D485F75089}"/>
    <cellStyle name="Normal 4 4 5 3" xfId="1004" xr:uid="{00000000-0005-0000-0000-00009E050000}"/>
    <cellStyle name="Normal 4 4 5 3 2" xfId="4540" xr:uid="{2D7A0363-1FAA-4900-BE5D-48C700B5EE01}"/>
    <cellStyle name="Normal 4 4 5 3 2 2" xfId="9312" xr:uid="{69106FA5-8C7B-440D-83A5-AAE9C0C78835}"/>
    <cellStyle name="Normal 4 4 5 3 2 2 2" xfId="29289" xr:uid="{15B04334-15F1-43F6-9C0D-10DCC12795BB}"/>
    <cellStyle name="Normal 4 4 5 3 2 2 3" xfId="19692" xr:uid="{1DF4B71A-C5D4-44B2-A4DB-7A8A1E776D25}"/>
    <cellStyle name="Normal 4 4 5 3 2 3" xfId="12145" xr:uid="{6335F738-FD50-42ED-A853-A2D84AF1A9D0}"/>
    <cellStyle name="Normal 4 4 5 3 2 3 2" xfId="22525" xr:uid="{920126DA-F2B6-43E5-AA97-3404A9EE20D1}"/>
    <cellStyle name="Normal 4 4 5 3 2 4" xfId="24984" xr:uid="{25B352C5-A39F-4314-AEA7-AC6027891DE1}"/>
    <cellStyle name="Normal 4 4 5 3 2 5" xfId="16859" xr:uid="{20753686-122A-46A3-9245-4C0AEAE8699F}"/>
    <cellStyle name="Normal 4 4 5 3 3" xfId="5307" xr:uid="{6D6DA234-9AC1-4169-8BDF-3211187845B4}"/>
    <cellStyle name="Normal 4 4 5 3 3 2" xfId="23674" xr:uid="{3569FF17-3CBD-44DF-9D8F-B5F201627365}"/>
    <cellStyle name="Normal 4 4 5 3 3 3" xfId="26268" xr:uid="{F35D419D-FB03-41DC-B447-33C7AA09F0CF}"/>
    <cellStyle name="Normal 4 4 5 3 3 4" xfId="14605" xr:uid="{A6B424B6-5E71-4A74-8405-8FB97525D24A}"/>
    <cellStyle name="Normal 4 4 5 3 4" xfId="7058" xr:uid="{6CAF7BEF-5982-4DCA-96C9-6B7C80EE4025}"/>
    <cellStyle name="Normal 4 4 5 3 4 2" xfId="25765" xr:uid="{B1B1A273-EC73-4488-B4F3-7D71FDBDDA94}"/>
    <cellStyle name="Normal 4 4 5 3 4 3" xfId="25993" xr:uid="{DB5899AB-E747-43BC-86FA-CBA26A860066}"/>
    <cellStyle name="Normal 4 4 5 3 4 4" xfId="17438" xr:uid="{D80B1D8F-93B5-4435-A434-75FD9D8D7E10}"/>
    <cellStyle name="Normal 4 4 5 3 5" xfId="9891" xr:uid="{90F7CBB5-02A5-4AA1-9BD0-5D8D35B415DC}"/>
    <cellStyle name="Normal 4 4 5 3 5 2" xfId="29426" xr:uid="{A13EEE21-7B0A-4EBD-BEF3-901417E03F3C}"/>
    <cellStyle name="Normal 4 4 5 3 5 3" xfId="20271" xr:uid="{4744E9E6-E976-4329-8229-18CDCC09EAE7}"/>
    <cellStyle name="Normal 4 4 5 3 6" xfId="23930" xr:uid="{D9386DB6-E07F-4DAA-BB80-F66DBF8F3526}"/>
    <cellStyle name="Normal 4 4 5 3 7" xfId="13924" xr:uid="{81C0A880-F72A-4860-BFD6-60ADA17F271B}"/>
    <cellStyle name="Normal 4 4 5 4" xfId="1005" xr:uid="{00000000-0005-0000-0000-00009F050000}"/>
    <cellStyle name="Normal 4 4 5 4 2" xfId="5308" xr:uid="{1A94B53A-833C-4E69-A12A-43F499437481}"/>
    <cellStyle name="Normal 4 4 5 4 2 2" xfId="24575" xr:uid="{618F0D91-24AC-4526-BAC7-F4CC59904697}"/>
    <cellStyle name="Normal 4 4 5 4 2 3" xfId="27691" xr:uid="{70AF2120-D6E0-4679-9E84-A4C1AB1E9147}"/>
    <cellStyle name="Normal 4 4 5 4 2 4" xfId="14606" xr:uid="{6314B871-73F4-42DA-A1BC-B3A211D85F56}"/>
    <cellStyle name="Normal 4 4 5 4 3" xfId="7059" xr:uid="{CF3ABF44-08C1-4B2D-A3B1-88F8A135FCCE}"/>
    <cellStyle name="Normal 4 4 5 4 3 2" xfId="27553" xr:uid="{B23825C7-EE6F-4DE2-AD28-C25CC21EC7C5}"/>
    <cellStyle name="Normal 4 4 5 4 3 3" xfId="17439" xr:uid="{77EA27B9-2A9A-42DE-84EA-741571ED6716}"/>
    <cellStyle name="Normal 4 4 5 4 4" xfId="9892" xr:uid="{7B072EF8-4827-48EF-83D2-52241F50C049}"/>
    <cellStyle name="Normal 4 4 5 4 4 2" xfId="20272" xr:uid="{AD18713A-C709-4872-8060-8246F3E29064}"/>
    <cellStyle name="Normal 4 4 5 4 5" xfId="24279" xr:uid="{327A1E05-9C0B-4A61-86C2-084FE4379863}"/>
    <cellStyle name="Normal 4 4 5 4 6" xfId="13459" xr:uid="{B15A62B1-3EB5-424F-B0C7-E50C2844AA1D}"/>
    <cellStyle name="Normal 4 4 5 5" xfId="2514" xr:uid="{00000000-0005-0000-0000-000055060000}"/>
    <cellStyle name="Normal 4 4 5 5 2" xfId="5792" xr:uid="{F80C5709-8B51-4782-B09A-FB5D51A47210}"/>
    <cellStyle name="Normal 4 4 5 5 2 2" xfId="27017" xr:uid="{69850DA3-4F07-41FF-BC4C-037DD4D2032A}"/>
    <cellStyle name="Normal 4 4 5 5 2 3" xfId="15186" xr:uid="{3432E184-3EE8-4D4D-B7FD-E2B3E982D7A6}"/>
    <cellStyle name="Normal 4 4 5 5 3" xfId="7639" xr:uid="{72294D53-15B9-4DB9-869B-B4E5E3E0BBDF}"/>
    <cellStyle name="Normal 4 4 5 5 3 2" xfId="18019" xr:uid="{1D6459BF-4D37-4C41-9386-007357DBB069}"/>
    <cellStyle name="Normal 4 4 5 5 4" xfId="10472" xr:uid="{738BFEA3-4A2F-4AD0-A8A8-77E35D96E6A3}"/>
    <cellStyle name="Normal 4 4 5 5 4 2" xfId="20852" xr:uid="{494CAAD0-7B56-40EA-B286-5B3AD9EB8690}"/>
    <cellStyle name="Normal 4 4 5 5 5" xfId="24990" xr:uid="{450CD28E-C26E-4BD5-BF97-A427713A773B}"/>
    <cellStyle name="Normal 4 4 5 5 6" xfId="12902" xr:uid="{093D30A8-1BD4-4321-86F0-A5736D3758E3}"/>
    <cellStyle name="Normal 4 4 5 6" xfId="2369" xr:uid="{00000000-0005-0000-0000-00004F060000}"/>
    <cellStyle name="Normal 4 4 5 6 2" xfId="7496" xr:uid="{1B2A7748-D5AE-4E38-BA4C-B2142EE8EF97}"/>
    <cellStyle name="Normal 4 4 5 6 2 2" xfId="27446" xr:uid="{95D02F40-3045-4BEB-9878-F592FA3D8C0C}"/>
    <cellStyle name="Normal 4 4 5 6 2 3" xfId="17876" xr:uid="{72C9FAD3-8A41-4E9F-9C10-9E6828419C2E}"/>
    <cellStyle name="Normal 4 4 5 6 3" xfId="10329" xr:uid="{6F456B92-D2E2-4A6E-BC4B-9372510FD23A}"/>
    <cellStyle name="Normal 4 4 5 6 3 2" xfId="20709" xr:uid="{BEA9430B-5C14-423D-9E97-5D4250C7D95B}"/>
    <cellStyle name="Normal 4 4 5 6 4" xfId="23405" xr:uid="{11D633F0-12A4-4406-8811-53A07D6613B5}"/>
    <cellStyle name="Normal 4 4 5 6 5" xfId="15043" xr:uid="{2C1BBA1E-9DE6-4D11-8D66-8817576A6094}"/>
    <cellStyle name="Normal 4 4 5 7" xfId="3990" xr:uid="{92C63C86-5719-4B31-8589-9D4F4AE9CB95}"/>
    <cellStyle name="Normal 4 4 5 7 2" xfId="8814" xr:uid="{4D9654E6-0611-4A90-AF2E-F648D5625232}"/>
    <cellStyle name="Normal 4 4 5 7 2 2" xfId="19194" xr:uid="{885627D0-3413-4158-A579-0620AA2FF892}"/>
    <cellStyle name="Normal 4 4 5 7 3" xfId="11647" xr:uid="{7067B2DE-2E51-4E9A-A591-30FE48DD678A}"/>
    <cellStyle name="Normal 4 4 5 7 3 2" xfId="22027" xr:uid="{2A7D3620-EDC9-40A5-A8CC-47345B35D85E}"/>
    <cellStyle name="Normal 4 4 5 7 4" xfId="26712" xr:uid="{7FB71A15-6EFB-4AB0-9453-48985C07BB1C}"/>
    <cellStyle name="Normal 4 4 5 7 5" xfId="16361" xr:uid="{BA6F796B-4CF2-496D-A533-DB865784B7FC}"/>
    <cellStyle name="Normal 4 4 5 8" xfId="5304" xr:uid="{E625F85E-866A-4601-961F-6B98C2F8AF7B}"/>
    <cellStyle name="Normal 4 4 5 8 2" xfId="14602" xr:uid="{3CFA5BC5-4474-4165-9DEC-33A0B0D55546}"/>
    <cellStyle name="Normal 4 4 5 9" xfId="7055" xr:uid="{2C3307C6-E532-4616-A2FD-70F09548DA82}"/>
    <cellStyle name="Normal 4 4 5 9 2" xfId="17435" xr:uid="{01BB8787-6EC3-4FD1-B4F1-B2B35749404D}"/>
    <cellStyle name="Normal 4 4 6" xfId="1006" xr:uid="{00000000-0005-0000-0000-0000A0050000}"/>
    <cellStyle name="Normal 4 4 6 10" xfId="9893" xr:uid="{35555099-0C7E-4389-9542-D186D69336E0}"/>
    <cellStyle name="Normal 4 4 6 10 2" xfId="20273" xr:uid="{C3E67B0F-09F5-4C1A-AAB9-BD205F3D9E5C}"/>
    <cellStyle name="Normal 4 4 6 11" xfId="23266" xr:uid="{AAB2BD3A-19FC-4CB0-A99E-03992EEB4657}"/>
    <cellStyle name="Normal 4 4 6 12" xfId="12604" xr:uid="{8B9181DF-4CC3-4F89-A955-CCC1362EE781}"/>
    <cellStyle name="Normal 4 4 6 2" xfId="1007" xr:uid="{00000000-0005-0000-0000-0000A1050000}"/>
    <cellStyle name="Normal 4 4 6 2 2" xfId="1008" xr:uid="{00000000-0005-0000-0000-0000A2050000}"/>
    <cellStyle name="Normal 4 4 6 2 2 2" xfId="5311" xr:uid="{CC89DBF1-7B99-47E4-A6D3-D0436405CC9E}"/>
    <cellStyle name="Normal 4 4 6 2 2 2 2" xfId="24014" xr:uid="{4981416F-3B0F-4676-98D5-6AFDE258BE89}"/>
    <cellStyle name="Normal 4 4 6 2 2 2 3" xfId="26995" xr:uid="{6787D601-1E6A-4740-A280-6A4BCA91A4E4}"/>
    <cellStyle name="Normal 4 4 6 2 2 2 4" xfId="14609" xr:uid="{C680909C-CE46-44F4-B9BE-4E0D04AC9358}"/>
    <cellStyle name="Normal 4 4 6 2 2 3" xfId="7062" xr:uid="{6802134B-1227-4770-B612-678DFA6DE62E}"/>
    <cellStyle name="Normal 4 4 6 2 2 3 2" xfId="27635" xr:uid="{452B0C8E-FD97-40F5-949D-9C4223A37416}"/>
    <cellStyle name="Normal 4 4 6 2 2 3 3" xfId="28059" xr:uid="{3A65D403-450F-4C58-9F99-EF443F7430BE}"/>
    <cellStyle name="Normal 4 4 6 2 2 3 4" xfId="17442" xr:uid="{7FE0B6DB-CF8D-4329-84E7-B421CA66D0A4}"/>
    <cellStyle name="Normal 4 4 6 2 2 4" xfId="9895" xr:uid="{D0D5F939-C22F-4987-9177-2ECB13D3B7BE}"/>
    <cellStyle name="Normal 4 4 6 2 2 4 2" xfId="29427" xr:uid="{3D98BFD9-4436-4701-9F1E-7F14F57B77D6}"/>
    <cellStyle name="Normal 4 4 6 2 2 4 3" xfId="20275" xr:uid="{0DBADDED-EF2D-4E49-A7F6-A9EE0B3F71CB}"/>
    <cellStyle name="Normal 4 4 6 2 2 5" xfId="22646" xr:uid="{A76277E6-4622-4903-9488-C6D42433084B}"/>
    <cellStyle name="Normal 4 4 6 2 2 6" xfId="13925" xr:uid="{D962E703-7C84-4C0F-814A-6CAAAFFD29CA}"/>
    <cellStyle name="Normal 4 4 6 2 3" xfId="2792" xr:uid="{00000000-0005-0000-0000-000059060000}"/>
    <cellStyle name="Normal 4 4 6 2 3 2" xfId="6010" xr:uid="{C443970B-A747-4D81-A575-7502948273F5}"/>
    <cellStyle name="Normal 4 4 6 2 3 2 2" xfId="25957" xr:uid="{01686228-2362-4359-835D-10546A7AF693}"/>
    <cellStyle name="Normal 4 4 6 2 3 2 3" xfId="15463" xr:uid="{56AD114F-DA40-4DC5-BED5-C53EF6E1637B}"/>
    <cellStyle name="Normal 4 4 6 2 3 3" xfId="7916" xr:uid="{7E2FB29E-0BCE-4104-9705-6995F0DA5E69}"/>
    <cellStyle name="Normal 4 4 6 2 3 3 2" xfId="18296" xr:uid="{FAB75683-A1EF-4360-A3C8-8AC87B0431EC}"/>
    <cellStyle name="Normal 4 4 6 2 3 4" xfId="10749" xr:uid="{AC379FB3-3C42-4EA2-BC48-F9148BE23525}"/>
    <cellStyle name="Normal 4 4 6 2 3 4 2" xfId="21129" xr:uid="{3DADD595-B2C9-47C0-AAE2-C06619F92E25}"/>
    <cellStyle name="Normal 4 4 6 2 3 5" xfId="24411" xr:uid="{CDFAD032-DD11-4D52-A6EA-6A35F325D757}"/>
    <cellStyle name="Normal 4 4 6 2 3 6" xfId="13252" xr:uid="{85729ECE-FBE1-4E8F-BAEA-0608FD66CF89}"/>
    <cellStyle name="Normal 4 4 6 2 4" xfId="4198" xr:uid="{646CEC22-B35F-4C0C-AB59-0ADF5B13983F}"/>
    <cellStyle name="Normal 4 4 6 2 4 2" xfId="8970" xr:uid="{E45D12FD-2375-4FD4-AD60-4FE0F86E3711}"/>
    <cellStyle name="Normal 4 4 6 2 4 2 2" xfId="29054" xr:uid="{30B324A7-76C8-4725-B750-82261BBE0ECD}"/>
    <cellStyle name="Normal 4 4 6 2 4 2 3" xfId="19350" xr:uid="{7B0FFB52-B8BA-4312-9EF9-9DAE51FF20A3}"/>
    <cellStyle name="Normal 4 4 6 2 4 3" xfId="11803" xr:uid="{CC1DA033-C7BC-4022-8EC8-0442E52FDA7A}"/>
    <cellStyle name="Normal 4 4 6 2 4 3 2" xfId="22183" xr:uid="{591BAC96-DDBB-4DE0-ABBC-F4C65C4B784F}"/>
    <cellStyle name="Normal 4 4 6 2 4 4" xfId="25469" xr:uid="{345F13CE-9109-4FE5-A949-79D8FFAFEFA8}"/>
    <cellStyle name="Normal 4 4 6 2 4 5" xfId="16517" xr:uid="{7E7F382C-434C-4C82-BE24-1FEECE24B23B}"/>
    <cellStyle name="Normal 4 4 6 2 5" xfId="5310" xr:uid="{79B0C609-91A7-40C0-B374-54F3DDA349FE}"/>
    <cellStyle name="Normal 4 4 6 2 5 2" xfId="26092" xr:uid="{2AEA128B-7177-49EB-8260-F921A8843A1F}"/>
    <cellStyle name="Normal 4 4 6 2 5 3" xfId="14608" xr:uid="{9BF47ECC-E9A5-49D7-8A62-C169172AB25B}"/>
    <cellStyle name="Normal 4 4 6 2 6" xfId="7061" xr:uid="{C3870E88-5149-438E-A19B-CF7A0DC0D070}"/>
    <cellStyle name="Normal 4 4 6 2 6 2" xfId="17441" xr:uid="{2159F246-F892-4A47-B5E6-E0E75B41B2A1}"/>
    <cellStyle name="Normal 4 4 6 2 7" xfId="9894" xr:uid="{49B4CE77-7665-4889-952C-765A49007B1A}"/>
    <cellStyle name="Normal 4 4 6 2 7 2" xfId="20274" xr:uid="{13BB59B0-1857-4E6F-BBB0-C7F1C527C78F}"/>
    <cellStyle name="Normal 4 4 6 2 8" xfId="25233" xr:uid="{F1005FFB-B226-411F-B940-BFB3F0CCF542}"/>
    <cellStyle name="Normal 4 4 6 2 9" xfId="12762" xr:uid="{9AB8D51E-00E0-478D-8115-8C4CFF4742AB}"/>
    <cellStyle name="Normal 4 4 6 3" xfId="1009" xr:uid="{00000000-0005-0000-0000-0000A3050000}"/>
    <cellStyle name="Normal 4 4 6 3 2" xfId="4541" xr:uid="{F1C860A2-948E-4C8C-92FB-4E5A99E46265}"/>
    <cellStyle name="Normal 4 4 6 3 2 2" xfId="9313" xr:uid="{710CFDEA-5D1D-4AA3-86BE-27763845AD26}"/>
    <cellStyle name="Normal 4 4 6 3 2 2 2" xfId="29290" xr:uid="{B5986039-0188-4DA3-94FB-1D99E742FC47}"/>
    <cellStyle name="Normal 4 4 6 3 2 2 3" xfId="19693" xr:uid="{0041879B-E15D-458E-9049-B254F3A37F89}"/>
    <cellStyle name="Normal 4 4 6 3 2 3" xfId="12146" xr:uid="{F0C81F10-17F5-46F7-B082-F3354F0CE65A}"/>
    <cellStyle name="Normal 4 4 6 3 2 3 2" xfId="22526" xr:uid="{FA7D7A90-DBCA-47FF-8CE2-701D6D3282C7}"/>
    <cellStyle name="Normal 4 4 6 3 2 4" xfId="25046" xr:uid="{2F00B6D6-3BD1-4025-BBE7-0999D224CE59}"/>
    <cellStyle name="Normal 4 4 6 3 2 5" xfId="16860" xr:uid="{95614682-4BF5-4C60-B7C7-9BD9AFBE3940}"/>
    <cellStyle name="Normal 4 4 6 3 3" xfId="5312" xr:uid="{C1E7CBFA-8D70-4DC0-9D67-7F1F15B7EBBA}"/>
    <cellStyle name="Normal 4 4 6 3 3 2" xfId="26837" xr:uid="{DEE64D7E-518B-4722-AF17-48D7B372691E}"/>
    <cellStyle name="Normal 4 4 6 3 3 3" xfId="26907" xr:uid="{B9C458B0-18C1-40D6-A0D3-65E43FA1236D}"/>
    <cellStyle name="Normal 4 4 6 3 3 4" xfId="14610" xr:uid="{A19EAD2A-7C80-4745-A34B-DB943E34D81B}"/>
    <cellStyle name="Normal 4 4 6 3 4" xfId="7063" xr:uid="{9AAD0156-9948-48E8-8EBC-1802E7D52EA5}"/>
    <cellStyle name="Normal 4 4 6 3 4 2" xfId="26179" xr:uid="{07B6D851-61F4-49E1-A0A1-D44912F3FF27}"/>
    <cellStyle name="Normal 4 4 6 3 4 3" xfId="27745" xr:uid="{A8891A62-F547-471A-90C5-552DA273F4A0}"/>
    <cellStyle name="Normal 4 4 6 3 4 4" xfId="17443" xr:uid="{B2191D05-8BD2-464E-9B04-21000AF0E0B3}"/>
    <cellStyle name="Normal 4 4 6 3 5" xfId="9896" xr:uid="{4C5C3BCA-64B0-4E94-ADAD-8D656F34962F}"/>
    <cellStyle name="Normal 4 4 6 3 5 2" xfId="29428" xr:uid="{5215AEDB-4EFF-4165-BC2C-62F8FAF9450C}"/>
    <cellStyle name="Normal 4 4 6 3 5 3" xfId="20276" xr:uid="{D279E8D5-0B8B-4DFB-9E28-C211E6E64EED}"/>
    <cellStyle name="Normal 4 4 6 3 6" xfId="24532" xr:uid="{D525E559-2B44-4F09-88B3-C1CF880AB01D}"/>
    <cellStyle name="Normal 4 4 6 3 7" xfId="13926" xr:uid="{D84723B2-AC0D-40AD-9362-9B3C65B0D428}"/>
    <cellStyle name="Normal 4 4 6 4" xfId="1010" xr:uid="{00000000-0005-0000-0000-0000A4050000}"/>
    <cellStyle name="Normal 4 4 6 4 2" xfId="5313" xr:uid="{5DC5CC19-61D9-442D-A07F-3AA03D0924D0}"/>
    <cellStyle name="Normal 4 4 6 4 2 2" xfId="25105" xr:uid="{0C0ABCA3-1415-4A92-857C-A488E2E6DDE0}"/>
    <cellStyle name="Normal 4 4 6 4 2 3" xfId="27001" xr:uid="{E8084F88-466A-4474-AF0E-713070897DEF}"/>
    <cellStyle name="Normal 4 4 6 4 2 4" xfId="14611" xr:uid="{CC533787-6370-4D1A-A406-1786BC8C983D}"/>
    <cellStyle name="Normal 4 4 6 4 3" xfId="7064" xr:uid="{B0C4E085-8262-47C3-9C4F-0FB68070A9CB}"/>
    <cellStyle name="Normal 4 4 6 4 3 2" xfId="25966" xr:uid="{716B544F-6F88-45BB-A69E-A30796EF980C}"/>
    <cellStyle name="Normal 4 4 6 4 3 3" xfId="17444" xr:uid="{0DE44047-A4A2-4246-9D93-7AA3EACFCA4B}"/>
    <cellStyle name="Normal 4 4 6 4 4" xfId="9897" xr:uid="{9EADD135-B447-41E6-9C3C-489290942EF0}"/>
    <cellStyle name="Normal 4 4 6 4 4 2" xfId="20277" xr:uid="{B50305F7-FC13-4F97-AF92-A5492AC0B98D}"/>
    <cellStyle name="Normal 4 4 6 4 5" xfId="24888" xr:uid="{2F8162DB-F64E-4E58-B0F7-C1E051A56005}"/>
    <cellStyle name="Normal 4 4 6 4 6" xfId="13460" xr:uid="{D69AA7B0-0E86-4954-9614-CC301B9E59D0}"/>
    <cellStyle name="Normal 4 4 6 5" xfId="2577" xr:uid="{00000000-0005-0000-0000-00005C060000}"/>
    <cellStyle name="Normal 4 4 6 5 2" xfId="5842" xr:uid="{B8590707-D82D-4B10-8E5C-B46DD1964897}"/>
    <cellStyle name="Normal 4 4 6 5 2 2" xfId="27799" xr:uid="{77ABFE73-E8DE-4CB5-AA43-A2F9060D82E2}"/>
    <cellStyle name="Normal 4 4 6 5 2 3" xfId="15249" xr:uid="{DE20AE6C-F563-4E2C-B6E3-77AC87B7B438}"/>
    <cellStyle name="Normal 4 4 6 5 3" xfId="7702" xr:uid="{E593B547-1A44-4379-8A8B-07DADAE6175D}"/>
    <cellStyle name="Normal 4 4 6 5 3 2" xfId="18082" xr:uid="{F72F5707-7FF8-474F-9824-301D2DAF5EFC}"/>
    <cellStyle name="Normal 4 4 6 5 4" xfId="10535" xr:uid="{2A2CD21C-4AAF-43FD-91A1-927F51089E4C}"/>
    <cellStyle name="Normal 4 4 6 5 4 2" xfId="20915" xr:uid="{FCBC5583-2A22-440C-92F6-A2AFFC55E65D}"/>
    <cellStyle name="Normal 4 4 6 5 5" xfId="24876" xr:uid="{F01D5C4E-835B-4BCD-8ABA-87C976F1E2F5}"/>
    <cellStyle name="Normal 4 4 6 5 6" xfId="12965" xr:uid="{1B78FA1C-312A-42E1-90AD-123870043F67}"/>
    <cellStyle name="Normal 4 4 6 6" xfId="2370" xr:uid="{00000000-0005-0000-0000-000056060000}"/>
    <cellStyle name="Normal 4 4 6 6 2" xfId="7497" xr:uid="{37A6F410-3569-447C-A96D-17475FEF90C0}"/>
    <cellStyle name="Normal 4 4 6 6 2 2" xfId="27451" xr:uid="{C6B8C9AD-BD55-4D6F-BF23-AA4CA629BE17}"/>
    <cellStyle name="Normal 4 4 6 6 2 3" xfId="17877" xr:uid="{2A06F1A9-730A-409C-A166-75FA16781950}"/>
    <cellStyle name="Normal 4 4 6 6 3" xfId="10330" xr:uid="{942397F1-2C1B-4A41-8537-8F1A3A2F0831}"/>
    <cellStyle name="Normal 4 4 6 6 3 2" xfId="20710" xr:uid="{CD637D26-308C-42D9-9836-B3344CB75646}"/>
    <cellStyle name="Normal 4 4 6 6 4" xfId="22750" xr:uid="{45F0A560-B8AB-463B-8B75-827E68D9B470}"/>
    <cellStyle name="Normal 4 4 6 6 5" xfId="15044" xr:uid="{5C3A247B-D151-4634-9793-1C79E2FBFBF5}"/>
    <cellStyle name="Normal 4 4 6 7" xfId="3991" xr:uid="{155B17C1-6D90-4B09-AE72-8D357FDA0CA5}"/>
    <cellStyle name="Normal 4 4 6 7 2" xfId="8815" xr:uid="{D24AE6AB-7CC9-4D83-B241-7D8BDE7FF89D}"/>
    <cellStyle name="Normal 4 4 6 7 2 2" xfId="19195" xr:uid="{8B849538-5B45-466E-A744-95B84BC0C9F9}"/>
    <cellStyle name="Normal 4 4 6 7 3" xfId="11648" xr:uid="{658C68E2-27BB-4FE4-A452-C4CB55953D8A}"/>
    <cellStyle name="Normal 4 4 6 7 3 2" xfId="22028" xr:uid="{647DB8CC-3066-4CC1-87C1-11FA878B1EBB}"/>
    <cellStyle name="Normal 4 4 6 7 4" xfId="27674" xr:uid="{D080A117-65F4-4666-A844-D5784050E378}"/>
    <cellStyle name="Normal 4 4 6 7 5" xfId="16362" xr:uid="{4E16D46C-A24B-49D9-98AE-E8AF2958529B}"/>
    <cellStyle name="Normal 4 4 6 8" xfId="5309" xr:uid="{AD9C102B-E7E3-42B7-B1B6-C3A62299AFFD}"/>
    <cellStyle name="Normal 4 4 6 8 2" xfId="14607" xr:uid="{1685A019-ADCE-4DCC-AC3E-5AE359E98039}"/>
    <cellStyle name="Normal 4 4 6 9" xfId="7060" xr:uid="{0BF99C63-D936-4520-8302-D6886B2EE38C}"/>
    <cellStyle name="Normal 4 4 6 9 2" xfId="17440" xr:uid="{094F1905-0AC2-4F65-AA57-2BEDE667EA1A}"/>
    <cellStyle name="Normal 4 4 7" xfId="1011" xr:uid="{00000000-0005-0000-0000-0000A5050000}"/>
    <cellStyle name="Normal 4 4 7 10" xfId="12605" xr:uid="{BE2E1CCC-8E0B-42B4-80F4-C097E12EA611}"/>
    <cellStyle name="Normal 4 4 7 2" xfId="1012" xr:uid="{00000000-0005-0000-0000-0000A6050000}"/>
    <cellStyle name="Normal 4 4 7 2 2" xfId="2940" xr:uid="{00000000-0005-0000-0000-00005F060000}"/>
    <cellStyle name="Normal 4 4 7 2 2 2" xfId="6120" xr:uid="{739E3C6C-3BC4-4710-BE80-BABD08607F1C}"/>
    <cellStyle name="Normal 4 4 7 2 2 2 2" xfId="28204" xr:uid="{B9B6BB46-17CB-463D-B5E2-D358C4D8E0A3}"/>
    <cellStyle name="Normal 4 4 7 2 2 2 3" xfId="28124" xr:uid="{84041D0C-67BA-42DE-AF1B-CF88387940E8}"/>
    <cellStyle name="Normal 4 4 7 2 2 2 4" xfId="15598" xr:uid="{5BD3ED8F-A6EE-445C-8983-1EA763AEE431}"/>
    <cellStyle name="Normal 4 4 7 2 2 3" xfId="8051" xr:uid="{9BC7E3A2-97B1-4155-BED8-0450534958EB}"/>
    <cellStyle name="Normal 4 4 7 2 2 3 2" xfId="28756" xr:uid="{59F44E47-61D4-487A-B6B0-8DD0578FF29E}"/>
    <cellStyle name="Normal 4 4 7 2 2 3 3" xfId="18431" xr:uid="{A277618E-25E9-45FE-B30E-D361972BFF66}"/>
    <cellStyle name="Normal 4 4 7 2 2 4" xfId="10884" xr:uid="{7BC19122-8DB7-40C1-9B1B-DA4109E1F3B3}"/>
    <cellStyle name="Normal 4 4 7 2 2 4 2" xfId="21264" xr:uid="{2DA393C0-188B-4C45-BC22-0CF9B66ABCE0}"/>
    <cellStyle name="Normal 4 4 7 2 2 5" xfId="25362" xr:uid="{26658244-70BC-43F2-AC33-AC46E39822A2}"/>
    <cellStyle name="Normal 4 4 7 2 2 6" xfId="13461" xr:uid="{53200119-9172-4A95-8A94-C69F418E49D2}"/>
    <cellStyle name="Normal 4 4 7 2 3" xfId="5315" xr:uid="{8855BF12-6019-4F08-8D31-48B5D2CBE86F}"/>
    <cellStyle name="Normal 4 4 7 2 3 2" xfId="25321" xr:uid="{B3546D37-3921-4781-816B-A0D72D6CECCA}"/>
    <cellStyle name="Normal 4 4 7 2 3 3" xfId="27943" xr:uid="{3B488F3E-307F-4D08-91EA-1DA9B36B8E7F}"/>
    <cellStyle name="Normal 4 4 7 2 3 4" xfId="14613" xr:uid="{0873A52E-2D45-4329-A475-6AE635A0044F}"/>
    <cellStyle name="Normal 4 4 7 2 4" xfId="7066" xr:uid="{E0A5C9CA-0461-4194-9D7C-EA7E8E4CB9FD}"/>
    <cellStyle name="Normal 4 4 7 2 4 2" xfId="26122" xr:uid="{C916E597-A8CD-486E-A7F8-EC17BC61C6DA}"/>
    <cellStyle name="Normal 4 4 7 2 4 3" xfId="26844" xr:uid="{93C317D0-1586-4181-9382-AD6CD41ECCB9}"/>
    <cellStyle name="Normal 4 4 7 2 4 4" xfId="17446" xr:uid="{BC5163DF-52C1-44F3-8E66-96FC4FA18BF1}"/>
    <cellStyle name="Normal 4 4 7 2 5" xfId="9899" xr:uid="{86153E0A-46F0-4490-8FB0-9658F09105C3}"/>
    <cellStyle name="Normal 4 4 7 2 5 2" xfId="29429" xr:uid="{77998EB9-9E9D-4C01-BF5B-DBAB23E07B61}"/>
    <cellStyle name="Normal 4 4 7 2 5 3" xfId="20279" xr:uid="{CA409681-E26E-4AA3-B857-CF5E3EAE2290}"/>
    <cellStyle name="Normal 4 4 7 2 6" xfId="25110" xr:uid="{105F8BDA-A8FB-41D5-93EA-6C694D3D11B6}"/>
    <cellStyle name="Normal 4 4 7 2 7" xfId="12763" xr:uid="{7E61096A-02F1-4E78-B943-FCD9B78AC160}"/>
    <cellStyle name="Normal 4 4 7 3" xfId="1013" xr:uid="{00000000-0005-0000-0000-0000A7050000}"/>
    <cellStyle name="Normal 4 4 7 3 2" xfId="5316" xr:uid="{01131E2F-8EF3-4945-8C23-69F1216AC88A}"/>
    <cellStyle name="Normal 4 4 7 3 2 2" xfId="28235" xr:uid="{C434865C-34D3-49FF-8293-9B8656923D8B}"/>
    <cellStyle name="Normal 4 4 7 3 2 3" xfId="27827" xr:uid="{CF036B8A-CD5E-4D53-849A-F97D686F47AA}"/>
    <cellStyle name="Normal 4 4 7 3 2 4" xfId="14614" xr:uid="{5189D6BB-F4D5-4B79-8B8C-C6C836B28BAC}"/>
    <cellStyle name="Normal 4 4 7 3 3" xfId="7067" xr:uid="{7555240E-38B2-43C1-9E90-FD713A904B1F}"/>
    <cellStyle name="Normal 4 4 7 3 3 2" xfId="27894" xr:uid="{EE69ED68-CFCA-4C30-A445-607FAA96086A}"/>
    <cellStyle name="Normal 4 4 7 3 3 3" xfId="26674" xr:uid="{835D1CD2-07EB-4A25-A908-EC8BCEB97763}"/>
    <cellStyle name="Normal 4 4 7 3 3 4" xfId="17447" xr:uid="{ADA868AD-870A-4CA5-8622-ED0B2CCA1006}"/>
    <cellStyle name="Normal 4 4 7 3 4" xfId="9900" xr:uid="{2BFE620A-152E-4F86-8D83-6C4282D8C08B}"/>
    <cellStyle name="Normal 4 4 7 3 4 2" xfId="29430" xr:uid="{62280D68-F16B-4781-8756-B87E8D307E56}"/>
    <cellStyle name="Normal 4 4 7 3 4 3" xfId="20280" xr:uid="{9F6C3DB9-7907-46E1-99DD-A78579C02DD3}"/>
    <cellStyle name="Normal 4 4 7 3 5" xfId="23595" xr:uid="{34E6FD28-94AE-4D10-B5DA-2494E0F80D72}"/>
    <cellStyle name="Normal 4 4 7 3 6" xfId="13253" xr:uid="{8236CB6B-110F-479A-B16F-F1CCAA18212C}"/>
    <cellStyle name="Normal 4 4 7 4" xfId="2371" xr:uid="{00000000-0005-0000-0000-00005D060000}"/>
    <cellStyle name="Normal 4 4 7 4 2" xfId="7498" xr:uid="{C5E5C587-D37B-4EEC-AC44-02E0A02ADAC0}"/>
    <cellStyle name="Normal 4 4 7 4 2 2" xfId="28131" xr:uid="{7CC963D8-A7C0-4AE3-803B-CD3A4A515ACE}"/>
    <cellStyle name="Normal 4 4 7 4 2 3" xfId="17878" xr:uid="{1F68883E-EA4B-400F-9D3E-A0D99942D46A}"/>
    <cellStyle name="Normal 4 4 7 4 3" xfId="10331" xr:uid="{DBF57A1A-56F9-40E0-BDE1-F8652914CED0}"/>
    <cellStyle name="Normal 4 4 7 4 3 2" xfId="20711" xr:uid="{BAEAEC53-A598-4BCE-8947-DB2053EB9A3E}"/>
    <cellStyle name="Normal 4 4 7 4 4" xfId="24325" xr:uid="{B528F158-5BA1-4DE3-A2B8-28688EBCF78E}"/>
    <cellStyle name="Normal 4 4 7 4 5" xfId="15045" xr:uid="{E8FCA9D8-19D6-46FF-989C-F65C6B962B8D}"/>
    <cellStyle name="Normal 4 4 7 5" xfId="3992" xr:uid="{0F79F3EA-E187-4CE0-A8FD-B5B5C55A2C34}"/>
    <cellStyle name="Normal 4 4 7 5 2" xfId="8816" xr:uid="{B9B292B2-B717-4937-A76C-E0D161E48CA1}"/>
    <cellStyle name="Normal 4 4 7 5 2 2" xfId="28989" xr:uid="{162BEE58-A72A-4235-BB90-FDC3F3FCF0D0}"/>
    <cellStyle name="Normal 4 4 7 5 2 3" xfId="19196" xr:uid="{FD39C0AC-80DB-418A-BA40-70EE4F06A60C}"/>
    <cellStyle name="Normal 4 4 7 5 3" xfId="11649" xr:uid="{86EAD745-13DD-4ED2-8C0C-CCE3B7140DC1}"/>
    <cellStyle name="Normal 4 4 7 5 3 2" xfId="22029" xr:uid="{7208CB3C-6719-4C7D-94A0-1D0A5F794197}"/>
    <cellStyle name="Normal 4 4 7 5 4" xfId="22769" xr:uid="{171DFFCF-8897-4D15-BC6C-6BC6A6368CD8}"/>
    <cellStyle name="Normal 4 4 7 5 5" xfId="16363" xr:uid="{56DA68A7-DB3A-4581-BBE8-11EC60C96E9A}"/>
    <cellStyle name="Normal 4 4 7 6" xfId="5314" xr:uid="{A85E22A9-BA61-4E82-9819-FD9350344DC6}"/>
    <cellStyle name="Normal 4 4 7 6 2" xfId="25839" xr:uid="{47E2AEBB-D426-4ED2-BC33-5DF917777329}"/>
    <cellStyle name="Normal 4 4 7 6 3" xfId="26007" xr:uid="{95FB43E7-92C9-47E0-9490-7A66BA3AA9FB}"/>
    <cellStyle name="Normal 4 4 7 6 4" xfId="14612" xr:uid="{3238C1FE-2161-4FA8-A595-B1270CEB73FD}"/>
    <cellStyle name="Normal 4 4 7 7" xfId="7065" xr:uid="{CFF826D0-17A6-4F60-BFC2-4F8BAF7E4B07}"/>
    <cellStyle name="Normal 4 4 7 7 2" xfId="26196" xr:uid="{8E57E475-14CC-45D6-A680-229D5E5F470A}"/>
    <cellStyle name="Normal 4 4 7 7 3" xfId="17445" xr:uid="{42815ED4-7DE4-4A73-B27A-3D4ED683CB7C}"/>
    <cellStyle name="Normal 4 4 7 8" xfId="9898" xr:uid="{F2E3B44A-489C-493E-B3A9-1B228B724265}"/>
    <cellStyle name="Normal 4 4 7 8 2" xfId="20278" xr:uid="{6A72BC74-B1A4-4BDE-B09C-56BC6A952D22}"/>
    <cellStyle name="Normal 4 4 7 9" xfId="24138" xr:uid="{1E88A1D6-AE38-454E-B846-A2C177D96F6C}"/>
    <cellStyle name="Normal 4 4 8" xfId="1014" xr:uid="{00000000-0005-0000-0000-0000A8050000}"/>
    <cellStyle name="Normal 4 4 8 10" xfId="12606" xr:uid="{CA4D673E-C050-4B79-9C4C-56FA448EBC15}"/>
    <cellStyle name="Normal 4 4 8 2" xfId="1015" xr:uid="{00000000-0005-0000-0000-0000A9050000}"/>
    <cellStyle name="Normal 4 4 8 2 2" xfId="2941" xr:uid="{00000000-0005-0000-0000-000063060000}"/>
    <cellStyle name="Normal 4 4 8 2 2 2" xfId="6121" xr:uid="{3B030003-B56E-42A1-BF46-6D8C66FAE20A}"/>
    <cellStyle name="Normal 4 4 8 2 2 2 2" xfId="26503" xr:uid="{55689746-DEF0-4320-848A-9B0759700AEB}"/>
    <cellStyle name="Normal 4 4 8 2 2 2 3" xfId="28055" xr:uid="{C71B9B98-3B4D-4E5F-BB4C-B1108EB56177}"/>
    <cellStyle name="Normal 4 4 8 2 2 2 4" xfId="15599" xr:uid="{8B45946F-F579-493E-A777-F797ED3B3ED7}"/>
    <cellStyle name="Normal 4 4 8 2 2 3" xfId="8052" xr:uid="{A1D8FC59-41AB-4B04-835B-88003565BB56}"/>
    <cellStyle name="Normal 4 4 8 2 2 3 2" xfId="28757" xr:uid="{7A1FB7CD-6657-4363-B93E-C081C6C4C0CB}"/>
    <cellStyle name="Normal 4 4 8 2 2 3 3" xfId="18432" xr:uid="{72AF5404-8023-4DB0-9944-A6DD6DCFB028}"/>
    <cellStyle name="Normal 4 4 8 2 2 4" xfId="10885" xr:uid="{4B8C7705-E943-41CC-AD24-E8C077E49547}"/>
    <cellStyle name="Normal 4 4 8 2 2 4 2" xfId="21265" xr:uid="{7815DE7E-E3DB-4C8C-9ABD-97F8BC87D048}"/>
    <cellStyle name="Normal 4 4 8 2 2 5" xfId="24556" xr:uid="{7B00F632-A9E3-4CE5-A0A3-A286B6264ADD}"/>
    <cellStyle name="Normal 4 4 8 2 2 6" xfId="13462" xr:uid="{D6D86F86-10C3-4068-A8C3-4DF59F5B0A4B}"/>
    <cellStyle name="Normal 4 4 8 2 3" xfId="5318" xr:uid="{9246B56E-1A83-4A34-AEE9-9F32336FBABB}"/>
    <cellStyle name="Normal 4 4 8 2 3 2" xfId="24455" xr:uid="{F6CF408D-21E3-45A3-9562-314F90F14C3B}"/>
    <cellStyle name="Normal 4 4 8 2 3 3" xfId="26426" xr:uid="{FCE6C010-CFD8-4054-95A6-8CA459188694}"/>
    <cellStyle name="Normal 4 4 8 2 3 4" xfId="14616" xr:uid="{DBB95E87-488E-4B51-875B-6DDB208D5741}"/>
    <cellStyle name="Normal 4 4 8 2 4" xfId="7069" xr:uid="{784F18AB-9B24-435D-A6C4-E92B56265C4A}"/>
    <cellStyle name="Normal 4 4 8 2 4 2" xfId="27921" xr:uid="{B516F256-A46D-4533-B3BE-949792F2EE22}"/>
    <cellStyle name="Normal 4 4 8 2 4 3" xfId="26300" xr:uid="{1B4D7294-8EFD-48E3-AFD0-F972FDD89B90}"/>
    <cellStyle name="Normal 4 4 8 2 4 4" xfId="17449" xr:uid="{2E4C7ADD-D813-48C2-9E9A-50A1584D5C47}"/>
    <cellStyle name="Normal 4 4 8 2 5" xfId="9902" xr:uid="{1334673B-C8EC-4F39-8F95-079A2CD23FC4}"/>
    <cellStyle name="Normal 4 4 8 2 5 2" xfId="29431" xr:uid="{687C5457-0533-4C0A-A75C-1E00870144C9}"/>
    <cellStyle name="Normal 4 4 8 2 5 3" xfId="20282" xr:uid="{3C14766A-0A36-4E73-9351-D85562379DCA}"/>
    <cellStyle name="Normal 4 4 8 2 6" xfId="25497" xr:uid="{50DCEEB4-C889-4D27-97DC-BC2667E44D01}"/>
    <cellStyle name="Normal 4 4 8 2 7" xfId="12764" xr:uid="{31369979-5E9F-49CA-B930-C7881B0CFDC4}"/>
    <cellStyle name="Normal 4 4 8 3" xfId="1016" xr:uid="{00000000-0005-0000-0000-0000AA050000}"/>
    <cellStyle name="Normal 4 4 8 3 2" xfId="5319" xr:uid="{E2E86F4F-68D8-4D3C-887D-E8698892714F}"/>
    <cellStyle name="Normal 4 4 8 3 2 2" xfId="28058" xr:uid="{9598AFDD-A9A2-49DD-82A6-683E26459F21}"/>
    <cellStyle name="Normal 4 4 8 3 2 3" xfId="26993" xr:uid="{05E819AC-9A8C-4470-AB06-D02124642DB4}"/>
    <cellStyle name="Normal 4 4 8 3 2 4" xfId="14617" xr:uid="{9DB887E8-6FE6-41E0-9104-704BE88CFAE2}"/>
    <cellStyle name="Normal 4 4 8 3 3" xfId="7070" xr:uid="{6136E152-FF19-4728-A14E-BEDDD685E76B}"/>
    <cellStyle name="Normal 4 4 8 3 3 2" xfId="26274" xr:uid="{85F66EFF-3E16-49ED-A55B-EDFE591B5F31}"/>
    <cellStyle name="Normal 4 4 8 3 3 3" xfId="28442" xr:uid="{ADA1B494-E9DC-4EC2-A61F-A4947ABF1DB0}"/>
    <cellStyle name="Normal 4 4 8 3 3 4" xfId="17450" xr:uid="{967985C4-1652-48A3-99A2-9A65A7D80E71}"/>
    <cellStyle name="Normal 4 4 8 3 4" xfId="9903" xr:uid="{7702B13A-43EF-4E0A-AA07-6FA1DC99BEF8}"/>
    <cellStyle name="Normal 4 4 8 3 4 2" xfId="29432" xr:uid="{2EC8BCFC-BBFD-4382-9809-576090B6E08E}"/>
    <cellStyle name="Normal 4 4 8 3 4 3" xfId="20283" xr:uid="{618991E1-9A96-434F-B9A4-EAED83440C2D}"/>
    <cellStyle name="Normal 4 4 8 3 5" xfId="23293" xr:uid="{18A56854-BEAD-407D-A018-555695D98BFA}"/>
    <cellStyle name="Normal 4 4 8 3 6" xfId="13254" xr:uid="{AF5ACC42-87E4-4CDD-8C76-C26E024EB400}"/>
    <cellStyle name="Normal 4 4 8 4" xfId="2372" xr:uid="{00000000-0005-0000-0000-000061060000}"/>
    <cellStyle name="Normal 4 4 8 4 2" xfId="7499" xr:uid="{FA712A1A-C78D-4566-8A6C-60C002B93D64}"/>
    <cellStyle name="Normal 4 4 8 4 2 2" xfId="27833" xr:uid="{381D6260-34DA-47E2-8058-A41C2BE171A8}"/>
    <cellStyle name="Normal 4 4 8 4 2 3" xfId="17879" xr:uid="{6FE155C9-8C14-4E52-88A7-A2CB0868796E}"/>
    <cellStyle name="Normal 4 4 8 4 3" xfId="10332" xr:uid="{39EB91E6-4ACE-4B49-876D-EAFF865DC635}"/>
    <cellStyle name="Normal 4 4 8 4 3 2" xfId="20712" xr:uid="{FD6F8C03-761E-4C03-8A95-BAE1ADB9BA73}"/>
    <cellStyle name="Normal 4 4 8 4 4" xfId="23868" xr:uid="{F9E5135A-FDC8-4959-8530-BF40C1FAE2F9}"/>
    <cellStyle name="Normal 4 4 8 4 5" xfId="15046" xr:uid="{0A2370EB-20FB-49F5-A552-E0C973F95EA0}"/>
    <cellStyle name="Normal 4 4 8 5" xfId="3993" xr:uid="{66074DC8-455C-4006-ADF6-E0B8C85BED19}"/>
    <cellStyle name="Normal 4 4 8 5 2" xfId="8817" xr:uid="{74F21ABD-C3E3-4736-AAFA-FE36F5BBB9F6}"/>
    <cellStyle name="Normal 4 4 8 5 2 2" xfId="28990" xr:uid="{41717647-6C0F-4488-B084-66A8DF15AC31}"/>
    <cellStyle name="Normal 4 4 8 5 2 3" xfId="19197" xr:uid="{B5BE8052-07B6-43B5-8A4F-7471A7DD6759}"/>
    <cellStyle name="Normal 4 4 8 5 3" xfId="11650" xr:uid="{6BD3B780-1A9D-4CB2-910D-9901479E1CAD}"/>
    <cellStyle name="Normal 4 4 8 5 3 2" xfId="22030" xr:uid="{217EDAC7-5B6E-4A9D-AD15-CC9E63973CD4}"/>
    <cellStyle name="Normal 4 4 8 5 4" xfId="24345" xr:uid="{D28B7987-F71C-4787-A5FC-9EF235555BB9}"/>
    <cellStyle name="Normal 4 4 8 5 5" xfId="16364" xr:uid="{5710F248-B8F6-45C7-9645-D9C127473090}"/>
    <cellStyle name="Normal 4 4 8 6" xfId="5317" xr:uid="{F8D64C33-7F81-41CA-9A7B-BFD5509966D8}"/>
    <cellStyle name="Normal 4 4 8 6 2" xfId="27535" xr:uid="{7187DCBB-45D7-4B5E-A8C5-82C22FFC67E2}"/>
    <cellStyle name="Normal 4 4 8 6 3" xfId="28007" xr:uid="{786F944A-3147-4519-BA27-59A4A7F1B2D6}"/>
    <cellStyle name="Normal 4 4 8 6 4" xfId="14615" xr:uid="{560EE69E-BF5B-4779-B1F0-231547ED5E82}"/>
    <cellStyle name="Normal 4 4 8 7" xfId="7068" xr:uid="{F399FB8A-5BC4-4EB4-B81B-88874D581273}"/>
    <cellStyle name="Normal 4 4 8 7 2" xfId="28316" xr:uid="{91F53F6E-A880-4A63-B005-FD4580B83008}"/>
    <cellStyle name="Normal 4 4 8 7 3" xfId="17448" xr:uid="{CDA6D52B-FFC4-49E4-9A1B-BDB693C3B365}"/>
    <cellStyle name="Normal 4 4 8 8" xfId="9901" xr:uid="{B9C897C8-DF7B-4B98-90AB-F54105A6587F}"/>
    <cellStyle name="Normal 4 4 8 8 2" xfId="20281" xr:uid="{997751F3-F99B-4C88-9BF7-923088706D95}"/>
    <cellStyle name="Normal 4 4 8 9" xfId="24160" xr:uid="{E53EE9DC-B68A-46D1-9E6E-02406200460A}"/>
    <cellStyle name="Normal 4 4 9" xfId="1017" xr:uid="{00000000-0005-0000-0000-0000AB050000}"/>
    <cellStyle name="Normal 4 4 9 10" xfId="12599" xr:uid="{5A0CACBA-0ADF-4C2D-AF49-84D4C895EBAD}"/>
    <cellStyle name="Normal 4 4 9 2" xfId="3361" xr:uid="{00000000-0005-0000-0000-000066060000}"/>
    <cellStyle name="Normal 4 4 9 2 2" xfId="6419" xr:uid="{E4AF7A96-E96D-4A82-ACA7-4C11F0D7C92B}"/>
    <cellStyle name="Normal 4 4 9 2 2 2" xfId="25584" xr:uid="{95E6D108-01E8-4E01-ADAC-DEB0E72B18B2}"/>
    <cellStyle name="Normal 4 4 9 2 2 3" xfId="27010" xr:uid="{BE56A05B-1114-426E-BCA5-3A954C7CD794}"/>
    <cellStyle name="Normal 4 4 9 2 2 4" xfId="15988" xr:uid="{85AE6A65-C461-434B-A61D-C2E0706D0C74}"/>
    <cellStyle name="Normal 4 4 9 2 3" xfId="8441" xr:uid="{577A0B1F-AC1F-4BC0-AB30-531865130E5F}"/>
    <cellStyle name="Normal 4 4 9 2 3 2" xfId="26792" xr:uid="{8D1DA3C0-8FB4-4B9B-A557-EA97B493353B}"/>
    <cellStyle name="Normal 4 4 9 2 3 3" xfId="28915" xr:uid="{4BFC9D8D-BAFA-4124-83BC-9E3B7B622031}"/>
    <cellStyle name="Normal 4 4 9 2 3 4" xfId="18821" xr:uid="{2E647F9E-E2C3-42BC-8F48-0C1C797DE2CC}"/>
    <cellStyle name="Normal 4 4 9 2 4" xfId="11274" xr:uid="{352B4982-1DFF-4298-B613-2AD3941627D6}"/>
    <cellStyle name="Normal 4 4 9 2 4 2" xfId="29482" xr:uid="{A1180E81-8564-4CE8-922C-FF3837930D29}"/>
    <cellStyle name="Normal 4 4 9 2 4 3" xfId="21654" xr:uid="{8A7C8604-394A-444B-BD57-6AD3BB43B5C6}"/>
    <cellStyle name="Normal 4 4 9 2 5" xfId="25249" xr:uid="{16250F2A-05B5-4982-B1E5-77966F846550}"/>
    <cellStyle name="Normal 4 4 9 2 6" xfId="13927" xr:uid="{C57D806F-2A8C-42A5-A13D-1FF5221E0EF1}"/>
    <cellStyle name="Normal 4 4 9 3" xfId="2784" xr:uid="{00000000-0005-0000-0000-000067060000}"/>
    <cellStyle name="Normal 4 4 9 3 2" xfId="6002" xr:uid="{35824E72-C820-4089-9B84-2E0915F4580B}"/>
    <cellStyle name="Normal 4 4 9 3 2 2" xfId="26642" xr:uid="{EF8A40E1-2C34-47A0-8B16-1952077E715F}"/>
    <cellStyle name="Normal 4 4 9 3 2 3" xfId="15455" xr:uid="{B433D18A-56D1-4E0A-AE47-E06C0B81FEEA}"/>
    <cellStyle name="Normal 4 4 9 3 3" xfId="7908" xr:uid="{7769BCCC-8662-45CB-BABF-FE672D2DC0D0}"/>
    <cellStyle name="Normal 4 4 9 3 3 2" xfId="18288" xr:uid="{82CA3D6F-48E9-48C4-B373-F0BC9EF0F919}"/>
    <cellStyle name="Normal 4 4 9 3 4" xfId="10741" xr:uid="{B625FE9A-9DCE-4A4C-863D-8C0F57055D89}"/>
    <cellStyle name="Normal 4 4 9 3 4 2" xfId="21121" xr:uid="{89EE809F-2E16-478F-9505-8E62211C6B74}"/>
    <cellStyle name="Normal 4 4 9 3 5" xfId="24634" xr:uid="{0C71D55D-EBFC-4EE4-B11A-2D9A40CF1681}"/>
    <cellStyle name="Normal 4 4 9 3 6" xfId="13241" xr:uid="{16EADAB8-665E-4FE6-8429-1BFA7B82A5E8}"/>
    <cellStyle name="Normal 4 4 9 4" xfId="2365" xr:uid="{00000000-0005-0000-0000-000065060000}"/>
    <cellStyle name="Normal 4 4 9 4 2" xfId="7492" xr:uid="{0D5B0C44-6BCA-4539-8F51-2C183B8CA95A}"/>
    <cellStyle name="Normal 4 4 9 4 2 2" xfId="27847" xr:uid="{FCE6E47D-11D2-41A0-8218-BEF34BE38AF3}"/>
    <cellStyle name="Normal 4 4 9 4 2 3" xfId="17872" xr:uid="{42B9D3BE-8C30-41DF-96F3-DD334FC868D9}"/>
    <cellStyle name="Normal 4 4 9 4 3" xfId="10325" xr:uid="{7B8E750E-5139-4B20-AA09-F525B515AB18}"/>
    <cellStyle name="Normal 4 4 9 4 3 2" xfId="20705" xr:uid="{4294726E-CB1F-4246-B787-ACAC8C42AF9A}"/>
    <cellStyle name="Normal 4 4 9 4 4" xfId="25582" xr:uid="{30138CC3-E5CB-44A7-B41E-0E5758EEF6B1}"/>
    <cellStyle name="Normal 4 4 9 4 5" xfId="15039" xr:uid="{F338BB69-EDFA-45F5-A04C-D0226545A720}"/>
    <cellStyle name="Normal 4 4 9 5" xfId="3900" xr:uid="{44024C00-D3FE-47D0-B57A-39580CDEC769}"/>
    <cellStyle name="Normal 4 4 9 5 2" xfId="8732" xr:uid="{C9717C74-7ED6-40DF-A525-D9A0632BEECA}"/>
    <cellStyle name="Normal 4 4 9 5 2 2" xfId="19112" xr:uid="{1D841BDB-54D9-4A29-ABBC-AC0A4EDD03CB}"/>
    <cellStyle name="Normal 4 4 9 5 3" xfId="11565" xr:uid="{DE1FCD04-E87D-4AF7-8575-2D2CA3BE974D}"/>
    <cellStyle name="Normal 4 4 9 5 3 2" xfId="21945" xr:uid="{D19CA735-0498-486F-94B6-3344196D843B}"/>
    <cellStyle name="Normal 4 4 9 5 4" xfId="26267" xr:uid="{E400FC7F-A257-4C8F-BEAE-B5BFE3B7941D}"/>
    <cellStyle name="Normal 4 4 9 5 5" xfId="16279" xr:uid="{2C589C1A-4480-4627-B1F6-BC45103A33AC}"/>
    <cellStyle name="Normal 4 4 9 6" xfId="5320" xr:uid="{1569C5B3-5BBD-41FF-A302-F6D3990CFE26}"/>
    <cellStyle name="Normal 4 4 9 6 2" xfId="14618" xr:uid="{90A61658-C676-41E9-AE1D-F2159225B933}"/>
    <cellStyle name="Normal 4 4 9 7" xfId="7071" xr:uid="{3B9657B6-2776-4C06-B00B-D5BF82FB8EBB}"/>
    <cellStyle name="Normal 4 4 9 7 2" xfId="17451" xr:uid="{1EB034C5-53AA-46EE-94D3-339F728C90A8}"/>
    <cellStyle name="Normal 4 4 9 8" xfId="9904" xr:uid="{0324C80B-CF82-4EAF-971C-9218D29CB131}"/>
    <cellStyle name="Normal 4 4 9 8 2" xfId="20284" xr:uid="{28350CE1-D0C6-48D3-B3A0-BCCB4DF62AA3}"/>
    <cellStyle name="Normal 4 4 9 9" xfId="23444" xr:uid="{52970C66-47E4-431A-A6CC-18EE61A73DF0}"/>
    <cellStyle name="Normal 4 5" xfId="1018" xr:uid="{00000000-0005-0000-0000-0000AC050000}"/>
    <cellStyle name="Normal 4 5 10" xfId="5321" xr:uid="{AA327A81-5DC8-4692-9340-18993223415C}"/>
    <cellStyle name="Normal 4 5 10 2" xfId="14619" xr:uid="{7AB21E60-FA17-4254-B2B7-89D2BF5D690D}"/>
    <cellStyle name="Normal 4 5 11" xfId="7072" xr:uid="{C32C56F1-0EAB-44E2-9660-3E5C3F7ADDD7}"/>
    <cellStyle name="Normal 4 5 11 2" xfId="17452" xr:uid="{6D3AC4D4-2603-4D59-9880-7C347BAB594F}"/>
    <cellStyle name="Normal 4 5 12" xfId="9905" xr:uid="{8A633793-0BE1-48E7-9C01-528C21AF03E3}"/>
    <cellStyle name="Normal 4 5 12 2" xfId="20285" xr:uid="{48BB7326-53B9-4CF0-990F-441553D826C0}"/>
    <cellStyle name="Normal 4 5 13" xfId="25555" xr:uid="{2F7C80D2-515F-4B37-B3C2-0F41716B2516}"/>
    <cellStyle name="Normal 4 5 14" xfId="12409" xr:uid="{B417FB53-83C9-4E23-AAD7-B3EAE28C9430}"/>
    <cellStyle name="Normal 4 5 15" xfId="29574" xr:uid="{342C3EE9-6C31-424A-9F89-DC76ECE22115}"/>
    <cellStyle name="Normal 4 5 2" xfId="1019" xr:uid="{00000000-0005-0000-0000-0000AD050000}"/>
    <cellStyle name="Normal 4 5 2 10" xfId="7073" xr:uid="{F155FB5D-A444-46A9-93BA-D8A9F0A5D191}"/>
    <cellStyle name="Normal 4 5 2 10 2" xfId="17453" xr:uid="{0F2B164B-DE3C-46D9-B07B-7FCBDE3FF356}"/>
    <cellStyle name="Normal 4 5 2 11" xfId="9906" xr:uid="{0D429FD2-0B1E-4471-B9F3-559075B323D7}"/>
    <cellStyle name="Normal 4 5 2 11 2" xfId="20286" xr:uid="{77EB6FD4-BFDD-4C63-A826-EAF2B1D2DB15}"/>
    <cellStyle name="Normal 4 5 2 12" xfId="22647" xr:uid="{37A174BD-5DC6-4FD8-94FD-A049106B499C}"/>
    <cellStyle name="Normal 4 5 2 13" xfId="12469" xr:uid="{C96A457C-163F-4A39-B685-9058D2B1740E}"/>
    <cellStyle name="Normal 4 5 2 2" xfId="1020" xr:uid="{00000000-0005-0000-0000-0000AE050000}"/>
    <cellStyle name="Normal 4 5 2 2 10" xfId="9907" xr:uid="{FFBED01D-56C2-4DB9-A0A4-A4A176A4EB92}"/>
    <cellStyle name="Normal 4 5 2 2 10 2" xfId="20287" xr:uid="{18E5ED31-4796-427B-9D96-7A548B10B54A}"/>
    <cellStyle name="Normal 4 5 2 2 11" xfId="25565" xr:uid="{81FE1A69-411D-4DDA-AF27-D125FA94B8BA}"/>
    <cellStyle name="Normal 4 5 2 2 12" xfId="12608" xr:uid="{E5BE488E-DB85-46C7-B4FB-96ECB8A84659}"/>
    <cellStyle name="Normal 4 5 2 2 2" xfId="2795" xr:uid="{00000000-0005-0000-0000-00006B060000}"/>
    <cellStyle name="Normal 4 5 2 2 2 2" xfId="3363" xr:uid="{00000000-0005-0000-0000-00006C060000}"/>
    <cellStyle name="Normal 4 5 2 2 2 2 2" xfId="6421" xr:uid="{CB9A58F2-7890-4B6A-B0C4-08609EA3C9E0}"/>
    <cellStyle name="Normal 4 5 2 2 2 2 2 2" xfId="27473" xr:uid="{6A596950-F3A1-4201-8AF3-BD26A11E2E56}"/>
    <cellStyle name="Normal 4 5 2 2 2 2 2 3" xfId="27698" xr:uid="{659DC479-2BD7-4C6B-A33F-4D56A628B69D}"/>
    <cellStyle name="Normal 4 5 2 2 2 2 2 4" xfId="15990" xr:uid="{AF62BC5F-90DA-48E2-9A61-D3AB3816239E}"/>
    <cellStyle name="Normal 4 5 2 2 2 2 3" xfId="8443" xr:uid="{E90C640C-377B-4859-B0B4-A0564CE7D292}"/>
    <cellStyle name="Normal 4 5 2 2 2 2 3 2" xfId="28916" xr:uid="{54DEA4A0-01F6-40FB-A2AC-E0F618CA4A75}"/>
    <cellStyle name="Normal 4 5 2 2 2 2 3 3" xfId="18823" xr:uid="{1B15CFE1-10C9-40DA-B3F8-660B318D9E18}"/>
    <cellStyle name="Normal 4 5 2 2 2 2 4" xfId="11276" xr:uid="{CBF7840A-2BA2-490C-B408-4DFF8EA1F616}"/>
    <cellStyle name="Normal 4 5 2 2 2 2 4 2" xfId="21656" xr:uid="{45A1692A-DBBE-4571-949E-33F95E2F398C}"/>
    <cellStyle name="Normal 4 5 2 2 2 2 5" xfId="24920" xr:uid="{93AE2126-44B0-49B6-B346-061AC55C26EC}"/>
    <cellStyle name="Normal 4 5 2 2 2 2 6" xfId="13929" xr:uid="{01FF4D2D-6593-4498-AE66-ED53884D3B92}"/>
    <cellStyle name="Normal 4 5 2 2 2 3" xfId="4346" xr:uid="{F0DDF63A-1063-4A2C-834C-B0B9CC1595CB}"/>
    <cellStyle name="Normal 4 5 2 2 2 3 2" xfId="9118" xr:uid="{BE46173D-FC4C-4278-8555-0A3E13585A74}"/>
    <cellStyle name="Normal 4 5 2 2 2 3 2 2" xfId="29161" xr:uid="{EC26D65F-F883-4724-B3CF-72B900784BA4}"/>
    <cellStyle name="Normal 4 5 2 2 2 3 2 3" xfId="19498" xr:uid="{1037B84C-96B6-4E71-AE42-DB51C5047C4E}"/>
    <cellStyle name="Normal 4 5 2 2 2 3 3" xfId="11951" xr:uid="{BF4F16E1-1A00-4456-8E40-339F03E81D01}"/>
    <cellStyle name="Normal 4 5 2 2 2 3 3 2" xfId="22331" xr:uid="{CAEE0D91-E467-4130-A58D-FF5E780ED312}"/>
    <cellStyle name="Normal 4 5 2 2 2 3 4" xfId="24863" xr:uid="{7EAC0034-6BE9-4D0F-B584-A2C11E70DF05}"/>
    <cellStyle name="Normal 4 5 2 2 2 3 5" xfId="16665" xr:uid="{1A28BFBF-7731-4AB4-9B8B-9B1F1C447379}"/>
    <cellStyle name="Normal 4 5 2 2 2 4" xfId="6013" xr:uid="{8B49FA82-7B6D-4BE6-9B2F-5FB1467284B1}"/>
    <cellStyle name="Normal 4 5 2 2 2 4 2" xfId="26080" xr:uid="{D88B92DB-CA08-4AB4-83F0-0D8CC800957B}"/>
    <cellStyle name="Normal 4 5 2 2 2 4 3" xfId="15466" xr:uid="{03A527EE-D9C7-4438-83E1-C40E04B31A48}"/>
    <cellStyle name="Normal 4 5 2 2 2 5" xfId="7919" xr:uid="{46148B9B-5C5A-4E98-A683-7FF0356F6619}"/>
    <cellStyle name="Normal 4 5 2 2 2 5 2" xfId="18299" xr:uid="{FF1EB973-064D-4FD9-A7AF-A7BBDF5F6F43}"/>
    <cellStyle name="Normal 4 5 2 2 2 6" xfId="10752" xr:uid="{2FEAE426-4839-4F92-B94B-9B739D1958A8}"/>
    <cellStyle name="Normal 4 5 2 2 2 6 2" xfId="21132" xr:uid="{12431F26-C05B-4F11-95C5-F538C981F164}"/>
    <cellStyle name="Normal 4 5 2 2 2 7" xfId="24937" xr:uid="{386C30BC-3402-47D3-9CFA-77B7D0AC2B8C}"/>
    <cellStyle name="Normal 4 5 2 2 2 8" xfId="13257" xr:uid="{8151A255-92E0-4CAC-9A64-15EE978BF4BE}"/>
    <cellStyle name="Normal 4 5 2 2 3" xfId="3364" xr:uid="{00000000-0005-0000-0000-00006D060000}"/>
    <cellStyle name="Normal 4 5 2 2 3 2" xfId="4542" xr:uid="{5C992072-2692-40FE-BBF8-3D18743AFE66}"/>
    <cellStyle name="Normal 4 5 2 2 3 2 2" xfId="9314" xr:uid="{880D3A2B-4B2B-4A13-88D5-2BA0CFB149A3}"/>
    <cellStyle name="Normal 4 5 2 2 3 2 2 2" xfId="29291" xr:uid="{1B627872-8AE1-46BF-A8CA-B163849C6562}"/>
    <cellStyle name="Normal 4 5 2 2 3 2 2 3" xfId="19694" xr:uid="{81E00CB2-4CE0-4B43-9C1C-FFDF9B48CF3D}"/>
    <cellStyle name="Normal 4 5 2 2 3 2 3" xfId="12147" xr:uid="{4B085F41-08B4-4921-9306-0A37EB0AF2C5}"/>
    <cellStyle name="Normal 4 5 2 2 3 2 3 2" xfId="22527" xr:uid="{EB117C4D-BCAC-4C76-B3F6-79B66B8993B4}"/>
    <cellStyle name="Normal 4 5 2 2 3 2 4" xfId="26029" xr:uid="{B3F1682C-B58B-4F7B-9F3D-74263D292ABA}"/>
    <cellStyle name="Normal 4 5 2 2 3 2 5" xfId="16861" xr:uid="{D6B3FA64-94BE-402C-BB86-C7993554070A}"/>
    <cellStyle name="Normal 4 5 2 2 3 3" xfId="6422" xr:uid="{5D6D05FC-D0CA-4C56-BAD2-CA5C978CA780}"/>
    <cellStyle name="Normal 4 5 2 2 3 3 2" xfId="26715" xr:uid="{E2CA73D3-3870-41C5-A03B-CC41F8E2DA6E}"/>
    <cellStyle name="Normal 4 5 2 2 3 3 3" xfId="15991" xr:uid="{29D8A29D-7E64-4EA9-9528-D0F4D5EAA5CB}"/>
    <cellStyle name="Normal 4 5 2 2 3 4" xfId="8444" xr:uid="{F0E8D58E-5344-4E20-9372-6C93F92B2146}"/>
    <cellStyle name="Normal 4 5 2 2 3 4 2" xfId="18824" xr:uid="{27A8C04E-8DC4-4EE2-BB1E-2AEF5B1E16C1}"/>
    <cellStyle name="Normal 4 5 2 2 3 5" xfId="11277" xr:uid="{B7FFCAE5-5548-4065-97EF-997CE04E62F1}"/>
    <cellStyle name="Normal 4 5 2 2 3 5 2" xfId="21657" xr:uid="{1E8AE756-E401-42AB-B3D3-BC8125FA3A3E}"/>
    <cellStyle name="Normal 4 5 2 2 3 6" xfId="23298" xr:uid="{550288F8-7D60-4E23-9FEF-C72139F89487}"/>
    <cellStyle name="Normal 4 5 2 2 3 7" xfId="13930" xr:uid="{36AF86DA-92CA-4F5F-A5AA-A6C7EF40C8D0}"/>
    <cellStyle name="Normal 4 5 2 2 4" xfId="3362" xr:uid="{00000000-0005-0000-0000-00006E060000}"/>
    <cellStyle name="Normal 4 5 2 2 4 2" xfId="6420" xr:uid="{CD83A63A-1FFB-48A3-A5DE-2D94ACA440B6}"/>
    <cellStyle name="Normal 4 5 2 2 4 2 2" xfId="27854" xr:uid="{54548210-F9F5-4602-BD11-4984616A93E4}"/>
    <cellStyle name="Normal 4 5 2 2 4 2 3" xfId="15989" xr:uid="{8110A5F6-916F-4FD4-A60D-45568431B32A}"/>
    <cellStyle name="Normal 4 5 2 2 4 3" xfId="8442" xr:uid="{E0961122-8F68-4881-9183-7F705686D820}"/>
    <cellStyle name="Normal 4 5 2 2 4 3 2" xfId="18822" xr:uid="{FC938CFF-74C2-4051-98BE-3EEA45A5EC24}"/>
    <cellStyle name="Normal 4 5 2 2 4 4" xfId="11275" xr:uid="{111655AF-AE58-47F3-A4AD-AB796075E294}"/>
    <cellStyle name="Normal 4 5 2 2 4 4 2" xfId="21655" xr:uid="{BB70FE4F-2CB6-4C7C-AE5B-41648F4D565B}"/>
    <cellStyle name="Normal 4 5 2 2 4 5" xfId="25037" xr:uid="{A4ACC562-9D88-4446-97DF-68459C044C90}"/>
    <cellStyle name="Normal 4 5 2 2 4 6" xfId="13928" xr:uid="{15B98E35-58CB-46EB-9E15-D874394D2F3D}"/>
    <cellStyle name="Normal 4 5 2 2 5" xfId="2645" xr:uid="{00000000-0005-0000-0000-00006F060000}"/>
    <cellStyle name="Normal 4 5 2 2 5 2" xfId="5907" xr:uid="{1CBBE5B8-2179-443A-818B-CA9B82EF9375}"/>
    <cellStyle name="Normal 4 5 2 2 5 2 2" xfId="25869" xr:uid="{B87E1C25-8F25-44D1-9378-D84667DAE326}"/>
    <cellStyle name="Normal 4 5 2 2 5 2 3" xfId="15317" xr:uid="{345AB8E1-DE30-4CF1-B317-80BFA59C3620}"/>
    <cellStyle name="Normal 4 5 2 2 5 3" xfId="7770" xr:uid="{676A888C-7747-4326-BE4B-B6CA19088927}"/>
    <cellStyle name="Normal 4 5 2 2 5 3 2" xfId="18150" xr:uid="{F4A771CB-8EA8-4731-A993-49F9908CE8AF}"/>
    <cellStyle name="Normal 4 5 2 2 5 4" xfId="10603" xr:uid="{BEEF8A5C-90B7-4714-8664-ACF95091B647}"/>
    <cellStyle name="Normal 4 5 2 2 5 4 2" xfId="20983" xr:uid="{D7DDBACC-EB41-40DA-813D-BC1CB3771D23}"/>
    <cellStyle name="Normal 4 5 2 2 5 5" xfId="23116" xr:uid="{8B80382E-C38A-47FA-A5AF-6A30D1D83791}"/>
    <cellStyle name="Normal 4 5 2 2 5 6" xfId="13034" xr:uid="{61309A57-C24C-4900-8B50-03040D9E9E3A}"/>
    <cellStyle name="Normal 4 5 2 2 6" xfId="2374" xr:uid="{00000000-0005-0000-0000-00006A060000}"/>
    <cellStyle name="Normal 4 5 2 2 6 2" xfId="7501" xr:uid="{F5DDBCD1-A370-4BE4-ADF7-46BD5E7DD97F}"/>
    <cellStyle name="Normal 4 5 2 2 6 2 2" xfId="17881" xr:uid="{F453CDBF-C831-42A3-BFC3-C961D652161E}"/>
    <cellStyle name="Normal 4 5 2 2 6 3" xfId="10334" xr:uid="{860BBF6A-8155-4DE9-949D-80FEB27F3863}"/>
    <cellStyle name="Normal 4 5 2 2 6 3 2" xfId="20714" xr:uid="{8AE5DF16-29D6-4421-9F51-9317E93651F0}"/>
    <cellStyle name="Normal 4 5 2 2 6 4" xfId="23378" xr:uid="{DF3EB088-984B-417A-BB85-B384657AE050}"/>
    <cellStyle name="Normal 4 5 2 2 6 5" xfId="15048" xr:uid="{293FAE86-6E93-4DFD-A93B-E82E1E6422AC}"/>
    <cellStyle name="Normal 4 5 2 2 7" xfId="3925" xr:uid="{7E2B3D55-D6D0-4C09-B428-C3AD35411B83}"/>
    <cellStyle name="Normal 4 5 2 2 7 2" xfId="8757" xr:uid="{A650A9D6-C2AB-487C-ADB2-2CE5DE7F65AC}"/>
    <cellStyle name="Normal 4 5 2 2 7 2 2" xfId="19137" xr:uid="{3F3709B6-1FFE-4BDD-9910-F531057AF7F1}"/>
    <cellStyle name="Normal 4 5 2 2 7 3" xfId="11590" xr:uid="{470C3297-9168-421A-A970-7E70E99F9138}"/>
    <cellStyle name="Normal 4 5 2 2 7 3 2" xfId="21970" xr:uid="{AA8A2487-E093-4AFD-A277-EE1F5C962F5E}"/>
    <cellStyle name="Normal 4 5 2 2 7 4" xfId="16304" xr:uid="{2C93F13E-B605-4915-8773-D57DC68E5694}"/>
    <cellStyle name="Normal 4 5 2 2 8" xfId="5323" xr:uid="{CAF91BE3-2382-40FE-9F2E-80D1F470AEA1}"/>
    <cellStyle name="Normal 4 5 2 2 8 2" xfId="14621" xr:uid="{E082096E-F5A6-479A-8B05-758495EE71E3}"/>
    <cellStyle name="Normal 4 5 2 2 9" xfId="7074" xr:uid="{DF087704-CA16-4900-BF9B-2E6F667E0BEA}"/>
    <cellStyle name="Normal 4 5 2 2 9 2" xfId="17454" xr:uid="{B2E5202B-3541-4813-ADD1-48D3D22AFC0D}"/>
    <cellStyle name="Normal 4 5 2 3" xfId="1021" xr:uid="{00000000-0005-0000-0000-0000AF050000}"/>
    <cellStyle name="Normal 4 5 2 3 2" xfId="3365" xr:uid="{00000000-0005-0000-0000-000071060000}"/>
    <cellStyle name="Normal 4 5 2 3 2 2" xfId="6423" xr:uid="{459C8634-173F-4FA7-8F98-1D1FB39BDB13}"/>
    <cellStyle name="Normal 4 5 2 3 2 2 2" xfId="26713" xr:uid="{014981DB-CA37-4B50-9DC7-B2236888C132}"/>
    <cellStyle name="Normal 4 5 2 3 2 2 3" xfId="28206" xr:uid="{2287D21F-F269-4EDE-A5E9-9239AC3D462F}"/>
    <cellStyle name="Normal 4 5 2 3 2 2 4" xfId="15992" xr:uid="{13033BDD-4417-4546-8CFD-8638009AD7C8}"/>
    <cellStyle name="Normal 4 5 2 3 2 3" xfId="8445" xr:uid="{40D61485-F520-49B1-9C29-E069B765A44C}"/>
    <cellStyle name="Normal 4 5 2 3 2 3 2" xfId="28917" xr:uid="{E6E461C7-6D28-4E72-8949-A7E04526583A}"/>
    <cellStyle name="Normal 4 5 2 3 2 3 3" xfId="18825" xr:uid="{A3C05C27-2EDC-4FC4-8A78-2D6E14971659}"/>
    <cellStyle name="Normal 4 5 2 3 2 4" xfId="11278" xr:uid="{EA636CB6-32B7-450C-9E87-0CCC537034BA}"/>
    <cellStyle name="Normal 4 5 2 3 2 4 2" xfId="21658" xr:uid="{8341F538-F959-47F1-81DD-444AAB02536D}"/>
    <cellStyle name="Normal 4 5 2 3 2 5" xfId="23924" xr:uid="{CE4AC6F4-76E0-4F1C-B9A5-5E31E24684C3}"/>
    <cellStyle name="Normal 4 5 2 3 2 6" xfId="13931" xr:uid="{76ADFE17-F2FC-413F-8265-DF1E47501A2D}"/>
    <cellStyle name="Normal 4 5 2 3 3" xfId="2794" xr:uid="{00000000-0005-0000-0000-000072060000}"/>
    <cellStyle name="Normal 4 5 2 3 3 2" xfId="6012" xr:uid="{400D8516-E8C7-4321-B8DB-54514AC3D66C}"/>
    <cellStyle name="Normal 4 5 2 3 3 2 2" xfId="26349" xr:uid="{057C0257-4C3C-4E3B-801C-62361A39334D}"/>
    <cellStyle name="Normal 4 5 2 3 3 2 3" xfId="15465" xr:uid="{E8F3B38E-D972-406C-B8EB-8AF202F55272}"/>
    <cellStyle name="Normal 4 5 2 3 3 3" xfId="7918" xr:uid="{3A3DA035-EEE4-4D6C-8388-45D36777A705}"/>
    <cellStyle name="Normal 4 5 2 3 3 3 2" xfId="18298" xr:uid="{D53A0738-1DC9-45B6-BC04-1A735BF5253C}"/>
    <cellStyle name="Normal 4 5 2 3 3 4" xfId="10751" xr:uid="{3B260D01-0AEC-4BEC-AD71-C0FC7295E086}"/>
    <cellStyle name="Normal 4 5 2 3 3 4 2" xfId="21131" xr:uid="{84D30868-90AE-401A-8540-72E9ED39E07F}"/>
    <cellStyle name="Normal 4 5 2 3 3 5" xfId="24763" xr:uid="{6DD962BE-D982-4AA3-8D54-B11338C5AA27}"/>
    <cellStyle name="Normal 4 5 2 3 3 6" xfId="13256" xr:uid="{3CE8EF1E-53AE-466E-9903-35699626116A}"/>
    <cellStyle name="Normal 4 5 2 3 4" xfId="4200" xr:uid="{1BBE04BA-B312-41DF-8E4F-91CE866111F9}"/>
    <cellStyle name="Normal 4 5 2 3 4 2" xfId="8972" xr:uid="{8C0CCA2C-B560-4ABF-A070-379E56CB628F}"/>
    <cellStyle name="Normal 4 5 2 3 4 2 2" xfId="29056" xr:uid="{CBBEF2D0-1ACB-4FAA-9118-0988D24ACFA7}"/>
    <cellStyle name="Normal 4 5 2 3 4 2 3" xfId="19352" xr:uid="{F6C7C216-708E-4EFA-9CFD-5BF38621E0DB}"/>
    <cellStyle name="Normal 4 5 2 3 4 3" xfId="11805" xr:uid="{64CE70D4-A754-41B3-A960-A290C3878BF3}"/>
    <cellStyle name="Normal 4 5 2 3 4 3 2" xfId="22185" xr:uid="{4942E4E4-488E-4036-A981-3401653602CF}"/>
    <cellStyle name="Normal 4 5 2 3 4 4" xfId="23123" xr:uid="{9037FD61-653D-4558-825E-7AB8F20BDFF9}"/>
    <cellStyle name="Normal 4 5 2 3 4 5" xfId="16519" xr:uid="{B950B559-2C43-4BBF-BAF9-19C3D9A4D097}"/>
    <cellStyle name="Normal 4 5 2 3 5" xfId="5324" xr:uid="{E8C9F035-67B4-4D4E-BEFC-1A01562ADC02}"/>
    <cellStyle name="Normal 4 5 2 3 5 2" xfId="28103" xr:uid="{2B506E37-FFA8-4E02-BAA6-F1B68752E6DD}"/>
    <cellStyle name="Normal 4 5 2 3 5 3" xfId="14622" xr:uid="{B7FEE906-8681-416A-A08E-03393217D948}"/>
    <cellStyle name="Normal 4 5 2 3 6" xfId="7075" xr:uid="{FF80577F-0C14-415F-B02B-440809EF298E}"/>
    <cellStyle name="Normal 4 5 2 3 6 2" xfId="17455" xr:uid="{DCFAB2C2-192E-470A-BDA5-A15F0C6A1833}"/>
    <cellStyle name="Normal 4 5 2 3 7" xfId="9908" xr:uid="{35230ABF-FEB9-4A17-9B50-76B113473D69}"/>
    <cellStyle name="Normal 4 5 2 3 7 2" xfId="20288" xr:uid="{6DF26397-F749-4566-8724-3EAC1C0B5F21}"/>
    <cellStyle name="Normal 4 5 2 3 8" xfId="24273" xr:uid="{DEF51CA1-A777-4F59-AEA8-7F597CE65896}"/>
    <cellStyle name="Normal 4 5 2 3 9" xfId="12766" xr:uid="{F4CD9708-8509-49EF-9028-1858B70BD86E}"/>
    <cellStyle name="Normal 4 5 2 4" xfId="3366" xr:uid="{00000000-0005-0000-0000-000073060000}"/>
    <cellStyle name="Normal 4 5 2 4 2" xfId="4543" xr:uid="{D2E0A647-8B6B-484D-8EE5-B1FB6E1E52A5}"/>
    <cellStyle name="Normal 4 5 2 4 2 2" xfId="9315" xr:uid="{75B32AE0-920B-4E50-9E4B-443BB07783DE}"/>
    <cellStyle name="Normal 4 5 2 4 2 2 2" xfId="29292" xr:uid="{D8687BEB-7788-403F-A995-83E18A9367FE}"/>
    <cellStyle name="Normal 4 5 2 4 2 2 3" xfId="19695" xr:uid="{59100568-AC60-4A4C-A9CC-44EF4D006FA5}"/>
    <cellStyle name="Normal 4 5 2 4 2 3" xfId="12148" xr:uid="{894BA2BA-90E1-4317-A624-28764CE900B2}"/>
    <cellStyle name="Normal 4 5 2 4 2 3 2" xfId="22528" xr:uid="{82A5730E-C394-4437-BA7F-722AC2D07145}"/>
    <cellStyle name="Normal 4 5 2 4 2 4" xfId="25020" xr:uid="{D713E987-184A-413A-B836-C3B46E2666CF}"/>
    <cellStyle name="Normal 4 5 2 4 2 5" xfId="16862" xr:uid="{D933F60A-5A4E-4698-91E8-20233232B81F}"/>
    <cellStyle name="Normal 4 5 2 4 3" xfId="6424" xr:uid="{983D88EE-DF78-4F1B-83D8-DC36886EF344}"/>
    <cellStyle name="Normal 4 5 2 4 3 2" xfId="27520" xr:uid="{A6954AA8-0820-4173-BE56-4C426E4ECE2F}"/>
    <cellStyle name="Normal 4 5 2 4 3 3" xfId="15993" xr:uid="{F5992DB5-F890-4C29-B7BE-91756223422F}"/>
    <cellStyle name="Normal 4 5 2 4 4" xfId="8446" xr:uid="{50121966-DFAF-4303-B730-9406E0ED63E3}"/>
    <cellStyle name="Normal 4 5 2 4 4 2" xfId="18826" xr:uid="{4C0F9CDA-5884-4E28-B870-8DAC82B50996}"/>
    <cellStyle name="Normal 4 5 2 4 5" xfId="11279" xr:uid="{F532776D-2596-4BF2-A6EE-39E9B3A2C549}"/>
    <cellStyle name="Normal 4 5 2 4 5 2" xfId="21659" xr:uid="{D3AB1E21-DB7C-40F0-B25E-2B913D76A52B}"/>
    <cellStyle name="Normal 4 5 2 4 6" xfId="25025" xr:uid="{944C4AA1-0864-47DF-BF38-2010D49F015F}"/>
    <cellStyle name="Normal 4 5 2 4 7" xfId="13932" xr:uid="{89F49A4B-4346-4D42-8E10-799312E09AEF}"/>
    <cellStyle name="Normal 4 5 2 5" xfId="2943" xr:uid="{00000000-0005-0000-0000-000074060000}"/>
    <cellStyle name="Normal 4 5 2 5 2" xfId="6123" xr:uid="{2744C5C0-75C5-4713-BC0A-F01BAADDBA57}"/>
    <cellStyle name="Normal 4 5 2 5 2 2" xfId="27369" xr:uid="{FC4C0F38-2B2C-4837-A1DA-BEF2D68B0720}"/>
    <cellStyle name="Normal 4 5 2 5 2 3" xfId="28358" xr:uid="{40DFC500-5AA3-4A15-9614-05182B12FC67}"/>
    <cellStyle name="Normal 4 5 2 5 2 4" xfId="15601" xr:uid="{77C204C5-CCBA-4322-A4BF-6B2C917B659C}"/>
    <cellStyle name="Normal 4 5 2 5 3" xfId="8054" xr:uid="{A2BE1429-F9BC-4D60-A195-C274BBBBACE0}"/>
    <cellStyle name="Normal 4 5 2 5 3 2" xfId="27518" xr:uid="{EEB7D116-4090-4B01-A5A0-E3B19006C968}"/>
    <cellStyle name="Normal 4 5 2 5 3 3" xfId="18434" xr:uid="{5C80B42C-1955-4E42-8F61-F75CCEAFD189}"/>
    <cellStyle name="Normal 4 5 2 5 4" xfId="10887" xr:uid="{8C22F40A-C5D8-44A4-AED1-028559AEB72C}"/>
    <cellStyle name="Normal 4 5 2 5 4 2" xfId="21267" xr:uid="{90631456-16A4-48B0-A410-5FCA7318B9C2}"/>
    <cellStyle name="Normal 4 5 2 5 5" xfId="23794" xr:uid="{62B9C0EA-202A-4492-81AA-215BEC066F55}"/>
    <cellStyle name="Normal 4 5 2 5 6" xfId="13464" xr:uid="{7C28B4C5-3FCA-4F98-B5BB-5B6EEB327288}"/>
    <cellStyle name="Normal 4 5 2 6" xfId="2543" xr:uid="{00000000-0005-0000-0000-000075060000}"/>
    <cellStyle name="Normal 4 5 2 6 2" xfId="5815" xr:uid="{5986A24A-3267-44F7-BDFA-37391523A0FF}"/>
    <cellStyle name="Normal 4 5 2 6 2 2" xfId="27974" xr:uid="{3A4835A5-C5F7-468B-A642-C7D071561171}"/>
    <cellStyle name="Normal 4 5 2 6 2 3" xfId="15215" xr:uid="{7C4775D2-24AD-4EAA-85A9-BD50BD163413}"/>
    <cellStyle name="Normal 4 5 2 6 3" xfId="7668" xr:uid="{436CBBD9-8020-4EEC-B6DD-0911D57FF9E3}"/>
    <cellStyle name="Normal 4 5 2 6 3 2" xfId="18048" xr:uid="{FF9CBDD4-2A00-48C9-8FAE-F1013466C211}"/>
    <cellStyle name="Normal 4 5 2 6 4" xfId="10501" xr:uid="{FF77A2ED-2A16-46EF-B1A4-178BBD7F2FDB}"/>
    <cellStyle name="Normal 4 5 2 6 4 2" xfId="20881" xr:uid="{D4971610-CD2E-4D89-9CD5-F79318FEB2CE}"/>
    <cellStyle name="Normal 4 5 2 6 5" xfId="23152" xr:uid="{310123C0-F71E-414D-B200-08ED6D598F4B}"/>
    <cellStyle name="Normal 4 5 2 6 6" xfId="12931" xr:uid="{C0662821-CD8B-45D1-A046-854C09043DA1}"/>
    <cellStyle name="Normal 4 5 2 7" xfId="2237" xr:uid="{00000000-0005-0000-0000-000069060000}"/>
    <cellStyle name="Normal 4 5 2 7 2" xfId="7364" xr:uid="{28FE7E03-AD46-4741-A7FC-A676B678967A}"/>
    <cellStyle name="Normal 4 5 2 7 2 2" xfId="17744" xr:uid="{139A849F-7CFF-45E6-9FFD-CE714C088692}"/>
    <cellStyle name="Normal 4 5 2 7 3" xfId="10197" xr:uid="{2173FA89-6B46-4218-B70F-152B78916DF5}"/>
    <cellStyle name="Normal 4 5 2 7 3 2" xfId="20577" xr:uid="{75A2AA50-3592-490A-AF97-366D825E3B28}"/>
    <cellStyle name="Normal 4 5 2 7 4" xfId="23207" xr:uid="{D29F9E26-F9BE-4CD8-BE8C-62F0E5D26E59}"/>
    <cellStyle name="Normal 4 5 2 7 5" xfId="14911" xr:uid="{B891686C-B505-442D-BAC8-21228870E711}"/>
    <cellStyle name="Normal 4 5 2 8" xfId="3995" xr:uid="{E629CDDD-B813-4D71-807C-07FDC78629DF}"/>
    <cellStyle name="Normal 4 5 2 8 2" xfId="8819" xr:uid="{5D54BAB1-67C3-4710-AA67-8A6221137546}"/>
    <cellStyle name="Normal 4 5 2 8 2 2" xfId="19199" xr:uid="{1A57B2EE-5F55-4B87-9DE1-E0E3E445277B}"/>
    <cellStyle name="Normal 4 5 2 8 3" xfId="11652" xr:uid="{05572E02-0B75-4D1E-8E13-82C2E4DC02ED}"/>
    <cellStyle name="Normal 4 5 2 8 3 2" xfId="22032" xr:uid="{C058CAE0-4D4F-4D35-B4C2-74E1FD69A372}"/>
    <cellStyle name="Normal 4 5 2 8 4" xfId="16366" xr:uid="{192B4CD1-614C-44AD-95D8-C6E8AAF67198}"/>
    <cellStyle name="Normal 4 5 2 9" xfId="5322" xr:uid="{93AF8565-2114-4AB8-9876-2498C27D9664}"/>
    <cellStyle name="Normal 4 5 2 9 2" xfId="14620" xr:uid="{D40FF11D-13DB-426F-8633-5700B906C03C}"/>
    <cellStyle name="Normal 4 5 3" xfId="1022" xr:uid="{00000000-0005-0000-0000-0000B0050000}"/>
    <cellStyle name="Normal 4 5 3 10" xfId="9909" xr:uid="{C2AB3C88-B4D7-40DD-9379-8DA92DC41E3F}"/>
    <cellStyle name="Normal 4 5 3 10 2" xfId="20289" xr:uid="{D6FEA916-69B3-43D5-BD39-069339D93CF8}"/>
    <cellStyle name="Normal 4 5 3 11" xfId="23559" xr:uid="{14E72F27-0EBF-4CC1-A22C-453E4D7BA1BE}"/>
    <cellStyle name="Normal 4 5 3 12" xfId="12607" xr:uid="{C04F5E53-07FE-4D1D-BA93-92A7622E5671}"/>
    <cellStyle name="Normal 4 5 3 2" xfId="2796" xr:uid="{00000000-0005-0000-0000-000077060000}"/>
    <cellStyle name="Normal 4 5 3 2 2" xfId="3368" xr:uid="{00000000-0005-0000-0000-000078060000}"/>
    <cellStyle name="Normal 4 5 3 2 2 2" xfId="6426" xr:uid="{CDDD6384-D4EA-4EA1-8AF3-B22C1319784C}"/>
    <cellStyle name="Normal 4 5 3 2 2 2 2" xfId="27036" xr:uid="{47718808-69D2-44BB-B6B5-62AF05398240}"/>
    <cellStyle name="Normal 4 5 3 2 2 2 3" xfId="26023" xr:uid="{E50F255F-8400-46BD-A4E4-C149E4D49D5B}"/>
    <cellStyle name="Normal 4 5 3 2 2 2 4" xfId="15995" xr:uid="{6D2B7213-828E-4619-B9F3-D70C355E9B51}"/>
    <cellStyle name="Normal 4 5 3 2 2 3" xfId="8448" xr:uid="{3350974A-82A5-42D5-8A32-C89687AA424F}"/>
    <cellStyle name="Normal 4 5 3 2 2 3 2" xfId="28918" xr:uid="{329F68BD-C226-49FF-8344-A0B9B3AA855A}"/>
    <cellStyle name="Normal 4 5 3 2 2 3 3" xfId="18828" xr:uid="{1CB9FBE1-4FEF-432E-9AD9-962B501B277D}"/>
    <cellStyle name="Normal 4 5 3 2 2 4" xfId="11281" xr:uid="{B7203EA3-5441-4CE2-83E4-AEDA06983B0C}"/>
    <cellStyle name="Normal 4 5 3 2 2 4 2" xfId="21661" xr:uid="{3EF7E2BC-84C1-45B1-AF06-39A02C2A1AFA}"/>
    <cellStyle name="Normal 4 5 3 2 2 5" xfId="23371" xr:uid="{E9F2DCF3-D677-45D0-9FB0-2130CF05C61F}"/>
    <cellStyle name="Normal 4 5 3 2 2 6" xfId="13934" xr:uid="{C6C8432E-61CB-400A-B4F9-A8ABB02ABA66}"/>
    <cellStyle name="Normal 4 5 3 2 3" xfId="4347" xr:uid="{A37089E4-C760-4D54-9BCC-60B110A38149}"/>
    <cellStyle name="Normal 4 5 3 2 3 2" xfId="9119" xr:uid="{9BC4DA4B-FC10-4819-8AA3-C70EE0DB1A02}"/>
    <cellStyle name="Normal 4 5 3 2 3 2 2" xfId="29162" xr:uid="{A2279844-75AF-4F2D-B8A7-437A9CF27E6B}"/>
    <cellStyle name="Normal 4 5 3 2 3 2 3" xfId="19499" xr:uid="{BA1D082C-F915-4E86-ACB0-4D7152133CDC}"/>
    <cellStyle name="Normal 4 5 3 2 3 3" xfId="11952" xr:uid="{AC170593-1E44-4D79-9C04-59B3C7464D98}"/>
    <cellStyle name="Normal 4 5 3 2 3 3 2" xfId="22332" xr:uid="{8B2FA5CB-B576-4D9B-8B95-FB3C1B17E2D8}"/>
    <cellStyle name="Normal 4 5 3 2 3 4" xfId="24945" xr:uid="{EE8082B8-E8C8-4F16-A431-3BF33F466BA4}"/>
    <cellStyle name="Normal 4 5 3 2 3 5" xfId="16666" xr:uid="{E0D545DC-D036-42AF-82A6-A474358E058F}"/>
    <cellStyle name="Normal 4 5 3 2 4" xfId="6014" xr:uid="{46DC8AD1-A778-4A9B-B266-465C1F6E965B}"/>
    <cellStyle name="Normal 4 5 3 2 4 2" xfId="28208" xr:uid="{C5352B8D-2D4C-4A94-995D-3C2B527636C9}"/>
    <cellStyle name="Normal 4 5 3 2 4 3" xfId="15467" xr:uid="{6242F917-36F3-4071-86C8-B3B61B2199C9}"/>
    <cellStyle name="Normal 4 5 3 2 5" xfId="7920" xr:uid="{ADD9E9B6-DF64-4CEE-960E-3D57D32A6A47}"/>
    <cellStyle name="Normal 4 5 3 2 5 2" xfId="18300" xr:uid="{A6182F69-0633-467E-9C16-FCC5887F5846}"/>
    <cellStyle name="Normal 4 5 3 2 6" xfId="10753" xr:uid="{9B3B9507-35B2-4C6F-A081-90707E0F1F50}"/>
    <cellStyle name="Normal 4 5 3 2 6 2" xfId="21133" xr:uid="{3EDE4003-8002-4D57-ADFD-C8FC42B87326}"/>
    <cellStyle name="Normal 4 5 3 2 7" xfId="23118" xr:uid="{9214831E-63EB-4F9B-8C37-001619DFF200}"/>
    <cellStyle name="Normal 4 5 3 2 8" xfId="13258" xr:uid="{FDD54B08-2957-4F4A-9D51-84AA185B23C0}"/>
    <cellStyle name="Normal 4 5 3 3" xfId="3369" xr:uid="{00000000-0005-0000-0000-000079060000}"/>
    <cellStyle name="Normal 4 5 3 3 2" xfId="4544" xr:uid="{A4BB8FCD-A516-4B8F-9FD5-C02633F3C41E}"/>
    <cellStyle name="Normal 4 5 3 3 2 2" xfId="9316" xr:uid="{65762DF2-16C9-4A1A-AE53-3A9D22630157}"/>
    <cellStyle name="Normal 4 5 3 3 2 2 2" xfId="29293" xr:uid="{80807EDB-C4A0-4C78-9063-146F367F8D4C}"/>
    <cellStyle name="Normal 4 5 3 3 2 2 3" xfId="19696" xr:uid="{02ADD01E-9B8A-4F56-9A26-642AAA4D2B33}"/>
    <cellStyle name="Normal 4 5 3 3 2 3" xfId="12149" xr:uid="{C80691F1-2334-4321-8D18-251F439DD494}"/>
    <cellStyle name="Normal 4 5 3 3 2 3 2" xfId="22529" xr:uid="{2F889955-AA65-4881-BBFD-860DE60993DC}"/>
    <cellStyle name="Normal 4 5 3 3 2 4" xfId="23489" xr:uid="{3C8BB0E9-8267-4FDE-906A-29C20B22F8D2}"/>
    <cellStyle name="Normal 4 5 3 3 2 5" xfId="16863" xr:uid="{8DD6D398-9E33-42CC-A6CE-6741A5213352}"/>
    <cellStyle name="Normal 4 5 3 3 3" xfId="6427" xr:uid="{04605D07-819B-4931-A888-86D2BBB822DE}"/>
    <cellStyle name="Normal 4 5 3 3 3 2" xfId="27372" xr:uid="{51F70EB8-F14F-429C-BA73-AB6E1AC9A64E}"/>
    <cellStyle name="Normal 4 5 3 3 3 3" xfId="15996" xr:uid="{39445E8F-35DC-4CA0-B413-8EA55E918A8D}"/>
    <cellStyle name="Normal 4 5 3 3 4" xfId="8449" xr:uid="{51FAD66A-6840-4746-9F75-BC02A246452D}"/>
    <cellStyle name="Normal 4 5 3 3 4 2" xfId="18829" xr:uid="{B7429266-C428-4494-A399-EE860F13549F}"/>
    <cellStyle name="Normal 4 5 3 3 5" xfId="11282" xr:uid="{D2ED3D46-00C4-4A38-A158-B65142EC9065}"/>
    <cellStyle name="Normal 4 5 3 3 5 2" xfId="21662" xr:uid="{530C4BBB-824C-49F0-A9DC-DB10B354F7CC}"/>
    <cellStyle name="Normal 4 5 3 3 6" xfId="22883" xr:uid="{1C341B25-BD3F-41B0-B7EE-8DFA4F6E1CEA}"/>
    <cellStyle name="Normal 4 5 3 3 7" xfId="13935" xr:uid="{7CF23737-597D-4A42-A2B8-BAAB5597C0DC}"/>
    <cellStyle name="Normal 4 5 3 4" xfId="3367" xr:uid="{00000000-0005-0000-0000-00007A060000}"/>
    <cellStyle name="Normal 4 5 3 4 2" xfId="6425" xr:uid="{3B5BE5A0-FE42-4104-8BA0-6887C298DC19}"/>
    <cellStyle name="Normal 4 5 3 4 2 2" xfId="26748" xr:uid="{143F4099-0362-4499-81BD-AC03DC35B8F0}"/>
    <cellStyle name="Normal 4 5 3 4 2 3" xfId="15994" xr:uid="{4FE40EE6-7168-4E83-98D2-0664591EE9DF}"/>
    <cellStyle name="Normal 4 5 3 4 3" xfId="8447" xr:uid="{CC9B6CF3-EC75-481E-944B-E23CF2B12C38}"/>
    <cellStyle name="Normal 4 5 3 4 3 2" xfId="18827" xr:uid="{F0DB8B7F-4AED-4334-BD3E-0BBC9D40E83B}"/>
    <cellStyle name="Normal 4 5 3 4 4" xfId="11280" xr:uid="{B21DA2A6-4EDC-4D97-A93A-56CB47644E05}"/>
    <cellStyle name="Normal 4 5 3 4 4 2" xfId="21660" xr:uid="{F6E1F950-E577-4949-B354-057561187360}"/>
    <cellStyle name="Normal 4 5 3 4 5" xfId="24618" xr:uid="{E53C5F61-2C38-4EB3-B244-E079DB1AA7D5}"/>
    <cellStyle name="Normal 4 5 3 4 6" xfId="13933" xr:uid="{8266669C-C74A-4B7F-A416-9556F42899E8}"/>
    <cellStyle name="Normal 4 5 3 5" xfId="2586" xr:uid="{00000000-0005-0000-0000-00007B060000}"/>
    <cellStyle name="Normal 4 5 3 5 2" xfId="5851" xr:uid="{8CA30565-C8A5-499F-81EB-C994E3E26CEE}"/>
    <cellStyle name="Normal 4 5 3 5 2 2" xfId="27404" xr:uid="{8A1E56C1-E235-45ED-B0BD-EC133C950A3B}"/>
    <cellStyle name="Normal 4 5 3 5 2 3" xfId="15258" xr:uid="{37F6C1BB-08F0-44A1-9E20-6BC7914D6BE8}"/>
    <cellStyle name="Normal 4 5 3 5 3" xfId="7711" xr:uid="{50692379-D91D-4C07-9DE9-BE085C0335BE}"/>
    <cellStyle name="Normal 4 5 3 5 3 2" xfId="18091" xr:uid="{C877F4E8-7A38-4352-8699-FCC053A57F58}"/>
    <cellStyle name="Normal 4 5 3 5 4" xfId="10544" xr:uid="{15446674-6301-48C8-9CB0-2EA325897001}"/>
    <cellStyle name="Normal 4 5 3 5 4 2" xfId="20924" xr:uid="{37BDA2F8-A64F-4002-A7DD-8B4F2804EB6B}"/>
    <cellStyle name="Normal 4 5 3 5 5" xfId="22974" xr:uid="{E6CC10CC-52FD-46AC-8D1F-4DD7F00D1514}"/>
    <cellStyle name="Normal 4 5 3 5 6" xfId="12974" xr:uid="{3B6D2ED0-900B-4492-8078-22C0B1BCF264}"/>
    <cellStyle name="Normal 4 5 3 6" xfId="2373" xr:uid="{00000000-0005-0000-0000-000076060000}"/>
    <cellStyle name="Normal 4 5 3 6 2" xfId="7500" xr:uid="{58506A69-CFA6-43BA-B90F-1F6DE4551B15}"/>
    <cellStyle name="Normal 4 5 3 6 2 2" xfId="17880" xr:uid="{67F92608-0627-42DC-A26E-011E7DB9BA0B}"/>
    <cellStyle name="Normal 4 5 3 6 3" xfId="10333" xr:uid="{5F4B949F-1C47-433B-8FCF-AC8CD7996BB9}"/>
    <cellStyle name="Normal 4 5 3 6 3 2" xfId="20713" xr:uid="{906D78E2-EAE7-4162-BFD2-15DE8D0F865C}"/>
    <cellStyle name="Normal 4 5 3 6 4" xfId="24346" xr:uid="{E56095CB-0FD6-47CE-9FFB-5D7B2BCE14C0}"/>
    <cellStyle name="Normal 4 5 3 6 5" xfId="15047" xr:uid="{F79FCD76-54CF-4281-83CD-A03A535328F4}"/>
    <cellStyle name="Normal 4 5 3 7" xfId="3916" xr:uid="{06D6F7B0-88A1-4FDA-8A5F-40FAE895E25D}"/>
    <cellStyle name="Normal 4 5 3 7 2" xfId="8748" xr:uid="{8C74A894-709E-4754-BFB5-5F7D9FF716F4}"/>
    <cellStyle name="Normal 4 5 3 7 2 2" xfId="19128" xr:uid="{0DDC1B0B-9292-4631-82B1-91D20E242ECA}"/>
    <cellStyle name="Normal 4 5 3 7 3" xfId="11581" xr:uid="{D276F419-BF9B-4084-A51A-24B3258A579C}"/>
    <cellStyle name="Normal 4 5 3 7 3 2" xfId="21961" xr:uid="{9843EC8B-BA8B-4292-9ECD-ED7BD7DC45BE}"/>
    <cellStyle name="Normal 4 5 3 7 4" xfId="16295" xr:uid="{777C31E9-A830-4EF1-AD59-0E59428A5CB7}"/>
    <cellStyle name="Normal 4 5 3 8" xfId="5325" xr:uid="{93F95F2E-482A-4836-8938-B5C31F660364}"/>
    <cellStyle name="Normal 4 5 3 8 2" xfId="14623" xr:uid="{DB3D4FCF-F1EF-42C4-A98E-86FEC5CF11D4}"/>
    <cellStyle name="Normal 4 5 3 9" xfId="7076" xr:uid="{B5063EEE-FC94-4CBE-A8AD-3A41213A7627}"/>
    <cellStyle name="Normal 4 5 3 9 2" xfId="17456" xr:uid="{0AD4AEF5-C9EE-4A09-B9B4-83B4A0D2A573}"/>
    <cellStyle name="Normal 4 5 4" xfId="1023" xr:uid="{00000000-0005-0000-0000-0000B1050000}"/>
    <cellStyle name="Normal 4 5 4 2" xfId="3370" xr:uid="{00000000-0005-0000-0000-00007D060000}"/>
    <cellStyle name="Normal 4 5 4 2 2" xfId="6428" xr:uid="{F531157A-8A64-42AD-AB38-367C0467017D}"/>
    <cellStyle name="Normal 4 5 4 2 2 2" xfId="24466" xr:uid="{B3D47B1A-51C4-46BC-B691-5C33A014E6D4}"/>
    <cellStyle name="Normal 4 5 4 2 2 3" xfId="26584" xr:uid="{C253BFE2-5027-412F-B218-E93582380519}"/>
    <cellStyle name="Normal 4 5 4 2 2 4" xfId="15997" xr:uid="{967B74A0-774A-48C8-A3C3-EE0F4881CD60}"/>
    <cellStyle name="Normal 4 5 4 2 3" xfId="8450" xr:uid="{4608D409-D28F-4C57-A452-F3B6B05C59D0}"/>
    <cellStyle name="Normal 4 5 4 2 3 2" xfId="28919" xr:uid="{5E4706F0-DD60-4F70-8867-F1F0D1436203}"/>
    <cellStyle name="Normal 4 5 4 2 3 3" xfId="18830" xr:uid="{05511378-9591-44A6-99D5-436A7B51C350}"/>
    <cellStyle name="Normal 4 5 4 2 4" xfId="11283" xr:uid="{1C2F02AD-0D79-453B-8623-F1824FCA615E}"/>
    <cellStyle name="Normal 4 5 4 2 4 2" xfId="21663" xr:uid="{FDC49964-05F1-46FF-8D38-5C337274A0A5}"/>
    <cellStyle name="Normal 4 5 4 2 5" xfId="24104" xr:uid="{328E76FF-8BA1-46E4-86D9-CE673D7A12B9}"/>
    <cellStyle name="Normal 4 5 4 2 6" xfId="13936" xr:uid="{EEB5AF47-5AB2-43F8-85D6-716D9CBCCEE8}"/>
    <cellStyle name="Normal 4 5 4 3" xfId="2793" xr:uid="{00000000-0005-0000-0000-00007E060000}"/>
    <cellStyle name="Normal 4 5 4 3 2" xfId="6011" xr:uid="{F6AD08A0-96EC-440C-9AB6-9D9E39FE0DC4}"/>
    <cellStyle name="Normal 4 5 4 3 2 2" xfId="27432" xr:uid="{650275E6-7018-49FE-A978-E0C83CCC0AD9}"/>
    <cellStyle name="Normal 4 5 4 3 2 3" xfId="15464" xr:uid="{33431AFC-DDFD-48AE-B90D-5EC13EECDEF7}"/>
    <cellStyle name="Normal 4 5 4 3 3" xfId="7917" xr:uid="{F4B719A7-0708-449D-A5BB-ED35762B8AD3}"/>
    <cellStyle name="Normal 4 5 4 3 3 2" xfId="18297" xr:uid="{995D6AC7-C01E-4BAC-9742-19DE13A75250}"/>
    <cellStyle name="Normal 4 5 4 3 4" xfId="10750" xr:uid="{4EEA8DBB-3E22-49B4-86BF-6A81EFACD9FB}"/>
    <cellStyle name="Normal 4 5 4 3 4 2" xfId="21130" xr:uid="{2E25CABE-E320-4D74-8C85-82664600F774}"/>
    <cellStyle name="Normal 4 5 4 3 5" xfId="23095" xr:uid="{AA11B069-EA2A-4668-A7B6-F5ECF714A43F}"/>
    <cellStyle name="Normal 4 5 4 3 6" xfId="13255" xr:uid="{9750CDEC-06B1-4C19-9948-01DBBBDED92F}"/>
    <cellStyle name="Normal 4 5 4 4" xfId="4199" xr:uid="{1645401E-F3F5-499C-937A-D575F5ECD0AA}"/>
    <cellStyle name="Normal 4 5 4 4 2" xfId="8971" xr:uid="{0E6992F0-99C0-4977-AD8D-3395200AD305}"/>
    <cellStyle name="Normal 4 5 4 4 2 2" xfId="29055" xr:uid="{97B7D4EB-0199-4532-9965-1BB565797835}"/>
    <cellStyle name="Normal 4 5 4 4 2 3" xfId="19351" xr:uid="{A42B2B0B-22BB-46E0-BD4E-28ECEBB7D5B3}"/>
    <cellStyle name="Normal 4 5 4 4 3" xfId="11804" xr:uid="{7C2F02D2-678D-4BEF-BBFA-BBF4BDF3F8BA}"/>
    <cellStyle name="Normal 4 5 4 4 3 2" xfId="22184" xr:uid="{33BA402A-475D-403F-8FAC-1503C6D735EC}"/>
    <cellStyle name="Normal 4 5 4 4 4" xfId="23080" xr:uid="{4E375AF9-F0C9-4BC5-82B5-4EC7130621D2}"/>
    <cellStyle name="Normal 4 5 4 4 5" xfId="16518" xr:uid="{63A5E80F-9A87-45C6-BD04-1DA7C178BD4B}"/>
    <cellStyle name="Normal 4 5 4 5" xfId="5326" xr:uid="{597FCC5F-6ACB-4CBA-B673-3ED675AD1915}"/>
    <cellStyle name="Normal 4 5 4 5 2" xfId="28222" xr:uid="{B33BE7A2-09B2-450E-B19D-FECEAC5557B9}"/>
    <cellStyle name="Normal 4 5 4 5 3" xfId="14624" xr:uid="{2B05A4D0-AA97-4EC9-8F7A-17C3998C94FB}"/>
    <cellStyle name="Normal 4 5 4 6" xfId="7077" xr:uid="{757A1225-C23F-47F8-95B9-F8311BE49047}"/>
    <cellStyle name="Normal 4 5 4 6 2" xfId="17457" xr:uid="{98F37E42-1A29-470C-9116-A5404DBF1E4C}"/>
    <cellStyle name="Normal 4 5 4 7" xfId="9910" xr:uid="{FC781E71-4D27-4251-B981-1041BA33DD64}"/>
    <cellStyle name="Normal 4 5 4 7 2" xfId="20290" xr:uid="{605493C5-F06D-43D7-8AE5-FE21B2FA985D}"/>
    <cellStyle name="Normal 4 5 4 8" xfId="23843" xr:uid="{DEE4D0D6-DDAA-47DD-B407-4B63FA530AB1}"/>
    <cellStyle name="Normal 4 5 4 9" xfId="12765" xr:uid="{0F3A30A5-CAF6-4F9B-BDFF-2A7831AAE39D}"/>
    <cellStyle name="Normal 4 5 5" xfId="1024" xr:uid="{00000000-0005-0000-0000-0000B2050000}"/>
    <cellStyle name="Normal 4 5 5 2" xfId="4545" xr:uid="{E7906615-1A5F-4F5F-934B-349A841D2AFE}"/>
    <cellStyle name="Normal 4 5 5 2 2" xfId="9317" xr:uid="{A3029EBE-55A0-4222-869C-1FC4A98761CB}"/>
    <cellStyle name="Normal 4 5 5 2 2 2" xfId="29294" xr:uid="{345A85FA-BE7E-4055-960B-132753D3A999}"/>
    <cellStyle name="Normal 4 5 5 2 2 3" xfId="19697" xr:uid="{524577B2-A602-4A7B-8F62-D52F9266DADC}"/>
    <cellStyle name="Normal 4 5 5 2 3" xfId="12150" xr:uid="{56628441-C5E7-49A3-BFB0-AA576BF9735A}"/>
    <cellStyle name="Normal 4 5 5 2 3 2" xfId="22530" xr:uid="{246B1EAC-4FBF-4A92-8E7F-F20C5FE7E3BB}"/>
    <cellStyle name="Normal 4 5 5 2 4" xfId="24609" xr:uid="{80C73287-3944-4B55-A42C-6138875D6D1F}"/>
    <cellStyle name="Normal 4 5 5 2 5" xfId="16864" xr:uid="{D9BEFC78-FD4F-4A56-9F30-3A5454786AF5}"/>
    <cellStyle name="Normal 4 5 5 3" xfId="5327" xr:uid="{D6D78FE2-1BB5-404C-857A-CF014809247C}"/>
    <cellStyle name="Normal 4 5 5 3 2" xfId="26728" xr:uid="{121DF6EC-14E1-4BFB-8DA2-1285D002466D}"/>
    <cellStyle name="Normal 4 5 5 3 3" xfId="14625" xr:uid="{E140B0F9-CD58-450C-9751-70C636B0EFDC}"/>
    <cellStyle name="Normal 4 5 5 4" xfId="7078" xr:uid="{AE803436-D80B-4D57-B979-6621B8C71ED8}"/>
    <cellStyle name="Normal 4 5 5 4 2" xfId="17458" xr:uid="{FE8FCFAD-D612-458F-8111-9B172F8CDC8B}"/>
    <cellStyle name="Normal 4 5 5 5" xfId="9911" xr:uid="{09018AD2-7195-4BCD-A200-DB43248BB54A}"/>
    <cellStyle name="Normal 4 5 5 5 2" xfId="20291" xr:uid="{DEBBE446-73DC-42F4-A2CE-F06CE3F5CC13}"/>
    <cellStyle name="Normal 4 5 5 6" xfId="24110" xr:uid="{8295CE0F-969D-4DEC-B1FD-A2B0851FBB93}"/>
    <cellStyle name="Normal 4 5 5 7" xfId="13937" xr:uid="{ED9C66A4-C167-408D-A40E-CCD3909AAB32}"/>
    <cellStyle name="Normal 4 5 6" xfId="2942" xr:uid="{00000000-0005-0000-0000-000080060000}"/>
    <cellStyle name="Normal 4 5 6 2" xfId="6122" xr:uid="{8289F053-B125-4065-9B80-4CE1903DC934}"/>
    <cellStyle name="Normal 4 5 6 2 2" xfId="25633" xr:uid="{FB938224-4086-43FB-B5EE-CF78584A9791}"/>
    <cellStyle name="Normal 4 5 6 2 3" xfId="27491" xr:uid="{7D4C0B84-FFDD-489C-A5A5-322D84EA64AB}"/>
    <cellStyle name="Normal 4 5 6 2 4" xfId="15600" xr:uid="{F2DE9FFD-A9D0-4777-AABA-3933C92E408A}"/>
    <cellStyle name="Normal 4 5 6 3" xfId="8053" xr:uid="{97E97715-25E4-45DD-BBB9-7EE1D8D26A29}"/>
    <cellStyle name="Normal 4 5 6 3 2" xfId="28758" xr:uid="{481442CD-098A-4693-AEE9-B34E445C8564}"/>
    <cellStyle name="Normal 4 5 6 3 3" xfId="18433" xr:uid="{A4D5C3BA-C727-49AE-B674-1569EE4AEC46}"/>
    <cellStyle name="Normal 4 5 6 4" xfId="10886" xr:uid="{7FB32AF5-F084-47F5-9D59-1E96D73637F7}"/>
    <cellStyle name="Normal 4 5 6 4 2" xfId="21266" xr:uid="{0E26F104-831C-4146-BBFD-9B01FAAEB27F}"/>
    <cellStyle name="Normal 4 5 6 5" xfId="25564" xr:uid="{C740A216-2D57-4DC2-9D60-F28DEF7CFA53}"/>
    <cellStyle name="Normal 4 5 6 6" xfId="13463" xr:uid="{BEA4189C-BDE5-406D-8106-BAA681283927}"/>
    <cellStyle name="Normal 4 5 7" xfId="2483" xr:uid="{00000000-0005-0000-0000-000081060000}"/>
    <cellStyle name="Normal 4 5 7 2" xfId="5769" xr:uid="{D53AFC23-5220-4212-9169-92706A1A5E76}"/>
    <cellStyle name="Normal 4 5 7 2 2" xfId="28516" xr:uid="{FC06777D-9BE7-45DB-9AFF-1E1E2878CFF4}"/>
    <cellStyle name="Normal 4 5 7 2 3" xfId="15155" xr:uid="{1CF306E4-6761-4571-8151-7925ECDA9294}"/>
    <cellStyle name="Normal 4 5 7 3" xfId="7608" xr:uid="{40B0CBA3-1331-441F-A438-DCCE573111BC}"/>
    <cellStyle name="Normal 4 5 7 3 2" xfId="17988" xr:uid="{93D1D9F1-970E-4FB5-9F4E-9FCC5E03E973}"/>
    <cellStyle name="Normal 4 5 7 4" xfId="10441" xr:uid="{50C57C61-110F-482B-B2D6-9E74AAF3C889}"/>
    <cellStyle name="Normal 4 5 7 4 2" xfId="20821" xr:uid="{088DCA51-F8F7-45F3-8ADE-3690CA5A4DA9}"/>
    <cellStyle name="Normal 4 5 7 5" xfId="25072" xr:uid="{93913901-167A-4853-89BE-CD5C9E2D55BE}"/>
    <cellStyle name="Normal 4 5 7 6" xfId="12871" xr:uid="{D3A27890-A68A-480F-947A-55E902196E2B}"/>
    <cellStyle name="Normal 4 5 8" xfId="2177" xr:uid="{00000000-0005-0000-0000-000068060000}"/>
    <cellStyle name="Normal 4 5 8 2" xfId="7304" xr:uid="{291A5AB1-AC31-49A1-8203-9F51529AD636}"/>
    <cellStyle name="Normal 4 5 8 2 2" xfId="17684" xr:uid="{DE9FB33E-AB3A-47D6-90CB-2CBA608AEA40}"/>
    <cellStyle name="Normal 4 5 8 3" xfId="10137" xr:uid="{EC6E9979-1D68-42ED-BF78-07F100900E03}"/>
    <cellStyle name="Normal 4 5 8 3 2" xfId="20517" xr:uid="{DAF369CA-2D58-4AFD-A919-9EAD2C3CF720}"/>
    <cellStyle name="Normal 4 5 8 4" xfId="22894" xr:uid="{40973BC3-78C2-47D6-ABCC-E65DCBF39FB6}"/>
    <cellStyle name="Normal 4 5 8 5" xfId="14851" xr:uid="{ACAF7595-D900-400F-96B1-516EB766474D}"/>
    <cellStyle name="Normal 4 5 9" xfId="3994" xr:uid="{91D3A399-68E9-469C-8A0A-350305A8561B}"/>
    <cellStyle name="Normal 4 5 9 2" xfId="8818" xr:uid="{EF6897BD-557A-4A45-9F60-B014DCE4A927}"/>
    <cellStyle name="Normal 4 5 9 2 2" xfId="19198" xr:uid="{ACF224B1-ACA4-4ACA-8CC8-004E5D016286}"/>
    <cellStyle name="Normal 4 5 9 3" xfId="11651" xr:uid="{345967C5-DAE6-4233-A16F-747397CE158E}"/>
    <cellStyle name="Normal 4 5 9 3 2" xfId="22031" xr:uid="{97B64D74-B138-4706-A078-CCFD9F606C89}"/>
    <cellStyle name="Normal 4 5 9 4" xfId="16365" xr:uid="{E3E0A48C-0EE3-4A4F-984F-7C509E41F676}"/>
    <cellStyle name="Normal 4 6" xfId="1025" xr:uid="{00000000-0005-0000-0000-0000B3050000}"/>
    <cellStyle name="Normal 4 6 10" xfId="5328" xr:uid="{0C28CB16-68EA-42ED-BB70-906C37DC531A}"/>
    <cellStyle name="Normal 4 6 10 2" xfId="14626" xr:uid="{FF9121A2-83A1-4951-B51F-0ABD25335A2E}"/>
    <cellStyle name="Normal 4 6 11" xfId="7079" xr:uid="{33A56829-01D2-4684-9E7C-A90C663291F2}"/>
    <cellStyle name="Normal 4 6 11 2" xfId="17459" xr:uid="{722E9304-BBD0-4679-B3C2-65715E6CC4A7}"/>
    <cellStyle name="Normal 4 6 12" xfId="9912" xr:uid="{CD9E0B6E-51AE-4A65-BC1B-658D1E621266}"/>
    <cellStyle name="Normal 4 6 12 2" xfId="20292" xr:uid="{814F4D16-02C4-451E-9192-8C98D690B1DD}"/>
    <cellStyle name="Normal 4 6 13" xfId="23302" xr:uid="{62C3DB15-E4ED-45C7-9B52-8901B051FE55}"/>
    <cellStyle name="Normal 4 6 14" xfId="12415" xr:uid="{C633D6F3-9737-4C2E-B84E-2AC91B2C0E85}"/>
    <cellStyle name="Normal 4 6 2" xfId="1026" xr:uid="{00000000-0005-0000-0000-0000B4050000}"/>
    <cellStyle name="Normal 4 6 2 10" xfId="7080" xr:uid="{7A1A84C5-39EF-4122-B38A-C515D21A5FE6}"/>
    <cellStyle name="Normal 4 6 2 10 2" xfId="17460" xr:uid="{F468F3F2-39EF-423B-BEFD-55041D6A2BB3}"/>
    <cellStyle name="Normal 4 6 2 11" xfId="9913" xr:uid="{FCE9CA63-E303-4279-BCEB-BB1AFC702794}"/>
    <cellStyle name="Normal 4 6 2 11 2" xfId="20293" xr:uid="{C70D2436-8A40-40FD-96E2-2F6B5E428B92}"/>
    <cellStyle name="Normal 4 6 2 12" xfId="22694" xr:uid="{669146A1-A520-4013-8D63-08A79CDED512}"/>
    <cellStyle name="Normal 4 6 2 13" xfId="12475" xr:uid="{90241AAD-0CD6-41BC-A879-79AAE70544AC}"/>
    <cellStyle name="Normal 4 6 2 2" xfId="1027" xr:uid="{00000000-0005-0000-0000-0000B5050000}"/>
    <cellStyle name="Normal 4 6 2 2 10" xfId="13040" xr:uid="{6FA01EE3-F9F0-4984-AD38-5C094CD9AE5A}"/>
    <cellStyle name="Normal 4 6 2 2 2" xfId="2799" xr:uid="{00000000-0005-0000-0000-000085060000}"/>
    <cellStyle name="Normal 4 6 2 2 2 2" xfId="3373" xr:uid="{00000000-0005-0000-0000-000086060000}"/>
    <cellStyle name="Normal 4 6 2 2 2 2 2" xfId="6431" xr:uid="{46C1C465-1ECA-4F70-97B0-A5127B806E50}"/>
    <cellStyle name="Normal 4 6 2 2 2 2 2 2" xfId="25946" xr:uid="{EB53E93D-A7E3-4A0B-94AE-601D33B70F7C}"/>
    <cellStyle name="Normal 4 6 2 2 2 2 2 3" xfId="16000" xr:uid="{A9A08517-D890-449F-9AE8-DB3AC7156A4B}"/>
    <cellStyle name="Normal 4 6 2 2 2 2 3" xfId="8453" xr:uid="{FFD41181-32F6-4DB2-BDBA-22F84A18C731}"/>
    <cellStyle name="Normal 4 6 2 2 2 2 3 2" xfId="18833" xr:uid="{D5EEAA85-B873-42BB-A1D6-C3D692D98009}"/>
    <cellStyle name="Normal 4 6 2 2 2 2 4" xfId="11286" xr:uid="{AC591E7F-A936-47AE-8D97-8E58F0CC77C1}"/>
    <cellStyle name="Normal 4 6 2 2 2 2 4 2" xfId="21666" xr:uid="{ED92329A-0CDA-40FA-B99A-6DAE0049D0EE}"/>
    <cellStyle name="Normal 4 6 2 2 2 2 5" xfId="22711" xr:uid="{29DD1439-4647-45C0-A5BB-D8A53D8EA0C6}"/>
    <cellStyle name="Normal 4 6 2 2 2 2 6" xfId="13940" xr:uid="{117987FD-D06D-4E3F-B84D-C32959E27025}"/>
    <cellStyle name="Normal 4 6 2 2 2 3" xfId="4349" xr:uid="{D5DEB954-C0A1-4A31-8478-A8A05F96D4B8}"/>
    <cellStyle name="Normal 4 6 2 2 2 3 2" xfId="9121" xr:uid="{8EF489EF-50C0-43F1-B259-76B2B1811B71}"/>
    <cellStyle name="Normal 4 6 2 2 2 3 2 2" xfId="29164" xr:uid="{F317FB8D-F678-4CC8-9ACD-97F03CF0E5CB}"/>
    <cellStyle name="Normal 4 6 2 2 2 3 2 3" xfId="19501" xr:uid="{4C00B135-26C6-451D-9974-2C80BE207696}"/>
    <cellStyle name="Normal 4 6 2 2 2 3 3" xfId="11954" xr:uid="{14C4C8B8-24FD-4825-A155-75173C10E544}"/>
    <cellStyle name="Normal 4 6 2 2 2 3 3 2" xfId="22334" xr:uid="{329F8AF8-FF7C-4181-B235-DEEA3343C9B7}"/>
    <cellStyle name="Normal 4 6 2 2 2 3 4" xfId="25431" xr:uid="{B521D83F-449A-48BF-917B-E534CA576C87}"/>
    <cellStyle name="Normal 4 6 2 2 2 3 5" xfId="16668" xr:uid="{8102EE3F-FEE4-437B-8EB4-A477D4941138}"/>
    <cellStyle name="Normal 4 6 2 2 2 4" xfId="6017" xr:uid="{C783EF5B-C02D-4E1D-80B9-0CF81A0D89A1}"/>
    <cellStyle name="Normal 4 6 2 2 2 4 2" xfId="26086" xr:uid="{5846167A-769B-4FE7-BD08-54AB5BACF3C7}"/>
    <cellStyle name="Normal 4 6 2 2 2 4 3" xfId="15470" xr:uid="{41262F22-8D53-4A0B-AD9F-5619F796BB3D}"/>
    <cellStyle name="Normal 4 6 2 2 2 5" xfId="7923" xr:uid="{3C2C3F16-B06A-4716-A24E-76E03C1BD422}"/>
    <cellStyle name="Normal 4 6 2 2 2 5 2" xfId="18303" xr:uid="{DD8FE170-101B-42FD-A7F3-255F21271763}"/>
    <cellStyle name="Normal 4 6 2 2 2 6" xfId="10756" xr:uid="{735402AE-AA86-4645-BC87-5D037ED6794D}"/>
    <cellStyle name="Normal 4 6 2 2 2 6 2" xfId="21136" xr:uid="{0BAB771B-960F-4482-9C45-054D3D05C2CD}"/>
    <cellStyle name="Normal 4 6 2 2 2 7" xfId="24347" xr:uid="{4C301CF6-6B74-4665-92EC-864110B94E09}"/>
    <cellStyle name="Normal 4 6 2 2 2 8" xfId="13261" xr:uid="{7B9A48AF-8C5B-463E-91AD-FBC68180DEDF}"/>
    <cellStyle name="Normal 4 6 2 2 3" xfId="3374" xr:uid="{00000000-0005-0000-0000-000087060000}"/>
    <cellStyle name="Normal 4 6 2 2 3 2" xfId="4546" xr:uid="{BFCF5E32-216A-483A-AD55-2722FAC4318F}"/>
    <cellStyle name="Normal 4 6 2 2 3 2 2" xfId="9318" xr:uid="{BA7CAE72-2177-49EC-A9B2-BC87F4E70D4E}"/>
    <cellStyle name="Normal 4 6 2 2 3 2 2 2" xfId="19698" xr:uid="{7228007E-DC5B-44AE-AAE9-11E8B76A8BFF}"/>
    <cellStyle name="Normal 4 6 2 2 3 2 3" xfId="12151" xr:uid="{29DCCD41-7DE6-4377-9C16-0307B6B7E77A}"/>
    <cellStyle name="Normal 4 6 2 2 3 2 3 2" xfId="22531" xr:uid="{23C9BCEB-E65C-45F0-9F26-55E7B1D335CD}"/>
    <cellStyle name="Normal 4 6 2 2 3 2 4" xfId="27464" xr:uid="{021EF560-5E99-4968-9F1D-7509E16725F3}"/>
    <cellStyle name="Normal 4 6 2 2 3 2 5" xfId="16865" xr:uid="{D55ADE14-B7B1-4D41-9029-FDFC077556B0}"/>
    <cellStyle name="Normal 4 6 2 2 3 3" xfId="6432" xr:uid="{DD6B51D7-D03E-466E-BCF0-7778F96B21F9}"/>
    <cellStyle name="Normal 4 6 2 2 3 3 2" xfId="16001" xr:uid="{247704BE-F97F-4C13-8470-47A729758F75}"/>
    <cellStyle name="Normal 4 6 2 2 3 4" xfId="8454" xr:uid="{861ACCDF-A24B-4060-A0E3-8CD3E8CA9A52}"/>
    <cellStyle name="Normal 4 6 2 2 3 4 2" xfId="18834" xr:uid="{DD830CC8-3449-4E92-A65F-AD122329EA83}"/>
    <cellStyle name="Normal 4 6 2 2 3 5" xfId="11287" xr:uid="{2048C4C1-A745-48D0-8F53-7ECC9DC9EE58}"/>
    <cellStyle name="Normal 4 6 2 2 3 5 2" xfId="21667" xr:uid="{D983ABD9-A86E-40CF-9A2C-17BA76DB65F3}"/>
    <cellStyle name="Normal 4 6 2 2 3 6" xfId="23571" xr:uid="{2814C6B9-AF17-482E-BCAD-B9F62AA51F35}"/>
    <cellStyle name="Normal 4 6 2 2 3 7" xfId="13941" xr:uid="{F5739022-5223-406A-BA03-1C91FECBADEF}"/>
    <cellStyle name="Normal 4 6 2 2 4" xfId="3372" xr:uid="{00000000-0005-0000-0000-000088060000}"/>
    <cellStyle name="Normal 4 6 2 2 4 2" xfId="6430" xr:uid="{238C84E5-6F33-43AE-8C8A-00735DF97ECB}"/>
    <cellStyle name="Normal 4 6 2 2 4 2 2" xfId="27685" xr:uid="{217227E8-B500-43BA-A371-EF25835FC96C}"/>
    <cellStyle name="Normal 4 6 2 2 4 2 3" xfId="15999" xr:uid="{A5A40F7E-9E60-4856-B011-E6B594DEDD77}"/>
    <cellStyle name="Normal 4 6 2 2 4 3" xfId="8452" xr:uid="{7702EDA0-DDD6-4B61-A178-22E38269048C}"/>
    <cellStyle name="Normal 4 6 2 2 4 3 2" xfId="18832" xr:uid="{C549DCEC-4430-47E0-B2EC-44589FA07C0C}"/>
    <cellStyle name="Normal 4 6 2 2 4 4" xfId="11285" xr:uid="{AAC401BE-E29B-468C-9674-D73F6EEF4246}"/>
    <cellStyle name="Normal 4 6 2 2 4 4 2" xfId="21665" xr:uid="{01E2D04D-4996-4EBB-AF62-62703EAEF02D}"/>
    <cellStyle name="Normal 4 6 2 2 4 5" xfId="25574" xr:uid="{E1C4CBC8-9ED7-4382-BF6B-7BBCE7379DC1}"/>
    <cellStyle name="Normal 4 6 2 2 4 6" xfId="13939" xr:uid="{AB21AA70-4C29-4E40-82A6-27E05CEFD33C}"/>
    <cellStyle name="Normal 4 6 2 2 5" xfId="4241" xr:uid="{7BBC9497-82B0-4ADB-A7A3-2F1533CE31CC}"/>
    <cellStyle name="Normal 4 6 2 2 5 2" xfId="9013" xr:uid="{B9ED2CFE-69D1-4188-ADEF-5D6363C8360F}"/>
    <cellStyle name="Normal 4 6 2 2 5 2 2" xfId="29084" xr:uid="{7CE498E7-E51D-4A07-B524-3164CAB63061}"/>
    <cellStyle name="Normal 4 6 2 2 5 2 3" xfId="19393" xr:uid="{043CDCFB-1C20-4D1F-91C0-F42D8CEADAE4}"/>
    <cellStyle name="Normal 4 6 2 2 5 3" xfId="11846" xr:uid="{B5DE2472-92FD-4AD6-B80E-8F7054A7112C}"/>
    <cellStyle name="Normal 4 6 2 2 5 3 2" xfId="22226" xr:uid="{2C3B597A-756B-4D67-9D62-0C244C280664}"/>
    <cellStyle name="Normal 4 6 2 2 5 4" xfId="22888" xr:uid="{C6014893-A7C7-4A82-9CA3-CA61DA4F29D4}"/>
    <cellStyle name="Normal 4 6 2 2 5 5" xfId="16560" xr:uid="{4BB7572C-CABF-4AB6-A614-BBE127A3BA44}"/>
    <cellStyle name="Normal 4 6 2 2 6" xfId="5330" xr:uid="{0BC6F27B-5223-4C6B-A1BD-C0DAAC3F5FFA}"/>
    <cellStyle name="Normal 4 6 2 2 6 2" xfId="26511" xr:uid="{B9489960-85F9-4505-A5C2-1F8532D4F4DF}"/>
    <cellStyle name="Normal 4 6 2 2 6 3" xfId="14628" xr:uid="{CF5B7C4E-A7A0-4306-97EE-8FEBF7CAB449}"/>
    <cellStyle name="Normal 4 6 2 2 7" xfId="7081" xr:uid="{DC6C013B-8A94-4095-AF5D-268893FFE2A2}"/>
    <cellStyle name="Normal 4 6 2 2 7 2" xfId="17461" xr:uid="{3E27D583-53B5-49F9-8AA4-8796FABFE141}"/>
    <cellStyle name="Normal 4 6 2 2 8" xfId="9914" xr:uid="{CBB50BD5-681D-443C-9868-4193C8A822BE}"/>
    <cellStyle name="Normal 4 6 2 2 8 2" xfId="20294" xr:uid="{47608F98-F220-4E32-A389-7F1FF8F58975}"/>
    <cellStyle name="Normal 4 6 2 2 9" xfId="25554" xr:uid="{F51A6025-3625-4273-96DD-FA29E6925DE5}"/>
    <cellStyle name="Normal 4 6 2 3" xfId="2798" xr:uid="{00000000-0005-0000-0000-000089060000}"/>
    <cellStyle name="Normal 4 6 2 3 2" xfId="3375" xr:uid="{00000000-0005-0000-0000-00008A060000}"/>
    <cellStyle name="Normal 4 6 2 3 2 2" xfId="6433" xr:uid="{880CAF5C-4AC2-4228-BFF6-717331E14064}"/>
    <cellStyle name="Normal 4 6 2 3 2 2 2" xfId="27459" xr:uid="{C2291383-4F7F-471B-B6F6-643F1244FFA0}"/>
    <cellStyle name="Normal 4 6 2 3 2 2 3" xfId="16002" xr:uid="{8D5A8F50-BECA-49B4-9B6F-7F3E5334F744}"/>
    <cellStyle name="Normal 4 6 2 3 2 3" xfId="8455" xr:uid="{9FD6D99F-F8BC-4485-89F9-262AD42F3226}"/>
    <cellStyle name="Normal 4 6 2 3 2 3 2" xfId="18835" xr:uid="{03B18222-BF3C-42FE-A591-71C34DA0E657}"/>
    <cellStyle name="Normal 4 6 2 3 2 4" xfId="11288" xr:uid="{4D8CE8A3-16C8-4C1F-ADA3-A839C5636C16}"/>
    <cellStyle name="Normal 4 6 2 3 2 4 2" xfId="21668" xr:uid="{3EB5A2D3-8416-40DA-85A2-7E435DA59E15}"/>
    <cellStyle name="Normal 4 6 2 3 2 5" xfId="23457" xr:uid="{A9AE0ADF-588F-433F-BC38-596516722669}"/>
    <cellStyle name="Normal 4 6 2 3 2 6" xfId="13942" xr:uid="{EA1AC588-B608-4722-8945-FC4F3505763E}"/>
    <cellStyle name="Normal 4 6 2 3 3" xfId="4348" xr:uid="{33991BCD-F775-4318-80DB-758A0F992761}"/>
    <cellStyle name="Normal 4 6 2 3 3 2" xfId="9120" xr:uid="{B420165E-4375-445C-A6FA-7FDFBC7CFB61}"/>
    <cellStyle name="Normal 4 6 2 3 3 2 2" xfId="29163" xr:uid="{7C4D684C-7F2D-4649-ABF0-FCD9C55140AA}"/>
    <cellStyle name="Normal 4 6 2 3 3 2 3" xfId="19500" xr:uid="{9E68BC75-A358-42E8-ACFB-EDBA14863A2E}"/>
    <cellStyle name="Normal 4 6 2 3 3 3" xfId="11953" xr:uid="{261320A2-93F7-4A07-9958-424AAD113807}"/>
    <cellStyle name="Normal 4 6 2 3 3 3 2" xfId="22333" xr:uid="{949CAFC4-8871-4ACE-BEDE-5CF90CEFC2B9}"/>
    <cellStyle name="Normal 4 6 2 3 3 4" xfId="23790" xr:uid="{74D6E03D-3524-44D2-95CC-50F897D80617}"/>
    <cellStyle name="Normal 4 6 2 3 3 5" xfId="16667" xr:uid="{2236F4F1-DC6E-4ADC-B66E-8AD3A6423D89}"/>
    <cellStyle name="Normal 4 6 2 3 4" xfId="6016" xr:uid="{549DDB82-193B-40EB-BA86-5591FDFDE21C}"/>
    <cellStyle name="Normal 4 6 2 3 4 2" xfId="28741" xr:uid="{66E455AA-C372-40FF-BCAA-19EB6694B7F7}"/>
    <cellStyle name="Normal 4 6 2 3 4 3" xfId="15469" xr:uid="{05D3D57B-DDB3-41F1-82B1-B823E9146CA9}"/>
    <cellStyle name="Normal 4 6 2 3 5" xfId="7922" xr:uid="{578D98C4-7BBC-4E51-A64A-87B87A34B3A3}"/>
    <cellStyle name="Normal 4 6 2 3 5 2" xfId="18302" xr:uid="{887E17B5-1162-4D84-910B-C7259F3F7D5C}"/>
    <cellStyle name="Normal 4 6 2 3 6" xfId="10755" xr:uid="{EC7B1093-E08D-43FB-A576-FB7BF1F8C0E9}"/>
    <cellStyle name="Normal 4 6 2 3 6 2" xfId="21135" xr:uid="{002DD402-31AF-43C4-A8FD-480AABED7F2F}"/>
    <cellStyle name="Normal 4 6 2 3 7" xfId="24847" xr:uid="{5FA861CB-960F-4F70-8496-8715392A77B1}"/>
    <cellStyle name="Normal 4 6 2 3 8" xfId="13260" xr:uid="{5F45DE9B-7C40-47FD-A7B2-AA4DF5042440}"/>
    <cellStyle name="Normal 4 6 2 4" xfId="3376" xr:uid="{00000000-0005-0000-0000-00008B060000}"/>
    <cellStyle name="Normal 4 6 2 4 2" xfId="4547" xr:uid="{749E27D2-7FCE-4D76-9AA5-6D44FC29F920}"/>
    <cellStyle name="Normal 4 6 2 4 2 2" xfId="9319" xr:uid="{9EFD28D9-37C4-4EDC-AA86-4C8EFF8AF0C6}"/>
    <cellStyle name="Normal 4 6 2 4 2 2 2" xfId="19699" xr:uid="{9DEFEACB-BD51-4E5C-ADB6-7EE6CE7D305E}"/>
    <cellStyle name="Normal 4 6 2 4 2 3" xfId="12152" xr:uid="{1422BA2B-04C1-464D-8F5A-C55CBB0A4305}"/>
    <cellStyle name="Normal 4 6 2 4 2 3 2" xfId="22532" xr:uid="{E0E79656-BC44-4B8D-BC07-773BF57F1545}"/>
    <cellStyle name="Normal 4 6 2 4 2 4" xfId="28225" xr:uid="{27FFF2D2-6DF0-4A23-9AE8-59C2B0104837}"/>
    <cellStyle name="Normal 4 6 2 4 2 5" xfId="16866" xr:uid="{ABE290DE-BBD1-4714-B8E9-936D08C7DAC6}"/>
    <cellStyle name="Normal 4 6 2 4 3" xfId="6434" xr:uid="{9E72A876-C62D-4F44-8E52-DCAC54AC59A6}"/>
    <cellStyle name="Normal 4 6 2 4 3 2" xfId="16003" xr:uid="{5ED750DD-F985-4D60-B795-87EA2355995A}"/>
    <cellStyle name="Normal 4 6 2 4 4" xfId="8456" xr:uid="{FCCF48FB-37BC-42B7-9431-B4CDCEFB7844}"/>
    <cellStyle name="Normal 4 6 2 4 4 2" xfId="18836" xr:uid="{FFA19266-D96D-4747-AA47-FD9F5C716AC7}"/>
    <cellStyle name="Normal 4 6 2 4 5" xfId="11289" xr:uid="{52B16D53-16A7-4D69-B14D-5E03BD6D4452}"/>
    <cellStyle name="Normal 4 6 2 4 5 2" xfId="21669" xr:uid="{E7995802-90F3-422F-8B7F-E0636E370639}"/>
    <cellStyle name="Normal 4 6 2 4 6" xfId="23821" xr:uid="{F2D36C3B-1B93-4771-8680-B2C00BEE802A}"/>
    <cellStyle name="Normal 4 6 2 4 7" xfId="13943" xr:uid="{F2571187-447E-4431-998D-0C219264E416}"/>
    <cellStyle name="Normal 4 6 2 5" xfId="3371" xr:uid="{00000000-0005-0000-0000-00008C060000}"/>
    <cellStyle name="Normal 4 6 2 5 2" xfId="6429" xr:uid="{01A369A0-5815-472D-97F3-A707B176889F}"/>
    <cellStyle name="Normal 4 6 2 5 2 2" xfId="26382" xr:uid="{16CB294B-F5FE-4515-BC4C-7748DEE1246C}"/>
    <cellStyle name="Normal 4 6 2 5 2 3" xfId="15998" xr:uid="{72F13864-9C06-40FA-BE5B-611CC6680535}"/>
    <cellStyle name="Normal 4 6 2 5 3" xfId="8451" xr:uid="{329386A7-6D86-40F6-8462-4DBE5BCB0B6D}"/>
    <cellStyle name="Normal 4 6 2 5 3 2" xfId="18831" xr:uid="{66D3882B-A6BA-47A6-8426-7BF6347CC412}"/>
    <cellStyle name="Normal 4 6 2 5 4" xfId="11284" xr:uid="{0D6E7808-C939-4A45-835C-6D27BEA1445A}"/>
    <cellStyle name="Normal 4 6 2 5 4 2" xfId="21664" xr:uid="{0C4BD208-8BE2-47DF-95F1-9787C9753DB7}"/>
    <cellStyle name="Normal 4 6 2 5 5" xfId="23231" xr:uid="{A0757412-99F0-4C37-9858-3E46AAA0C5DD}"/>
    <cellStyle name="Normal 4 6 2 5 6" xfId="13938" xr:uid="{E9B9564E-68B5-4E24-9065-9266C55071EC}"/>
    <cellStyle name="Normal 4 6 2 6" xfId="2549" xr:uid="{00000000-0005-0000-0000-00008D060000}"/>
    <cellStyle name="Normal 4 6 2 6 2" xfId="5821" xr:uid="{41544DA0-315C-44C7-AB6A-C9E301631538}"/>
    <cellStyle name="Normal 4 6 2 6 2 2" xfId="27511" xr:uid="{B3544BF6-F1E3-4B61-A540-E164104E4554}"/>
    <cellStyle name="Normal 4 6 2 6 2 3" xfId="15221" xr:uid="{7CD8B811-98BB-46E5-9CBA-D4CB87EA26E7}"/>
    <cellStyle name="Normal 4 6 2 6 3" xfId="7674" xr:uid="{7DCDBF62-8E47-4CB3-B802-602270E11C65}"/>
    <cellStyle name="Normal 4 6 2 6 3 2" xfId="18054" xr:uid="{61C0FDFA-84FE-454C-BD28-7756B99CB7D9}"/>
    <cellStyle name="Normal 4 6 2 6 4" xfId="10507" xr:uid="{0844F20E-431F-4A55-9533-1A1A9A61E0C7}"/>
    <cellStyle name="Normal 4 6 2 6 4 2" xfId="20887" xr:uid="{2882705B-DE5A-47A0-980E-CCA99F13C3A7}"/>
    <cellStyle name="Normal 4 6 2 6 5" xfId="22884" xr:uid="{E569D9BE-2496-4E68-BCDB-7012DD07E64E}"/>
    <cellStyle name="Normal 4 6 2 6 6" xfId="12937" xr:uid="{5886AA2B-A425-4F55-ACF6-F4BA10054406}"/>
    <cellStyle name="Normal 4 6 2 7" xfId="2243" xr:uid="{00000000-0005-0000-0000-000083060000}"/>
    <cellStyle name="Normal 4 6 2 7 2" xfId="7370" xr:uid="{84744B32-E0B7-4FC2-BB3B-B844A50F7DD0}"/>
    <cellStyle name="Normal 4 6 2 7 2 2" xfId="17750" xr:uid="{EDB24E2C-1183-4A31-B407-E5DFC0DCEDDC}"/>
    <cellStyle name="Normal 4 6 2 7 3" xfId="10203" xr:uid="{BA064AAF-62D6-4D3E-A5FB-B26EF5E73022}"/>
    <cellStyle name="Normal 4 6 2 7 3 2" xfId="20583" xr:uid="{FC3E2AD7-2C23-44A9-8943-266601646C4B}"/>
    <cellStyle name="Normal 4 6 2 7 4" xfId="25327" xr:uid="{222E9E21-D11A-4201-9FF5-9E84412AD29A}"/>
    <cellStyle name="Normal 4 6 2 7 5" xfId="14917" xr:uid="{8E47B897-A7B3-49F2-94FB-E0E005800D29}"/>
    <cellStyle name="Normal 4 6 2 8" xfId="3796" xr:uid="{66B84ED8-BC9E-4498-A73B-35889857A41E}"/>
    <cellStyle name="Normal 4 6 2 8 2" xfId="8632" xr:uid="{0F4416F8-99F8-41E9-A3CF-47FF7549839A}"/>
    <cellStyle name="Normal 4 6 2 8 2 2" xfId="19012" xr:uid="{A666FD74-CE94-4372-8D89-8248332C0E1E}"/>
    <cellStyle name="Normal 4 6 2 8 3" xfId="11465" xr:uid="{A0875D6F-228A-4E12-BCF7-F94FD1AB637F}"/>
    <cellStyle name="Normal 4 6 2 8 3 2" xfId="21845" xr:uid="{DE2D0665-F305-444B-955F-D1DD4BFCD16F}"/>
    <cellStyle name="Normal 4 6 2 8 4" xfId="16179" xr:uid="{38500B39-885A-4599-BE45-97D879E734F5}"/>
    <cellStyle name="Normal 4 6 2 9" xfId="5329" xr:uid="{65FE34F6-2A0D-4B2D-BC52-5DA0F62E3CEE}"/>
    <cellStyle name="Normal 4 6 2 9 2" xfId="14627" xr:uid="{005A2762-6103-4BE6-A709-99F685D5DE72}"/>
    <cellStyle name="Normal 4 6 3" xfId="1028" xr:uid="{00000000-0005-0000-0000-0000B6050000}"/>
    <cellStyle name="Normal 4 6 3 10" xfId="9915" xr:uid="{65D62F54-5204-4AF7-A9C3-2B42FD0785E3}"/>
    <cellStyle name="Normal 4 6 3 10 2" xfId="20295" xr:uid="{8B81BF18-E32E-4551-B32C-DD2102694D8F}"/>
    <cellStyle name="Normal 4 6 3 11" xfId="24210" xr:uid="{C8F8A3B3-7610-4B3D-88F8-49B14B8E669F}"/>
    <cellStyle name="Normal 4 6 3 12" xfId="12609" xr:uid="{92ACC22C-1DCF-4694-902C-29F38736A8E4}"/>
    <cellStyle name="Normal 4 6 3 2" xfId="2800" xr:uid="{00000000-0005-0000-0000-00008F060000}"/>
    <cellStyle name="Normal 4 6 3 2 2" xfId="3378" xr:uid="{00000000-0005-0000-0000-000090060000}"/>
    <cellStyle name="Normal 4 6 3 2 2 2" xfId="6436" xr:uid="{ECC1323C-BBCE-4C05-85B0-B7CD0379B66F}"/>
    <cellStyle name="Normal 4 6 3 2 2 2 2" xfId="28307" xr:uid="{CC38E7A4-818E-4713-AA1B-5EDBDD564FF5}"/>
    <cellStyle name="Normal 4 6 3 2 2 2 3" xfId="16005" xr:uid="{5D2BBA40-6627-4DA8-894C-64BF6AFF0124}"/>
    <cellStyle name="Normal 4 6 3 2 2 3" xfId="8458" xr:uid="{43FD189E-CF21-4F1F-84A3-354648D057E9}"/>
    <cellStyle name="Normal 4 6 3 2 2 3 2" xfId="18838" xr:uid="{2B00C903-3F5A-47B0-8475-DB1A2595A7FF}"/>
    <cellStyle name="Normal 4 6 3 2 2 4" xfId="11291" xr:uid="{9F945B0E-35D3-47C6-B261-9488E148600D}"/>
    <cellStyle name="Normal 4 6 3 2 2 4 2" xfId="21671" xr:uid="{9BE4E36D-2165-4661-B95D-60B47B200893}"/>
    <cellStyle name="Normal 4 6 3 2 2 5" xfId="23902" xr:uid="{99ADA984-40C4-405F-9146-D49474D20BF9}"/>
    <cellStyle name="Normal 4 6 3 2 2 6" xfId="13945" xr:uid="{4251F45D-B259-4191-887B-749C4FDC8CE6}"/>
    <cellStyle name="Normal 4 6 3 2 3" xfId="4350" xr:uid="{901FB3A0-8012-498C-9CCB-3EF37ACD6D75}"/>
    <cellStyle name="Normal 4 6 3 2 3 2" xfId="9122" xr:uid="{D16C0C56-8186-4342-8995-BAEF3C464C17}"/>
    <cellStyle name="Normal 4 6 3 2 3 2 2" xfId="29165" xr:uid="{C7EF66EA-693F-4B28-9BBC-25B8894BDAE5}"/>
    <cellStyle name="Normal 4 6 3 2 3 2 3" xfId="19502" xr:uid="{5E451109-4797-4230-9A2C-67668D2DDAFC}"/>
    <cellStyle name="Normal 4 6 3 2 3 3" xfId="11955" xr:uid="{BEEED125-E58D-4368-AED4-BBD4584C6ED8}"/>
    <cellStyle name="Normal 4 6 3 2 3 3 2" xfId="22335" xr:uid="{33CE28C0-6194-40B2-BB08-EEACDD9E6787}"/>
    <cellStyle name="Normal 4 6 3 2 3 4" xfId="24025" xr:uid="{7989FA24-BFED-499B-9E24-07FDD2DAA521}"/>
    <cellStyle name="Normal 4 6 3 2 3 5" xfId="16669" xr:uid="{91CA9D4E-359C-4C52-8609-A7C8330665B8}"/>
    <cellStyle name="Normal 4 6 3 2 4" xfId="6018" xr:uid="{59E052AB-7D7E-4A3D-976D-4709C348FFB7}"/>
    <cellStyle name="Normal 4 6 3 2 4 2" xfId="26948" xr:uid="{02767540-DF5E-4B92-80D7-9FD45739C69D}"/>
    <cellStyle name="Normal 4 6 3 2 4 3" xfId="15471" xr:uid="{DDDB477A-4CD4-4AC8-84C7-B0A32B3EBDDC}"/>
    <cellStyle name="Normal 4 6 3 2 5" xfId="7924" xr:uid="{4E6E7CA1-9D4F-4542-984E-C278AFFBBC10}"/>
    <cellStyle name="Normal 4 6 3 2 5 2" xfId="18304" xr:uid="{61542B72-7518-472E-BD8F-792E0FF34D99}"/>
    <cellStyle name="Normal 4 6 3 2 6" xfId="10757" xr:uid="{ABD51765-B398-485E-8795-9B8333D02366}"/>
    <cellStyle name="Normal 4 6 3 2 6 2" xfId="21137" xr:uid="{93867C53-5D9A-4BD7-90FE-2978CC3A71BD}"/>
    <cellStyle name="Normal 4 6 3 2 7" xfId="23038" xr:uid="{D9FA77CE-9ED0-4400-9135-1F8631E9D081}"/>
    <cellStyle name="Normal 4 6 3 2 8" xfId="13262" xr:uid="{51C5BCC4-BF37-4FC8-A816-6C0EC2E4824E}"/>
    <cellStyle name="Normal 4 6 3 3" xfId="3379" xr:uid="{00000000-0005-0000-0000-000091060000}"/>
    <cellStyle name="Normal 4 6 3 3 2" xfId="4548" xr:uid="{E221C829-7C95-4079-854A-5EBDF76DD425}"/>
    <cellStyle name="Normal 4 6 3 3 2 2" xfId="9320" xr:uid="{4DEF5092-6EB7-4BC7-9957-FECF1C25D9F1}"/>
    <cellStyle name="Normal 4 6 3 3 2 2 2" xfId="29295" xr:uid="{D3A93D07-91C3-4843-A204-60D26D324504}"/>
    <cellStyle name="Normal 4 6 3 3 2 2 3" xfId="19700" xr:uid="{DD7743E5-D6EA-4048-BE56-A3455AB786FD}"/>
    <cellStyle name="Normal 4 6 3 3 2 3" xfId="12153" xr:uid="{77A8F7AB-4E87-4258-807B-C7F69B105ADF}"/>
    <cellStyle name="Normal 4 6 3 3 2 3 2" xfId="22533" xr:uid="{58610B75-D3AA-4372-AE19-009B80C3D1A7}"/>
    <cellStyle name="Normal 4 6 3 3 2 4" xfId="24087" xr:uid="{0D6BCC69-94B7-4F2D-AFED-7BA5C54DEC4A}"/>
    <cellStyle name="Normal 4 6 3 3 2 5" xfId="16867" xr:uid="{27469A74-8DD6-41A1-B7AC-C6C4FAAFD828}"/>
    <cellStyle name="Normal 4 6 3 3 3" xfId="6437" xr:uid="{623468F2-DB1D-4A25-9F04-83975724908B}"/>
    <cellStyle name="Normal 4 6 3 3 3 2" xfId="27818" xr:uid="{EBF82967-C964-4B43-BCF0-0679A04E8F94}"/>
    <cellStyle name="Normal 4 6 3 3 3 3" xfId="16006" xr:uid="{5494DBDC-DD7D-4D87-8DEE-442698AE16EA}"/>
    <cellStyle name="Normal 4 6 3 3 4" xfId="8459" xr:uid="{A8365E87-BB44-439D-9A0C-3F33A415FE65}"/>
    <cellStyle name="Normal 4 6 3 3 4 2" xfId="18839" xr:uid="{18EEF64B-50EE-4128-A3E3-2DA4BBF896F7}"/>
    <cellStyle name="Normal 4 6 3 3 5" xfId="11292" xr:uid="{789E31E8-3EB5-48E4-B8B1-CABF5AA7D4A0}"/>
    <cellStyle name="Normal 4 6 3 3 5 2" xfId="21672" xr:uid="{0DEB7017-66B9-4564-A4BB-9E3C9FE50BAC}"/>
    <cellStyle name="Normal 4 6 3 3 6" xfId="25504" xr:uid="{3436378B-9E79-4637-A21E-71AC240B0DDD}"/>
    <cellStyle name="Normal 4 6 3 3 7" xfId="13946" xr:uid="{9AF3BE5F-10EF-4920-A4B5-935A140E3D04}"/>
    <cellStyle name="Normal 4 6 3 4" xfId="3377" xr:uid="{00000000-0005-0000-0000-000092060000}"/>
    <cellStyle name="Normal 4 6 3 4 2" xfId="6435" xr:uid="{A886D118-9798-4B5F-B36C-335C108265F6}"/>
    <cellStyle name="Normal 4 6 3 4 2 2" xfId="26706" xr:uid="{FAB36108-C6D0-47AF-BEE1-BC28397C8375}"/>
    <cellStyle name="Normal 4 6 3 4 2 3" xfId="16004" xr:uid="{CB19526C-0119-4CF9-AAB4-86A3527D295C}"/>
    <cellStyle name="Normal 4 6 3 4 3" xfId="8457" xr:uid="{AF3CC76E-0B3E-4EB8-A8A1-5953B3F0274B}"/>
    <cellStyle name="Normal 4 6 3 4 3 2" xfId="18837" xr:uid="{2EFF01A5-BFE2-42F0-B845-57884D25FD7F}"/>
    <cellStyle name="Normal 4 6 3 4 4" xfId="11290" xr:uid="{625C0DC1-3F0E-4E75-8366-20573A204629}"/>
    <cellStyle name="Normal 4 6 3 4 4 2" xfId="21670" xr:uid="{F42CB666-5D98-4AB0-8DA7-A311C7ED6FFD}"/>
    <cellStyle name="Normal 4 6 3 4 5" xfId="25122" xr:uid="{8232A13F-E8FD-43DB-A4C5-900C2D745B05}"/>
    <cellStyle name="Normal 4 6 3 4 6" xfId="13944" xr:uid="{E230A255-7C47-4E73-9DCC-7CC97062DFB8}"/>
    <cellStyle name="Normal 4 6 3 5" xfId="2592" xr:uid="{00000000-0005-0000-0000-000093060000}"/>
    <cellStyle name="Normal 4 6 3 5 2" xfId="5857" xr:uid="{6D81AD73-E358-4DC6-B538-A344F8457572}"/>
    <cellStyle name="Normal 4 6 3 5 2 2" xfId="26791" xr:uid="{16CED827-F0E7-46A8-96CD-1D6D37DD6EC7}"/>
    <cellStyle name="Normal 4 6 3 5 2 3" xfId="15264" xr:uid="{44B554EA-51CE-4740-88C4-673048E6CE4E}"/>
    <cellStyle name="Normal 4 6 3 5 3" xfId="7717" xr:uid="{E5302134-8F60-4297-9414-BF9364858382}"/>
    <cellStyle name="Normal 4 6 3 5 3 2" xfId="18097" xr:uid="{95A2416F-C317-4DCF-B9B0-F5D2680D25D6}"/>
    <cellStyle name="Normal 4 6 3 5 4" xfId="10550" xr:uid="{6189DE3A-7947-47B5-BFBB-FE8ED5761E0A}"/>
    <cellStyle name="Normal 4 6 3 5 4 2" xfId="20930" xr:uid="{44CBDEB3-C6B6-4F6D-A1B9-6FE03C2B83B1}"/>
    <cellStyle name="Normal 4 6 3 5 5" xfId="23929" xr:uid="{BC0E6D03-EBDA-495D-884C-09FD51EE881D}"/>
    <cellStyle name="Normal 4 6 3 5 6" xfId="12980" xr:uid="{40EAB2F3-82C5-4BFA-8CBB-A38D930B46D9}"/>
    <cellStyle name="Normal 4 6 3 6" xfId="2375" xr:uid="{00000000-0005-0000-0000-00008E060000}"/>
    <cellStyle name="Normal 4 6 3 6 2" xfId="7502" xr:uid="{D5F0E475-829F-4382-B8E0-F6660E807072}"/>
    <cellStyle name="Normal 4 6 3 6 2 2" xfId="17882" xr:uid="{4937C117-2160-4AB8-BEBD-AABD170FF688}"/>
    <cellStyle name="Normal 4 6 3 6 3" xfId="10335" xr:uid="{EBC08E7D-5530-47D8-A3F4-26578A6FE87F}"/>
    <cellStyle name="Normal 4 6 3 6 3 2" xfId="20715" xr:uid="{7AC2691F-6757-43AF-BCC2-16AE5386A8B5}"/>
    <cellStyle name="Normal 4 6 3 6 4" xfId="25446" xr:uid="{9C4F7415-8D2D-4E21-9BFE-337BF7D76875}"/>
    <cellStyle name="Normal 4 6 3 6 5" xfId="15049" xr:uid="{F992069E-7030-4E0F-8FC2-7DF6BC38C7D4}"/>
    <cellStyle name="Normal 4 6 3 7" xfId="3926" xr:uid="{924801CF-FC74-4CA9-B147-9E360EDB88E6}"/>
    <cellStyle name="Normal 4 6 3 7 2" xfId="8758" xr:uid="{4D943242-7C2D-42A4-A9EF-D885DE73F0F0}"/>
    <cellStyle name="Normal 4 6 3 7 2 2" xfId="19138" xr:uid="{88F63E08-9EF1-4D65-85FD-DB425D9DEE45}"/>
    <cellStyle name="Normal 4 6 3 7 3" xfId="11591" xr:uid="{D4F74956-11A9-4EC4-881E-71BDF2275367}"/>
    <cellStyle name="Normal 4 6 3 7 3 2" xfId="21971" xr:uid="{19FDC02D-D04F-456E-9356-E9B81E218EC7}"/>
    <cellStyle name="Normal 4 6 3 7 4" xfId="16305" xr:uid="{E6E6D48B-F82C-45C2-B441-F678F8C3916E}"/>
    <cellStyle name="Normal 4 6 3 8" xfId="5331" xr:uid="{607ADC84-15AD-45CE-8404-B51B4BCF585F}"/>
    <cellStyle name="Normal 4 6 3 8 2" xfId="14629" xr:uid="{423F566A-93EB-4271-9D48-AE6925D4E99E}"/>
    <cellStyle name="Normal 4 6 3 9" xfId="7082" xr:uid="{6B1299FA-5846-4160-B210-58C7C0DDF07D}"/>
    <cellStyle name="Normal 4 6 3 9 2" xfId="17462" xr:uid="{3A67E0D5-267D-4E35-8F08-7307358D77B8}"/>
    <cellStyle name="Normal 4 6 4" xfId="1029" xr:uid="{00000000-0005-0000-0000-0000B7050000}"/>
    <cellStyle name="Normal 4 6 4 2" xfId="3380" xr:uid="{00000000-0005-0000-0000-000095060000}"/>
    <cellStyle name="Normal 4 6 4 2 2" xfId="6438" xr:uid="{DF2BC96C-2FB0-4962-9806-62CD31B7ECED}"/>
    <cellStyle name="Normal 4 6 4 2 2 2" xfId="26974" xr:uid="{8716AC8C-11C4-474C-8456-E9B906350AA6}"/>
    <cellStyle name="Normal 4 6 4 2 2 3" xfId="16007" xr:uid="{A2B4B55D-AE48-42DA-9B4D-D608BAA9A44D}"/>
    <cellStyle name="Normal 4 6 4 2 3" xfId="8460" xr:uid="{6DBD12A6-2213-429C-AC16-8933FD49C409}"/>
    <cellStyle name="Normal 4 6 4 2 3 2" xfId="18840" xr:uid="{8135583A-409D-4449-BE67-C70F4FC82A0F}"/>
    <cellStyle name="Normal 4 6 4 2 4" xfId="11293" xr:uid="{974BD558-C368-47BB-B456-94E3E124EE42}"/>
    <cellStyle name="Normal 4 6 4 2 4 2" xfId="21673" xr:uid="{8B909957-D330-4C32-9A3C-E9EA72CC9DF6}"/>
    <cellStyle name="Normal 4 6 4 2 5" xfId="23756" xr:uid="{80E40EDF-AC2D-43E5-AF8D-8B8412EA8E75}"/>
    <cellStyle name="Normal 4 6 4 2 6" xfId="13947" xr:uid="{9AC6C785-FA2C-4C59-9E87-BABB63367A3C}"/>
    <cellStyle name="Normal 4 6 4 3" xfId="2797" xr:uid="{00000000-0005-0000-0000-000096060000}"/>
    <cellStyle name="Normal 4 6 4 3 2" xfId="6015" xr:uid="{6C483FC5-646A-4F50-85C1-8E995DCF95F1}"/>
    <cellStyle name="Normal 4 6 4 3 2 2" xfId="27504" xr:uid="{8ADA07F8-9A0B-4FC4-A429-84D780E180CE}"/>
    <cellStyle name="Normal 4 6 4 3 2 3" xfId="15468" xr:uid="{C62DDB48-E9B1-4C52-9486-4A9C55884380}"/>
    <cellStyle name="Normal 4 6 4 3 3" xfId="7921" xr:uid="{10E3C720-B3FB-4150-8280-9F5978754AB3}"/>
    <cellStyle name="Normal 4 6 4 3 3 2" xfId="18301" xr:uid="{8BB6CA60-1AC8-47E9-9408-6B49377EC56A}"/>
    <cellStyle name="Normal 4 6 4 3 4" xfId="10754" xr:uid="{21F570A0-3A0C-4A55-830B-E33CF98C2F1B}"/>
    <cellStyle name="Normal 4 6 4 3 4 2" xfId="21134" xr:uid="{BE0654F7-F076-4459-B2AE-3701B9BDDD41}"/>
    <cellStyle name="Normal 4 6 4 3 5" xfId="24885" xr:uid="{5608BF8D-F8BE-4E20-9495-238DAD20BFD1}"/>
    <cellStyle name="Normal 4 6 4 3 6" xfId="13259" xr:uid="{D4DC4BC2-2489-434E-B83E-F5C77EB46244}"/>
    <cellStyle name="Normal 4 6 4 4" xfId="4201" xr:uid="{A57E2CE8-3522-4BE4-A60A-936B9032D4FA}"/>
    <cellStyle name="Normal 4 6 4 4 2" xfId="8973" xr:uid="{C94728F6-AC6E-455A-908E-50D33529407D}"/>
    <cellStyle name="Normal 4 6 4 4 2 2" xfId="19353" xr:uid="{0CA64AC8-0492-4B95-9D47-014B6E1AABEE}"/>
    <cellStyle name="Normal 4 6 4 4 3" xfId="11806" xr:uid="{4AD76A22-88B8-4419-862B-F0BD30D77D2E}"/>
    <cellStyle name="Normal 4 6 4 4 3 2" xfId="22186" xr:uid="{4EB621FE-93A1-4D11-87A8-8318FEB65438}"/>
    <cellStyle name="Normal 4 6 4 4 4" xfId="23076" xr:uid="{733A50BF-9F77-4A27-B6D3-AC1CAF03E720}"/>
    <cellStyle name="Normal 4 6 4 4 5" xfId="16520" xr:uid="{645438F7-51BC-45C7-AE07-E4D07A053734}"/>
    <cellStyle name="Normal 4 6 4 5" xfId="5332" xr:uid="{9AB68C42-FC3A-4C78-8542-B8DA3FD6B9FB}"/>
    <cellStyle name="Normal 4 6 4 5 2" xfId="14630" xr:uid="{73F47F6E-2A0E-4804-AC52-DADCA8073015}"/>
    <cellStyle name="Normal 4 6 4 6" xfId="7083" xr:uid="{73D88EF4-697B-4643-B67A-ADBF92497027}"/>
    <cellStyle name="Normal 4 6 4 6 2" xfId="17463" xr:uid="{E2F6927A-9127-41AD-A8A9-A72D9C1DEF4A}"/>
    <cellStyle name="Normal 4 6 4 7" xfId="9916" xr:uid="{505BD350-6781-42B3-B3A5-60CCEB242031}"/>
    <cellStyle name="Normal 4 6 4 7 2" xfId="20296" xr:uid="{BC126441-CDF2-49F7-8E8E-C90F634FFA7D}"/>
    <cellStyle name="Normal 4 6 4 8" xfId="24942" xr:uid="{8CBEC4C0-6167-4ACD-B708-2F1EF5FCBA0D}"/>
    <cellStyle name="Normal 4 6 4 9" xfId="12767" xr:uid="{F1573951-130D-4364-86D9-F96C85D8EA5C}"/>
    <cellStyle name="Normal 4 6 5" xfId="3381" xr:uid="{00000000-0005-0000-0000-000097060000}"/>
    <cellStyle name="Normal 4 6 5 2" xfId="4549" xr:uid="{581CFBF6-C1AC-444F-A46C-02981E676F45}"/>
    <cellStyle name="Normal 4 6 5 2 2" xfId="9321" xr:uid="{CFAAE2CF-B7A9-4A13-A923-164E8CDC0A96}"/>
    <cellStyle name="Normal 4 6 5 2 2 2" xfId="29296" xr:uid="{ED4DE572-AFE9-42EB-A725-25F832C8068A}"/>
    <cellStyle name="Normal 4 6 5 2 2 3" xfId="19701" xr:uid="{E0FCC1E7-FE38-42F2-B0E0-07FCC59D20A8}"/>
    <cellStyle name="Normal 4 6 5 2 3" xfId="12154" xr:uid="{A1925F0E-E782-467A-B13D-335839335128}"/>
    <cellStyle name="Normal 4 6 5 2 3 2" xfId="22534" xr:uid="{AC00FD10-3A98-4B2C-827D-6861B8AA029B}"/>
    <cellStyle name="Normal 4 6 5 2 4" xfId="23305" xr:uid="{C9677F74-E8DA-4B04-B1E5-90A610B7759B}"/>
    <cellStyle name="Normal 4 6 5 2 5" xfId="16868" xr:uid="{BBFEB372-A371-413B-BB71-5A998ACFD46D}"/>
    <cellStyle name="Normal 4 6 5 3" xfId="6439" xr:uid="{7BEDD6E8-8DEB-4481-93FD-E3DDF32C9C2E}"/>
    <cellStyle name="Normal 4 6 5 3 2" xfId="26244" xr:uid="{243F8F15-6787-4C0A-A720-7FADCA7EEA10}"/>
    <cellStyle name="Normal 4 6 5 3 3" xfId="16008" xr:uid="{A5D04E9F-CB05-4A4F-8261-564A0F8E7F47}"/>
    <cellStyle name="Normal 4 6 5 4" xfId="8461" xr:uid="{532730D0-B859-46F1-8F49-E074F3AD6383}"/>
    <cellStyle name="Normal 4 6 5 4 2" xfId="18841" xr:uid="{DBB5BC43-DA6F-4B42-B0E7-8C259BA09246}"/>
    <cellStyle name="Normal 4 6 5 5" xfId="11294" xr:uid="{162DD07D-91B8-403D-9E9D-0E51B22F1306}"/>
    <cellStyle name="Normal 4 6 5 5 2" xfId="21674" xr:uid="{A456DF34-40D1-4C8D-9238-1A647AA31703}"/>
    <cellStyle name="Normal 4 6 5 6" xfId="25112" xr:uid="{0CC5BDD8-8D65-423E-85DA-4B5C43D446A2}"/>
    <cellStyle name="Normal 4 6 5 7" xfId="13948" xr:uid="{197DA3D7-F9EF-4319-8013-37E02FA82DBE}"/>
    <cellStyle name="Normal 4 6 6" xfId="2944" xr:uid="{00000000-0005-0000-0000-000098060000}"/>
    <cellStyle name="Normal 4 6 6 2" xfId="6124" xr:uid="{AB61B0ED-0C05-4DA9-A5B5-9B1C7FDA926D}"/>
    <cellStyle name="Normal 4 6 6 2 2" xfId="26509" xr:uid="{4E26FDE3-85AD-41CB-BE54-C9C7D9AED855}"/>
    <cellStyle name="Normal 4 6 6 2 3" xfId="15602" xr:uid="{FEB8E9C5-960A-4575-8FDE-A17B18FE6308}"/>
    <cellStyle name="Normal 4 6 6 3" xfId="8055" xr:uid="{7E7448F5-FD6C-40E9-A151-B5B80535108C}"/>
    <cellStyle name="Normal 4 6 6 3 2" xfId="18435" xr:uid="{DE24D157-716F-431F-890B-BD71DF75388E}"/>
    <cellStyle name="Normal 4 6 6 4" xfId="10888" xr:uid="{4AF5FA3F-E5DF-451E-B08B-27DE264D3C73}"/>
    <cellStyle name="Normal 4 6 6 4 2" xfId="21268" xr:uid="{85296F37-8CF4-4711-AAD8-2164B0504D56}"/>
    <cellStyle name="Normal 4 6 6 5" xfId="24035" xr:uid="{EFD7E220-F198-47E0-B4BD-5358AAF6C1A3}"/>
    <cellStyle name="Normal 4 6 6 6" xfId="13465" xr:uid="{2503850D-3D78-45E2-B8FA-EB848C72E4DA}"/>
    <cellStyle name="Normal 4 6 7" xfId="2489" xr:uid="{00000000-0005-0000-0000-000099060000}"/>
    <cellStyle name="Normal 4 6 7 2" xfId="5774" xr:uid="{50B46806-7D8D-42E2-9C6C-C21CBC4D37E3}"/>
    <cellStyle name="Normal 4 6 7 2 2" xfId="26160" xr:uid="{5256F9A0-EFB7-41AC-8504-22C92C43AF49}"/>
    <cellStyle name="Normal 4 6 7 2 3" xfId="15161" xr:uid="{6897A209-42EE-48B8-BFAE-E2EB752E78D0}"/>
    <cellStyle name="Normal 4 6 7 3" xfId="7614" xr:uid="{928CE829-45FF-468E-A724-D3EE3587A3C7}"/>
    <cellStyle name="Normal 4 6 7 3 2" xfId="17994" xr:uid="{F45296D9-6049-45CD-B7D0-0CFB0861CF15}"/>
    <cellStyle name="Normal 4 6 7 4" xfId="10447" xr:uid="{BA5CEA8B-76A7-4BFB-BA5E-EAEA0955FEB6}"/>
    <cellStyle name="Normal 4 6 7 4 2" xfId="20827" xr:uid="{A8D583BB-F8BD-4143-BF7C-57AA7EAD4000}"/>
    <cellStyle name="Normal 4 6 7 5" xfId="23320" xr:uid="{103450DD-2735-4A4C-A33D-984DF1C76EF3}"/>
    <cellStyle name="Normal 4 6 7 6" xfId="12877" xr:uid="{5E9881F1-2B8A-4A6A-B900-3DD69FFF754E}"/>
    <cellStyle name="Normal 4 6 8" xfId="2183" xr:uid="{00000000-0005-0000-0000-000082060000}"/>
    <cellStyle name="Normal 4 6 8 2" xfId="7310" xr:uid="{15F803F6-1D1C-408C-8311-625EC20A9C42}"/>
    <cellStyle name="Normal 4 6 8 2 2" xfId="17690" xr:uid="{ECBBA2BE-6D98-41EE-955A-755DC0787FD2}"/>
    <cellStyle name="Normal 4 6 8 3" xfId="10143" xr:uid="{D7A27A57-4429-427A-B428-FE3C620908DD}"/>
    <cellStyle name="Normal 4 6 8 3 2" xfId="20523" xr:uid="{27F0C316-878F-4708-A6DC-5E58065A94E5}"/>
    <cellStyle name="Normal 4 6 8 4" xfId="24271" xr:uid="{57A341D5-D594-4091-B7AB-8FBEB2695850}"/>
    <cellStyle name="Normal 4 6 8 5" xfId="14857" xr:uid="{B9219575-002C-4DFB-927E-315FE24DBD76}"/>
    <cellStyle name="Normal 4 6 9" xfId="3996" xr:uid="{5B3FB2E7-98AC-4D7F-BA21-C2139A83A87B}"/>
    <cellStyle name="Normal 4 6 9 2" xfId="8820" xr:uid="{3E5090D4-3654-4158-BCF2-FABCE5B40C12}"/>
    <cellStyle name="Normal 4 6 9 2 2" xfId="19200" xr:uid="{7D347B0F-9A4C-4D9C-8307-CFF1A1F2517E}"/>
    <cellStyle name="Normal 4 6 9 3" xfId="11653" xr:uid="{86DCD437-03D8-46D8-8996-3ADBC1159A65}"/>
    <cellStyle name="Normal 4 6 9 3 2" xfId="22033" xr:uid="{50E8EB04-21AB-46A5-8681-584EA55457EA}"/>
    <cellStyle name="Normal 4 6 9 4" xfId="16367" xr:uid="{6FA59F06-511F-49EB-9289-21244F33BEA0}"/>
    <cellStyle name="Normal 4 7" xfId="1030" xr:uid="{00000000-0005-0000-0000-0000B8050000}"/>
    <cellStyle name="Normal 4 7 10" xfId="5333" xr:uid="{ECD87BB0-BD90-49E2-9EE4-1F117221ACC5}"/>
    <cellStyle name="Normal 4 7 10 2" xfId="14631" xr:uid="{578552DA-6914-4709-8E5C-C93C603F32F4}"/>
    <cellStyle name="Normal 4 7 11" xfId="7084" xr:uid="{9290D053-35CD-4DAD-B80F-CACC9D3EF23C}"/>
    <cellStyle name="Normal 4 7 11 2" xfId="17464" xr:uid="{9A5C5777-3C3B-4BE8-A61E-31C493E774F9}"/>
    <cellStyle name="Normal 4 7 12" xfId="9917" xr:uid="{54880313-3C79-496B-A6D2-CCD9E0A1380A}"/>
    <cellStyle name="Normal 4 7 12 2" xfId="20297" xr:uid="{A2342BC1-9AA9-4364-9E56-FE359188ABB0}"/>
    <cellStyle name="Normal 4 7 13" xfId="23856" xr:uid="{EBC395B5-5298-4DCD-92C9-D8E9E3D2D57F}"/>
    <cellStyle name="Normal 4 7 14" xfId="12449" xr:uid="{FCC9BB74-58F6-4344-8DA8-0B927FF84A14}"/>
    <cellStyle name="Normal 4 7 2" xfId="1031" xr:uid="{00000000-0005-0000-0000-0000B9050000}"/>
    <cellStyle name="Normal 4 7 2 10" xfId="9918" xr:uid="{94CF7FCF-8478-4AE2-BFEB-AA8994DB8173}"/>
    <cellStyle name="Normal 4 7 2 10 2" xfId="20298" xr:uid="{B8110599-1DF2-4031-8E30-7BC6F555E3E1}"/>
    <cellStyle name="Normal 4 7 2 11" xfId="23059" xr:uid="{C66A64D2-0115-49AB-8BAC-36C4C9F008CD}"/>
    <cellStyle name="Normal 4 7 2 12" xfId="12610" xr:uid="{372D399D-0D52-40E3-994E-BA9ACBAB3711}"/>
    <cellStyle name="Normal 4 7 2 2" xfId="1032" xr:uid="{00000000-0005-0000-0000-0000BA050000}"/>
    <cellStyle name="Normal 4 7 2 2 2" xfId="3383" xr:uid="{00000000-0005-0000-0000-00009D060000}"/>
    <cellStyle name="Normal 4 7 2 2 2 2" xfId="6441" xr:uid="{E8A3B782-7144-4FB0-A0EE-14B664F1AEEF}"/>
    <cellStyle name="Normal 4 7 2 2 2 2 2" xfId="28066" xr:uid="{29F7E3EA-44BD-4021-8043-DAFB97F08BE6}"/>
    <cellStyle name="Normal 4 7 2 2 2 2 3" xfId="28198" xr:uid="{4F7C77A2-78FE-4A4A-B990-19A68F9D2F5F}"/>
    <cellStyle name="Normal 4 7 2 2 2 2 4" xfId="16010" xr:uid="{F484AA9B-596C-4BA3-AAF6-DE2DAFBC6117}"/>
    <cellStyle name="Normal 4 7 2 2 2 3" xfId="8463" xr:uid="{DB1A5F90-6857-43A1-8F1C-44EADF4E8061}"/>
    <cellStyle name="Normal 4 7 2 2 2 3 2" xfId="28920" xr:uid="{76A5D998-14F7-4EAD-91A8-CE53040F9BFB}"/>
    <cellStyle name="Normal 4 7 2 2 2 3 3" xfId="18843" xr:uid="{5A3404FA-1001-4144-A50A-EE677EE8B9B8}"/>
    <cellStyle name="Normal 4 7 2 2 2 4" xfId="11296" xr:uid="{A28B9933-EC09-4B39-9F68-FD7D5F491CFA}"/>
    <cellStyle name="Normal 4 7 2 2 2 4 2" xfId="21676" xr:uid="{139D2729-7A86-450C-ADE0-E252CD4B5BC9}"/>
    <cellStyle name="Normal 4 7 2 2 2 5" xfId="25331" xr:uid="{8FF248EE-F638-42F5-ACC7-A7C7BDB6519A}"/>
    <cellStyle name="Normal 4 7 2 2 2 6" xfId="13950" xr:uid="{29518F3D-1C02-4796-BB61-1355E1A9BFAF}"/>
    <cellStyle name="Normal 4 7 2 2 3" xfId="4352" xr:uid="{7C9569F9-0B92-4310-B4E2-53E9059F7EF8}"/>
    <cellStyle name="Normal 4 7 2 2 3 2" xfId="9124" xr:uid="{63FAED40-B796-4AEF-BC17-2BF11FA5189D}"/>
    <cellStyle name="Normal 4 7 2 2 3 2 2" xfId="29167" xr:uid="{F085E40B-C5E6-49D6-AEE1-8FC4AA0BDC7C}"/>
    <cellStyle name="Normal 4 7 2 2 3 2 3" xfId="19504" xr:uid="{98648650-F394-48D4-AE0E-51BE9FF8CA15}"/>
    <cellStyle name="Normal 4 7 2 2 3 3" xfId="11957" xr:uid="{8F26758B-F365-4B22-97EB-7FE5B65756B4}"/>
    <cellStyle name="Normal 4 7 2 2 3 3 2" xfId="22337" xr:uid="{F4405DCB-26E9-4D89-AA90-63F15D2747C7}"/>
    <cellStyle name="Normal 4 7 2 2 3 4" xfId="24691" xr:uid="{7F0753E8-F1BD-409E-8269-F6CE2CD8D05E}"/>
    <cellStyle name="Normal 4 7 2 2 3 5" xfId="16671" xr:uid="{09AD0ACB-335F-4A42-90EB-CAD05ED9EB23}"/>
    <cellStyle name="Normal 4 7 2 2 4" xfId="5335" xr:uid="{DB1BE809-91C4-4487-99CB-BA78682A7C08}"/>
    <cellStyle name="Normal 4 7 2 2 4 2" xfId="28189" xr:uid="{A26A072C-D439-465F-8D03-1CF7DF9CD02C}"/>
    <cellStyle name="Normal 4 7 2 2 4 3" xfId="14633" xr:uid="{0139C56B-5A9C-45D6-BBB5-8554DD1B4F94}"/>
    <cellStyle name="Normal 4 7 2 2 5" xfId="7086" xr:uid="{B0630248-094C-483E-9963-30E693C048AA}"/>
    <cellStyle name="Normal 4 7 2 2 5 2" xfId="17466" xr:uid="{E06B5C2A-5D99-4097-B1BA-91F8173A2815}"/>
    <cellStyle name="Normal 4 7 2 2 6" xfId="9919" xr:uid="{7D9B4A9C-318A-435B-8C9E-76189CD7F2C3}"/>
    <cellStyle name="Normal 4 7 2 2 6 2" xfId="20299" xr:uid="{A6ED4FA1-0582-4D26-AC7A-0D47AB97FF54}"/>
    <cellStyle name="Normal 4 7 2 2 7" xfId="25434" xr:uid="{EB845783-5C7F-4EDB-A2B7-8BC7C5A27B2D}"/>
    <cellStyle name="Normal 4 7 2 2 8" xfId="13264" xr:uid="{913CF532-A37B-483B-993E-FE9409C1DF05}"/>
    <cellStyle name="Normal 4 7 2 3" xfId="3384" xr:uid="{00000000-0005-0000-0000-00009E060000}"/>
    <cellStyle name="Normal 4 7 2 3 2" xfId="4550" xr:uid="{46E8E3F4-9AB2-4D0B-B228-F3DC92A59B02}"/>
    <cellStyle name="Normal 4 7 2 3 2 2" xfId="9322" xr:uid="{2DA334AD-81EE-4891-BCB6-5089645CC691}"/>
    <cellStyle name="Normal 4 7 2 3 2 2 2" xfId="29297" xr:uid="{19A243B4-9041-4A6A-8E43-BA4AA68BEF79}"/>
    <cellStyle name="Normal 4 7 2 3 2 2 3" xfId="19702" xr:uid="{7C21054C-ACE6-499C-8990-14AA71D66B40}"/>
    <cellStyle name="Normal 4 7 2 3 2 3" xfId="12155" xr:uid="{2F241494-6F03-4B86-825D-30B31DD43E71}"/>
    <cellStyle name="Normal 4 7 2 3 2 3 2" xfId="22535" xr:uid="{AF42D84B-7E58-4283-B265-DE2E94B06C5A}"/>
    <cellStyle name="Normal 4 7 2 3 2 4" xfId="23486" xr:uid="{5B829299-0FCA-4C9C-9574-D55A1DC93103}"/>
    <cellStyle name="Normal 4 7 2 3 2 5" xfId="16869" xr:uid="{07513BF6-2D82-4EC8-B8B0-AC57E661D50E}"/>
    <cellStyle name="Normal 4 7 2 3 3" xfId="6442" xr:uid="{1DDC8553-A0E4-4B99-B2E0-F701DA3F52F6}"/>
    <cellStyle name="Normal 4 7 2 3 3 2" xfId="27028" xr:uid="{C46C6744-48A7-43D5-8CD9-3FD923C8623C}"/>
    <cellStyle name="Normal 4 7 2 3 3 3" xfId="16011" xr:uid="{070E18B2-A9DA-412A-9425-8F969BB857C8}"/>
    <cellStyle name="Normal 4 7 2 3 4" xfId="8464" xr:uid="{0B5C1032-4D0D-46D5-ADEA-0B598EFEC199}"/>
    <cellStyle name="Normal 4 7 2 3 4 2" xfId="18844" xr:uid="{71DD5A18-900F-41BE-BF88-CC0809D70932}"/>
    <cellStyle name="Normal 4 7 2 3 5" xfId="11297" xr:uid="{79F1994A-278B-4DEF-AEC2-B86E8FFB31C5}"/>
    <cellStyle name="Normal 4 7 2 3 5 2" xfId="21677" xr:uid="{B6BBE588-2FB3-42B0-A3A6-9ECB44F53A85}"/>
    <cellStyle name="Normal 4 7 2 3 6" xfId="25019" xr:uid="{AE535D31-2888-43C8-804E-538BFB7C8FF7}"/>
    <cellStyle name="Normal 4 7 2 3 7" xfId="13951" xr:uid="{EF8865A0-2634-419C-81AC-1714230109F7}"/>
    <cellStyle name="Normal 4 7 2 4" xfId="3382" xr:uid="{00000000-0005-0000-0000-00009F060000}"/>
    <cellStyle name="Normal 4 7 2 4 2" xfId="6440" xr:uid="{44311F7F-2340-4F7A-9344-E05C23D09BCD}"/>
    <cellStyle name="Normal 4 7 2 4 2 2" xfId="28424" xr:uid="{1C11FF97-9659-4FB7-AC3B-B25BE5B4DB15}"/>
    <cellStyle name="Normal 4 7 2 4 2 3" xfId="16009" xr:uid="{C08F120F-7CC1-4EEB-A06A-816B435EB5B2}"/>
    <cellStyle name="Normal 4 7 2 4 3" xfId="8462" xr:uid="{A22906B9-4109-4F4C-BBF4-B084F26F0CCC}"/>
    <cellStyle name="Normal 4 7 2 4 3 2" xfId="18842" xr:uid="{1C94C6A9-D861-4BBE-9AA3-04ABD8CF95D3}"/>
    <cellStyle name="Normal 4 7 2 4 4" xfId="11295" xr:uid="{6BD22341-7B6C-4FB8-90AE-11D2A7650CD1}"/>
    <cellStyle name="Normal 4 7 2 4 4 2" xfId="21675" xr:uid="{2F38134A-C2EE-47AB-A1CD-74FA4985A5C7}"/>
    <cellStyle name="Normal 4 7 2 4 5" xfId="24340" xr:uid="{6965742A-DABB-4B5D-9CE3-B0D88D66FD56}"/>
    <cellStyle name="Normal 4 7 2 4 6" xfId="13949" xr:uid="{B6052090-0D22-43E5-88F5-DDA9F623168E}"/>
    <cellStyle name="Normal 4 7 2 5" xfId="2523" xr:uid="{00000000-0005-0000-0000-0000A0060000}"/>
    <cellStyle name="Normal 4 7 2 5 2" xfId="5800" xr:uid="{1AC14EAF-8ADA-411F-A2C1-37BEE74DE42E}"/>
    <cellStyle name="Normal 4 7 2 5 2 2" xfId="26469" xr:uid="{117D4155-8638-4B52-8860-014C54F77B84}"/>
    <cellStyle name="Normal 4 7 2 5 2 3" xfId="15195" xr:uid="{F470E651-EC4D-4C74-8AF6-4B70F2FCE2D5}"/>
    <cellStyle name="Normal 4 7 2 5 3" xfId="7648" xr:uid="{AC2A7936-D137-45E5-821B-FF609AA4C807}"/>
    <cellStyle name="Normal 4 7 2 5 3 2" xfId="18028" xr:uid="{58297419-9B42-45A9-8950-5062F9D9CCED}"/>
    <cellStyle name="Normal 4 7 2 5 4" xfId="10481" xr:uid="{05309789-5721-4EE0-BED9-D5CC4AA4F93F}"/>
    <cellStyle name="Normal 4 7 2 5 4 2" xfId="20861" xr:uid="{16FD0403-A5A0-41B4-980F-E4E5CA6782A1}"/>
    <cellStyle name="Normal 4 7 2 5 5" xfId="23081" xr:uid="{71E1624A-1843-43BD-9FAC-84A73E78AD77}"/>
    <cellStyle name="Normal 4 7 2 5 6" xfId="12911" xr:uid="{F3420428-407E-4F95-BBFF-207AD811E7A4}"/>
    <cellStyle name="Normal 4 7 2 6" xfId="2376" xr:uid="{00000000-0005-0000-0000-00009B060000}"/>
    <cellStyle name="Normal 4 7 2 6 2" xfId="7503" xr:uid="{769F161F-E878-49EA-8072-B568DBC03A28}"/>
    <cellStyle name="Normal 4 7 2 6 2 2" xfId="17883" xr:uid="{7C18E9CA-EA6B-48B2-A9F0-EA0B1DAC3E03}"/>
    <cellStyle name="Normal 4 7 2 6 3" xfId="10336" xr:uid="{90998299-42E9-496E-8965-36CD62139D03}"/>
    <cellStyle name="Normal 4 7 2 6 3 2" xfId="20716" xr:uid="{6FAC6990-7233-46E1-B31D-9D1FDFF969E7}"/>
    <cellStyle name="Normal 4 7 2 6 4" xfId="24502" xr:uid="{1924E8D1-A701-45E4-82EE-829B5B013230}"/>
    <cellStyle name="Normal 4 7 2 6 5" xfId="15050" xr:uid="{F18E1523-3355-49B4-80C9-2784B61EFC05}"/>
    <cellStyle name="Normal 4 7 2 7" xfId="3941" xr:uid="{9A2BB48D-FADA-4B23-A83B-8D431BD98AFA}"/>
    <cellStyle name="Normal 4 7 2 7 2" xfId="8773" xr:uid="{205B2BCB-1F78-4D50-B231-1502D096C554}"/>
    <cellStyle name="Normal 4 7 2 7 2 2" xfId="19153" xr:uid="{A77F6656-C547-4095-9BA2-3AA9FE2C626B}"/>
    <cellStyle name="Normal 4 7 2 7 3" xfId="11606" xr:uid="{81CBB1C2-C06C-4A59-B37A-19E4D285DD49}"/>
    <cellStyle name="Normal 4 7 2 7 3 2" xfId="21986" xr:uid="{826A3372-9C55-4A35-8393-4EA473919891}"/>
    <cellStyle name="Normal 4 7 2 7 4" xfId="16320" xr:uid="{68465F4B-39FB-4BAF-A0DD-78AC77D86B4E}"/>
    <cellStyle name="Normal 4 7 2 8" xfId="5334" xr:uid="{13546F49-DAB2-463E-958C-F5E4FC99F3B6}"/>
    <cellStyle name="Normal 4 7 2 8 2" xfId="14632" xr:uid="{2269BC98-E52E-4AEF-9318-3A0C7BF899CA}"/>
    <cellStyle name="Normal 4 7 2 9" xfId="7085" xr:uid="{33C0665B-8DFC-4FC7-BA5E-9DFF3D24B26A}"/>
    <cellStyle name="Normal 4 7 2 9 2" xfId="17465" xr:uid="{32C2A2A0-758E-4D70-A747-30F54F2880C2}"/>
    <cellStyle name="Normal 4 7 3" xfId="1033" xr:uid="{00000000-0005-0000-0000-0000BB050000}"/>
    <cellStyle name="Normal 4 7 3 10" xfId="23218" xr:uid="{B23255F7-F4B4-46C6-BDC3-F7F7DFB45E4A}"/>
    <cellStyle name="Normal 4 7 3 11" xfId="12768" xr:uid="{5B9B4569-F3DC-453F-AD77-C2CDBB04CD4C}"/>
    <cellStyle name="Normal 4 7 3 2" xfId="2801" xr:uid="{00000000-0005-0000-0000-0000A2060000}"/>
    <cellStyle name="Normal 4 7 3 2 2" xfId="3386" xr:uid="{00000000-0005-0000-0000-0000A3060000}"/>
    <cellStyle name="Normal 4 7 3 2 2 2" xfId="6444" xr:uid="{53810B6E-C53B-43D6-AE3D-46C149E1B3A1}"/>
    <cellStyle name="Normal 4 7 3 2 2 2 2" xfId="27861" xr:uid="{922C9D80-9D89-4676-A90B-FCD9E2F55F3A}"/>
    <cellStyle name="Normal 4 7 3 2 2 2 3" xfId="16013" xr:uid="{EE8F8F7A-6623-4A9F-AC91-6EE3BC856599}"/>
    <cellStyle name="Normal 4 7 3 2 2 3" xfId="8466" xr:uid="{987597A1-1E85-465F-8B60-C8E171A18F9A}"/>
    <cellStyle name="Normal 4 7 3 2 2 3 2" xfId="18846" xr:uid="{AD69400C-C4E8-42CD-8880-52DE0A26604D}"/>
    <cellStyle name="Normal 4 7 3 2 2 4" xfId="11299" xr:uid="{25156719-1487-4052-A1B6-39B57135340C}"/>
    <cellStyle name="Normal 4 7 3 2 2 4 2" xfId="21679" xr:uid="{0694350B-6E7D-4D01-B7CC-180A5898F4DF}"/>
    <cellStyle name="Normal 4 7 3 2 2 5" xfId="24236" xr:uid="{1AA7E446-D1B4-4ADD-BC9E-A6D05A68F541}"/>
    <cellStyle name="Normal 4 7 3 2 2 6" xfId="13953" xr:uid="{57FFFDF5-F0ED-4873-B3C0-9C23ED89195F}"/>
    <cellStyle name="Normal 4 7 3 2 3" xfId="4353" xr:uid="{F2D3C5C8-BAE8-4D9C-8DFE-4C96ED79DDF2}"/>
    <cellStyle name="Normal 4 7 3 2 3 2" xfId="9125" xr:uid="{A49144D0-4FE4-49F0-A873-33B5C37A2C6A}"/>
    <cellStyle name="Normal 4 7 3 2 3 2 2" xfId="29168" xr:uid="{1A3937BD-0170-4894-8AD8-4C2E846B41A3}"/>
    <cellStyle name="Normal 4 7 3 2 3 2 3" xfId="19505" xr:uid="{174F01A6-25FE-4035-A4BF-51FD59274363}"/>
    <cellStyle name="Normal 4 7 3 2 3 3" xfId="11958" xr:uid="{8C135C48-1145-490B-B793-34B596722489}"/>
    <cellStyle name="Normal 4 7 3 2 3 3 2" xfId="22338" xr:uid="{4F9D8817-78BB-4B17-A34F-5D9FC35D447A}"/>
    <cellStyle name="Normal 4 7 3 2 3 4" xfId="25532" xr:uid="{DFC30A2A-229D-400B-B244-DFA9FC8D4734}"/>
    <cellStyle name="Normal 4 7 3 2 3 5" xfId="16672" xr:uid="{1C831B97-2D5D-4E91-86F5-9A9EEC6E1B8E}"/>
    <cellStyle name="Normal 4 7 3 2 4" xfId="6019" xr:uid="{8FFFC580-834C-44BE-8CD3-430B44793A15}"/>
    <cellStyle name="Normal 4 7 3 2 4 2" xfId="28637" xr:uid="{15FC67DB-08EC-4071-88B1-443275FF92F3}"/>
    <cellStyle name="Normal 4 7 3 2 4 3" xfId="15472" xr:uid="{F902FE6B-2ED5-47E7-91FE-6E0FF680D717}"/>
    <cellStyle name="Normal 4 7 3 2 5" xfId="7925" xr:uid="{D959163E-A8B4-47B6-96F1-4D896F486CB6}"/>
    <cellStyle name="Normal 4 7 3 2 5 2" xfId="18305" xr:uid="{0018F348-2C9B-41A8-A852-EE2BC648AA2E}"/>
    <cellStyle name="Normal 4 7 3 2 6" xfId="10758" xr:uid="{027BA73A-DF2F-4918-82A3-C0134AE5FF7B}"/>
    <cellStyle name="Normal 4 7 3 2 6 2" xfId="21138" xr:uid="{C64351CD-0232-4399-8F6D-BE020A06A669}"/>
    <cellStyle name="Normal 4 7 3 2 7" xfId="22934" xr:uid="{64832F62-A492-4AE4-BE82-8EFB4A39830D}"/>
    <cellStyle name="Normal 4 7 3 2 8" xfId="13265" xr:uid="{3905BF4B-7F26-4FB9-AD8A-D397C10486DE}"/>
    <cellStyle name="Normal 4 7 3 3" xfId="3387" xr:uid="{00000000-0005-0000-0000-0000A4060000}"/>
    <cellStyle name="Normal 4 7 3 3 2" xfId="4551" xr:uid="{1A165274-7D2D-4845-81C7-9F9CA3DCC295}"/>
    <cellStyle name="Normal 4 7 3 3 2 2" xfId="9323" xr:uid="{21017B07-9533-48F2-B76A-A9904B1E572D}"/>
    <cellStyle name="Normal 4 7 3 3 2 2 2" xfId="29298" xr:uid="{92DAF1EC-399A-4473-9A26-D4AD3C49A537}"/>
    <cellStyle name="Normal 4 7 3 3 2 2 3" xfId="19703" xr:uid="{E71B1D6B-637F-41AC-B085-44710507AB2C}"/>
    <cellStyle name="Normal 4 7 3 3 2 3" xfId="12156" xr:uid="{76545C79-C1E2-4205-AEB0-60C9055EB96D}"/>
    <cellStyle name="Normal 4 7 3 3 2 3 2" xfId="22536" xr:uid="{8252839B-50AF-4E47-B69C-62417D030820}"/>
    <cellStyle name="Normal 4 7 3 3 2 4" xfId="25616" xr:uid="{637A9F53-2129-4063-921B-5BD1687D5E8B}"/>
    <cellStyle name="Normal 4 7 3 3 2 5" xfId="16870" xr:uid="{2CBBAB85-9FF0-42EB-8DC7-FCAAD67F3D9B}"/>
    <cellStyle name="Normal 4 7 3 3 3" xfId="6445" xr:uid="{2559EC73-01AB-4BE6-A858-866E4A0C693F}"/>
    <cellStyle name="Normal 4 7 3 3 3 2" xfId="28121" xr:uid="{AB0AF7AD-5560-48ED-BBAE-26CC74CFAACA}"/>
    <cellStyle name="Normal 4 7 3 3 3 3" xfId="16014" xr:uid="{FB973B5B-099F-4680-AF5B-352F45B579C1}"/>
    <cellStyle name="Normal 4 7 3 3 4" xfId="8467" xr:uid="{367044B2-E779-46AB-A5B5-81DFF701B7A8}"/>
    <cellStyle name="Normal 4 7 3 3 4 2" xfId="18847" xr:uid="{D40E5ABF-24A8-4F3E-813F-4EA94B08E4CC}"/>
    <cellStyle name="Normal 4 7 3 3 5" xfId="11300" xr:uid="{B9B4D268-90DE-40C9-8B09-C131EF47E421}"/>
    <cellStyle name="Normal 4 7 3 3 5 2" xfId="21680" xr:uid="{8A80F0E3-ED14-4D82-8BC7-7D8F9EA01122}"/>
    <cellStyle name="Normal 4 7 3 3 6" xfId="24999" xr:uid="{7F6158B9-9876-495F-8DF5-4CACFE99AB03}"/>
    <cellStyle name="Normal 4 7 3 3 7" xfId="13954" xr:uid="{177470DF-4091-4B6E-B0A3-4B0D9B91F2E4}"/>
    <cellStyle name="Normal 4 7 3 4" xfId="3385" xr:uid="{00000000-0005-0000-0000-0000A5060000}"/>
    <cellStyle name="Normal 4 7 3 4 2" xfId="6443" xr:uid="{B57E6A99-9D37-46F1-86C4-1665A67C78CA}"/>
    <cellStyle name="Normal 4 7 3 4 2 2" xfId="27720" xr:uid="{35086D57-83FE-470F-9779-AD8EA3F5608F}"/>
    <cellStyle name="Normal 4 7 3 4 2 3" xfId="16012" xr:uid="{93D24E2A-F630-477B-9CF3-DB560698D985}"/>
    <cellStyle name="Normal 4 7 3 4 3" xfId="8465" xr:uid="{67BFA435-4966-48C1-9AEE-BE2730AED301}"/>
    <cellStyle name="Normal 4 7 3 4 3 2" xfId="18845" xr:uid="{C4D13922-CE08-4A44-A88F-FD569EC6A9B5}"/>
    <cellStyle name="Normal 4 7 3 4 4" xfId="11298" xr:uid="{BABB8930-1355-46D6-A763-80D50C44C383}"/>
    <cellStyle name="Normal 4 7 3 4 4 2" xfId="21678" xr:uid="{C907EC8E-8F9B-4F15-88B2-FD60624213FF}"/>
    <cellStyle name="Normal 4 7 3 4 5" xfId="24445" xr:uid="{C135DED2-7814-4405-B062-AEB9A2623711}"/>
    <cellStyle name="Normal 4 7 3 4 6" xfId="13952" xr:uid="{925FDADB-741E-453C-BDB1-A14A8AFBF160}"/>
    <cellStyle name="Normal 4 7 3 5" xfId="2626" xr:uid="{00000000-0005-0000-0000-0000A6060000}"/>
    <cellStyle name="Normal 4 7 3 5 2" xfId="5888" xr:uid="{467E7569-D1DD-41C7-8C42-647AD7DF3179}"/>
    <cellStyle name="Normal 4 7 3 5 2 2" xfId="26532" xr:uid="{76B339F9-1083-444A-9CBE-37140A9D40E6}"/>
    <cellStyle name="Normal 4 7 3 5 2 3" xfId="15298" xr:uid="{948ECB5D-E4FA-42A5-80B8-D9B79CF7CD33}"/>
    <cellStyle name="Normal 4 7 3 5 3" xfId="7751" xr:uid="{F56D7C1A-5CC2-4803-8EC0-F89C274DEF58}"/>
    <cellStyle name="Normal 4 7 3 5 3 2" xfId="18131" xr:uid="{84E8834E-20A7-46A3-9C3E-C6E062ED13C8}"/>
    <cellStyle name="Normal 4 7 3 5 4" xfId="10584" xr:uid="{C7D846FE-8615-42A3-BF1D-2893344EBB91}"/>
    <cellStyle name="Normal 4 7 3 5 4 2" xfId="20964" xr:uid="{BB17348A-AB35-40FE-B741-367C816F42E2}"/>
    <cellStyle name="Normal 4 7 3 5 5" xfId="24285" xr:uid="{F61C2860-C58E-46C6-8409-4FFC8CA3C0A9}"/>
    <cellStyle name="Normal 4 7 3 5 6" xfId="13014" xr:uid="{78609EAF-EFE9-4A1E-B1AE-DE10254DF8F3}"/>
    <cellStyle name="Normal 4 7 3 6" xfId="4202" xr:uid="{FB33D749-A623-47A1-A7DC-8EC67DD0405B}"/>
    <cellStyle name="Normal 4 7 3 6 2" xfId="8974" xr:uid="{FDA51955-8791-428A-8F87-6E902F65568A}"/>
    <cellStyle name="Normal 4 7 3 6 2 2" xfId="19354" xr:uid="{7140A27B-0B13-40A9-A699-67404A1F7F75}"/>
    <cellStyle name="Normal 4 7 3 6 3" xfId="11807" xr:uid="{02D7088C-C31C-4B88-947A-DDC072D56879}"/>
    <cellStyle name="Normal 4 7 3 6 3 2" xfId="22187" xr:uid="{1A8FAFBF-CC8B-4EA7-82A4-F2D76EBBB64A}"/>
    <cellStyle name="Normal 4 7 3 6 4" xfId="24266" xr:uid="{E02FEA3B-468A-40C0-BC2D-348E7AE01BFF}"/>
    <cellStyle name="Normal 4 7 3 6 5" xfId="16521" xr:uid="{B367F241-D9A8-4AB9-A5AD-1000D26A3B42}"/>
    <cellStyle name="Normal 4 7 3 7" xfId="5336" xr:uid="{58BE4E7E-F5FF-439E-978A-AF357221A2F9}"/>
    <cellStyle name="Normal 4 7 3 7 2" xfId="14634" xr:uid="{B160EAE7-2B0E-401E-8AC0-4034E825233C}"/>
    <cellStyle name="Normal 4 7 3 8" xfId="7087" xr:uid="{CECA2A84-0C2A-4E0E-BB1F-EE2345128D84}"/>
    <cellStyle name="Normal 4 7 3 8 2" xfId="17467" xr:uid="{DB124342-2633-4FBF-BD15-2D33BC0A29E7}"/>
    <cellStyle name="Normal 4 7 3 9" xfId="9920" xr:uid="{B588683A-1EF9-49B5-A3BD-82F505139439}"/>
    <cellStyle name="Normal 4 7 3 9 2" xfId="20300" xr:uid="{106BF3F6-63AD-4F0C-A036-62CAC7501F23}"/>
    <cellStyle name="Normal 4 7 4" xfId="1034" xr:uid="{00000000-0005-0000-0000-0000BC050000}"/>
    <cellStyle name="Normal 4 7 4 2" xfId="3388" xr:uid="{00000000-0005-0000-0000-0000A8060000}"/>
    <cellStyle name="Normal 4 7 4 2 2" xfId="6446" xr:uid="{FD891397-8334-4F44-B2C4-56922778E1F9}"/>
    <cellStyle name="Normal 4 7 4 2 2 2" xfId="27169" xr:uid="{14E18352-F4FB-4D06-92DF-366278A948F0}"/>
    <cellStyle name="Normal 4 7 4 2 2 3" xfId="16015" xr:uid="{A728E423-9CBE-452C-84D6-DA8535635E1E}"/>
    <cellStyle name="Normal 4 7 4 2 3" xfId="8468" xr:uid="{43FDE11D-6573-4D36-A25B-606951578EAB}"/>
    <cellStyle name="Normal 4 7 4 2 3 2" xfId="18848" xr:uid="{0E50BC27-C20A-4AAB-A0B7-C919FE3AE2BA}"/>
    <cellStyle name="Normal 4 7 4 2 4" xfId="11301" xr:uid="{5055A7E8-A0FC-4BD5-910C-28427D9345B0}"/>
    <cellStyle name="Normal 4 7 4 2 4 2" xfId="21681" xr:uid="{EB971B07-4D8E-4A44-B85D-AF9C7609AF55}"/>
    <cellStyle name="Normal 4 7 4 2 5" xfId="25510" xr:uid="{79801D7F-59F0-4C0B-93D3-156EC60B82D5}"/>
    <cellStyle name="Normal 4 7 4 2 6" xfId="13955" xr:uid="{966C5FA1-B594-4EED-9289-57738A45AFF7}"/>
    <cellStyle name="Normal 4 7 4 3" xfId="4351" xr:uid="{0171176F-39CE-44B5-A480-3D9153E12332}"/>
    <cellStyle name="Normal 4 7 4 3 2" xfId="9123" xr:uid="{FEE9070C-3614-4F3E-B87E-CC3269B95B6C}"/>
    <cellStyle name="Normal 4 7 4 3 2 2" xfId="29166" xr:uid="{CE131DC5-BF72-42BF-8EBE-38EB427C7BEC}"/>
    <cellStyle name="Normal 4 7 4 3 2 3" xfId="19503" xr:uid="{6C44936C-282E-4706-8A77-6721B9A79177}"/>
    <cellStyle name="Normal 4 7 4 3 3" xfId="11956" xr:uid="{04F42CBE-42E1-4190-BA4C-F8C08E80A45B}"/>
    <cellStyle name="Normal 4 7 4 3 3 2" xfId="22336" xr:uid="{B6D132A1-D984-4C1C-A3E6-2063CCE02F8C}"/>
    <cellStyle name="Normal 4 7 4 3 4" xfId="24656" xr:uid="{08338032-EEE5-4928-875B-7E0858B9F159}"/>
    <cellStyle name="Normal 4 7 4 3 5" xfId="16670" xr:uid="{B8B7285C-A24E-4A2C-A53B-D96F4C63D471}"/>
    <cellStyle name="Normal 4 7 4 4" xfId="5337" xr:uid="{B016F4A0-D05B-4FE3-B6DC-3B377F36D9D9}"/>
    <cellStyle name="Normal 4 7 4 4 2" xfId="27134" xr:uid="{AFBDEBCF-A32A-4D62-8D60-42CEC6EA2C9B}"/>
    <cellStyle name="Normal 4 7 4 4 3" xfId="14635" xr:uid="{B30A266E-ADB7-4B04-8ED4-270865894F7D}"/>
    <cellStyle name="Normal 4 7 4 5" xfId="7088" xr:uid="{8656F3D8-2A5D-4D5B-BBBC-E5464E3E3920}"/>
    <cellStyle name="Normal 4 7 4 5 2" xfId="17468" xr:uid="{71C7C10F-B6D6-4218-A674-F13DA0471321}"/>
    <cellStyle name="Normal 4 7 4 6" xfId="9921" xr:uid="{C4D45CEE-C45F-4FDB-A4B4-54CE41E6640E}"/>
    <cellStyle name="Normal 4 7 4 6 2" xfId="20301" xr:uid="{923A9ECC-B39B-42BE-AE4F-848FCB9F9C9A}"/>
    <cellStyle name="Normal 4 7 4 7" xfId="23635" xr:uid="{059C9136-819D-42E1-B24B-81E5236E9C4C}"/>
    <cellStyle name="Normal 4 7 4 8" xfId="13263" xr:uid="{78A61C52-0EB4-4A22-B21E-6AC973B0CB2B}"/>
    <cellStyle name="Normal 4 7 5" xfId="3389" xr:uid="{00000000-0005-0000-0000-0000A9060000}"/>
    <cellStyle name="Normal 4 7 5 2" xfId="4552" xr:uid="{1AC12079-FAAE-4952-8A63-9E520EA71BD6}"/>
    <cellStyle name="Normal 4 7 5 2 2" xfId="9324" xr:uid="{8F237C10-887B-406C-9296-1B65BC9ECACE}"/>
    <cellStyle name="Normal 4 7 5 2 2 2" xfId="29299" xr:uid="{2700BF11-F8F9-4C83-BEC9-DF9DEB27EE8A}"/>
    <cellStyle name="Normal 4 7 5 2 2 3" xfId="19704" xr:uid="{06CFF376-4B8A-4378-BD56-36D1F63F9218}"/>
    <cellStyle name="Normal 4 7 5 2 3" xfId="12157" xr:uid="{06B4C537-F745-4E19-B271-A79299626284}"/>
    <cellStyle name="Normal 4 7 5 2 3 2" xfId="22537" xr:uid="{CB6D4BA7-0D72-4DD1-948F-BC28E4DC62E2}"/>
    <cellStyle name="Normal 4 7 5 2 4" xfId="23504" xr:uid="{7A2135C5-4325-4B96-8CA5-4658F0B8CAE5}"/>
    <cellStyle name="Normal 4 7 5 2 5" xfId="16871" xr:uid="{91FEC4DC-D85D-4ECF-828A-109546493296}"/>
    <cellStyle name="Normal 4 7 5 3" xfId="6447" xr:uid="{1010A598-4F8B-4B42-BA60-88973C19D759}"/>
    <cellStyle name="Normal 4 7 5 3 2" xfId="28410" xr:uid="{EF52E748-5F8A-4362-9E35-4E655BE28529}"/>
    <cellStyle name="Normal 4 7 5 3 3" xfId="16016" xr:uid="{F7F982E8-3334-4350-9811-03001F6F76C9}"/>
    <cellStyle name="Normal 4 7 5 4" xfId="8469" xr:uid="{403FCCE6-6F4D-46CC-A7EA-58A68A8988A6}"/>
    <cellStyle name="Normal 4 7 5 4 2" xfId="18849" xr:uid="{6161F666-5627-4304-A235-3A091AE22388}"/>
    <cellStyle name="Normal 4 7 5 5" xfId="11302" xr:uid="{8B281023-1159-4147-AC5E-52CD14096041}"/>
    <cellStyle name="Normal 4 7 5 5 2" xfId="21682" xr:uid="{B0F7BB96-F83E-472F-AE1A-73C1FEE99CD3}"/>
    <cellStyle name="Normal 4 7 5 6" xfId="24109" xr:uid="{5B227303-F15B-4221-AD36-24A5A5068E25}"/>
    <cellStyle name="Normal 4 7 5 7" xfId="13956" xr:uid="{E48D1D16-C7EF-4283-9258-9D6B0B2DB5BE}"/>
    <cellStyle name="Normal 4 7 6" xfId="2945" xr:uid="{00000000-0005-0000-0000-0000AA060000}"/>
    <cellStyle name="Normal 4 7 6 2" xfId="6125" xr:uid="{F615DED7-A8A1-4773-8FB6-A8CFFB8A3E29}"/>
    <cellStyle name="Normal 4 7 6 2 2" xfId="26019" xr:uid="{EDD28773-EB40-43A0-81A7-D8703487BEFE}"/>
    <cellStyle name="Normal 4 7 6 2 3" xfId="15603" xr:uid="{2AE3843D-DAA7-4879-95D1-9719036EED47}"/>
    <cellStyle name="Normal 4 7 6 3" xfId="8056" xr:uid="{AC28A63F-6B80-4564-988E-C166759FBEA6}"/>
    <cellStyle name="Normal 4 7 6 3 2" xfId="18436" xr:uid="{F6019E17-2720-4A10-98D8-361802ADE904}"/>
    <cellStyle name="Normal 4 7 6 4" xfId="10889" xr:uid="{37A84365-2A49-43CC-A4F0-4B7CE36ADA6C}"/>
    <cellStyle name="Normal 4 7 6 4 2" xfId="21269" xr:uid="{B364E9EE-1067-4834-8492-3B98479CFE23}"/>
    <cellStyle name="Normal 4 7 6 5" xfId="23692" xr:uid="{8329929E-E0B0-43D4-A5B4-DF7C31A3F077}"/>
    <cellStyle name="Normal 4 7 6 6" xfId="13466" xr:uid="{32EC6C28-971A-4668-B6F6-4013290CF67E}"/>
    <cellStyle name="Normal 4 7 7" xfId="2463" xr:uid="{00000000-0005-0000-0000-0000AB060000}"/>
    <cellStyle name="Normal 4 7 7 2" xfId="5754" xr:uid="{1E182BFF-53A3-419D-8B78-9CF8C2552F20}"/>
    <cellStyle name="Normal 4 7 7 2 2" xfId="26646" xr:uid="{6DE66B16-01B0-4400-8558-9A854364871F}"/>
    <cellStyle name="Normal 4 7 7 2 3" xfId="15135" xr:uid="{189A590E-9E8B-4FAE-AB18-A6A3DF38D4D2}"/>
    <cellStyle name="Normal 4 7 7 3" xfId="7588" xr:uid="{9631383F-EA73-420F-9B7C-B7DBB081BD3F}"/>
    <cellStyle name="Normal 4 7 7 3 2" xfId="17968" xr:uid="{8DCEF87A-4EBB-4150-BA66-B616970B0F28}"/>
    <cellStyle name="Normal 4 7 7 4" xfId="10421" xr:uid="{E881F229-E8F5-431F-BF42-0D7520F8F52B}"/>
    <cellStyle name="Normal 4 7 7 4 2" xfId="20801" xr:uid="{50F9BEC4-804D-48B7-B495-FC7FF5063A4C}"/>
    <cellStyle name="Normal 4 7 7 5" xfId="25400" xr:uid="{182EF9FF-8287-4F59-9452-65A72BE06BC2}"/>
    <cellStyle name="Normal 4 7 7 6" xfId="12851" xr:uid="{8420457E-9B08-4741-8C26-390042569F50}"/>
    <cellStyle name="Normal 4 7 8" xfId="2217" xr:uid="{00000000-0005-0000-0000-00009A060000}"/>
    <cellStyle name="Normal 4 7 8 2" xfId="7344" xr:uid="{391F0690-FC1E-4043-AB5F-2D55CB99CFDE}"/>
    <cellStyle name="Normal 4 7 8 2 2" xfId="17724" xr:uid="{BB350AC2-7109-4CB0-B5D9-ACAF48401B53}"/>
    <cellStyle name="Normal 4 7 8 3" xfId="10177" xr:uid="{2D5AC400-5AEA-4B23-A763-438F939FC9C1}"/>
    <cellStyle name="Normal 4 7 8 3 2" xfId="20557" xr:uid="{DD553A7C-8908-4545-AB7B-0874A202CDF3}"/>
    <cellStyle name="Normal 4 7 8 4" xfId="25273" xr:uid="{44F47FBC-07A1-452C-B590-775A4DD7ECC2}"/>
    <cellStyle name="Normal 4 7 8 5" xfId="14891" xr:uid="{141A1A32-2580-4523-8911-D5D48711AF63}"/>
    <cellStyle name="Normal 4 7 9" xfId="3997" xr:uid="{F9366F69-AABF-49B2-ACE2-2A92D4BFADA6}"/>
    <cellStyle name="Normal 4 7 9 2" xfId="8821" xr:uid="{DF857D7A-A4BA-4849-BAA1-99D352DC3C25}"/>
    <cellStyle name="Normal 4 7 9 2 2" xfId="19201" xr:uid="{B4FDC014-8D46-424D-88C9-8795081D17FD}"/>
    <cellStyle name="Normal 4 7 9 3" xfId="11654" xr:uid="{0F212C51-7461-4ACB-946C-A88A76CA55D0}"/>
    <cellStyle name="Normal 4 7 9 3 2" xfId="22034" xr:uid="{42E3AB64-8C3D-4294-8A24-241D6B7BC120}"/>
    <cellStyle name="Normal 4 7 9 4" xfId="16368" xr:uid="{0F6DCDA7-6629-4A18-9260-323E0A63C54D}"/>
    <cellStyle name="Normal 4 8" xfId="1035" xr:uid="{00000000-0005-0000-0000-0000BD050000}"/>
    <cellStyle name="Normal 4 8 10" xfId="7089" xr:uid="{0E68DBD6-B580-4FB4-A252-D85A6822BE94}"/>
    <cellStyle name="Normal 4 8 10 2" xfId="17469" xr:uid="{8824C5FA-9947-42C6-AD38-C3E6D1739F48}"/>
    <cellStyle name="Normal 4 8 11" xfId="9922" xr:uid="{25430173-3613-4ECB-A55F-FC8C49491788}"/>
    <cellStyle name="Normal 4 8 11 2" xfId="20302" xr:uid="{4F67A3E3-6E0B-4957-8ABA-DD956505FBC6}"/>
    <cellStyle name="Normal 4 8 12" xfId="24988" xr:uid="{54460413-664E-4E30-BE9E-48C3BB321303}"/>
    <cellStyle name="Normal 4 8 13" xfId="12432" xr:uid="{ED88C738-33A7-448E-827E-42403932E6F6}"/>
    <cellStyle name="Normal 4 8 2" xfId="1036" xr:uid="{00000000-0005-0000-0000-0000BE050000}"/>
    <cellStyle name="Normal 4 8 2 10" xfId="9923" xr:uid="{52E3C84E-B966-45DB-8254-F2F7DEB13D1D}"/>
    <cellStyle name="Normal 4 8 2 10 2" xfId="20303" xr:uid="{DA8A5918-5FA1-481C-A682-EED4A60277A9}"/>
    <cellStyle name="Normal 4 8 2 11" xfId="23528" xr:uid="{4383186B-EFAA-4C26-B1E2-3524DDA7E32D}"/>
    <cellStyle name="Normal 4 8 2 12" xfId="12611" xr:uid="{E7A10BB2-5975-4E4F-9870-033EECFD50EB}"/>
    <cellStyle name="Normal 4 8 2 2" xfId="1037" xr:uid="{00000000-0005-0000-0000-0000BF050000}"/>
    <cellStyle name="Normal 4 8 2 2 2" xfId="3391" xr:uid="{00000000-0005-0000-0000-0000AF060000}"/>
    <cellStyle name="Normal 4 8 2 2 2 2" xfId="6449" xr:uid="{4D6A5572-506B-4738-A098-8740C14C0E42}"/>
    <cellStyle name="Normal 4 8 2 2 2 2 2" xfId="26342" xr:uid="{BE6B9EF0-AC47-43E0-B016-F13AEC884F0F}"/>
    <cellStyle name="Normal 4 8 2 2 2 2 3" xfId="27307" xr:uid="{4FDA63DE-1E05-4711-98A9-1322BB99A607}"/>
    <cellStyle name="Normal 4 8 2 2 2 2 4" xfId="16018" xr:uid="{0E300A29-A2B3-482C-8C33-AA1E0CFC7F2C}"/>
    <cellStyle name="Normal 4 8 2 2 2 3" xfId="8471" xr:uid="{C50F841F-A775-48C7-ACE5-816F7E765325}"/>
    <cellStyle name="Normal 4 8 2 2 2 3 2" xfId="28921" xr:uid="{75AF749C-2826-497C-A038-1E4DAFDDE239}"/>
    <cellStyle name="Normal 4 8 2 2 2 3 3" xfId="18851" xr:uid="{84CC2466-7A0F-4FCA-83BF-9B4FED299935}"/>
    <cellStyle name="Normal 4 8 2 2 2 4" xfId="11304" xr:uid="{57F4A539-C415-4349-B4C9-2DFEE462097F}"/>
    <cellStyle name="Normal 4 8 2 2 2 4 2" xfId="21684" xr:uid="{3CB5222B-EE71-4A68-BEA0-C37FFEDBD398}"/>
    <cellStyle name="Normal 4 8 2 2 2 5" xfId="23698" xr:uid="{94635B12-FD7A-43DA-BA4D-6DE95FA5EB48}"/>
    <cellStyle name="Normal 4 8 2 2 2 6" xfId="13958" xr:uid="{832892E7-520A-41C8-A90D-07BA918B1FCA}"/>
    <cellStyle name="Normal 4 8 2 2 3" xfId="4354" xr:uid="{46BF9421-B460-4CEA-AD65-4E77C63643CC}"/>
    <cellStyle name="Normal 4 8 2 2 3 2" xfId="9126" xr:uid="{A422A131-7302-48F1-AAE4-90C9AD87957D}"/>
    <cellStyle name="Normal 4 8 2 2 3 2 2" xfId="29169" xr:uid="{294C0ECC-CA0D-4F6F-AA64-9154E4DDEB0A}"/>
    <cellStyle name="Normal 4 8 2 2 3 2 3" xfId="19506" xr:uid="{5CBD84B9-7B0E-4182-A126-A387E0E76624}"/>
    <cellStyle name="Normal 4 8 2 2 3 3" xfId="11959" xr:uid="{416F40D4-C528-4670-9900-C208EDF59E30}"/>
    <cellStyle name="Normal 4 8 2 2 3 3 2" xfId="22339" xr:uid="{00B1E31D-A4A2-45C3-97CA-86A58ADD1BC7}"/>
    <cellStyle name="Normal 4 8 2 2 3 4" xfId="22788" xr:uid="{63212859-BC98-4112-8BEF-6665B53BAE35}"/>
    <cellStyle name="Normal 4 8 2 2 3 5" xfId="16673" xr:uid="{94F82AF7-9392-4E31-9F6B-45C925077D59}"/>
    <cellStyle name="Normal 4 8 2 2 4" xfId="5340" xr:uid="{92FF8351-AB21-49A2-B6A0-C694DF35FCDA}"/>
    <cellStyle name="Normal 4 8 2 2 4 2" xfId="25954" xr:uid="{528296E9-E0CB-4EED-8AF0-BCE95ED72426}"/>
    <cellStyle name="Normal 4 8 2 2 4 3" xfId="14638" xr:uid="{CC1D89E6-F4EC-493D-BBF1-726B013C8046}"/>
    <cellStyle name="Normal 4 8 2 2 5" xfId="7091" xr:uid="{AD482192-52D6-4C76-B092-4015CB6876A2}"/>
    <cellStyle name="Normal 4 8 2 2 5 2" xfId="17471" xr:uid="{1C37D1B3-5026-4F66-8A87-B397473DE93F}"/>
    <cellStyle name="Normal 4 8 2 2 6" xfId="9924" xr:uid="{A2453B6D-EC41-42EF-B276-E49878F827C4}"/>
    <cellStyle name="Normal 4 8 2 2 6 2" xfId="20304" xr:uid="{5C8DC2F1-B8E3-4264-9DDE-1DD6AC8F8A5B}"/>
    <cellStyle name="Normal 4 8 2 2 7" xfId="24321" xr:uid="{4FF295D4-2EB3-4F3B-AE7E-3BEF51C8677C}"/>
    <cellStyle name="Normal 4 8 2 2 8" xfId="13267" xr:uid="{703CF99C-4DA0-421C-A25E-CE4D036BF2A8}"/>
    <cellStyle name="Normal 4 8 2 3" xfId="3392" xr:uid="{00000000-0005-0000-0000-0000B0060000}"/>
    <cellStyle name="Normal 4 8 2 3 2" xfId="4553" xr:uid="{1141795F-4970-4282-A437-A02733F5A0F8}"/>
    <cellStyle name="Normal 4 8 2 3 2 2" xfId="9325" xr:uid="{3C873FE4-0564-472E-864B-1C6A151969B6}"/>
    <cellStyle name="Normal 4 8 2 3 2 2 2" xfId="29300" xr:uid="{3315FAAD-144E-47FC-9945-3BCA6AF2304B}"/>
    <cellStyle name="Normal 4 8 2 3 2 2 3" xfId="19705" xr:uid="{57807E75-751D-4D7B-8013-DC671C3CC680}"/>
    <cellStyle name="Normal 4 8 2 3 2 3" xfId="12158" xr:uid="{27D5F749-3BA6-490A-A6AD-92B708FF5813}"/>
    <cellStyle name="Normal 4 8 2 3 2 3 2" xfId="22538" xr:uid="{FC102CA3-67E6-4835-A3DD-21204F44984A}"/>
    <cellStyle name="Normal 4 8 2 3 2 4" xfId="25316" xr:uid="{FC3A0BE0-4424-4B73-A103-BF8D9D09AD60}"/>
    <cellStyle name="Normal 4 8 2 3 2 5" xfId="16872" xr:uid="{48C5E890-F0FD-4A21-8D49-3BAEEAF74020}"/>
    <cellStyle name="Normal 4 8 2 3 3" xfId="6450" xr:uid="{3F9E7AF4-5E8F-4C9A-8343-C812E4436998}"/>
    <cellStyle name="Normal 4 8 2 3 3 2" xfId="28109" xr:uid="{A7FDA864-715C-4377-B7BA-43426A29F161}"/>
    <cellStyle name="Normal 4 8 2 3 3 3" xfId="16019" xr:uid="{C7FF072F-0902-4DDE-B846-E24342A749C4}"/>
    <cellStyle name="Normal 4 8 2 3 4" xfId="8472" xr:uid="{624BB4C6-C480-4D43-97F1-5DFEECBF6BF4}"/>
    <cellStyle name="Normal 4 8 2 3 4 2" xfId="18852" xr:uid="{CEC1651B-32B1-48F6-8B75-3D5C40A6311C}"/>
    <cellStyle name="Normal 4 8 2 3 5" xfId="11305" xr:uid="{C29A85E2-83AC-4A09-9970-A5EF9DA94884}"/>
    <cellStyle name="Normal 4 8 2 3 5 2" xfId="21685" xr:uid="{90BCEC2C-9ECF-460A-A569-052CCF24F8D8}"/>
    <cellStyle name="Normal 4 8 2 3 6" xfId="24787" xr:uid="{45DFC502-CC72-4268-B85E-6082DD850264}"/>
    <cellStyle name="Normal 4 8 2 3 7" xfId="13959" xr:uid="{AC055922-E2CD-43CC-8BA4-98B09E42C8C5}"/>
    <cellStyle name="Normal 4 8 2 4" xfId="3390" xr:uid="{00000000-0005-0000-0000-0000B1060000}"/>
    <cellStyle name="Normal 4 8 2 4 2" xfId="6448" xr:uid="{3798026B-38A6-4296-9ECD-B3DA5FA7B80D}"/>
    <cellStyle name="Normal 4 8 2 4 2 2" xfId="25996" xr:uid="{91044338-5D8B-4A4B-9C80-234B5EA1807C}"/>
    <cellStyle name="Normal 4 8 2 4 2 3" xfId="16017" xr:uid="{063A03D4-A676-469E-9ECF-7E0F6126DC3F}"/>
    <cellStyle name="Normal 4 8 2 4 3" xfId="8470" xr:uid="{B1F73A7A-2F5F-42DA-92A2-5229B7FFD291}"/>
    <cellStyle name="Normal 4 8 2 4 3 2" xfId="18850" xr:uid="{143363F1-5603-4EB7-8625-8E08D1B72DD9}"/>
    <cellStyle name="Normal 4 8 2 4 4" xfId="11303" xr:uid="{90DE5F27-D816-42D1-A24E-02F4D294DDE5}"/>
    <cellStyle name="Normal 4 8 2 4 4 2" xfId="21683" xr:uid="{9CCE3B56-B7F9-4E72-89C8-B7103F3AD266}"/>
    <cellStyle name="Normal 4 8 2 4 5" xfId="25062" xr:uid="{F2EFB454-6840-45DD-94BD-C5FC99910EA0}"/>
    <cellStyle name="Normal 4 8 2 4 6" xfId="13957" xr:uid="{79473D91-F358-4B53-8DD7-29CC7AA308C5}"/>
    <cellStyle name="Normal 4 8 2 5" xfId="2609" xr:uid="{00000000-0005-0000-0000-0000B2060000}"/>
    <cellStyle name="Normal 4 8 2 5 2" xfId="5873" xr:uid="{1BB1FCFC-5CF7-4CCC-B2A9-1229C5DDA142}"/>
    <cellStyle name="Normal 4 8 2 5 2 2" xfId="28570" xr:uid="{A13AD14A-D3DB-4D74-9461-E29CCE6B6935}"/>
    <cellStyle name="Normal 4 8 2 5 2 3" xfId="15281" xr:uid="{2EDCE808-A8D3-4316-B2C5-26C904252B45}"/>
    <cellStyle name="Normal 4 8 2 5 3" xfId="7734" xr:uid="{06C16159-EB5D-4718-8E34-5371EEF470A2}"/>
    <cellStyle name="Normal 4 8 2 5 3 2" xfId="18114" xr:uid="{8B52E96D-4AC7-42B3-A93C-4CAC5AB92841}"/>
    <cellStyle name="Normal 4 8 2 5 4" xfId="10567" xr:uid="{D9501F38-DF9C-44F6-9B7D-6AF33241A956}"/>
    <cellStyle name="Normal 4 8 2 5 4 2" xfId="20947" xr:uid="{88CA89B8-1BFD-41F0-BA8A-B7A846B1A0B0}"/>
    <cellStyle name="Normal 4 8 2 5 5" xfId="24137" xr:uid="{3BC2C6F0-0BEF-47B1-B0E8-AC9481FCA77B}"/>
    <cellStyle name="Normal 4 8 2 5 6" xfId="12997" xr:uid="{47BAE656-EC9E-4146-85AB-F86AA13E01A0}"/>
    <cellStyle name="Normal 4 8 2 6" xfId="2377" xr:uid="{00000000-0005-0000-0000-0000AD060000}"/>
    <cellStyle name="Normal 4 8 2 6 2" xfId="7504" xr:uid="{DAC97AA2-E5A4-4EEA-B897-303CA1FB9CF7}"/>
    <cellStyle name="Normal 4 8 2 6 2 2" xfId="17884" xr:uid="{87971EE5-E131-4053-98C9-DDD212EC3D11}"/>
    <cellStyle name="Normal 4 8 2 6 3" xfId="10337" xr:uid="{9232C93A-DF49-480D-A771-BAE47882AFBC}"/>
    <cellStyle name="Normal 4 8 2 6 3 2" xfId="20717" xr:uid="{64F56D8A-D43E-4CA8-8BBD-0B5C4AFA41DF}"/>
    <cellStyle name="Normal 4 8 2 6 4" xfId="24630" xr:uid="{E1A84F69-C757-4E1B-9D93-15638EB0F0AF}"/>
    <cellStyle name="Normal 4 8 2 6 5" xfId="15051" xr:uid="{4D938FE7-CE85-494D-91B5-B40622B3C74F}"/>
    <cellStyle name="Normal 4 8 2 7" xfId="3942" xr:uid="{7A88FBDE-9507-4134-97EA-80923727E376}"/>
    <cellStyle name="Normal 4 8 2 7 2" xfId="8774" xr:uid="{B1FF5D05-9626-4E88-9E84-A7251C9F663E}"/>
    <cellStyle name="Normal 4 8 2 7 2 2" xfId="19154" xr:uid="{E2EF7EA5-A2CF-4CBD-8688-05541F82525E}"/>
    <cellStyle name="Normal 4 8 2 7 3" xfId="11607" xr:uid="{E0EC3274-30EB-451C-BDB3-A0323C2B11C6}"/>
    <cellStyle name="Normal 4 8 2 7 3 2" xfId="21987" xr:uid="{CF90CC8B-9D60-4ADF-B54C-454958AB6D34}"/>
    <cellStyle name="Normal 4 8 2 7 4" xfId="16321" xr:uid="{7CED60C4-3FFA-44FD-A30F-83EE1FEE1DBD}"/>
    <cellStyle name="Normal 4 8 2 8" xfId="5339" xr:uid="{902C0B0E-C4A0-4981-9707-DC0113C37539}"/>
    <cellStyle name="Normal 4 8 2 8 2" xfId="14637" xr:uid="{AA2E2A77-DEAA-4A1B-81C1-2BCA8305B4F0}"/>
    <cellStyle name="Normal 4 8 2 9" xfId="7090" xr:uid="{D0D07CCA-276A-41C2-9F72-54F476CDFE24}"/>
    <cellStyle name="Normal 4 8 2 9 2" xfId="17470" xr:uid="{A72D69C6-C74C-414E-A521-E425C04AD6D1}"/>
    <cellStyle name="Normal 4 8 3" xfId="1038" xr:uid="{00000000-0005-0000-0000-0000C0050000}"/>
    <cellStyle name="Normal 4 8 3 2" xfId="3393" xr:uid="{00000000-0005-0000-0000-0000B4060000}"/>
    <cellStyle name="Normal 4 8 3 2 2" xfId="6451" xr:uid="{6EFCB61C-7357-4684-9E3A-0FCD927DD456}"/>
    <cellStyle name="Normal 4 8 3 2 2 2" xfId="25798" xr:uid="{E04C89D1-BAA7-40C1-BC46-F7CE41911F85}"/>
    <cellStyle name="Normal 4 8 3 2 2 3" xfId="27957" xr:uid="{B28F36EE-3268-4C28-A6BC-D4ED592E6965}"/>
    <cellStyle name="Normal 4 8 3 2 2 4" xfId="16020" xr:uid="{0C7E26DA-2B7A-4895-B864-1CAB123016A7}"/>
    <cellStyle name="Normal 4 8 3 2 3" xfId="8473" xr:uid="{EED53452-5939-466E-8695-45E55BA1D2CB}"/>
    <cellStyle name="Normal 4 8 3 2 3 2" xfId="28922" xr:uid="{4FAD5E52-B238-484A-8AD5-4926695E24BF}"/>
    <cellStyle name="Normal 4 8 3 2 3 3" xfId="18853" xr:uid="{B5B0DCE4-48DA-480E-A1E0-3D2A91C35A32}"/>
    <cellStyle name="Normal 4 8 3 2 4" xfId="11306" xr:uid="{77082873-FC23-4D52-84B3-16E16D740661}"/>
    <cellStyle name="Normal 4 8 3 2 4 2" xfId="21686" xr:uid="{745341AC-5B45-4254-8AEA-490B25F78984}"/>
    <cellStyle name="Normal 4 8 3 2 5" xfId="22826" xr:uid="{A5AF6C31-5CE8-481B-BABC-0C7C8CD0A23A}"/>
    <cellStyle name="Normal 4 8 3 2 6" xfId="13960" xr:uid="{A33A0049-D6F8-4E3C-8917-26F7161B722D}"/>
    <cellStyle name="Normal 4 8 3 3" xfId="2802" xr:uid="{00000000-0005-0000-0000-0000B5060000}"/>
    <cellStyle name="Normal 4 8 3 3 2" xfId="6020" xr:uid="{A69378F3-7126-43E8-957C-AEF3A8217A72}"/>
    <cellStyle name="Normal 4 8 3 3 2 2" xfId="26564" xr:uid="{9920AF1B-1502-4153-86EE-9E491C23E980}"/>
    <cellStyle name="Normal 4 8 3 3 2 3" xfId="15473" xr:uid="{B1567AF6-EF33-4AB9-8B8F-63FE914A07E5}"/>
    <cellStyle name="Normal 4 8 3 3 3" xfId="7926" xr:uid="{2D1BB9FA-4D4A-4C54-898F-B770F4965FBD}"/>
    <cellStyle name="Normal 4 8 3 3 3 2" xfId="18306" xr:uid="{FE3FC21E-E23C-4118-ABE2-1A66E94B9357}"/>
    <cellStyle name="Normal 4 8 3 3 4" xfId="10759" xr:uid="{E2F9B43E-0A02-4C38-BA5D-ECC510BC70E6}"/>
    <cellStyle name="Normal 4 8 3 3 4 2" xfId="21139" xr:uid="{5EEA83E8-121B-42E9-94D0-B744FCB7C7D5}"/>
    <cellStyle name="Normal 4 8 3 3 5" xfId="23605" xr:uid="{6470B5F1-FD1F-4995-8318-8EC822E2DD3C}"/>
    <cellStyle name="Normal 4 8 3 3 6" xfId="13266" xr:uid="{29FB101E-D901-48D2-BE02-0A0BDDC9A648}"/>
    <cellStyle name="Normal 4 8 3 4" xfId="4203" xr:uid="{5FFDCD3D-191C-4816-9CA7-FB6D45A05F99}"/>
    <cellStyle name="Normal 4 8 3 4 2" xfId="8975" xr:uid="{070C8C1D-8AEF-46BE-8C98-0091E8D5CB10}"/>
    <cellStyle name="Normal 4 8 3 4 2 2" xfId="29057" xr:uid="{4C8275A9-C16B-4EC9-9863-FF7A8CDDDD99}"/>
    <cellStyle name="Normal 4 8 3 4 2 3" xfId="19355" xr:uid="{893AE50F-8DCF-4C57-B16A-FE83FE00F9A5}"/>
    <cellStyle name="Normal 4 8 3 4 3" xfId="11808" xr:uid="{32AC2F98-E71F-4095-BAC4-574F9FAC974E}"/>
    <cellStyle name="Normal 4 8 3 4 3 2" xfId="22188" xr:uid="{5716DFA4-B51D-4F99-95E7-5C279343345C}"/>
    <cellStyle name="Normal 4 8 3 4 4" xfId="24359" xr:uid="{1F3D2E20-3A87-41F9-AEEC-5C3F44D9E70F}"/>
    <cellStyle name="Normal 4 8 3 4 5" xfId="16522" xr:uid="{329DE75E-7547-4F7D-A283-DE84FDC4B800}"/>
    <cellStyle name="Normal 4 8 3 5" xfId="5341" xr:uid="{59B8A850-AE58-4417-9B79-645D1117C3F9}"/>
    <cellStyle name="Normal 4 8 3 5 2" xfId="27586" xr:uid="{47C431D5-BF21-485E-B445-D73E7C5FF7F3}"/>
    <cellStyle name="Normal 4 8 3 5 3" xfId="14639" xr:uid="{A085ECE6-AAED-4853-AA6D-E6CE7606978A}"/>
    <cellStyle name="Normal 4 8 3 6" xfId="7092" xr:uid="{BF5B1421-7114-4C59-84E6-FF22BF14D01C}"/>
    <cellStyle name="Normal 4 8 3 6 2" xfId="17472" xr:uid="{50F66810-BC52-4D59-B3A9-CBD2F562B7C1}"/>
    <cellStyle name="Normal 4 8 3 7" xfId="9925" xr:uid="{E1E5A673-FD43-4767-9671-202BFC3237CE}"/>
    <cellStyle name="Normal 4 8 3 7 2" xfId="20305" xr:uid="{ABB182C6-5691-4072-A342-0FE314AA56DD}"/>
    <cellStyle name="Normal 4 8 3 8" xfId="23362" xr:uid="{DA7BCDF4-2302-49E7-AFEC-1183D2581450}"/>
    <cellStyle name="Normal 4 8 3 9" xfId="12769" xr:uid="{66A1D130-8853-47BE-9E8F-EB39290D0E65}"/>
    <cellStyle name="Normal 4 8 4" xfId="1039" xr:uid="{00000000-0005-0000-0000-0000C1050000}"/>
    <cellStyle name="Normal 4 8 4 2" xfId="4554" xr:uid="{4A53458D-E17E-4BB7-9B78-E41E6108CD46}"/>
    <cellStyle name="Normal 4 8 4 2 2" xfId="9326" xr:uid="{DC6DF52B-15E0-407A-8FD8-91CCFA995276}"/>
    <cellStyle name="Normal 4 8 4 2 2 2" xfId="29301" xr:uid="{22CBBC2C-6EB7-4F8D-9BF3-8C6A7E2E0971}"/>
    <cellStyle name="Normal 4 8 4 2 2 3" xfId="19706" xr:uid="{BBE92403-9659-4990-9EB1-3C980877811E}"/>
    <cellStyle name="Normal 4 8 4 2 3" xfId="12159" xr:uid="{EC1E7D03-E6CD-4B6A-A889-E82AA6D291E8}"/>
    <cellStyle name="Normal 4 8 4 2 3 2" xfId="22539" xr:uid="{0FEE8662-2D8F-4A33-AB47-1B88ED44E02E}"/>
    <cellStyle name="Normal 4 8 4 2 4" xfId="25729" xr:uid="{B29B947F-BF6C-4162-9758-A19DE764DCC0}"/>
    <cellStyle name="Normal 4 8 4 2 5" xfId="16873" xr:uid="{BAE9BF8E-D4C8-44F9-A359-3FCB88ADBC3D}"/>
    <cellStyle name="Normal 4 8 4 3" xfId="5342" xr:uid="{2F7E15B8-6D4F-40EF-A62B-5AC6AB5CE46A}"/>
    <cellStyle name="Normal 4 8 4 3 2" xfId="27514" xr:uid="{E12BE31D-F7D8-41F8-B8F2-FF5737E4F9B6}"/>
    <cellStyle name="Normal 4 8 4 3 3" xfId="14640" xr:uid="{BAC52ED1-B28A-4108-B645-8BADC5ECED70}"/>
    <cellStyle name="Normal 4 8 4 4" xfId="7093" xr:uid="{64C2FEF8-951F-4D16-A7AE-2EC7C1FFFCB3}"/>
    <cellStyle name="Normal 4 8 4 4 2" xfId="17473" xr:uid="{9704C883-5736-4EA5-8187-F66451D5E9A7}"/>
    <cellStyle name="Normal 4 8 4 5" xfId="9926" xr:uid="{2D7F1617-CC5B-43FE-8F93-D0245C9DAE4E}"/>
    <cellStyle name="Normal 4 8 4 5 2" xfId="20306" xr:uid="{64309F65-88F7-4EF9-A4EE-6046D6192837}"/>
    <cellStyle name="Normal 4 8 4 6" xfId="24597" xr:uid="{FAFE0EDA-07F8-4FE7-9744-558229B9E9CF}"/>
    <cellStyle name="Normal 4 8 4 7" xfId="13961" xr:uid="{98860BFA-E002-4D04-B6BC-10368C072A02}"/>
    <cellStyle name="Normal 4 8 5" xfId="2946" xr:uid="{00000000-0005-0000-0000-0000B7060000}"/>
    <cellStyle name="Normal 4 8 5 2" xfId="6126" xr:uid="{3A90E411-B0E1-4D1D-8CBF-0FA213C408C9}"/>
    <cellStyle name="Normal 4 8 5 2 2" xfId="22889" xr:uid="{323BCB07-E0C4-4324-9387-BB441B091CBA}"/>
    <cellStyle name="Normal 4 8 5 2 3" xfId="27022" xr:uid="{0ADDFC1F-FD80-4CB0-9417-459BB5DA67EE}"/>
    <cellStyle name="Normal 4 8 5 2 4" xfId="15604" xr:uid="{2EE76BEA-D134-4681-ABFD-D9E13ED59382}"/>
    <cellStyle name="Normal 4 8 5 3" xfId="8057" xr:uid="{49F03E7D-F8CF-4539-A4E2-8D4E390C1C2C}"/>
    <cellStyle name="Normal 4 8 5 3 2" xfId="28759" xr:uid="{1F490A06-3F6F-4F75-AAFD-3FC8E68046D8}"/>
    <cellStyle name="Normal 4 8 5 3 3" xfId="18437" xr:uid="{663CB6D6-FD8C-425B-A1B7-45FBFF432DCC}"/>
    <cellStyle name="Normal 4 8 5 4" xfId="10890" xr:uid="{420CEDED-F913-4CED-A0A6-C8812B15D841}"/>
    <cellStyle name="Normal 4 8 5 4 2" xfId="21270" xr:uid="{7E3BF973-9134-4A00-9B1A-BA0C7D081897}"/>
    <cellStyle name="Normal 4 8 5 5" xfId="24125" xr:uid="{393509DD-5235-442B-A267-5E4D400C7C73}"/>
    <cellStyle name="Normal 4 8 5 6" xfId="13467" xr:uid="{982210BB-347A-4FD7-B053-F2B565925200}"/>
    <cellStyle name="Normal 4 8 6" xfId="2446" xr:uid="{00000000-0005-0000-0000-0000B8060000}"/>
    <cellStyle name="Normal 4 8 6 2" xfId="5740" xr:uid="{4D6A6D2A-C857-4FFE-A450-2E160D6EF7CD}"/>
    <cellStyle name="Normal 4 8 6 2 2" xfId="27102" xr:uid="{DEFD9B35-CA72-4AED-BB02-EB6A90E849D3}"/>
    <cellStyle name="Normal 4 8 6 2 3" xfId="15118" xr:uid="{D47C087F-8414-4BDA-B2D0-6329B80D357B}"/>
    <cellStyle name="Normal 4 8 6 3" xfId="7571" xr:uid="{AF799A62-90A1-4278-8CAC-411CABE1649B}"/>
    <cellStyle name="Normal 4 8 6 3 2" xfId="17951" xr:uid="{692457AA-E4A8-4130-B954-A586181B5B49}"/>
    <cellStyle name="Normal 4 8 6 4" xfId="10404" xr:uid="{04E2B5B6-D284-4423-9A0A-6EE8830E5E22}"/>
    <cellStyle name="Normal 4 8 6 4 2" xfId="20784" xr:uid="{DF578FD9-7125-4605-9C27-85F372D05A66}"/>
    <cellStyle name="Normal 4 8 6 5" xfId="22696" xr:uid="{729EE0F8-E1C5-4C04-8DF5-244E9ACA131C}"/>
    <cellStyle name="Normal 4 8 6 6" xfId="12834" xr:uid="{BC199602-588A-4E28-A840-5C19D5FBD532}"/>
    <cellStyle name="Normal 4 8 7" xfId="2200" xr:uid="{00000000-0005-0000-0000-0000AC060000}"/>
    <cellStyle name="Normal 4 8 7 2" xfId="7327" xr:uid="{6DC10D9B-AD30-4AFE-B5AB-C9BDDADD2450}"/>
    <cellStyle name="Normal 4 8 7 2 2" xfId="17707" xr:uid="{3688C2AB-DAA0-4D32-9B01-3A58F0803499}"/>
    <cellStyle name="Normal 4 8 7 3" xfId="10160" xr:uid="{2145218E-5174-4AB5-9392-445EA353E7DE}"/>
    <cellStyle name="Normal 4 8 7 3 2" xfId="20540" xr:uid="{D4414ED4-57FB-4635-A875-1F72F8E92A7F}"/>
    <cellStyle name="Normal 4 8 7 4" xfId="25047" xr:uid="{7AFBC9C0-08AB-470D-B140-140688BC0FD1}"/>
    <cellStyle name="Normal 4 8 7 5" xfId="14874" xr:uid="{F24D1869-95EF-4B26-9CB9-D07A8B793B64}"/>
    <cellStyle name="Normal 4 8 8" xfId="3998" xr:uid="{281ACFA1-D698-4080-8D6B-0AF4D83A6F8E}"/>
    <cellStyle name="Normal 4 8 8 2" xfId="8822" xr:uid="{CFB66AB3-D734-4A79-A87B-9A2EFF98D5E4}"/>
    <cellStyle name="Normal 4 8 8 2 2" xfId="19202" xr:uid="{E19055ED-866D-4B93-91A7-6B9EFA80B315}"/>
    <cellStyle name="Normal 4 8 8 3" xfId="11655" xr:uid="{639A8475-980A-43F0-953D-AA1C4BC8A225}"/>
    <cellStyle name="Normal 4 8 8 3 2" xfId="22035" xr:uid="{238B5422-CD6E-4709-A692-929601A47CEA}"/>
    <cellStyle name="Normal 4 8 8 4" xfId="16369" xr:uid="{EED70B44-2A93-4B41-9D5A-91AD6D5EE158}"/>
    <cellStyle name="Normal 4 8 9" xfId="5338" xr:uid="{AEAD4F3A-23BD-4982-A966-DE7F04C30F37}"/>
    <cellStyle name="Normal 4 8 9 2" xfId="14636" xr:uid="{88B9D1B0-17D6-4FD9-BC3D-D627679CD327}"/>
    <cellStyle name="Normal 4 9" xfId="1040" xr:uid="{00000000-0005-0000-0000-0000C2050000}"/>
    <cellStyle name="Normal 4 9 10" xfId="7094" xr:uid="{FED65E8B-9E0C-4993-9D9D-09C6A5CCBF77}"/>
    <cellStyle name="Normal 4 9 10 2" xfId="17474" xr:uid="{85C94C34-2764-4D4A-A55A-3CC3B94E06B0}"/>
    <cellStyle name="Normal 4 9 11" xfId="9927" xr:uid="{8592E14F-7933-451D-9CE9-B4860A2D52B7}"/>
    <cellStyle name="Normal 4 9 11 2" xfId="20307" xr:uid="{02417B0E-5595-45E5-90CB-41EC334685D5}"/>
    <cellStyle name="Normal 4 9 12" xfId="23729" xr:uid="{BD948A75-B0F9-44FF-BBAB-26E8C81CCBE0}"/>
    <cellStyle name="Normal 4 9 13" xfId="12494" xr:uid="{CD8A0886-089C-446A-8DE1-556D66857C2D}"/>
    <cellStyle name="Normal 4 9 2" xfId="1041" xr:uid="{00000000-0005-0000-0000-0000C3050000}"/>
    <cellStyle name="Normal 4 9 2 10" xfId="9928" xr:uid="{28370A61-F559-432A-B25C-14DD633AD195}"/>
    <cellStyle name="Normal 4 9 2 10 2" xfId="20308" xr:uid="{201A2F93-DAA0-4A27-BF79-B00C29977018}"/>
    <cellStyle name="Normal 4 9 2 11" xfId="22763" xr:uid="{0087A8B8-93CC-4BFE-AA5E-D6C7D2CA9A00}"/>
    <cellStyle name="Normal 4 9 2 12" xfId="12612" xr:uid="{74C7346E-50B0-47C0-BB11-55DFB2707C47}"/>
    <cellStyle name="Normal 4 9 2 2" xfId="1042" xr:uid="{00000000-0005-0000-0000-0000C4050000}"/>
    <cellStyle name="Normal 4 9 2 2 2" xfId="3395" xr:uid="{00000000-0005-0000-0000-0000BC060000}"/>
    <cellStyle name="Normal 4 9 2 2 2 2" xfId="6453" xr:uid="{11E9BE83-9BEF-456C-844D-D31925E7C983}"/>
    <cellStyle name="Normal 4 9 2 2 2 2 2" xfId="28694" xr:uid="{B7AD161C-F341-4DA4-8DE4-27608ACA660B}"/>
    <cellStyle name="Normal 4 9 2 2 2 2 3" xfId="28199" xr:uid="{38F0B293-0D62-432D-9C4F-EE43645FC28D}"/>
    <cellStyle name="Normal 4 9 2 2 2 2 4" xfId="16022" xr:uid="{8BDDD3B4-B9A2-45C7-AF12-56D5B99F1810}"/>
    <cellStyle name="Normal 4 9 2 2 2 3" xfId="8475" xr:uid="{9038C36F-0961-43F9-92E9-2FBEC2FD15A9}"/>
    <cellStyle name="Normal 4 9 2 2 2 3 2" xfId="28923" xr:uid="{F7762159-4A43-4FD5-B9A3-4DD12BD141F2}"/>
    <cellStyle name="Normal 4 9 2 2 2 3 3" xfId="18855" xr:uid="{917F8D4E-1CFD-4DAC-815C-226344EE8AAB}"/>
    <cellStyle name="Normal 4 9 2 2 2 4" xfId="11308" xr:uid="{FF99C08E-2FD0-44B9-A815-374563E54528}"/>
    <cellStyle name="Normal 4 9 2 2 2 4 2" xfId="21688" xr:uid="{59C14F52-2CDE-44D9-B32A-5AD6C2967E44}"/>
    <cellStyle name="Normal 4 9 2 2 2 5" xfId="24386" xr:uid="{3C35500F-A6B9-49B4-BB95-075B0AEC0C74}"/>
    <cellStyle name="Normal 4 9 2 2 2 6" xfId="13963" xr:uid="{EAE0E571-E60D-47E1-93EB-992FA5AF217A}"/>
    <cellStyle name="Normal 4 9 2 2 3" xfId="4355" xr:uid="{B7CECDB9-48DC-4889-B3EF-7E0171FF32B0}"/>
    <cellStyle name="Normal 4 9 2 2 3 2" xfId="9127" xr:uid="{B287CC7E-81A6-4F37-95CD-77D3B7A9D44B}"/>
    <cellStyle name="Normal 4 9 2 2 3 2 2" xfId="29170" xr:uid="{01E746A7-4123-43E0-AB3E-B028EF387EB6}"/>
    <cellStyle name="Normal 4 9 2 2 3 2 3" xfId="19507" xr:uid="{39187655-B24B-4182-BDE2-038D1B8846B2}"/>
    <cellStyle name="Normal 4 9 2 2 3 3" xfId="11960" xr:uid="{8211DA65-4B71-4084-AF16-B8C6040CE355}"/>
    <cellStyle name="Normal 4 9 2 2 3 3 2" xfId="22340" xr:uid="{8A3F3DA4-464D-44A0-BF17-399DABF26D3E}"/>
    <cellStyle name="Normal 4 9 2 2 3 4" xfId="24746" xr:uid="{53C96F65-A9A7-47BE-804A-52A54B7CBC06}"/>
    <cellStyle name="Normal 4 9 2 2 3 5" xfId="16674" xr:uid="{AEF97B57-EBB3-40C7-A330-5F1D3B247A08}"/>
    <cellStyle name="Normal 4 9 2 2 4" xfId="5345" xr:uid="{96342CCA-55A5-47D1-A797-2C36D42FFB2A}"/>
    <cellStyle name="Normal 4 9 2 2 4 2" xfId="27027" xr:uid="{DBE57265-6D69-4443-95A6-FC9DC1A9B761}"/>
    <cellStyle name="Normal 4 9 2 2 4 3" xfId="14643" xr:uid="{8C4ADD13-00FC-4CC3-AD26-03FC256F0E18}"/>
    <cellStyle name="Normal 4 9 2 2 5" xfId="7096" xr:uid="{3C1AF9BA-F553-4120-B127-A4197615CA77}"/>
    <cellStyle name="Normal 4 9 2 2 5 2" xfId="17476" xr:uid="{632F33F2-D68C-4055-927E-790550974824}"/>
    <cellStyle name="Normal 4 9 2 2 6" xfId="9929" xr:uid="{2C8C1A72-261D-44D7-96A5-2516D17DBD05}"/>
    <cellStyle name="Normal 4 9 2 2 6 2" xfId="20309" xr:uid="{79CDB092-0135-4613-B647-132677FBB4DC}"/>
    <cellStyle name="Normal 4 9 2 2 7" xfId="23126" xr:uid="{723A8EC1-6226-49C0-95A1-E85A20D6241E}"/>
    <cellStyle name="Normal 4 9 2 2 8" xfId="13269" xr:uid="{1C00D6FC-68F7-4724-A70D-4669B52F1AA0}"/>
    <cellStyle name="Normal 4 9 2 3" xfId="3396" xr:uid="{00000000-0005-0000-0000-0000BD060000}"/>
    <cellStyle name="Normal 4 9 2 3 2" xfId="4555" xr:uid="{429A3C00-EA96-4A8D-852C-E18122DA3BFC}"/>
    <cellStyle name="Normal 4 9 2 3 2 2" xfId="9327" xr:uid="{078A8D01-3A66-4BF7-A0C3-9EA9566C4FBA}"/>
    <cellStyle name="Normal 4 9 2 3 2 2 2" xfId="29302" xr:uid="{81E919EC-171F-4337-8F54-BAF4FAA1875E}"/>
    <cellStyle name="Normal 4 9 2 3 2 2 3" xfId="19707" xr:uid="{AEF3400C-B76F-41BC-A7D4-E6ACE6A7356F}"/>
    <cellStyle name="Normal 4 9 2 3 2 3" xfId="12160" xr:uid="{3A9B6F7D-697F-4A82-94EE-0008EAD9B053}"/>
    <cellStyle name="Normal 4 9 2 3 2 3 2" xfId="22540" xr:uid="{EF7F18C2-0586-4A8A-BEE2-3AFDB87ABC8E}"/>
    <cellStyle name="Normal 4 9 2 3 2 4" xfId="24302" xr:uid="{281778F3-8B05-4B77-B5C9-E8664219A3E7}"/>
    <cellStyle name="Normal 4 9 2 3 2 5" xfId="16874" xr:uid="{26292AE9-A676-4867-8354-8FDF65FF8704}"/>
    <cellStyle name="Normal 4 9 2 3 3" xfId="6454" xr:uid="{E0E8314D-1134-4E1C-B19E-01A0BC6639B8}"/>
    <cellStyle name="Normal 4 9 2 3 3 2" xfId="26876" xr:uid="{54796271-879F-4167-BA9B-BD66C88C0419}"/>
    <cellStyle name="Normal 4 9 2 3 3 3" xfId="16023" xr:uid="{51271DC9-1A29-44F5-97D7-BCACACE46210}"/>
    <cellStyle name="Normal 4 9 2 3 4" xfId="8476" xr:uid="{AB9A5261-844D-4CD8-A4BA-30EAD92011D8}"/>
    <cellStyle name="Normal 4 9 2 3 4 2" xfId="18856" xr:uid="{AD961A38-47B8-4F6B-937B-81803D0557EA}"/>
    <cellStyle name="Normal 4 9 2 3 5" xfId="11309" xr:uid="{B27C72B8-AD1B-44BC-BDD7-12ADA905F9B6}"/>
    <cellStyle name="Normal 4 9 2 3 5 2" xfId="21689" xr:uid="{B3F3CBB2-6F69-4275-AAFA-CB8D22E05A51}"/>
    <cellStyle name="Normal 4 9 2 3 6" xfId="23990" xr:uid="{EE707BDF-7721-4690-8488-D9E5F4960A9C}"/>
    <cellStyle name="Normal 4 9 2 3 7" xfId="13964" xr:uid="{425ACECC-3E0F-46C2-8378-FFD904F5B98A}"/>
    <cellStyle name="Normal 4 9 2 4" xfId="3394" xr:uid="{00000000-0005-0000-0000-0000BE060000}"/>
    <cellStyle name="Normal 4 9 2 4 2" xfId="6452" xr:uid="{E9DBFBC1-94F8-4265-B53D-C168DE8425DE}"/>
    <cellStyle name="Normal 4 9 2 4 2 2" xfId="27636" xr:uid="{D134B4F9-958C-4105-8EB7-56E094FF549D}"/>
    <cellStyle name="Normal 4 9 2 4 2 3" xfId="16021" xr:uid="{CD533D81-4227-4367-AD8A-972D87E4277A}"/>
    <cellStyle name="Normal 4 9 2 4 3" xfId="8474" xr:uid="{3F24AFFD-A75E-450C-A9EF-92566A7C3F04}"/>
    <cellStyle name="Normal 4 9 2 4 3 2" xfId="18854" xr:uid="{558DB0AB-D2E0-4ADC-8A48-18296A3BBF68}"/>
    <cellStyle name="Normal 4 9 2 4 4" xfId="11307" xr:uid="{1A76F0A1-8D28-4290-8946-F2B4A37D6264}"/>
    <cellStyle name="Normal 4 9 2 4 4 2" xfId="21687" xr:uid="{8B7841B6-B6A5-43C6-9864-9348B6A6EB0E}"/>
    <cellStyle name="Normal 4 9 2 4 5" xfId="25330" xr:uid="{7C7C8256-B9E5-4613-B263-AB4056C9349D}"/>
    <cellStyle name="Normal 4 9 2 4 6" xfId="13962" xr:uid="{FF2032C4-8BF9-4137-BD49-7B217EF6F85A}"/>
    <cellStyle name="Normal 4 9 2 5" xfId="2657" xr:uid="{00000000-0005-0000-0000-0000BF060000}"/>
    <cellStyle name="Normal 4 9 2 5 2" xfId="5917" xr:uid="{41952D99-ABDB-4293-834B-F38C838B1168}"/>
    <cellStyle name="Normal 4 9 2 5 2 2" xfId="27668" xr:uid="{B83C8430-3C67-4460-8840-7F0BDA03DB8B}"/>
    <cellStyle name="Normal 4 9 2 5 2 3" xfId="15329" xr:uid="{BC35F09B-CE5B-4916-9597-B10216CAA486}"/>
    <cellStyle name="Normal 4 9 2 5 3" xfId="7782" xr:uid="{9DD94790-E2C5-4C61-9D03-570B091E3C4D}"/>
    <cellStyle name="Normal 4 9 2 5 3 2" xfId="18162" xr:uid="{0ABF3531-97C8-4476-9FAD-A96156326B2F}"/>
    <cellStyle name="Normal 4 9 2 5 4" xfId="10615" xr:uid="{8C1CF07B-3467-4C48-912E-2E1C444A4F06}"/>
    <cellStyle name="Normal 4 9 2 5 4 2" xfId="20995" xr:uid="{252AC7F1-0AB2-4B98-9212-B2CC72E9BB0C}"/>
    <cellStyle name="Normal 4 9 2 5 5" xfId="24390" xr:uid="{531B2959-78A0-4777-AF18-50FB596D273D}"/>
    <cellStyle name="Normal 4 9 2 5 6" xfId="13059" xr:uid="{1A269D4F-B737-489D-B7A7-D1D28B78EA22}"/>
    <cellStyle name="Normal 4 9 2 6" xfId="2378" xr:uid="{00000000-0005-0000-0000-0000BA060000}"/>
    <cellStyle name="Normal 4 9 2 6 2" xfId="7505" xr:uid="{D6504F32-9E30-4636-8E43-11D3A1544429}"/>
    <cellStyle name="Normal 4 9 2 6 2 2" xfId="17885" xr:uid="{0A365267-F0E1-4CB9-8305-0282D4AD3D06}"/>
    <cellStyle name="Normal 4 9 2 6 3" xfId="10338" xr:uid="{E4B342D6-E1E6-4E71-B82A-B35FC665DD40}"/>
    <cellStyle name="Normal 4 9 2 6 3 2" xfId="20718" xr:uid="{6073AC3D-C593-4C95-970E-A50E189650EC}"/>
    <cellStyle name="Normal 4 9 2 6 4" xfId="24543" xr:uid="{215AFCB9-7E53-4A64-A0F6-85835A7537F7}"/>
    <cellStyle name="Normal 4 9 2 6 5" xfId="15052" xr:uid="{99D15716-0A26-4820-A1B9-0E615D69DB7C}"/>
    <cellStyle name="Normal 4 9 2 7" xfId="3955" xr:uid="{5662DC37-F90E-41B1-8934-44962F194A3A}"/>
    <cellStyle name="Normal 4 9 2 7 2" xfId="8787" xr:uid="{7D06C3E6-4AF0-4B89-8901-A8CEEF48497E}"/>
    <cellStyle name="Normal 4 9 2 7 2 2" xfId="19167" xr:uid="{D8782B79-623B-4E23-BD16-08969CEE0135}"/>
    <cellStyle name="Normal 4 9 2 7 3" xfId="11620" xr:uid="{24202C2E-E9BC-4B30-A123-54FB0FE2BA5B}"/>
    <cellStyle name="Normal 4 9 2 7 3 2" xfId="22000" xr:uid="{6B243055-76E8-4D7F-93D0-717A0B52A8C3}"/>
    <cellStyle name="Normal 4 9 2 7 4" xfId="16334" xr:uid="{D16B8EEB-DBF4-45EA-8E00-E56CA3FA07FB}"/>
    <cellStyle name="Normal 4 9 2 8" xfId="5344" xr:uid="{FA09D750-66D3-46F2-AA20-E5C5C6D5A7A2}"/>
    <cellStyle name="Normal 4 9 2 8 2" xfId="14642" xr:uid="{EB460EF6-969D-48F3-9585-CD572D0075A6}"/>
    <cellStyle name="Normal 4 9 2 9" xfId="7095" xr:uid="{7A8048F7-241E-4979-B207-70F8C28C3BBA}"/>
    <cellStyle name="Normal 4 9 2 9 2" xfId="17475" xr:uid="{9DD638C0-C0F0-4C0A-A277-0655FAB0BB6A}"/>
    <cellStyle name="Normal 4 9 3" xfId="1043" xr:uid="{00000000-0005-0000-0000-0000C5050000}"/>
    <cellStyle name="Normal 4 9 3 2" xfId="3397" xr:uid="{00000000-0005-0000-0000-0000C1060000}"/>
    <cellStyle name="Normal 4 9 3 2 2" xfId="6455" xr:uid="{EC58CF77-95B6-42C0-8B6D-E6C38386E713}"/>
    <cellStyle name="Normal 4 9 3 2 2 2" xfId="23775" xr:uid="{DC92D57D-5795-4BFD-B9C6-40860AECCF78}"/>
    <cellStyle name="Normal 4 9 3 2 2 3" xfId="27659" xr:uid="{BD270951-A7CB-4512-B042-ED92B3AF51B0}"/>
    <cellStyle name="Normal 4 9 3 2 2 4" xfId="16024" xr:uid="{F7DFEFAD-B8A4-4014-A965-79AC03EE98CA}"/>
    <cellStyle name="Normal 4 9 3 2 3" xfId="8477" xr:uid="{D017D5D2-9F67-46D6-9C65-8D3ADB37B85E}"/>
    <cellStyle name="Normal 4 9 3 2 3 2" xfId="28924" xr:uid="{3CE00559-6AD8-4A77-8FD5-69456922A500}"/>
    <cellStyle name="Normal 4 9 3 2 3 3" xfId="18857" xr:uid="{127CBB48-2A01-470A-BD74-3890FD0642C8}"/>
    <cellStyle name="Normal 4 9 3 2 4" xfId="11310" xr:uid="{72168985-3B71-4213-80CA-7C09896A4598}"/>
    <cellStyle name="Normal 4 9 3 2 4 2" xfId="21690" xr:uid="{BD9DCD0E-2F77-44EF-97C0-5BB4BFF291DF}"/>
    <cellStyle name="Normal 4 9 3 2 5" xfId="24906" xr:uid="{9BFE87F1-B694-4E99-B970-076C7ACAE04A}"/>
    <cellStyle name="Normal 4 9 3 2 6" xfId="13965" xr:uid="{BCF44529-9CE9-460D-B060-C9F0FB761974}"/>
    <cellStyle name="Normal 4 9 3 3" xfId="2803" xr:uid="{00000000-0005-0000-0000-0000C2060000}"/>
    <cellStyle name="Normal 4 9 3 3 2" xfId="6021" xr:uid="{9EDD67D1-5C2C-41FB-8DB5-F20ED392B8C6}"/>
    <cellStyle name="Normal 4 9 3 3 2 2" xfId="26495" xr:uid="{D2B1457E-7C6D-43FE-97D1-D741065D3543}"/>
    <cellStyle name="Normal 4 9 3 3 2 3" xfId="15474" xr:uid="{4C1DDB65-F2A6-453B-9303-D769A622CC45}"/>
    <cellStyle name="Normal 4 9 3 3 3" xfId="7927" xr:uid="{C4B41890-42D4-4559-BB21-ACCE2AE869DB}"/>
    <cellStyle name="Normal 4 9 3 3 3 2" xfId="18307" xr:uid="{3A0D7D73-2444-4B2D-AE17-EAC42634EFA4}"/>
    <cellStyle name="Normal 4 9 3 3 4" xfId="10760" xr:uid="{CFAD69D5-A814-46DE-87BE-BF954F5E5BF9}"/>
    <cellStyle name="Normal 4 9 3 3 4 2" xfId="21140" xr:uid="{EBAEB439-29CF-471F-B1AE-7CBD9143C4D3}"/>
    <cellStyle name="Normal 4 9 3 3 5" xfId="23430" xr:uid="{5E6BB81F-081E-4ACD-B0C1-13DEA25765B8}"/>
    <cellStyle name="Normal 4 9 3 3 6" xfId="13268" xr:uid="{17F04C83-C241-4809-AF38-EF377A2E1468}"/>
    <cellStyle name="Normal 4 9 3 4" xfId="4204" xr:uid="{59B0931E-45F8-4742-866F-5C5AC23997A1}"/>
    <cellStyle name="Normal 4 9 3 4 2" xfId="8976" xr:uid="{154E08C5-8FF7-48F4-B67A-35F5CAF52B32}"/>
    <cellStyle name="Normal 4 9 3 4 2 2" xfId="29058" xr:uid="{039F68C9-4D7A-420B-A116-ED61329DE099}"/>
    <cellStyle name="Normal 4 9 3 4 2 3" xfId="19356" xr:uid="{75FD03FC-72A0-4F5E-A0CA-5FE0B27F42F2}"/>
    <cellStyle name="Normal 4 9 3 4 3" xfId="11809" xr:uid="{B23AF0B9-02E9-4983-96E2-542D5F5C0818}"/>
    <cellStyle name="Normal 4 9 3 4 3 2" xfId="22189" xr:uid="{B783A89E-86D7-4233-B590-0C0232E081AF}"/>
    <cellStyle name="Normal 4 9 3 4 4" xfId="24448" xr:uid="{ECE1713B-6C36-4DD6-816C-09DF059B87B7}"/>
    <cellStyle name="Normal 4 9 3 4 5" xfId="16523" xr:uid="{D0E91311-55B1-4F1E-B6D0-1D0E1521AF8F}"/>
    <cellStyle name="Normal 4 9 3 5" xfId="5346" xr:uid="{B95C7F4B-9A71-4AEC-BF82-3710F3D2C35B}"/>
    <cellStyle name="Normal 4 9 3 5 2" xfId="26033" xr:uid="{D5C88AE1-B3BD-4C8F-BA05-C1B0AB621E4B}"/>
    <cellStyle name="Normal 4 9 3 5 3" xfId="14644" xr:uid="{946793D5-930B-438A-BA01-92F106EAA79C}"/>
    <cellStyle name="Normal 4 9 3 6" xfId="7097" xr:uid="{45A6AE62-1A27-4679-9355-C7565243CC36}"/>
    <cellStyle name="Normal 4 9 3 6 2" xfId="17477" xr:uid="{5E875325-DDEF-43E5-88B0-36663A002E3A}"/>
    <cellStyle name="Normal 4 9 3 7" xfId="9930" xr:uid="{438C59F0-280F-4A01-B1FA-B98BB434E128}"/>
    <cellStyle name="Normal 4 9 3 7 2" xfId="20310" xr:uid="{9760F551-7F49-4B66-9392-BC4ED1C07275}"/>
    <cellStyle name="Normal 4 9 3 8" xfId="24810" xr:uid="{06BCB86A-1997-4F11-B114-820C012B0138}"/>
    <cellStyle name="Normal 4 9 3 9" xfId="12770" xr:uid="{4234F2F0-DD76-48C3-858A-37108DC7FF33}"/>
    <cellStyle name="Normal 4 9 4" xfId="1044" xr:uid="{00000000-0005-0000-0000-0000C6050000}"/>
    <cellStyle name="Normal 4 9 4 2" xfId="4556" xr:uid="{B60F7FE0-303D-4809-9FF9-BA03D1C69B44}"/>
    <cellStyle name="Normal 4 9 4 2 2" xfId="9328" xr:uid="{D898483C-C1B9-4E7F-8610-5E7B7DD99729}"/>
    <cellStyle name="Normal 4 9 4 2 2 2" xfId="29303" xr:uid="{411B5B70-8F18-4E55-B496-BE944566B165}"/>
    <cellStyle name="Normal 4 9 4 2 2 3" xfId="19708" xr:uid="{091F6D37-CB88-4DE7-8317-5909FD2E580A}"/>
    <cellStyle name="Normal 4 9 4 2 3" xfId="12161" xr:uid="{BB3FE38A-1F1B-4F3D-B629-ADA754C185CC}"/>
    <cellStyle name="Normal 4 9 4 2 3 2" xfId="22541" xr:uid="{5FFEF487-F08A-48EB-A592-4927EE828390}"/>
    <cellStyle name="Normal 4 9 4 2 4" xfId="24397" xr:uid="{BAB0A28D-4E99-4B0E-BBA3-3FA6958A4ED7}"/>
    <cellStyle name="Normal 4 9 4 2 5" xfId="16875" xr:uid="{15504F81-1EA2-4C0E-B012-16BAE8A59B70}"/>
    <cellStyle name="Normal 4 9 4 3" xfId="5347" xr:uid="{0E040CF3-0042-422A-BA5E-6AAA80545842}"/>
    <cellStyle name="Normal 4 9 4 3 2" xfId="26420" xr:uid="{9737F622-9F4D-4215-9D5E-4603C76300E2}"/>
    <cellStyle name="Normal 4 9 4 3 3" xfId="14645" xr:uid="{1605F229-F8A2-4434-9B75-426B7260F6B9}"/>
    <cellStyle name="Normal 4 9 4 4" xfId="7098" xr:uid="{154A79A8-E326-4846-BD3C-FCF566EEFF09}"/>
    <cellStyle name="Normal 4 9 4 4 2" xfId="17478" xr:uid="{48CE7B65-0A47-49AA-A0FB-D19A0D3D9D98}"/>
    <cellStyle name="Normal 4 9 4 5" xfId="9931" xr:uid="{E883B33E-6308-4FF6-9680-F215C520DFC2}"/>
    <cellStyle name="Normal 4 9 4 5 2" xfId="20311" xr:uid="{5F0F5074-2CF6-416D-BFD7-6299FC13A09D}"/>
    <cellStyle name="Normal 4 9 4 6" xfId="25406" xr:uid="{BA7D3C25-E40B-4434-A1BB-73C9F27BBACC}"/>
    <cellStyle name="Normal 4 9 4 7" xfId="13966" xr:uid="{CE3262C7-FE81-4080-A643-90F204935236}"/>
    <cellStyle name="Normal 4 9 5" xfId="2947" xr:uid="{00000000-0005-0000-0000-0000C4060000}"/>
    <cellStyle name="Normal 4 9 5 2" xfId="6127" xr:uid="{8FE178C2-CBA3-433F-A7C2-84FC619F5B81}"/>
    <cellStyle name="Normal 4 9 5 2 2" xfId="24057" xr:uid="{4E4E5A2D-359D-46B2-A19E-DBF03D5EF5F9}"/>
    <cellStyle name="Normal 4 9 5 2 3" xfId="27544" xr:uid="{C39916A2-C003-4C43-9C9A-9AC63521D991}"/>
    <cellStyle name="Normal 4 9 5 2 4" xfId="15605" xr:uid="{4543F762-D666-4FA6-ABE4-C9631A5B5E34}"/>
    <cellStyle name="Normal 4 9 5 3" xfId="8058" xr:uid="{DE5353BF-C4EC-4276-9C20-3C9D1B71ABCA}"/>
    <cellStyle name="Normal 4 9 5 3 2" xfId="28760" xr:uid="{BC05135D-49F9-4C43-8779-B049198642E6}"/>
    <cellStyle name="Normal 4 9 5 3 3" xfId="18438" xr:uid="{AD4191F7-A8FF-4446-ABBC-0AF88631DCE5}"/>
    <cellStyle name="Normal 4 9 5 4" xfId="10891" xr:uid="{FA8A25CE-B31C-43F8-A59B-36EA28645A33}"/>
    <cellStyle name="Normal 4 9 5 4 2" xfId="21271" xr:uid="{4927AD9C-0BD5-4299-BC43-309E2FA370C1}"/>
    <cellStyle name="Normal 4 9 5 5" xfId="23972" xr:uid="{34073EE8-2408-4029-BCA1-F24C370C643F}"/>
    <cellStyle name="Normal 4 9 5 6" xfId="13468" xr:uid="{AC7DC948-1164-4B8F-BA4C-16C1F6D5BBCA}"/>
    <cellStyle name="Normal 4 9 6" xfId="2506" xr:uid="{00000000-0005-0000-0000-0000C5060000}"/>
    <cellStyle name="Normal 4 9 6 2" xfId="5786" xr:uid="{C5DB1F4C-84E0-4922-9AF3-EB13B41C9A24}"/>
    <cellStyle name="Normal 4 9 6 2 2" xfId="27873" xr:uid="{87BC2480-2AB3-4E58-946B-68C1A6688A73}"/>
    <cellStyle name="Normal 4 9 6 2 3" xfId="15178" xr:uid="{6429479B-48DE-4743-A1AE-AE3E25563ABC}"/>
    <cellStyle name="Normal 4 9 6 3" xfId="7631" xr:uid="{DC26186C-24BB-4851-B8BA-E951777B6486}"/>
    <cellStyle name="Normal 4 9 6 3 2" xfId="18011" xr:uid="{8D143DA6-04AA-4573-A04D-157B4DFCECA0}"/>
    <cellStyle name="Normal 4 9 6 4" xfId="10464" xr:uid="{6E09233B-E859-4C16-B2F7-186BEBD86034}"/>
    <cellStyle name="Normal 4 9 6 4 2" xfId="20844" xr:uid="{B2EBD67C-2D94-4BBC-9EC9-755791AC361C}"/>
    <cellStyle name="Normal 4 9 6 5" xfId="23171" xr:uid="{F03EBC55-AE1F-42DF-AB33-8551F9067632}"/>
    <cellStyle name="Normal 4 9 6 6" xfId="12894" xr:uid="{3021E087-4766-4419-B53E-DFF3977350AA}"/>
    <cellStyle name="Normal 4 9 7" xfId="2262" xr:uid="{00000000-0005-0000-0000-0000B9060000}"/>
    <cellStyle name="Normal 4 9 7 2" xfId="7389" xr:uid="{32C9A824-0488-4806-8D99-CFC51AABAF81}"/>
    <cellStyle name="Normal 4 9 7 2 2" xfId="17769" xr:uid="{DA96CD8A-5157-4F8F-9A9C-59010E38E781}"/>
    <cellStyle name="Normal 4 9 7 3" xfId="10222" xr:uid="{DC37B7A9-8333-428A-AFF8-B24F26B0F802}"/>
    <cellStyle name="Normal 4 9 7 3 2" xfId="20602" xr:uid="{09BA70BB-9E2F-4C92-BDE6-A2D55D353E26}"/>
    <cellStyle name="Normal 4 9 7 4" xfId="24845" xr:uid="{4CB515D3-9236-4373-A92A-18A2F5F6E62F}"/>
    <cellStyle name="Normal 4 9 7 5" xfId="14936" xr:uid="{A33D728C-722B-4236-A9CF-7BF81F686EC4}"/>
    <cellStyle name="Normal 4 9 8" xfId="3999" xr:uid="{FB00525F-F625-4EBD-91ED-9DCBAED536F6}"/>
    <cellStyle name="Normal 4 9 8 2" xfId="8823" xr:uid="{18EB733E-EE76-4921-A96E-C69C33C3D8B9}"/>
    <cellStyle name="Normal 4 9 8 2 2" xfId="19203" xr:uid="{30B088D8-493E-4B50-8AE3-E18AEF7C462B}"/>
    <cellStyle name="Normal 4 9 8 3" xfId="11656" xr:uid="{85D8D720-9657-4EE8-BBCD-0244CF3EF351}"/>
    <cellStyle name="Normal 4 9 8 3 2" xfId="22036" xr:uid="{0A524794-595E-421E-98C3-5BD4E863566A}"/>
    <cellStyle name="Normal 4 9 8 4" xfId="16370" xr:uid="{C46AB949-0015-4839-8683-C34DB6ABA655}"/>
    <cellStyle name="Normal 4 9 9" xfId="5343" xr:uid="{9F32A828-194D-41BB-86AC-BC1E9E4BD583}"/>
    <cellStyle name="Normal 4 9 9 2" xfId="14641" xr:uid="{48C8B0A3-4F68-493C-9981-7A51C895F469}"/>
    <cellStyle name="Normal 5" xfId="1045" xr:uid="{00000000-0005-0000-0000-0000C7050000}"/>
    <cellStyle name="Normal 5 2" xfId="1046" xr:uid="{00000000-0005-0000-0000-0000C8050000}"/>
    <cellStyle name="Normal 5 2 2" xfId="1047" xr:uid="{00000000-0005-0000-0000-0000C9050000}"/>
    <cellStyle name="Normal 5 2 2 2" xfId="1048" xr:uid="{00000000-0005-0000-0000-0000CA050000}"/>
    <cellStyle name="Normal 5 2 2 3" xfId="1049" xr:uid="{00000000-0005-0000-0000-0000CB050000}"/>
    <cellStyle name="Normal 5 2 2 3 2" xfId="1050" xr:uid="{00000000-0005-0000-0000-0000CC050000}"/>
    <cellStyle name="Normal 5 2 2 3 3" xfId="1051" xr:uid="{00000000-0005-0000-0000-0000CD050000}"/>
    <cellStyle name="Normal 5 2 2 3 3 2" xfId="1052" xr:uid="{00000000-0005-0000-0000-0000CE050000}"/>
    <cellStyle name="Normal 5 2 2 3 3 2 2" xfId="1053" xr:uid="{00000000-0005-0000-0000-0000CF050000}"/>
    <cellStyle name="Normal 5 2 2 3 3 2 3" xfId="1054" xr:uid="{00000000-0005-0000-0000-0000D0050000}"/>
    <cellStyle name="Normal 5 2 2 3 3 2 3 2" xfId="1055" xr:uid="{00000000-0005-0000-0000-0000D1050000}"/>
    <cellStyle name="Normal 5 2 2 3 3 2 3 2 2" xfId="1056" xr:uid="{00000000-0005-0000-0000-0000D2050000}"/>
    <cellStyle name="Normal 5 2 2 3 3 2 3 2 2 2" xfId="25824" xr:uid="{54CDD460-EA0A-4C9F-A2E9-D83616F70B34}"/>
    <cellStyle name="Normal 5 2 2 3 3 2 3 2 2 3" xfId="22975" xr:uid="{4F628876-254C-42A5-A33A-0B9E9D415554}"/>
    <cellStyle name="Normal 5 2 2 3 3 2 3 2 3" xfId="1057" xr:uid="{00000000-0005-0000-0000-0000D3050000}"/>
    <cellStyle name="Normal 5 2 2 3 3 2 3 2 3 2" xfId="1994" xr:uid="{00000000-0005-0000-0000-0000D4050000}"/>
    <cellStyle name="Normal 5 2 2 3 3 2 3 2 3 3" xfId="3718" xr:uid="{00000000-0005-0000-0000-000040050000}"/>
    <cellStyle name="Normal 5 2 2 3 3 2 3 2 3 3 2" xfId="4692" xr:uid="{51905AF2-C163-47F0-8B1F-2980361FD244}"/>
    <cellStyle name="Normal 5 2 2 3 3 2 3 2 3 3 3" xfId="30243" xr:uid="{CA1835E3-D7CA-494D-AA80-1B1149D5AFB8}"/>
    <cellStyle name="Normal 5 2 2 3 3 2 3 2 3 3 3 2" xfId="31386" xr:uid="{887E578E-D69D-402D-8C71-0EB314923E1C}"/>
    <cellStyle name="Normal 5 2 2 3 3 2 3 2 3 3 4" xfId="31583" xr:uid="{92D8B8E4-BB12-424E-9790-D21F8131DC73}"/>
    <cellStyle name="Normal 5 2 2 3 3 2 3 2 4" xfId="25788" xr:uid="{1D08EFFC-DA7F-41BE-978E-EC07123E36B4}"/>
    <cellStyle name="Normal 5 2 2 3 3 2 3 3" xfId="1058" xr:uid="{00000000-0005-0000-0000-0000D5050000}"/>
    <cellStyle name="Normal 5 2 2 3 3 2 3 4" xfId="2949" xr:uid="{00000000-0005-0000-0000-0000D2060000}"/>
    <cellStyle name="Normal 5 2 2 3 3 2 3 4 2" xfId="31297" xr:uid="{78CA0B19-A34B-4E31-AA24-2A14D9E7C4D2}"/>
    <cellStyle name="Normal 5 2 2 3 3 2 3 5" xfId="2102" xr:uid="{00000000-0005-0000-0000-000062020000}"/>
    <cellStyle name="Normal 5 2 2 3 3 2 3 5 2" xfId="4646" xr:uid="{DCF2241D-14ED-485A-9D65-B2AB943923E7}"/>
    <cellStyle name="Normal 5 2 2 3 3 2 3 5 3" xfId="30183" xr:uid="{A412684C-6109-4521-B609-EE02EEB536F2}"/>
    <cellStyle name="Normal 5 2 2 3 3 2 3 5 3 2" xfId="31327" xr:uid="{B0044842-2681-4637-80B7-F8CD98CD6A4C}"/>
    <cellStyle name="Normal 5 2 2 3 3 2 3 5 4" xfId="31523" xr:uid="{F88276D7-3241-416D-82B9-264DD5195C56}"/>
    <cellStyle name="Normal 5 2 2 3 3 2 3 6" xfId="4001" xr:uid="{F1B4F0B9-FD33-4680-A501-B9D0765C51F9}"/>
    <cellStyle name="Normal 5 2 2 3 3 2 3 6 2" xfId="4696" xr:uid="{87C651C8-4B39-4467-81FB-F4E1577DF4A5}"/>
    <cellStyle name="Normal 5 2 2 3 3 2 3 6 3" xfId="30304" xr:uid="{20D658DA-AA9C-4B8A-88DB-4A53FA3E1566}"/>
    <cellStyle name="Normal 5 2 2 3 3 2 3 6 3 2" xfId="31447" xr:uid="{8335C654-6A5B-43B0-9BF5-99B5E4D6EAF0}"/>
    <cellStyle name="Normal 5 2 2 3 3 2 3 6 4" xfId="31644" xr:uid="{648E6EA8-0CB8-4625-96BD-1713085C6150}"/>
    <cellStyle name="Normal 5 2 2 3 3 2 3 7" xfId="30125" xr:uid="{DAC80EA3-45F7-49F1-A349-239CC3856162}"/>
    <cellStyle name="Normal 5 2 2 3 3 2 3 7 2" xfId="30487" xr:uid="{207BB286-D44A-4530-97B5-78C32E75393D}"/>
    <cellStyle name="Normal 5 2 2 3 3 2 4" xfId="1059" xr:uid="{00000000-0005-0000-0000-0000D6050000}"/>
    <cellStyle name="Normal 5 2 2 3 3 2 4 2" xfId="2948" xr:uid="{00000000-0005-0000-0000-0000D3060000}"/>
    <cellStyle name="Normal 5 2 2 3 3 2 4 3" xfId="25593" xr:uid="{5B9280FC-9264-4B15-A200-680DEEC4D82C}"/>
    <cellStyle name="Normal 5 2 2 3 3 2 4 3 2" xfId="29625" xr:uid="{10ECCC93-74F9-4A09-802F-48DA5B303C31}"/>
    <cellStyle name="Normal 5 2 2 3 3 2 4 3 3" xfId="29601" xr:uid="{C8E61550-9BF6-4809-AD63-521FABB334AF}"/>
    <cellStyle name="Normal 5 2 2 3 3 2 4 3 3 2" xfId="29645" xr:uid="{CBBE4A4C-8051-48A5-A221-A862F98BE9FB}"/>
    <cellStyle name="Normal 5 2 2 3 3 2 4 3 3 3" xfId="30387" xr:uid="{869F3D5D-AE97-4CC5-B41A-A19DC4D969BE}"/>
    <cellStyle name="Normal 5 2 2 3 3 2 4 3 3 4" xfId="30374" xr:uid="{5CC7FCC2-30E8-4DE4-8C04-E4F3FF779ED6}"/>
    <cellStyle name="Normal 5 2 2 3 3 2 4 3 3 4 2" xfId="31713" xr:uid="{97349D98-A108-4282-8CFA-A793557F04C8}"/>
    <cellStyle name="Normal 5 2 2 3 3 2 4 3 4" xfId="30357" xr:uid="{1C60EA9A-684E-4679-89C8-749CEAB253C5}"/>
    <cellStyle name="Normal 5 2 2 3 3 2 4 3 4 2" xfId="31699" xr:uid="{AD204089-4C71-4050-991D-38E2B324F7EB}"/>
    <cellStyle name="Normal 5 2 2 3 3 2 5" xfId="2101" xr:uid="{00000000-0005-0000-0000-000060020000}"/>
    <cellStyle name="Normal 5 2 2 3 3 2 5 2" xfId="4665" xr:uid="{456E6ACB-B92B-4E09-90D7-9887AC9A6356}"/>
    <cellStyle name="Normal 5 2 2 3 3 2 5 3" xfId="30182" xr:uid="{949196C8-26F0-48F8-A360-5C93471FB753}"/>
    <cellStyle name="Normal 5 2 2 3 3 2 5 3 2" xfId="31326" xr:uid="{1776B697-3D7A-44A6-8CF4-26DCA157D5FD}"/>
    <cellStyle name="Normal 5 2 2 3 3 2 5 4" xfId="31522" xr:uid="{BEF860A1-5D07-4575-A886-606466C1C1D9}"/>
    <cellStyle name="Normal 5 2 2 3 3 2 6" xfId="4000" xr:uid="{A738EDEF-3EA0-4135-885D-6506E619A596}"/>
    <cellStyle name="Normal 5 2 2 3 3 2 6 2" xfId="4815" xr:uid="{54779593-FE24-451B-9985-E9D706451F82}"/>
    <cellStyle name="Normal 5 2 2 3 3 2 6 3" xfId="30303" xr:uid="{6891DA91-5722-4BAC-8C6B-FDD9DC564F07}"/>
    <cellStyle name="Normal 5 2 2 3 3 2 6 3 2" xfId="31446" xr:uid="{6A366D88-F890-46E2-BB04-E1D17258EF3B}"/>
    <cellStyle name="Normal 5 2 2 3 3 2 6 4" xfId="31643" xr:uid="{06A84B95-836D-4AEB-8DAA-809DFA91FB68}"/>
    <cellStyle name="Normal 5 2 2 3 3 2 7" xfId="30124" xr:uid="{16F6B502-50DE-40DF-90B1-0876CC1A1C94}"/>
    <cellStyle name="Normal 5 2 2 3 3 2 7 2" xfId="30486" xr:uid="{32F471BB-0723-4682-B1A0-F64159294218}"/>
    <cellStyle name="Normal 5 2 2 3 3 3" xfId="1060" xr:uid="{00000000-0005-0000-0000-0000D7050000}"/>
    <cellStyle name="Normal 5 2 2 3 3 4" xfId="1061" xr:uid="{00000000-0005-0000-0000-0000D8050000}"/>
    <cellStyle name="Normal 5 2 2 3 3 4 2" xfId="1062" xr:uid="{00000000-0005-0000-0000-0000D9050000}"/>
    <cellStyle name="Normal 5 2 2 3 3 4 2 2" xfId="1063" xr:uid="{00000000-0005-0000-0000-0000DA050000}"/>
    <cellStyle name="Normal 5 2 2 3 3 4 2 2 2" xfId="1064" xr:uid="{00000000-0005-0000-0000-0000DB050000}"/>
    <cellStyle name="Normal 5 2 2 3 3 4 2 2 2 2" xfId="1995" xr:uid="{00000000-0005-0000-0000-0000DC050000}"/>
    <cellStyle name="Normal 5 2 2 3 3 4 2 2 2 2 2" xfId="30091" xr:uid="{2B878A51-CD5F-4DE5-B930-3F48D284360B}"/>
    <cellStyle name="Normal 5 2 2 3 3 4 2 2 2 3" xfId="3719" xr:uid="{00000000-0005-0000-0000-000047050000}"/>
    <cellStyle name="Normal 5 2 2 3 3 4 2 2 2 3 2" xfId="4816" xr:uid="{A9DAC7E2-553D-4565-B80F-940B97A51BE8}"/>
    <cellStyle name="Normal 5 2 2 3 3 4 2 2 2 3 3" xfId="30244" xr:uid="{BA581B0B-DADD-427E-9227-F1A4995BB8C9}"/>
    <cellStyle name="Normal 5 2 2 3 3 4 2 2 2 3 3 2" xfId="31387" xr:uid="{D3E5510B-31A3-4A73-B547-9B3F2D2B326B}"/>
    <cellStyle name="Normal 5 2 2 3 3 4 2 2 2 3 4" xfId="31584" xr:uid="{21BABE29-A0ED-45DF-9708-DEE6E0C6E1A6}"/>
    <cellStyle name="Normal 5 2 2 3 3 4 2 2 2 4" xfId="25783" xr:uid="{36E75808-49D3-4D14-9DA6-61DB80D655FD}"/>
    <cellStyle name="Normal 5 2 2 3 3 4 2 2 3" xfId="1996" xr:uid="{00000000-0005-0000-0000-0000DD050000}"/>
    <cellStyle name="Normal 5 2 2 3 3 4 2 2 4" xfId="23414" xr:uid="{BA854DC5-60A5-4E12-82F7-BBD7FC263D3A}"/>
    <cellStyle name="Normal 5 2 2 3 3 4 2 3" xfId="1065" xr:uid="{00000000-0005-0000-0000-0000DE050000}"/>
    <cellStyle name="Normal 5 2 2 3 3 4 2 3 2" xfId="1066" xr:uid="{00000000-0005-0000-0000-0000DF050000}"/>
    <cellStyle name="Normal 5 2 2 3 3 4 2 3 2 2" xfId="25815" xr:uid="{0AE676AB-4C86-4CA3-9C45-55D8413D79AD}"/>
    <cellStyle name="Normal 5 2 2 3 3 4 2 3 2 3" xfId="23197" xr:uid="{A05CFCBC-1C32-439E-B3B0-8BBB5EA27847}"/>
    <cellStyle name="Normal 5 2 2 3 3 4 2 3 3" xfId="1067" xr:uid="{00000000-0005-0000-0000-0000E0050000}"/>
    <cellStyle name="Normal 5 2 2 3 3 4 2 3 3 2" xfId="24262" xr:uid="{4E635149-A9CA-4E61-A008-49F6F6E6E5A8}"/>
    <cellStyle name="Normal 5 2 2 3 3 4 2 3 3 3" xfId="24683" xr:uid="{F7A47AF9-6E5B-4813-8096-B603E3BB974D}"/>
    <cellStyle name="Normal 5 2 2 3 3 4 2 3 4" xfId="2104" xr:uid="{00000000-0005-0000-0000-000068020000}"/>
    <cellStyle name="Normal 5 2 2 3 3 4 2 3 4 2" xfId="4709" xr:uid="{B07E0505-B8A6-484D-AAA8-0C41974ED4F4}"/>
    <cellStyle name="Normal 5 2 2 3 3 4 2 3 4 3" xfId="30185" xr:uid="{9A0870E9-F2F2-44FB-8B46-C48A4968FEEF}"/>
    <cellStyle name="Normal 5 2 2 3 3 4 2 3 4 3 2" xfId="31329" xr:uid="{CF04E88C-F7B3-4D7A-9717-FD9ACBD6475E}"/>
    <cellStyle name="Normal 5 2 2 3 3 4 2 3 4 4" xfId="31525" xr:uid="{A111558E-E85F-4251-9D3B-B86A6E2852FF}"/>
    <cellStyle name="Normal 5 2 2 3 3 4 2 3 5" xfId="25793" xr:uid="{BE81E2B3-54B5-44DA-A7B7-DF27FBF44B0E}"/>
    <cellStyle name="Normal 5 2 2 3 3 4 2 3 6" xfId="30537" xr:uid="{6AF04956-A4AA-40F2-9013-C6A327256590}"/>
    <cellStyle name="Normal 5 2 2 3 3 4 2 4" xfId="24195" xr:uid="{8D3CA287-FEA1-4E49-ADF5-2EF14E33D055}"/>
    <cellStyle name="Normal 5 2 2 3 3 4 3" xfId="1068" xr:uid="{00000000-0005-0000-0000-0000E1050000}"/>
    <cellStyle name="Normal 5 2 2 3 3 4 4" xfId="2950" xr:uid="{00000000-0005-0000-0000-0000DB060000}"/>
    <cellStyle name="Normal 5 2 2 3 3 4 4 2" xfId="31291" xr:uid="{DEB5B321-0F2A-4419-A5CA-930B6F07E2F7}"/>
    <cellStyle name="Normal 5 2 2 3 3 4 5" xfId="2103" xr:uid="{00000000-0005-0000-0000-000065020000}"/>
    <cellStyle name="Normal 5 2 2 3 3 4 5 2" xfId="3791" xr:uid="{BC5A38D1-BFF3-476A-8A69-EA1EE0617EC6}"/>
    <cellStyle name="Normal 5 2 2 3 3 4 5 3" xfId="30184" xr:uid="{5C24DA68-97CD-49FE-802F-E259FD9B70A3}"/>
    <cellStyle name="Normal 5 2 2 3 3 4 5 3 2" xfId="31328" xr:uid="{79426398-3EAD-4E7A-9356-7A768B6FCB74}"/>
    <cellStyle name="Normal 5 2 2 3 3 4 5 4" xfId="31524" xr:uid="{3AC3627F-72DF-4B18-B008-B92A5C21CB5D}"/>
    <cellStyle name="Normal 5 2 2 3 3 4 6" xfId="4002" xr:uid="{D8FD9E04-9092-4C4B-A910-C73C5CD42691}"/>
    <cellStyle name="Normal 5 2 2 3 3 4 6 2" xfId="4695" xr:uid="{E279391E-A262-4102-8448-E71B06C35C79}"/>
    <cellStyle name="Normal 5 2 2 3 3 4 6 3" xfId="30305" xr:uid="{A30F632E-33C2-4D26-936D-ECDA03E22F6E}"/>
    <cellStyle name="Normal 5 2 2 3 3 4 6 3 2" xfId="31448" xr:uid="{164E3A5C-7416-44FC-8177-DC798DF6E6A0}"/>
    <cellStyle name="Normal 5 2 2 3 3 4 6 4" xfId="31645" xr:uid="{B9006B00-B933-4FB1-A35A-D7221D1C0512}"/>
    <cellStyle name="Normal 5 2 2 3 3 4 7" xfId="30126" xr:uid="{703E38E7-8BA4-47CE-A103-8E02D7643E7A}"/>
    <cellStyle name="Normal 5 2 2 3 3 4 7 2" xfId="30488" xr:uid="{2C6C969A-844E-4616-8573-0FAFBA4D69CF}"/>
    <cellStyle name="Normal 5 2 2 3 3 5" xfId="1069" xr:uid="{00000000-0005-0000-0000-0000E2050000}"/>
    <cellStyle name="Normal 5 2 2 3 3 5 2" xfId="1070" xr:uid="{00000000-0005-0000-0000-0000E3050000}"/>
    <cellStyle name="Normal 5 2 2 3 3 5 3" xfId="3720" xr:uid="{00000000-0005-0000-0000-00004E050000}"/>
    <cellStyle name="Normal 5 2 2 3 3 5 3 2" xfId="4795" xr:uid="{DF0BC7BF-5428-4780-84E3-7F8E288418C8}"/>
    <cellStyle name="Normal 5 2 2 3 3 5 3 2 2" xfId="27327" xr:uid="{F12C00FE-6AFB-4D00-84B2-71822DC2DF6A}"/>
    <cellStyle name="Normal 5 2 2 3 3 5 3 3" xfId="22849" xr:uid="{659AE614-353A-4FE0-9C98-E3D2FE7BC367}"/>
    <cellStyle name="Normal 5 2 2 3 3 5 3 4" xfId="30245" xr:uid="{10F24001-7CC0-44EC-B648-411E63A266B9}"/>
    <cellStyle name="Normal 5 2 2 3 3 5 3 4 2" xfId="31388" xr:uid="{B9C0C66D-8676-4A44-BA99-B9C8122368E0}"/>
    <cellStyle name="Normal 5 2 2 3 3 5 3 5" xfId="31585" xr:uid="{747A6EBE-5AA8-4D25-B6CA-2B8E86458B98}"/>
    <cellStyle name="Normal 5 2 2 3 3 5 4" xfId="25353" xr:uid="{8D8B4136-989F-4529-ABF1-5DCEC950D05B}"/>
    <cellStyle name="Normal 5 2 2 3 4" xfId="1071" xr:uid="{00000000-0005-0000-0000-0000E4050000}"/>
    <cellStyle name="Normal 5 2 2 3 4 2" xfId="1072" xr:uid="{00000000-0005-0000-0000-0000E5050000}"/>
    <cellStyle name="Normal 5 2 2 3 4 3" xfId="1073" xr:uid="{00000000-0005-0000-0000-0000E6050000}"/>
    <cellStyle name="Normal 5 2 2 3 4 3 2" xfId="1074" xr:uid="{00000000-0005-0000-0000-0000E7050000}"/>
    <cellStyle name="Normal 5 2 2 3 4 3 2 2" xfId="1075" xr:uid="{00000000-0005-0000-0000-0000E8050000}"/>
    <cellStyle name="Normal 5 2 2 3 4 3 2 2 2" xfId="24422" xr:uid="{B47C1D1D-4990-4E6D-8D87-F2D0EA821190}"/>
    <cellStyle name="Normal 5 2 2 3 4 3 2 2 3" xfId="25685" xr:uid="{C0596603-1DB0-4B26-9F87-3B5181B6B939}"/>
    <cellStyle name="Normal 5 2 2 3 4 3 2 3" xfId="1076" xr:uid="{00000000-0005-0000-0000-0000E9050000}"/>
    <cellStyle name="Normal 5 2 2 3 4 3 2 3 2" xfId="1997" xr:uid="{00000000-0005-0000-0000-0000EA050000}"/>
    <cellStyle name="Normal 5 2 2 3 4 3 2 3 3" xfId="3721" xr:uid="{00000000-0005-0000-0000-000055050000}"/>
    <cellStyle name="Normal 5 2 2 3 4 3 2 3 3 2" xfId="4779" xr:uid="{2AAB0A08-DE9A-4C96-9B2A-1DB1A63BD9DB}"/>
    <cellStyle name="Normal 5 2 2 3 4 3 2 3 3 3" xfId="30246" xr:uid="{0B60F80B-7368-4D89-BA1E-AC6E4192ADD4}"/>
    <cellStyle name="Normal 5 2 2 3 4 3 2 3 3 3 2" xfId="31389" xr:uid="{6980F92F-2E8D-4F9E-B82F-A0952100F3DD}"/>
    <cellStyle name="Normal 5 2 2 3 4 3 2 3 3 4" xfId="31586" xr:uid="{7B6E9149-EDD8-47F2-8D5F-A2FC9635B763}"/>
    <cellStyle name="Normal 5 2 2 3 4 3 2 4" xfId="25686" xr:uid="{D36B2ED3-0F57-4BA2-8ECD-62BF05B0572F}"/>
    <cellStyle name="Normal 5 2 2 3 4 3 3" xfId="1077" xr:uid="{00000000-0005-0000-0000-0000EB050000}"/>
    <cellStyle name="Normal 5 2 2 3 4 3 4" xfId="2951" xr:uid="{00000000-0005-0000-0000-0000E1060000}"/>
    <cellStyle name="Normal 5 2 2 3 4 3 4 2" xfId="31275" xr:uid="{48413553-C1B7-4B8D-A3C6-C8BF89975138}"/>
    <cellStyle name="Normal 5 2 2 3 4 3 5" xfId="2106" xr:uid="{00000000-0005-0000-0000-00006C020000}"/>
    <cellStyle name="Normal 5 2 2 3 4 3 5 2" xfId="4053" xr:uid="{49B8B7A8-4856-40A4-A58F-9BFE37881BD3}"/>
    <cellStyle name="Normal 5 2 2 3 4 3 5 3" xfId="30187" xr:uid="{A70DBE0C-D5CA-4EAB-A3CA-07F95394E9AE}"/>
    <cellStyle name="Normal 5 2 2 3 4 3 5 3 2" xfId="31331" xr:uid="{490372D4-432A-4B6E-B243-E866D76B8184}"/>
    <cellStyle name="Normal 5 2 2 3 4 3 5 4" xfId="31527" xr:uid="{90AC1405-FE79-424A-BC37-FF05E9503406}"/>
    <cellStyle name="Normal 5 2 2 3 4 3 6" xfId="4004" xr:uid="{2E9BA179-24FF-4822-9D6C-F2734EFD2CB0}"/>
    <cellStyle name="Normal 5 2 2 3 4 3 6 2" xfId="4805" xr:uid="{2387F2B7-3B47-4789-BF4E-B979001A8FAA}"/>
    <cellStyle name="Normal 5 2 2 3 4 3 6 3" xfId="30307" xr:uid="{5726D493-8CED-4265-A434-DFD8EB311CD3}"/>
    <cellStyle name="Normal 5 2 2 3 4 3 6 3 2" xfId="31450" xr:uid="{FB181689-6E48-4E44-96B3-385555CE579C}"/>
    <cellStyle name="Normal 5 2 2 3 4 3 6 4" xfId="31647" xr:uid="{0067E494-22D7-4B3A-984D-B426336F4E2D}"/>
    <cellStyle name="Normal 5 2 2 3 4 3 7" xfId="30128" xr:uid="{902DB47F-C143-433C-8E02-ECCFBB8FA346}"/>
    <cellStyle name="Normal 5 2 2 3 4 3 7 2" xfId="30490" xr:uid="{56017849-602A-438E-96E0-4DE9B6F02764}"/>
    <cellStyle name="Normal 5 2 2 3 4 4" xfId="1078" xr:uid="{00000000-0005-0000-0000-0000EC050000}"/>
    <cellStyle name="Normal 5 2 2 3 4 4 2" xfId="1998" xr:uid="{00000000-0005-0000-0000-0000ED050000}"/>
    <cellStyle name="Normal 5 2 2 3 4 4 3" xfId="3722" xr:uid="{00000000-0005-0000-0000-000058050000}"/>
    <cellStyle name="Normal 5 2 2 3 4 4 3 2" xfId="4707" xr:uid="{FB999CD8-02A8-4F7C-89CE-DB6631DE48C4}"/>
    <cellStyle name="Normal 5 2 2 3 4 4 3 3" xfId="30247" xr:uid="{EE5ADEA2-84D4-4505-87AE-A6C270C3F801}"/>
    <cellStyle name="Normal 5 2 2 3 4 4 3 3 2" xfId="31390" xr:uid="{DE289E50-B422-42E4-BB23-771C03B0FE6E}"/>
    <cellStyle name="Normal 5 2 2 3 4 4 3 4" xfId="31587" xr:uid="{8C678CD5-606D-4C9C-A7A2-159D864DB7F7}"/>
    <cellStyle name="Normal 5 2 2 3 4 5" xfId="2105" xr:uid="{00000000-0005-0000-0000-00006A020000}"/>
    <cellStyle name="Normal 5 2 2 3 4 5 2" xfId="4659" xr:uid="{67E9FDA9-5A2B-445D-B40D-93E8A98A8238}"/>
    <cellStyle name="Normal 5 2 2 3 4 5 3" xfId="30186" xr:uid="{4CB0E304-139B-42D7-9A87-E169EFE7D601}"/>
    <cellStyle name="Normal 5 2 2 3 4 5 3 2" xfId="31330" xr:uid="{0F5135EB-14E6-42DE-B2B0-75C666FB0A17}"/>
    <cellStyle name="Normal 5 2 2 3 4 5 4" xfId="31526" xr:uid="{E4FC8698-639F-4C7B-A547-7219F1D50986}"/>
    <cellStyle name="Normal 5 2 2 3 4 6" xfId="4003" xr:uid="{483D2F10-7048-47B5-8EC8-C27C7ED5C5D2}"/>
    <cellStyle name="Normal 5 2 2 3 4 6 2" xfId="4722" xr:uid="{9099B238-0B4B-4E4D-B266-C731E14F65F2}"/>
    <cellStyle name="Normal 5 2 2 3 4 6 3" xfId="30306" xr:uid="{CE79C3A2-8FAA-47C3-A986-94ABFF393284}"/>
    <cellStyle name="Normal 5 2 2 3 4 6 3 2" xfId="31449" xr:uid="{6D797409-02BE-47A8-973D-58729081A7B3}"/>
    <cellStyle name="Normal 5 2 2 3 4 6 4" xfId="31646" xr:uid="{F8C769A2-8633-48D8-9C86-DFE6F04F67C4}"/>
    <cellStyle name="Normal 5 2 2 3 4 7" xfId="30127" xr:uid="{920D9317-59AD-4444-9F3B-B0AB3DA1419C}"/>
    <cellStyle name="Normal 5 2 2 3 4 7 2" xfId="30489" xr:uid="{2D2D5388-0491-48DD-9BA0-7F231209010E}"/>
    <cellStyle name="Normal 5 2 2 3 5" xfId="2067" xr:uid="{00000000-0005-0000-0000-00005D020000}"/>
    <cellStyle name="Normal 5 2 2 3 5 2" xfId="4745" xr:uid="{D9BCE5B0-F41F-41F6-A6AC-41E5B78235A9}"/>
    <cellStyle name="Normal 5 2 2 3 5 3" xfId="30167" xr:uid="{F6DDC9EB-CD6C-4D04-8F67-4FD996169366}"/>
    <cellStyle name="Normal 5 2 2 3 5 3 2" xfId="30491" xr:uid="{063E2B6E-8838-4EF2-91BA-1A4AB6C209F2}"/>
    <cellStyle name="Normal 5 2 2 3 5 4" xfId="31507" xr:uid="{4C9C7E84-AA75-41E2-BFB1-21A740FAD8B6}"/>
    <cellStyle name="Normal 5 2 2 3 6" xfId="30104" xr:uid="{93BD7124-346B-4FA7-9E75-822A18739E86}"/>
    <cellStyle name="Normal 5 2 2 3 6 2" xfId="30472" xr:uid="{B7FC6D84-3823-4E1F-9CD2-CD3763CCF30A}"/>
    <cellStyle name="Normal 5 2 2 4" xfId="1079" xr:uid="{00000000-0005-0000-0000-0000EE050000}"/>
    <cellStyle name="Normal 5 2 2 4 2" xfId="1080" xr:uid="{00000000-0005-0000-0000-0000EF050000}"/>
    <cellStyle name="Normal 5 2 2 4 3" xfId="1081" xr:uid="{00000000-0005-0000-0000-0000F0050000}"/>
    <cellStyle name="Normal 5 2 2 4 3 2" xfId="1082" xr:uid="{00000000-0005-0000-0000-0000F1050000}"/>
    <cellStyle name="Normal 5 2 2 4 3 2 2" xfId="1083" xr:uid="{00000000-0005-0000-0000-0000F2050000}"/>
    <cellStyle name="Normal 5 2 2 4 3 2 2 2" xfId="23666" xr:uid="{B7ABCA13-C252-49DE-8A75-C393116E6978}"/>
    <cellStyle name="Normal 5 2 2 4 3 2 2 3" xfId="25772" xr:uid="{D99DDDD1-ADF3-4C2F-9B0B-0766981E1FE4}"/>
    <cellStyle name="Normal 5 2 2 4 3 2 3" xfId="1084" xr:uid="{00000000-0005-0000-0000-0000F3050000}"/>
    <cellStyle name="Normal 5 2 2 4 3 2 3 2" xfId="1999" xr:uid="{00000000-0005-0000-0000-0000F4050000}"/>
    <cellStyle name="Normal 5 2 2 4 3 2 3 3" xfId="3723" xr:uid="{00000000-0005-0000-0000-00005F050000}"/>
    <cellStyle name="Normal 5 2 2 4 3 2 3 3 2" xfId="4737" xr:uid="{E49EB17C-CF0A-4F32-A8B8-D0C3423F7ADE}"/>
    <cellStyle name="Normal 5 2 2 4 3 2 3 3 3" xfId="30248" xr:uid="{A9BCBA25-83A3-4A30-9CD3-15C108FB8C79}"/>
    <cellStyle name="Normal 5 2 2 4 3 2 3 3 3 2" xfId="31391" xr:uid="{05EB7F35-34C6-4A04-A0F4-C81EF4E61930}"/>
    <cellStyle name="Normal 5 2 2 4 3 2 3 3 4" xfId="31588" xr:uid="{75B07DF1-2E2E-4D26-A331-293EB1A84567}"/>
    <cellStyle name="Normal 5 2 2 4 3 2 4" xfId="24571" xr:uid="{CA10D6C3-1290-4ABF-AABF-26E17988ED1A}"/>
    <cellStyle name="Normal 5 2 2 4 3 3" xfId="1085" xr:uid="{00000000-0005-0000-0000-0000F5050000}"/>
    <cellStyle name="Normal 5 2 2 4 3 4" xfId="2952" xr:uid="{00000000-0005-0000-0000-0000E8060000}"/>
    <cellStyle name="Normal 5 2 2 4 3 4 2" xfId="31278" xr:uid="{5827531A-151D-490E-B9CC-5F64E61F31DF}"/>
    <cellStyle name="Normal 5 2 2 4 3 5" xfId="2108" xr:uid="{00000000-0005-0000-0000-000070020000}"/>
    <cellStyle name="Normal 5 2 2 4 3 5 2" xfId="4630" xr:uid="{CB491582-F2CB-4E36-BE6E-EFC681D7156D}"/>
    <cellStyle name="Normal 5 2 2 4 3 5 3" xfId="30189" xr:uid="{3AAE0EAE-E8B5-495C-B313-D9EF9D9CAB64}"/>
    <cellStyle name="Normal 5 2 2 4 3 5 3 2" xfId="31333" xr:uid="{0267AC5B-64C6-4486-ADCE-246F465FDD47}"/>
    <cellStyle name="Normal 5 2 2 4 3 5 4" xfId="31529" xr:uid="{9CB041FA-68C5-4343-A51A-DA27C8958F9D}"/>
    <cellStyle name="Normal 5 2 2 4 3 6" xfId="4006" xr:uid="{D558FD0F-23C1-46DD-B9F0-9F8795729785}"/>
    <cellStyle name="Normal 5 2 2 4 3 6 2" xfId="4714" xr:uid="{B120F520-B966-4AD5-8EBE-409F270073F9}"/>
    <cellStyle name="Normal 5 2 2 4 3 6 3" xfId="30309" xr:uid="{699D5CA2-FACA-4377-99AD-77942E973491}"/>
    <cellStyle name="Normal 5 2 2 4 3 6 3 2" xfId="31452" xr:uid="{5F533371-818D-4244-ABD4-7A17DD389363}"/>
    <cellStyle name="Normal 5 2 2 4 3 6 4" xfId="31649" xr:uid="{EB53F69C-BF68-4DCA-85B3-F9FB5F32E27C}"/>
    <cellStyle name="Normal 5 2 2 4 3 7" xfId="30130" xr:uid="{BDE27110-9B13-48B7-8653-B497F720F538}"/>
    <cellStyle name="Normal 5 2 2 4 3 7 2" xfId="30493" xr:uid="{FD9D9EF5-F197-45A3-BC3A-5650DE888412}"/>
    <cellStyle name="Normal 5 2 2 4 4" xfId="1086" xr:uid="{00000000-0005-0000-0000-0000F6050000}"/>
    <cellStyle name="Normal 5 2 2 4 4 2" xfId="1087" xr:uid="{00000000-0005-0000-0000-0000F7050000}"/>
    <cellStyle name="Normal 5 2 2 4 4 3" xfId="3724" xr:uid="{00000000-0005-0000-0000-000062050000}"/>
    <cellStyle name="Normal 5 2 2 4 4 3 2" xfId="4742" xr:uid="{85B5A93A-A824-41A3-9870-5FB5020B28AB}"/>
    <cellStyle name="Normal 5 2 2 4 4 3 3" xfId="30249" xr:uid="{33C48EDD-9586-4230-8BA4-66265587F273}"/>
    <cellStyle name="Normal 5 2 2 4 4 3 3 2" xfId="31392" xr:uid="{922174FC-994D-4960-94F6-152FE500B889}"/>
    <cellStyle name="Normal 5 2 2 4 4 3 4" xfId="31589" xr:uid="{E291B842-5ED4-4126-8BEA-A2175FDD78C9}"/>
    <cellStyle name="Normal 5 2 2 4 5" xfId="2107" xr:uid="{00000000-0005-0000-0000-00006E020000}"/>
    <cellStyle name="Normal 5 2 2 4 5 2" xfId="4679" xr:uid="{1C1F360D-C6E5-496D-8E0B-7C61EF688A4B}"/>
    <cellStyle name="Normal 5 2 2 4 5 3" xfId="30188" xr:uid="{2FA02E78-E05B-4D87-8A46-DB8A8ADCC86C}"/>
    <cellStyle name="Normal 5 2 2 4 5 3 2" xfId="31332" xr:uid="{FBB927C5-8BB1-4180-BA69-EEF312036142}"/>
    <cellStyle name="Normal 5 2 2 4 5 4" xfId="31528" xr:uid="{8FFD126D-2DEA-4100-A5CD-7641C553E7A8}"/>
    <cellStyle name="Normal 5 2 2 4 6" xfId="4005" xr:uid="{487C8B09-2829-42FC-9B86-25DB3AB10663}"/>
    <cellStyle name="Normal 5 2 2 4 6 2" xfId="4778" xr:uid="{C7B64242-53F0-4D37-B483-14A3329CCC0F}"/>
    <cellStyle name="Normal 5 2 2 4 6 3" xfId="30308" xr:uid="{A106EA70-5CF5-4F4F-839A-1F540D6AFC82}"/>
    <cellStyle name="Normal 5 2 2 4 6 3 2" xfId="31451" xr:uid="{E6C509AA-8B5E-4123-B775-483D5B730539}"/>
    <cellStyle name="Normal 5 2 2 4 6 4" xfId="31648" xr:uid="{8920FE63-A71F-4725-A7D7-BA468668BA0F}"/>
    <cellStyle name="Normal 5 2 2 4 7" xfId="30129" xr:uid="{2236E3FF-3A86-4CD1-98F1-1886F111A065}"/>
    <cellStyle name="Normal 5 2 2 4 7 2" xfId="30492" xr:uid="{45FC10F0-4741-45B2-BDBE-913619A599F3}"/>
    <cellStyle name="Normal 5 2 2 5" xfId="29602" xr:uid="{51A7D0CB-4AEF-4815-897D-E9DF6C04761B}"/>
    <cellStyle name="Normal 5 2 2 5 2" xfId="29633" xr:uid="{4D46F027-DFAF-43F3-8432-E8ADA4FEF75B}"/>
    <cellStyle name="Normal 5 2 2 5 3" xfId="30358" xr:uid="{B88E4284-E474-4823-9891-BF93F08DC332}"/>
    <cellStyle name="Normal 5 2 2 5 3 2" xfId="30494" xr:uid="{31576F81-3AEC-4A0F-9C51-2A5DB1814C7E}"/>
    <cellStyle name="Normal 5 2 2 6" xfId="31499" xr:uid="{2BB411DD-5D15-4B7F-BAEC-F1A8EC41C4E3}"/>
    <cellStyle name="Normal 5 2 3" xfId="1088" xr:uid="{00000000-0005-0000-0000-0000F8050000}"/>
    <cellStyle name="Normal 5 2 3 2" xfId="1089" xr:uid="{00000000-0005-0000-0000-0000F9050000}"/>
    <cellStyle name="Normal 5 2 3 3" xfId="1090" xr:uid="{00000000-0005-0000-0000-0000FA050000}"/>
    <cellStyle name="Normal 5 2 3 4" xfId="1091" xr:uid="{00000000-0005-0000-0000-0000FB050000}"/>
    <cellStyle name="Normal 5 2 4" xfId="1092" xr:uid="{00000000-0005-0000-0000-0000FC050000}"/>
    <cellStyle name="Normal 5 2 4 2" xfId="1093" xr:uid="{00000000-0005-0000-0000-0000FD050000}"/>
    <cellStyle name="Normal 5 2 4 3" xfId="1094" xr:uid="{00000000-0005-0000-0000-0000FE050000}"/>
    <cellStyle name="Normal 5 2 4 3 2" xfId="1095" xr:uid="{00000000-0005-0000-0000-0000FF050000}"/>
    <cellStyle name="Normal 5 2 4 3 2 2" xfId="1096" xr:uid="{00000000-0005-0000-0000-000000060000}"/>
    <cellStyle name="Normal 5 2 4 3 2 3" xfId="1097" xr:uid="{00000000-0005-0000-0000-000001060000}"/>
    <cellStyle name="Normal 5 2 4 3 2 3 2" xfId="1098" xr:uid="{00000000-0005-0000-0000-000002060000}"/>
    <cellStyle name="Normal 5 2 4 3 2 3 2 2" xfId="1099" xr:uid="{00000000-0005-0000-0000-000003060000}"/>
    <cellStyle name="Normal 5 2 4 3 2 3 2 2 2" xfId="24048" xr:uid="{4777385D-2B03-4739-880A-360C2F6CA172}"/>
    <cellStyle name="Normal 5 2 4 3 2 3 2 2 3" xfId="25592" xr:uid="{4194AEC9-B5D1-4293-B8C5-62D7DE423C61}"/>
    <cellStyle name="Normal 5 2 4 3 2 3 2 3" xfId="1100" xr:uid="{00000000-0005-0000-0000-000004060000}"/>
    <cellStyle name="Normal 5 2 4 3 2 3 2 3 2" xfId="2000" xr:uid="{00000000-0005-0000-0000-000005060000}"/>
    <cellStyle name="Normal 5 2 4 3 2 3 2 3 3" xfId="3725" xr:uid="{00000000-0005-0000-0000-000070050000}"/>
    <cellStyle name="Normal 5 2 4 3 2 3 2 3 3 2" xfId="4754" xr:uid="{FD3276C6-408C-4237-B809-AE73C12F6AE6}"/>
    <cellStyle name="Normal 5 2 4 3 2 3 2 3 3 3" xfId="30250" xr:uid="{8E939996-71BD-47CE-9BF4-4ED640E9C488}"/>
    <cellStyle name="Normal 5 2 4 3 2 3 2 3 3 3 2" xfId="31393" xr:uid="{E5FDB7D8-82CC-42F9-B24A-1AB0B72AE30F}"/>
    <cellStyle name="Normal 5 2 4 3 2 3 2 3 3 4" xfId="31590" xr:uid="{169BD90C-78A7-48C8-8B4D-B8A3362C27BE}"/>
    <cellStyle name="Normal 5 2 4 3 2 3 2 4" xfId="23146" xr:uid="{70717655-02F4-404C-95BB-4DB5536E3E99}"/>
    <cellStyle name="Normal 5 2 4 3 2 3 3" xfId="1101" xr:uid="{00000000-0005-0000-0000-000006060000}"/>
    <cellStyle name="Normal 5 2 4 3 2 3 4" xfId="2954" xr:uid="{00000000-0005-0000-0000-0000F4060000}"/>
    <cellStyle name="Normal 5 2 4 3 2 3 4 2" xfId="31279" xr:uid="{51508AF3-39AA-43A7-A514-BBE022261B7A}"/>
    <cellStyle name="Normal 5 2 4 3 2 3 5" xfId="2110" xr:uid="{00000000-0005-0000-0000-000079020000}"/>
    <cellStyle name="Normal 5 2 4 3 2 3 5 2" xfId="4629" xr:uid="{D9BC3CB2-5DA1-450C-BCAA-C84E226AB1E6}"/>
    <cellStyle name="Normal 5 2 4 3 2 3 5 3" xfId="30191" xr:uid="{2FCB911F-22F5-4527-8AEA-8BB8AA3518F0}"/>
    <cellStyle name="Normal 5 2 4 3 2 3 5 3 2" xfId="31335" xr:uid="{C304E2DA-C317-4027-B01C-219F31AF267C}"/>
    <cellStyle name="Normal 5 2 4 3 2 3 5 4" xfId="31531" xr:uid="{0DF2BB2A-E61A-4C92-BAFA-3A88549AEB66}"/>
    <cellStyle name="Normal 5 2 4 3 2 3 6" xfId="4008" xr:uid="{993A1062-C514-464B-A529-806C1AF30B6A}"/>
    <cellStyle name="Normal 5 2 4 3 2 3 6 2" xfId="4694" xr:uid="{C18C23D0-B407-4C1A-B972-7E83A621B743}"/>
    <cellStyle name="Normal 5 2 4 3 2 3 6 3" xfId="30311" xr:uid="{487F42B9-1B4B-44C3-988E-42342B8A86DF}"/>
    <cellStyle name="Normal 5 2 4 3 2 3 6 3 2" xfId="31454" xr:uid="{27CFB7E5-D04B-4E2D-9DC7-CDEAC6CF78C9}"/>
    <cellStyle name="Normal 5 2 4 3 2 3 6 4" xfId="31651" xr:uid="{4D303C41-AC8E-454A-A937-02A3DD263DCF}"/>
    <cellStyle name="Normal 5 2 4 3 2 3 7" xfId="30132" xr:uid="{83341974-E50B-44D0-9696-9A6A4FF79FC7}"/>
    <cellStyle name="Normal 5 2 4 3 2 3 7 2" xfId="30496" xr:uid="{62A7FCD7-3DD3-460C-A526-2E072EA83AC6}"/>
    <cellStyle name="Normal 5 2 4 3 2 4" xfId="1102" xr:uid="{00000000-0005-0000-0000-000007060000}"/>
    <cellStyle name="Normal 5 2 4 3 2 4 2" xfId="2953" xr:uid="{00000000-0005-0000-0000-0000F5060000}"/>
    <cellStyle name="Normal 5 2 4 3 2 4 3" xfId="24690" xr:uid="{973BBD0D-C702-493A-B63A-7B759697D574}"/>
    <cellStyle name="Normal 5 2 4 3 2 4 3 2" xfId="29622" xr:uid="{75BA985B-775E-4986-B0DE-8AF96A156831}"/>
    <cellStyle name="Normal 5 2 4 3 2 4 3 3" xfId="29603" xr:uid="{406D4EA0-1A70-4389-8944-9FA1A8219A8A}"/>
    <cellStyle name="Normal 5 2 4 3 2 4 3 3 2" xfId="29646" xr:uid="{923DCAA1-B380-4E41-9BA9-6417B9F666E0}"/>
    <cellStyle name="Normal 5 2 4 3 2 4 3 3 3" xfId="30388" xr:uid="{1139EB9C-6328-4471-8AA4-7F81A5EA54F4}"/>
    <cellStyle name="Normal 5 2 4 3 2 4 3 3 4" xfId="30375" xr:uid="{E276286F-A8BD-43EF-B465-B006F70E65A1}"/>
    <cellStyle name="Normal 5 2 4 3 2 4 3 3 4 2" xfId="31714" xr:uid="{71AE4F98-CC52-4A8A-914B-1B3A2FF29A1C}"/>
    <cellStyle name="Normal 5 2 4 3 2 4 3 4" xfId="30359" xr:uid="{BB7BBCD9-B969-4973-A8B6-6CB722F841E4}"/>
    <cellStyle name="Normal 5 2 4 3 2 4 3 4 2" xfId="31700" xr:uid="{F60ECDD6-7D39-47D2-80B0-FE4508F286D8}"/>
    <cellStyle name="Normal 5 2 4 3 2 5" xfId="2109" xr:uid="{00000000-0005-0000-0000-000077020000}"/>
    <cellStyle name="Normal 5 2 4 3 2 5 2" xfId="4634" xr:uid="{CE0C5B6A-2719-4A04-925F-57872C2DEC2B}"/>
    <cellStyle name="Normal 5 2 4 3 2 5 3" xfId="30190" xr:uid="{6A370297-6A41-4E24-B999-B6EBAA07B436}"/>
    <cellStyle name="Normal 5 2 4 3 2 5 3 2" xfId="31334" xr:uid="{966323EF-1FDA-4294-B815-716BB4BA52AC}"/>
    <cellStyle name="Normal 5 2 4 3 2 5 4" xfId="31530" xr:uid="{08096505-C56A-4159-AECA-7DFEAECA569B}"/>
    <cellStyle name="Normal 5 2 4 3 2 6" xfId="4007" xr:uid="{21BCC244-DE2D-4E05-B4CA-800C7ACB717D}"/>
    <cellStyle name="Normal 5 2 4 3 2 6 2" xfId="4809" xr:uid="{FE4BE598-DEBE-491E-8102-65FC12E0DC06}"/>
    <cellStyle name="Normal 5 2 4 3 2 6 3" xfId="30310" xr:uid="{F505CACC-2E7E-4908-B592-B7E4ACA029E0}"/>
    <cellStyle name="Normal 5 2 4 3 2 6 3 2" xfId="31453" xr:uid="{39A1DB0C-5820-4471-897E-0EF9158064D9}"/>
    <cellStyle name="Normal 5 2 4 3 2 6 4" xfId="31650" xr:uid="{5F240F98-984C-4E11-894B-FD68B60B2DC6}"/>
    <cellStyle name="Normal 5 2 4 3 2 7" xfId="30131" xr:uid="{C81275DE-CA30-40D7-AD33-FAB62E0FACED}"/>
    <cellStyle name="Normal 5 2 4 3 2 7 2" xfId="30495" xr:uid="{8AAC8AE9-2926-47D6-87B5-9E837B1CDB4A}"/>
    <cellStyle name="Normal 5 2 4 3 3" xfId="1103" xr:uid="{00000000-0005-0000-0000-000008060000}"/>
    <cellStyle name="Normal 5 2 4 3 4" xfId="1104" xr:uid="{00000000-0005-0000-0000-000009060000}"/>
    <cellStyle name="Normal 5 2 4 3 4 2" xfId="1105" xr:uid="{00000000-0005-0000-0000-00000A060000}"/>
    <cellStyle name="Normal 5 2 4 3 4 2 2" xfId="1106" xr:uid="{00000000-0005-0000-0000-00000B060000}"/>
    <cellStyle name="Normal 5 2 4 3 4 2 2 2" xfId="1107" xr:uid="{00000000-0005-0000-0000-00000C060000}"/>
    <cellStyle name="Normal 5 2 4 3 4 2 2 2 2" xfId="2001" xr:uid="{00000000-0005-0000-0000-00000D060000}"/>
    <cellStyle name="Normal 5 2 4 3 4 2 2 2 2 2" xfId="30092" xr:uid="{00FBE9D4-901D-40C4-AE9A-A01535727F0E}"/>
    <cellStyle name="Normal 5 2 4 3 4 2 2 2 3" xfId="3726" xr:uid="{00000000-0005-0000-0000-000077050000}"/>
    <cellStyle name="Normal 5 2 4 3 4 2 2 2 3 2" xfId="4700" xr:uid="{D86AE0E5-80AB-45CC-BB51-27009840DF19}"/>
    <cellStyle name="Normal 5 2 4 3 4 2 2 2 3 3" xfId="30251" xr:uid="{A5913D0B-F3AB-4685-B461-6789188CB0C7}"/>
    <cellStyle name="Normal 5 2 4 3 4 2 2 2 3 3 2" xfId="31394" xr:uid="{607078C3-D295-4A84-8F6C-C1F600B3DD7A}"/>
    <cellStyle name="Normal 5 2 4 3 4 2 2 2 3 4" xfId="31591" xr:uid="{A5395D31-9BC9-49DA-9AD2-437533C755D4}"/>
    <cellStyle name="Normal 5 2 4 3 4 2 2 2 4" xfId="25814" xr:uid="{68E33F85-01FB-4372-96FF-2C95551D6F42}"/>
    <cellStyle name="Normal 5 2 4 3 4 2 2 3" xfId="2002" xr:uid="{00000000-0005-0000-0000-00000E060000}"/>
    <cellStyle name="Normal 5 2 4 3 4 2 2 4" xfId="24563" xr:uid="{1ABF2154-0515-420D-BA6C-050AA83C1161}"/>
    <cellStyle name="Normal 5 2 4 3 4 2 3" xfId="1108" xr:uid="{00000000-0005-0000-0000-00000F060000}"/>
    <cellStyle name="Normal 5 2 4 3 4 2 3 2" xfId="1109" xr:uid="{00000000-0005-0000-0000-000010060000}"/>
    <cellStyle name="Normal 5 2 4 3 4 2 3 2 2" xfId="25780" xr:uid="{C55AA561-4A9A-4C64-850D-C3D11D4FEE4B}"/>
    <cellStyle name="Normal 5 2 4 3 4 2 3 2 3" xfId="24693" xr:uid="{A05F800E-9125-4B87-98E6-688A386B1177}"/>
    <cellStyle name="Normal 5 2 4 3 4 2 3 3" xfId="1110" xr:uid="{00000000-0005-0000-0000-000011060000}"/>
    <cellStyle name="Normal 5 2 4 3 4 2 3 3 2" xfId="25379" xr:uid="{F68CF08F-A168-4264-B126-2A6CE38A1A26}"/>
    <cellStyle name="Normal 5 2 4 3 4 2 3 3 3" xfId="25764" xr:uid="{FAF7D7DA-B154-4388-9D93-722B021D173F}"/>
    <cellStyle name="Normal 5 2 4 3 4 2 3 4" xfId="2112" xr:uid="{00000000-0005-0000-0000-00007F020000}"/>
    <cellStyle name="Normal 5 2 4 3 4 2 3 4 2" xfId="4772" xr:uid="{C01071CA-2E5F-4969-B1C0-9DBB04C21783}"/>
    <cellStyle name="Normal 5 2 4 3 4 2 3 4 3" xfId="30193" xr:uid="{CFC6C10D-19C1-4175-B722-F9F6FF830FDB}"/>
    <cellStyle name="Normal 5 2 4 3 4 2 3 4 3 2" xfId="31337" xr:uid="{DE48491A-8E71-4D53-BF3A-74F36656ED66}"/>
    <cellStyle name="Normal 5 2 4 3 4 2 3 4 4" xfId="31533" xr:uid="{28552DF3-DBCC-498D-A367-6FA965B21C26}"/>
    <cellStyle name="Normal 5 2 4 3 4 2 3 5" xfId="25282" xr:uid="{C7B4FAF3-1BA0-45BB-BA6F-44260C736B84}"/>
    <cellStyle name="Normal 5 2 4 3 4 2 3 6" xfId="30538" xr:uid="{63E07DC7-F18F-4505-A38A-112CFA74FEBB}"/>
    <cellStyle name="Normal 5 2 4 3 4 2 4" xfId="23058" xr:uid="{C7716834-6B7F-4C7C-AB0F-D110ACFBAC7A}"/>
    <cellStyle name="Normal 5 2 4 3 4 3" xfId="1111" xr:uid="{00000000-0005-0000-0000-000012060000}"/>
    <cellStyle name="Normal 5 2 4 3 4 4" xfId="2955" xr:uid="{00000000-0005-0000-0000-0000FD060000}"/>
    <cellStyle name="Normal 5 2 4 3 4 4 2" xfId="31284" xr:uid="{853362D5-299F-4808-978A-B0AF91C9FCCD}"/>
    <cellStyle name="Normal 5 2 4 3 4 5" xfId="2111" xr:uid="{00000000-0005-0000-0000-00007C020000}"/>
    <cellStyle name="Normal 5 2 4 3 4 5 2" xfId="4640" xr:uid="{9499810A-4B41-448D-89FA-46D00AE72935}"/>
    <cellStyle name="Normal 5 2 4 3 4 5 3" xfId="30192" xr:uid="{13D06800-6809-4CE8-A6F4-CD71FDE8EAC6}"/>
    <cellStyle name="Normal 5 2 4 3 4 5 3 2" xfId="31336" xr:uid="{F5FBEC01-0219-4E30-92D7-6771A93AA2AE}"/>
    <cellStyle name="Normal 5 2 4 3 4 5 4" xfId="31532" xr:uid="{FACAD6D8-BE20-4E78-A39A-9835E1A36A9E}"/>
    <cellStyle name="Normal 5 2 4 3 4 6" xfId="4009" xr:uid="{F6561F36-B5FA-449D-8623-6523BDF6513B}"/>
    <cellStyle name="Normal 5 2 4 3 4 6 2" xfId="4822" xr:uid="{2C1739FD-A387-4815-9D44-5238B913A269}"/>
    <cellStyle name="Normal 5 2 4 3 4 6 3" xfId="30312" xr:uid="{E1453DD1-D0D4-41B1-96A4-D543CB7B3645}"/>
    <cellStyle name="Normal 5 2 4 3 4 6 3 2" xfId="31455" xr:uid="{58F3D4EC-46BD-4B36-8C1D-A3BFAD097151}"/>
    <cellStyle name="Normal 5 2 4 3 4 6 4" xfId="31652" xr:uid="{740B3970-8CB7-4886-90DB-201FFA1F7212}"/>
    <cellStyle name="Normal 5 2 4 3 4 7" xfId="30133" xr:uid="{0FF9C2E0-D12A-4ABC-95BB-3755B3F83C84}"/>
    <cellStyle name="Normal 5 2 4 3 4 7 2" xfId="30497" xr:uid="{FC91A448-0B30-4A6D-BA82-B1E29BB27650}"/>
    <cellStyle name="Normal 5 2 4 3 5" xfId="1112" xr:uid="{00000000-0005-0000-0000-000013060000}"/>
    <cellStyle name="Normal 5 2 4 3 5 2" xfId="1113" xr:uid="{00000000-0005-0000-0000-000014060000}"/>
    <cellStyle name="Normal 5 2 4 3 5 3" xfId="3727" xr:uid="{00000000-0005-0000-0000-00007E050000}"/>
    <cellStyle name="Normal 5 2 4 3 5 3 2" xfId="4770" xr:uid="{CC143ED1-937D-4F73-A068-C4CF9C5A1DF7}"/>
    <cellStyle name="Normal 5 2 4 3 5 3 2 2" xfId="27328" xr:uid="{17D2031A-E82D-4478-9366-F21AB81BBD6E}"/>
    <cellStyle name="Normal 5 2 4 3 5 3 3" xfId="25641" xr:uid="{DFF53FD4-FEAE-46B9-BCF3-B4723EA48D7C}"/>
    <cellStyle name="Normal 5 2 4 3 5 3 4" xfId="30252" xr:uid="{E82F2118-577E-4536-B0CB-18761AB513DD}"/>
    <cellStyle name="Normal 5 2 4 3 5 3 4 2" xfId="31395" xr:uid="{AB0E8E94-3AAB-4649-AC96-B3051481793B}"/>
    <cellStyle name="Normal 5 2 4 3 5 3 5" xfId="31592" xr:uid="{A3F63B78-3266-4C42-90CB-09F9D2C3C287}"/>
    <cellStyle name="Normal 5 2 4 3 5 4" xfId="24430" xr:uid="{16BBE468-D5C0-4B21-AD2D-3D3515796DC2}"/>
    <cellStyle name="Normal 5 2 4 4" xfId="1114" xr:uid="{00000000-0005-0000-0000-000015060000}"/>
    <cellStyle name="Normal 5 2 4 4 2" xfId="1115" xr:uid="{00000000-0005-0000-0000-000016060000}"/>
    <cellStyle name="Normal 5 2 4 4 3" xfId="1116" xr:uid="{00000000-0005-0000-0000-000017060000}"/>
    <cellStyle name="Normal 5 2 4 4 3 2" xfId="1117" xr:uid="{00000000-0005-0000-0000-000018060000}"/>
    <cellStyle name="Normal 5 2 4 4 3 2 2" xfId="1118" xr:uid="{00000000-0005-0000-0000-000019060000}"/>
    <cellStyle name="Normal 5 2 4 4 3 2 2 2" xfId="23685" xr:uid="{AF438C16-2BAB-4175-8465-C867CB828BCF}"/>
    <cellStyle name="Normal 5 2 4 4 3 2 2 3" xfId="25292" xr:uid="{7DBC5392-EC70-48EA-818B-C50A30347B3B}"/>
    <cellStyle name="Normal 5 2 4 4 3 2 3" xfId="1119" xr:uid="{00000000-0005-0000-0000-00001A060000}"/>
    <cellStyle name="Normal 5 2 4 4 3 2 3 2" xfId="2003" xr:uid="{00000000-0005-0000-0000-00001B060000}"/>
    <cellStyle name="Normal 5 2 4 4 3 2 3 3" xfId="3728" xr:uid="{00000000-0005-0000-0000-000085050000}"/>
    <cellStyle name="Normal 5 2 4 4 3 2 3 3 2" xfId="4720" xr:uid="{F35494D6-FE07-48A7-A0C8-E98B5ABBC110}"/>
    <cellStyle name="Normal 5 2 4 4 3 2 3 3 3" xfId="30253" xr:uid="{3371D826-E6D0-4F85-B3CB-12EC5DC11E04}"/>
    <cellStyle name="Normal 5 2 4 4 3 2 3 3 3 2" xfId="31396" xr:uid="{9F866689-093F-47B5-BB7A-A67F81465E01}"/>
    <cellStyle name="Normal 5 2 4 4 3 2 3 3 4" xfId="31593" xr:uid="{DF05E4B7-CFDF-423C-9FBA-EF6B9FF57097}"/>
    <cellStyle name="Normal 5 2 4 4 3 2 4" xfId="24799" xr:uid="{868BB01E-4989-41C7-8624-51DC12DB0459}"/>
    <cellStyle name="Normal 5 2 4 4 3 3" xfId="1120" xr:uid="{00000000-0005-0000-0000-00001C060000}"/>
    <cellStyle name="Normal 5 2 4 4 3 4" xfId="2956" xr:uid="{00000000-0005-0000-0000-000003070000}"/>
    <cellStyle name="Normal 5 2 4 4 3 4 2" xfId="31274" xr:uid="{FA2917AE-C3BA-4BE1-A1E6-01DBDC065E54}"/>
    <cellStyle name="Normal 5 2 4 4 3 5" xfId="2114" xr:uid="{00000000-0005-0000-0000-000083020000}"/>
    <cellStyle name="Normal 5 2 4 4 3 5 2" xfId="3783" xr:uid="{D037D556-2DF5-490C-8D04-4D0D0B902C7F}"/>
    <cellStyle name="Normal 5 2 4 4 3 5 3" xfId="30195" xr:uid="{ADC3C70D-ACE5-4A69-B04D-15C35B0C6A21}"/>
    <cellStyle name="Normal 5 2 4 4 3 5 3 2" xfId="31339" xr:uid="{3649E89F-2542-4741-8FC6-5FCC29A22267}"/>
    <cellStyle name="Normal 5 2 4 4 3 5 4" xfId="31535" xr:uid="{8641E7A6-2611-4D56-836F-9152DD7762A5}"/>
    <cellStyle name="Normal 5 2 4 4 3 6" xfId="4011" xr:uid="{48584F99-0955-4DD2-8F83-B7B1E99DDE13}"/>
    <cellStyle name="Normal 5 2 4 4 3 6 2" xfId="4710" xr:uid="{05F490C6-261E-4F3C-99BE-89B9730F2236}"/>
    <cellStyle name="Normal 5 2 4 4 3 6 3" xfId="30314" xr:uid="{56E9FF0F-F58B-4D2E-A832-37CBBFB3815E}"/>
    <cellStyle name="Normal 5 2 4 4 3 6 3 2" xfId="31457" xr:uid="{A5973D2C-5654-4EBD-BEEE-E7F4FF14014D}"/>
    <cellStyle name="Normal 5 2 4 4 3 6 4" xfId="31654" xr:uid="{784DD7EA-AE1F-40B9-95A6-82033FC6AD60}"/>
    <cellStyle name="Normal 5 2 4 4 3 7" xfId="30135" xr:uid="{043D8D7C-0FB5-4B99-8C37-48CD2D0D46E8}"/>
    <cellStyle name="Normal 5 2 4 4 3 7 2" xfId="30499" xr:uid="{530030F0-59D0-4660-8567-AD5B7CB24B9B}"/>
    <cellStyle name="Normal 5 2 4 4 4" xfId="1121" xr:uid="{00000000-0005-0000-0000-00001D060000}"/>
    <cellStyle name="Normal 5 2 4 4 4 2" xfId="1122" xr:uid="{00000000-0005-0000-0000-00001E060000}"/>
    <cellStyle name="Normal 5 2 4 4 4 3" xfId="3729" xr:uid="{00000000-0005-0000-0000-000088050000}"/>
    <cellStyle name="Normal 5 2 4 4 4 3 2" xfId="4705" xr:uid="{2B3CDEAC-4952-4F4E-97D6-E795D826D395}"/>
    <cellStyle name="Normal 5 2 4 4 4 3 3" xfId="30254" xr:uid="{E704B8BC-41EA-4454-AEA2-EF033FDE6340}"/>
    <cellStyle name="Normal 5 2 4 4 4 3 3 2" xfId="31397" xr:uid="{16EDD962-7E8E-4EA1-8369-937E3100EBBC}"/>
    <cellStyle name="Normal 5 2 4 4 4 3 4" xfId="31594" xr:uid="{EC278FCC-DA37-4F41-BA29-08FBF8957A8D}"/>
    <cellStyle name="Normal 5 2 4 4 5" xfId="1123" xr:uid="{00000000-0005-0000-0000-00001F060000}"/>
    <cellStyle name="Normal 5 2 4 4 5 2" xfId="4685" xr:uid="{00564EB2-1CAC-4E4B-B4B3-F5A40DFD44F8}"/>
    <cellStyle name="Normal 5 2 4 4 5 2 2" xfId="4826" xr:uid="{83E1FB17-2E9A-4803-B6F4-091CC3A05E18}"/>
    <cellStyle name="Normal 5 2 4 4 5 2 3" xfId="30352" xr:uid="{6DA91CAE-6F39-4002-B1F0-4B89033CE666}"/>
    <cellStyle name="Normal 5 2 4 4 5 2 3 2" xfId="31492" xr:uid="{383E5E58-7C91-413E-8FD2-3A67B7B19328}"/>
    <cellStyle name="Normal 5 2 4 4 5 2 4" xfId="31692" xr:uid="{20B02469-8862-47FA-AED8-8278520D8ED1}"/>
    <cellStyle name="Normal 5 2 4 4 5 3" xfId="4660" xr:uid="{B6A07F6F-9F13-4228-A8E1-D1C6B6C8E7AD}"/>
    <cellStyle name="Normal 5 2 4 4 5 4" xfId="24642" xr:uid="{11EB602C-CBF5-439D-843C-5A00AA8F3884}"/>
    <cellStyle name="Normal 5 2 4 4 6" xfId="2113" xr:uid="{00000000-0005-0000-0000-000081020000}"/>
    <cellStyle name="Normal 5 2 4 4 6 2" xfId="4697" xr:uid="{FE5B8EF5-9CD7-4287-865B-5A904A0E530B}"/>
    <cellStyle name="Normal 5 2 4 4 6 3" xfId="30194" xr:uid="{C315FB79-57F9-4A65-8EAE-6F681E6F5074}"/>
    <cellStyle name="Normal 5 2 4 4 6 3 2" xfId="31338" xr:uid="{BDB4D344-5AF5-4D2B-8B4E-5754C69F2E50}"/>
    <cellStyle name="Normal 5 2 4 4 6 4" xfId="31534" xr:uid="{B5BD0CD0-E8AF-4AEB-A2ED-0582CF3CA95A}"/>
    <cellStyle name="Normal 5 2 4 4 7" xfId="4010" xr:uid="{AD80C160-AEC5-4928-B410-574B477C1DBC}"/>
    <cellStyle name="Normal 5 2 4 4 7 2" xfId="4787" xr:uid="{F6E3D3A6-20C3-4DDD-A8D0-C82F8B32B771}"/>
    <cellStyle name="Normal 5 2 4 4 7 3" xfId="30313" xr:uid="{2CBF5DFB-D0DB-46CD-865F-1F5D4869B49D}"/>
    <cellStyle name="Normal 5 2 4 4 7 3 2" xfId="31456" xr:uid="{28056046-37C5-4210-A45E-87C91033B72C}"/>
    <cellStyle name="Normal 5 2 4 4 7 4" xfId="31653" xr:uid="{4A0F218C-119A-4271-A509-C12DF0B83723}"/>
    <cellStyle name="Normal 5 2 4 4 8" xfId="30134" xr:uid="{2E70D3D9-38AE-4F46-AE0C-D4B00782AB6B}"/>
    <cellStyle name="Normal 5 2 4 4 8 2" xfId="30498" xr:uid="{FF04236F-3AE0-4DDD-A3DA-183F84BE2F5D}"/>
    <cellStyle name="Normal 5 2 4 5" xfId="1124" xr:uid="{00000000-0005-0000-0000-000020060000}"/>
    <cellStyle name="Normal 5 2 4 5 2" xfId="1125" xr:uid="{00000000-0005-0000-0000-000021060000}"/>
    <cellStyle name="Normal 5 2 4 5 3" xfId="3730" xr:uid="{00000000-0005-0000-0000-00008A050000}"/>
    <cellStyle name="Normal 5 2 4 5 3 2" xfId="4794" xr:uid="{D64666DE-161D-45A7-8501-FCDF6FF74294}"/>
    <cellStyle name="Normal 5 2 4 5 3 3" xfId="30255" xr:uid="{6575DB17-95F3-4C95-905B-3ABC9211C442}"/>
    <cellStyle name="Normal 5 2 4 5 3 3 2" xfId="31398" xr:uid="{DE834904-B2BD-403C-9730-C8010FF03FF0}"/>
    <cellStyle name="Normal 5 2 4 5 3 4" xfId="31595" xr:uid="{F648D83E-0FF1-4AAA-9876-4826AC71E7EB}"/>
    <cellStyle name="Normal 5 2 4 5 4" xfId="30461" xr:uid="{15BA9B86-0397-4682-A1E5-049E65187509}"/>
    <cellStyle name="Normal 5 2 4 5 5" xfId="30500" xr:uid="{0311EE71-B5C4-4A8B-9CB9-F51438F5F7D7}"/>
    <cellStyle name="Normal 5 2 4 6" xfId="2068" xr:uid="{00000000-0005-0000-0000-000074020000}"/>
    <cellStyle name="Normal 5 2 4 6 2" xfId="4761" xr:uid="{35A1BC4F-2451-4737-BD49-D3AC91FFB2BF}"/>
    <cellStyle name="Normal 5 2 4 6 3" xfId="30168" xr:uid="{A6018F4F-C528-4905-BDB0-BF5E3AC61E88}"/>
    <cellStyle name="Normal 5 2 4 6 3 2" xfId="31316" xr:uid="{83AC687E-87C2-48AA-9A5B-F5AA4831B64D}"/>
    <cellStyle name="Normal 5 2 4 6 4" xfId="31508" xr:uid="{0746594F-F8C7-4596-9514-82C67CEA6E76}"/>
    <cellStyle name="Normal 5 2 4 7" xfId="30113" xr:uid="{342BA205-8867-43D9-9B72-B399D3F5B164}"/>
    <cellStyle name="Normal 5 2 4 7 2" xfId="30473" xr:uid="{BD37669B-A0D9-4854-A41E-C8C8D8D8F3B6}"/>
    <cellStyle name="Normal 5 2 5" xfId="1126" xr:uid="{00000000-0005-0000-0000-000022060000}"/>
    <cellStyle name="Normal 5 2 6" xfId="1127" xr:uid="{00000000-0005-0000-0000-000023060000}"/>
    <cellStyle name="Normal 5 2 6 2" xfId="1128" xr:uid="{00000000-0005-0000-0000-000024060000}"/>
    <cellStyle name="Normal 5 2 6 3" xfId="1129" xr:uid="{00000000-0005-0000-0000-000025060000}"/>
    <cellStyle name="Normal 5 2 6 3 2" xfId="1130" xr:uid="{00000000-0005-0000-0000-000026060000}"/>
    <cellStyle name="Normal 5 2 6 3 2 2" xfId="1131" xr:uid="{00000000-0005-0000-0000-000027060000}"/>
    <cellStyle name="Normal 5 2 6 3 2 2 2" xfId="25681" xr:uid="{C484C0D9-74CC-4C6B-88A9-79BE48F69CF0}"/>
    <cellStyle name="Normal 5 2 6 3 2 2 3" xfId="23164" xr:uid="{577E5655-507A-4621-891F-DE0F7D1E369D}"/>
    <cellStyle name="Normal 5 2 6 3 2 3" xfId="1132" xr:uid="{00000000-0005-0000-0000-000028060000}"/>
    <cellStyle name="Normal 5 2 6 3 2 3 2" xfId="2004" xr:uid="{00000000-0005-0000-0000-000029060000}"/>
    <cellStyle name="Normal 5 2 6 3 2 3 3" xfId="3731" xr:uid="{00000000-0005-0000-0000-000092050000}"/>
    <cellStyle name="Normal 5 2 6 3 2 3 3 2" xfId="4712" xr:uid="{7604220B-D70E-4A63-A63C-24114FAE80C9}"/>
    <cellStyle name="Normal 5 2 6 3 2 3 3 3" xfId="30256" xr:uid="{B80B6B77-F421-43D1-972F-1A065BDBB1AC}"/>
    <cellStyle name="Normal 5 2 6 3 2 3 3 3 2" xfId="31399" xr:uid="{6EB86A97-DCE1-4A16-9432-1F99543E9238}"/>
    <cellStyle name="Normal 5 2 6 3 2 3 3 4" xfId="31596" xr:uid="{B6C515EE-3083-4209-8122-BC69D0B770D5}"/>
    <cellStyle name="Normal 5 2 6 3 2 4" xfId="23097" xr:uid="{84EBBAC2-5BAF-4007-9F20-78E3A440C6FD}"/>
    <cellStyle name="Normal 5 2 6 3 3" xfId="1133" xr:uid="{00000000-0005-0000-0000-00002A060000}"/>
    <cellStyle name="Normal 5 2 6 3 4" xfId="2958" xr:uid="{00000000-0005-0000-0000-00000B070000}"/>
    <cellStyle name="Normal 5 2 6 3 4 2" xfId="31281" xr:uid="{0E491AE0-2453-47A6-807A-49B64C0F5E81}"/>
    <cellStyle name="Normal 5 2 6 3 5" xfId="2116" xr:uid="{00000000-0005-0000-0000-000088020000}"/>
    <cellStyle name="Normal 5 2 6 3 5 2" xfId="4643" xr:uid="{55F936E5-2268-4048-890B-2E7F45921A47}"/>
    <cellStyle name="Normal 5 2 6 3 5 3" xfId="30197" xr:uid="{A8DA4185-04D3-45D0-99D2-1ED1AAD9939F}"/>
    <cellStyle name="Normal 5 2 6 3 5 3 2" xfId="31341" xr:uid="{CA9214E1-83A5-4F08-8718-28FA7D00E0BF}"/>
    <cellStyle name="Normal 5 2 6 3 5 4" xfId="31537" xr:uid="{9226D559-0753-4299-B3BF-2E415381B2FD}"/>
    <cellStyle name="Normal 5 2 6 3 6" xfId="4013" xr:uid="{28ED6A24-2FD5-4CA1-A14B-0556FD75683B}"/>
    <cellStyle name="Normal 5 2 6 3 6 2" xfId="4702" xr:uid="{B1BE088F-0CAA-4678-941E-5E508D832414}"/>
    <cellStyle name="Normal 5 2 6 3 6 3" xfId="30316" xr:uid="{3495266E-E1CD-4625-9ADF-210DC6DA8762}"/>
    <cellStyle name="Normal 5 2 6 3 6 3 2" xfId="31459" xr:uid="{88902C99-11AB-43A0-AE1B-DC07654E0B23}"/>
    <cellStyle name="Normal 5 2 6 3 6 4" xfId="31656" xr:uid="{566768B4-29FC-49F4-B34F-DAB710351185}"/>
    <cellStyle name="Normal 5 2 6 3 7" xfId="30137" xr:uid="{42B1072C-8B2A-4FA2-81EC-269C4E84A3A5}"/>
    <cellStyle name="Normal 5 2 6 3 7 2" xfId="30502" xr:uid="{54FBF52F-2716-45C2-84B6-D21E6196F530}"/>
    <cellStyle name="Normal 5 2 6 4" xfId="2957" xr:uid="{00000000-0005-0000-0000-00000C070000}"/>
    <cellStyle name="Normal 5 2 6 4 2" xfId="24398" xr:uid="{2449F7EF-3427-4B32-B170-EFC2A75FD0B4}"/>
    <cellStyle name="Normal 5 2 6 4 2 2" xfId="29620" xr:uid="{6BBA2B63-2EFB-461D-82A5-559378679EC0}"/>
    <cellStyle name="Normal 5 2 6 4 2 3" xfId="29604" xr:uid="{134584C4-53AD-45C7-B411-6D77BBDF85B0}"/>
    <cellStyle name="Normal 5 2 6 4 2 3 2" xfId="29647" xr:uid="{461ECB6C-10C9-41E7-B594-2C35C2ABB073}"/>
    <cellStyle name="Normal 5 2 6 4 2 3 3" xfId="30389" xr:uid="{F9B0019A-EB20-4842-B28E-89F54920EB78}"/>
    <cellStyle name="Normal 5 2 6 4 2 3 4" xfId="30376" xr:uid="{5FD3BC8F-F873-4B95-A007-369961038735}"/>
    <cellStyle name="Normal 5 2 6 4 2 3 4 2" xfId="31715" xr:uid="{C9092062-1AFC-4823-96DF-C19A312C94F8}"/>
    <cellStyle name="Normal 5 2 6 4 2 4" xfId="30360" xr:uid="{704420A6-BB13-4C4A-98E2-F5E54ACD7C79}"/>
    <cellStyle name="Normal 5 2 6 4 2 4 2" xfId="31701" xr:uid="{BFDDA610-75E9-4FB0-AECA-C28A0E3EE21C}"/>
    <cellStyle name="Normal 5 2 6 4 3" xfId="25736" xr:uid="{4B868893-5D9C-42B3-BD3C-3EDE8A95AE5E}"/>
    <cellStyle name="Normal 5 2 6 5" xfId="2115" xr:uid="{00000000-0005-0000-0000-000086020000}"/>
    <cellStyle name="Normal 5 2 6 5 2" xfId="3961" xr:uid="{FFE7DF02-3E33-41D1-A9B4-B30866C5927C}"/>
    <cellStyle name="Normal 5 2 6 5 3" xfId="30196" xr:uid="{E9C91989-B50D-4FEA-A02E-215D82A86398}"/>
    <cellStyle name="Normal 5 2 6 5 3 2" xfId="31340" xr:uid="{A1057280-B42D-4151-91E2-1101E0CD1D18}"/>
    <cellStyle name="Normal 5 2 6 5 4" xfId="31536" xr:uid="{E4FEB8EC-79F4-4159-9C42-EA456D479CB2}"/>
    <cellStyle name="Normal 5 2 6 6" xfId="4012" xr:uid="{C0B50273-D7A8-4911-83A8-B33EA77B3B8D}"/>
    <cellStyle name="Normal 5 2 6 6 2" xfId="4768" xr:uid="{B2AFAC66-1BE6-4CD0-9FFF-950CE52A8934}"/>
    <cellStyle name="Normal 5 2 6 6 3" xfId="30315" xr:uid="{766558CD-EAD6-40AD-BA68-9A404E0FB833}"/>
    <cellStyle name="Normal 5 2 6 6 3 2" xfId="31458" xr:uid="{09F532D0-1510-46DA-9DD7-4C6D46EEAB85}"/>
    <cellStyle name="Normal 5 2 6 6 4" xfId="31655" xr:uid="{CDD3E2C2-BDCA-4455-AFE6-F094AEF3D047}"/>
    <cellStyle name="Normal 5 2 6 7" xfId="30136" xr:uid="{E209EADA-9019-48FA-A3B0-FD7DD812FC2D}"/>
    <cellStyle name="Normal 5 2 6 7 2" xfId="30501" xr:uid="{806443B8-0098-40D3-A0A9-566A12CC2022}"/>
    <cellStyle name="Normal 5 2 7" xfId="1134" xr:uid="{00000000-0005-0000-0000-00002B060000}"/>
    <cellStyle name="Normal 5 2 7 2" xfId="1135" xr:uid="{00000000-0005-0000-0000-00002C060000}"/>
    <cellStyle name="Normal 5 2 7 2 2" xfId="30568" xr:uid="{EFFE7416-A60C-4E91-9C16-93A8F1582E4A}"/>
    <cellStyle name="Normal 5 2 7 2 2 2" xfId="30911" xr:uid="{B189041D-921E-4278-AAEF-960878300956}"/>
    <cellStyle name="Normal 5 2 7 3" xfId="1136" xr:uid="{00000000-0005-0000-0000-00002D060000}"/>
    <cellStyle name="Normal 5 2 7 3 2" xfId="31303" xr:uid="{34BD8BB5-E918-46B8-B0DF-8A393CE8E137}"/>
    <cellStyle name="Normal 5 2 7 4" xfId="3732" xr:uid="{00000000-0005-0000-0000-000095050000}"/>
    <cellStyle name="Normal 5 2 7 4 2" xfId="4773" xr:uid="{5E06A59F-611A-44B3-A971-E98276EE6A1C}"/>
    <cellStyle name="Normal 5 2 7 4 3" xfId="30257" xr:uid="{0B3F8B24-1002-4B57-966D-2232D44A5100}"/>
    <cellStyle name="Normal 5 2 7 4 3 2" xfId="31400" xr:uid="{AF1E7F16-F380-4E11-96CC-725B4E0771E5}"/>
    <cellStyle name="Normal 5 2 7 4 4" xfId="31597" xr:uid="{3DFA295E-7844-49B0-8B82-BE58EA95FF05}"/>
    <cellStyle name="Normal 5 2 7 5" xfId="29605" xr:uid="{0A6BA937-6FA9-46C5-B401-7A4E2A3B41BE}"/>
    <cellStyle name="Normal 5 2 7 5 2" xfId="29636" xr:uid="{35914BEE-4FA7-4AE4-8E19-11A63582B5DB}"/>
    <cellStyle name="Normal 5 2 7 5 3" xfId="30361" xr:uid="{7D9FA1DC-0177-4EB4-91BF-12DA7B230617}"/>
    <cellStyle name="Normal 5 2 7 5 3 2" xfId="31249" xr:uid="{596C7602-7F83-46A5-B111-7EE427D394BC}"/>
    <cellStyle name="Normal 5 2 7 5 4" xfId="30462" xr:uid="{EE1BBC0C-DEC6-48E2-9E76-8915452D4F3C}"/>
    <cellStyle name="Normal 5 2 7 6" xfId="30466" xr:uid="{B67CE484-5AAE-4B38-A64C-FCA93C257D22}"/>
    <cellStyle name="Normal 5 2 7 7" xfId="30503" xr:uid="{F7491843-7F9F-43C5-8AC2-233B453AC06B}"/>
    <cellStyle name="Normal 5 2 8" xfId="31264" xr:uid="{3941616B-0E99-4AFF-91D2-813ADB9BBB4A}"/>
    <cellStyle name="Normal 5 2 9" xfId="31498" xr:uid="{A165ECB7-4FA4-404B-9049-7226479F944C}"/>
    <cellStyle name="Normal 5 3" xfId="1137" xr:uid="{00000000-0005-0000-0000-00002E060000}"/>
    <cellStyle name="Normal 5 3 2" xfId="1138" xr:uid="{00000000-0005-0000-0000-00002F060000}"/>
    <cellStyle name="Normal 5 3 3" xfId="1139" xr:uid="{00000000-0005-0000-0000-000030060000}"/>
    <cellStyle name="Normal 5 3 3 2" xfId="1140" xr:uid="{00000000-0005-0000-0000-000031060000}"/>
    <cellStyle name="Normal 5 3 3 2 2" xfId="1141" xr:uid="{00000000-0005-0000-0000-000032060000}"/>
    <cellStyle name="Normal 5 3 3 2 3" xfId="1142" xr:uid="{00000000-0005-0000-0000-000033060000}"/>
    <cellStyle name="Normal 5 3 3 2 3 2" xfId="1143" xr:uid="{00000000-0005-0000-0000-000034060000}"/>
    <cellStyle name="Normal 5 3 3 2 3 2 2" xfId="1144" xr:uid="{00000000-0005-0000-0000-000035060000}"/>
    <cellStyle name="Normal 5 3 3 2 3 2 2 2" xfId="22709" xr:uid="{7AABC8CD-E7F8-4AD3-82FF-7CFED1DB242B}"/>
    <cellStyle name="Normal 5 3 3 2 3 2 2 3" xfId="23202" xr:uid="{D84663E2-9630-4E63-AD15-6FC3E0D20873}"/>
    <cellStyle name="Normal 5 3 3 2 3 2 3" xfId="1145" xr:uid="{00000000-0005-0000-0000-000036060000}"/>
    <cellStyle name="Normal 5 3 3 2 3 2 3 2" xfId="2005" xr:uid="{00000000-0005-0000-0000-000037060000}"/>
    <cellStyle name="Normal 5 3 3 2 3 2 3 3" xfId="3733" xr:uid="{00000000-0005-0000-0000-00009F050000}"/>
    <cellStyle name="Normal 5 3 3 2 3 2 3 3 2" xfId="4801" xr:uid="{3B592359-610D-414E-8647-51F1C23BDEBE}"/>
    <cellStyle name="Normal 5 3 3 2 3 2 3 3 3" xfId="30258" xr:uid="{53839113-09EB-44FD-9EEB-21FE5DD300D4}"/>
    <cellStyle name="Normal 5 3 3 2 3 2 3 3 3 2" xfId="31401" xr:uid="{43EB51E9-16CE-41A9-A7B7-D8DAA664D14C}"/>
    <cellStyle name="Normal 5 3 3 2 3 2 3 3 4" xfId="31598" xr:uid="{B617D199-4CED-4730-8A7F-1F5E3EB22FE3}"/>
    <cellStyle name="Normal 5 3 3 2 3 2 4" xfId="25763" xr:uid="{228DCD5C-5DC3-4868-97DD-445981D2F756}"/>
    <cellStyle name="Normal 5 3 3 2 3 3" xfId="1146" xr:uid="{00000000-0005-0000-0000-000038060000}"/>
    <cellStyle name="Normal 5 3 3 2 3 4" xfId="2959" xr:uid="{00000000-0005-0000-0000-000015070000}"/>
    <cellStyle name="Normal 5 3 3 2 3 4 2" xfId="31280" xr:uid="{10A152D0-5DF9-4181-A6B6-C858B6F9085A}"/>
    <cellStyle name="Normal 5 3 3 2 3 5" xfId="2118" xr:uid="{00000000-0005-0000-0000-00008F020000}"/>
    <cellStyle name="Normal 5 3 3 2 3 5 2" xfId="4667" xr:uid="{9506A050-893F-44B9-8047-501E583497C1}"/>
    <cellStyle name="Normal 5 3 3 2 3 5 3" xfId="30199" xr:uid="{8D8A1CE9-FEE7-4142-8793-E6203B687F03}"/>
    <cellStyle name="Normal 5 3 3 2 3 5 3 2" xfId="31343" xr:uid="{D7925A58-8098-4AE1-98BB-5CA947DA6131}"/>
    <cellStyle name="Normal 5 3 3 2 3 5 4" xfId="31539" xr:uid="{CCFCB723-F6AD-462F-92D2-0C0CFB839584}"/>
    <cellStyle name="Normal 5 3 3 2 3 6" xfId="4015" xr:uid="{31A0DB43-85D3-4869-AD70-E01D62E64B6B}"/>
    <cellStyle name="Normal 5 3 3 2 3 6 2" xfId="4746" xr:uid="{6436B6BC-B08C-4B15-8C97-B396796FEFE9}"/>
    <cellStyle name="Normal 5 3 3 2 3 6 3" xfId="30318" xr:uid="{EB6FEB56-F905-4D2F-8C85-EEBBA0E88454}"/>
    <cellStyle name="Normal 5 3 3 2 3 6 3 2" xfId="31461" xr:uid="{80FFA81D-979C-43E1-8A33-E20BC8074AB0}"/>
    <cellStyle name="Normal 5 3 3 2 3 6 4" xfId="31658" xr:uid="{9DC2141B-F0B4-4E56-8BF2-20FADB2BC459}"/>
    <cellStyle name="Normal 5 3 3 2 3 7" xfId="30139" xr:uid="{CEEC2368-E04C-4884-B7E9-1C0EF9192CCC}"/>
    <cellStyle name="Normal 5 3 3 2 3 7 2" xfId="30505" xr:uid="{40091B9F-9A6C-4CD3-B1C9-52952B51C499}"/>
    <cellStyle name="Normal 5 3 3 2 4" xfId="1147" xr:uid="{00000000-0005-0000-0000-000039060000}"/>
    <cellStyle name="Normal 5 3 3 2 4 2" xfId="1148" xr:uid="{00000000-0005-0000-0000-00003A060000}"/>
    <cellStyle name="Normal 5 3 3 2 4 3" xfId="1149" xr:uid="{00000000-0005-0000-0000-00003B060000}"/>
    <cellStyle name="Normal 5 3 3 2 4 4" xfId="3734" xr:uid="{00000000-0005-0000-0000-0000A2050000}"/>
    <cellStyle name="Normal 5 3 3 2 4 4 2" xfId="4825" xr:uid="{D70A007E-549D-49FA-BB0C-2AAD55339FA5}"/>
    <cellStyle name="Normal 5 3 3 2 4 4 3" xfId="30259" xr:uid="{CEDC34C4-7C4F-42F8-A728-9E1B2B72E5DF}"/>
    <cellStyle name="Normal 5 3 3 2 4 4 3 2" xfId="31402" xr:uid="{04E1DCED-0041-4798-B5EF-C75E7638C8D7}"/>
    <cellStyle name="Normal 5 3 3 2 4 4 4" xfId="31599" xr:uid="{8CEB4D3F-87E4-4675-A00E-13A23237EE90}"/>
    <cellStyle name="Normal 5 3 3 2 5" xfId="2117" xr:uid="{00000000-0005-0000-0000-00008D020000}"/>
    <cellStyle name="Normal 5 3 3 2 5 2" xfId="4642" xr:uid="{6378A6EC-FE82-4A4D-B72E-F6F245354E18}"/>
    <cellStyle name="Normal 5 3 3 2 5 3" xfId="30198" xr:uid="{0981AB84-2DA6-4145-8664-7123FC7576F6}"/>
    <cellStyle name="Normal 5 3 3 2 5 3 2" xfId="31342" xr:uid="{EB2B9519-500F-4130-8E51-DAC57147922E}"/>
    <cellStyle name="Normal 5 3 3 2 5 4" xfId="31538" xr:uid="{0371D498-EC60-404F-B603-BA455C09888E}"/>
    <cellStyle name="Normal 5 3 3 2 6" xfId="4014" xr:uid="{336F4594-40A6-452F-A442-AD096348AEFF}"/>
    <cellStyle name="Normal 5 3 3 2 6 2" xfId="4753" xr:uid="{9079EEE4-247F-4C6E-9514-EE91EF9D4BBA}"/>
    <cellStyle name="Normal 5 3 3 2 6 3" xfId="30317" xr:uid="{B0057DC8-8D51-4F0B-8203-572F5C4F51C8}"/>
    <cellStyle name="Normal 5 3 3 2 6 3 2" xfId="31460" xr:uid="{64DB68D6-4682-48F1-BA8A-90265E89A3AD}"/>
    <cellStyle name="Normal 5 3 3 2 6 4" xfId="31657" xr:uid="{472E5388-6075-4B31-97C3-77FAE2C3A31D}"/>
    <cellStyle name="Normal 5 3 3 2 7" xfId="30138" xr:uid="{D531B8A8-AA54-477A-BB5E-9C4205A9F66B}"/>
    <cellStyle name="Normal 5 3 3 2 7 2" xfId="30504" xr:uid="{F0BFF427-E566-43AB-88DF-26A10FC54877}"/>
    <cellStyle name="Normal 5 3 3 3" xfId="1150" xr:uid="{00000000-0005-0000-0000-00003C060000}"/>
    <cellStyle name="Normal 5 3 3 3 2" xfId="1151" xr:uid="{00000000-0005-0000-0000-00003D060000}"/>
    <cellStyle name="Normal 5 3 3 3 3" xfId="3735" xr:uid="{00000000-0005-0000-0000-0000A4050000}"/>
    <cellStyle name="Normal 5 3 3 3 3 2" xfId="4719" xr:uid="{8F567422-14B6-49FC-9961-886E57C38FD3}"/>
    <cellStyle name="Normal 5 3 3 3 3 3" xfId="30260" xr:uid="{408ABDB9-2147-48DA-BFA3-76DF31BA6EC1}"/>
    <cellStyle name="Normal 5 3 3 3 3 3 2" xfId="31403" xr:uid="{A65CE80A-A839-4049-ADFD-AAF8F6EE6D79}"/>
    <cellStyle name="Normal 5 3 3 3 3 4" xfId="31600" xr:uid="{4B81E7BD-6142-432E-988B-18B93FCA55D9}"/>
    <cellStyle name="Normal 5 3 3 4" xfId="1152" xr:uid="{00000000-0005-0000-0000-00003E060000}"/>
    <cellStyle name="Normal 5 3 3 4 2" xfId="1153" xr:uid="{00000000-0005-0000-0000-00003F060000}"/>
    <cellStyle name="Normal 5 3 3 4 2 2" xfId="1154" xr:uid="{00000000-0005-0000-0000-000040060000}"/>
    <cellStyle name="Normal 5 3 3 4 2 2 2" xfId="1155" xr:uid="{00000000-0005-0000-0000-000041060000}"/>
    <cellStyle name="Normal 5 3 3 4 2 2 2 2" xfId="2006" xr:uid="{00000000-0005-0000-0000-000042060000}"/>
    <cellStyle name="Normal 5 3 3 4 2 2 2 2 2" xfId="30083" xr:uid="{E69CF877-FED2-44A6-9C89-2AAF3ED69E2C}"/>
    <cellStyle name="Normal 5 3 3 4 2 2 2 3" xfId="3736" xr:uid="{00000000-0005-0000-0000-0000A9050000}"/>
    <cellStyle name="Normal 5 3 3 4 2 2 2 3 2" xfId="4718" xr:uid="{445C2ED0-AA7A-4C15-99E2-A6CE07F7E750}"/>
    <cellStyle name="Normal 5 3 3 4 2 2 2 3 3" xfId="30261" xr:uid="{4500CED2-90B4-4C83-84D6-D51298D69CD2}"/>
    <cellStyle name="Normal 5 3 3 4 2 2 2 3 3 2" xfId="31404" xr:uid="{E891891A-4822-421D-B2CD-A770A72BB211}"/>
    <cellStyle name="Normal 5 3 3 4 2 2 2 3 4" xfId="31601" xr:uid="{1B9D8C01-B3C8-4875-9346-DF245DF8B53F}"/>
    <cellStyle name="Normal 5 3 3 4 2 2 2 4" xfId="24307" xr:uid="{B84CB32D-E550-4F7F-8234-69C0A8DFB328}"/>
    <cellStyle name="Normal 5 3 3 4 2 2 3" xfId="2007" xr:uid="{00000000-0005-0000-0000-000043060000}"/>
    <cellStyle name="Normal 5 3 3 4 2 2 4" xfId="25457" xr:uid="{8817E783-FA64-4F82-BECB-0B2150089D6E}"/>
    <cellStyle name="Normal 5 3 3 4 2 3" xfId="1156" xr:uid="{00000000-0005-0000-0000-000044060000}"/>
    <cellStyle name="Normal 5 3 3 4 2 3 2" xfId="1157" xr:uid="{00000000-0005-0000-0000-000045060000}"/>
    <cellStyle name="Normal 5 3 3 4 2 3 2 2" xfId="23075" xr:uid="{734DB718-C965-4982-84A7-9AB74327D0C2}"/>
    <cellStyle name="Normal 5 3 3 4 2 3 2 3" xfId="23239" xr:uid="{B7DA6B19-166C-4C18-AA12-FA39D1A5F057}"/>
    <cellStyle name="Normal 5 3 3 4 2 3 3" xfId="1158" xr:uid="{00000000-0005-0000-0000-000046060000}"/>
    <cellStyle name="Normal 5 3 3 4 2 3 3 2" xfId="25739" xr:uid="{F10BEF07-3DB5-4991-93CD-1FB98106BECB}"/>
    <cellStyle name="Normal 5 3 3 4 2 3 3 3" xfId="25090" xr:uid="{F1AF3DEA-DD47-4D7C-AA76-F553B9892BA2}"/>
    <cellStyle name="Normal 5 3 3 4 2 3 4" xfId="2120" xr:uid="{00000000-0005-0000-0000-000095020000}"/>
    <cellStyle name="Normal 5 3 3 4 2 3 4 2" xfId="4717" xr:uid="{9B130290-3EDE-4BC8-974D-86A484E65339}"/>
    <cellStyle name="Normal 5 3 3 4 2 3 4 3" xfId="30201" xr:uid="{FC394264-21C2-443A-85AC-A09B6102770E}"/>
    <cellStyle name="Normal 5 3 3 4 2 3 4 3 2" xfId="31345" xr:uid="{B397F56A-E127-4FEB-B511-42354C6ED55C}"/>
    <cellStyle name="Normal 5 3 3 4 2 3 4 4" xfId="31541" xr:uid="{807C005B-BCFB-47D1-823C-E799B44488B6}"/>
    <cellStyle name="Normal 5 3 3 4 2 3 5" xfId="24944" xr:uid="{9F045087-C642-46A8-91FD-AAF692F573EC}"/>
    <cellStyle name="Normal 5 3 3 4 2 3 6" xfId="30539" xr:uid="{4F060E07-9DDD-4899-B86B-3CC298685E95}"/>
    <cellStyle name="Normal 5 3 3 4 2 4" xfId="24108" xr:uid="{948204CC-FE7E-44DB-B145-20BC57C9DDCF}"/>
    <cellStyle name="Normal 5 3 3 4 3" xfId="1159" xr:uid="{00000000-0005-0000-0000-000047060000}"/>
    <cellStyle name="Normal 5 3 3 4 4" xfId="2960" xr:uid="{00000000-0005-0000-0000-00001E070000}"/>
    <cellStyle name="Normal 5 3 3 4 4 2" xfId="31293" xr:uid="{F161427D-9EB4-4451-9A6A-06D7E603F9F7}"/>
    <cellStyle name="Normal 5 3 3 4 5" xfId="2119" xr:uid="{00000000-0005-0000-0000-000092020000}"/>
    <cellStyle name="Normal 5 3 3 4 5 2" xfId="4670" xr:uid="{C1D65F0E-85F0-4012-A373-B75FD3E1BAA3}"/>
    <cellStyle name="Normal 5 3 3 4 5 3" xfId="30200" xr:uid="{BA5F1E7E-EAF0-4465-897E-F4668DC5C4A0}"/>
    <cellStyle name="Normal 5 3 3 4 5 3 2" xfId="31344" xr:uid="{ABFF19D9-FA8A-40A6-A15A-35E0040E4045}"/>
    <cellStyle name="Normal 5 3 3 4 5 4" xfId="31540" xr:uid="{50683AFB-0840-4025-A64C-4D13E7846670}"/>
    <cellStyle name="Normal 5 3 3 4 6" xfId="4016" xr:uid="{D2756F3F-6B90-4F0D-A058-F63FBCF3FF7E}"/>
    <cellStyle name="Normal 5 3 3 4 6 2" xfId="4783" xr:uid="{6E3C98E3-D3AA-4BD6-A38C-7B56FF88A673}"/>
    <cellStyle name="Normal 5 3 3 4 6 3" xfId="30319" xr:uid="{A1494EBF-E472-4D23-9E90-66371198EBEC}"/>
    <cellStyle name="Normal 5 3 3 4 6 3 2" xfId="31462" xr:uid="{5598B1F7-1EC4-47B1-BDD3-05CD60976B56}"/>
    <cellStyle name="Normal 5 3 3 4 6 4" xfId="31659" xr:uid="{02121827-5E2D-4E5E-A409-436155C20907}"/>
    <cellStyle name="Normal 5 3 3 4 7" xfId="30140" xr:uid="{347E797A-C3DA-48FE-923F-48D6C2483068}"/>
    <cellStyle name="Normal 5 3 3 4 7 2" xfId="30506" xr:uid="{2B8EC82B-053E-4181-83D9-DD6F2D19A0F7}"/>
    <cellStyle name="Normal 5 3 3 5" xfId="1160" xr:uid="{00000000-0005-0000-0000-000048060000}"/>
    <cellStyle name="Normal 5 3 3 5 2" xfId="1161" xr:uid="{00000000-0005-0000-0000-000049060000}"/>
    <cellStyle name="Normal 5 3 3 5 3" xfId="3737" xr:uid="{00000000-0005-0000-0000-0000B0050000}"/>
    <cellStyle name="Normal 5 3 3 5 3 2" xfId="4808" xr:uid="{13429663-B3E8-4F7D-8BB0-5D8781B62C1D}"/>
    <cellStyle name="Normal 5 3 3 5 3 2 2" xfId="27329" xr:uid="{D1D742DB-1D3F-4ADA-891E-043A0C8CE4C5}"/>
    <cellStyle name="Normal 5 3 3 5 3 3" xfId="25684" xr:uid="{AE73F470-D748-4439-B078-FE8783C376B5}"/>
    <cellStyle name="Normal 5 3 3 5 3 4" xfId="30262" xr:uid="{2013BC4F-1489-4ABC-B72A-BF4F1AE08F66}"/>
    <cellStyle name="Normal 5 3 3 5 3 4 2" xfId="31405" xr:uid="{DFB6642C-C241-44DB-BD6A-3B774736CE12}"/>
    <cellStyle name="Normal 5 3 3 5 3 5" xfId="31602" xr:uid="{03BEB35F-10DC-466C-B4F6-64DC8F5CFD34}"/>
    <cellStyle name="Normal 5 3 3 5 4" xfId="25356" xr:uid="{F5A8C535-4FB1-4A24-9D3B-16620EFF46D1}"/>
    <cellStyle name="Normal 5 3 3 6" xfId="1162" xr:uid="{00000000-0005-0000-0000-00004A060000}"/>
    <cellStyle name="Normal 5 3 3 6 2" xfId="2008" xr:uid="{00000000-0005-0000-0000-00004B060000}"/>
    <cellStyle name="Normal 5 3 3 6 3" xfId="3738" xr:uid="{00000000-0005-0000-0000-0000B2050000}"/>
    <cellStyle name="Normal 5 3 3 6 3 2" xfId="4733" xr:uid="{F69489D8-2553-48CA-8E76-55D2E5877230}"/>
    <cellStyle name="Normal 5 3 3 6 3 3" xfId="30263" xr:uid="{D9421690-CFB8-4A7F-8514-10825D246B89}"/>
    <cellStyle name="Normal 5 3 3 6 3 3 2" xfId="31406" xr:uid="{3C2573D1-AC8F-4143-A4EB-DB65B7B44633}"/>
    <cellStyle name="Normal 5 3 3 6 3 4" xfId="31603" xr:uid="{CEF19B6A-2698-4B31-94DB-D232E456FD88}"/>
    <cellStyle name="Normal 5 3 4" xfId="1163" xr:uid="{00000000-0005-0000-0000-00004C060000}"/>
    <cellStyle name="Normal 5 3 4 2" xfId="1164" xr:uid="{00000000-0005-0000-0000-00004D060000}"/>
    <cellStyle name="Normal 5 3 4 3" xfId="1165" xr:uid="{00000000-0005-0000-0000-00004E060000}"/>
    <cellStyle name="Normal 5 3 4 3 2" xfId="1166" xr:uid="{00000000-0005-0000-0000-00004F060000}"/>
    <cellStyle name="Normal 5 3 4 3 2 2" xfId="1167" xr:uid="{00000000-0005-0000-0000-000050060000}"/>
    <cellStyle name="Normal 5 3 4 3 2 2 2" xfId="23693" xr:uid="{84C347B8-748F-45AB-A28A-FBC4824CE893}"/>
    <cellStyle name="Normal 5 3 4 3 2 2 3" xfId="24140" xr:uid="{FA3D550E-3B4F-40AE-8C7B-1B723D4CDDFF}"/>
    <cellStyle name="Normal 5 3 4 3 2 3" xfId="1168" xr:uid="{00000000-0005-0000-0000-000051060000}"/>
    <cellStyle name="Normal 5 3 4 3 2 3 2" xfId="2009" xr:uid="{00000000-0005-0000-0000-000052060000}"/>
    <cellStyle name="Normal 5 3 4 3 2 3 3" xfId="3739" xr:uid="{00000000-0005-0000-0000-0000B9050000}"/>
    <cellStyle name="Normal 5 3 4 3 2 3 3 2" xfId="4759" xr:uid="{27CD84D7-B911-4190-A3D0-FB0C125E7707}"/>
    <cellStyle name="Normal 5 3 4 3 2 3 3 3" xfId="30264" xr:uid="{BF899BB0-E15F-4E51-901D-CDD6A013BF10}"/>
    <cellStyle name="Normal 5 3 4 3 2 3 3 3 2" xfId="31407" xr:uid="{C4B75909-CC22-4C7F-BDF8-B7847156ED0A}"/>
    <cellStyle name="Normal 5 3 4 3 2 3 3 4" xfId="31604" xr:uid="{D1B3BD06-D116-43C5-A228-6E03144C7F35}"/>
    <cellStyle name="Normal 5 3 4 3 2 4" xfId="24655" xr:uid="{5F063B03-3FE5-47FE-9028-D7BB1C893E88}"/>
    <cellStyle name="Normal 5 3 4 3 3" xfId="1169" xr:uid="{00000000-0005-0000-0000-000053060000}"/>
    <cellStyle name="Normal 5 3 4 3 4" xfId="2961" xr:uid="{00000000-0005-0000-0000-000024070000}"/>
    <cellStyle name="Normal 5 3 4 3 4 2" xfId="31288" xr:uid="{DCD0F34B-C807-48EF-AD43-4F507781571A}"/>
    <cellStyle name="Normal 5 3 4 3 5" xfId="2122" xr:uid="{00000000-0005-0000-0000-000099020000}"/>
    <cellStyle name="Normal 5 3 4 3 5 2" xfId="3818" xr:uid="{9369DBB9-DD67-4338-8EB8-DA10B04D3AFA}"/>
    <cellStyle name="Normal 5 3 4 3 5 3" xfId="30203" xr:uid="{93B0F0FE-EEB4-4F30-BC7B-21D74A10E953}"/>
    <cellStyle name="Normal 5 3 4 3 5 3 2" xfId="31347" xr:uid="{C1C74FE2-D0BD-48ED-92BA-3137D666D3B8}"/>
    <cellStyle name="Normal 5 3 4 3 5 4" xfId="31543" xr:uid="{E2D064AD-4A27-4CEF-A265-0794D4FEB3DD}"/>
    <cellStyle name="Normal 5 3 4 3 6" xfId="4018" xr:uid="{1613ADCD-F7DC-4D24-BE2E-0512CCDB9F7E}"/>
    <cellStyle name="Normal 5 3 4 3 6 2" xfId="4698" xr:uid="{DE044A17-1F25-42F0-A6B5-42ABCA6D7CD9}"/>
    <cellStyle name="Normal 5 3 4 3 6 3" xfId="30321" xr:uid="{AD79B433-505B-4DDB-81D4-604D12CD1CB9}"/>
    <cellStyle name="Normal 5 3 4 3 6 3 2" xfId="31464" xr:uid="{1800BDA3-11C3-40C5-978D-FA7BA615088A}"/>
    <cellStyle name="Normal 5 3 4 3 6 4" xfId="31661" xr:uid="{26F0A201-B426-425F-9086-BCB13F3DABE8}"/>
    <cellStyle name="Normal 5 3 4 3 7" xfId="30142" xr:uid="{8464588B-FBC9-4AEB-8137-4B7B64E1AFE0}"/>
    <cellStyle name="Normal 5 3 4 3 7 2" xfId="30508" xr:uid="{0455E1FF-3A8B-40C3-BF3A-C60A750C7BEF}"/>
    <cellStyle name="Normal 5 3 4 4" xfId="1170" xr:uid="{00000000-0005-0000-0000-000054060000}"/>
    <cellStyle name="Normal 5 3 4 4 2" xfId="2010" xr:uid="{00000000-0005-0000-0000-000055060000}"/>
    <cellStyle name="Normal 5 3 4 4 3" xfId="3740" xr:uid="{00000000-0005-0000-0000-0000BC050000}"/>
    <cellStyle name="Normal 5 3 4 4 3 2" xfId="4814" xr:uid="{0CFAAAB0-0B1B-448C-AA6F-6335CBAD8CA9}"/>
    <cellStyle name="Normal 5 3 4 4 3 3" xfId="30265" xr:uid="{A5471799-C0C9-4589-A46E-238EA1C8E213}"/>
    <cellStyle name="Normal 5 3 4 4 3 3 2" xfId="31408" xr:uid="{AF8662C3-806E-4CF6-8668-C63E00A0A729}"/>
    <cellStyle name="Normal 5 3 4 4 3 4" xfId="31605" xr:uid="{9B29F8B9-D0B4-45B0-BBC8-179A09C7733D}"/>
    <cellStyle name="Normal 5 3 4 5" xfId="2121" xr:uid="{00000000-0005-0000-0000-000097020000}"/>
    <cellStyle name="Normal 5 3 4 5 2" xfId="4652" xr:uid="{AE4239F0-8210-40A2-B60A-C02B564418C5}"/>
    <cellStyle name="Normal 5 3 4 5 3" xfId="30202" xr:uid="{C013D1DD-471B-403F-9025-A8E80966F87F}"/>
    <cellStyle name="Normal 5 3 4 5 3 2" xfId="31346" xr:uid="{1C4CE880-E9D0-4A50-950B-816A84BF1515}"/>
    <cellStyle name="Normal 5 3 4 5 4" xfId="31542" xr:uid="{3131D79D-CA78-43D8-8AFB-AF83F6987B75}"/>
    <cellStyle name="Normal 5 3 4 6" xfId="4017" xr:uid="{CB599806-7C8A-45F6-9C5C-00B11E4887E0}"/>
    <cellStyle name="Normal 5 3 4 6 2" xfId="4689" xr:uid="{C33C1D9E-89E1-44FF-859F-F450C4814C70}"/>
    <cellStyle name="Normal 5 3 4 6 3" xfId="30320" xr:uid="{AF3B5E87-0871-4E2F-8B2C-CF43843C27F0}"/>
    <cellStyle name="Normal 5 3 4 6 3 2" xfId="31463" xr:uid="{1899F4E4-4289-40CD-8114-19BEC7B0B04B}"/>
    <cellStyle name="Normal 5 3 4 6 4" xfId="31660" xr:uid="{67082448-0D89-4D8D-8399-AD957CCFD59C}"/>
    <cellStyle name="Normal 5 3 4 7" xfId="30141" xr:uid="{C5086DE0-3D25-4310-955C-9881B5375DBB}"/>
    <cellStyle name="Normal 5 3 4 7 2" xfId="30507" xr:uid="{0691E9B7-B979-49A9-82BB-8C389DE41776}"/>
    <cellStyle name="Normal 5 3 5" xfId="2069" xr:uid="{00000000-0005-0000-0000-00008A020000}"/>
    <cellStyle name="Normal 5 3 5 2" xfId="4724" xr:uid="{FB219402-4458-4731-8217-11E2AB428DAD}"/>
    <cellStyle name="Normal 5 3 5 3" xfId="30169" xr:uid="{22C0B9B5-A215-40E0-90E4-E9BF49B6C962}"/>
    <cellStyle name="Normal 5 3 5 3 2" xfId="30509" xr:uid="{2A3E056B-8875-48CA-B07B-074ED168B004}"/>
    <cellStyle name="Normal 5 3 5 4" xfId="31509" xr:uid="{19BA7BD3-B108-41EE-8AED-7AF73153AA44}"/>
    <cellStyle name="Normal 5 3 6" xfId="30114" xr:uid="{FF7EC34F-1D03-426F-944C-8DDEC9BD14BD}"/>
    <cellStyle name="Normal 5 3 6 2" xfId="30474" xr:uid="{C83318F6-E85A-4A71-88FC-A52912529995}"/>
    <cellStyle name="Normal 5 4" xfId="1171" xr:uid="{00000000-0005-0000-0000-000056060000}"/>
    <cellStyle name="Normal 5 4 2" xfId="1172" xr:uid="{00000000-0005-0000-0000-000057060000}"/>
    <cellStyle name="Normal 5 4 3" xfId="1173" xr:uid="{00000000-0005-0000-0000-000058060000}"/>
    <cellStyle name="Normal 5 4 3 2" xfId="1174" xr:uid="{00000000-0005-0000-0000-000059060000}"/>
    <cellStyle name="Normal 5 4 3 3" xfId="3741" xr:uid="{00000000-0005-0000-0000-0000C0050000}"/>
    <cellStyle name="Normal 5 4 3 3 2" xfId="4735" xr:uid="{BBB8E0E2-487A-48FB-95C7-D6B07942FE10}"/>
    <cellStyle name="Normal 5 4 3 3 3" xfId="30266" xr:uid="{077BAFD6-31C2-403C-B6C9-D7A0B0C4E389}"/>
    <cellStyle name="Normal 5 4 3 3 3 2" xfId="31409" xr:uid="{92C0E6B0-540E-4500-9E66-230FB68E0A0F}"/>
    <cellStyle name="Normal 5 4 3 3 4" xfId="31606" xr:uid="{6882488E-1D4B-4A30-B2F8-B692B5523CCB}"/>
    <cellStyle name="Normal 5 5" xfId="1175" xr:uid="{00000000-0005-0000-0000-00005A060000}"/>
    <cellStyle name="Normal 5 5 10" xfId="1176" xr:uid="{00000000-0005-0000-0000-00005B060000}"/>
    <cellStyle name="Normal 5 5 10 2" xfId="1177" xr:uid="{00000000-0005-0000-0000-00005C060000}"/>
    <cellStyle name="Normal 5 5 10 2 2" xfId="1178" xr:uid="{00000000-0005-0000-0000-00005D060000}"/>
    <cellStyle name="Normal 5 5 10 2 2 2" xfId="25544" xr:uid="{7BEF7BD9-5746-4FE3-9C2C-1E90F10823D3}"/>
    <cellStyle name="Normal 5 5 10 2 2 3" xfId="24785" xr:uid="{48FBF7A8-E27A-4A77-93F4-283DB42E8DF1}"/>
    <cellStyle name="Normal 5 5 10 2 3" xfId="1179" xr:uid="{00000000-0005-0000-0000-00005E060000}"/>
    <cellStyle name="Normal 5 5 10 2 3 2" xfId="2011" xr:uid="{00000000-0005-0000-0000-00005F060000}"/>
    <cellStyle name="Normal 5 5 10 2 3 3" xfId="3742" xr:uid="{00000000-0005-0000-0000-0000C6050000}"/>
    <cellStyle name="Normal 5 5 10 2 3 3 2" xfId="4769" xr:uid="{D86CB2CB-E6BC-4EBE-8C63-9FA0944B44AD}"/>
    <cellStyle name="Normal 5 5 10 2 3 3 3" xfId="30267" xr:uid="{59D125B9-F39A-46E1-A17C-98D62824EB27}"/>
    <cellStyle name="Normal 5 5 10 2 3 3 3 2" xfId="31410" xr:uid="{E71ACD12-B317-427B-BB6C-C76E5FC66E22}"/>
    <cellStyle name="Normal 5 5 10 2 3 3 4" xfId="31607" xr:uid="{28520A92-387B-4256-98CB-37A8D127A231}"/>
    <cellStyle name="Normal 5 5 10 2 4" xfId="25773" xr:uid="{C3D50B18-259C-4014-9BCC-0D850B8A97C8}"/>
    <cellStyle name="Normal 5 5 10 3" xfId="1180" xr:uid="{00000000-0005-0000-0000-000060060000}"/>
    <cellStyle name="Normal 5 5 10 4" xfId="2962" xr:uid="{00000000-0005-0000-0000-00002C070000}"/>
    <cellStyle name="Normal 5 5 10 4 2" xfId="31298" xr:uid="{5A6D113D-41BD-4B2B-84F1-322D480A3CB5}"/>
    <cellStyle name="Normal 5 5 10 5" xfId="2124" xr:uid="{00000000-0005-0000-0000-00009E020000}"/>
    <cellStyle name="Normal 5 5 10 5 2" xfId="3790" xr:uid="{3E02F4FD-1C4C-4539-A2B7-19465E26278C}"/>
    <cellStyle name="Normal 5 5 10 5 3" xfId="30205" xr:uid="{CD6EF2D4-0244-497A-A1A2-5CB7CEACAD08}"/>
    <cellStyle name="Normal 5 5 10 5 3 2" xfId="31349" xr:uid="{F4393F33-33B7-414E-8C16-1CC9B8AEEB67}"/>
    <cellStyle name="Normal 5 5 10 5 4" xfId="31545" xr:uid="{C11D04CC-F052-44CD-9EC7-277082F56C47}"/>
    <cellStyle name="Normal 5 5 10 6" xfId="4020" xr:uid="{337F88F3-5843-4A8A-A4B2-DC8C7B59A64B}"/>
    <cellStyle name="Normal 5 5 10 6 2" xfId="4806" xr:uid="{9AEE980B-AC49-472C-ABA8-56F2FAA76E03}"/>
    <cellStyle name="Normal 5 5 10 6 3" xfId="30323" xr:uid="{0EA3F919-8FF0-462B-A82C-815D3F9A6A5F}"/>
    <cellStyle name="Normal 5 5 10 6 3 2" xfId="31466" xr:uid="{7CB46D50-7B99-484C-ABB1-4B35FE53302E}"/>
    <cellStyle name="Normal 5 5 10 6 4" xfId="31663" xr:uid="{E4914706-502A-4324-8E26-B98952712100}"/>
    <cellStyle name="Normal 5 5 10 7" xfId="30144" xr:uid="{9EC4A54E-D459-477E-95C3-D8EED714DA54}"/>
    <cellStyle name="Normal 5 5 10 7 2" xfId="30510" xr:uid="{642D08F6-4146-4DCF-BE9E-E70107F064A1}"/>
    <cellStyle name="Normal 5 5 11" xfId="1181" xr:uid="{00000000-0005-0000-0000-000061060000}"/>
    <cellStyle name="Normal 5 5 11 10" xfId="12613" xr:uid="{3695D5BB-0027-43FC-862D-FE558296E53C}"/>
    <cellStyle name="Normal 5 5 11 2" xfId="2422" xr:uid="{00000000-0005-0000-0000-00002E070000}"/>
    <cellStyle name="Normal 5 5 11 2 2" xfId="2963" xr:uid="{00000000-0005-0000-0000-00002F070000}"/>
    <cellStyle name="Normal 5 5 11 2 2 2" xfId="6128" xr:uid="{6B6DFC32-4C86-484E-9F0D-05B0CA9AFC4E}"/>
    <cellStyle name="Normal 5 5 11 2 2 2 2" xfId="28663" xr:uid="{AB134B89-BE15-45E9-8841-CE546E5E36B1}"/>
    <cellStyle name="Normal 5 5 11 2 2 2 3" xfId="15606" xr:uid="{4D39A6A8-7A7F-438F-A7D2-922C4E407832}"/>
    <cellStyle name="Normal 5 5 11 2 2 3" xfId="8059" xr:uid="{D73A85DE-8AFC-4B29-A497-15A97CDC8239}"/>
    <cellStyle name="Normal 5 5 11 2 2 3 2" xfId="18439" xr:uid="{D015D82A-5C92-43F1-A834-20DE716815CA}"/>
    <cellStyle name="Normal 5 5 11 2 2 4" xfId="10892" xr:uid="{D7F68CFE-1F16-43B1-91AF-967BDDF8B1EA}"/>
    <cellStyle name="Normal 5 5 11 2 2 4 2" xfId="21272" xr:uid="{3E5E31A2-BC10-4DEC-A3C3-1B5362DBF4E4}"/>
    <cellStyle name="Normal 5 5 11 2 2 5" xfId="22810" xr:uid="{E340BE55-C53D-4F9C-AA48-991977BA3FFB}"/>
    <cellStyle name="Normal 5 5 11 2 2 6" xfId="13469" xr:uid="{7CC0BDF1-6F6C-4746-850D-023E13317478}"/>
    <cellStyle name="Normal 5 5 11 2 3" xfId="5722" xr:uid="{9BE5C6E4-E2C9-48C3-AB52-3478219966FB}"/>
    <cellStyle name="Normal 5 5 11 2 3 2" xfId="27026" xr:uid="{B1287434-8E5C-4373-8888-488DDEEC0B6C}"/>
    <cellStyle name="Normal 5 5 11 2 3 3" xfId="27159" xr:uid="{806EAF91-4C2D-47DE-B377-2CE9A7AA0708}"/>
    <cellStyle name="Normal 5 5 11 2 3 4" xfId="15096" xr:uid="{C3B6A006-328F-418C-BB38-F69FBD755191}"/>
    <cellStyle name="Normal 5 5 11 2 4" xfId="7549" xr:uid="{415416B5-E375-4437-87B7-0758EC39A30B}"/>
    <cellStyle name="Normal 5 5 11 2 4 2" xfId="27291" xr:uid="{AEFB8BCF-F11B-45DE-9971-ECE126C5CE6F}"/>
    <cellStyle name="Normal 5 5 11 2 4 3" xfId="17929" xr:uid="{E548CEBA-9B5D-4B7E-9B3E-8136EECC299E}"/>
    <cellStyle name="Normal 5 5 11 2 5" xfId="10382" xr:uid="{B7434DEA-6F17-46AA-9E39-B50A5312E7E5}"/>
    <cellStyle name="Normal 5 5 11 2 5 2" xfId="20762" xr:uid="{FC75A6E3-5DDB-43D4-B3A6-95BBF0818C2D}"/>
    <cellStyle name="Normal 5 5 11 2 6" xfId="24107" xr:uid="{2D4EA2C9-7135-49BC-ADCE-AA5ACAC67B81}"/>
    <cellStyle name="Normal 5 5 11 2 7" xfId="12771" xr:uid="{62206668-18DB-43EA-9408-0077C7249362}"/>
    <cellStyle name="Normal 5 5 11 3" xfId="2804" xr:uid="{00000000-0005-0000-0000-000030070000}"/>
    <cellStyle name="Normal 5 5 11 3 2" xfId="6022" xr:uid="{76E518A2-B733-4064-B276-5CD1D06EB90E}"/>
    <cellStyle name="Normal 5 5 11 3 2 2" xfId="27256" xr:uid="{425BE3AF-6ED2-44EB-9844-BC4DA8F32718}"/>
    <cellStyle name="Normal 5 5 11 3 2 3" xfId="15475" xr:uid="{FFB8BC64-B790-495D-9EA9-B7745AC47F64}"/>
    <cellStyle name="Normal 5 5 11 3 3" xfId="7928" xr:uid="{4DB0E811-7A07-4B47-94C9-51910B29B70F}"/>
    <cellStyle name="Normal 5 5 11 3 3 2" xfId="18308" xr:uid="{6F54EB1A-1311-4D27-8097-8CD8D1563D00}"/>
    <cellStyle name="Normal 5 5 11 3 4" xfId="10761" xr:uid="{48B315A3-3C3E-4BEA-8461-C941A4EB87CC}"/>
    <cellStyle name="Normal 5 5 11 3 4 2" xfId="21141" xr:uid="{B930A244-317C-412E-8650-57C826C87A35}"/>
    <cellStyle name="Normal 5 5 11 3 5" xfId="22662" xr:uid="{4334BD2E-352E-42EE-A7C7-D2F9B2A11289}"/>
    <cellStyle name="Normal 5 5 11 3 6" xfId="13270" xr:uid="{604FBC59-3295-4B13-A9F1-F981AAB3DE81}"/>
    <cellStyle name="Normal 5 5 11 4" xfId="2379" xr:uid="{00000000-0005-0000-0000-00002D070000}"/>
    <cellStyle name="Normal 5 5 11 4 2" xfId="7506" xr:uid="{FCF08EC3-F309-4899-81CE-96FD1B16F63A}"/>
    <cellStyle name="Normal 5 5 11 4 2 2" xfId="25977" xr:uid="{2F8CFD30-2F39-4BF0-AA2D-0FF044118CA5}"/>
    <cellStyle name="Normal 5 5 11 4 2 3" xfId="17886" xr:uid="{04A88E33-8E60-442A-ACB4-D5B6750B17F3}"/>
    <cellStyle name="Normal 5 5 11 4 3" xfId="10339" xr:uid="{17D7B839-A0C6-4451-8C04-70D84E4DBEDC}"/>
    <cellStyle name="Normal 5 5 11 4 3 2" xfId="20719" xr:uid="{DCCB5FD8-3287-41BE-881B-BF4A28D4EB70}"/>
    <cellStyle name="Normal 5 5 11 4 4" xfId="24784" xr:uid="{9C89D61B-0979-4EE4-8EAE-4F41590389BD}"/>
    <cellStyle name="Normal 5 5 11 4 5" xfId="15053" xr:uid="{EE4A4ECD-ED50-426C-A966-AC3CA98DA575}"/>
    <cellStyle name="Normal 5 5 11 5" xfId="4021" xr:uid="{48FCAB28-1DBD-45FB-903C-24765057A287}"/>
    <cellStyle name="Normal 5 5 11 5 2" xfId="8824" xr:uid="{9DCC1B39-D915-4DEC-98C8-9A4B33B982B5}"/>
    <cellStyle name="Normal 5 5 11 5 2 2" xfId="19204" xr:uid="{3836725B-8785-4F07-A102-D6BA5B9BBB56}"/>
    <cellStyle name="Normal 5 5 11 5 3" xfId="11657" xr:uid="{9912C377-C28E-4D27-BE9A-6F6221DE7E31}"/>
    <cellStyle name="Normal 5 5 11 5 3 2" xfId="22037" xr:uid="{E4CC2B2D-5B99-4DD1-8C43-1C4FEE8F706D}"/>
    <cellStyle name="Normal 5 5 11 5 4" xfId="27259" xr:uid="{E1C89664-C2E8-43E4-9FBC-FFE5060CDD3E}"/>
    <cellStyle name="Normal 5 5 11 5 5" xfId="16371" xr:uid="{17B663D9-77B7-4F71-B339-7819DE68ED7F}"/>
    <cellStyle name="Normal 5 5 11 6" xfId="5348" xr:uid="{8A7CB6DC-62A6-4A41-BD63-39B130266C07}"/>
    <cellStyle name="Normal 5 5 11 6 2" xfId="14646" xr:uid="{8502C43C-794E-4B6F-B67D-BD0D4D682ECE}"/>
    <cellStyle name="Normal 5 5 11 7" xfId="7099" xr:uid="{75D9ED91-7E43-489A-A8B4-89D35DF5508A}"/>
    <cellStyle name="Normal 5 5 11 7 2" xfId="17479" xr:uid="{D3798922-15BD-4391-B2DB-2869E632F67C}"/>
    <cellStyle name="Normal 5 5 11 8" xfId="9932" xr:uid="{C9B053E7-DAD6-4D4E-AF63-D9C4E93DF7D7}"/>
    <cellStyle name="Normal 5 5 11 8 2" xfId="20312" xr:uid="{6D49E5DE-4DD4-4781-A18A-ECEDA2030118}"/>
    <cellStyle name="Normal 5 5 11 9" xfId="24225" xr:uid="{7F2AEEC7-788B-48EF-8D12-1F317B985EA8}"/>
    <cellStyle name="Normal 5 5 12" xfId="1182" xr:uid="{00000000-0005-0000-0000-000062060000}"/>
    <cellStyle name="Normal 5 5 12 2" xfId="1183" xr:uid="{00000000-0005-0000-0000-000063060000}"/>
    <cellStyle name="Normal 5 5 12 2 2" xfId="25907" xr:uid="{ACDBEB07-C175-4F8A-AF35-7A83D073F597}"/>
    <cellStyle name="Normal 5 5 12 2 2 2" xfId="27059" xr:uid="{73488BCF-2C51-42DE-9E58-72168444506D}"/>
    <cellStyle name="Normal 5 5 12 2 2 3" xfId="31494" xr:uid="{8C768011-0350-4625-9C22-6E5BAC343524}"/>
    <cellStyle name="Normal 5 5 12 2 2 4" xfId="31304" xr:uid="{4E92DD05-9DE3-47E0-9C33-4A23B380A4BC}"/>
    <cellStyle name="Normal 5 5 12 2 3" xfId="27500" xr:uid="{C60B8A07-C87E-417E-81F5-A75D4AE0518D}"/>
    <cellStyle name="Normal 5 5 12 2 4" xfId="27364" xr:uid="{FCABEA70-D790-4657-BF9A-CD1687570BD1}"/>
    <cellStyle name="Normal 5 5 12 2 5" xfId="31253" xr:uid="{29DBD238-5483-4789-AB60-4DC6E160D543}"/>
    <cellStyle name="Normal 5 5 12 3" xfId="1184" xr:uid="{00000000-0005-0000-0000-000064060000}"/>
    <cellStyle name="Normal 5 5 12 3 2" xfId="1185" xr:uid="{00000000-0005-0000-0000-000065060000}"/>
    <cellStyle name="Normal 5 5 12 3 2 2" xfId="7100" xr:uid="{7DC8D161-DB25-42F7-A675-B9ABA09E6623}"/>
    <cellStyle name="Normal 5 5 12 3 2 2 2" xfId="17480" xr:uid="{CB8E9133-3D83-4494-9F60-E776A3EA70F0}"/>
    <cellStyle name="Normal 5 5 12 3 2 3" xfId="9933" xr:uid="{75CD5C8B-75F0-4E18-B7D2-91830223CFAA}"/>
    <cellStyle name="Normal 5 5 12 3 2 3 2" xfId="20313" xr:uid="{4A077567-9598-4D3C-9AEB-03C07E8EA24F}"/>
    <cellStyle name="Normal 5 5 12 3 2 4" xfId="25581" xr:uid="{DBCD1220-8789-4BF8-809A-A3A65496A92B}"/>
    <cellStyle name="Normal 5 5 12 3 2 5" xfId="14647" xr:uid="{A45105C8-7446-4B1D-BB0F-E6E66EEAF4EB}"/>
    <cellStyle name="Normal 5 5 12 3 3" xfId="3773" xr:uid="{D3491984-6149-4A4F-97CA-96AC04F0A2CD}"/>
    <cellStyle name="Normal 5 5 12 3 3 2" xfId="4807" xr:uid="{62869006-B692-4B88-AA1D-967FD650D28C}"/>
    <cellStyle name="Normal 5 5 12 3 3 3" xfId="30295" xr:uid="{0809AC62-F3B7-493F-BB49-1E9941AC2340}"/>
    <cellStyle name="Normal 5 5 12 3 3 3 2" xfId="31438" xr:uid="{7019EB67-3295-429D-8D0F-44B17EE0D105}"/>
    <cellStyle name="Normal 5 5 12 3 3 4" xfId="31635" xr:uid="{7ED5B869-69B2-431F-9CC3-F41F5D450414}"/>
    <cellStyle name="Normal 5 5 12 3 4" xfId="24796" xr:uid="{EC1A1E87-7558-46ED-8398-DDED782A19A9}"/>
    <cellStyle name="Normal 5 5 12 4" xfId="1186" xr:uid="{00000000-0005-0000-0000-000066060000}"/>
    <cellStyle name="Normal 5 5 12 4 2" xfId="2012" xr:uid="{00000000-0005-0000-0000-000067060000}"/>
    <cellStyle name="Normal 5 5 12 4 2 2" xfId="28245" xr:uid="{C0C981C0-058E-4026-91E4-71DD03B00545}"/>
    <cellStyle name="Normal 5 5 12 4 2 3" xfId="27488" xr:uid="{1A5E8FF4-C6F3-4045-99D5-5EFB1C02A4ED}"/>
    <cellStyle name="Normal 5 5 12 4 3" xfId="3743" xr:uid="{00000000-0005-0000-0000-0000CD050000}"/>
    <cellStyle name="Normal 5 5 12 4 3 2" xfId="4732" xr:uid="{D383C0AB-15AA-4183-8653-F3BF4C9DCA49}"/>
    <cellStyle name="Normal 5 5 12 4 3 3" xfId="30268" xr:uid="{0A57DE32-6FA3-493D-BCD5-EF945C4BCD4C}"/>
    <cellStyle name="Normal 5 5 12 4 3 3 2" xfId="31411" xr:uid="{8D615E02-7AB1-47B9-B5C0-EFCC16FE5595}"/>
    <cellStyle name="Normal 5 5 12 4 3 4" xfId="31608" xr:uid="{333049E4-D2E4-478B-A9A7-397D8F1AD60F}"/>
    <cellStyle name="Normal 5 5 12 4 4" xfId="23739" xr:uid="{584E66C2-83BD-4415-897A-413EAACEC637}"/>
    <cellStyle name="Normal 5 5 12 4 5" xfId="23070" xr:uid="{445314E8-3702-42F9-96C4-4F1E3E1FC2C9}"/>
    <cellStyle name="Normal 5 5 12 4 6" xfId="26121" xr:uid="{972A4539-7000-4879-8DC1-AC3C9DAB57C7}"/>
    <cellStyle name="Normal 5 5 12 5" xfId="1187" xr:uid="{00000000-0005-0000-0000-000068060000}"/>
    <cellStyle name="Normal 5 5 12 5 2" xfId="26128" xr:uid="{0C3713C4-0CF4-45B5-BE60-F039348800A1}"/>
    <cellStyle name="Normal 5 5 12 5 3" xfId="26556" xr:uid="{46B5948C-5A50-4947-9B43-BD3926155E12}"/>
    <cellStyle name="Normal 5 5 12 6" xfId="2013" xr:uid="{00000000-0005-0000-0000-000069060000}"/>
    <cellStyle name="Normal 5 5 12 6 2" xfId="25719" xr:uid="{6E76D09D-B907-43F5-8545-1CFD81722536}"/>
    <cellStyle name="Normal 5 5 12 6 3" xfId="24485" xr:uid="{D6BD1202-D166-4806-99B6-7721F3E5DC6E}"/>
    <cellStyle name="Normal 5 5 12 6 4" xfId="30397" xr:uid="{A373ECD6-01CF-4482-A92D-8D307049E070}"/>
    <cellStyle name="Normal 5 5 12 7" xfId="2134" xr:uid="{00000000-0005-0000-0000-0000A1020000}"/>
    <cellStyle name="Normal 5 5 12 7 2" xfId="4820" xr:uid="{933CD350-3DDB-4FFC-B65F-DBC9B5AC6FAA}"/>
    <cellStyle name="Normal 5 5 12 7 3" xfId="30215" xr:uid="{827A0F38-C1A0-4EEE-9A2A-D5F26A0F3BC4}"/>
    <cellStyle name="Normal 5 5 12 7 3 2" xfId="31359" xr:uid="{12077E98-D42B-4C46-B42E-477CDA1BC168}"/>
    <cellStyle name="Normal 5 5 12 7 4" xfId="31555" xr:uid="{ED0A659F-49C6-47AD-A8E9-D609C6FE0B98}"/>
    <cellStyle name="Normal 5 5 12 8" xfId="4040" xr:uid="{339DDFF4-B60C-4AB4-A281-8CA03C0100FF}"/>
    <cellStyle name="Normal 5 5 12 8 2" xfId="4818" xr:uid="{7550A7D3-C1EF-43A3-A121-A8E9FC3C1D0F}"/>
    <cellStyle name="Normal 5 5 12 8 3" xfId="30332" xr:uid="{D7DBAFC5-F908-4480-B7AC-0D36D243E461}"/>
    <cellStyle name="Normal 5 5 12 8 3 2" xfId="30468" xr:uid="{008082A2-179F-4EAE-9BED-194B26EA3013}"/>
    <cellStyle name="Normal 5 5 12 8 4" xfId="31672" xr:uid="{958C0CF7-489D-4DFD-AFD0-0923A7F799E9}"/>
    <cellStyle name="Normal 5 5 12 9" xfId="25796" xr:uid="{E3CEE472-2575-4086-9B70-8587E190341C}"/>
    <cellStyle name="Normal 5 5 12 9 2" xfId="26401" xr:uid="{EE6D3784-0C10-40B4-B5A5-246641421871}"/>
    <cellStyle name="Normal 5 5 12 9 3" xfId="31166" xr:uid="{1A4271D5-26B0-4441-8D15-E29ECA5F4D9D}"/>
    <cellStyle name="Normal 5 5 13" xfId="1188" xr:uid="{00000000-0005-0000-0000-00006A060000}"/>
    <cellStyle name="Normal 5 5 13 2" xfId="4557" xr:uid="{38105DB8-0B13-45DB-93CB-A7A2B7B10682}"/>
    <cellStyle name="Normal 5 5 13 2 2" xfId="9329" xr:uid="{0F5DC92B-D17F-4932-B880-4EB216E0BB19}"/>
    <cellStyle name="Normal 5 5 13 2 2 2" xfId="29304" xr:uid="{A528E6A3-E5CF-41CD-8A5A-85D9B57ECB1A}"/>
    <cellStyle name="Normal 5 5 13 2 2 3" xfId="19709" xr:uid="{B187A614-F1FD-4C04-8325-25B84F0A4B75}"/>
    <cellStyle name="Normal 5 5 13 2 3" xfId="12162" xr:uid="{7CDD758D-F939-4E92-9942-827284B6582E}"/>
    <cellStyle name="Normal 5 5 13 2 3 2" xfId="22542" xr:uid="{15B03982-7DF5-45B6-B4D5-42116C944D4D}"/>
    <cellStyle name="Normal 5 5 13 2 4" xfId="23764" xr:uid="{1C157A74-79B0-4AE9-B1C8-C0BCC2BE83BE}"/>
    <cellStyle name="Normal 5 5 13 2 5" xfId="16876" xr:uid="{039AE286-CAD9-40EC-9813-C989AE274BDE}"/>
    <cellStyle name="Normal 5 5 13 3" xfId="5349" xr:uid="{5A847891-704E-4D1C-A49B-5183AFA3F5F8}"/>
    <cellStyle name="Normal 5 5 13 3 2" xfId="25718" xr:uid="{BA89B0B9-DB42-4CE7-A4A3-ECE24486E886}"/>
    <cellStyle name="Normal 5 5 13 3 3" xfId="25874" xr:uid="{45F60256-2B71-41F7-8537-374E0F6D4207}"/>
    <cellStyle name="Normal 5 5 13 3 4" xfId="14648" xr:uid="{5CE4162D-AD48-4C0F-BA62-B934F4EA9B59}"/>
    <cellStyle name="Normal 5 5 13 4" xfId="7101" xr:uid="{9A900B08-9AE9-41AC-BA20-2AA538F9927D}"/>
    <cellStyle name="Normal 5 5 13 4 2" xfId="22948" xr:uid="{97C5DAE0-DA9C-4F0F-BCD1-117901AE5D5C}"/>
    <cellStyle name="Normal 5 5 13 4 3" xfId="27065" xr:uid="{D13F99A1-37DD-4A26-B175-7EDE3659B42B}"/>
    <cellStyle name="Normal 5 5 13 4 4" xfId="17481" xr:uid="{5AED7AF1-2763-4797-82AA-CF475C5E3EE4}"/>
    <cellStyle name="Normal 5 5 13 5" xfId="9934" xr:uid="{18FE5CF4-E9A5-4356-8158-B3F8919FD961}"/>
    <cellStyle name="Normal 5 5 13 5 2" xfId="29433" xr:uid="{5879B14D-2429-4E4A-9882-196F79DE5875}"/>
    <cellStyle name="Normal 5 5 13 5 3" xfId="20314" xr:uid="{0267A0D3-C892-4DAA-A391-47195DB4C23E}"/>
    <cellStyle name="Normal 5 5 13 6" xfId="24214" xr:uid="{6BA6356E-FEFE-4288-B90B-406AF9C7B10D}"/>
    <cellStyle name="Normal 5 5 13 7" xfId="13967" xr:uid="{9949E944-6653-48A5-B6AF-827C31A6C8F2}"/>
    <cellStyle name="Normal 5 5 13 8" xfId="31252" xr:uid="{74A630F6-B0B0-425A-B58E-98533DCF93A3}"/>
    <cellStyle name="Normal 5 5 14" xfId="1189" xr:uid="{00000000-0005-0000-0000-00006B060000}"/>
    <cellStyle name="Normal 5 5 14 2" xfId="1190" xr:uid="{00000000-0005-0000-0000-00006C060000}"/>
    <cellStyle name="Normal 5 5 14 3" xfId="3744" xr:uid="{00000000-0005-0000-0000-0000D2050000}"/>
    <cellStyle name="Normal 5 5 14 3 2" xfId="4727" xr:uid="{38D387F4-79B0-4AC8-8B84-16D0B67DE4C8}"/>
    <cellStyle name="Normal 5 5 14 3 2 2" xfId="28467" xr:uid="{8C94C9FE-AE2A-4793-A8B8-55E759787D53}"/>
    <cellStyle name="Normal 5 5 14 3 3" xfId="26889" xr:uid="{B149FF73-7C82-4791-B193-8AF6ACE56154}"/>
    <cellStyle name="Normal 5 5 14 3 4" xfId="30269" xr:uid="{D54B79A8-5499-4F5C-A60A-015D6BE65FD9}"/>
    <cellStyle name="Normal 5 5 14 3 4 2" xfId="31412" xr:uid="{575483AF-AA95-4D48-B584-5A9993226AA8}"/>
    <cellStyle name="Normal 5 5 14 3 5" xfId="31609" xr:uid="{14E7F71F-AA9C-4825-9092-BF0C8A1EFF2F}"/>
    <cellStyle name="Normal 5 5 14 4" xfId="28548" xr:uid="{11F1C702-C94E-40E4-AA7E-C36BBAF97840}"/>
    <cellStyle name="Normal 5 5 15" xfId="2440" xr:uid="{00000000-0005-0000-0000-000035070000}"/>
    <cellStyle name="Normal 5 5 15 2" xfId="5735" xr:uid="{7DB3CBEA-D902-42B2-B26F-9421550EC6CD}"/>
    <cellStyle name="Normal 5 5 15 2 2" xfId="27303" xr:uid="{F2621A6C-0918-4A36-97E3-78A546121BE8}"/>
    <cellStyle name="Normal 5 5 15 2 3" xfId="15112" xr:uid="{05B98610-ECCC-4335-8398-4FB0B93CE0B1}"/>
    <cellStyle name="Normal 5 5 15 3" xfId="7565" xr:uid="{35D911EE-CA73-4C5D-9B99-8E5C459EE06E}"/>
    <cellStyle name="Normal 5 5 15 3 2" xfId="17945" xr:uid="{38B158EE-2C47-4BA9-93C3-58BBE1E0AD96}"/>
    <cellStyle name="Normal 5 5 15 4" xfId="10398" xr:uid="{5DEE6F7F-8E03-4FC8-9594-1274073636D5}"/>
    <cellStyle name="Normal 5 5 15 4 2" xfId="20778" xr:uid="{9D104917-06C4-40D3-830F-73A016A7D825}"/>
    <cellStyle name="Normal 5 5 15 5" xfId="24794" xr:uid="{98197A97-5624-49B2-8B85-1F5369343C3E}"/>
    <cellStyle name="Normal 5 5 15 6" xfId="12827" xr:uid="{25B2FA1F-E539-4D97-AD51-FB2C4B7972FE}"/>
    <cellStyle name="Normal 5 5 16" xfId="2170" xr:uid="{00000000-0005-0000-0000-000028070000}"/>
    <cellStyle name="Normal 5 5 16 2" xfId="7297" xr:uid="{E92BBBE8-8A65-484D-9CC1-3D51172C4C28}"/>
    <cellStyle name="Normal 5 5 16 2 2" xfId="28153" xr:uid="{A3A849C5-5574-4D15-95F8-4036D0CDEF59}"/>
    <cellStyle name="Normal 5 5 16 2 3" xfId="17677" xr:uid="{09A459B7-30EB-40B8-87C5-77F00D92A2FA}"/>
    <cellStyle name="Normal 5 5 16 3" xfId="10130" xr:uid="{F0A238C6-4582-4CBB-BADA-A9399A706E74}"/>
    <cellStyle name="Normal 5 5 16 3 2" xfId="20510" xr:uid="{334612D8-071C-4D16-88C2-0DED4F515CFC}"/>
    <cellStyle name="Normal 5 5 16 4" xfId="22845" xr:uid="{73C69CF9-2844-4024-B796-ADEC93F6100C}"/>
    <cellStyle name="Normal 5 5 16 5" xfId="14844" xr:uid="{0D04833F-70A4-4B17-A011-739F53913398}"/>
    <cellStyle name="Normal 5 5 17" xfId="2123" xr:uid="{00000000-0005-0000-0000-00009D020000}"/>
    <cellStyle name="Normal 5 5 17 2" xfId="4711" xr:uid="{1F0EAC01-3B78-43E3-B983-74B1E0899491}"/>
    <cellStyle name="Normal 5 5 17 2 2" xfId="28529" xr:uid="{9F244A23-EF37-4CA3-9C32-8399EE7045C9}"/>
    <cellStyle name="Normal 5 5 17 3" xfId="27863" xr:uid="{94C316B2-9303-4343-AB75-17DFAF12E21D}"/>
    <cellStyle name="Normal 5 5 17 4" xfId="30204" xr:uid="{36B20FD2-E384-4E2C-943F-B6158FB818DE}"/>
    <cellStyle name="Normal 5 5 17 4 2" xfId="31348" xr:uid="{5F08F1D5-89EB-4C5D-BB57-1B880E6EB770}"/>
    <cellStyle name="Normal 5 5 17 5" xfId="31544" xr:uid="{3B55F720-3305-4D8B-B69F-321B180500C4}"/>
    <cellStyle name="Normal 5 5 18" xfId="4019" xr:uid="{F3938208-EDFC-4F17-ABB5-42A544677995}"/>
    <cellStyle name="Normal 5 5 18 2" xfId="4811" xr:uid="{F76BFFF7-F65C-4C10-94AE-340164E71EC1}"/>
    <cellStyle name="Normal 5 5 18 3" xfId="30322" xr:uid="{3F8752F1-9A5A-4A0A-9B43-2AF1C30DFDF6}"/>
    <cellStyle name="Normal 5 5 18 3 2" xfId="31465" xr:uid="{0CEB44F4-8608-49C7-AFD9-B308A93AF5D4}"/>
    <cellStyle name="Normal 5 5 18 4" xfId="31662" xr:uid="{67F64D7D-87AA-4672-BBA5-A417E15A374F}"/>
    <cellStyle name="Normal 5 5 19" xfId="24511" xr:uid="{2A1B3C75-EDBD-4134-9FA6-33FD8035DA32}"/>
    <cellStyle name="Normal 5 5 2" xfId="1191" xr:uid="{00000000-0005-0000-0000-00006D060000}"/>
    <cellStyle name="Normal 5 5 2 10" xfId="26257" xr:uid="{5DE0041A-A395-4337-A4C4-595A0109A733}"/>
    <cellStyle name="Normal 5 5 2 11" xfId="27202" xr:uid="{576765FF-1DD2-4048-9596-D0B7D8E5602E}"/>
    <cellStyle name="Normal 5 5 2 12" xfId="12425" xr:uid="{362E694F-978F-4355-B29B-573EACCA035C}"/>
    <cellStyle name="Normal 5 5 2 2" xfId="1192" xr:uid="{00000000-0005-0000-0000-00006E060000}"/>
    <cellStyle name="Normal 5 5 2 2 10" xfId="7102" xr:uid="{B0B4E6F4-CC37-40E9-80EA-BED5690BE15D}"/>
    <cellStyle name="Normal 5 5 2 2 10 2" xfId="17482" xr:uid="{2E4C73EB-3E1A-4761-96CA-1DE9565E7346}"/>
    <cellStyle name="Normal 5 5 2 2 11" xfId="9935" xr:uid="{F88CE84F-A75A-405A-85F5-7077666D2DA0}"/>
    <cellStyle name="Normal 5 5 2 2 11 2" xfId="20315" xr:uid="{7BAFE316-3944-4915-8BE3-1A5642390C24}"/>
    <cellStyle name="Normal 5 5 2 2 12" xfId="24558" xr:uid="{DB9B9E18-2DAE-4360-A9FC-C823D4674C38}"/>
    <cellStyle name="Normal 5 5 2 2 13" xfId="12485" xr:uid="{C15E1874-5A7B-419B-A795-ECC2719E4B4E}"/>
    <cellStyle name="Normal 5 5 2 2 2" xfId="1193" xr:uid="{00000000-0005-0000-0000-00006F060000}"/>
    <cellStyle name="Normal 5 5 2 2 2 10" xfId="9936" xr:uid="{F46A6A26-8631-4AEC-8C24-F217A2A7B3F9}"/>
    <cellStyle name="Normal 5 5 2 2 2 10 2" xfId="20316" xr:uid="{0F1B2E8D-661B-421F-A428-2548615D2947}"/>
    <cellStyle name="Normal 5 5 2 2 2 11" xfId="22903" xr:uid="{0ACF97C6-F5AF-4F36-A2CC-B0340721807C}"/>
    <cellStyle name="Normal 5 5 2 2 2 12" xfId="12614" xr:uid="{1A299909-22DC-4007-AC4D-C1AE15C09573}"/>
    <cellStyle name="Normal 5 5 2 2 2 2" xfId="2806" xr:uid="{00000000-0005-0000-0000-000039070000}"/>
    <cellStyle name="Normal 5 5 2 2 2 2 2" xfId="3399" xr:uid="{00000000-0005-0000-0000-00003A070000}"/>
    <cellStyle name="Normal 5 5 2 2 2 2 2 2" xfId="6457" xr:uid="{B693116F-FEF4-432D-A5BF-701A0649DF30}"/>
    <cellStyle name="Normal 5 5 2 2 2 2 2 2 2" xfId="27808" xr:uid="{004B866A-C76F-45A8-808C-C75755EC1086}"/>
    <cellStyle name="Normal 5 5 2 2 2 2 2 2 3" xfId="26535" xr:uid="{5EEAA4AB-3C3E-4C53-A277-A707876DE5EC}"/>
    <cellStyle name="Normal 5 5 2 2 2 2 2 2 4" xfId="16026" xr:uid="{C3ACAFC0-D7C2-42C7-B4DB-7ED8EAC47E68}"/>
    <cellStyle name="Normal 5 5 2 2 2 2 2 3" xfId="8479" xr:uid="{17E6980B-06A1-43B6-BE43-611354CBBEB0}"/>
    <cellStyle name="Normal 5 5 2 2 2 2 2 3 2" xfId="28925" xr:uid="{2BA3EE89-B748-4827-8F21-A2E506D72BC1}"/>
    <cellStyle name="Normal 5 5 2 2 2 2 2 3 3" xfId="18859" xr:uid="{230430B1-9100-4B76-B9BD-F64508174F52}"/>
    <cellStyle name="Normal 5 5 2 2 2 2 2 4" xfId="11312" xr:uid="{ED3C4ACD-C51D-4BCF-A4E8-96036E058BC2}"/>
    <cellStyle name="Normal 5 5 2 2 2 2 2 4 2" xfId="21692" xr:uid="{C080D9CA-17F9-461C-BB69-7B4915B83AEE}"/>
    <cellStyle name="Normal 5 5 2 2 2 2 2 5" xfId="25284" xr:uid="{7EECCA54-9783-4BBF-8C42-BADB856D8B4F}"/>
    <cellStyle name="Normal 5 5 2 2 2 2 2 6" xfId="13969" xr:uid="{EACC5766-D3D6-44EE-B595-1F5883978ED0}"/>
    <cellStyle name="Normal 5 5 2 2 2 2 3" xfId="4356" xr:uid="{42FF46A1-3943-4358-A655-8294E62CEED5}"/>
    <cellStyle name="Normal 5 5 2 2 2 2 3 2" xfId="9128" xr:uid="{45B9D55E-2186-44A0-B273-E1A0BC1506FA}"/>
    <cellStyle name="Normal 5 5 2 2 2 2 3 2 2" xfId="29171" xr:uid="{1140FD3F-198E-4BE1-8F06-A8CC335DBE44}"/>
    <cellStyle name="Normal 5 5 2 2 2 2 3 2 3" xfId="19508" xr:uid="{D17F7F4F-1A46-4910-97EE-82CDCD2E107F}"/>
    <cellStyle name="Normal 5 5 2 2 2 2 3 3" xfId="11961" xr:uid="{EFE23553-F273-457E-8C06-1E2A03F6FE27}"/>
    <cellStyle name="Normal 5 5 2 2 2 2 3 3 2" xfId="22341" xr:uid="{6CADACF1-9D51-44A3-9B24-E581EC859066}"/>
    <cellStyle name="Normal 5 5 2 2 2 2 3 4" xfId="23124" xr:uid="{B72063E7-D175-445C-9430-BB26FE783578}"/>
    <cellStyle name="Normal 5 5 2 2 2 2 3 5" xfId="16675" xr:uid="{255421F1-8B49-49EF-B50C-7FEA55A0C4D7}"/>
    <cellStyle name="Normal 5 5 2 2 2 2 4" xfId="6024" xr:uid="{7E2B3A4D-18A7-41AE-9703-8F1DD1C41124}"/>
    <cellStyle name="Normal 5 5 2 2 2 2 4 2" xfId="26662" xr:uid="{F952BBFA-15EB-48C0-894C-CF0A26F279D2}"/>
    <cellStyle name="Normal 5 5 2 2 2 2 4 3" xfId="15477" xr:uid="{3DA3D78E-B3D0-4042-BBF9-EADB3DB9540E}"/>
    <cellStyle name="Normal 5 5 2 2 2 2 5" xfId="7930" xr:uid="{028A5E22-1E60-4C6D-B1A8-9DE76CBD3299}"/>
    <cellStyle name="Normal 5 5 2 2 2 2 5 2" xfId="18310" xr:uid="{5B658F29-19A3-4C8F-8C89-874C7FC593B0}"/>
    <cellStyle name="Normal 5 5 2 2 2 2 6" xfId="10763" xr:uid="{39021503-6D23-4026-AADD-CEECF31F2E18}"/>
    <cellStyle name="Normal 5 5 2 2 2 2 6 2" xfId="21143" xr:uid="{79DF7F93-3D36-4E82-B3C2-21FBC05247DD}"/>
    <cellStyle name="Normal 5 5 2 2 2 2 7" xfId="23801" xr:uid="{B54B0BB9-E6CF-4A46-9F3A-B3E751558D28}"/>
    <cellStyle name="Normal 5 5 2 2 2 2 8" xfId="13272" xr:uid="{C4529065-302D-4BBB-8DEA-0825232BFC5B}"/>
    <cellStyle name="Normal 5 5 2 2 2 3" xfId="3400" xr:uid="{00000000-0005-0000-0000-00003B070000}"/>
    <cellStyle name="Normal 5 5 2 2 2 3 2" xfId="4558" xr:uid="{5061FD9F-2244-4556-BA81-017209E54E57}"/>
    <cellStyle name="Normal 5 5 2 2 2 3 2 2" xfId="9330" xr:uid="{63D3143B-3A50-4839-B294-F3935BB8C913}"/>
    <cellStyle name="Normal 5 5 2 2 2 3 2 2 2" xfId="29305" xr:uid="{9C4F8361-A348-40D6-BDC8-184E1ED0AEEB}"/>
    <cellStyle name="Normal 5 5 2 2 2 3 2 2 3" xfId="19710" xr:uid="{2232B086-86C9-44E8-ACC9-F05AE9E85F48}"/>
    <cellStyle name="Normal 5 5 2 2 2 3 2 3" xfId="12163" xr:uid="{F278D5A6-BB19-4A71-909D-4B185E053A15}"/>
    <cellStyle name="Normal 5 5 2 2 2 3 2 3 2" xfId="22543" xr:uid="{FF77EDCE-32AF-4B79-86CC-5D0FC410DFDE}"/>
    <cellStyle name="Normal 5 5 2 2 2 3 2 4" xfId="28116" xr:uid="{21DB635F-914E-44BB-A5BA-96824586B764}"/>
    <cellStyle name="Normal 5 5 2 2 2 3 2 5" xfId="16877" xr:uid="{DA1DE3AE-D369-465E-B70F-9C5DCCD86772}"/>
    <cellStyle name="Normal 5 5 2 2 2 3 3" xfId="6458" xr:uid="{6C9958EC-64CD-4EFE-AD25-5341EAC58E19}"/>
    <cellStyle name="Normal 5 5 2 2 2 3 3 2" xfId="26307" xr:uid="{10785CCF-BC71-459D-8435-C52D33AD31DA}"/>
    <cellStyle name="Normal 5 5 2 2 2 3 3 3" xfId="16027" xr:uid="{2AC0485A-BBA8-4B3B-8289-888B36D3D1A8}"/>
    <cellStyle name="Normal 5 5 2 2 2 3 4" xfId="8480" xr:uid="{35104300-7B7B-4930-AA22-97CBEA0E597A}"/>
    <cellStyle name="Normal 5 5 2 2 2 3 4 2" xfId="18860" xr:uid="{BCD25388-0DE1-4453-B0E2-7C53AEE133CA}"/>
    <cellStyle name="Normal 5 5 2 2 2 3 5" xfId="11313" xr:uid="{7B72F5E2-F4A0-4DAF-A072-8BB8EE9CF698}"/>
    <cellStyle name="Normal 5 5 2 2 2 3 5 2" xfId="21693" xr:uid="{4A7BD036-C2BA-45A6-87CB-029FEA504C56}"/>
    <cellStyle name="Normal 5 5 2 2 2 3 6" xfId="25116" xr:uid="{82B60B71-A98F-4867-B481-3777DF42A92A}"/>
    <cellStyle name="Normal 5 5 2 2 2 3 7" xfId="13970" xr:uid="{CDB8CBB4-B877-4130-B85B-07A03F751A31}"/>
    <cellStyle name="Normal 5 5 2 2 2 4" xfId="3398" xr:uid="{00000000-0005-0000-0000-00003C070000}"/>
    <cellStyle name="Normal 5 5 2 2 2 4 2" xfId="6456" xr:uid="{65CAC8DB-A56D-46C3-87F9-F4F75AAA66E8}"/>
    <cellStyle name="Normal 5 5 2 2 2 4 2 2" xfId="26022" xr:uid="{17070FC0-3C6C-4245-8F38-027CA186084B}"/>
    <cellStyle name="Normal 5 5 2 2 2 4 2 3" xfId="16025" xr:uid="{ECC0695D-BED6-47AA-9185-A5C5234CEBF3}"/>
    <cellStyle name="Normal 5 5 2 2 2 4 3" xfId="8478" xr:uid="{14C93518-D0C9-4908-BAB1-9DCD1EEEA571}"/>
    <cellStyle name="Normal 5 5 2 2 2 4 3 2" xfId="18858" xr:uid="{ECDDFA73-36FF-49D5-82B7-03A53E73BDAB}"/>
    <cellStyle name="Normal 5 5 2 2 2 4 4" xfId="11311" xr:uid="{8B1E5D26-8A8D-4AC7-9715-3F1243DFF57E}"/>
    <cellStyle name="Normal 5 5 2 2 2 4 4 2" xfId="21691" xr:uid="{344B6013-3AA0-45E1-85B1-D40B03FD4C40}"/>
    <cellStyle name="Normal 5 5 2 2 2 4 5" xfId="24507" xr:uid="{5CB2466F-53D5-49FA-A5CA-E50A3B9646E6}"/>
    <cellStyle name="Normal 5 5 2 2 2 4 6" xfId="13968" xr:uid="{C763E544-01F0-4302-8299-E43E37CE24BA}"/>
    <cellStyle name="Normal 5 5 2 2 2 5" xfId="2650" xr:uid="{00000000-0005-0000-0000-00003D070000}"/>
    <cellStyle name="Normal 5 5 2 2 2 5 2" xfId="5912" xr:uid="{E9B39E86-C76E-4FBD-A137-EE230CDA99AC}"/>
    <cellStyle name="Normal 5 5 2 2 2 5 2 2" xfId="26218" xr:uid="{691A211D-DDC5-4CF4-9FFE-159D307D29B3}"/>
    <cellStyle name="Normal 5 5 2 2 2 5 2 3" xfId="15322" xr:uid="{855B6DC1-1534-436D-91E0-D2640689A3F2}"/>
    <cellStyle name="Normal 5 5 2 2 2 5 3" xfId="7775" xr:uid="{60B7B1BA-B192-4DB5-8FB7-5B1053A8F3F3}"/>
    <cellStyle name="Normal 5 5 2 2 2 5 3 2" xfId="18155" xr:uid="{EC3B7F3F-BCF3-470D-9D43-126F2EB40004}"/>
    <cellStyle name="Normal 5 5 2 2 2 5 4" xfId="10608" xr:uid="{531C608E-CD0C-4B40-BC39-F0CCB15B2BDB}"/>
    <cellStyle name="Normal 5 5 2 2 2 5 4 2" xfId="20988" xr:uid="{29A04457-3328-4866-8B61-39382E330D84}"/>
    <cellStyle name="Normal 5 5 2 2 2 5 5" xfId="25347" xr:uid="{FA1D4321-F923-4174-B5D0-070FD482717B}"/>
    <cellStyle name="Normal 5 5 2 2 2 5 6" xfId="13050" xr:uid="{414A8D75-BE7B-45D4-8C3A-A99EAB138365}"/>
    <cellStyle name="Normal 5 5 2 2 2 6" xfId="2380" xr:uid="{00000000-0005-0000-0000-000038070000}"/>
    <cellStyle name="Normal 5 5 2 2 2 6 2" xfId="7507" xr:uid="{A1858BD0-3E6E-4D42-83BF-145C6C4D43DF}"/>
    <cellStyle name="Normal 5 5 2 2 2 6 2 2" xfId="17887" xr:uid="{FACD421A-A9BB-4B7F-906E-07EE7C2EF2B8}"/>
    <cellStyle name="Normal 5 5 2 2 2 6 3" xfId="10340" xr:uid="{6D389701-D329-41F9-BFEA-4C1354AC4875}"/>
    <cellStyle name="Normal 5 5 2 2 2 6 3 2" xfId="20720" xr:uid="{F1A12A08-1164-4488-A8B4-F6266E11AB30}"/>
    <cellStyle name="Normal 5 5 2 2 2 6 4" xfId="24991" xr:uid="{67298546-BF93-45C6-AFAE-B9A60F49A89F}"/>
    <cellStyle name="Normal 5 5 2 2 2 6 5" xfId="15054" xr:uid="{23599E62-A5C5-4F45-A758-20E3649CEB60}"/>
    <cellStyle name="Normal 5 5 2 2 2 7" xfId="4052" xr:uid="{EC54DFC6-9A1E-4C42-8373-D8A0D006B582}"/>
    <cellStyle name="Normal 5 5 2 2 2 7 2" xfId="8838" xr:uid="{F198D4A2-3B39-49A2-8553-811CD5569DB0}"/>
    <cellStyle name="Normal 5 5 2 2 2 7 2 2" xfId="19218" xr:uid="{695B1472-84E2-4093-ABA0-2537DF9ADA20}"/>
    <cellStyle name="Normal 5 5 2 2 2 7 3" xfId="11671" xr:uid="{358B6E7B-0337-430F-9A6B-737BE1E2DA12}"/>
    <cellStyle name="Normal 5 5 2 2 2 7 3 2" xfId="22051" xr:uid="{B5C359F9-33D3-4677-911E-4FBEB3C90639}"/>
    <cellStyle name="Normal 5 5 2 2 2 7 4" xfId="16385" xr:uid="{2F36583D-13FE-480E-AFDA-6739E674159F}"/>
    <cellStyle name="Normal 5 5 2 2 2 8" xfId="5351" xr:uid="{7A875D4A-C397-4525-BE3A-8192E68F8551}"/>
    <cellStyle name="Normal 5 5 2 2 2 8 2" xfId="14650" xr:uid="{2F2081C4-AAE6-4920-8CA4-EBB5256087C6}"/>
    <cellStyle name="Normal 5 5 2 2 2 9" xfId="7103" xr:uid="{2B3871C3-57A8-4A8B-88EE-B3736054FB29}"/>
    <cellStyle name="Normal 5 5 2 2 2 9 2" xfId="17483" xr:uid="{070D8DBB-57B4-4D3B-B9B3-AC7655AB8F30}"/>
    <cellStyle name="Normal 5 5 2 2 3" xfId="1194" xr:uid="{00000000-0005-0000-0000-000070060000}"/>
    <cellStyle name="Normal 5 5 2 2 3 2" xfId="3401" xr:uid="{00000000-0005-0000-0000-00003F070000}"/>
    <cellStyle name="Normal 5 5 2 2 3 2 2" xfId="6459" xr:uid="{5F4BDF0C-AD38-489E-945C-592418F3D60F}"/>
    <cellStyle name="Normal 5 5 2 2 3 2 2 2" xfId="27907" xr:uid="{59078814-849A-48FA-838A-3AFDDFEFD8E7}"/>
    <cellStyle name="Normal 5 5 2 2 3 2 2 3" xfId="28004" xr:uid="{28FDFF76-16BE-4E21-9F52-18072D3E868F}"/>
    <cellStyle name="Normal 5 5 2 2 3 2 2 4" xfId="16028" xr:uid="{38177F33-B1C7-46B5-A5E4-6B6D90111A41}"/>
    <cellStyle name="Normal 5 5 2 2 3 2 3" xfId="8481" xr:uid="{0542C4C6-33F3-4561-ABF9-B301DE495CC8}"/>
    <cellStyle name="Normal 5 5 2 2 3 2 3 2" xfId="28926" xr:uid="{DF4CA095-1D0A-4D01-AE9E-CD634DC17B5F}"/>
    <cellStyle name="Normal 5 5 2 2 3 2 3 3" xfId="18861" xr:uid="{37AFCBB9-FBB2-4771-AE08-1F6302956FA8}"/>
    <cellStyle name="Normal 5 5 2 2 3 2 4" xfId="11314" xr:uid="{BF39D8A6-DE77-46ED-8E7C-2A59A59A9E7E}"/>
    <cellStyle name="Normal 5 5 2 2 3 2 4 2" xfId="21694" xr:uid="{0A1F768E-1922-4983-B1A0-87585BE81350}"/>
    <cellStyle name="Normal 5 5 2 2 3 2 5" xfId="24720" xr:uid="{82D4A560-5319-4D31-AF03-8AE6CFD5F1B4}"/>
    <cellStyle name="Normal 5 5 2 2 3 2 6" xfId="13971" xr:uid="{ADBDC445-9129-45A7-9B94-818CEE590A24}"/>
    <cellStyle name="Normal 5 5 2 2 3 3" xfId="2805" xr:uid="{00000000-0005-0000-0000-000040070000}"/>
    <cellStyle name="Normal 5 5 2 2 3 3 2" xfId="6023" xr:uid="{029B14EC-CF2B-481F-91F2-B0945A0C6EF0}"/>
    <cellStyle name="Normal 5 5 2 2 3 3 2 2" xfId="26998" xr:uid="{E5486205-ECBC-4852-924A-35CB4B00C793}"/>
    <cellStyle name="Normal 5 5 2 2 3 3 2 3" xfId="15476" xr:uid="{B4C09E91-DD80-4E71-92A6-C67FE0301C28}"/>
    <cellStyle name="Normal 5 5 2 2 3 3 3" xfId="7929" xr:uid="{C889EAB7-8D62-4D1F-9E5B-398749ABC41B}"/>
    <cellStyle name="Normal 5 5 2 2 3 3 3 2" xfId="18309" xr:uid="{824B5F40-8C47-4CBC-91EB-361E40A47A1B}"/>
    <cellStyle name="Normal 5 5 2 2 3 3 4" xfId="10762" xr:uid="{3DC114F8-6FC0-4D7E-A8C4-1B9E3BA197CA}"/>
    <cellStyle name="Normal 5 5 2 2 3 3 4 2" xfId="21142" xr:uid="{6C576C60-FC58-4C63-A93E-E194261DE55E}"/>
    <cellStyle name="Normal 5 5 2 2 3 3 5" xfId="23102" xr:uid="{AEBA479B-8B2B-4998-9E1E-9D0CC7F7AB55}"/>
    <cellStyle name="Normal 5 5 2 2 3 3 6" xfId="13271" xr:uid="{E80B7A3C-79FD-4DE7-AB06-D90D9C613D3B}"/>
    <cellStyle name="Normal 5 5 2 2 3 4" xfId="4205" xr:uid="{6834EE51-D997-4526-AFF7-7674E8CD52E1}"/>
    <cellStyle name="Normal 5 5 2 2 3 4 2" xfId="8977" xr:uid="{52CD7849-99F2-4A76-BEEC-7B45BE4C8AF9}"/>
    <cellStyle name="Normal 5 5 2 2 3 4 2 2" xfId="29059" xr:uid="{B9264E2E-ADFB-412E-B317-31A678C723CF}"/>
    <cellStyle name="Normal 5 5 2 2 3 4 2 3" xfId="19357" xr:uid="{179490EC-FDCB-402B-94EF-CA95ADD2D46F}"/>
    <cellStyle name="Normal 5 5 2 2 3 4 3" xfId="11810" xr:uid="{B5398A6F-9362-45CF-AD20-330DCF6A5113}"/>
    <cellStyle name="Normal 5 5 2 2 3 4 3 2" xfId="22190" xr:uid="{E683215B-69A9-4332-9ECA-A7146EBB9B6E}"/>
    <cellStyle name="Normal 5 5 2 2 3 4 4" xfId="24703" xr:uid="{1937E98F-1082-4654-912E-0E73F0FDECC6}"/>
    <cellStyle name="Normal 5 5 2 2 3 4 5" xfId="16524" xr:uid="{5FADDBF1-E6AD-4528-9DFD-7644B9EB274D}"/>
    <cellStyle name="Normal 5 5 2 2 3 5" xfId="5352" xr:uid="{D5B7A08C-93AF-4A8B-BAA3-33FC879FD868}"/>
    <cellStyle name="Normal 5 5 2 2 3 5 2" xfId="25877" xr:uid="{FFA69AF7-DCDD-478C-8045-146B1AA29976}"/>
    <cellStyle name="Normal 5 5 2 2 3 5 3" xfId="14651" xr:uid="{10343649-8127-45A8-BAD7-61F3D08369E2}"/>
    <cellStyle name="Normal 5 5 2 2 3 6" xfId="7104" xr:uid="{D97AF51E-6842-470A-A302-FB9E180CC5C0}"/>
    <cellStyle name="Normal 5 5 2 2 3 6 2" xfId="17484" xr:uid="{26D064AD-96E7-408C-B91A-A1976D6CC141}"/>
    <cellStyle name="Normal 5 5 2 2 3 7" xfId="9937" xr:uid="{9DD9D7F5-B940-4982-9CA5-B0B35070AC85}"/>
    <cellStyle name="Normal 5 5 2 2 3 7 2" xfId="20317" xr:uid="{007E509E-1ECD-466D-BDF6-DBFFD34B46D0}"/>
    <cellStyle name="Normal 5 5 2 2 3 8" xfId="25199" xr:uid="{D07689EE-8698-490A-8B28-CDB5E7DC64F0}"/>
    <cellStyle name="Normal 5 5 2 2 3 9" xfId="12772" xr:uid="{043A9170-707A-4857-BAA4-9D3A7C21999E}"/>
    <cellStyle name="Normal 5 5 2 2 4" xfId="3402" xr:uid="{00000000-0005-0000-0000-000041070000}"/>
    <cellStyle name="Normal 5 5 2 2 4 2" xfId="4559" xr:uid="{3CF4326C-D6BE-478D-A5AB-70D5107A7187}"/>
    <cellStyle name="Normal 5 5 2 2 4 2 2" xfId="9331" xr:uid="{E4D7FA6F-D905-4DC4-9BC7-4EA3BE03A3B3}"/>
    <cellStyle name="Normal 5 5 2 2 4 2 2 2" xfId="29306" xr:uid="{F28EC19A-FBD0-4F93-B03F-F0F80AE7A4BE}"/>
    <cellStyle name="Normal 5 5 2 2 4 2 2 3" xfId="19711" xr:uid="{76CB73A2-CD86-444B-A7AF-35AC7FBC6DB6}"/>
    <cellStyle name="Normal 5 5 2 2 4 2 3" xfId="12164" xr:uid="{96400753-8A15-46A2-9112-817415644141}"/>
    <cellStyle name="Normal 5 5 2 2 4 2 3 2" xfId="22544" xr:uid="{15C8712E-B6BD-43DB-93B4-B04017EF9B83}"/>
    <cellStyle name="Normal 5 5 2 2 4 2 4" xfId="25462" xr:uid="{A66370E2-A123-4049-9C50-5E66FB73A7CC}"/>
    <cellStyle name="Normal 5 5 2 2 4 2 5" xfId="16878" xr:uid="{D0372305-A075-40F8-B8D7-65EB360A5A6E}"/>
    <cellStyle name="Normal 5 5 2 2 4 3" xfId="6460" xr:uid="{1BDBD616-9D9B-470F-BE62-BB461EBDAC3C}"/>
    <cellStyle name="Normal 5 5 2 2 4 3 2" xfId="26233" xr:uid="{3437AC94-B370-44C3-8889-2FAC6B023C10}"/>
    <cellStyle name="Normal 5 5 2 2 4 3 3" xfId="16029" xr:uid="{A6F22AD9-7E49-48EB-A5FA-DD22D02FC106}"/>
    <cellStyle name="Normal 5 5 2 2 4 4" xfId="8482" xr:uid="{E508F1DE-AC46-406E-A968-8C7B9890A961}"/>
    <cellStyle name="Normal 5 5 2 2 4 4 2" xfId="18862" xr:uid="{DB266FA3-4845-4CA2-AE74-C3C8B71D49F3}"/>
    <cellStyle name="Normal 5 5 2 2 4 5" xfId="11315" xr:uid="{770BB5C3-0630-41B4-AC16-F438244C8242}"/>
    <cellStyle name="Normal 5 5 2 2 4 5 2" xfId="21695" xr:uid="{EC9D17BB-1761-454D-A2BA-8FF176B720FD}"/>
    <cellStyle name="Normal 5 5 2 2 4 6" xfId="25540" xr:uid="{898599E5-9CB3-47E9-8971-60A8327E7668}"/>
    <cellStyle name="Normal 5 5 2 2 4 7" xfId="13972" xr:uid="{0C57B530-4AC9-424F-BCEE-5551DD13B8FB}"/>
    <cellStyle name="Normal 5 5 2 2 5" xfId="2964" xr:uid="{00000000-0005-0000-0000-000042070000}"/>
    <cellStyle name="Normal 5 5 2 2 5 2" xfId="6129" xr:uid="{A2F16BF5-A93E-40B9-8DBC-6EECDD65DC6E}"/>
    <cellStyle name="Normal 5 5 2 2 5 2 2" xfId="27129" xr:uid="{0F1740B9-5506-4D8B-BF47-9E6F97236B49}"/>
    <cellStyle name="Normal 5 5 2 2 5 2 3" xfId="28394" xr:uid="{CAD045D7-C12F-4298-87A4-D0C3120DCD7B}"/>
    <cellStyle name="Normal 5 5 2 2 5 2 4" xfId="15607" xr:uid="{A8517938-CEC1-4531-88B4-43823CE6C60C}"/>
    <cellStyle name="Normal 5 5 2 2 5 3" xfId="8060" xr:uid="{94BC6C1E-C567-4FF0-AB86-7A65091721BD}"/>
    <cellStyle name="Normal 5 5 2 2 5 3 2" xfId="28376" xr:uid="{3A49D794-A173-4EFD-83E0-CE1E571F5A7B}"/>
    <cellStyle name="Normal 5 5 2 2 5 3 3" xfId="18440" xr:uid="{BCB46D85-B729-4F78-AEDD-ADF9162296B5}"/>
    <cellStyle name="Normal 5 5 2 2 5 4" xfId="10893" xr:uid="{A581CCAB-C95C-4C85-8035-5199D9553ABA}"/>
    <cellStyle name="Normal 5 5 2 2 5 4 2" xfId="21273" xr:uid="{6D12C64E-5F7B-47D3-AF52-9C6EE78B4D4F}"/>
    <cellStyle name="Normal 5 5 2 2 5 5" xfId="25571" xr:uid="{58D85909-3552-4170-B731-750D31FA0AB3}"/>
    <cellStyle name="Normal 5 5 2 2 5 6" xfId="13470" xr:uid="{E4338547-CC90-4D03-819C-605347135C7D}"/>
    <cellStyle name="Normal 5 5 2 2 6" xfId="2559" xr:uid="{00000000-0005-0000-0000-000043070000}"/>
    <cellStyle name="Normal 5 5 2 2 6 2" xfId="5829" xr:uid="{43281724-D4D4-4764-81AA-98673E3322C3}"/>
    <cellStyle name="Normal 5 5 2 2 6 2 2" xfId="26725" xr:uid="{037DAB8A-A842-4E5A-AC02-442EAB320EA5}"/>
    <cellStyle name="Normal 5 5 2 2 6 2 3" xfId="15231" xr:uid="{05099115-2671-4B30-83DA-8E993BD66C2A}"/>
    <cellStyle name="Normal 5 5 2 2 6 3" xfId="7684" xr:uid="{43F33238-6FFD-46D7-B783-DE99BEC24EC2}"/>
    <cellStyle name="Normal 5 5 2 2 6 3 2" xfId="18064" xr:uid="{376E7D56-6148-425B-B483-814B2A8D37CD}"/>
    <cellStyle name="Normal 5 5 2 2 6 4" xfId="10517" xr:uid="{DC3FE7B2-5804-462E-8778-5DF87623DF50}"/>
    <cellStyle name="Normal 5 5 2 2 6 4 2" xfId="20897" xr:uid="{CE690DC8-0FFC-4375-BF91-2DBCE44D3D30}"/>
    <cellStyle name="Normal 5 5 2 2 6 5" xfId="25474" xr:uid="{6E000032-F3D2-476D-804F-CBF5DEE81C48}"/>
    <cellStyle name="Normal 5 5 2 2 6 6" xfId="12947" xr:uid="{13182B47-0B63-49C6-BEF4-076BB4AB75D6}"/>
    <cellStyle name="Normal 5 5 2 2 7" xfId="2253" xr:uid="{00000000-0005-0000-0000-000037070000}"/>
    <cellStyle name="Normal 5 5 2 2 7 2" xfId="7380" xr:uid="{F8DEDDF5-4CEE-44B7-B924-98AEC26CB4E5}"/>
    <cellStyle name="Normal 5 5 2 2 7 2 2" xfId="17760" xr:uid="{337FD57F-5CE4-4D3C-B6A0-7F7572727214}"/>
    <cellStyle name="Normal 5 5 2 2 7 3" xfId="10213" xr:uid="{D8870ABD-E42D-45A4-82BD-D189C9EEA9FB}"/>
    <cellStyle name="Normal 5 5 2 2 7 3 2" xfId="20593" xr:uid="{11F17349-93D9-410C-9CDA-D0F712E1D062}"/>
    <cellStyle name="Normal 5 5 2 2 7 4" xfId="24675" xr:uid="{24398855-A23C-4216-A2AF-3DDF48A6DB9E}"/>
    <cellStyle name="Normal 5 5 2 2 7 5" xfId="14927" xr:uid="{ED22AC1C-E455-4E46-AC67-7F3F9C5E91CD}"/>
    <cellStyle name="Normal 5 5 2 2 8" xfId="4022" xr:uid="{B1921A58-8808-4F6C-B5BC-E2AC5A4EE5C5}"/>
    <cellStyle name="Normal 5 5 2 2 8 2" xfId="8825" xr:uid="{355ADFE8-D0B3-41F3-AA5B-6C8A7E98C54C}"/>
    <cellStyle name="Normal 5 5 2 2 8 2 2" xfId="19205" xr:uid="{0F339977-E116-46A0-B68E-677107876C12}"/>
    <cellStyle name="Normal 5 5 2 2 8 3" xfId="11658" xr:uid="{23C04812-C2E2-464A-B0E6-ABB95E3448B6}"/>
    <cellStyle name="Normal 5 5 2 2 8 3 2" xfId="22038" xr:uid="{10A5FB37-77EA-4271-8EA8-51E9FEFCE395}"/>
    <cellStyle name="Normal 5 5 2 2 8 4" xfId="16372" xr:uid="{9EE5A92E-77EA-4544-A2CD-1A6188350FBB}"/>
    <cellStyle name="Normal 5 5 2 2 9" xfId="5350" xr:uid="{141EAECA-CA83-4339-AB67-783AC0F0C1AB}"/>
    <cellStyle name="Normal 5 5 2 2 9 2" xfId="14649" xr:uid="{9FD627CF-5ACD-42F5-A83A-37F220194639}"/>
    <cellStyle name="Normal 5 5 2 3" xfId="1195" xr:uid="{00000000-0005-0000-0000-000071060000}"/>
    <cellStyle name="Normal 5 5 2 3 2" xfId="2808" xr:uid="{00000000-0005-0000-0000-000045070000}"/>
    <cellStyle name="Normal 5 5 2 3 2 2" xfId="3403" xr:uid="{00000000-0005-0000-0000-000046070000}"/>
    <cellStyle name="Normal 5 5 2 3 2 2 2" xfId="6461" xr:uid="{0E94E64F-DA8E-462B-A0AD-213059A35888}"/>
    <cellStyle name="Normal 5 5 2 3 2 2 2 2" xfId="27813" xr:uid="{53E02BFC-75AA-4874-A785-DB6306329D5B}"/>
    <cellStyle name="Normal 5 5 2 3 2 2 2 3" xfId="16030" xr:uid="{8DB3C3CA-6250-4251-8F5A-54DD04A575F8}"/>
    <cellStyle name="Normal 5 5 2 3 2 2 3" xfId="8483" xr:uid="{F60E9374-60EB-4CD0-BF3D-25BF61510848}"/>
    <cellStyle name="Normal 5 5 2 3 2 2 3 2" xfId="18863" xr:uid="{12B7C18D-4BB4-4A77-93A6-DB76E0496879}"/>
    <cellStyle name="Normal 5 5 2 3 2 2 4" xfId="11316" xr:uid="{F90D3A1A-CBE1-4691-BC16-C28722459F61}"/>
    <cellStyle name="Normal 5 5 2 3 2 2 4 2" xfId="21696" xr:uid="{CC58664D-2D50-455B-9893-3E24DFED6269}"/>
    <cellStyle name="Normal 5 5 2 3 2 2 5" xfId="23963" xr:uid="{6D2038FD-35E5-4C41-A8E3-88C4481B43AC}"/>
    <cellStyle name="Normal 5 5 2 3 2 2 6" xfId="13973" xr:uid="{F06C5421-9381-4EEA-BC1A-D91B49485E42}"/>
    <cellStyle name="Normal 5 5 2 3 2 3" xfId="4357" xr:uid="{DF391442-0F86-42A3-BB5A-C56DACB37174}"/>
    <cellStyle name="Normal 5 5 2 3 2 3 2" xfId="9129" xr:uid="{D6344311-8138-43CA-AF7B-5CBA192FF44C}"/>
    <cellStyle name="Normal 5 5 2 3 2 3 2 2" xfId="29172" xr:uid="{2A790C22-85A1-4413-87B7-1EF889C4D3DC}"/>
    <cellStyle name="Normal 5 5 2 3 2 3 2 3" xfId="19509" xr:uid="{67C25286-98AC-4787-826E-039D9F25AB1C}"/>
    <cellStyle name="Normal 5 5 2 3 2 3 3" xfId="11962" xr:uid="{DB176056-A70E-41F8-9C12-028E41C4528D}"/>
    <cellStyle name="Normal 5 5 2 3 2 3 3 2" xfId="22342" xr:uid="{D59AE9D9-970B-4E2C-87BC-E787ED0735CE}"/>
    <cellStyle name="Normal 5 5 2 3 2 3 4" xfId="24931" xr:uid="{4E06B9E5-64E3-4A8E-B09E-E067E712619F}"/>
    <cellStyle name="Normal 5 5 2 3 2 3 5" xfId="16676" xr:uid="{2B9A8F69-1ECA-41E3-BD61-796B23773C23}"/>
    <cellStyle name="Normal 5 5 2 3 2 4" xfId="6025" xr:uid="{FE446DA6-D06C-4DDB-A70B-A660F8B35E99}"/>
    <cellStyle name="Normal 5 5 2 3 2 4 2" xfId="28540" xr:uid="{4ADA7BED-3595-4230-9E32-77C96B340840}"/>
    <cellStyle name="Normal 5 5 2 3 2 4 3" xfId="15478" xr:uid="{922D9B3A-8BA9-4F2D-B188-27D4F991D461}"/>
    <cellStyle name="Normal 5 5 2 3 2 5" xfId="7931" xr:uid="{4A30BBEF-0CAE-4BE1-98FA-ED028CD2610C}"/>
    <cellStyle name="Normal 5 5 2 3 2 5 2" xfId="18311" xr:uid="{AD1F875A-F420-4F90-A14F-908D448EE071}"/>
    <cellStyle name="Normal 5 5 2 3 2 6" xfId="10764" xr:uid="{F29C2DCF-40EE-4411-B19B-1BF0F5270DDF}"/>
    <cellStyle name="Normal 5 5 2 3 2 6 2" xfId="21144" xr:uid="{E0EA8BB4-920A-485C-A97A-6971A878D407}"/>
    <cellStyle name="Normal 5 5 2 3 2 7" xfId="24711" xr:uid="{68A8C8ED-B556-4A33-8A4B-3798DE25C52A}"/>
    <cellStyle name="Normal 5 5 2 3 2 8" xfId="13273" xr:uid="{F2B9F6A5-3EFA-41E5-B301-1EBCC11EA36F}"/>
    <cellStyle name="Normal 5 5 2 3 3" xfId="2807" xr:uid="{00000000-0005-0000-0000-000047070000}"/>
    <cellStyle name="Normal 5 5 2 3 4" xfId="3404" xr:uid="{00000000-0005-0000-0000-000048070000}"/>
    <cellStyle name="Normal 5 5 2 3 4 2" xfId="4560" xr:uid="{0D7D5A7B-D219-43F7-814F-1DB6674AD56C}"/>
    <cellStyle name="Normal 5 5 2 3 4 2 2" xfId="9332" xr:uid="{532AA147-2732-466A-8BDC-3D39498BB9FC}"/>
    <cellStyle name="Normal 5 5 2 3 4 2 2 2" xfId="29307" xr:uid="{F2A23D7E-53B9-4A98-9A05-7D8C70CCEDE6}"/>
    <cellStyle name="Normal 5 5 2 3 4 2 2 3" xfId="19712" xr:uid="{7214BEDC-84AD-4F43-8C13-765C856447D5}"/>
    <cellStyle name="Normal 5 5 2 3 4 2 3" xfId="12165" xr:uid="{3C137FF7-E0D9-4A21-9156-761BE2A53BA8}"/>
    <cellStyle name="Normal 5 5 2 3 4 2 3 2" xfId="22545" xr:uid="{EAD0D8A6-6B3F-42CE-9BE8-939A31D1EF32}"/>
    <cellStyle name="Normal 5 5 2 3 4 2 4" xfId="24287" xr:uid="{3CFF6EAA-EDB0-499A-9796-7F66AB3210EC}"/>
    <cellStyle name="Normal 5 5 2 3 4 2 5" xfId="16879" xr:uid="{2D32F98B-B02E-4001-9DE0-3512A9204993}"/>
    <cellStyle name="Normal 5 5 2 3 4 3" xfId="6462" xr:uid="{2FB364DC-9F63-4378-A765-FFE26852EFA1}"/>
    <cellStyle name="Normal 5 5 2 3 4 3 2" xfId="28507" xr:uid="{E46FEC19-25A8-41D1-9E9E-F837B82D817F}"/>
    <cellStyle name="Normal 5 5 2 3 4 3 3" xfId="16031" xr:uid="{6B1741DC-DD47-4366-A77A-6C91FB96F7E8}"/>
    <cellStyle name="Normal 5 5 2 3 4 4" xfId="8484" xr:uid="{26F589C5-8AA2-46F8-8D30-0C3957415999}"/>
    <cellStyle name="Normal 5 5 2 3 4 4 2" xfId="18864" xr:uid="{C2F0E494-D165-447D-9C73-A07C3E213218}"/>
    <cellStyle name="Normal 5 5 2 3 4 5" xfId="11317" xr:uid="{F1100F0A-5524-485F-97EF-198837DD2B12}"/>
    <cellStyle name="Normal 5 5 2 3 4 5 2" xfId="21697" xr:uid="{C2512AFB-C13F-4200-BFD6-460666FE85D9}"/>
    <cellStyle name="Normal 5 5 2 3 4 6" xfId="25460" xr:uid="{39A89928-82E4-42AA-AACE-414D949F0D52}"/>
    <cellStyle name="Normal 5 5 2 3 4 7" xfId="13974" xr:uid="{B931D6F4-09D9-4878-AA4E-83C74FEEC357}"/>
    <cellStyle name="Normal 5 5 2 3 5" xfId="2602" xr:uid="{00000000-0005-0000-0000-000049070000}"/>
    <cellStyle name="Normal 5 5 2 3 5 2" xfId="5867" xr:uid="{8CA84A59-3D12-4140-B704-810F7F8BB9B5}"/>
    <cellStyle name="Normal 5 5 2 3 5 2 2" xfId="27678" xr:uid="{B34AA183-AF95-4421-BD12-6CA45FD1F7EC}"/>
    <cellStyle name="Normal 5 5 2 3 5 2 3" xfId="15274" xr:uid="{8D3D921D-3627-4DBB-8190-3285C2924F5C}"/>
    <cellStyle name="Normal 5 5 2 3 5 3" xfId="7727" xr:uid="{3683B3FC-E6CD-4740-9AA9-5A4F8BE774F9}"/>
    <cellStyle name="Normal 5 5 2 3 5 3 2" xfId="18107" xr:uid="{E734DFCF-DE69-49E3-B3CB-38185BB03C8F}"/>
    <cellStyle name="Normal 5 5 2 3 5 4" xfId="10560" xr:uid="{1C724209-78D5-484E-A28F-699333AF832B}"/>
    <cellStyle name="Normal 5 5 2 3 5 4 2" xfId="20940" xr:uid="{7E771965-5606-45B5-B080-F4AC3DA3A46B}"/>
    <cellStyle name="Normal 5 5 2 3 5 5" xfId="22951" xr:uid="{05A09500-D41E-4758-B579-BAC8258145FF}"/>
    <cellStyle name="Normal 5 5 2 3 5 6" xfId="12990" xr:uid="{2B788BB1-C6D6-4797-9F95-7985B9F54858}"/>
    <cellStyle name="Normal 5 5 2 3 6" xfId="29680" xr:uid="{97CDD6DB-E3BD-4C8B-B733-D86227385425}"/>
    <cellStyle name="Normal 5 5 2 4" xfId="1196" xr:uid="{00000000-0005-0000-0000-000072060000}"/>
    <cellStyle name="Normal 5 5 2 4 10" xfId="12615" xr:uid="{AED3A222-BE3F-43A8-A2CD-B3B6A7D3D31F}"/>
    <cellStyle name="Normal 5 5 2 4 2" xfId="2423" xr:uid="{00000000-0005-0000-0000-00004B070000}"/>
    <cellStyle name="Normal 5 5 2 4 2 2" xfId="2965" xr:uid="{00000000-0005-0000-0000-00004C070000}"/>
    <cellStyle name="Normal 5 5 2 4 2 2 2" xfId="6130" xr:uid="{B3F3E835-BA36-4B91-ACB6-07FE4F08BDFA}"/>
    <cellStyle name="Normal 5 5 2 4 2 2 2 2" xfId="28455" xr:uid="{9415BD04-6CBF-4AD5-925A-00197043B54D}"/>
    <cellStyle name="Normal 5 5 2 4 2 2 2 3" xfId="15608" xr:uid="{F82E2E44-F54D-4AE3-8704-A3D143665C0F}"/>
    <cellStyle name="Normal 5 5 2 4 2 2 3" xfId="8061" xr:uid="{D09C5622-EC48-4741-84A2-E66803103994}"/>
    <cellStyle name="Normal 5 5 2 4 2 2 3 2" xfId="18441" xr:uid="{376970FA-94EC-46ED-8FD2-69263C98A43F}"/>
    <cellStyle name="Normal 5 5 2 4 2 2 4" xfId="10894" xr:uid="{3E796100-E2F8-4174-82A4-99B0D96B7952}"/>
    <cellStyle name="Normal 5 5 2 4 2 2 4 2" xfId="21274" xr:uid="{0570EA1B-E07A-4F0D-A53F-E28CC566A038}"/>
    <cellStyle name="Normal 5 5 2 4 2 2 5" xfId="24658" xr:uid="{4DB03E19-2133-4F4A-8F72-10283576C025}"/>
    <cellStyle name="Normal 5 5 2 4 2 2 6" xfId="13471" xr:uid="{67250B66-8465-45F2-98BA-878749E54BD2}"/>
    <cellStyle name="Normal 5 5 2 4 2 3" xfId="5723" xr:uid="{44EF2934-2F80-47C0-9F33-1624D1649667}"/>
    <cellStyle name="Normal 5 5 2 4 2 3 2" xfId="27462" xr:uid="{7C929BAF-0485-40A0-AAFD-610B3F638FC8}"/>
    <cellStyle name="Normal 5 5 2 4 2 3 3" xfId="27183" xr:uid="{43ACC9D2-DA91-4B56-A4FB-F4488E58E4D4}"/>
    <cellStyle name="Normal 5 5 2 4 2 3 4" xfId="15097" xr:uid="{DA1AFAD7-ED03-45FD-82C0-FA804A0F63C8}"/>
    <cellStyle name="Normal 5 5 2 4 2 4" xfId="7550" xr:uid="{C5938237-BB39-457E-B136-B74CE64AC8EE}"/>
    <cellStyle name="Normal 5 5 2 4 2 4 2" xfId="28244" xr:uid="{C3A8557A-288D-40CB-8222-F57CCE20C34D}"/>
    <cellStyle name="Normal 5 5 2 4 2 4 3" xfId="17930" xr:uid="{065ED13D-6CFC-495C-AE7E-FE30859530A2}"/>
    <cellStyle name="Normal 5 5 2 4 2 5" xfId="10383" xr:uid="{9FC2122C-CA08-4247-8CD6-E1A221A8F818}"/>
    <cellStyle name="Normal 5 5 2 4 2 5 2" xfId="20763" xr:uid="{69806764-73CF-4D07-A782-39DD33E4AE43}"/>
    <cellStyle name="Normal 5 5 2 4 2 6" xfId="23772" xr:uid="{62729883-A282-4377-BD03-E0865EC4662F}"/>
    <cellStyle name="Normal 5 5 2 4 2 7" xfId="12773" xr:uid="{2A5C010A-51B8-4FC5-BC6F-64208D94E644}"/>
    <cellStyle name="Normal 5 5 2 4 3" xfId="2809" xr:uid="{00000000-0005-0000-0000-00004D070000}"/>
    <cellStyle name="Normal 5 5 2 4 3 2" xfId="6026" xr:uid="{FBE50FBE-3A2C-4A7D-88F9-5A6E0D77A724}"/>
    <cellStyle name="Normal 5 5 2 4 3 2 2" xfId="27871" xr:uid="{32C14809-69F7-4F3A-93CD-41800AE5CD54}"/>
    <cellStyle name="Normal 5 5 2 4 3 2 3" xfId="15479" xr:uid="{4C6DCDF4-F18D-4F3F-9976-324B24CBB7F6}"/>
    <cellStyle name="Normal 5 5 2 4 3 3" xfId="7932" xr:uid="{DB16F39B-ABC6-4E92-B34F-D70FA568089F}"/>
    <cellStyle name="Normal 5 5 2 4 3 3 2" xfId="18312" xr:uid="{BE68AA58-EBE5-4C97-936D-B092D26CD059}"/>
    <cellStyle name="Normal 5 5 2 4 3 4" xfId="10765" xr:uid="{FDB41842-2E59-4D59-99C5-80FBBF7FF983}"/>
    <cellStyle name="Normal 5 5 2 4 3 4 2" xfId="21145" xr:uid="{D18DB3D3-5D22-405E-93D5-0F4D155FF206}"/>
    <cellStyle name="Normal 5 5 2 4 3 5" xfId="25479" xr:uid="{83EE6245-E592-4831-9006-F21D196F58CC}"/>
    <cellStyle name="Normal 5 5 2 4 3 6" xfId="13274" xr:uid="{E5A40150-443A-4202-A762-0D460E5016B9}"/>
    <cellStyle name="Normal 5 5 2 4 4" xfId="2381" xr:uid="{00000000-0005-0000-0000-00004A070000}"/>
    <cellStyle name="Normal 5 5 2 4 4 2" xfId="7508" xr:uid="{FFDDCE91-1D08-43C2-934F-A882706053FB}"/>
    <cellStyle name="Normal 5 5 2 4 4 2 2" xfId="28635" xr:uid="{24930D2C-219D-4311-B392-9B6E8F098307}"/>
    <cellStyle name="Normal 5 5 2 4 4 2 3" xfId="17888" xr:uid="{8622FF66-B01B-4F1A-8F89-95BC46CC0386}"/>
    <cellStyle name="Normal 5 5 2 4 4 3" xfId="10341" xr:uid="{E90C3D35-6568-44B0-9985-3528F324CF10}"/>
    <cellStyle name="Normal 5 5 2 4 4 3 2" xfId="20721" xr:uid="{6F5A0F75-87B6-4F68-9D74-C2F4475F3C38}"/>
    <cellStyle name="Normal 5 5 2 4 4 4" xfId="23955" xr:uid="{B2D872B9-4242-48A8-8273-1F20FEDEB6E7}"/>
    <cellStyle name="Normal 5 5 2 4 4 5" xfId="15055" xr:uid="{138935BD-B8EE-4D60-B335-9F500E2C10C4}"/>
    <cellStyle name="Normal 5 5 2 4 5" xfId="4024" xr:uid="{671DDBE0-1E03-455F-BE11-51E48C0C8972}"/>
    <cellStyle name="Normal 5 5 2 4 5 2" xfId="8826" xr:uid="{B81C1E26-8004-4416-B432-D718C45A0979}"/>
    <cellStyle name="Normal 5 5 2 4 5 2 2" xfId="19206" xr:uid="{C70BC956-E42F-454D-B624-C6FCD21A8531}"/>
    <cellStyle name="Normal 5 5 2 4 5 3" xfId="11659" xr:uid="{2624B5EC-A761-408F-9526-438B9BA344BD}"/>
    <cellStyle name="Normal 5 5 2 4 5 3 2" xfId="22039" xr:uid="{BF0A99E9-F76A-41FC-8250-C321BA06386B}"/>
    <cellStyle name="Normal 5 5 2 4 5 4" xfId="25972" xr:uid="{7544DCCB-3EAA-45FC-BCB7-130CCA7CAECC}"/>
    <cellStyle name="Normal 5 5 2 4 5 5" xfId="16373" xr:uid="{8A667B9E-E4F8-443E-9D44-380166ACEB80}"/>
    <cellStyle name="Normal 5 5 2 4 6" xfId="5353" xr:uid="{A82351A2-39FF-417B-B3B0-9483C0F67AB8}"/>
    <cellStyle name="Normal 5 5 2 4 6 2" xfId="14652" xr:uid="{95FF415D-37D2-45D4-BF99-3FC362DD4F5C}"/>
    <cellStyle name="Normal 5 5 2 4 7" xfId="7105" xr:uid="{244CAE16-D26C-4590-AB54-46B9FAFCFA5B}"/>
    <cellStyle name="Normal 5 5 2 4 7 2" xfId="17485" xr:uid="{82989ACA-8AA6-404C-AD12-B4FA8B9BEFFF}"/>
    <cellStyle name="Normal 5 5 2 4 8" xfId="9938" xr:uid="{6EB0AB2B-3B8C-4C8A-B176-4EECBEBDD1DB}"/>
    <cellStyle name="Normal 5 5 2 4 8 2" xfId="20318" xr:uid="{FF0B0700-2C81-48D2-B3E7-97DDEB03F8F1}"/>
    <cellStyle name="Normal 5 5 2 4 9" xfId="22960" xr:uid="{C2B43556-5293-486B-81DB-B96B19651364}"/>
    <cellStyle name="Normal 5 5 2 5" xfId="1197" xr:uid="{00000000-0005-0000-0000-000073060000}"/>
    <cellStyle name="Normal 5 5 2 5 2" xfId="1198" xr:uid="{00000000-0005-0000-0000-000074060000}"/>
    <cellStyle name="Normal 5 5 2 5 2 2" xfId="7106" xr:uid="{97E7EDD7-21E0-4126-95E3-3D5BD3FF3425}"/>
    <cellStyle name="Normal 5 5 2 5 2 2 2" xfId="28450" xr:uid="{9C440D20-8335-4D3E-88FB-87C4C2F61B76}"/>
    <cellStyle name="Normal 5 5 2 5 2 2 3" xfId="28664" xr:uid="{5E38FB1F-1E9F-4190-8FC2-B039CB915A94}"/>
    <cellStyle name="Normal 5 5 2 5 2 2 4" xfId="17486" xr:uid="{937FDCC8-F30E-4761-A048-6556407477F4}"/>
    <cellStyle name="Normal 5 5 2 5 2 3" xfId="9939" xr:uid="{9CA1C17F-3392-45DB-B2DA-0490BDC17265}"/>
    <cellStyle name="Normal 5 5 2 5 2 3 2" xfId="29434" xr:uid="{E3E74FB9-EC5A-437C-8C55-0A8160E9C3AE}"/>
    <cellStyle name="Normal 5 5 2 5 2 3 3" xfId="20319" xr:uid="{B4EABE79-2C23-4200-92C3-772C5DD0F6FE}"/>
    <cellStyle name="Normal 5 5 2 5 2 4" xfId="23355" xr:uid="{EDD01117-1EC6-4A4C-8E8E-423BA0D6A18F}"/>
    <cellStyle name="Normal 5 5 2 5 2 5" xfId="14653" xr:uid="{4D88578B-E63F-48DA-ABF5-4353C5517A4B}"/>
    <cellStyle name="Normal 5 5 2 5 3" xfId="25918" xr:uid="{03506BAC-CF3B-4C18-AC04-9342DA125D85}"/>
    <cellStyle name="Normal 5 5 2 5 4" xfId="26441" xr:uid="{4E93CD67-1F3F-481C-A7B7-34C0833E5964}"/>
    <cellStyle name="Normal 5 5 2 6" xfId="1199" xr:uid="{00000000-0005-0000-0000-000075060000}"/>
    <cellStyle name="Normal 5 5 2 6 2" xfId="4561" xr:uid="{8276A7AA-FCB1-47CA-A2FC-9B2BCF877972}"/>
    <cellStyle name="Normal 5 5 2 6 2 2" xfId="9333" xr:uid="{26B080D8-BD5E-4EB4-B4AD-CA46C053269B}"/>
    <cellStyle name="Normal 5 5 2 6 2 2 2" xfId="29308" xr:uid="{89DA6ECB-CA1B-4528-A6EE-61F83A43E277}"/>
    <cellStyle name="Normal 5 5 2 6 2 2 3" xfId="19713" xr:uid="{E48EA0F4-AEE7-47B7-B745-03148457C410}"/>
    <cellStyle name="Normal 5 5 2 6 2 3" xfId="12166" xr:uid="{B02950FD-D99E-4032-8B6D-C1E52231EBBE}"/>
    <cellStyle name="Normal 5 5 2 6 2 3 2" xfId="22546" xr:uid="{D95FF548-C712-4EDA-87D3-4349A22F88AE}"/>
    <cellStyle name="Normal 5 5 2 6 2 4" xfId="25715" xr:uid="{84929477-A5FB-4928-8C8D-294C583229ED}"/>
    <cellStyle name="Normal 5 5 2 6 2 5" xfId="16880" xr:uid="{C6F78005-0801-42E2-8376-0D908C22C004}"/>
    <cellStyle name="Normal 5 5 2 6 3" xfId="5354" xr:uid="{48A05F60-D4F2-4B83-B613-2CBC6165E5E1}"/>
    <cellStyle name="Normal 5 5 2 6 3 2" xfId="24892" xr:uid="{0D175454-90D3-4CCA-9686-E97CDB9F5A71}"/>
    <cellStyle name="Normal 5 5 2 6 3 3" xfId="26260" xr:uid="{4269AF45-0528-4BA6-927E-86318ACA96EF}"/>
    <cellStyle name="Normal 5 5 2 6 3 4" xfId="14654" xr:uid="{156AF628-997C-400E-9E3F-57A7B7BF5540}"/>
    <cellStyle name="Normal 5 5 2 6 4" xfId="7107" xr:uid="{0E8AAE1D-A365-43C3-B203-FC032C2FE87E}"/>
    <cellStyle name="Normal 5 5 2 6 4 2" xfId="23400" xr:uid="{E108A015-D190-4F73-A0FD-23706EB998F0}"/>
    <cellStyle name="Normal 5 5 2 6 4 3" xfId="26896" xr:uid="{8EC1E2B5-2905-4409-94C2-CBDDCF0CA440}"/>
    <cellStyle name="Normal 5 5 2 6 4 4" xfId="17487" xr:uid="{3CE4B350-E43D-4D98-B40C-ECB2F93E90D8}"/>
    <cellStyle name="Normal 5 5 2 6 5" xfId="9940" xr:uid="{F113A67F-F1DD-404B-B548-F58CC9F81B59}"/>
    <cellStyle name="Normal 5 5 2 6 5 2" xfId="29435" xr:uid="{2FBE9848-5F1D-494C-84D3-0A9E19001BDA}"/>
    <cellStyle name="Normal 5 5 2 6 5 3" xfId="20320" xr:uid="{1CA482B6-D8C4-4700-A7A8-C4E1FC788323}"/>
    <cellStyle name="Normal 5 5 2 6 6" xfId="24376" xr:uid="{807D5AF4-B7E8-4DCD-8E55-EFD02053F92B}"/>
    <cellStyle name="Normal 5 5 2 6 7" xfId="13975" xr:uid="{F0460784-2F26-41EE-A4DE-BBD8C6CFE42B}"/>
    <cellStyle name="Normal 5 5 2 7" xfId="1200" xr:uid="{00000000-0005-0000-0000-000076060000}"/>
    <cellStyle name="Normal 5 5 2 7 2" xfId="2499" xr:uid="{00000000-0005-0000-0000-000050070000}"/>
    <cellStyle name="Normal 5 5 2 7 2 2" xfId="7624" xr:uid="{F6DD768C-D942-44DD-8091-01DABA0D6258}"/>
    <cellStyle name="Normal 5 5 2 7 2 2 2" xfId="18004" xr:uid="{90D7B603-8C02-4E3A-BF09-F12C3E8CF518}"/>
    <cellStyle name="Normal 5 5 2 7 2 3" xfId="10457" xr:uid="{5235CB24-28B3-40B9-ABD0-15133B835454}"/>
    <cellStyle name="Normal 5 5 2 7 2 3 2" xfId="20837" xr:uid="{5E4DF5BD-93A5-4C49-8A6F-7A526D59B968}"/>
    <cellStyle name="Normal 5 5 2 7 2 4" xfId="26901" xr:uid="{DD12FBF8-136E-4165-B3E5-887D9666185B}"/>
    <cellStyle name="Normal 5 5 2 7 2 5" xfId="15171" xr:uid="{DA4640D9-0BBA-4F23-83D5-D34CF3C3C93A}"/>
    <cellStyle name="Normal 5 5 2 7 3" xfId="2045" xr:uid="{00000000-0005-0000-0000-000076060000}"/>
    <cellStyle name="Normal 5 5 2 7 4" xfId="5355" xr:uid="{F5340E53-A44D-4D2F-8268-301B091803A6}"/>
    <cellStyle name="Normal 5 5 2 7 4 2" xfId="29746" xr:uid="{292C7506-2051-4783-9A25-16674A0F4704}"/>
    <cellStyle name="Normal 5 5 2 7 5" xfId="23655" xr:uid="{93B7D103-7087-4DB4-9D26-26B54F67F15C}"/>
    <cellStyle name="Normal 5 5 2 7 6" xfId="12887" xr:uid="{8BDE6A8E-2D51-4457-B797-A8744BEBBFE7}"/>
    <cellStyle name="Normal 5 5 2 8" xfId="2193" xr:uid="{00000000-0005-0000-0000-000036070000}"/>
    <cellStyle name="Normal 5 5 2 8 2" xfId="7320" xr:uid="{0B26B70C-4DCF-4138-82A2-9510C55056CD}"/>
    <cellStyle name="Normal 5 5 2 8 2 2" xfId="27815" xr:uid="{E268D4D9-8759-4BBE-813E-EC462AB9B798}"/>
    <cellStyle name="Normal 5 5 2 8 2 3" xfId="17700" xr:uid="{E00D0AF2-A52D-4FA2-B48A-62B32F6E3F31}"/>
    <cellStyle name="Normal 5 5 2 8 3" xfId="10153" xr:uid="{A8CF45FA-E702-4ABE-96E7-CB68EABB0CE0}"/>
    <cellStyle name="Normal 5 5 2 8 3 2" xfId="20533" xr:uid="{7CF810AE-1252-45AF-9684-D485DE33027F}"/>
    <cellStyle name="Normal 5 5 2 8 4" xfId="22659" xr:uid="{DE67F111-557B-4B89-AD5E-298F50D38034}"/>
    <cellStyle name="Normal 5 5 2 8 5" xfId="14867" xr:uid="{127FABBD-2796-4667-BEAC-DB9CE5AFA8A4}"/>
    <cellStyle name="Normal 5 5 2 9" xfId="23846" xr:uid="{40AEA223-EE62-4E81-96A5-CE8A1908C6D7}"/>
    <cellStyle name="Normal 5 5 2 9 2" xfId="27746" xr:uid="{33B68088-4913-4D7D-813C-D3BC979A5584}"/>
    <cellStyle name="Normal 5 5 20" xfId="12402" xr:uid="{920A1E59-9943-4B33-9F4E-A937B5EE0288}"/>
    <cellStyle name="Normal 5 5 21" xfId="29835" xr:uid="{B3E1E0EF-7306-41CF-9823-2647A17B861C}"/>
    <cellStyle name="Normal 5 5 21 2" xfId="31503" xr:uid="{4413B3F3-F116-425E-B3FC-2126AAE6FA06}"/>
    <cellStyle name="Normal 5 5 22" xfId="29980" xr:uid="{D67E6B79-0BB9-41EF-9496-F362FC77F6A8}"/>
    <cellStyle name="Normal 5 5 23" xfId="30143" xr:uid="{E141DD7A-B371-4E36-AC36-3D3BBD6F49D4}"/>
    <cellStyle name="Normal 5 5 3" xfId="1201" xr:uid="{00000000-0005-0000-0000-000077060000}"/>
    <cellStyle name="Normal 5 5 3 10" xfId="5356" xr:uid="{456F42B0-FDC7-4AC1-BF57-5FBB34825683}"/>
    <cellStyle name="Normal 5 5 3 10 2" xfId="14655" xr:uid="{441A91CA-3B39-4BA2-AA58-911CFE58C0A5}"/>
    <cellStyle name="Normal 5 5 3 11" xfId="7108" xr:uid="{EF7E2884-25DF-4A8A-A804-658FBB21938B}"/>
    <cellStyle name="Normal 5 5 3 11 2" xfId="17488" xr:uid="{F824BE7B-647E-4157-8A69-ED1C21686BC8}"/>
    <cellStyle name="Normal 5 5 3 12" xfId="9941" xr:uid="{B34500C8-B836-41E2-AD32-424C131619F8}"/>
    <cellStyle name="Normal 5 5 3 12 2" xfId="20321" xr:uid="{733F732C-4E98-48F5-B6C2-9689D3022AB3}"/>
    <cellStyle name="Normal 5 5 3 13" xfId="22726" xr:uid="{89692063-D300-45F6-B4DC-8E88388DEB01}"/>
    <cellStyle name="Normal 5 5 3 14" xfId="12462" xr:uid="{562B8F56-0E4A-4E6C-8539-89AD4E39A53D}"/>
    <cellStyle name="Normal 5 5 3 2" xfId="1202" xr:uid="{00000000-0005-0000-0000-000078060000}"/>
    <cellStyle name="Normal 5 5 3 2 10" xfId="9942" xr:uid="{DE90DB23-472F-4DC9-A5D2-E5919C07C289}"/>
    <cellStyle name="Normal 5 5 3 2 10 2" xfId="20322" xr:uid="{C4791485-6491-4A49-966F-A1C9A5D60886}"/>
    <cellStyle name="Normal 5 5 3 2 11" xfId="25058" xr:uid="{9A9F5825-F7A1-40C8-884A-0810AB39EC49}"/>
    <cellStyle name="Normal 5 5 3 2 12" xfId="12616" xr:uid="{7B3EAB81-9AA6-45ED-BF74-895E9A45F7DD}"/>
    <cellStyle name="Normal 5 5 3 2 2" xfId="1203" xr:uid="{00000000-0005-0000-0000-000079060000}"/>
    <cellStyle name="Normal 5 5 3 2 2 2" xfId="3406" xr:uid="{00000000-0005-0000-0000-000054070000}"/>
    <cellStyle name="Normal 5 5 3 2 2 2 2" xfId="6464" xr:uid="{E7480105-5EAA-4C05-A2ED-3E56FF7B07CA}"/>
    <cellStyle name="Normal 5 5 3 2 2 2 2 2" xfId="23389" xr:uid="{6579C5EA-03C2-4905-B2BA-7833C0650A2B}"/>
    <cellStyle name="Normal 5 5 3 2 2 2 2 3" xfId="26320" xr:uid="{37963100-8C4D-410D-B498-49A715F12F1D}"/>
    <cellStyle name="Normal 5 5 3 2 2 2 2 4" xfId="16033" xr:uid="{FC7CE297-E9C4-4E8A-B384-05A6F590E174}"/>
    <cellStyle name="Normal 5 5 3 2 2 2 3" xfId="8486" xr:uid="{9AF4C769-BD12-40D0-B2E5-0DC6FE7BE2AF}"/>
    <cellStyle name="Normal 5 5 3 2 2 2 3 2" xfId="28927" xr:uid="{ACC4B4DE-6F13-48E4-A7C2-ECE1897621B6}"/>
    <cellStyle name="Normal 5 5 3 2 2 2 3 3" xfId="18866" xr:uid="{84DAEF44-DD59-4291-8A39-7AFA1E1F2D1F}"/>
    <cellStyle name="Normal 5 5 3 2 2 2 4" xfId="11319" xr:uid="{567F539D-50B3-4A0A-B7FC-FF3B4D65DA84}"/>
    <cellStyle name="Normal 5 5 3 2 2 2 4 2" xfId="21699" xr:uid="{0EEA066B-8DEF-4345-9D16-51A79A369543}"/>
    <cellStyle name="Normal 5 5 3 2 2 2 5" xfId="24617" xr:uid="{1CE574AF-A5D1-4C5D-BB44-1EC9C5DC51BF}"/>
    <cellStyle name="Normal 5 5 3 2 2 2 6" xfId="13977" xr:uid="{3FFD0F32-1A53-44CA-AC5C-BAB75559B350}"/>
    <cellStyle name="Normal 5 5 3 2 2 3" xfId="4358" xr:uid="{FB5DED6F-4E9F-4956-9132-D1667660322F}"/>
    <cellStyle name="Normal 5 5 3 2 2 3 2" xfId="9130" xr:uid="{0336DB82-CC40-493F-BC7E-EE05B074DF04}"/>
    <cellStyle name="Normal 5 5 3 2 2 3 2 2" xfId="29173" xr:uid="{E0FFC622-6B59-4190-9CE5-A67BE75EC397}"/>
    <cellStyle name="Normal 5 5 3 2 2 3 2 3" xfId="19510" xr:uid="{1C958440-B193-46F0-A017-757FDC6D7615}"/>
    <cellStyle name="Normal 5 5 3 2 2 3 3" xfId="11963" xr:uid="{977EA646-38CD-4B57-97EF-3A5979880242}"/>
    <cellStyle name="Normal 5 5 3 2 2 3 3 2" xfId="22343" xr:uid="{25360484-7FFB-4510-BF26-7D34387ACCB5}"/>
    <cellStyle name="Normal 5 5 3 2 2 3 4" xfId="24250" xr:uid="{3C11B2F3-CF59-4548-92C9-65A7D46AECD7}"/>
    <cellStyle name="Normal 5 5 3 2 2 3 5" xfId="16677" xr:uid="{AAEE34BC-3EED-400E-9F06-1A306FDEEFE9}"/>
    <cellStyle name="Normal 5 5 3 2 2 4" xfId="5358" xr:uid="{E10F6EAE-CF96-47EC-B8B5-09B95CEA86F6}"/>
    <cellStyle name="Normal 5 5 3 2 2 4 2" xfId="26892" xr:uid="{FE0D6A30-EF25-4AEA-A92B-62AD33F5EAF6}"/>
    <cellStyle name="Normal 5 5 3 2 2 4 3" xfId="14657" xr:uid="{4E45BEFB-570F-4186-A416-D136D8E352AF}"/>
    <cellStyle name="Normal 5 5 3 2 2 5" xfId="7110" xr:uid="{C94BB74C-3A91-4292-AA77-C57413BB2FFE}"/>
    <cellStyle name="Normal 5 5 3 2 2 5 2" xfId="17490" xr:uid="{474CB33B-EC55-474B-9E3B-BFA82AE27779}"/>
    <cellStyle name="Normal 5 5 3 2 2 6" xfId="9943" xr:uid="{CFB9ED34-5A32-41DC-808D-9A6C8D0576CF}"/>
    <cellStyle name="Normal 5 5 3 2 2 6 2" xfId="20323" xr:uid="{7AFC8DCF-448E-4800-A6DD-E5A62B69C8AE}"/>
    <cellStyle name="Normal 5 5 3 2 2 7" xfId="24647" xr:uid="{2D341095-51DB-4549-888B-C2BF367FF458}"/>
    <cellStyle name="Normal 5 5 3 2 2 8" xfId="13276" xr:uid="{7C41A364-1F94-4A9A-8BC8-166C83688172}"/>
    <cellStyle name="Normal 5 5 3 2 3" xfId="3407" xr:uid="{00000000-0005-0000-0000-000055070000}"/>
    <cellStyle name="Normal 5 5 3 2 3 2" xfId="4562" xr:uid="{96C5086D-015E-4FAE-9905-A72298283C56}"/>
    <cellStyle name="Normal 5 5 3 2 3 2 2" xfId="9334" xr:uid="{67E26A36-11AE-4A29-8511-D1CF7B1017E6}"/>
    <cellStyle name="Normal 5 5 3 2 3 2 2 2" xfId="29309" xr:uid="{2301B72B-D34C-4C94-9787-19E5D499C880}"/>
    <cellStyle name="Normal 5 5 3 2 3 2 2 3" xfId="19714" xr:uid="{2513DD0D-2A90-4E3B-9FE3-97B1F64D3174}"/>
    <cellStyle name="Normal 5 5 3 2 3 2 3" xfId="12167" xr:uid="{C7F55786-F651-4090-BA9C-72238A0A79C0}"/>
    <cellStyle name="Normal 5 5 3 2 3 2 3 2" xfId="22547" xr:uid="{FA770A09-E417-4A45-86FE-82BDF0AA233D}"/>
    <cellStyle name="Normal 5 5 3 2 3 2 4" xfId="24811" xr:uid="{36D9B331-E89F-46A9-99B5-FF97382973F6}"/>
    <cellStyle name="Normal 5 5 3 2 3 2 5" xfId="16881" xr:uid="{66C7D573-8EE2-4B17-845F-1DABAE8BC7DD}"/>
    <cellStyle name="Normal 5 5 3 2 3 3" xfId="6465" xr:uid="{1FD35532-369E-4AB3-840A-ACBF909A72A5}"/>
    <cellStyle name="Normal 5 5 3 2 3 3 2" xfId="28194" xr:uid="{D30C6959-5345-430D-A752-898148BB14ED}"/>
    <cellStyle name="Normal 5 5 3 2 3 3 3" xfId="16034" xr:uid="{93C0DC4A-6DAE-4861-813F-86425C4D2025}"/>
    <cellStyle name="Normal 5 5 3 2 3 4" xfId="8487" xr:uid="{A5530E9A-0D96-4F24-9A3F-88C8525EC9AF}"/>
    <cellStyle name="Normal 5 5 3 2 3 4 2" xfId="18867" xr:uid="{279A18D5-39D6-414C-B5B5-55E7F5E3688E}"/>
    <cellStyle name="Normal 5 5 3 2 3 5" xfId="11320" xr:uid="{D37DD499-B0E1-442A-AD0D-311E6BF658C2}"/>
    <cellStyle name="Normal 5 5 3 2 3 5 2" xfId="21700" xr:uid="{6B4B354C-1C40-44F3-981F-BC84D7E29FDD}"/>
    <cellStyle name="Normal 5 5 3 2 3 6" xfId="24837" xr:uid="{B0830052-57BF-4E18-AD30-41EFB42E6411}"/>
    <cellStyle name="Normal 5 5 3 2 3 7" xfId="13978" xr:uid="{0FA613A5-4C8A-4372-A92D-3ADFD3F5309B}"/>
    <cellStyle name="Normal 5 5 3 2 4" xfId="3405" xr:uid="{00000000-0005-0000-0000-000056070000}"/>
    <cellStyle name="Normal 5 5 3 2 4 2" xfId="6463" xr:uid="{6AD0319A-2B02-4F43-A7CA-CF1F5D66F6C6}"/>
    <cellStyle name="Normal 5 5 3 2 4 2 2" xfId="26312" xr:uid="{64FC0928-0880-4F12-910D-F8409AED13C7}"/>
    <cellStyle name="Normal 5 5 3 2 4 2 3" xfId="16032" xr:uid="{B7FFE440-985B-4DDE-BE9D-5B472ED89F58}"/>
    <cellStyle name="Normal 5 5 3 2 4 3" xfId="8485" xr:uid="{A69A791C-AB5B-4926-A7BE-B01584419CC5}"/>
    <cellStyle name="Normal 5 5 3 2 4 3 2" xfId="18865" xr:uid="{5CAB69D4-3924-43E2-AAD0-4D6D537F719E}"/>
    <cellStyle name="Normal 5 5 3 2 4 4" xfId="11318" xr:uid="{A5E9B1CF-1A40-498B-86E6-A7DECA86D90F}"/>
    <cellStyle name="Normal 5 5 3 2 4 4 2" xfId="21698" xr:uid="{DA84A1A8-FF62-425D-8C74-9ED688C7B60E}"/>
    <cellStyle name="Normal 5 5 3 2 4 5" xfId="22943" xr:uid="{7551C835-94D9-4F61-A96C-043AFA60FC17}"/>
    <cellStyle name="Normal 5 5 3 2 4 6" xfId="13976" xr:uid="{03F6B80B-08D9-42D3-9DAB-61F864FAB0AE}"/>
    <cellStyle name="Normal 5 5 3 2 5" xfId="2536" xr:uid="{00000000-0005-0000-0000-000057070000}"/>
    <cellStyle name="Normal 5 5 3 2 5 2" xfId="5810" xr:uid="{500B84B4-4BD6-40EC-B25F-D91D2E1043D4}"/>
    <cellStyle name="Normal 5 5 3 2 5 2 2" xfId="26671" xr:uid="{E6D078C9-632B-43F1-A3AC-B26C6B25179A}"/>
    <cellStyle name="Normal 5 5 3 2 5 2 3" xfId="15208" xr:uid="{41FF0603-86C9-4377-B7A6-C58C594710EF}"/>
    <cellStyle name="Normal 5 5 3 2 5 3" xfId="7661" xr:uid="{80C12635-07E8-47F0-B942-36FDC8730632}"/>
    <cellStyle name="Normal 5 5 3 2 5 3 2" xfId="18041" xr:uid="{2C2326AA-B804-4D76-8EE4-123E77EB0105}"/>
    <cellStyle name="Normal 5 5 3 2 5 4" xfId="10494" xr:uid="{4FF09B1C-BF97-42E2-83B5-164182CBFD53}"/>
    <cellStyle name="Normal 5 5 3 2 5 4 2" xfId="20874" xr:uid="{EA39CCBD-998A-439C-AE02-AA411518653E}"/>
    <cellStyle name="Normal 5 5 3 2 5 5" xfId="25350" xr:uid="{59804BE7-6A98-4DB5-B089-960749C03A29}"/>
    <cellStyle name="Normal 5 5 3 2 5 6" xfId="12924" xr:uid="{868AAC3C-8BDE-441D-89CD-5C0006590111}"/>
    <cellStyle name="Normal 5 5 3 2 6" xfId="2382" xr:uid="{00000000-0005-0000-0000-000052070000}"/>
    <cellStyle name="Normal 5 5 3 2 6 2" xfId="7509" xr:uid="{3B6FD838-14E4-47AD-997E-3E4DFF3F2F0B}"/>
    <cellStyle name="Normal 5 5 3 2 6 2 2" xfId="17889" xr:uid="{FF39B6F9-D48C-47CA-9CE1-CD39F3ADAACE}"/>
    <cellStyle name="Normal 5 5 3 2 6 3" xfId="10342" xr:uid="{888701D3-A9B4-48AA-A63C-F78B98915BC4}"/>
    <cellStyle name="Normal 5 5 3 2 6 3 2" xfId="20722" xr:uid="{61EF9B68-5ECC-450A-8272-4F37A8E36E5B}"/>
    <cellStyle name="Normal 5 5 3 2 6 4" xfId="24281" xr:uid="{C27F0CDF-44CB-474F-A9F5-0AC3000892C5}"/>
    <cellStyle name="Normal 5 5 3 2 6 5" xfId="15056" xr:uid="{392F7F30-BB58-4266-A5F3-C322E9BBC5D2}"/>
    <cellStyle name="Normal 5 5 3 2 7" xfId="4026" xr:uid="{63312030-2A9C-4663-932E-5577FE4A2569}"/>
    <cellStyle name="Normal 5 5 3 2 7 2" xfId="8828" xr:uid="{0FF64E3B-7133-4B9C-B3AF-E9854E5E05A5}"/>
    <cellStyle name="Normal 5 5 3 2 7 2 2" xfId="19208" xr:uid="{2CD57BE4-4EAA-4E3F-8BA7-646E49DAF5E0}"/>
    <cellStyle name="Normal 5 5 3 2 7 3" xfId="11661" xr:uid="{0DC6D395-C61F-4D15-8A33-FA21F2E580ED}"/>
    <cellStyle name="Normal 5 5 3 2 7 3 2" xfId="22041" xr:uid="{681AE0DD-A4E1-4F91-A10A-910FADDFFA77}"/>
    <cellStyle name="Normal 5 5 3 2 7 4" xfId="16375" xr:uid="{F4204DCC-0442-4B9C-882A-849C449A92F8}"/>
    <cellStyle name="Normal 5 5 3 2 8" xfId="5357" xr:uid="{04CE837C-8658-4066-93F6-8BAC67C35461}"/>
    <cellStyle name="Normal 5 5 3 2 8 2" xfId="14656" xr:uid="{877BA591-1D54-445F-B6E7-C9D19D52FCAB}"/>
    <cellStyle name="Normal 5 5 3 2 9" xfId="7109" xr:uid="{3970AA2A-4BDF-44C1-951A-08748FE8E826}"/>
    <cellStyle name="Normal 5 5 3 2 9 2" xfId="17489" xr:uid="{FC64B509-F614-45BC-9717-832CCDFFAD55}"/>
    <cellStyle name="Normal 5 5 3 3" xfId="1204" xr:uid="{00000000-0005-0000-0000-00007A060000}"/>
    <cellStyle name="Normal 5 5 3 3 2" xfId="1205" xr:uid="{00000000-0005-0000-0000-00007B060000}"/>
    <cellStyle name="Normal 5 5 3 3 2 2" xfId="1206" xr:uid="{00000000-0005-0000-0000-00007C060000}"/>
    <cellStyle name="Normal 5 5 3 3 2 2 2" xfId="3410" xr:uid="{00000000-0005-0000-0000-00005A070000}"/>
    <cellStyle name="Normal 5 5 3 3 2 2 2 2" xfId="8489" xr:uid="{3F5165A9-AE88-4D28-AF3C-AED347BCFFE9}"/>
    <cellStyle name="Normal 5 5 3 3 2 2 2 2 2" xfId="28929" xr:uid="{6751F41C-4C44-4B0C-8678-7FF823FECD9C}"/>
    <cellStyle name="Normal 5 5 3 3 2 2 2 2 3" xfId="18869" xr:uid="{0C46DD60-AE4E-4BF0-AD41-59BAB98E9C0B}"/>
    <cellStyle name="Normal 5 5 3 3 2 2 2 3" xfId="11322" xr:uid="{BA7B3DAF-AF81-4F6F-9E4C-BDEDD61C0C31}"/>
    <cellStyle name="Normal 5 5 3 3 2 2 2 3 2" xfId="21702" xr:uid="{512EC35C-8D3B-4E53-995B-0B2E4FCBBB3A}"/>
    <cellStyle name="Normal 5 5 3 3 2 2 2 4" xfId="25100" xr:uid="{B2F1F5AD-ED06-46F0-8FF2-329BAD71BA85}"/>
    <cellStyle name="Normal 5 5 3 3 2 2 2 5" xfId="16036" xr:uid="{C290D445-434F-4158-A64A-B616690A1D18}"/>
    <cellStyle name="Normal 5 5 3 3 2 2 3" xfId="3654" xr:uid="{00000000-0005-0000-0000-00007C060000}"/>
    <cellStyle name="Normal 5 5 3 3 2 2 3 2" xfId="27560" xr:uid="{D7A76E9D-6CD1-4529-BB3E-38008977B488}"/>
    <cellStyle name="Normal 5 5 3 3 2 2 3 3" xfId="27324" xr:uid="{1B2B0B57-551B-4195-B3B1-1771B2582615}"/>
    <cellStyle name="Normal 5 5 3 3 2 2 4" xfId="5359" xr:uid="{0E1F81C9-C0B4-4BD4-BB16-0591CD67C286}"/>
    <cellStyle name="Normal 5 5 3 3 2 2 4 2" xfId="29785" xr:uid="{89E00D79-3211-4205-9817-0EE04526993D}"/>
    <cellStyle name="Normal 5 5 3 3 2 2 5" xfId="24695" xr:uid="{E22B5C30-2C6B-4970-B1C3-452F3FFF52A1}"/>
    <cellStyle name="Normal 5 5 3 3 2 2 6" xfId="13980" xr:uid="{C3649F74-66E1-4FD0-90AD-33DFA58BD1ED}"/>
    <cellStyle name="Normal 5 5 3 3 2 3" xfId="3409" xr:uid="{00000000-0005-0000-0000-00005B070000}"/>
    <cellStyle name="Normal 5 5 3 3 2 3 2" xfId="30087" xr:uid="{8D83AA04-EFB8-4DBE-9F2D-CA04908BDD15}"/>
    <cellStyle name="Normal 5 5 3 3 2 4" xfId="2811" xr:uid="{00000000-0005-0000-0000-000059070000}"/>
    <cellStyle name="Normal 5 5 3 3 2 4 2" xfId="7934" xr:uid="{A73E06E4-52C6-41C2-A9DE-1360A8EF2073}"/>
    <cellStyle name="Normal 5 5 3 3 2 4 2 2" xfId="25983" xr:uid="{9746B4BB-23E3-4AB4-8C1E-54E016B185AE}"/>
    <cellStyle name="Normal 5 5 3 3 2 4 2 3" xfId="18314" xr:uid="{F60611D6-D7F6-4476-BF99-83546C07164C}"/>
    <cellStyle name="Normal 5 5 3 3 2 4 3" xfId="10767" xr:uid="{5ECCC314-0298-4800-89E5-E4554EF43160}"/>
    <cellStyle name="Normal 5 5 3 3 2 4 3 2" xfId="21147" xr:uid="{F634E57E-2ACB-4738-9EA3-6F08060C9F6A}"/>
    <cellStyle name="Normal 5 5 3 3 2 4 4" xfId="23715" xr:uid="{422C99EC-FA0C-4883-8C15-FBAB8AB12BDA}"/>
    <cellStyle name="Normal 5 5 3 3 2 4 5" xfId="15481" xr:uid="{EDDED4B6-C1B4-4E35-A1C8-B2F304C8BD40}"/>
    <cellStyle name="Normal 5 5 3 3 2 5" xfId="3745" xr:uid="{00000000-0005-0000-0000-0000E2050000}"/>
    <cellStyle name="Normal 5 5 3 3 2 5 2" xfId="3789" xr:uid="{52779A0D-A5E8-4205-873C-EAFFBE836AE9}"/>
    <cellStyle name="Normal 5 5 3 3 2 5 2 2" xfId="29832" xr:uid="{269F8BD8-3951-442C-8C12-5034B99EF9C4}"/>
    <cellStyle name="Normal 5 5 3 3 2 5 3" xfId="22724" xr:uid="{5EC33E70-0B4D-40F0-A6E8-EF4A4475260D}"/>
    <cellStyle name="Normal 5 5 3 3 2 5 3 2" xfId="30093" xr:uid="{B5B6AB49-98AB-441B-87F7-DD685D6798A1}"/>
    <cellStyle name="Normal 5 5 3 3 2 5 4" xfId="23447" xr:uid="{8571319B-7759-4A87-B13E-0C7FEACCE3F9}"/>
    <cellStyle name="Normal 5 5 3 3 2 5 5" xfId="30270" xr:uid="{B88538FC-C621-4360-9D4C-DD3260457648}"/>
    <cellStyle name="Normal 5 5 3 3 2 5 5 2" xfId="31413" xr:uid="{7481AEF4-D030-4595-AF6D-9244C28EA76D}"/>
    <cellStyle name="Normal 5 5 3 3 2 5 6" xfId="31610" xr:uid="{2D73DF79-C0A1-492B-ABB8-D5521DD43C2A}"/>
    <cellStyle name="Normal 5 5 3 3 2 6" xfId="23174" xr:uid="{585B73B8-12BC-44A6-82F7-7D9C4E64E545}"/>
    <cellStyle name="Normal 5 5 3 3 2 6 2" xfId="31149" xr:uid="{D3D0E1A9-FBCA-47EC-9550-3A4C6C30E266}"/>
    <cellStyle name="Normal 5 5 3 3 2 6 3" xfId="30912" xr:uid="{B08B4DCA-5980-4F0C-A577-2BB26932546B}"/>
    <cellStyle name="Normal 5 5 3 3 2 7" xfId="13277" xr:uid="{60854C4E-F5E6-4B50-AA94-02CF9A79D755}"/>
    <cellStyle name="Normal 5 5 3 3 2 8" xfId="30925" xr:uid="{29076549-2AA4-4007-80EA-D67AC2CC5802}"/>
    <cellStyle name="Normal 5 5 3 3 3" xfId="1207" xr:uid="{00000000-0005-0000-0000-00007D060000}"/>
    <cellStyle name="Normal 5 5 3 3 3 2" xfId="3411" xr:uid="{00000000-0005-0000-0000-00005C070000}"/>
    <cellStyle name="Normal 5 5 3 3 3 2 2" xfId="8490" xr:uid="{8CE330F0-3265-4F2B-AB02-47DD44B05B5A}"/>
    <cellStyle name="Normal 5 5 3 3 3 2 2 2" xfId="28930" xr:uid="{F1B2B5CC-612B-46F9-9E9B-A15690CC029B}"/>
    <cellStyle name="Normal 5 5 3 3 3 2 2 3" xfId="18870" xr:uid="{BFD8F8CD-D589-4891-83F8-7C14D35219E3}"/>
    <cellStyle name="Normal 5 5 3 3 3 2 2 4" xfId="29823" xr:uid="{3881B992-1BB7-464F-91BE-BB29A3566EF8}"/>
    <cellStyle name="Normal 5 5 3 3 3 2 3" xfId="11323" xr:uid="{B2C88099-1FD6-45E4-9D6C-38A61BA53D1B}"/>
    <cellStyle name="Normal 5 5 3 3 3 2 3 2" xfId="21703" xr:uid="{4B2A4E7B-AAFC-485E-B963-ED9DE0293EF0}"/>
    <cellStyle name="Normal 5 5 3 3 3 2 4" xfId="25219" xr:uid="{B8090A63-5F28-4185-8095-4F4ECF2CF9D1}"/>
    <cellStyle name="Normal 5 5 3 3 3 2 5" xfId="25637" xr:uid="{EF68925E-02A3-4EB7-A1D7-ABFE95E794DA}"/>
    <cellStyle name="Normal 5 5 3 3 3 2 6" xfId="16037" xr:uid="{FA327224-DD3D-4B58-AF68-65DB995EA5E3}"/>
    <cellStyle name="Normal 5 5 3 3 3 3" xfId="3559" xr:uid="{00000000-0005-0000-0000-00007D060000}"/>
    <cellStyle name="Normal 5 5 3 3 3 3 2" xfId="25599" xr:uid="{2B2D0F06-3883-4FBB-9729-E6CA70224720}"/>
    <cellStyle name="Normal 5 5 3 3 3 3 2 2" xfId="29817" xr:uid="{02A86CA0-3F43-44CF-957F-95BA6D4BDC0E}"/>
    <cellStyle name="Normal 5 5 3 3 3 3 3" xfId="23156" xr:uid="{96AA7387-D407-4AAD-A008-F71F5F7B6C65}"/>
    <cellStyle name="Normal 5 5 3 3 3 4" xfId="4563" xr:uid="{1DD4ABF9-0AC6-4128-B006-684E9FE610C9}"/>
    <cellStyle name="Normal 5 5 3 3 3 4 2" xfId="9335" xr:uid="{0AF8BA8E-FDE7-4900-8F7D-B5B329270D40}"/>
    <cellStyle name="Normal 5 5 3 3 3 4 2 2" xfId="19715" xr:uid="{011B26BE-78F4-46EA-A2EE-F16F90DEAD00}"/>
    <cellStyle name="Normal 5 5 3 3 3 4 2 3" xfId="31105" xr:uid="{41CBFC74-9674-4514-AAE2-CB0510DF1FAF}"/>
    <cellStyle name="Normal 5 5 3 3 3 4 2 4" xfId="30913" xr:uid="{DE041240-1130-4FBE-A496-AF3E183AB993}"/>
    <cellStyle name="Normal 5 5 3 3 3 4 3" xfId="12168" xr:uid="{BA123514-4E82-4769-AFD3-99A79B6FC726}"/>
    <cellStyle name="Normal 5 5 3 3 3 4 3 2" xfId="22548" xr:uid="{487E197D-AF16-4F9E-8A92-1FE77D609998}"/>
    <cellStyle name="Normal 5 5 3 3 3 4 4" xfId="16882" xr:uid="{2FE929DC-E891-4CAA-9BE8-851030E063C4}"/>
    <cellStyle name="Normal 5 5 3 3 3 5" xfId="5360" xr:uid="{CC91ECF4-6A6D-4E86-9763-C1AB30578AAE}"/>
    <cellStyle name="Normal 5 5 3 3 3 5 2" xfId="29709" xr:uid="{C6AC9FE6-8F2F-4D98-B1CC-2EFCAC323B18}"/>
    <cellStyle name="Normal 5 5 3 3 3 5 2 2" xfId="30952" xr:uid="{5D2ADC69-5EDF-4AC9-8941-E830CD16909C}"/>
    <cellStyle name="Normal 5 5 3 3 3 6" xfId="23226" xr:uid="{07D2B74A-B30D-4BBA-A7E5-EB342AD9A434}"/>
    <cellStyle name="Normal 5 5 3 3 3 6 2" xfId="29673" xr:uid="{B112CBD1-63B3-4F58-B2F2-76F0EA1536DD}"/>
    <cellStyle name="Normal 5 5 3 3 3 7" xfId="23014" xr:uid="{EEAA545C-FB53-43F8-AC33-2C773C11FF67}"/>
    <cellStyle name="Normal 5 5 3 3 3 8" xfId="13981" xr:uid="{E4637211-795C-4AB7-BFE3-8BF1E9D332EA}"/>
    <cellStyle name="Normal 5 5 3 3 4" xfId="3408" xr:uid="{00000000-0005-0000-0000-00005D070000}"/>
    <cellStyle name="Normal 5 5 3 3 4 2" xfId="6466" xr:uid="{A25B5BAC-44F2-408C-BEC0-85D4D62418DA}"/>
    <cellStyle name="Normal 5 5 3 3 4 2 2" xfId="25789" xr:uid="{192D2398-F9FF-4441-984B-C4D2551A0186}"/>
    <cellStyle name="Normal 5 5 3 3 4 2 3" xfId="26035" xr:uid="{F5FB2520-4BA7-4F5D-9D7C-1AD371AA6455}"/>
    <cellStyle name="Normal 5 5 3 3 4 2 4" xfId="16035" xr:uid="{49A6886E-F465-4B47-B6D8-FA1B4D123904}"/>
    <cellStyle name="Normal 5 5 3 3 4 2 5" xfId="30569" xr:uid="{E8720E36-9B22-4DBC-BB87-8F396A474EBD}"/>
    <cellStyle name="Normal 5 5 3 3 4 3" xfId="8488" xr:uid="{6509FA01-A0EC-456E-A862-DAF49E6D20AA}"/>
    <cellStyle name="Normal 5 5 3 3 4 3 2" xfId="28928" xr:uid="{C4D81208-22B8-4018-90E0-7C9AF6EA32DF}"/>
    <cellStyle name="Normal 5 5 3 3 4 3 3" xfId="18868" xr:uid="{A8B22BD6-03F8-4DC4-A58F-AA0434136367}"/>
    <cellStyle name="Normal 5 5 3 3 4 4" xfId="11321" xr:uid="{6D331C84-8C36-4A27-AE3A-3F13C509601A}"/>
    <cellStyle name="Normal 5 5 3 3 4 4 2" xfId="21701" xr:uid="{7EE082D5-2FF2-414E-BAC4-A4CFC4A84400}"/>
    <cellStyle name="Normal 5 5 3 3 4 5" xfId="25081" xr:uid="{D6155E76-2395-4DDF-B9B2-493347F428B3}"/>
    <cellStyle name="Normal 5 5 3 3 4 6" xfId="26255" xr:uid="{7E1F3624-729A-4E27-B35B-DA8D4DBE72A3}"/>
    <cellStyle name="Normal 5 5 3 3 4 7" xfId="13979" xr:uid="{6DB07B96-4051-4092-A480-E23365CF7508}"/>
    <cellStyle name="Normal 5 5 3 3 5" xfId="2638" xr:uid="{00000000-0005-0000-0000-00005E070000}"/>
    <cellStyle name="Normal 5 5 3 3 5 2" xfId="5900" xr:uid="{186A16A8-69D8-4703-B34E-7A9DDBD16197}"/>
    <cellStyle name="Normal 5 5 3 3 5 2 2" xfId="15310" xr:uid="{B088E4D3-F857-46C0-8CFC-6124F53F86C1}"/>
    <cellStyle name="Normal 5 5 3 3 5 3" xfId="7763" xr:uid="{050DE08B-BA64-40DB-9D1D-AEF1C52A83B7}"/>
    <cellStyle name="Normal 5 5 3 3 5 3 2" xfId="18143" xr:uid="{8DF48DD9-C2EA-4C9A-8DF1-BAB4B426AF08}"/>
    <cellStyle name="Normal 5 5 3 3 5 4" xfId="10596" xr:uid="{9F692D93-A96D-468A-854F-99454616E6E8}"/>
    <cellStyle name="Normal 5 5 3 3 5 4 2" xfId="20976" xr:uid="{1DEB8ED8-0F2D-420E-96E7-28EEC59C295E}"/>
    <cellStyle name="Normal 5 5 3 3 5 5" xfId="23016" xr:uid="{5B4EE627-4904-4A06-88F3-0F60708F9BC4}"/>
    <cellStyle name="Normal 5 5 3 3 5 6" xfId="25980" xr:uid="{AD89A197-A5CB-450F-8245-D9DE37D4C38D}"/>
    <cellStyle name="Normal 5 5 3 3 5 7" xfId="13027" xr:uid="{7B6E7E67-601D-400B-BF29-11CFF4D4B6EA}"/>
    <cellStyle name="Normal 5 5 3 3 6" xfId="2125" xr:uid="{00000000-0005-0000-0000-0000AB020000}"/>
    <cellStyle name="Normal 5 5 3 3 6 2" xfId="4650" xr:uid="{39152408-330A-44B7-900D-FA6E2B529A91}"/>
    <cellStyle name="Normal 5 5 3 3 6 3" xfId="30206" xr:uid="{19E5DBC6-87B5-46F1-B5E0-B67573138C40}"/>
    <cellStyle name="Normal 5 5 3 3 6 3 2" xfId="31350" xr:uid="{C475E952-4287-47E3-B046-F9817D97F62D}"/>
    <cellStyle name="Normal 5 5 3 3 6 4" xfId="31546" xr:uid="{F0BED102-3B27-4E13-8163-0F2933607E19}"/>
    <cellStyle name="Normal 5 5 3 3 7" xfId="4027" xr:uid="{56D1BCD9-EAD7-442F-BEF3-F5DBF0F48EA4}"/>
    <cellStyle name="Normal 5 5 3 3 7 2" xfId="4756" xr:uid="{3B2AE6C9-CD41-44A4-85EB-03A4D5B5EDAD}"/>
    <cellStyle name="Normal 5 5 3 3 7 2 2" xfId="27785" xr:uid="{580A303F-6BB4-45D3-9C35-7FFFABBC7C95}"/>
    <cellStyle name="Normal 5 5 3 3 7 3" xfId="26288" xr:uid="{E0BDAE02-0061-4AD1-A851-0C0422048092}"/>
    <cellStyle name="Normal 5 5 3 3 7 3 2" xfId="31173" xr:uid="{E1CFC7F0-7C6D-40F3-9AAC-AEE06C15BE18}"/>
    <cellStyle name="Normal 5 5 3 3 7 4" xfId="26362" xr:uid="{2BB7C9BC-9F92-46B9-A4E8-54E7EDCFB1FE}"/>
    <cellStyle name="Normal 5 5 3 3 7 5" xfId="30324" xr:uid="{13091C6E-267B-42E9-9EC6-63A637EF4C77}"/>
    <cellStyle name="Normal 5 5 3 3 7 5 2" xfId="31467" xr:uid="{8241D67A-0B65-441D-B87C-12FCD55689C9}"/>
    <cellStyle name="Normal 5 5 3 3 7 6" xfId="31664" xr:uid="{6C15C19A-00AD-4054-8903-F5817FB38421}"/>
    <cellStyle name="Normal 5 5 3 3 8" xfId="29681" xr:uid="{0A86F2A0-5592-44C0-A478-BDA05FBB524E}"/>
    <cellStyle name="Normal 5 5 3 3 8 2" xfId="30540" xr:uid="{CD43F895-0D8D-40A6-9F78-B0640AD53663}"/>
    <cellStyle name="Normal 5 5 3 3 9" xfId="29669" xr:uid="{04524AD8-987D-44B0-8EAE-33D3F77F3D00}"/>
    <cellStyle name="Normal 5 5 3 4" xfId="1208" xr:uid="{00000000-0005-0000-0000-00007E060000}"/>
    <cellStyle name="Normal 5 5 3 4 2" xfId="3412" xr:uid="{00000000-0005-0000-0000-000060070000}"/>
    <cellStyle name="Normal 5 5 3 4 2 2" xfId="6467" xr:uid="{091CA45F-1415-4786-BD74-62F2691D01A0}"/>
    <cellStyle name="Normal 5 5 3 4 2 2 2" xfId="25689" xr:uid="{D369BE46-53A2-4165-A63E-6DCF57B1B6B5}"/>
    <cellStyle name="Normal 5 5 3 4 2 2 3" xfId="16038" xr:uid="{A22DF215-B07D-4574-ACFB-178005758E72}"/>
    <cellStyle name="Normal 5 5 3 4 2 3" xfId="8491" xr:uid="{7A3C8F66-00F3-4E69-8FCE-2A1F17232FEE}"/>
    <cellStyle name="Normal 5 5 3 4 2 3 2" xfId="18871" xr:uid="{C9D05A51-96C9-44ED-A367-714CCD54E03B}"/>
    <cellStyle name="Normal 5 5 3 4 2 4" xfId="11324" xr:uid="{0BEEC87B-62C8-49C3-A718-6F4DA063F65A}"/>
    <cellStyle name="Normal 5 5 3 4 2 4 2" xfId="21704" xr:uid="{68FC661A-8C76-42A0-813F-166B20BE874E}"/>
    <cellStyle name="Normal 5 5 3 4 2 5" xfId="23339" xr:uid="{5D6AA472-3A32-4EF8-A05D-4D0479AF9BA0}"/>
    <cellStyle name="Normal 5 5 3 4 2 6" xfId="13982" xr:uid="{B9E238CB-6508-4CA3-B03E-8A79E05F87E3}"/>
    <cellStyle name="Normal 5 5 3 4 3" xfId="2810" xr:uid="{00000000-0005-0000-0000-000061070000}"/>
    <cellStyle name="Normal 5 5 3 4 3 2" xfId="6027" xr:uid="{1A84E262-5C66-4876-8988-B9C64750BC56}"/>
    <cellStyle name="Normal 5 5 3 4 3 2 2" xfId="25834" xr:uid="{75B92EC5-AA87-49FE-8CB9-5908B1535483}"/>
    <cellStyle name="Normal 5 5 3 4 3 2 3" xfId="15480" xr:uid="{C6697673-7266-4EEF-92D7-303A24FB0548}"/>
    <cellStyle name="Normal 5 5 3 4 3 3" xfId="7933" xr:uid="{0A15193D-FDFF-4EC3-A906-BC56E5F6002D}"/>
    <cellStyle name="Normal 5 5 3 4 3 3 2" xfId="18313" xr:uid="{156F1083-34F8-4A57-BB95-66C45D08E8A1}"/>
    <cellStyle name="Normal 5 5 3 4 3 4" xfId="10766" xr:uid="{68489397-CF2F-45B8-A765-1909E9CA44D4}"/>
    <cellStyle name="Normal 5 5 3 4 3 4 2" xfId="21146" xr:uid="{BB5C1C8E-2064-4637-B49F-93C358380D67}"/>
    <cellStyle name="Normal 5 5 3 4 3 5" xfId="22774" xr:uid="{0A156C61-6A99-49A7-A4D6-58E67D3277ED}"/>
    <cellStyle name="Normal 5 5 3 4 3 6" xfId="13275" xr:uid="{1C9D7B34-B27F-4326-A60F-35EE8630D162}"/>
    <cellStyle name="Normal 5 5 3 4 4" xfId="4206" xr:uid="{EFB807DE-F504-4F73-8F65-B660665FEC0D}"/>
    <cellStyle name="Normal 5 5 3 4 4 2" xfId="8978" xr:uid="{1598C217-6F5B-428E-A1FB-07FEF1C8031C}"/>
    <cellStyle name="Normal 5 5 3 4 4 2 2" xfId="19358" xr:uid="{CD108EAB-65B3-40E1-A655-815E862C7618}"/>
    <cellStyle name="Normal 5 5 3 4 4 3" xfId="11811" xr:uid="{B3749756-E62E-45C4-8812-35F065F09F12}"/>
    <cellStyle name="Normal 5 5 3 4 4 3 2" xfId="22191" xr:uid="{3CEE6DF3-83F1-4AF7-B6BC-B0A801425AEC}"/>
    <cellStyle name="Normal 5 5 3 4 4 4" xfId="24101" xr:uid="{BEB9EC4F-9B65-4276-A9CD-9404B0C4922D}"/>
    <cellStyle name="Normal 5 5 3 4 4 5" xfId="16525" xr:uid="{4C658C52-180C-4C57-AD4A-70F3D616DAAF}"/>
    <cellStyle name="Normal 5 5 3 4 5" xfId="5361" xr:uid="{5AB1D085-E211-4002-9A68-A779FB65A4A7}"/>
    <cellStyle name="Normal 5 5 3 4 5 2" xfId="14658" xr:uid="{79F76784-48D1-494A-A462-8B146DB212BC}"/>
    <cellStyle name="Normal 5 5 3 4 6" xfId="7111" xr:uid="{F1C2CF29-7FED-44EA-A7B8-4D977008F5A1}"/>
    <cellStyle name="Normal 5 5 3 4 6 2" xfId="17491" xr:uid="{6FA4D063-4557-496A-B0E1-3528238FE0ED}"/>
    <cellStyle name="Normal 5 5 3 4 7" xfId="9944" xr:uid="{B348D9BA-F377-446F-A189-975FF517BE34}"/>
    <cellStyle name="Normal 5 5 3 4 7 2" xfId="20324" xr:uid="{D56EEEB7-862E-4E75-84EE-5354199E21C2}"/>
    <cellStyle name="Normal 5 5 3 4 8" xfId="25010" xr:uid="{1B5984A8-BDFF-436B-BDA1-C2D38884C3F2}"/>
    <cellStyle name="Normal 5 5 3 4 9" xfId="12774" xr:uid="{207A05E2-44FD-49D4-BB57-844DD163A47F}"/>
    <cellStyle name="Normal 5 5 3 5" xfId="1209" xr:uid="{00000000-0005-0000-0000-00007F060000}"/>
    <cellStyle name="Normal 5 5 3 5 2" xfId="4564" xr:uid="{1BCA9013-97FB-47C4-86AC-6325ACCED00E}"/>
    <cellStyle name="Normal 5 5 3 5 2 2" xfId="9336" xr:uid="{1B079D11-66EE-43CD-B4C1-5CF70D817D4E}"/>
    <cellStyle name="Normal 5 5 3 5 2 2 2" xfId="29310" xr:uid="{28677310-8D44-47B2-8A3B-AA3433DF51E8}"/>
    <cellStyle name="Normal 5 5 3 5 2 2 3" xfId="19716" xr:uid="{5C607BAB-2769-4ECF-BFFA-54B73665BD0B}"/>
    <cellStyle name="Normal 5 5 3 5 2 3" xfId="12169" xr:uid="{25BC621A-EE9D-4329-BB95-F36DE3E1A7D0}"/>
    <cellStyle name="Normal 5 5 3 5 2 3 2" xfId="22549" xr:uid="{8D004C08-7D11-4892-83BD-4F86601205B7}"/>
    <cellStyle name="Normal 5 5 3 5 2 4" xfId="25654" xr:uid="{702AAE8B-8E10-478F-A88A-D4C689F0EC6E}"/>
    <cellStyle name="Normal 5 5 3 5 2 5" xfId="16883" xr:uid="{BA22D103-A3F5-4026-881A-D17B5200DFF6}"/>
    <cellStyle name="Normal 5 5 3 5 3" xfId="5362" xr:uid="{6F1DB607-BB13-42A8-8622-597EC7CCA09E}"/>
    <cellStyle name="Normal 5 5 3 5 3 2" xfId="28575" xr:uid="{598316B3-EE8C-4832-89FF-6741A61A0620}"/>
    <cellStyle name="Normal 5 5 3 5 3 3" xfId="14659" xr:uid="{EE5464CF-BE4B-40D0-A089-A1091CE52773}"/>
    <cellStyle name="Normal 5 5 3 5 4" xfId="7112" xr:uid="{B8FC9F61-DCB1-434B-9165-2BF6972D01BF}"/>
    <cellStyle name="Normal 5 5 3 5 4 2" xfId="17492" xr:uid="{E69F58FD-2F5C-43CA-AD58-447F718E2EEA}"/>
    <cellStyle name="Normal 5 5 3 5 5" xfId="9945" xr:uid="{2068F8F9-21BD-4D3A-B3A3-758FC908E522}"/>
    <cellStyle name="Normal 5 5 3 5 5 2" xfId="20325" xr:uid="{791DC83C-7EEC-4BB2-95C3-33D2C0D6393F}"/>
    <cellStyle name="Normal 5 5 3 5 6" xfId="22706" xr:uid="{26E8B065-FA68-4C76-94AC-0F6A43DAD136}"/>
    <cellStyle name="Normal 5 5 3 5 7" xfId="13983" xr:uid="{3CF2D734-478E-42BA-BA56-5D9DB3FC7DD6}"/>
    <cellStyle name="Normal 5 5 3 6" xfId="2966" xr:uid="{00000000-0005-0000-0000-000063070000}"/>
    <cellStyle name="Normal 5 5 3 6 2" xfId="6131" xr:uid="{0E37E037-9851-4EB9-A3C2-64BD356B9540}"/>
    <cellStyle name="Normal 5 5 3 6 2 2" xfId="25425" xr:uid="{1148EB6E-F740-4167-874A-A1EF65DB568B}"/>
    <cellStyle name="Normal 5 5 3 6 2 3" xfId="15609" xr:uid="{E621157B-6D27-443E-9F26-16E7CBD38180}"/>
    <cellStyle name="Normal 5 5 3 6 3" xfId="8062" xr:uid="{F10D5E6D-B385-4559-A109-D58207B8982F}"/>
    <cellStyle name="Normal 5 5 3 6 3 2" xfId="18442" xr:uid="{C50D9187-302B-4068-A26B-8A8CB3E158FC}"/>
    <cellStyle name="Normal 5 5 3 6 4" xfId="10895" xr:uid="{C921355E-72F7-4125-BAB7-52A6FE548BBF}"/>
    <cellStyle name="Normal 5 5 3 6 4 2" xfId="21275" xr:uid="{9E3667AD-B115-4E65-8125-DC2EA7D4A56D}"/>
    <cellStyle name="Normal 5 5 3 6 5" xfId="24770" xr:uid="{B7E804C6-D9AD-4DE6-A2A9-10FF544E0EF0}"/>
    <cellStyle name="Normal 5 5 3 6 6" xfId="13472" xr:uid="{9A3195F6-BF57-4B18-8247-833348BDB7E5}"/>
    <cellStyle name="Normal 5 5 3 7" xfId="2476" xr:uid="{00000000-0005-0000-0000-000064070000}"/>
    <cellStyle name="Normal 5 5 3 7 2" xfId="5764" xr:uid="{E07183B6-D25C-4CC0-AE13-2A38EE114993}"/>
    <cellStyle name="Normal 5 5 3 7 2 2" xfId="28402" xr:uid="{507B183A-3DB4-4009-B4C0-4F1576EFF074}"/>
    <cellStyle name="Normal 5 5 3 7 2 3" xfId="15148" xr:uid="{652D18B1-F5FF-4845-BFD1-FF8917671EC2}"/>
    <cellStyle name="Normal 5 5 3 7 3" xfId="7601" xr:uid="{18DAE69B-A4F7-477F-8762-6CE1E368E732}"/>
    <cellStyle name="Normal 5 5 3 7 3 2" xfId="17981" xr:uid="{7D96E94B-8809-4955-8F45-38DBBA2CE966}"/>
    <cellStyle name="Normal 5 5 3 7 4" xfId="10434" xr:uid="{44B3FFAF-869E-44AB-B931-CDF9E98397FF}"/>
    <cellStyle name="Normal 5 5 3 7 4 2" xfId="20814" xr:uid="{209C42BD-D008-4B39-A856-564FE070366E}"/>
    <cellStyle name="Normal 5 5 3 7 5" xfId="22730" xr:uid="{6943EE8A-2B33-45B4-95F9-C2EDD1961D07}"/>
    <cellStyle name="Normal 5 5 3 7 6" xfId="12864" xr:uid="{2B0515C8-907A-485B-A591-F0A2A639DF21}"/>
    <cellStyle name="Normal 5 5 3 8" xfId="2230" xr:uid="{00000000-0005-0000-0000-000051070000}"/>
    <cellStyle name="Normal 5 5 3 8 2" xfId="7357" xr:uid="{1618AD18-7B7B-424F-9BEB-D299222C55F2}"/>
    <cellStyle name="Normal 5 5 3 8 2 2" xfId="17737" xr:uid="{83869EBC-213B-40D0-96E1-A1D651B52F92}"/>
    <cellStyle name="Normal 5 5 3 8 3" xfId="10190" xr:uid="{48FB3034-9292-4116-8449-599FDAB40BBA}"/>
    <cellStyle name="Normal 5 5 3 8 3 2" xfId="20570" xr:uid="{57755D7B-7216-4DBE-9B79-50915AF1F3AA}"/>
    <cellStyle name="Normal 5 5 3 8 4" xfId="23117" xr:uid="{D9EF2FC2-8CF3-4C7B-9CFB-936A7DC6878C}"/>
    <cellStyle name="Normal 5 5 3 8 5" xfId="14904" xr:uid="{B773A80F-07C8-4906-B155-A12AE8E35E9E}"/>
    <cellStyle name="Normal 5 5 3 9" xfId="4025" xr:uid="{04E98241-B413-4763-8D87-0C12090244E0}"/>
    <cellStyle name="Normal 5 5 3 9 2" xfId="8827" xr:uid="{2DD4E885-8CED-468B-A0EA-21DF2E8F00A5}"/>
    <cellStyle name="Normal 5 5 3 9 2 2" xfId="19207" xr:uid="{19E384D0-B5F7-4808-B416-14EE8B359BA2}"/>
    <cellStyle name="Normal 5 5 3 9 3" xfId="11660" xr:uid="{D509F8F9-2213-4B96-AEE4-7A6AAADF8F18}"/>
    <cellStyle name="Normal 5 5 3 9 3 2" xfId="22040" xr:uid="{A762BF18-54D9-4BB2-80CE-D7CF47DBE619}"/>
    <cellStyle name="Normal 5 5 3 9 4" xfId="16374" xr:uid="{93FEC0E4-2C60-4A83-9D0A-395AD443D74E}"/>
    <cellStyle name="Normal 5 5 4" xfId="1210" xr:uid="{00000000-0005-0000-0000-000080060000}"/>
    <cellStyle name="Normal 5 5 4 10" xfId="7113" xr:uid="{6E24754F-4139-496A-B256-B3A7608A1E70}"/>
    <cellStyle name="Normal 5 5 4 10 2" xfId="17493" xr:uid="{FEFC9BE0-9D2E-4273-901D-6405ADC29F6E}"/>
    <cellStyle name="Normal 5 5 4 11" xfId="9946" xr:uid="{4E506426-856D-48E1-9830-436B16A4402B}"/>
    <cellStyle name="Normal 5 5 4 11 2" xfId="20326" xr:uid="{56B19307-4070-41C7-97F4-984C9C4ACD71}"/>
    <cellStyle name="Normal 5 5 4 12" xfId="22669" xr:uid="{66F7D1B5-E539-4153-9F8D-61F382AE08F9}"/>
    <cellStyle name="Normal 5 5 4 13" xfId="12442" xr:uid="{1DD33C2E-3DF1-4199-9780-FE1826973C76}"/>
    <cellStyle name="Normal 5 5 4 2" xfId="1211" xr:uid="{00000000-0005-0000-0000-000081060000}"/>
    <cellStyle name="Normal 5 5 4 2 10" xfId="9947" xr:uid="{0AA280C8-05D0-4EDD-A0F0-25F6C4C0E2C2}"/>
    <cellStyle name="Normal 5 5 4 2 10 2" xfId="20327" xr:uid="{B38EED4E-B7E8-43A6-A452-0F3F6AC3A192}"/>
    <cellStyle name="Normal 5 5 4 2 11" xfId="25517" xr:uid="{1F8836FE-5842-48CD-9C27-7130A11C0DF8}"/>
    <cellStyle name="Normal 5 5 4 2 12" xfId="12617" xr:uid="{4ED1B215-A62B-4224-9B08-1DB86D03310D}"/>
    <cellStyle name="Normal 5 5 4 2 2" xfId="1212" xr:uid="{00000000-0005-0000-0000-000082060000}"/>
    <cellStyle name="Normal 5 5 4 2 2 2" xfId="3414" xr:uid="{00000000-0005-0000-0000-000068070000}"/>
    <cellStyle name="Normal 5 5 4 2 2 2 2" xfId="6469" xr:uid="{7CCB15D9-59C9-4526-9A31-724CBEB58938}"/>
    <cellStyle name="Normal 5 5 4 2 2 2 2 2" xfId="27148" xr:uid="{D8DD4CAC-C2B0-4A8C-AB8C-C0B64925EFE3}"/>
    <cellStyle name="Normal 5 5 4 2 2 2 2 3" xfId="27851" xr:uid="{183AD068-030C-4CFA-9598-24BADC3E24B2}"/>
    <cellStyle name="Normal 5 5 4 2 2 2 2 4" xfId="16040" xr:uid="{FBBC1EA9-0576-414A-A822-1E8A36E7878C}"/>
    <cellStyle name="Normal 5 5 4 2 2 2 3" xfId="8493" xr:uid="{7C67B0EB-6874-490A-AB6F-C0E9C43E16A5}"/>
    <cellStyle name="Normal 5 5 4 2 2 2 3 2" xfId="28931" xr:uid="{F9ABDF4E-3479-4731-9FBD-0A7A6F62AC8C}"/>
    <cellStyle name="Normal 5 5 4 2 2 2 3 3" xfId="18873" xr:uid="{1D7D140A-B2B0-4829-A203-C0CCB8E5AD57}"/>
    <cellStyle name="Normal 5 5 4 2 2 2 4" xfId="11326" xr:uid="{BDFB2532-6171-4425-AE58-C640DC6D5C99}"/>
    <cellStyle name="Normal 5 5 4 2 2 2 4 2" xfId="21706" xr:uid="{A6731636-272C-431C-A233-91D4C9F41C59}"/>
    <cellStyle name="Normal 5 5 4 2 2 2 5" xfId="24759" xr:uid="{5E5A21BD-C085-4EBD-8AF6-13C09DC8FD76}"/>
    <cellStyle name="Normal 5 5 4 2 2 2 6" xfId="13985" xr:uid="{25FFA09B-B9F9-4E37-8D5D-5125888B0D71}"/>
    <cellStyle name="Normal 5 5 4 2 2 3" xfId="4359" xr:uid="{88387237-01E0-4B25-8BE5-8B2376BBC437}"/>
    <cellStyle name="Normal 5 5 4 2 2 3 2" xfId="9131" xr:uid="{C2F40767-A121-40AD-A68A-26A92CB2DAB8}"/>
    <cellStyle name="Normal 5 5 4 2 2 3 2 2" xfId="29174" xr:uid="{0DBDF345-5003-44B1-81F2-DF78F3F02DB5}"/>
    <cellStyle name="Normal 5 5 4 2 2 3 2 3" xfId="19511" xr:uid="{98EF1CBC-575B-4F9E-AD57-B6D00E5F04A9}"/>
    <cellStyle name="Normal 5 5 4 2 2 3 3" xfId="11964" xr:uid="{D26025B7-29BB-40AF-AF33-59D08E610285}"/>
    <cellStyle name="Normal 5 5 4 2 2 3 3 2" xfId="22344" xr:uid="{A3B4DB2D-13D6-4FC1-84DB-0774CA906768}"/>
    <cellStyle name="Normal 5 5 4 2 2 3 4" xfId="25176" xr:uid="{61DBC9B9-1E71-4285-9860-27A3D1877045}"/>
    <cellStyle name="Normal 5 5 4 2 2 3 5" xfId="16678" xr:uid="{732B4A0F-9AA6-4BBD-9BA9-43C9B926872C}"/>
    <cellStyle name="Normal 5 5 4 2 2 4" xfId="5365" xr:uid="{0F610BEE-9DE4-4777-8999-E564D9E55943}"/>
    <cellStyle name="Normal 5 5 4 2 2 4 2" xfId="28589" xr:uid="{BE178C20-6377-4C6C-BDB1-3FD1588CEB5D}"/>
    <cellStyle name="Normal 5 5 4 2 2 4 3" xfId="14662" xr:uid="{9FFCFC9D-9C47-4ECB-81BE-AAC034414419}"/>
    <cellStyle name="Normal 5 5 4 2 2 5" xfId="7115" xr:uid="{A101A71D-F59C-4077-B1E0-6EC2FA54C6C6}"/>
    <cellStyle name="Normal 5 5 4 2 2 5 2" xfId="17495" xr:uid="{5700200F-39FB-42A2-B68A-B7B1A184B99E}"/>
    <cellStyle name="Normal 5 5 4 2 2 6" xfId="9948" xr:uid="{81343349-F28D-4BE8-B042-92BC99D6E794}"/>
    <cellStyle name="Normal 5 5 4 2 2 6 2" xfId="20328" xr:uid="{672AA7D8-40C0-41E9-A770-249F7667571C}"/>
    <cellStyle name="Normal 5 5 4 2 2 7" xfId="24135" xr:uid="{6FC67304-0A44-4136-96E5-88EF5A100FCF}"/>
    <cellStyle name="Normal 5 5 4 2 2 8" xfId="13279" xr:uid="{745892F2-0B91-467A-A005-39AED4451CCE}"/>
    <cellStyle name="Normal 5 5 4 2 3" xfId="3415" xr:uid="{00000000-0005-0000-0000-000069070000}"/>
    <cellStyle name="Normal 5 5 4 2 3 2" xfId="4565" xr:uid="{59E9896A-4AE0-410C-A3ED-3816DD832625}"/>
    <cellStyle name="Normal 5 5 4 2 3 2 2" xfId="9337" xr:uid="{D5B29995-C094-4271-9B4B-E6B4761B42CE}"/>
    <cellStyle name="Normal 5 5 4 2 3 2 2 2" xfId="29311" xr:uid="{9E676E7D-8273-4182-875D-83226C40ECF7}"/>
    <cellStyle name="Normal 5 5 4 2 3 2 2 3" xfId="19717" xr:uid="{754A0F1A-A96C-434B-BA8D-594D18240134}"/>
    <cellStyle name="Normal 5 5 4 2 3 2 3" xfId="12170" xr:uid="{A533C767-AE59-4618-8077-BC4435917938}"/>
    <cellStyle name="Normal 5 5 4 2 3 2 3 2" xfId="22550" xr:uid="{28EDD1D9-13C6-4097-A370-AC37D8CD4DB4}"/>
    <cellStyle name="Normal 5 5 4 2 3 2 4" xfId="24830" xr:uid="{07C40AB1-3864-423F-9D25-E01807021BC3}"/>
    <cellStyle name="Normal 5 5 4 2 3 2 5" xfId="16884" xr:uid="{8C01C22A-4D6C-482B-96D7-EE9F25C85FF6}"/>
    <cellStyle name="Normal 5 5 4 2 3 3" xfId="6470" xr:uid="{50345F73-2533-4705-B684-4F6C37935228}"/>
    <cellStyle name="Normal 5 5 4 2 3 3 2" xfId="28178" xr:uid="{B46D0BE0-1686-4D95-8913-518271E217B1}"/>
    <cellStyle name="Normal 5 5 4 2 3 3 3" xfId="16041" xr:uid="{27D10CD0-AA74-4768-95AF-34104D115929}"/>
    <cellStyle name="Normal 5 5 4 2 3 4" xfId="8494" xr:uid="{FC48BE13-1A01-48D6-B418-4542DED64E07}"/>
    <cellStyle name="Normal 5 5 4 2 3 4 2" xfId="18874" xr:uid="{34F15F65-921B-4CFE-A494-3BBF0EC21721}"/>
    <cellStyle name="Normal 5 5 4 2 3 5" xfId="11327" xr:uid="{4118BB6B-36ED-4676-9F40-AD7DB8EBCCE5}"/>
    <cellStyle name="Normal 5 5 4 2 3 5 2" xfId="21707" xr:uid="{C9271C97-0E97-44DE-8798-E7CA744D3D07}"/>
    <cellStyle name="Normal 5 5 4 2 3 6" xfId="24742" xr:uid="{D9047DF0-A0F0-4CB2-8500-ECE08094FFDF}"/>
    <cellStyle name="Normal 5 5 4 2 3 7" xfId="13986" xr:uid="{9857581E-720F-409C-BCF2-FA313C3412CB}"/>
    <cellStyle name="Normal 5 5 4 2 4" xfId="3413" xr:uid="{00000000-0005-0000-0000-00006A070000}"/>
    <cellStyle name="Normal 5 5 4 2 4 2" xfId="6468" xr:uid="{46726510-68DC-4E96-B0A0-9BE440840691}"/>
    <cellStyle name="Normal 5 5 4 2 4 2 2" xfId="28241" xr:uid="{E2FD7BA4-3D4A-4D80-BF4E-F4C3319F1363}"/>
    <cellStyle name="Normal 5 5 4 2 4 2 3" xfId="16039" xr:uid="{45DE6920-2544-41FE-B361-9B5DCE5E57BD}"/>
    <cellStyle name="Normal 5 5 4 2 4 3" xfId="8492" xr:uid="{99687D84-51A5-41C8-B083-20C6F10B23E2}"/>
    <cellStyle name="Normal 5 5 4 2 4 3 2" xfId="18872" xr:uid="{6F29B5F1-55CC-4EA7-8AFF-CD39617D1847}"/>
    <cellStyle name="Normal 5 5 4 2 4 4" xfId="11325" xr:uid="{0D6D5259-8272-43A1-BD9D-8464EE323750}"/>
    <cellStyle name="Normal 5 5 4 2 4 4 2" xfId="21705" xr:uid="{0B467AE6-D095-4E01-B1C6-9AD0529DB5E0}"/>
    <cellStyle name="Normal 5 5 4 2 4 5" xfId="25039" xr:uid="{09364949-5879-4291-B804-203D2A370A8A}"/>
    <cellStyle name="Normal 5 5 4 2 4 6" xfId="13984" xr:uid="{AFBEAF81-F45E-4B32-B12A-29043B6E9BDE}"/>
    <cellStyle name="Normal 5 5 4 2 5" xfId="2619" xr:uid="{00000000-0005-0000-0000-00006B070000}"/>
    <cellStyle name="Normal 5 5 4 2 5 2" xfId="5881" xr:uid="{BCB80E92-130F-4393-92A6-CF74E5E3FAA1}"/>
    <cellStyle name="Normal 5 5 4 2 5 2 2" xfId="26990" xr:uid="{462CA211-B977-4C0A-85C4-62A92E2ADAE2}"/>
    <cellStyle name="Normal 5 5 4 2 5 2 3" xfId="15291" xr:uid="{6F136D58-4914-4CCE-8629-4C8A37EE3A7D}"/>
    <cellStyle name="Normal 5 5 4 2 5 3" xfId="7744" xr:uid="{5AFD0B02-50B9-4405-8F1F-E60FB6DD50A1}"/>
    <cellStyle name="Normal 5 5 4 2 5 3 2" xfId="18124" xr:uid="{424688BD-541F-480A-8C28-374855ACE59E}"/>
    <cellStyle name="Normal 5 5 4 2 5 4" xfId="10577" xr:uid="{0DB40406-B413-4DFA-8FCF-2748CAAC8D77}"/>
    <cellStyle name="Normal 5 5 4 2 5 4 2" xfId="20957" xr:uid="{34B33404-AE11-4CD5-B582-902D4626A0B7}"/>
    <cellStyle name="Normal 5 5 4 2 5 5" xfId="23321" xr:uid="{D4A6F583-1A92-41C7-8A6A-0946187BA285}"/>
    <cellStyle name="Normal 5 5 4 2 5 6" xfId="13007" xr:uid="{09811C73-DF46-4F22-8131-516A2881FD25}"/>
    <cellStyle name="Normal 5 5 4 2 6" xfId="2383" xr:uid="{00000000-0005-0000-0000-000066070000}"/>
    <cellStyle name="Normal 5 5 4 2 6 2" xfId="7510" xr:uid="{3735F5DA-E6B9-4E9C-A838-7967AF9337B8}"/>
    <cellStyle name="Normal 5 5 4 2 6 2 2" xfId="17890" xr:uid="{9FB35E1E-9B73-411C-94E1-78DB4E436336}"/>
    <cellStyle name="Normal 5 5 4 2 6 3" xfId="10343" xr:uid="{3DA0AAF8-109E-4C8B-8BA6-D4435D8B82C2}"/>
    <cellStyle name="Normal 5 5 4 2 6 3 2" xfId="20723" xr:uid="{E0432CA7-9C2B-422E-BFF0-284E36699756}"/>
    <cellStyle name="Normal 5 5 4 2 6 4" xfId="25283" xr:uid="{20A84658-7D0F-47B3-B91D-580A981B7887}"/>
    <cellStyle name="Normal 5 5 4 2 6 5" xfId="15057" xr:uid="{62BA7A19-98C4-449D-83FE-814C97D9DA44}"/>
    <cellStyle name="Normal 5 5 4 2 7" xfId="4077" xr:uid="{FB088EE4-0F3D-4BC2-A99F-19D1BB2FE077}"/>
    <cellStyle name="Normal 5 5 4 2 7 2" xfId="8857" xr:uid="{EAC4AB74-A3D4-4B0B-A0D1-6477BB0F390F}"/>
    <cellStyle name="Normal 5 5 4 2 7 2 2" xfId="19237" xr:uid="{3A8FA0D7-2211-4A1A-BEE2-F224274F9E5A}"/>
    <cellStyle name="Normal 5 5 4 2 7 3" xfId="11690" xr:uid="{F3C263EC-B001-4BD2-A184-1C70DF0F70DB}"/>
    <cellStyle name="Normal 5 5 4 2 7 3 2" xfId="22070" xr:uid="{D6D005C5-B11A-4301-9522-39483B7DC464}"/>
    <cellStyle name="Normal 5 5 4 2 7 4" xfId="16404" xr:uid="{2A619328-B2AA-4A1D-97EC-816ACCA8C489}"/>
    <cellStyle name="Normal 5 5 4 2 8" xfId="5364" xr:uid="{0ACEBE73-E7F6-4F86-BDD3-BE2E01291193}"/>
    <cellStyle name="Normal 5 5 4 2 8 2" xfId="14661" xr:uid="{1E7A55A6-CF17-498E-8E3F-BF0AE06F160B}"/>
    <cellStyle name="Normal 5 5 4 2 9" xfId="7114" xr:uid="{C2462432-3E71-4100-9CAF-BAB609427C91}"/>
    <cellStyle name="Normal 5 5 4 2 9 2" xfId="17494" xr:uid="{1E95C8F2-0838-4E21-B878-576F8054A41A}"/>
    <cellStyle name="Normal 5 5 4 3" xfId="1213" xr:uid="{00000000-0005-0000-0000-000083060000}"/>
    <cellStyle name="Normal 5 5 4 3 2" xfId="3416" xr:uid="{00000000-0005-0000-0000-00006D070000}"/>
    <cellStyle name="Normal 5 5 4 3 2 2" xfId="6471" xr:uid="{AC59D8AD-A63F-4F69-B810-7DB7157D221D}"/>
    <cellStyle name="Normal 5 5 4 3 2 2 2" xfId="25159" xr:uid="{23B3473D-7E5E-4004-9F1D-A94AA09D630D}"/>
    <cellStyle name="Normal 5 5 4 3 2 2 3" xfId="27419" xr:uid="{0597AE7C-F5F3-4C32-B52A-3336B8870B89}"/>
    <cellStyle name="Normal 5 5 4 3 2 2 4" xfId="16042" xr:uid="{FA4C670E-7C0A-4498-BC35-5AB9EEC67189}"/>
    <cellStyle name="Normal 5 5 4 3 2 3" xfId="8495" xr:uid="{3C267D15-F83E-4CEC-A25A-8CEDB28B3AA4}"/>
    <cellStyle name="Normal 5 5 4 3 2 3 2" xfId="28932" xr:uid="{6984EE01-1911-4902-89ED-A1CA0D278011}"/>
    <cellStyle name="Normal 5 5 4 3 2 3 3" xfId="18875" xr:uid="{048FA31C-1C1E-4A45-B594-D1609CFBC415}"/>
    <cellStyle name="Normal 5 5 4 3 2 4" xfId="11328" xr:uid="{0912AB62-A87E-4AAE-A26B-28E10A450010}"/>
    <cellStyle name="Normal 5 5 4 3 2 4 2" xfId="21708" xr:uid="{58D0B03A-73FF-4073-9F18-12DC1856E031}"/>
    <cellStyle name="Normal 5 5 4 3 2 5" xfId="24604" xr:uid="{A194AE26-0E9A-4449-9DDB-EA21F77A41F7}"/>
    <cellStyle name="Normal 5 5 4 3 2 6" xfId="13987" xr:uid="{48E8543D-A77A-48F7-A5F5-EBCCAEFF3AFF}"/>
    <cellStyle name="Normal 5 5 4 3 3" xfId="2812" xr:uid="{00000000-0005-0000-0000-00006E070000}"/>
    <cellStyle name="Normal 5 5 4 3 3 2" xfId="6028" xr:uid="{217F6F0F-2140-46D5-8CE6-3D4C883F4C0F}"/>
    <cellStyle name="Normal 5 5 4 3 3 2 2" xfId="25989" xr:uid="{5EEFDEAC-E372-4922-9648-FDC3AFCC3270}"/>
    <cellStyle name="Normal 5 5 4 3 3 2 3" xfId="15482" xr:uid="{206BA647-D335-4636-B958-797D31966869}"/>
    <cellStyle name="Normal 5 5 4 3 3 3" xfId="7935" xr:uid="{F578BA06-A090-46B2-8A1B-DB179F472A2F}"/>
    <cellStyle name="Normal 5 5 4 3 3 3 2" xfId="18315" xr:uid="{5290133E-5A53-4E95-BD04-844675593609}"/>
    <cellStyle name="Normal 5 5 4 3 3 4" xfId="10768" xr:uid="{6C985679-09CE-4019-A3A6-1E2BB3D02311}"/>
    <cellStyle name="Normal 5 5 4 3 3 4 2" xfId="21148" xr:uid="{78EA3973-2134-4C51-AB0F-C5AE55D5FCAC}"/>
    <cellStyle name="Normal 5 5 4 3 3 5" xfId="24280" xr:uid="{07EAA85C-4968-4744-AADA-9BED06DCE515}"/>
    <cellStyle name="Normal 5 5 4 3 3 6" xfId="13278" xr:uid="{6CDF3F83-135F-4BC7-91CD-99B7AB23EB30}"/>
    <cellStyle name="Normal 5 5 4 3 4" xfId="4207" xr:uid="{15066793-57D5-4437-B28B-61C169F0E4AC}"/>
    <cellStyle name="Normal 5 5 4 3 4 2" xfId="8979" xr:uid="{D21FD296-27FE-4488-B8D5-388D122867AE}"/>
    <cellStyle name="Normal 5 5 4 3 4 2 2" xfId="29060" xr:uid="{DBC2EC50-7621-46E7-8386-942BC1FCAA5A}"/>
    <cellStyle name="Normal 5 5 4 3 4 2 3" xfId="19359" xr:uid="{3A4C442C-FAE9-4338-AD2A-B9825CE175E5}"/>
    <cellStyle name="Normal 5 5 4 3 4 3" xfId="11812" xr:uid="{B16D9B1C-6028-4C08-A4B6-129E5B23722D}"/>
    <cellStyle name="Normal 5 5 4 3 4 3 2" xfId="22192" xr:uid="{2A57EB7D-6C71-41AA-92D2-0E2A3A3CF7E6}"/>
    <cellStyle name="Normal 5 5 4 3 4 4" xfId="23748" xr:uid="{A05DAAD2-5842-4B6A-998C-12560685C46D}"/>
    <cellStyle name="Normal 5 5 4 3 4 5" xfId="16526" xr:uid="{C17561D3-2815-45DC-82A5-5F93F2A92885}"/>
    <cellStyle name="Normal 5 5 4 3 5" xfId="5366" xr:uid="{DB088A61-64E6-4201-89C4-69AFC83B9FBF}"/>
    <cellStyle name="Normal 5 5 4 3 5 2" xfId="26919" xr:uid="{CF76725B-BDE5-488F-91B8-D4676F444724}"/>
    <cellStyle name="Normal 5 5 4 3 5 3" xfId="14663" xr:uid="{CB004E3E-19BA-48AF-999F-6F920024FC64}"/>
    <cellStyle name="Normal 5 5 4 3 6" xfId="7116" xr:uid="{E6CB665E-F9E2-49C1-B7C9-8AEC90EC957D}"/>
    <cellStyle name="Normal 5 5 4 3 6 2" xfId="17496" xr:uid="{2AAF6171-5A59-4412-911B-F7C34FF102AA}"/>
    <cellStyle name="Normal 5 5 4 3 7" xfId="9949" xr:uid="{8BF43703-FE90-482D-96AB-785900DA65E7}"/>
    <cellStyle name="Normal 5 5 4 3 7 2" xfId="20329" xr:uid="{3432473F-743D-464A-AB4A-BCD453F869D1}"/>
    <cellStyle name="Normal 5 5 4 3 8" xfId="24185" xr:uid="{D0FD81B9-EF00-439C-9B33-886E72B50F44}"/>
    <cellStyle name="Normal 5 5 4 3 9" xfId="12775" xr:uid="{21028DE2-387F-4181-A218-A09739C44068}"/>
    <cellStyle name="Normal 5 5 4 4" xfId="1214" xr:uid="{00000000-0005-0000-0000-000084060000}"/>
    <cellStyle name="Normal 5 5 4 4 2" xfId="4566" xr:uid="{157EE7DE-ED78-41D4-BF89-854BCDBD8753}"/>
    <cellStyle name="Normal 5 5 4 4 2 2" xfId="9338" xr:uid="{46CC833B-5836-497C-83D8-337169783DE3}"/>
    <cellStyle name="Normal 5 5 4 4 2 2 2" xfId="29312" xr:uid="{EE5B18BB-9211-471B-A2C6-63FEF631B18B}"/>
    <cellStyle name="Normal 5 5 4 4 2 2 3" xfId="19718" xr:uid="{917607CE-4AD1-468A-985C-A4EDE998A94A}"/>
    <cellStyle name="Normal 5 5 4 4 2 3" xfId="12171" xr:uid="{E5A55687-2038-4D53-BEE7-F0BFB4FA39BC}"/>
    <cellStyle name="Normal 5 5 4 4 2 3 2" xfId="22551" xr:uid="{EF747E8A-3C16-4333-9232-201490E0262E}"/>
    <cellStyle name="Normal 5 5 4 4 2 4" xfId="22954" xr:uid="{3B708004-A7CE-48C6-9CB5-E218E391DB3A}"/>
    <cellStyle name="Normal 5 5 4 4 2 5" xfId="16885" xr:uid="{6E3E75C5-D46A-4737-B559-2AB79DD9B796}"/>
    <cellStyle name="Normal 5 5 4 4 3" xfId="5367" xr:uid="{0A9A3D45-D283-4CE8-8270-C55755043C6E}"/>
    <cellStyle name="Normal 5 5 4 4 3 2" xfId="28505" xr:uid="{3A7B5CAB-3EA8-4681-BCA7-A2B14946A26A}"/>
    <cellStyle name="Normal 5 5 4 4 3 3" xfId="14664" xr:uid="{D890EF97-0237-4E1A-B2DC-9FCBA898642D}"/>
    <cellStyle name="Normal 5 5 4 4 4" xfId="7117" xr:uid="{3391C957-E508-4404-BD54-4E0FA5C62B53}"/>
    <cellStyle name="Normal 5 5 4 4 4 2" xfId="17497" xr:uid="{2B55E696-D55C-430A-B8C5-2BB048403E81}"/>
    <cellStyle name="Normal 5 5 4 4 5" xfId="9950" xr:uid="{48B58101-0742-4EDF-8585-114A30975F5B}"/>
    <cellStyle name="Normal 5 5 4 4 5 2" xfId="20330" xr:uid="{2D4F3DC2-6C4A-4969-BA87-B12F912EE4CA}"/>
    <cellStyle name="Normal 5 5 4 4 6" xfId="24199" xr:uid="{CA5E9496-C789-442B-931B-6EDB9A10B695}"/>
    <cellStyle name="Normal 5 5 4 4 7" xfId="13988" xr:uid="{832AE13A-6AAB-454D-B5FE-1D62966B2F38}"/>
    <cellStyle name="Normal 5 5 4 5" xfId="2967" xr:uid="{00000000-0005-0000-0000-000070070000}"/>
    <cellStyle name="Normal 5 5 4 5 2" xfId="6132" xr:uid="{43560DDC-6333-48B3-B593-06D828932A1C}"/>
    <cellStyle name="Normal 5 5 4 5 2 2" xfId="25290" xr:uid="{F3FCD554-125C-4837-802F-EBDBE3EE0BCF}"/>
    <cellStyle name="Normal 5 5 4 5 2 3" xfId="26067" xr:uid="{52888AFD-CD49-40BE-A3A9-8284FB588678}"/>
    <cellStyle name="Normal 5 5 4 5 2 4" xfId="15610" xr:uid="{F29503EA-CD21-4E41-916C-8D818658A1A8}"/>
    <cellStyle name="Normal 5 5 4 5 3" xfId="8063" xr:uid="{CD0AC81D-4C30-43D7-AF42-06A7B31528FE}"/>
    <cellStyle name="Normal 5 5 4 5 3 2" xfId="28761" xr:uid="{AB7591CB-F89F-49C5-AB72-CB2DA27CBE9C}"/>
    <cellStyle name="Normal 5 5 4 5 3 3" xfId="18443" xr:uid="{8C7B239E-AC23-488E-8D2F-B82C80B465DF}"/>
    <cellStyle name="Normal 5 5 4 5 4" xfId="10896" xr:uid="{13236B69-3D00-425A-A559-B31B3E4CA88B}"/>
    <cellStyle name="Normal 5 5 4 5 4 2" xfId="21276" xr:uid="{05940147-B572-432E-A9BD-F2157B1FE877}"/>
    <cellStyle name="Normal 5 5 4 5 5" xfId="25212" xr:uid="{4572E5BC-DBA3-47FA-929E-B4453D0F36CB}"/>
    <cellStyle name="Normal 5 5 4 5 6" xfId="13473" xr:uid="{E4485919-9489-491C-B9CD-45FA9B034CB0}"/>
    <cellStyle name="Normal 5 5 4 6" xfId="2456" xr:uid="{00000000-0005-0000-0000-000071070000}"/>
    <cellStyle name="Normal 5 5 4 6 2" xfId="5748" xr:uid="{F06DB42E-D681-4B9D-9972-51B8D3A90435}"/>
    <cellStyle name="Normal 5 5 4 6 2 2" xfId="27461" xr:uid="{D8E3870C-88CA-47D4-9993-452C05AD3072}"/>
    <cellStyle name="Normal 5 5 4 6 2 3" xfId="15128" xr:uid="{0ED15E5C-A899-49F8-B6E9-C9F0F2908E55}"/>
    <cellStyle name="Normal 5 5 4 6 3" xfId="7581" xr:uid="{F6CADD64-4A82-439F-A05F-C9BEE3641BF0}"/>
    <cellStyle name="Normal 5 5 4 6 3 2" xfId="17961" xr:uid="{6E0C024C-1C37-4057-A849-854CC773B8AE}"/>
    <cellStyle name="Normal 5 5 4 6 4" xfId="10414" xr:uid="{4AB2F5E3-FF56-4D58-8DA2-EED3602FF820}"/>
    <cellStyle name="Normal 5 5 4 6 4 2" xfId="20794" xr:uid="{CDC85785-897D-419D-80D5-3646FAEB21C5}"/>
    <cellStyle name="Normal 5 5 4 6 5" xfId="25389" xr:uid="{716E7A91-B728-47C7-9BBA-D974E6B3B083}"/>
    <cellStyle name="Normal 5 5 4 6 6" xfId="12844" xr:uid="{FE024495-91C4-4E95-B64D-26D118050472}"/>
    <cellStyle name="Normal 5 5 4 7" xfId="2210" xr:uid="{00000000-0005-0000-0000-000065070000}"/>
    <cellStyle name="Normal 5 5 4 7 2" xfId="7337" xr:uid="{CDB152A3-FA48-46E4-B1B1-4A758871671D}"/>
    <cellStyle name="Normal 5 5 4 7 2 2" xfId="17717" xr:uid="{B3851944-EF81-43E6-BE8E-8E6902BB57FE}"/>
    <cellStyle name="Normal 5 5 4 7 3" xfId="10170" xr:uid="{83B1FE9F-3968-4327-8393-632D67E175E6}"/>
    <cellStyle name="Normal 5 5 4 7 3 2" xfId="20550" xr:uid="{73533A79-19BB-4534-9BA5-F72DCD3D4905}"/>
    <cellStyle name="Normal 5 5 4 7 4" xfId="24276" xr:uid="{442DB867-847A-43E3-AC7E-CB20FE8F471D}"/>
    <cellStyle name="Normal 5 5 4 7 5" xfId="14884" xr:uid="{E44802E5-DE8E-4138-91A8-056C6C3C5BAA}"/>
    <cellStyle name="Normal 5 5 4 8" xfId="4028" xr:uid="{0162DD0B-71A7-465E-A829-6251DA6707D0}"/>
    <cellStyle name="Normal 5 5 4 8 2" xfId="8829" xr:uid="{7F9E0C5D-5CAE-475E-BD0B-14C56A8166FF}"/>
    <cellStyle name="Normal 5 5 4 8 2 2" xfId="19209" xr:uid="{A9CDA95E-2FE3-41A7-A01E-7B7399FEDC86}"/>
    <cellStyle name="Normal 5 5 4 8 3" xfId="11662" xr:uid="{29FA82FF-BA26-47DA-BFAE-0624A1A744B2}"/>
    <cellStyle name="Normal 5 5 4 8 3 2" xfId="22042" xr:uid="{C3CC5B23-C230-495B-8130-722446E29811}"/>
    <cellStyle name="Normal 5 5 4 8 4" xfId="16376" xr:uid="{0AA7228F-51B6-4F80-9D5F-AE3D32298536}"/>
    <cellStyle name="Normal 5 5 4 9" xfId="5363" xr:uid="{83DDD56E-E7C5-4B28-97A7-4C900E28DF1F}"/>
    <cellStyle name="Normal 5 5 4 9 2" xfId="14660" xr:uid="{133DAB68-AE63-4F02-9468-2540A675DF06}"/>
    <cellStyle name="Normal 5 5 5" xfId="1215" xr:uid="{00000000-0005-0000-0000-000085060000}"/>
    <cellStyle name="Normal 5 5 5 10" xfId="9951" xr:uid="{6E19B45A-9719-4CF1-A76F-55590E64356A}"/>
    <cellStyle name="Normal 5 5 5 10 2" xfId="20331" xr:uid="{BB0444A7-C2EF-44E8-B04D-0768A6EB6435}"/>
    <cellStyle name="Normal 5 5 5 11" xfId="25573" xr:uid="{54157B82-19DE-4B4C-A0F4-6E81203A9811}"/>
    <cellStyle name="Normal 5 5 5 12" xfId="12618" xr:uid="{23E75295-F147-477E-96CA-EB5C86B5511E}"/>
    <cellStyle name="Normal 5 5 5 2" xfId="1216" xr:uid="{00000000-0005-0000-0000-000086060000}"/>
    <cellStyle name="Normal 5 5 5 2 2" xfId="1217" xr:uid="{00000000-0005-0000-0000-000087060000}"/>
    <cellStyle name="Normal 5 5 5 2 2 2" xfId="5370" xr:uid="{FCACC8EB-6DA7-4E83-87A7-9881E1E64148}"/>
    <cellStyle name="Normal 5 5 5 2 2 2 2" xfId="24367" xr:uid="{CBC1034A-6798-465D-AF7B-6C88ED5568FC}"/>
    <cellStyle name="Normal 5 5 5 2 2 2 3" xfId="27776" xr:uid="{C24177E6-CFA2-44F9-8258-23A36802CF58}"/>
    <cellStyle name="Normal 5 5 5 2 2 2 4" xfId="14667" xr:uid="{A35A8776-8A3B-43B0-A05C-B0D0FBEC4C53}"/>
    <cellStyle name="Normal 5 5 5 2 2 3" xfId="7120" xr:uid="{414C89D4-A323-4F0F-845B-5719799140A9}"/>
    <cellStyle name="Normal 5 5 5 2 2 3 2" xfId="27646" xr:uid="{F02604B8-A12F-4A96-A158-2EFDB4797422}"/>
    <cellStyle name="Normal 5 5 5 2 2 3 3" xfId="28035" xr:uid="{E9638A18-7FE1-4261-B179-82B687896246}"/>
    <cellStyle name="Normal 5 5 5 2 2 3 4" xfId="17500" xr:uid="{45ADF6DF-EFD3-4CAE-8E3A-10A16CEF4641}"/>
    <cellStyle name="Normal 5 5 5 2 2 4" xfId="9953" xr:uid="{20F04362-5A26-415D-881F-36416F5AC659}"/>
    <cellStyle name="Normal 5 5 5 2 2 4 2" xfId="29436" xr:uid="{BC9206DE-8D27-4114-9ABC-1420BD704A60}"/>
    <cellStyle name="Normal 5 5 5 2 2 4 3" xfId="20333" xr:uid="{581C1272-63CF-478C-BAB8-E4A5E61E4CC4}"/>
    <cellStyle name="Normal 5 5 5 2 2 5" xfId="24884" xr:uid="{2388C303-93F3-4749-93F1-93EA9E7ABBD1}"/>
    <cellStyle name="Normal 5 5 5 2 2 6" xfId="13989" xr:uid="{AD240362-FB4D-4B6A-AD0C-43D9833AD1A5}"/>
    <cellStyle name="Normal 5 5 5 2 3" xfId="2813" xr:uid="{00000000-0005-0000-0000-000075070000}"/>
    <cellStyle name="Normal 5 5 5 2 3 2" xfId="6029" xr:uid="{62AB6F15-9964-4C9E-8D14-8718ABD95DE2}"/>
    <cellStyle name="Normal 5 5 5 2 3 2 2" xfId="26214" xr:uid="{1136051C-9C4A-4462-A9BF-68ABF15D6279}"/>
    <cellStyle name="Normal 5 5 5 2 3 2 3" xfId="15483" xr:uid="{D594E1B4-51EF-45DC-84B1-AFC92B4B07DE}"/>
    <cellStyle name="Normal 5 5 5 2 3 3" xfId="7936" xr:uid="{3670061B-1390-40B0-872F-7C40126F21CC}"/>
    <cellStyle name="Normal 5 5 5 2 3 3 2" xfId="18316" xr:uid="{466103BF-283C-4D88-ADE1-4263E7B40722}"/>
    <cellStyle name="Normal 5 5 5 2 3 4" xfId="10769" xr:uid="{C7E2731C-C3AE-4945-9084-C93B6941B24D}"/>
    <cellStyle name="Normal 5 5 5 2 3 4 2" xfId="21149" xr:uid="{53F91B0C-7043-4FCD-B5A6-45F3B1B5AB73}"/>
    <cellStyle name="Normal 5 5 5 2 3 5" xfId="24666" xr:uid="{A19FD8AC-BF97-4D05-8A2E-76FB1CD2579B}"/>
    <cellStyle name="Normal 5 5 5 2 3 6" xfId="13280" xr:uid="{88098FBB-C014-48B5-86E3-0C17C71E0B41}"/>
    <cellStyle name="Normal 5 5 5 2 4" xfId="4208" xr:uid="{A6B1CA8D-96C0-43EB-ACA2-4F886A220171}"/>
    <cellStyle name="Normal 5 5 5 2 4 2" xfId="8980" xr:uid="{022BBE30-7EE2-4A6A-873A-8937F640EB70}"/>
    <cellStyle name="Normal 5 5 5 2 4 2 2" xfId="29061" xr:uid="{D1FEC174-600C-4F6F-8155-EF3F4025C125}"/>
    <cellStyle name="Normal 5 5 5 2 4 2 3" xfId="19360" xr:uid="{0B1C605A-9B58-44EB-B18B-979AFF7B8C7A}"/>
    <cellStyle name="Normal 5 5 5 2 4 3" xfId="11813" xr:uid="{B864424B-9BF5-48CD-939C-54F596142CE6}"/>
    <cellStyle name="Normal 5 5 5 2 4 3 2" xfId="22193" xr:uid="{7DCB35C7-FDFC-4C2B-B67C-65D7C429C395}"/>
    <cellStyle name="Normal 5 5 5 2 4 4" xfId="23836" xr:uid="{FA272100-6D47-4773-840A-2A6FF3EAD610}"/>
    <cellStyle name="Normal 5 5 5 2 4 5" xfId="16527" xr:uid="{760231F9-0ACB-4049-91C4-0D9B1B589B12}"/>
    <cellStyle name="Normal 5 5 5 2 5" xfId="5369" xr:uid="{9ADC1A57-D3CE-46B9-975F-97C8AF653527}"/>
    <cellStyle name="Normal 5 5 5 2 5 2" xfId="28333" xr:uid="{A0480643-3AB8-4E9F-957B-4AD6F55A69E3}"/>
    <cellStyle name="Normal 5 5 5 2 5 3" xfId="14666" xr:uid="{5C5310BE-E23B-4F80-B5C5-98B30FDD8638}"/>
    <cellStyle name="Normal 5 5 5 2 6" xfId="7119" xr:uid="{FB854092-8980-4F06-9F0B-ABC13970D201}"/>
    <cellStyle name="Normal 5 5 5 2 6 2" xfId="17499" xr:uid="{84D8938B-F204-458F-8BF9-653B09345A1A}"/>
    <cellStyle name="Normal 5 5 5 2 7" xfId="9952" xr:uid="{F0FA93FE-3BC4-4CD0-A9C4-D02C0CA4F127}"/>
    <cellStyle name="Normal 5 5 5 2 7 2" xfId="20332" xr:uid="{FD583938-D09D-4E9F-85A5-4844CCF11D57}"/>
    <cellStyle name="Normal 5 5 5 2 8" xfId="24529" xr:uid="{3327FE76-887A-4475-85C7-8D99DC9FB0F0}"/>
    <cellStyle name="Normal 5 5 5 2 9" xfId="12776" xr:uid="{048AB379-D15A-4E96-B231-408B758BB348}"/>
    <cellStyle name="Normal 5 5 5 3" xfId="1218" xr:uid="{00000000-0005-0000-0000-000088060000}"/>
    <cellStyle name="Normal 5 5 5 3 2" xfId="4567" xr:uid="{58A2EA87-66DA-47B7-8FBA-4DE4A6FE6248}"/>
    <cellStyle name="Normal 5 5 5 3 2 2" xfId="9339" xr:uid="{88BB48B0-B364-49DA-921C-3C2522E165C2}"/>
    <cellStyle name="Normal 5 5 5 3 2 2 2" xfId="29313" xr:uid="{24F200A2-58BC-4892-ACAF-F3D3F8E009F7}"/>
    <cellStyle name="Normal 5 5 5 3 2 2 3" xfId="19719" xr:uid="{7104412B-BF2D-4755-8E88-329C85F1FD50}"/>
    <cellStyle name="Normal 5 5 5 3 2 3" xfId="12172" xr:uid="{0728B936-A8BF-4F96-B837-FCEBB44189C4}"/>
    <cellStyle name="Normal 5 5 5 3 2 3 2" xfId="22552" xr:uid="{75A6FCC8-F9C8-4841-AC96-0C15A4CB500D}"/>
    <cellStyle name="Normal 5 5 5 3 2 4" xfId="23332" xr:uid="{1A4A6263-8FCF-4428-ABDA-A2A2FB506C08}"/>
    <cellStyle name="Normal 5 5 5 3 2 5" xfId="16886" xr:uid="{0B1D36EA-2ED6-42FF-9214-AF0150472DAC}"/>
    <cellStyle name="Normal 5 5 5 3 3" xfId="5371" xr:uid="{0845D4E4-1E27-41B8-8AF9-6D70676DD26E}"/>
    <cellStyle name="Normal 5 5 5 3 3 2" xfId="22957" xr:uid="{C14D9BED-EDDC-439B-AE86-9DDDC251009F}"/>
    <cellStyle name="Normal 5 5 5 3 3 3" xfId="28432" xr:uid="{538A9165-DE48-4606-9C13-497BC7CE77BD}"/>
    <cellStyle name="Normal 5 5 5 3 3 4" xfId="14668" xr:uid="{CE094B22-59C6-48AE-87DB-8FA20BB9D4E6}"/>
    <cellStyle name="Normal 5 5 5 3 4" xfId="7121" xr:uid="{2704CCF2-EAD6-4C0A-A2A5-7F41CC568D78}"/>
    <cellStyle name="Normal 5 5 5 3 4 2" xfId="25142" xr:uid="{B846FBE5-F26C-4FA9-B81B-065952EF2B0A}"/>
    <cellStyle name="Normal 5 5 5 3 4 3" xfId="26620" xr:uid="{54992FBD-1FAB-4252-B5DE-4A5EAF4658A6}"/>
    <cellStyle name="Normal 5 5 5 3 4 4" xfId="17501" xr:uid="{D48BAEFD-8345-4869-8553-2FE0C9785906}"/>
    <cellStyle name="Normal 5 5 5 3 5" xfId="9954" xr:uid="{F167411F-D152-45F9-B2DD-01FCC3793CFF}"/>
    <cellStyle name="Normal 5 5 5 3 5 2" xfId="29437" xr:uid="{D49AAC0F-874E-4750-AB42-62A8CF6C5BCD}"/>
    <cellStyle name="Normal 5 5 5 3 5 3" xfId="20334" xr:uid="{7B4FE8CE-6A41-4BD1-905D-607121CB3E83}"/>
    <cellStyle name="Normal 5 5 5 3 6" xfId="24557" xr:uid="{B95EE0B6-9746-411A-99C7-DF892575E63F}"/>
    <cellStyle name="Normal 5 5 5 3 7" xfId="13990" xr:uid="{14FE9674-D40A-4A33-95F0-018CC67879A2}"/>
    <cellStyle name="Normal 5 5 5 4" xfId="1219" xr:uid="{00000000-0005-0000-0000-000089060000}"/>
    <cellStyle name="Normal 5 5 5 4 2" xfId="5372" xr:uid="{45BFE719-90F2-4722-9228-23B15C1BA9EA}"/>
    <cellStyle name="Normal 5 5 5 4 2 2" xfId="23884" xr:uid="{FF7882AD-B650-43A2-8B90-299E6E6A590D}"/>
    <cellStyle name="Normal 5 5 5 4 2 3" xfId="26619" xr:uid="{DEF13D60-8810-43B8-93AA-8693590CDCE3}"/>
    <cellStyle name="Normal 5 5 5 4 2 4" xfId="14669" xr:uid="{1E14CE39-49B9-41C2-A7AC-88D35D6B40D2}"/>
    <cellStyle name="Normal 5 5 5 4 3" xfId="7122" xr:uid="{CA3ADE04-7C0F-424F-8FD7-40F3FE4BA389}"/>
    <cellStyle name="Normal 5 5 5 4 3 2" xfId="25905" xr:uid="{A236CB55-4C75-426A-BD30-1115C2901D0D}"/>
    <cellStyle name="Normal 5 5 5 4 3 3" xfId="17502" xr:uid="{589001E8-3100-4474-A7AA-0E71062318F1}"/>
    <cellStyle name="Normal 5 5 5 4 4" xfId="9955" xr:uid="{EACE63F4-D33C-4DF0-81B3-7CCD65BD08CC}"/>
    <cellStyle name="Normal 5 5 5 4 4 2" xfId="20335" xr:uid="{520863E5-B0D3-49CB-9F42-F263A001D051}"/>
    <cellStyle name="Normal 5 5 5 4 5" xfId="22838" xr:uid="{5676DE0F-F16D-4B9F-A080-9A84B89C72C9}"/>
    <cellStyle name="Normal 5 5 5 4 6" xfId="13474" xr:uid="{500602CF-302A-4AC8-A976-B86C5F74E744}"/>
    <cellStyle name="Normal 5 5 5 5" xfId="2516" xr:uid="{00000000-0005-0000-0000-000078070000}"/>
    <cellStyle name="Normal 5 5 5 5 2" xfId="5794" xr:uid="{7CCC2903-A2F6-46E1-87BE-4D0A179B818B}"/>
    <cellStyle name="Normal 5 5 5 5 2 2" xfId="27198" xr:uid="{F1F4D5FC-E796-47D2-8807-A40E26BFFB34}"/>
    <cellStyle name="Normal 5 5 5 5 2 3" xfId="15188" xr:uid="{4837B486-317E-4FC1-921D-4EEB4B46BD4C}"/>
    <cellStyle name="Normal 5 5 5 5 3" xfId="7641" xr:uid="{6220D5D8-EF26-4007-B166-3AF647AB9875}"/>
    <cellStyle name="Normal 5 5 5 5 3 2" xfId="18021" xr:uid="{0B1ABCED-48B9-497B-A66E-84D542B3E228}"/>
    <cellStyle name="Normal 5 5 5 5 4" xfId="10474" xr:uid="{1B8CCB87-F62F-4772-BFF4-2D938484667A}"/>
    <cellStyle name="Normal 5 5 5 5 4 2" xfId="20854" xr:uid="{3769DF5C-8962-4083-8F0A-7BC47C781775}"/>
    <cellStyle name="Normal 5 5 5 5 5" xfId="22740" xr:uid="{92A8D6B5-003A-480D-AD45-9AB1CA391AAC}"/>
    <cellStyle name="Normal 5 5 5 5 6" xfId="12904" xr:uid="{F1DF4D56-D263-4DC4-81BE-2663EC073DDF}"/>
    <cellStyle name="Normal 5 5 5 6" xfId="2384" xr:uid="{00000000-0005-0000-0000-000072070000}"/>
    <cellStyle name="Normal 5 5 5 6 2" xfId="7511" xr:uid="{8D3C0B12-98E6-4B26-918D-28448EBBA08C}"/>
    <cellStyle name="Normal 5 5 5 6 2 2" xfId="27823" xr:uid="{AC81FED6-16C4-48B8-8C17-E609DFC7659F}"/>
    <cellStyle name="Normal 5 5 5 6 2 3" xfId="17891" xr:uid="{4F234D36-F14F-455D-A28B-8DB25B608DFB}"/>
    <cellStyle name="Normal 5 5 5 6 3" xfId="10344" xr:uid="{97EF8C04-5C97-449B-AC86-6ADC8DA6D556}"/>
    <cellStyle name="Normal 5 5 5 6 3 2" xfId="20724" xr:uid="{655B5E20-0F29-4C2B-A74C-4EBEF19867B7}"/>
    <cellStyle name="Normal 5 5 5 6 4" xfId="23206" xr:uid="{C86AB3B4-A5CB-4767-95D9-6E3840BC1E29}"/>
    <cellStyle name="Normal 5 5 5 6 5" xfId="15058" xr:uid="{9E5CF3C3-0E9E-4E8F-98EB-96AE2671A85F}"/>
    <cellStyle name="Normal 5 5 5 7" xfId="4029" xr:uid="{C7AA4B3D-D9F4-4E25-AADC-168DD5111C03}"/>
    <cellStyle name="Normal 5 5 5 7 2" xfId="8830" xr:uid="{5AA0BE2A-161F-44BA-872C-DCA0D1F8191D}"/>
    <cellStyle name="Normal 5 5 5 7 2 2" xfId="19210" xr:uid="{C772A02D-D990-4CA4-83BE-A7C708D3901F}"/>
    <cellStyle name="Normal 5 5 5 7 3" xfId="11663" xr:uid="{097005BF-3A8B-44FF-8489-CD1E2FB75373}"/>
    <cellStyle name="Normal 5 5 5 7 3 2" xfId="22043" xr:uid="{F809DEF3-E1B4-4316-A22F-FC98C786A3FE}"/>
    <cellStyle name="Normal 5 5 5 7 4" xfId="28645" xr:uid="{1EF527F3-D27E-4D69-8538-0BE485A897A3}"/>
    <cellStyle name="Normal 5 5 5 7 5" xfId="16377" xr:uid="{39826876-4779-4AA2-A43B-1D60609EDC91}"/>
    <cellStyle name="Normal 5 5 5 8" xfId="5368" xr:uid="{9D5E061F-7615-4BE5-BAC0-217AB53DF3CC}"/>
    <cellStyle name="Normal 5 5 5 8 2" xfId="14665" xr:uid="{86C6D9B4-4739-4F80-87E4-24CA576FFBC5}"/>
    <cellStyle name="Normal 5 5 5 9" xfId="7118" xr:uid="{7A9C01FA-CD4F-4744-AA62-996255D40237}"/>
    <cellStyle name="Normal 5 5 5 9 2" xfId="17498" xr:uid="{3E75972A-A69E-45EB-93ED-EA4B0032F62E}"/>
    <cellStyle name="Normal 5 5 6" xfId="1220" xr:uid="{00000000-0005-0000-0000-00008A060000}"/>
    <cellStyle name="Normal 5 5 6 10" xfId="9956" xr:uid="{6EEB70CD-A015-4A9B-AC88-D035DFFCB62D}"/>
    <cellStyle name="Normal 5 5 6 10 2" xfId="20336" xr:uid="{B4A1A7B8-1FEE-4206-B280-9DCBD474C172}"/>
    <cellStyle name="Normal 5 5 6 11" xfId="24163" xr:uid="{B8349E58-0DEA-4C18-AF48-5526BB9C7BCA}"/>
    <cellStyle name="Normal 5 5 6 12" xfId="12619" xr:uid="{9C293F44-D44C-4663-86D2-00E27104FD4F}"/>
    <cellStyle name="Normal 5 5 6 2" xfId="1221" xr:uid="{00000000-0005-0000-0000-00008B060000}"/>
    <cellStyle name="Normal 5 5 6 2 2" xfId="1222" xr:uid="{00000000-0005-0000-0000-00008C060000}"/>
    <cellStyle name="Normal 5 5 6 2 2 2" xfId="5375" xr:uid="{CDE40F86-F9DF-4DC3-9980-578B96CB55D3}"/>
    <cellStyle name="Normal 5 5 6 2 2 2 2" xfId="25700" xr:uid="{F7D92C3C-FC85-4B0B-B152-E9B7EE05937F}"/>
    <cellStyle name="Normal 5 5 6 2 2 2 3" xfId="27312" xr:uid="{B1ED235E-B447-4C10-811A-E3A301235D32}"/>
    <cellStyle name="Normal 5 5 6 2 2 2 4" xfId="14672" xr:uid="{5C5616AD-2DAD-4D67-9C9F-5F6DCBA8E4A8}"/>
    <cellStyle name="Normal 5 5 6 2 2 3" xfId="7125" xr:uid="{FEF6CD90-16F7-4057-AEF9-17B409260224}"/>
    <cellStyle name="Normal 5 5 6 2 2 3 2" xfId="27647" xr:uid="{0B3B660A-7011-4368-8FB3-B27BE3F4CDE4}"/>
    <cellStyle name="Normal 5 5 6 2 2 3 3" xfId="26193" xr:uid="{E23577E3-8C64-48F2-82A9-5900E1494813}"/>
    <cellStyle name="Normal 5 5 6 2 2 3 4" xfId="17505" xr:uid="{B5D80408-07A1-4519-BF70-B6C1D147F2F8}"/>
    <cellStyle name="Normal 5 5 6 2 2 4" xfId="9958" xr:uid="{446F0DFD-8CE2-419E-88B7-B6DF48636C48}"/>
    <cellStyle name="Normal 5 5 6 2 2 4 2" xfId="29438" xr:uid="{65D94745-4EE7-4EB2-9A3F-41C69496D278}"/>
    <cellStyle name="Normal 5 5 6 2 2 4 3" xfId="20338" xr:uid="{05475EAF-E766-4F31-997A-B3C55DB3C61E}"/>
    <cellStyle name="Normal 5 5 6 2 2 5" xfId="23654" xr:uid="{29DC5747-4388-4069-9CD7-83318DBC9509}"/>
    <cellStyle name="Normal 5 5 6 2 2 6" xfId="13991" xr:uid="{92A932BF-932B-4A06-B455-BDBF41B6A85A}"/>
    <cellStyle name="Normal 5 5 6 2 3" xfId="2814" xr:uid="{00000000-0005-0000-0000-00007C070000}"/>
    <cellStyle name="Normal 5 5 6 2 3 2" xfId="6030" xr:uid="{13C3605F-2576-4686-B7A9-A2C135517A5B}"/>
    <cellStyle name="Normal 5 5 6 2 3 2 2" xfId="26714" xr:uid="{628696E7-D89A-4D16-BD64-6C184FC453C1}"/>
    <cellStyle name="Normal 5 5 6 2 3 2 3" xfId="15484" xr:uid="{615A8357-04D1-4671-B0EA-66FDB86B4534}"/>
    <cellStyle name="Normal 5 5 6 2 3 3" xfId="7937" xr:uid="{83E1C646-6BA7-460A-A3E9-39E698708535}"/>
    <cellStyle name="Normal 5 5 6 2 3 3 2" xfId="18317" xr:uid="{E1ECE0D1-EFD8-46AF-BB41-48C8D2A65BF4}"/>
    <cellStyle name="Normal 5 5 6 2 3 4" xfId="10770" xr:uid="{55F877D8-1DC6-420B-AD0F-8E9082ED7B79}"/>
    <cellStyle name="Normal 5 5 6 2 3 4 2" xfId="21150" xr:uid="{553701C5-EAAD-43E7-8CBB-1858BABCB8C5}"/>
    <cellStyle name="Normal 5 5 6 2 3 5" xfId="25378" xr:uid="{03934C22-396E-4729-8431-8374205DF924}"/>
    <cellStyle name="Normal 5 5 6 2 3 6" xfId="13281" xr:uid="{31BBC8F6-AE54-4AF1-9339-B1A8F606F659}"/>
    <cellStyle name="Normal 5 5 6 2 4" xfId="4209" xr:uid="{C5EBD5B1-84A3-4D3A-9865-BF68F20B2782}"/>
    <cellStyle name="Normal 5 5 6 2 4 2" xfId="8981" xr:uid="{13D76342-EC5E-4AF0-9E4B-6A88ED465A60}"/>
    <cellStyle name="Normal 5 5 6 2 4 2 2" xfId="29062" xr:uid="{8D2A4BD1-AF0A-4879-9B45-8AFB7EA9D996}"/>
    <cellStyle name="Normal 5 5 6 2 4 2 3" xfId="19361" xr:uid="{B1ECAA98-F080-4B67-AD68-E76C3E8B4857}"/>
    <cellStyle name="Normal 5 5 6 2 4 3" xfId="11814" xr:uid="{AC66E1A0-9AA7-4A47-823A-789B7595EA98}"/>
    <cellStyle name="Normal 5 5 6 2 4 3 2" xfId="22194" xr:uid="{84C60AFC-2716-41AA-B1CB-3A20BD141741}"/>
    <cellStyle name="Normal 5 5 6 2 4 4" xfId="24184" xr:uid="{44CEF633-C0DB-45B9-A242-DE29C09DA71C}"/>
    <cellStyle name="Normal 5 5 6 2 4 5" xfId="16528" xr:uid="{0D879ADC-3C70-485F-BCB0-9E626CE4AB60}"/>
    <cellStyle name="Normal 5 5 6 2 5" xfId="5374" xr:uid="{03C0E654-1E46-42BD-9DAE-F03D7614F235}"/>
    <cellStyle name="Normal 5 5 6 2 5 2" xfId="26365" xr:uid="{9A8328A8-C0E4-46B4-8068-4A4266341067}"/>
    <cellStyle name="Normal 5 5 6 2 5 3" xfId="14671" xr:uid="{51156F89-C961-4DBD-ADCD-864D8202C171}"/>
    <cellStyle name="Normal 5 5 6 2 6" xfId="7124" xr:uid="{2329B334-BD2C-4E7B-B94A-ABB4C00B17EF}"/>
    <cellStyle name="Normal 5 5 6 2 6 2" xfId="17504" xr:uid="{70018A48-9751-46A9-8AE3-14CAEEBD4F81}"/>
    <cellStyle name="Normal 5 5 6 2 7" xfId="9957" xr:uid="{6EA1EA1C-01B4-44C8-83BC-065584F05E93}"/>
    <cellStyle name="Normal 5 5 6 2 7 2" xfId="20337" xr:uid="{2EE71426-43B2-46BB-B971-3B2DDB9F3D48}"/>
    <cellStyle name="Normal 5 5 6 2 8" xfId="24476" xr:uid="{C6A8A916-DD63-4CA0-B32C-738BEA8EA594}"/>
    <cellStyle name="Normal 5 5 6 2 9" xfId="12777" xr:uid="{BC527640-3D79-4958-B1D2-C02A79A6E76C}"/>
    <cellStyle name="Normal 5 5 6 3" xfId="1223" xr:uid="{00000000-0005-0000-0000-00008D060000}"/>
    <cellStyle name="Normal 5 5 6 3 2" xfId="4568" xr:uid="{ACD83D57-3DE5-4558-BE38-8475C61839FE}"/>
    <cellStyle name="Normal 5 5 6 3 2 2" xfId="9340" xr:uid="{B2082EEB-65FE-4F3B-BFFB-5544B1414BDE}"/>
    <cellStyle name="Normal 5 5 6 3 2 2 2" xfId="29314" xr:uid="{8A92274D-027B-4A60-A6E7-C43392C0C43B}"/>
    <cellStyle name="Normal 5 5 6 3 2 2 3" xfId="19720" xr:uid="{D3513F62-205E-49C7-A0D8-7242F205123E}"/>
    <cellStyle name="Normal 5 5 6 3 2 3" xfId="12173" xr:uid="{00C44274-DA69-4A6C-9265-49E7873A84CD}"/>
    <cellStyle name="Normal 5 5 6 3 2 3 2" xfId="22553" xr:uid="{A81F6365-28D6-4CA6-8501-C6F296B31710}"/>
    <cellStyle name="Normal 5 5 6 3 2 4" xfId="24778" xr:uid="{4597C8CF-6853-4785-A153-F2D6BEB4A80D}"/>
    <cellStyle name="Normal 5 5 6 3 2 5" xfId="16887" xr:uid="{E26DD20E-0140-4D48-A1A4-B69222AF14F1}"/>
    <cellStyle name="Normal 5 5 6 3 3" xfId="5376" xr:uid="{F51C0721-BBA3-461C-9BB7-C687AFDC0ABB}"/>
    <cellStyle name="Normal 5 5 6 3 3 2" xfId="26854" xr:uid="{A495A101-35A8-4017-A3CA-76C27D562F57}"/>
    <cellStyle name="Normal 5 5 6 3 3 3" xfId="27733" xr:uid="{DDCBFF35-41AE-4524-85CD-0AF80E2A4BD4}"/>
    <cellStyle name="Normal 5 5 6 3 3 4" xfId="14673" xr:uid="{432695F9-6711-4AC9-88D9-FD85C71B1064}"/>
    <cellStyle name="Normal 5 5 6 3 4" xfId="7126" xr:uid="{C6515211-7A56-4FEF-A578-57C661268797}"/>
    <cellStyle name="Normal 5 5 6 3 4 2" xfId="26295" xr:uid="{CF22D48D-09C9-49FB-A2FF-C2F69C9C45F3}"/>
    <cellStyle name="Normal 5 5 6 3 4 3" xfId="28404" xr:uid="{9B985830-4FA7-4645-8568-0B9F49912AE0}"/>
    <cellStyle name="Normal 5 5 6 3 4 4" xfId="17506" xr:uid="{5C33A17E-3D29-43F0-BBDE-F347BE8C996D}"/>
    <cellStyle name="Normal 5 5 6 3 5" xfId="9959" xr:uid="{08FC8579-C9D5-4FC4-BD15-8576FF1397AC}"/>
    <cellStyle name="Normal 5 5 6 3 5 2" xfId="29439" xr:uid="{B27F0A07-3523-418C-B6BB-98F3D23D0A4E}"/>
    <cellStyle name="Normal 5 5 6 3 5 3" xfId="20339" xr:uid="{126EDBB3-8A5F-46EF-8E95-D4F13FED7E5E}"/>
    <cellStyle name="Normal 5 5 6 3 6" xfId="23083" xr:uid="{E237F0A5-6513-4735-A38F-86FB094DBCA1}"/>
    <cellStyle name="Normal 5 5 6 3 7" xfId="13992" xr:uid="{DF9C8095-BC55-4766-A742-79804A643804}"/>
    <cellStyle name="Normal 5 5 6 4" xfId="1224" xr:uid="{00000000-0005-0000-0000-00008E060000}"/>
    <cellStyle name="Normal 5 5 6 4 2" xfId="5377" xr:uid="{86FD4E8C-082F-4BEC-916B-07BFF450C7AF}"/>
    <cellStyle name="Normal 5 5 6 4 2 2" xfId="22950" xr:uid="{D66E9271-00C6-48E6-9854-C9FCA2482B6E}"/>
    <cellStyle name="Normal 5 5 6 4 2 3" xfId="26733" xr:uid="{81D18B65-E513-42F7-B581-A75F2EDB1D2F}"/>
    <cellStyle name="Normal 5 5 6 4 2 4" xfId="14674" xr:uid="{B4B4FF8D-0A85-4AA9-8DF9-379D4EB57653}"/>
    <cellStyle name="Normal 5 5 6 4 3" xfId="7127" xr:uid="{3B0E9406-A094-4E19-8AF5-BFE908960147}"/>
    <cellStyle name="Normal 5 5 6 4 3 2" xfId="28417" xr:uid="{BA43560F-41EA-43C1-AF4A-B43F7C22E59F}"/>
    <cellStyle name="Normal 5 5 6 4 3 3" xfId="17507" xr:uid="{3A34CD3A-4373-47F0-8B09-C815DBB85517}"/>
    <cellStyle name="Normal 5 5 6 4 4" xfId="9960" xr:uid="{00A68561-A889-4876-BD93-DCD4E076BA39}"/>
    <cellStyle name="Normal 5 5 6 4 4 2" xfId="20340" xr:uid="{3ABC0843-2C5F-46D9-B912-5C12BB77CA5B}"/>
    <cellStyle name="Normal 5 5 6 4 5" xfId="22945" xr:uid="{356FEBF9-1137-4BF0-8596-C71DB88BD296}"/>
    <cellStyle name="Normal 5 5 6 4 6" xfId="13475" xr:uid="{001E17DE-2D5E-489E-BFC4-4AEF2E917B35}"/>
    <cellStyle name="Normal 5 5 6 5" xfId="2579" xr:uid="{00000000-0005-0000-0000-00007F070000}"/>
    <cellStyle name="Normal 5 5 6 5 2" xfId="5844" xr:uid="{151CA46E-5812-4546-9888-067ACA00706C}"/>
    <cellStyle name="Normal 5 5 6 5 2 2" xfId="27896" xr:uid="{C8FDCBE8-1CFA-45A8-A557-2BAB27E8DB55}"/>
    <cellStyle name="Normal 5 5 6 5 2 3" xfId="15251" xr:uid="{0670CA33-C44B-4A1C-926B-D5A1F99BE1A2}"/>
    <cellStyle name="Normal 5 5 6 5 3" xfId="7704" xr:uid="{488B38C3-B909-489F-9E3E-C127E39FE0FC}"/>
    <cellStyle name="Normal 5 5 6 5 3 2" xfId="18084" xr:uid="{6CAB44CC-D3F5-4FAF-B02E-06875B7715CC}"/>
    <cellStyle name="Normal 5 5 6 5 4" xfId="10537" xr:uid="{F0BB4B85-C2FE-48C0-9035-F59F6B6AF553}"/>
    <cellStyle name="Normal 5 5 6 5 4 2" xfId="20917" xr:uid="{5D34E16D-65A8-4796-B423-B869C0EC33AE}"/>
    <cellStyle name="Normal 5 5 6 5 5" xfId="25042" xr:uid="{10CE3F26-A178-42B3-8CFB-B5EE0FBF41E0}"/>
    <cellStyle name="Normal 5 5 6 5 6" xfId="12967" xr:uid="{9F7E1AE8-61D7-43B4-84C3-BB6A2BC47D29}"/>
    <cellStyle name="Normal 5 5 6 6" xfId="2385" xr:uid="{00000000-0005-0000-0000-000079070000}"/>
    <cellStyle name="Normal 5 5 6 6 2" xfId="7512" xr:uid="{915E2F73-636F-47E4-9C3E-B5751BBAC000}"/>
    <cellStyle name="Normal 5 5 6 6 2 2" xfId="27525" xr:uid="{A9800C9F-CA9F-438C-8267-C35D597EC015}"/>
    <cellStyle name="Normal 5 5 6 6 2 3" xfId="17892" xr:uid="{AD156AFE-689A-4610-B8D3-86099B7264D1}"/>
    <cellStyle name="Normal 5 5 6 6 3" xfId="10345" xr:uid="{50B70286-31B7-4705-A652-EEA9BF7487C1}"/>
    <cellStyle name="Normal 5 5 6 6 3 2" xfId="20725" xr:uid="{10AB95FA-D702-4886-A63B-ABFA0AC50956}"/>
    <cellStyle name="Normal 5 5 6 6 4" xfId="25399" xr:uid="{6FF132A8-AC59-47F8-B313-57B497617DD7}"/>
    <cellStyle name="Normal 5 5 6 6 5" xfId="15059" xr:uid="{D9CF1F1B-CA38-45C6-BB21-400D5B7E3B6B}"/>
    <cellStyle name="Normal 5 5 6 7" xfId="4030" xr:uid="{4C08CD9B-604C-4ADB-A4AF-D05931C1CD7D}"/>
    <cellStyle name="Normal 5 5 6 7 2" xfId="8831" xr:uid="{A1F41227-AEFD-4126-8736-F2CFC05EA1AF}"/>
    <cellStyle name="Normal 5 5 6 7 2 2" xfId="19211" xr:uid="{B4E907F3-BE3A-4D0A-9835-3CE217D62A2B}"/>
    <cellStyle name="Normal 5 5 6 7 3" xfId="11664" xr:uid="{A62C39DD-9B42-4CF3-B6C6-0A1CFF9C6F99}"/>
    <cellStyle name="Normal 5 5 6 7 3 2" xfId="22044" xr:uid="{121163AC-B2D9-428B-BAEA-9FBE2FFE74DC}"/>
    <cellStyle name="Normal 5 5 6 7 4" xfId="26765" xr:uid="{CD398623-6C6C-4BC2-82A4-C832B8AB9E58}"/>
    <cellStyle name="Normal 5 5 6 7 5" xfId="16378" xr:uid="{AFFAC0D2-105D-4FD1-9A2C-08044472405C}"/>
    <cellStyle name="Normal 5 5 6 8" xfId="5373" xr:uid="{C8B8751A-F737-4FFF-B4AF-2ED804A41D50}"/>
    <cellStyle name="Normal 5 5 6 8 2" xfId="14670" xr:uid="{D4DB0CD4-5517-4CA3-927B-01EB62213EAC}"/>
    <cellStyle name="Normal 5 5 6 9" xfId="7123" xr:uid="{085E023A-E4FA-4ACC-B822-992E07188A31}"/>
    <cellStyle name="Normal 5 5 6 9 2" xfId="17503" xr:uid="{E75F1C48-21C4-4E40-8F71-C8D5459D0AFD}"/>
    <cellStyle name="Normal 5 5 7" xfId="1225" xr:uid="{00000000-0005-0000-0000-00008F060000}"/>
    <cellStyle name="Normal 5 5 7 10" xfId="12620" xr:uid="{2CE59225-D865-4685-BFE3-B2793300DD83}"/>
    <cellStyle name="Normal 5 5 7 2" xfId="1226" xr:uid="{00000000-0005-0000-0000-000090060000}"/>
    <cellStyle name="Normal 5 5 7 2 2" xfId="2968" xr:uid="{00000000-0005-0000-0000-000082070000}"/>
    <cellStyle name="Normal 5 5 7 2 2 2" xfId="6133" xr:uid="{DF12A09B-446A-4806-8AA7-52F18594D853}"/>
    <cellStyle name="Normal 5 5 7 2 2 2 2" xfId="28134" xr:uid="{287D7080-CAC1-48FB-BDC8-DBDEF7205421}"/>
    <cellStyle name="Normal 5 5 7 2 2 2 3" xfId="26680" xr:uid="{2D34B869-C594-4F32-BA84-C78E41629D48}"/>
    <cellStyle name="Normal 5 5 7 2 2 2 4" xfId="15611" xr:uid="{15546E4B-B6FC-4619-BDB9-9AF5F1C16235}"/>
    <cellStyle name="Normal 5 5 7 2 2 3" xfId="8064" xr:uid="{64AF773E-6ACD-420B-B8D2-4FB5849D8190}"/>
    <cellStyle name="Normal 5 5 7 2 2 3 2" xfId="28762" xr:uid="{BE449C1B-FF30-4ADA-8453-43358F611491}"/>
    <cellStyle name="Normal 5 5 7 2 2 3 3" xfId="18444" xr:uid="{0075D294-103E-41F3-8119-1E6847751D82}"/>
    <cellStyle name="Normal 5 5 7 2 2 4" xfId="10897" xr:uid="{C0E9075E-DA7D-4089-AFF1-44199F22AC36}"/>
    <cellStyle name="Normal 5 5 7 2 2 4 2" xfId="21277" xr:uid="{75EC0386-19EF-4DCD-8937-70975FCEA266}"/>
    <cellStyle name="Normal 5 5 7 2 2 5" xfId="22795" xr:uid="{C80C1820-97C4-4E5B-AB92-0FAE4E57DF58}"/>
    <cellStyle name="Normal 5 5 7 2 2 6" xfId="13476" xr:uid="{114C263B-841E-45C9-9B90-A4796F0A2D8B}"/>
    <cellStyle name="Normal 5 5 7 2 3" xfId="5379" xr:uid="{62B1FFD8-3506-4F23-A9D5-0A302EE5EC5B}"/>
    <cellStyle name="Normal 5 5 7 2 3 2" xfId="24710" xr:uid="{5E132235-FA12-4C6C-9BC5-1DF08708EBE7}"/>
    <cellStyle name="Normal 5 5 7 2 3 3" xfId="28237" xr:uid="{D45E94F4-FED9-4F57-9576-3BFCFDDB1983}"/>
    <cellStyle name="Normal 5 5 7 2 3 4" xfId="14676" xr:uid="{73BF6DC8-DC03-4F41-B6BA-BF9712DA6D16}"/>
    <cellStyle name="Normal 5 5 7 2 4" xfId="7129" xr:uid="{007A5B14-E276-4597-8BA7-3A1D9F27A771}"/>
    <cellStyle name="Normal 5 5 7 2 4 2" xfId="26709" xr:uid="{4204EA0E-2CD8-4B31-BF39-F255100557C7}"/>
    <cellStyle name="Normal 5 5 7 2 4 3" xfId="26604" xr:uid="{9587304A-298C-42C2-89FE-A8D871D8B372}"/>
    <cellStyle name="Normal 5 5 7 2 4 4" xfId="17509" xr:uid="{F4219942-775D-49A8-B231-ADDF3238F212}"/>
    <cellStyle name="Normal 5 5 7 2 5" xfId="9962" xr:uid="{AA89878B-9247-486A-AEA6-FA18B854A097}"/>
    <cellStyle name="Normal 5 5 7 2 5 2" xfId="29440" xr:uid="{725804D9-55D1-48E9-9120-665ED0F66786}"/>
    <cellStyle name="Normal 5 5 7 2 5 3" xfId="20342" xr:uid="{EAF87BE4-15A0-4052-B4EA-009CD7B85D1C}"/>
    <cellStyle name="Normal 5 5 7 2 6" xfId="24533" xr:uid="{0DE5A35A-2E97-4301-8B12-1416B692F726}"/>
    <cellStyle name="Normal 5 5 7 2 7" xfId="12778" xr:uid="{E65F1D4D-7A99-4C0B-BB48-AD4A31224019}"/>
    <cellStyle name="Normal 5 5 7 3" xfId="1227" xr:uid="{00000000-0005-0000-0000-000091060000}"/>
    <cellStyle name="Normal 5 5 7 3 2" xfId="5380" xr:uid="{5D1B5A8B-DFD3-4E3B-B7AE-8808F340FA31}"/>
    <cellStyle name="Normal 5 5 7 3 2 2" xfId="26716" xr:uid="{B71CB86C-65D1-407B-8217-2604C578C11A}"/>
    <cellStyle name="Normal 5 5 7 3 2 3" xfId="25848" xr:uid="{AE74042E-DD15-4649-9D09-647A425563FF}"/>
    <cellStyle name="Normal 5 5 7 3 2 4" xfId="14677" xr:uid="{E5A02E31-6126-4AF7-95E5-AAAABE9064F1}"/>
    <cellStyle name="Normal 5 5 7 3 3" xfId="7130" xr:uid="{4F3261E5-D6A6-43ED-95EF-0D3E97758D08}"/>
    <cellStyle name="Normal 5 5 7 3 3 2" xfId="27427" xr:uid="{FC15D81A-F1B1-45F9-A769-5A122F50485D}"/>
    <cellStyle name="Normal 5 5 7 3 3 3" xfId="26845" xr:uid="{CE0ED922-644C-4F58-ACED-9C99FFD88B89}"/>
    <cellStyle name="Normal 5 5 7 3 3 4" xfId="17510" xr:uid="{C5163A04-4DD4-4ABD-80FE-8EC5140B5C0C}"/>
    <cellStyle name="Normal 5 5 7 3 4" xfId="9963" xr:uid="{8CBBAEC9-B7D1-46C6-B886-F34EAF682803}"/>
    <cellStyle name="Normal 5 5 7 3 4 2" xfId="29441" xr:uid="{16DDF990-AB59-42FC-AE78-DBAD703881B7}"/>
    <cellStyle name="Normal 5 5 7 3 4 3" xfId="20343" xr:uid="{005259F5-E70A-4213-AF68-0E4641894199}"/>
    <cellStyle name="Normal 5 5 7 3 5" xfId="22856" xr:uid="{0348CF96-F6F3-4C6D-B4BA-A803C5FEC7A0}"/>
    <cellStyle name="Normal 5 5 7 3 6" xfId="13282" xr:uid="{31327C97-CA05-47DE-A323-66B96157E7E6}"/>
    <cellStyle name="Normal 5 5 7 4" xfId="2386" xr:uid="{00000000-0005-0000-0000-000080070000}"/>
    <cellStyle name="Normal 5 5 7 4 2" xfId="7513" xr:uid="{06620718-82D7-449D-BC8A-65A1FCA7CD1B}"/>
    <cellStyle name="Normal 5 5 7 4 2 2" xfId="28371" xr:uid="{77AAB7CD-CFEC-44E3-96B6-8B73E3271381}"/>
    <cellStyle name="Normal 5 5 7 4 2 3" xfId="17893" xr:uid="{203BDB86-0203-4140-B4EB-DAF2293C7CCB}"/>
    <cellStyle name="Normal 5 5 7 4 3" xfId="10346" xr:uid="{67C5DDFE-B833-4338-A4EC-91A2E34F312A}"/>
    <cellStyle name="Normal 5 5 7 4 3 2" xfId="20726" xr:uid="{EC4D44FF-D7FF-4402-B5A6-8BA33E08BAC5}"/>
    <cellStyle name="Normal 5 5 7 4 4" xfId="25463" xr:uid="{DA714827-6702-43DE-B389-0EDF388AE5EA}"/>
    <cellStyle name="Normal 5 5 7 4 5" xfId="15060" xr:uid="{A7F1EB7E-D4B4-4905-B109-EC7EF55C49F8}"/>
    <cellStyle name="Normal 5 5 7 5" xfId="4031" xr:uid="{ED947DAA-371E-4C03-B6A7-8372C0C37EB6}"/>
    <cellStyle name="Normal 5 5 7 5 2" xfId="8832" xr:uid="{F9271682-9920-47AF-A906-7F969C6C0BCB}"/>
    <cellStyle name="Normal 5 5 7 5 2 2" xfId="28991" xr:uid="{9A639588-9BB2-45D2-9A6E-0F165BF35CC5}"/>
    <cellStyle name="Normal 5 5 7 5 2 3" xfId="19212" xr:uid="{6D987478-876F-4959-B431-5670F63D80AC}"/>
    <cellStyle name="Normal 5 5 7 5 3" xfId="11665" xr:uid="{0B668A09-0B6A-4A72-B2A7-B046302FC851}"/>
    <cellStyle name="Normal 5 5 7 5 3 2" xfId="22045" xr:uid="{E8ADD2EE-4298-424F-AAA2-20A7F2FE34F5}"/>
    <cellStyle name="Normal 5 5 7 5 4" xfId="23977" xr:uid="{362AAFC4-B91E-4DEC-B618-C89A9892DD4E}"/>
    <cellStyle name="Normal 5 5 7 5 5" xfId="16379" xr:uid="{086519B5-B122-460C-B5FC-1E50E222F34D}"/>
    <cellStyle name="Normal 5 5 7 6" xfId="5378" xr:uid="{26300556-557E-4082-8B60-B8830D25A460}"/>
    <cellStyle name="Normal 5 5 7 6 2" xfId="27758" xr:uid="{885ED2A7-0EDC-48D2-97DD-F55865D06BC9}"/>
    <cellStyle name="Normal 5 5 7 6 3" xfId="28212" xr:uid="{EC5D5EA3-7881-46A6-B0A6-BF5F976471EA}"/>
    <cellStyle name="Normal 5 5 7 6 4" xfId="14675" xr:uid="{50C9F68A-C3C5-4C1D-9F17-A272EAD10A97}"/>
    <cellStyle name="Normal 5 5 7 7" xfId="7128" xr:uid="{17F7932A-0BB0-42C5-9388-A4903D0A5069}"/>
    <cellStyle name="Normal 5 5 7 7 2" xfId="27294" xr:uid="{0EA9BA65-7403-4833-8623-2657BE8EA453}"/>
    <cellStyle name="Normal 5 5 7 7 3" xfId="17508" xr:uid="{9A2206DC-59DF-4A72-9FFC-5E36168D1C10}"/>
    <cellStyle name="Normal 5 5 7 8" xfId="9961" xr:uid="{6935D2E1-57D5-41C9-8D13-32764C290B24}"/>
    <cellStyle name="Normal 5 5 7 8 2" xfId="20341" xr:uid="{C53E5CD7-732F-4FFC-95AD-8B0C6F9D5534}"/>
    <cellStyle name="Normal 5 5 7 9" xfId="23854" xr:uid="{EA45A73B-8161-459B-8D64-E0A17181CCBC}"/>
    <cellStyle name="Normal 5 5 8" xfId="1228" xr:uid="{00000000-0005-0000-0000-000092060000}"/>
    <cellStyle name="Normal 5 5 8 10" xfId="12621" xr:uid="{4692576D-8AE3-450E-8272-9E48C4FD90CD}"/>
    <cellStyle name="Normal 5 5 8 2" xfId="1229" xr:uid="{00000000-0005-0000-0000-000093060000}"/>
    <cellStyle name="Normal 5 5 8 2 2" xfId="2969" xr:uid="{00000000-0005-0000-0000-000086070000}"/>
    <cellStyle name="Normal 5 5 8 2 2 2" xfId="6134" xr:uid="{23583555-56F1-4626-A3D2-93F8AD74FC7C}"/>
    <cellStyle name="Normal 5 5 8 2 2 2 2" xfId="26061" xr:uid="{17BB1EC5-47B5-42DC-A7F1-62E1932F379A}"/>
    <cellStyle name="Normal 5 5 8 2 2 2 3" xfId="28205" xr:uid="{1CD5DF35-3813-48B7-9249-D550A8FBFBC1}"/>
    <cellStyle name="Normal 5 5 8 2 2 2 4" xfId="15612" xr:uid="{C98894EB-883D-493A-B53D-A6A32DB37AF4}"/>
    <cellStyle name="Normal 5 5 8 2 2 3" xfId="8065" xr:uid="{D241DEDD-FF0C-4A85-9445-1C80D1D9D2BB}"/>
    <cellStyle name="Normal 5 5 8 2 2 3 2" xfId="28763" xr:uid="{AEF191AE-C1DB-4F24-8595-4374070D62A5}"/>
    <cellStyle name="Normal 5 5 8 2 2 3 3" xfId="18445" xr:uid="{8971FB0E-A446-4AE9-88ED-CCF7E3AB18B5}"/>
    <cellStyle name="Normal 5 5 8 2 2 4" xfId="10898" xr:uid="{4A64BE24-DD55-4796-BF60-CCC45FC14999}"/>
    <cellStyle name="Normal 5 5 8 2 2 4 2" xfId="21278" xr:uid="{A0448FD8-514E-4B38-97B0-5C920562CCE6}"/>
    <cellStyle name="Normal 5 5 8 2 2 5" xfId="25390" xr:uid="{304FCE7B-DBF4-4A85-A0EB-2D09E9A4E16C}"/>
    <cellStyle name="Normal 5 5 8 2 2 6" xfId="13477" xr:uid="{0FDF7A1A-7DE7-4386-8B1E-0081216BA5B1}"/>
    <cellStyle name="Normal 5 5 8 2 3" xfId="5382" xr:uid="{28E26E73-B0EA-480D-A7FA-647939548711}"/>
    <cellStyle name="Normal 5 5 8 2 3 2" xfId="22789" xr:uid="{05A1BB14-5CC5-4969-9205-57AA7EABDBFC}"/>
    <cellStyle name="Normal 5 5 8 2 3 3" xfId="25863" xr:uid="{E4A49593-FE91-4477-A730-9BCC4AB579B5}"/>
    <cellStyle name="Normal 5 5 8 2 3 4" xfId="14679" xr:uid="{8632A19C-0EAA-43DC-A8E8-F2F97D8C4A28}"/>
    <cellStyle name="Normal 5 5 8 2 4" xfId="7132" xr:uid="{29DA3E0B-4167-4F0C-939E-5866351703BB}"/>
    <cellStyle name="Normal 5 5 8 2 4 2" xfId="25938" xr:uid="{FD958FAC-B768-4688-B47A-D42A14956D24}"/>
    <cellStyle name="Normal 5 5 8 2 4 3" xfId="28641" xr:uid="{A8B49F71-4CD3-4161-923F-BFE38AB9D0E6}"/>
    <cellStyle name="Normal 5 5 8 2 4 4" xfId="17512" xr:uid="{AAFE3A54-9E83-4D75-A862-B7A2AC257A8B}"/>
    <cellStyle name="Normal 5 5 8 2 5" xfId="9965" xr:uid="{86CA0C47-DEE8-4923-BBA0-B6917FB44FD3}"/>
    <cellStyle name="Normal 5 5 8 2 5 2" xfId="29442" xr:uid="{9109907C-4C0F-4B69-85D7-F8D1191FD9E8}"/>
    <cellStyle name="Normal 5 5 8 2 5 3" xfId="20345" xr:uid="{CDE8E9AF-4DAE-4662-AC89-5032923A5175}"/>
    <cellStyle name="Normal 5 5 8 2 6" xfId="24403" xr:uid="{A31D9859-204A-484B-807F-2F0083417206}"/>
    <cellStyle name="Normal 5 5 8 2 7" xfId="12779" xr:uid="{0E95C321-2520-4C9A-88AD-5D434E3F727B}"/>
    <cellStyle name="Normal 5 5 8 3" xfId="1230" xr:uid="{00000000-0005-0000-0000-000094060000}"/>
    <cellStyle name="Normal 5 5 8 3 2" xfId="5383" xr:uid="{88FD3DDF-4C7F-4F5B-8FAD-3A109E913FFF}"/>
    <cellStyle name="Normal 5 5 8 3 2 2" xfId="27118" xr:uid="{CF8DD38A-CD75-4DA5-BFFA-82DC0BA5D007}"/>
    <cellStyle name="Normal 5 5 8 3 2 3" xfId="27182" xr:uid="{2B08D43A-53B8-448B-84A9-E9102893CD8A}"/>
    <cellStyle name="Normal 5 5 8 3 2 4" xfId="14680" xr:uid="{46ED660E-0474-4C37-9A58-989BEE2A2F67}"/>
    <cellStyle name="Normal 5 5 8 3 3" xfId="7133" xr:uid="{3AF719DC-EEBB-4037-8A07-3409B0B4026D}"/>
    <cellStyle name="Normal 5 5 8 3 3 2" xfId="28002" xr:uid="{6DCBEFDC-1A2D-4C78-A7C8-925F50C1DAF4}"/>
    <cellStyle name="Normal 5 5 8 3 3 3" xfId="28135" xr:uid="{4F50F1CA-3439-4758-92E8-1C92B121C9C4}"/>
    <cellStyle name="Normal 5 5 8 3 3 4" xfId="17513" xr:uid="{B9102EEC-5509-405C-ACCD-30FDFAD1F030}"/>
    <cellStyle name="Normal 5 5 8 3 4" xfId="9966" xr:uid="{B9D2C06B-972E-488D-9A65-F3FE21FE0D8D}"/>
    <cellStyle name="Normal 5 5 8 3 4 2" xfId="29443" xr:uid="{1A6A0D2B-9F47-4568-9BBC-A727B9EBBBB1}"/>
    <cellStyle name="Normal 5 5 8 3 4 3" xfId="20346" xr:uid="{EA313959-F7BC-4595-B38D-D6B2039B8207}"/>
    <cellStyle name="Normal 5 5 8 3 5" xfId="24718" xr:uid="{1D4D5F3A-B42C-4E6D-9BB2-594F2E456AC4}"/>
    <cellStyle name="Normal 5 5 8 3 6" xfId="13283" xr:uid="{CC60B2D0-00F3-4C65-A4FF-8CFC5973BC19}"/>
    <cellStyle name="Normal 5 5 8 4" xfId="2387" xr:uid="{00000000-0005-0000-0000-000084070000}"/>
    <cellStyle name="Normal 5 5 8 4 2" xfId="7514" xr:uid="{0E501E06-021C-4E16-9171-904D17CD0F51}"/>
    <cellStyle name="Normal 5 5 8 4 2 2" xfId="27617" xr:uid="{0129CB36-5BB4-4EFF-8AF5-876BDBFD24B9}"/>
    <cellStyle name="Normal 5 5 8 4 2 3" xfId="17894" xr:uid="{B310EC6F-2212-4190-A4B1-F70EA5F45D76}"/>
    <cellStyle name="Normal 5 5 8 4 3" xfId="10347" xr:uid="{C09EB9F6-35D9-4AA0-AC49-F8222A3DD781}"/>
    <cellStyle name="Normal 5 5 8 4 3 2" xfId="20727" xr:uid="{248D407E-3C7C-4679-B9BB-E19D64B0AD1E}"/>
    <cellStyle name="Normal 5 5 8 4 4" xfId="25177" xr:uid="{DBD86CAA-906A-40DC-8A27-C3BD988E3D0F}"/>
    <cellStyle name="Normal 5 5 8 4 5" xfId="15061" xr:uid="{6655A872-F6DC-41B0-B026-D6C078598353}"/>
    <cellStyle name="Normal 5 5 8 5" xfId="4032" xr:uid="{6FD30347-E184-4327-B45F-7226DDACB066}"/>
    <cellStyle name="Normal 5 5 8 5 2" xfId="8833" xr:uid="{3E3659E3-7EDE-43BE-9B86-26156D6890FE}"/>
    <cellStyle name="Normal 5 5 8 5 2 2" xfId="28992" xr:uid="{0145E712-EAAD-4297-AB0F-A1705372752A}"/>
    <cellStyle name="Normal 5 5 8 5 2 3" xfId="19213" xr:uid="{C8D2A082-A26C-40D6-8777-E977FE91F652}"/>
    <cellStyle name="Normal 5 5 8 5 3" xfId="11666" xr:uid="{BBA9C86D-8B7E-4068-BD7C-64971C5CF0BE}"/>
    <cellStyle name="Normal 5 5 8 5 3 2" xfId="22046" xr:uid="{0283CA92-74AB-4338-BCA3-D9BA32AE6180}"/>
    <cellStyle name="Normal 5 5 8 5 4" xfId="23018" xr:uid="{86435221-29A9-419C-AD4D-C63D913CAE0A}"/>
    <cellStyle name="Normal 5 5 8 5 5" xfId="16380" xr:uid="{4201ABC3-F5F7-4C3D-9C5E-44EA5E11C04E}"/>
    <cellStyle name="Normal 5 5 8 6" xfId="5381" xr:uid="{2B6F67D7-2E1F-4B28-9F6E-F54B4F89B037}"/>
    <cellStyle name="Normal 5 5 8 6 2" xfId="28735" xr:uid="{967795E7-74C9-42ED-93AB-D7521134F9D6}"/>
    <cellStyle name="Normal 5 5 8 6 3" xfId="26228" xr:uid="{BED9E503-CAC9-4497-85A1-2B2915EBB4A8}"/>
    <cellStyle name="Normal 5 5 8 6 4" xfId="14678" xr:uid="{829F3A83-B132-403D-AE92-711F3C17F0D4}"/>
    <cellStyle name="Normal 5 5 8 7" xfId="7131" xr:uid="{0FACAD69-D070-49F9-8403-38F7B1AABAD7}"/>
    <cellStyle name="Normal 5 5 8 7 2" xfId="26191" xr:uid="{F4F9371D-5CE0-4F5A-9451-65D4C3851AE0}"/>
    <cellStyle name="Normal 5 5 8 7 3" xfId="17511" xr:uid="{B7A14410-470A-4573-941F-E325DB05E722}"/>
    <cellStyle name="Normal 5 5 8 8" xfId="9964" xr:uid="{69CBE24C-AEDE-4A2B-9DE0-1E446FF6810F}"/>
    <cellStyle name="Normal 5 5 8 8 2" xfId="20344" xr:uid="{B7D3E168-ACD8-4D0A-A031-27A7A05810D9}"/>
    <cellStyle name="Normal 5 5 8 9" xfId="23705" xr:uid="{1729AE0D-7A00-4AF8-BF30-513A235A7D6C}"/>
    <cellStyle name="Normal 5 5 9" xfId="1231" xr:uid="{00000000-0005-0000-0000-000095060000}"/>
    <cellStyle name="Normal 5 5 9 2" xfId="1232" xr:uid="{00000000-0005-0000-0000-000096060000}"/>
    <cellStyle name="Normal 5 5 9 3" xfId="1233" xr:uid="{00000000-0005-0000-0000-000097060000}"/>
    <cellStyle name="Normal 5 6" xfId="29606" xr:uid="{F083B5EB-43B9-4590-83CA-856969DC4BF4}"/>
    <cellStyle name="Normal 5 6 2" xfId="29638" xr:uid="{B75DEE0B-F534-46AF-9926-93D48AEAA1C2}"/>
    <cellStyle name="Normal 5 6 3" xfId="30362" xr:uid="{94F71B0E-9972-43D2-A698-4F5F8EC6B35B}"/>
    <cellStyle name="Normal 5 6 3 2" xfId="30511" xr:uid="{9F3E153B-B09B-471D-A946-A10EBA1534EE}"/>
    <cellStyle name="Normal 5 6 4" xfId="31702" xr:uid="{41B7F247-B74F-4329-A0A1-682D6C24C354}"/>
    <cellStyle name="Normal 5 7" xfId="30110" xr:uid="{B86EA2F7-3D8C-4453-9463-4535C564224A}"/>
    <cellStyle name="Normal 5 7 2" xfId="31496" xr:uid="{388D835E-8A46-47C8-B36E-97EC381E07D9}"/>
    <cellStyle name="Normal 5 8" xfId="31722" xr:uid="{5C90B386-FFD7-47C6-AD1D-7C9509FFF495}"/>
    <cellStyle name="Normal 6" xfId="1234" xr:uid="{00000000-0005-0000-0000-000098060000}"/>
    <cellStyle name="Normal 6 2" xfId="1235" xr:uid="{00000000-0005-0000-0000-000099060000}"/>
    <cellStyle name="Normal 6 2 2" xfId="1236" xr:uid="{00000000-0005-0000-0000-00009A060000}"/>
    <cellStyle name="Normal 6 2 2 2" xfId="29576" xr:uid="{7FAF1950-26DD-4D90-AF3F-344C88B26A6D}"/>
    <cellStyle name="Normal 6 2 3" xfId="1237" xr:uid="{00000000-0005-0000-0000-00009B060000}"/>
    <cellStyle name="Normal 6 2 4" xfId="1238" xr:uid="{00000000-0005-0000-0000-00009C060000}"/>
    <cellStyle name="Normal 6 2 4 2" xfId="1239" xr:uid="{00000000-0005-0000-0000-00009D060000}"/>
    <cellStyle name="Normal 6 2 4 2 2" xfId="1240" xr:uid="{00000000-0005-0000-0000-00009E060000}"/>
    <cellStyle name="Normal 6 2 4 2 3" xfId="3746" xr:uid="{00000000-0005-0000-0000-000003060000}"/>
    <cellStyle name="Normal 6 2 4 2 3 2" xfId="4729" xr:uid="{36DF93BC-14C0-4C8D-9939-43490568E73B}"/>
    <cellStyle name="Normal 6 2 4 2 3 3" xfId="30271" xr:uid="{64E7B98A-5618-4F94-BBB0-CE729F04F1ED}"/>
    <cellStyle name="Normal 6 2 4 2 3 3 2" xfId="31414" xr:uid="{F1A26C63-AE42-4F04-8891-03B490C2D338}"/>
    <cellStyle name="Normal 6 2 4 2 3 4" xfId="31611" xr:uid="{E337A21F-9B74-4399-88F3-B6426EE26747}"/>
    <cellStyle name="Normal 6 2 4 3" xfId="1241" xr:uid="{00000000-0005-0000-0000-00009F060000}"/>
    <cellStyle name="Normal 6 2 4 3 2" xfId="31305" xr:uid="{928413FA-20ED-46F2-9E40-B8E246A45F39}"/>
    <cellStyle name="Normal 6 2 4 4" xfId="29855" xr:uid="{AA4C1F12-DEA9-457E-AEF5-0DB4A6E59CD3}"/>
    <cellStyle name="Normal 6 2 5" xfId="1242" xr:uid="{00000000-0005-0000-0000-0000A0060000}"/>
    <cellStyle name="Normal 6 2 6" xfId="31265" xr:uid="{C7864499-C7D0-4F15-868C-ECC295E72CB1}"/>
    <cellStyle name="Normal 6 3" xfId="1243" xr:uid="{00000000-0005-0000-0000-0000A1060000}"/>
    <cellStyle name="Normal 6 3 2" xfId="1244" xr:uid="{00000000-0005-0000-0000-0000A2060000}"/>
    <cellStyle name="Normal 6 3 3" xfId="1245" xr:uid="{00000000-0005-0000-0000-0000A3060000}"/>
    <cellStyle name="Normal 6 3 3 2" xfId="1246" xr:uid="{00000000-0005-0000-0000-0000A4060000}"/>
    <cellStyle name="Normal 6 3 3 3" xfId="1247" xr:uid="{00000000-0005-0000-0000-0000A5060000}"/>
    <cellStyle name="Normal 6 3 3 3 2" xfId="1248" xr:uid="{00000000-0005-0000-0000-0000A6060000}"/>
    <cellStyle name="Normal 6 3 3 3 2 2" xfId="1249" xr:uid="{00000000-0005-0000-0000-0000A7060000}"/>
    <cellStyle name="Normal 6 3 3 3 2 3" xfId="1250" xr:uid="{00000000-0005-0000-0000-0000A8060000}"/>
    <cellStyle name="Normal 6 3 3 3 2 3 2" xfId="1251" xr:uid="{00000000-0005-0000-0000-0000A9060000}"/>
    <cellStyle name="Normal 6 3 3 3 2 3 2 2" xfId="1252" xr:uid="{00000000-0005-0000-0000-0000AA060000}"/>
    <cellStyle name="Normal 6 3 3 3 2 3 2 2 2" xfId="22684" xr:uid="{BCEE65C1-493F-43A2-8225-D8AF26E4B811}"/>
    <cellStyle name="Normal 6 3 3 3 2 3 2 2 3" xfId="23065" xr:uid="{9BB534F7-3CF8-47D9-BE50-7E51BEA965FB}"/>
    <cellStyle name="Normal 6 3 3 3 2 3 2 3" xfId="1253" xr:uid="{00000000-0005-0000-0000-0000AB060000}"/>
    <cellStyle name="Normal 6 3 3 3 2 3 2 3 2" xfId="2014" xr:uid="{00000000-0005-0000-0000-0000AC060000}"/>
    <cellStyle name="Normal 6 3 3 3 2 3 2 3 3" xfId="3747" xr:uid="{00000000-0005-0000-0000-00000F060000}"/>
    <cellStyle name="Normal 6 3 3 3 2 3 2 3 3 2" xfId="4744" xr:uid="{52032595-B136-4D2C-B500-82ADF7DF1B2A}"/>
    <cellStyle name="Normal 6 3 3 3 2 3 2 3 3 3" xfId="30272" xr:uid="{D89606A7-7F62-4BEF-BBAC-371DD44B78A1}"/>
    <cellStyle name="Normal 6 3 3 3 2 3 2 3 3 3 2" xfId="31415" xr:uid="{0B73902A-7494-489D-AE53-A905FA779E9C}"/>
    <cellStyle name="Normal 6 3 3 3 2 3 2 3 3 4" xfId="31612" xr:uid="{F3422B09-C712-4715-9E74-E2360D1499BA}"/>
    <cellStyle name="Normal 6 3 3 3 2 3 2 4" xfId="23723" xr:uid="{CF6E8B82-0990-4BE4-9413-7C6041332850}"/>
    <cellStyle name="Normal 6 3 3 3 2 3 3" xfId="1254" xr:uid="{00000000-0005-0000-0000-0000AD060000}"/>
    <cellStyle name="Normal 6 3 3 3 2 3 4" xfId="2971" xr:uid="{00000000-0005-0000-0000-000096070000}"/>
    <cellStyle name="Normal 6 3 3 3 2 3 4 2" xfId="31282" xr:uid="{8609F323-400D-4035-9BBF-4A50ABE08EC3}"/>
    <cellStyle name="Normal 6 3 3 3 2 3 5" xfId="2127" xr:uid="{00000000-0005-0000-0000-0000BE020000}"/>
    <cellStyle name="Normal 6 3 3 3 2 3 5 2" xfId="4680" xr:uid="{D6398DC9-E5C9-496E-A2A7-CD5014D2DFA6}"/>
    <cellStyle name="Normal 6 3 3 3 2 3 5 3" xfId="30208" xr:uid="{356E9707-CCEF-4F7C-BF32-0303F4791FE4}"/>
    <cellStyle name="Normal 6 3 3 3 2 3 5 3 2" xfId="31352" xr:uid="{CC12E4D3-F8EB-4CF6-AB97-4D8B2B3693C7}"/>
    <cellStyle name="Normal 6 3 3 3 2 3 5 4" xfId="31548" xr:uid="{87A857A3-2AA9-43F2-8657-50394276CAF6}"/>
    <cellStyle name="Normal 6 3 3 3 2 3 6" xfId="4034" xr:uid="{C3B2AF05-98DC-463A-BA12-C74208D497DD}"/>
    <cellStyle name="Normal 6 3 3 3 2 3 6 2" xfId="4812" xr:uid="{F613BC84-EDE5-4885-8459-F27AF0BB6E85}"/>
    <cellStyle name="Normal 6 3 3 3 2 3 6 3" xfId="30326" xr:uid="{FE425496-F8E2-4D8D-BACC-24E101135861}"/>
    <cellStyle name="Normal 6 3 3 3 2 3 6 3 2" xfId="31469" xr:uid="{E634AE3F-E674-4AA0-825F-3A0FBFBCA056}"/>
    <cellStyle name="Normal 6 3 3 3 2 3 6 4" xfId="31666" xr:uid="{C88B7139-BB51-44C6-81F9-0169CA295B19}"/>
    <cellStyle name="Normal 6 3 3 3 2 3 7" xfId="30146" xr:uid="{DC11676B-B130-4A24-B13D-A1AF24211213}"/>
    <cellStyle name="Normal 6 3 3 3 2 3 7 2" xfId="30513" xr:uid="{2A90FA8B-F176-40AB-B942-C645A0B2AC10}"/>
    <cellStyle name="Normal 6 3 3 3 2 4" xfId="1255" xr:uid="{00000000-0005-0000-0000-0000AE060000}"/>
    <cellStyle name="Normal 6 3 3 3 2 4 2" xfId="2970" xr:uid="{00000000-0005-0000-0000-000097070000}"/>
    <cellStyle name="Normal 6 3 3 3 2 4 3" xfId="24637" xr:uid="{0B99EDD5-5B90-41B3-B148-FF54C30227C9}"/>
    <cellStyle name="Normal 6 3 3 3 2 4 3 2" xfId="29621" xr:uid="{5AD4FC9D-CD04-4CDE-9532-33EB4917BF7B}"/>
    <cellStyle name="Normal 6 3 3 3 2 4 3 3" xfId="29607" xr:uid="{F36EC8D3-C075-4FCC-BB6E-6F17B0D09736}"/>
    <cellStyle name="Normal 6 3 3 3 2 4 3 3 2" xfId="29648" xr:uid="{826F20A1-EE0D-443B-B788-37E26F103C4E}"/>
    <cellStyle name="Normal 6 3 3 3 2 4 3 3 3" xfId="30390" xr:uid="{68412F80-5B7F-4324-AB06-AB62463D18A8}"/>
    <cellStyle name="Normal 6 3 3 3 2 4 3 3 4" xfId="30377" xr:uid="{F1CFB043-722D-4FF7-8349-A408EBFE1248}"/>
    <cellStyle name="Normal 6 3 3 3 2 4 3 3 4 2" xfId="31716" xr:uid="{E1047207-F524-459C-9D5A-B00766BB0693}"/>
    <cellStyle name="Normal 6 3 3 3 2 4 3 4" xfId="30363" xr:uid="{3A82768C-6B5D-4D32-86C4-08DE35B49E64}"/>
    <cellStyle name="Normal 6 3 3 3 2 4 3 4 2" xfId="31703" xr:uid="{7FCFC7B6-2244-4C07-99E2-5744C78CE1C6}"/>
    <cellStyle name="Normal 6 3 3 3 2 5" xfId="2126" xr:uid="{00000000-0005-0000-0000-0000BC020000}"/>
    <cellStyle name="Normal 6 3 3 3 2 5 2" xfId="4637" xr:uid="{6DCD8049-BC85-477D-8DF4-71B624F9476D}"/>
    <cellStyle name="Normal 6 3 3 3 2 5 3" xfId="30207" xr:uid="{37F318ED-ADB1-4A63-94B9-7AD18DADE9C4}"/>
    <cellStyle name="Normal 6 3 3 3 2 5 3 2" xfId="31351" xr:uid="{63937397-5761-4327-97C3-F1A1F4AC80AD}"/>
    <cellStyle name="Normal 6 3 3 3 2 5 4" xfId="31547" xr:uid="{CD9790C9-4E7C-4C12-8572-B6779880FCFF}"/>
    <cellStyle name="Normal 6 3 3 3 2 6" xfId="4033" xr:uid="{2F86E8C3-CFCF-4CC5-896B-92C102F9D7BD}"/>
    <cellStyle name="Normal 6 3 3 3 2 6 2" xfId="4725" xr:uid="{3DE8FA29-3805-45F1-AFC0-AABB851E3B0A}"/>
    <cellStyle name="Normal 6 3 3 3 2 6 3" xfId="30325" xr:uid="{0ECF71C3-B132-42F9-91D6-FA49DFB6CC23}"/>
    <cellStyle name="Normal 6 3 3 3 2 6 3 2" xfId="31468" xr:uid="{64226B14-8E2D-4A6B-B1EA-CFD0A01681C0}"/>
    <cellStyle name="Normal 6 3 3 3 2 6 4" xfId="31665" xr:uid="{DBA5C1A5-A154-4B8F-A90E-5CFDC92DCCDC}"/>
    <cellStyle name="Normal 6 3 3 3 2 7" xfId="30145" xr:uid="{80BE168A-ACEA-40EE-BC12-1FF256FF1F93}"/>
    <cellStyle name="Normal 6 3 3 3 2 7 2" xfId="30512" xr:uid="{1E65CB5E-5F31-4857-9CD1-EB4B121E79A0}"/>
    <cellStyle name="Normal 6 3 3 3 3" xfId="1256" xr:uid="{00000000-0005-0000-0000-0000AF060000}"/>
    <cellStyle name="Normal 6 3 3 3 4" xfId="1257" xr:uid="{00000000-0005-0000-0000-0000B0060000}"/>
    <cellStyle name="Normal 6 3 3 3 4 2" xfId="1258" xr:uid="{00000000-0005-0000-0000-0000B1060000}"/>
    <cellStyle name="Normal 6 3 3 3 4 2 2" xfId="1259" xr:uid="{00000000-0005-0000-0000-0000B2060000}"/>
    <cellStyle name="Normal 6 3 3 3 4 2 2 2" xfId="1260" xr:uid="{00000000-0005-0000-0000-0000B3060000}"/>
    <cellStyle name="Normal 6 3 3 3 4 2 2 2 2" xfId="2015" xr:uid="{00000000-0005-0000-0000-0000B4060000}"/>
    <cellStyle name="Normal 6 3 3 3 4 2 2 2 2 2" xfId="30085" xr:uid="{AC20A973-25C7-4EEA-B8FC-5F924C46B0FC}"/>
    <cellStyle name="Normal 6 3 3 3 4 2 2 2 3" xfId="3748" xr:uid="{00000000-0005-0000-0000-000016060000}"/>
    <cellStyle name="Normal 6 3 3 3 4 2 2 2 3 2" xfId="4777" xr:uid="{AAE7B9DD-D69F-4E10-BB8B-20D4AC9962F5}"/>
    <cellStyle name="Normal 6 3 3 3 4 2 2 2 3 3" xfId="30273" xr:uid="{C37F18FF-54D7-4AE5-9692-111929E55625}"/>
    <cellStyle name="Normal 6 3 3 3 4 2 2 2 3 3 2" xfId="31416" xr:uid="{249FE48C-C7E7-4065-967D-49544C157FBD}"/>
    <cellStyle name="Normal 6 3 3 3 4 2 2 2 3 4" xfId="31613" xr:uid="{189EC8A1-D2C2-42E5-A270-697BF07C7A33}"/>
    <cellStyle name="Normal 6 3 3 3 4 2 2 2 4" xfId="22661" xr:uid="{CBF90421-D5AC-4CAD-9FD2-36B22A63D893}"/>
    <cellStyle name="Normal 6 3 3 3 4 2 2 3" xfId="2016" xr:uid="{00000000-0005-0000-0000-0000B5060000}"/>
    <cellStyle name="Normal 6 3 3 3 4 2 2 4" xfId="25706" xr:uid="{C5F7ECBA-4F92-4F46-BA83-52E1E22E980F}"/>
    <cellStyle name="Normal 6 3 3 3 4 2 3" xfId="1261" xr:uid="{00000000-0005-0000-0000-0000B6060000}"/>
    <cellStyle name="Normal 6 3 3 3 4 2 3 2" xfId="1262" xr:uid="{00000000-0005-0000-0000-0000B7060000}"/>
    <cellStyle name="Normal 6 3 3 3 4 2 3 2 2" xfId="25668" xr:uid="{E957DF7A-A3D2-43E6-AE06-9A9BCADFE3C5}"/>
    <cellStyle name="Normal 6 3 3 3 4 2 3 2 3" xfId="23564" xr:uid="{82449096-A430-4189-883B-B78564EA965D}"/>
    <cellStyle name="Normal 6 3 3 3 4 2 3 3" xfId="1263" xr:uid="{00000000-0005-0000-0000-0000B8060000}"/>
    <cellStyle name="Normal 6 3 3 3 4 2 3 3 2" xfId="25804" xr:uid="{7B562051-5010-423F-A5F3-DA3469A63612}"/>
    <cellStyle name="Normal 6 3 3 3 4 2 3 3 3" xfId="24256" xr:uid="{D37E907C-74A2-4123-B6C7-51638602FEE9}"/>
    <cellStyle name="Normal 6 3 3 3 4 2 3 4" xfId="2129" xr:uid="{00000000-0005-0000-0000-0000C4020000}"/>
    <cellStyle name="Normal 6 3 3 3 4 2 3 4 2" xfId="4782" xr:uid="{59B8D440-8137-4B7F-A656-CF0510303CA0}"/>
    <cellStyle name="Normal 6 3 3 3 4 2 3 4 3" xfId="30210" xr:uid="{A160096C-0CB9-4F26-AE17-C47BB86B37E8}"/>
    <cellStyle name="Normal 6 3 3 3 4 2 3 4 3 2" xfId="31354" xr:uid="{C3EE6054-A4E1-4094-825A-1C1BF8659EA8}"/>
    <cellStyle name="Normal 6 3 3 3 4 2 3 4 4" xfId="31550" xr:uid="{9102B438-FA41-4457-A61B-AE31F663F9E7}"/>
    <cellStyle name="Normal 6 3 3 3 4 2 3 5" xfId="25802" xr:uid="{593CE574-319A-4AC6-9B5C-702D762FB4CA}"/>
    <cellStyle name="Normal 6 3 3 3 4 2 3 6" xfId="30541" xr:uid="{5EBC0163-4363-4F13-A5DD-AE3FCBD0410B}"/>
    <cellStyle name="Normal 6 3 3 3 4 2 4" xfId="25640" xr:uid="{EABC3D6A-712F-4FB3-BEB7-DF746EAFE1AE}"/>
    <cellStyle name="Normal 6 3 3 3 4 3" xfId="1264" xr:uid="{00000000-0005-0000-0000-0000B9060000}"/>
    <cellStyle name="Normal 6 3 3 3 4 4" xfId="2972" xr:uid="{00000000-0005-0000-0000-00009F070000}"/>
    <cellStyle name="Normal 6 3 3 3 4 4 2" xfId="31294" xr:uid="{186211C7-282C-42A3-AABA-91AA76594D8B}"/>
    <cellStyle name="Normal 6 3 3 3 4 5" xfId="2128" xr:uid="{00000000-0005-0000-0000-0000C1020000}"/>
    <cellStyle name="Normal 6 3 3 3 4 5 2" xfId="4672" xr:uid="{3CF7EC19-F0E2-4711-B08D-946163A456F8}"/>
    <cellStyle name="Normal 6 3 3 3 4 5 3" xfId="30209" xr:uid="{04383268-857B-47C7-9699-654DD5736F7C}"/>
    <cellStyle name="Normal 6 3 3 3 4 5 3 2" xfId="31353" xr:uid="{8F87091D-845B-4E2D-9607-3B2C3F78CB20}"/>
    <cellStyle name="Normal 6 3 3 3 4 5 4" xfId="31549" xr:uid="{F438C024-05C0-4B0E-BC65-1729E3C29826}"/>
    <cellStyle name="Normal 6 3 3 3 4 6" xfId="4035" xr:uid="{4F2918E3-7CCF-44F2-8B12-399DCD69E664}"/>
    <cellStyle name="Normal 6 3 3 3 4 6 2" xfId="4704" xr:uid="{66B78E9E-F4AB-4BA4-9562-EF211951A15F}"/>
    <cellStyle name="Normal 6 3 3 3 4 6 3" xfId="30327" xr:uid="{95C354DC-76FB-4CBE-9FB3-F1E8EDAD6C87}"/>
    <cellStyle name="Normal 6 3 3 3 4 6 3 2" xfId="31470" xr:uid="{B4430622-35CF-4C2E-B9B8-E001BD4035B7}"/>
    <cellStyle name="Normal 6 3 3 3 4 6 4" xfId="31667" xr:uid="{76813517-A76E-44EB-B0B6-46D7F2837E3A}"/>
    <cellStyle name="Normal 6 3 3 3 4 7" xfId="30147" xr:uid="{C2411ACB-20F6-4EE0-8B84-B62097023916}"/>
    <cellStyle name="Normal 6 3 3 3 4 7 2" xfId="30514" xr:uid="{BAFE7101-FEEB-42B9-BA1E-81777797EAA5}"/>
    <cellStyle name="Normal 6 3 3 3 5" xfId="1265" xr:uid="{00000000-0005-0000-0000-0000BA060000}"/>
    <cellStyle name="Normal 6 3 3 3 5 2" xfId="1266" xr:uid="{00000000-0005-0000-0000-0000BB060000}"/>
    <cellStyle name="Normal 6 3 3 3 5 3" xfId="3749" xr:uid="{00000000-0005-0000-0000-00001D060000}"/>
    <cellStyle name="Normal 6 3 3 3 5 3 2" xfId="4728" xr:uid="{86D2124D-0952-4EE0-8EFD-833837240DB9}"/>
    <cellStyle name="Normal 6 3 3 3 5 3 2 2" xfId="27330" xr:uid="{4A976EB1-446E-435E-9AE3-41D706587218}"/>
    <cellStyle name="Normal 6 3 3 3 5 3 3" xfId="24911" xr:uid="{1B73AC05-9E14-42B7-981E-924978277EB1}"/>
    <cellStyle name="Normal 6 3 3 3 5 3 4" xfId="30274" xr:uid="{B96C46A8-B0B0-4A78-8D66-296041A1E571}"/>
    <cellStyle name="Normal 6 3 3 3 5 3 4 2" xfId="31417" xr:uid="{4EF581FF-DB98-4273-BAC1-15F20033B499}"/>
    <cellStyle name="Normal 6 3 3 3 5 3 5" xfId="31614" xr:uid="{304492C9-34A5-491B-90A2-9FC308872402}"/>
    <cellStyle name="Normal 6 3 3 3 5 4" xfId="24243" xr:uid="{30885B66-180D-465C-9004-4FD2801ED13D}"/>
    <cellStyle name="Normal 6 3 3 4" xfId="1267" xr:uid="{00000000-0005-0000-0000-0000BC060000}"/>
    <cellStyle name="Normal 6 3 3 4 2" xfId="1268" xr:uid="{00000000-0005-0000-0000-0000BD060000}"/>
    <cellStyle name="Normal 6 3 3 4 3" xfId="1269" xr:uid="{00000000-0005-0000-0000-0000BE060000}"/>
    <cellStyle name="Normal 6 3 3 4 3 2" xfId="1270" xr:uid="{00000000-0005-0000-0000-0000BF060000}"/>
    <cellStyle name="Normal 6 3 3 4 3 2 2" xfId="1271" xr:uid="{00000000-0005-0000-0000-0000C0060000}"/>
    <cellStyle name="Normal 6 3 3 4 3 2 2 2" xfId="23833" xr:uid="{7F0C0093-2374-413B-A5E9-43C55EFC788B}"/>
    <cellStyle name="Normal 6 3 3 4 3 2 2 3" xfId="22913" xr:uid="{10740882-16AF-4F93-9A88-A7076635685B}"/>
    <cellStyle name="Normal 6 3 3 4 3 2 3" xfId="1272" xr:uid="{00000000-0005-0000-0000-0000C1060000}"/>
    <cellStyle name="Normal 6 3 3 4 3 2 3 2" xfId="2017" xr:uid="{00000000-0005-0000-0000-0000C2060000}"/>
    <cellStyle name="Normal 6 3 3 4 3 2 3 3" xfId="3750" xr:uid="{00000000-0005-0000-0000-000024060000}"/>
    <cellStyle name="Normal 6 3 3 4 3 2 3 3 2" xfId="4763" xr:uid="{DBCCADD4-FC4E-4BFC-A7C2-891AFFCEA356}"/>
    <cellStyle name="Normal 6 3 3 4 3 2 3 3 3" xfId="30275" xr:uid="{91ACDD3A-0E04-489A-B8EF-6EF1F1AE6AAE}"/>
    <cellStyle name="Normal 6 3 3 4 3 2 3 3 3 2" xfId="31418" xr:uid="{9ED99E49-38F8-4258-8C5C-4E6CCF898051}"/>
    <cellStyle name="Normal 6 3 3 4 3 2 3 3 4" xfId="31615" xr:uid="{86DC850B-5ABA-4168-A12B-52BB2D92300C}"/>
    <cellStyle name="Normal 6 3 3 4 3 2 4" xfId="25725" xr:uid="{458F7302-1896-4444-8A91-7EEE77D9B42E}"/>
    <cellStyle name="Normal 6 3 3 4 3 3" xfId="1273" xr:uid="{00000000-0005-0000-0000-0000C3060000}"/>
    <cellStyle name="Normal 6 3 3 4 3 4" xfId="2973" xr:uid="{00000000-0005-0000-0000-0000A5070000}"/>
    <cellStyle name="Normal 6 3 3 4 3 4 2" xfId="31301" xr:uid="{9A618AA1-F692-4092-9D65-77B750975D70}"/>
    <cellStyle name="Normal 6 3 3 4 3 5" xfId="2131" xr:uid="{00000000-0005-0000-0000-0000C8020000}"/>
    <cellStyle name="Normal 6 3 3 4 3 5 2" xfId="3855" xr:uid="{14ADEC9D-23D5-4755-9DD0-8765D24571A4}"/>
    <cellStyle name="Normal 6 3 3 4 3 5 3" xfId="30212" xr:uid="{8435FB26-6920-4CAD-AA91-3600F415560A}"/>
    <cellStyle name="Normal 6 3 3 4 3 5 3 2" xfId="31356" xr:uid="{35DA6502-A4A2-4046-B3CE-4037C2DBBE69}"/>
    <cellStyle name="Normal 6 3 3 4 3 5 4" xfId="31552" xr:uid="{072920CB-D524-41F0-B9ED-C02DFA5CF3AC}"/>
    <cellStyle name="Normal 6 3 3 4 3 6" xfId="4037" xr:uid="{C66D090D-F948-4628-9A4B-3556EC8A8993}"/>
    <cellStyle name="Normal 6 3 3 4 3 6 2" xfId="4740" xr:uid="{6CDE8700-2BC6-4C40-AD11-A661C27D6699}"/>
    <cellStyle name="Normal 6 3 3 4 3 6 3" xfId="30329" xr:uid="{A9169C37-2F33-4AC5-9D16-6468DBFE55C7}"/>
    <cellStyle name="Normal 6 3 3 4 3 6 3 2" xfId="31472" xr:uid="{C08347BC-2FE4-4A4C-88AE-047B4F1111EB}"/>
    <cellStyle name="Normal 6 3 3 4 3 6 4" xfId="31669" xr:uid="{25C9AC63-04F8-44DF-BE45-828C1A0EFA15}"/>
    <cellStyle name="Normal 6 3 3 4 3 7" xfId="30149" xr:uid="{5DD134DE-7771-4AC1-A6C7-CAB182204804}"/>
    <cellStyle name="Normal 6 3 3 4 3 7 2" xfId="30516" xr:uid="{F5396644-8DAF-4937-A4F1-2401EBC3517A}"/>
    <cellStyle name="Normal 6 3 3 4 4" xfId="1274" xr:uid="{00000000-0005-0000-0000-0000C4060000}"/>
    <cellStyle name="Normal 6 3 3 4 4 2" xfId="2018" xr:uid="{00000000-0005-0000-0000-0000C5060000}"/>
    <cellStyle name="Normal 6 3 3 4 4 3" xfId="3751" xr:uid="{00000000-0005-0000-0000-000027060000}"/>
    <cellStyle name="Normal 6 3 3 4 4 3 2" xfId="4734" xr:uid="{8C9E0BAB-6342-4926-AFDE-1D1CEAEB8D50}"/>
    <cellStyle name="Normal 6 3 3 4 4 3 3" xfId="30276" xr:uid="{7F3E6705-4643-4EF6-886B-EF89E8C009A2}"/>
    <cellStyle name="Normal 6 3 3 4 4 3 3 2" xfId="31419" xr:uid="{519FAA7A-C692-4C62-A964-CCC9D5705A0C}"/>
    <cellStyle name="Normal 6 3 3 4 4 3 4" xfId="31616" xr:uid="{C2001405-3A9E-407C-A41F-4E4E1ECCA430}"/>
    <cellStyle name="Normal 6 3 3 4 5" xfId="2130" xr:uid="{00000000-0005-0000-0000-0000C6020000}"/>
    <cellStyle name="Normal 6 3 3 4 5 2" xfId="3776" xr:uid="{E7CE2CBA-ABE9-40BC-B051-DB9C5FB798E6}"/>
    <cellStyle name="Normal 6 3 3 4 5 3" xfId="30211" xr:uid="{89A8051D-31C3-40B3-9711-90934B61F108}"/>
    <cellStyle name="Normal 6 3 3 4 5 3 2" xfId="31355" xr:uid="{85BF3F84-4BD4-4F22-BAF8-1486D86B8D5C}"/>
    <cellStyle name="Normal 6 3 3 4 5 4" xfId="31551" xr:uid="{A28A8BEB-C65E-4662-A83C-828FBC0BB7C6}"/>
    <cellStyle name="Normal 6 3 3 4 6" xfId="4036" xr:uid="{45BFAD04-BCD7-4CAC-953D-0DBD444CB6D4}"/>
    <cellStyle name="Normal 6 3 3 4 6 2" xfId="4726" xr:uid="{E376E65A-2E16-478D-B2B0-FCA698161DA4}"/>
    <cellStyle name="Normal 6 3 3 4 6 3" xfId="30328" xr:uid="{7B491ED7-6C6A-4219-B6F7-978B126F66AF}"/>
    <cellStyle name="Normal 6 3 3 4 6 3 2" xfId="31471" xr:uid="{7C5376D0-737F-432C-B2D8-A4762CC89502}"/>
    <cellStyle name="Normal 6 3 3 4 6 4" xfId="31668" xr:uid="{5D3A6406-FADF-46CF-957E-3CA6899F60ED}"/>
    <cellStyle name="Normal 6 3 3 4 7" xfId="30148" xr:uid="{838F89EF-1D7F-4065-8D4C-3A4DAF9BF3DA}"/>
    <cellStyle name="Normal 6 3 3 4 7 2" xfId="30515" xr:uid="{05F24ADF-AA50-4531-B604-5CFE29E6FEC6}"/>
    <cellStyle name="Normal 6 3 3 5" xfId="2070" xr:uid="{00000000-0005-0000-0000-0000B9020000}"/>
    <cellStyle name="Normal 6 3 3 5 2" xfId="4799" xr:uid="{907E5E47-F6B2-4DC4-A325-33901AAEA066}"/>
    <cellStyle name="Normal 6 3 3 5 3" xfId="30170" xr:uid="{35A6137A-9A79-4FA9-A0E4-BC9B9671A559}"/>
    <cellStyle name="Normal 6 3 3 5 3 2" xfId="30517" xr:uid="{DABD6C2B-49F9-41EE-B9EE-279CE22049EF}"/>
    <cellStyle name="Normal 6 3 3 5 4" xfId="31510" xr:uid="{FE5EE180-0A6C-4451-850A-0F128D00BDF6}"/>
    <cellStyle name="Normal 6 3 3 6" xfId="30102" xr:uid="{39D311B1-3F99-4637-B6B6-3945F5B433CC}"/>
    <cellStyle name="Normal 6 3 3 6 2" xfId="30475" xr:uid="{F1B2B02C-F2EA-473E-AE49-8B217EFDE528}"/>
    <cellStyle name="Normal 6 3 4" xfId="1275" xr:uid="{00000000-0005-0000-0000-0000C6060000}"/>
    <cellStyle name="Normal 6 3 4 2" xfId="1276" xr:uid="{00000000-0005-0000-0000-0000C7060000}"/>
    <cellStyle name="Normal 6 3 4 3" xfId="1277" xr:uid="{00000000-0005-0000-0000-0000C8060000}"/>
    <cellStyle name="Normal 6 3 4 3 2" xfId="1278" xr:uid="{00000000-0005-0000-0000-0000C9060000}"/>
    <cellStyle name="Normal 6 3 4 3 2 2" xfId="1279" xr:uid="{00000000-0005-0000-0000-0000CA060000}"/>
    <cellStyle name="Normal 6 3 4 3 2 2 2" xfId="23857" xr:uid="{914EF0C8-D56B-478B-810B-7CA84A865AFB}"/>
    <cellStyle name="Normal 6 3 4 3 2 2 3" xfId="24995" xr:uid="{BF9404F4-9345-4E46-8DFA-77F5AB74D18D}"/>
    <cellStyle name="Normal 6 3 4 3 2 3" xfId="1280" xr:uid="{00000000-0005-0000-0000-0000CB060000}"/>
    <cellStyle name="Normal 6 3 4 3 2 3 2" xfId="2019" xr:uid="{00000000-0005-0000-0000-0000CC060000}"/>
    <cellStyle name="Normal 6 3 4 3 2 3 3" xfId="3752" xr:uid="{00000000-0005-0000-0000-00002E060000}"/>
    <cellStyle name="Normal 6 3 4 3 2 3 3 2" xfId="4723" xr:uid="{FB4D8310-7AEF-4531-9242-402D4EE4CBCA}"/>
    <cellStyle name="Normal 6 3 4 3 2 3 3 3" xfId="30277" xr:uid="{E5F840FE-5104-4857-8DCE-96279A827F92}"/>
    <cellStyle name="Normal 6 3 4 3 2 3 3 3 2" xfId="31420" xr:uid="{4198C9AA-B1FD-49F4-9439-E7F43D107413}"/>
    <cellStyle name="Normal 6 3 4 3 2 3 3 4" xfId="31617" xr:uid="{909DD0D0-1364-42A4-A034-3430836BB697}"/>
    <cellStyle name="Normal 6 3 4 3 2 4" xfId="24959" xr:uid="{0DA149DA-ADAC-4AFA-94DC-BF3AC20BD344}"/>
    <cellStyle name="Normal 6 3 4 3 3" xfId="1281" xr:uid="{00000000-0005-0000-0000-0000CD060000}"/>
    <cellStyle name="Normal 6 3 4 3 4" xfId="2975" xr:uid="{00000000-0005-0000-0000-0000AC070000}"/>
    <cellStyle name="Normal 6 3 4 3 4 2" xfId="31289" xr:uid="{BE8648E5-FB61-43AA-BB56-FE67109396AA}"/>
    <cellStyle name="Normal 6 3 4 3 5" xfId="2133" xr:uid="{00000000-0005-0000-0000-0000CC020000}"/>
    <cellStyle name="Normal 6 3 4 3 5 2" xfId="4641" xr:uid="{B14B5BE6-0AD9-4024-B6A3-83DB74FA6323}"/>
    <cellStyle name="Normal 6 3 4 3 5 3" xfId="30214" xr:uid="{E0D683BA-EFB6-4E11-8ABF-098065B0A36F}"/>
    <cellStyle name="Normal 6 3 4 3 5 3 2" xfId="31358" xr:uid="{9C8FE98E-1D8F-4973-8A1E-AB187A709B52}"/>
    <cellStyle name="Normal 6 3 4 3 5 4" xfId="31554" xr:uid="{83DF3942-78DD-4E7E-8FC5-59A81BE0190A}"/>
    <cellStyle name="Normal 6 3 4 3 6" xfId="4039" xr:uid="{85017E11-7866-4279-9063-BD1F44AA9952}"/>
    <cellStyle name="Normal 6 3 4 3 6 2" xfId="4785" xr:uid="{121F7278-5066-479E-804E-839EF523D6AF}"/>
    <cellStyle name="Normal 6 3 4 3 6 3" xfId="30331" xr:uid="{10D4AA31-3BD6-458F-BF46-08A025222983}"/>
    <cellStyle name="Normal 6 3 4 3 6 3 2" xfId="31474" xr:uid="{45E35B95-8A5B-4E1D-9384-E5D7227BFA78}"/>
    <cellStyle name="Normal 6 3 4 3 6 4" xfId="31671" xr:uid="{5ABCB488-C596-4F4D-A1BD-D5E366D7C9F2}"/>
    <cellStyle name="Normal 6 3 4 3 7" xfId="30151" xr:uid="{7EB70341-ADA0-4143-B80B-2417C60D5EFB}"/>
    <cellStyle name="Normal 6 3 4 3 7 2" xfId="30519" xr:uid="{35C90F93-35F2-4DF2-AF1A-E04B1075095B}"/>
    <cellStyle name="Normal 6 3 4 4" xfId="2974" xr:uid="{00000000-0005-0000-0000-0000AD070000}"/>
    <cellStyle name="Normal 6 3 4 4 2" xfId="24839" xr:uid="{A731FBC4-F028-41EF-AC44-B734738D1241}"/>
    <cellStyle name="Normal 6 3 4 4 2 2" xfId="29623" xr:uid="{7D19FE9A-8DE5-4212-8041-0E8E01477532}"/>
    <cellStyle name="Normal 6 3 4 4 2 3" xfId="29608" xr:uid="{6844FE66-0350-45B6-8749-E96EC837CDEA}"/>
    <cellStyle name="Normal 6 3 4 4 2 3 2" xfId="29649" xr:uid="{306B9646-B3CB-4206-96D3-173A2C19F6A4}"/>
    <cellStyle name="Normal 6 3 4 4 2 3 3" xfId="30391" xr:uid="{5C1B9AE5-B079-4BE9-940F-38DB98168A0F}"/>
    <cellStyle name="Normal 6 3 4 4 2 3 4" xfId="30378" xr:uid="{0C630832-C427-48AC-B7B7-CDBA068EF46E}"/>
    <cellStyle name="Normal 6 3 4 4 2 3 4 2" xfId="31717" xr:uid="{59210765-A088-4B60-B438-476422DF6627}"/>
    <cellStyle name="Normal 6 3 4 4 2 4" xfId="30364" xr:uid="{ED8C1BC9-242E-4E34-A350-F2FCEF2ABD52}"/>
    <cellStyle name="Normal 6 3 4 4 2 4 2" xfId="31704" xr:uid="{1508FF5D-6EE9-4924-B426-3723E8CF7E8F}"/>
    <cellStyle name="Normal 6 3 4 4 3" xfId="24976" xr:uid="{B81CA4B1-D0EC-4903-82C2-3729418C66EC}"/>
    <cellStyle name="Normal 6 3 4 5" xfId="2132" xr:uid="{00000000-0005-0000-0000-0000CA020000}"/>
    <cellStyle name="Normal 6 3 4 5 2" xfId="4626" xr:uid="{385DF0D6-58F0-450D-88C9-C3CEB76D1408}"/>
    <cellStyle name="Normal 6 3 4 5 3" xfId="30213" xr:uid="{90312F7B-2D6D-405C-8052-43F9AAADE25C}"/>
    <cellStyle name="Normal 6 3 4 5 3 2" xfId="31357" xr:uid="{E7349462-429D-4D08-82F3-1A2EB2E58B37}"/>
    <cellStyle name="Normal 6 3 4 5 4" xfId="31553" xr:uid="{1042ECBD-2BB7-4E90-905B-07F8507D3AB7}"/>
    <cellStyle name="Normal 6 3 4 6" xfId="4038" xr:uid="{8D1101F3-0C22-4BE8-AF14-06E549D8B1C0}"/>
    <cellStyle name="Normal 6 3 4 6 2" xfId="4708" xr:uid="{309113B5-9206-44C4-9B50-F0859B4F4AC0}"/>
    <cellStyle name="Normal 6 3 4 6 3" xfId="30330" xr:uid="{75C41231-A56E-451C-A0E6-06EE355C936A}"/>
    <cellStyle name="Normal 6 3 4 6 3 2" xfId="31473" xr:uid="{E83C45BE-E56B-493C-B749-8DBB698D4281}"/>
    <cellStyle name="Normal 6 3 4 6 4" xfId="31670" xr:uid="{BED4E2F1-8BFE-49E7-94A6-F6C20E56EE89}"/>
    <cellStyle name="Normal 6 3 4 7" xfId="30150" xr:uid="{230E3327-1DCE-4021-B3F8-983D1A5A137A}"/>
    <cellStyle name="Normal 6 3 4 7 2" xfId="30518" xr:uid="{E88A4B4D-5E2F-4EF4-8F91-154A61DEACCE}"/>
    <cellStyle name="Normal 6 3 5" xfId="29609" xr:uid="{631E655F-7844-43BA-9955-2AD29CB8158C}"/>
    <cellStyle name="Normal 6 3 5 2" xfId="29637" xr:uid="{B4AFCDD8-862C-4144-A948-C80FD9D9C627}"/>
    <cellStyle name="Normal 6 3 5 3" xfId="30365" xr:uid="{BB71A935-D937-468C-AA47-D9536B9840FB}"/>
    <cellStyle name="Normal 6 3 5 3 2" xfId="30520" xr:uid="{EB168DF3-E7E9-4582-9E18-6217A4D688DD}"/>
    <cellStyle name="Normal 6 3 6" xfId="31500" xr:uid="{DD156CEF-7EAB-43B9-BB83-25E20C183EA0}"/>
    <cellStyle name="Normal 6 4" xfId="1282" xr:uid="{00000000-0005-0000-0000-0000CE060000}"/>
    <cellStyle name="Normal 6 4 2" xfId="29577" xr:uid="{257231DA-9F9C-41EE-9D90-E4F717ADD25B}"/>
    <cellStyle name="Normal 6 5" xfId="1283" xr:uid="{00000000-0005-0000-0000-0000CF060000}"/>
    <cellStyle name="Normal 6 5 2" xfId="1284" xr:uid="{00000000-0005-0000-0000-0000D0060000}"/>
    <cellStyle name="Normal 6 5 3" xfId="1285" xr:uid="{00000000-0005-0000-0000-0000D1060000}"/>
    <cellStyle name="Normal 6 5 3 2" xfId="1286" xr:uid="{00000000-0005-0000-0000-0000D2060000}"/>
    <cellStyle name="Normal 6 5 3 2 2" xfId="1287" xr:uid="{00000000-0005-0000-0000-0000D3060000}"/>
    <cellStyle name="Normal 6 5 3 2 3" xfId="1288" xr:uid="{00000000-0005-0000-0000-0000D4060000}"/>
    <cellStyle name="Normal 6 5 3 2 3 2" xfId="1289" xr:uid="{00000000-0005-0000-0000-0000D5060000}"/>
    <cellStyle name="Normal 6 5 3 2 3 2 2" xfId="1290" xr:uid="{00000000-0005-0000-0000-0000D6060000}"/>
    <cellStyle name="Normal 6 5 3 2 3 2 2 2" xfId="23546" xr:uid="{6CE7B02B-D1CE-4710-96B7-8A6DF2DAC870}"/>
    <cellStyle name="Normal 6 5 3 2 3 2 2 3" xfId="23025" xr:uid="{4E9BE13E-A5E0-47E2-AFF3-48DE17D58116}"/>
    <cellStyle name="Normal 6 5 3 2 3 2 3" xfId="1291" xr:uid="{00000000-0005-0000-0000-0000D7060000}"/>
    <cellStyle name="Normal 6 5 3 2 3 2 3 2" xfId="2020" xr:uid="{00000000-0005-0000-0000-0000D8060000}"/>
    <cellStyle name="Normal 6 5 3 2 3 2 3 3" xfId="3753" xr:uid="{00000000-0005-0000-0000-00003A060000}"/>
    <cellStyle name="Normal 6 5 3 2 3 2 3 3 2" xfId="4750" xr:uid="{5673C234-99C3-4A51-9CB0-6C6BF3ACCAF4}"/>
    <cellStyle name="Normal 6 5 3 2 3 2 3 3 3" xfId="30278" xr:uid="{E39C729E-3986-412E-9582-DDBDB6F5B372}"/>
    <cellStyle name="Normal 6 5 3 2 3 2 3 3 3 2" xfId="31421" xr:uid="{3CA02C8E-1377-438F-8ACF-277F8C8DB7A0}"/>
    <cellStyle name="Normal 6 5 3 2 3 2 3 3 4" xfId="31618" xr:uid="{0A1895AA-EE88-42AC-B89A-BCDB4B9319D4}"/>
    <cellStyle name="Normal 6 5 3 2 3 2 4" xfId="22682" xr:uid="{9FD8EF5C-1DF1-4ABC-86B0-BC0A24BC7DB0}"/>
    <cellStyle name="Normal 6 5 3 2 3 3" xfId="1292" xr:uid="{00000000-0005-0000-0000-0000D9060000}"/>
    <cellStyle name="Normal 6 5 3 2 3 4" xfId="2977" xr:uid="{00000000-0005-0000-0000-0000B7070000}"/>
    <cellStyle name="Normal 6 5 3 2 3 4 2" xfId="31277" xr:uid="{AC78F16B-C398-421C-B6DA-60754B2F6068}"/>
    <cellStyle name="Normal 6 5 3 2 3 5" xfId="2136" xr:uid="{00000000-0005-0000-0000-0000D4020000}"/>
    <cellStyle name="Normal 6 5 3 2 3 5 2" xfId="4648" xr:uid="{6EE5CD5D-2630-46DB-98C1-E0A91C088B26}"/>
    <cellStyle name="Normal 6 5 3 2 3 5 3" xfId="30217" xr:uid="{ADF6D548-1F3A-459F-A750-74CD99FDEE9A}"/>
    <cellStyle name="Normal 6 5 3 2 3 5 3 2" xfId="31361" xr:uid="{B71D2F94-18B1-4748-AC7B-9E99EEE3BBE2}"/>
    <cellStyle name="Normal 6 5 3 2 3 5 4" xfId="31557" xr:uid="{F49B284C-4158-45C7-A289-51B9D8DE13A3}"/>
    <cellStyle name="Normal 6 5 3 2 3 6" xfId="4042" xr:uid="{8B315A9F-8391-474D-B4C0-405EE4404F8E}"/>
    <cellStyle name="Normal 6 5 3 2 3 6 2" xfId="4713" xr:uid="{B2D6BDD1-5721-402C-A1EB-DE58BA876C84}"/>
    <cellStyle name="Normal 6 5 3 2 3 6 3" xfId="30334" xr:uid="{BB68FD68-7256-47F7-953D-2BBE26864CDA}"/>
    <cellStyle name="Normal 6 5 3 2 3 6 3 2" xfId="31476" xr:uid="{8C01FEE2-79B9-4A0F-A784-4FD92A5B6B0B}"/>
    <cellStyle name="Normal 6 5 3 2 3 6 4" xfId="31674" xr:uid="{EBE5DAA1-C59B-46EC-A8F2-1CE773456805}"/>
    <cellStyle name="Normal 6 5 3 2 3 7" xfId="30153" xr:uid="{49112585-27FD-43F2-BF44-AC831E47158C}"/>
    <cellStyle name="Normal 6 5 3 2 3 7 2" xfId="30522" xr:uid="{97E9803D-6432-444E-A890-68A0602A16F1}"/>
    <cellStyle name="Normal 6 5 3 2 4" xfId="1293" xr:uid="{00000000-0005-0000-0000-0000DA060000}"/>
    <cellStyle name="Normal 6 5 3 2 4 2" xfId="2976" xr:uid="{00000000-0005-0000-0000-0000B8070000}"/>
    <cellStyle name="Normal 6 5 3 2 4 3" xfId="22772" xr:uid="{CD57B1BC-3F34-42E2-9CEF-B7D110F41FF7}"/>
    <cellStyle name="Normal 6 5 3 2 4 3 2" xfId="29618" xr:uid="{9DAA4DA3-BA88-49B7-AE77-A0A630F355B2}"/>
    <cellStyle name="Normal 6 5 3 2 4 3 3" xfId="29610" xr:uid="{8CF9AABB-3F53-411E-BD53-F0F5DD0A33EC}"/>
    <cellStyle name="Normal 6 5 3 2 4 3 3 2" xfId="29650" xr:uid="{40128613-59DC-4F9E-A541-DEA5B2B014E4}"/>
    <cellStyle name="Normal 6 5 3 2 4 3 3 3" xfId="30392" xr:uid="{3896CCD4-4803-40CF-8441-650569527929}"/>
    <cellStyle name="Normal 6 5 3 2 4 3 3 4" xfId="30379" xr:uid="{CBA19119-5BB4-4E00-A950-1BDA2D9F3805}"/>
    <cellStyle name="Normal 6 5 3 2 4 3 3 4 2" xfId="31718" xr:uid="{8630AAF4-9A72-44FF-B5C2-D15011E2D118}"/>
    <cellStyle name="Normal 6 5 3 2 4 3 4" xfId="30366" xr:uid="{ECE487CF-3F45-4A59-B530-7A43F95E48BF}"/>
    <cellStyle name="Normal 6 5 3 2 4 3 4 2" xfId="31705" xr:uid="{08509A36-70E6-4EBD-A46D-BFCD7652D951}"/>
    <cellStyle name="Normal 6 5 3 2 5" xfId="2135" xr:uid="{00000000-0005-0000-0000-0000D2020000}"/>
    <cellStyle name="Normal 6 5 3 2 5 2" xfId="4684" xr:uid="{985E2EB5-9E1E-43AC-B0AB-0DDE28EC2B5C}"/>
    <cellStyle name="Normal 6 5 3 2 5 3" xfId="30216" xr:uid="{D46CE359-6D20-457D-B96B-F51C055BD562}"/>
    <cellStyle name="Normal 6 5 3 2 5 3 2" xfId="31360" xr:uid="{988CB04C-674F-41D1-A07E-95491E04BE7D}"/>
    <cellStyle name="Normal 6 5 3 2 5 4" xfId="31556" xr:uid="{D1D84B56-D950-4446-AE9F-C32773F7F07D}"/>
    <cellStyle name="Normal 6 5 3 2 6" xfId="4041" xr:uid="{8635F82C-04F7-4EC6-B923-CFC4350C7830}"/>
    <cellStyle name="Normal 6 5 3 2 6 2" xfId="4721" xr:uid="{5D5E7BFF-9D34-4E6B-9329-AD7DE75B6822}"/>
    <cellStyle name="Normal 6 5 3 2 6 3" xfId="30333" xr:uid="{32DCCDDE-5942-4CE1-9E1F-32A881D5BAD7}"/>
    <cellStyle name="Normal 6 5 3 2 6 3 2" xfId="31475" xr:uid="{5FA83714-5914-4708-8333-1CC83A3DDB0D}"/>
    <cellStyle name="Normal 6 5 3 2 6 4" xfId="31673" xr:uid="{E9FE8281-905A-4173-80C7-82183386EABC}"/>
    <cellStyle name="Normal 6 5 3 2 7" xfId="30152" xr:uid="{940D94C0-6359-4490-BCCE-8FEBED747550}"/>
    <cellStyle name="Normal 6 5 3 2 7 2" xfId="30521" xr:uid="{AC08ED16-3FFE-4CEE-BEF0-0022C74CD6F4}"/>
    <cellStyle name="Normal 6 5 3 3" xfId="1294" xr:uid="{00000000-0005-0000-0000-0000DB060000}"/>
    <cellStyle name="Normal 6 5 3 4" xfId="1295" xr:uid="{00000000-0005-0000-0000-0000DC060000}"/>
    <cellStyle name="Normal 6 5 3 4 2" xfId="1296" xr:uid="{00000000-0005-0000-0000-0000DD060000}"/>
    <cellStyle name="Normal 6 5 3 4 2 2" xfId="1297" xr:uid="{00000000-0005-0000-0000-0000DE060000}"/>
    <cellStyle name="Normal 6 5 3 4 2 2 2" xfId="1298" xr:uid="{00000000-0005-0000-0000-0000DF060000}"/>
    <cellStyle name="Normal 6 5 3 4 2 2 2 2" xfId="2021" xr:uid="{00000000-0005-0000-0000-0000E0060000}"/>
    <cellStyle name="Normal 6 5 3 4 2 2 2 2 2" xfId="30071" xr:uid="{CE4D3F89-E104-4E7C-94DC-8DEA8C31FCE9}"/>
    <cellStyle name="Normal 6 5 3 4 2 2 2 3" xfId="3754" xr:uid="{00000000-0005-0000-0000-000041060000}"/>
    <cellStyle name="Normal 6 5 3 4 2 2 2 3 2" xfId="4751" xr:uid="{26BAC224-8031-4231-90D3-310CC68CB6C0}"/>
    <cellStyle name="Normal 6 5 3 4 2 2 2 3 3" xfId="30279" xr:uid="{D5CEC65A-2ADC-4D45-B3B7-ADDDF3F54B9C}"/>
    <cellStyle name="Normal 6 5 3 4 2 2 2 3 3 2" xfId="31422" xr:uid="{F627CE79-B180-42C5-A491-6351F4C67CBE}"/>
    <cellStyle name="Normal 6 5 3 4 2 2 2 3 4" xfId="31619" xr:uid="{BB2108BE-1192-4E13-B6B9-9D2AB265B6C3}"/>
    <cellStyle name="Normal 6 5 3 4 2 2 2 4" xfId="25650" xr:uid="{027883EB-AA0E-41FF-81FB-F1BBC81CE7B2}"/>
    <cellStyle name="Normal 6 5 3 4 2 2 3" xfId="2022" xr:uid="{00000000-0005-0000-0000-0000E1060000}"/>
    <cellStyle name="Normal 6 5 3 4 2 2 4" xfId="23689" xr:uid="{CA3DAEF0-6343-4558-A238-4D98377C6D1B}"/>
    <cellStyle name="Normal 6 5 3 4 2 3" xfId="1299" xr:uid="{00000000-0005-0000-0000-0000E2060000}"/>
    <cellStyle name="Normal 6 5 3 4 2 3 2" xfId="1300" xr:uid="{00000000-0005-0000-0000-0000E3060000}"/>
    <cellStyle name="Normal 6 5 3 4 2 3 2 2" xfId="24930" xr:uid="{E909B7A4-5CBD-4AAC-BDAA-0C01073A2252}"/>
    <cellStyle name="Normal 6 5 3 4 2 3 2 3" xfId="24547" xr:uid="{FAAE128B-02E0-4F7E-969B-D2ECFB9E58C6}"/>
    <cellStyle name="Normal 6 5 3 4 2 3 3" xfId="1301" xr:uid="{00000000-0005-0000-0000-0000E4060000}"/>
    <cellStyle name="Normal 6 5 3 4 2 3 3 2" xfId="23111" xr:uid="{5C06B36C-8B41-47F4-8669-E1A3D37189EF}"/>
    <cellStyle name="Normal 6 5 3 4 2 3 3 3" xfId="24193" xr:uid="{E0A3CB2B-323E-45C9-B368-4BFDAA379657}"/>
    <cellStyle name="Normal 6 5 3 4 2 3 4" xfId="2138" xr:uid="{00000000-0005-0000-0000-0000DA020000}"/>
    <cellStyle name="Normal 6 5 3 4 2 3 4 2" xfId="4792" xr:uid="{654C328A-1FF9-4AC4-BD39-89BAD01AAAF1}"/>
    <cellStyle name="Normal 6 5 3 4 2 3 4 3" xfId="30219" xr:uid="{315EE6F0-4A4B-4614-90D5-5242C6E49BBC}"/>
    <cellStyle name="Normal 6 5 3 4 2 3 4 3 2" xfId="31363" xr:uid="{946949EA-0176-4BCD-B99E-F7D135D21458}"/>
    <cellStyle name="Normal 6 5 3 4 2 3 4 4" xfId="31559" xr:uid="{F5FB7FA9-7FF9-4592-9A76-78A07223589D}"/>
    <cellStyle name="Normal 6 5 3 4 2 3 5" xfId="25819" xr:uid="{146A0A89-FA15-4673-83D1-1BD48BA23B4F}"/>
    <cellStyle name="Normal 6 5 3 4 2 3 6" xfId="30542" xr:uid="{1E4E56E2-FCF3-4C9E-A5C1-C675C3F1A005}"/>
    <cellStyle name="Normal 6 5 3 4 2 4" xfId="24939" xr:uid="{FD27707B-D4A4-422F-BC64-0031AA3E4D05}"/>
    <cellStyle name="Normal 6 5 3 4 3" xfId="1302" xr:uid="{00000000-0005-0000-0000-0000E5060000}"/>
    <cellStyle name="Normal 6 5 3 4 4" xfId="2978" xr:uid="{00000000-0005-0000-0000-0000C0070000}"/>
    <cellStyle name="Normal 6 5 3 4 4 2" xfId="31295" xr:uid="{AB74C274-9F21-4F33-97DC-03C78C47142A}"/>
    <cellStyle name="Normal 6 5 3 4 5" xfId="2137" xr:uid="{00000000-0005-0000-0000-0000D7020000}"/>
    <cellStyle name="Normal 6 5 3 4 5 2" xfId="4668" xr:uid="{D2333BB9-76BA-48B1-B619-1F9C6401FD25}"/>
    <cellStyle name="Normal 6 5 3 4 5 3" xfId="30218" xr:uid="{62554BF8-65F6-4FEE-9102-1517F5320031}"/>
    <cellStyle name="Normal 6 5 3 4 5 3 2" xfId="31362" xr:uid="{8411E2B0-CE72-4FAF-B1B5-E2FDF3AB6116}"/>
    <cellStyle name="Normal 6 5 3 4 5 4" xfId="31558" xr:uid="{613255CF-C246-4231-95AD-15A9EA1A28E1}"/>
    <cellStyle name="Normal 6 5 3 4 6" xfId="4043" xr:uid="{13FADCA8-36DC-469D-8F55-211BB24FA64B}"/>
    <cellStyle name="Normal 6 5 3 4 6 2" xfId="4755" xr:uid="{ABAADEE5-6BDD-4DDF-988F-045E065F16C3}"/>
    <cellStyle name="Normal 6 5 3 4 6 3" xfId="30335" xr:uid="{C370706B-D050-44A6-8DBC-4B79D80786ED}"/>
    <cellStyle name="Normal 6 5 3 4 6 3 2" xfId="31477" xr:uid="{A2072E34-E841-4339-9FD5-C6D6C717F7C6}"/>
    <cellStyle name="Normal 6 5 3 4 6 4" xfId="31675" xr:uid="{A7B8BC6B-0D84-401C-BCE1-1C3CE034DBAA}"/>
    <cellStyle name="Normal 6 5 3 4 7" xfId="30154" xr:uid="{B6B1B1A2-B731-440F-A283-79585C0A73B2}"/>
    <cellStyle name="Normal 6 5 3 4 7 2" xfId="30523" xr:uid="{8E1F6B5E-F917-4E06-A35E-B3F4B762C63D}"/>
    <cellStyle name="Normal 6 5 3 5" xfId="1303" xr:uid="{00000000-0005-0000-0000-0000E6060000}"/>
    <cellStyle name="Normal 6 5 3 5 2" xfId="1304" xr:uid="{00000000-0005-0000-0000-0000E7060000}"/>
    <cellStyle name="Normal 6 5 3 5 3" xfId="3755" xr:uid="{00000000-0005-0000-0000-000048060000}"/>
    <cellStyle name="Normal 6 5 3 5 3 2" xfId="4730" xr:uid="{AA82DB5A-447D-4511-8EB9-24556BA2CB0E}"/>
    <cellStyle name="Normal 6 5 3 5 3 2 2" xfId="27331" xr:uid="{B4F852AE-EC89-4A98-8D9A-9E80570804CD}"/>
    <cellStyle name="Normal 6 5 3 5 3 3" xfId="23853" xr:uid="{67DDA71D-7964-413D-BDC5-5EE7AA0D2113}"/>
    <cellStyle name="Normal 6 5 3 5 3 4" xfId="30280" xr:uid="{0F482ABE-F9DD-4AE1-B958-7F9AACCE1E1C}"/>
    <cellStyle name="Normal 6 5 3 5 3 4 2" xfId="31423" xr:uid="{8090AB6F-2CAE-48D4-BCB0-D8D0AD244004}"/>
    <cellStyle name="Normal 6 5 3 5 3 5" xfId="31620" xr:uid="{F37F9835-CED0-41DF-BE2E-CCAD9E7DE39B}"/>
    <cellStyle name="Normal 6 5 3 5 4" xfId="23274" xr:uid="{58D8A3A5-BF02-4FA5-950C-8BF39731C4DC}"/>
    <cellStyle name="Normal 6 5 4" xfId="1305" xr:uid="{00000000-0005-0000-0000-0000E8060000}"/>
    <cellStyle name="Normal 6 5 4 2" xfId="1306" xr:uid="{00000000-0005-0000-0000-0000E9060000}"/>
    <cellStyle name="Normal 6 5 4 3" xfId="1307" xr:uid="{00000000-0005-0000-0000-0000EA060000}"/>
    <cellStyle name="Normal 6 5 4 3 2" xfId="1308" xr:uid="{00000000-0005-0000-0000-0000EB060000}"/>
    <cellStyle name="Normal 6 5 4 3 2 2" xfId="1309" xr:uid="{00000000-0005-0000-0000-0000EC060000}"/>
    <cellStyle name="Normal 6 5 4 3 2 2 2" xfId="25743" xr:uid="{42C34BA9-5B93-4F83-838A-E71B19AEACFC}"/>
    <cellStyle name="Normal 6 5 4 3 2 2 3" xfId="24338" xr:uid="{1384C54E-DAFE-4C52-84EF-49846655DA71}"/>
    <cellStyle name="Normal 6 5 4 3 2 3" xfId="1310" xr:uid="{00000000-0005-0000-0000-0000ED060000}"/>
    <cellStyle name="Normal 6 5 4 3 2 3 2" xfId="2023" xr:uid="{00000000-0005-0000-0000-0000EE060000}"/>
    <cellStyle name="Normal 6 5 4 3 2 3 3" xfId="3756" xr:uid="{00000000-0005-0000-0000-00004F060000}"/>
    <cellStyle name="Normal 6 5 4 3 2 3 3 2" xfId="4793" xr:uid="{156ECD42-9B10-42E7-81DB-911B21DCE73A}"/>
    <cellStyle name="Normal 6 5 4 3 2 3 3 3" xfId="30281" xr:uid="{44E45A56-0938-496E-848A-9D883B75B8E6}"/>
    <cellStyle name="Normal 6 5 4 3 2 3 3 3 2" xfId="31424" xr:uid="{104720AE-072D-43E6-A876-8E12BB329AC9}"/>
    <cellStyle name="Normal 6 5 4 3 2 3 3 4" xfId="31621" xr:uid="{C63255E8-1A1C-4DD5-BCD8-566984E31045}"/>
    <cellStyle name="Normal 6 5 4 3 2 4" xfId="24664" xr:uid="{C8FD317F-C620-40B3-9E84-C86134062E28}"/>
    <cellStyle name="Normal 6 5 4 3 3" xfId="1311" xr:uid="{00000000-0005-0000-0000-0000EF060000}"/>
    <cellStyle name="Normal 6 5 4 3 4" xfId="2979" xr:uid="{00000000-0005-0000-0000-0000C6070000}"/>
    <cellStyle name="Normal 6 5 4 3 4 2" xfId="31300" xr:uid="{1D63F91C-4880-4AD8-ACE6-3490B3C191AF}"/>
    <cellStyle name="Normal 6 5 4 3 5" xfId="2140" xr:uid="{00000000-0005-0000-0000-0000DE020000}"/>
    <cellStyle name="Normal 6 5 4 3 5 2" xfId="3772" xr:uid="{0DAEABF9-E059-45BB-9EA3-DB8CCF44184B}"/>
    <cellStyle name="Normal 6 5 4 3 5 3" xfId="30221" xr:uid="{45838C83-4A43-4932-BDCE-C8F337A6FF93}"/>
    <cellStyle name="Normal 6 5 4 3 5 3 2" xfId="31365" xr:uid="{1681B1FF-BD73-48EA-B617-B273CD937AF6}"/>
    <cellStyle name="Normal 6 5 4 3 5 4" xfId="31561" xr:uid="{D408C2DC-B73E-44AF-B237-D74B8744DB20}"/>
    <cellStyle name="Normal 6 5 4 3 6" xfId="4045" xr:uid="{3B6C1D61-E8B0-4D32-BD74-479DABBA050E}"/>
    <cellStyle name="Normal 6 5 4 3 6 2" xfId="4743" xr:uid="{AB0FA666-59CA-452D-8185-BFDD339259A5}"/>
    <cellStyle name="Normal 6 5 4 3 6 3" xfId="30337" xr:uid="{A0F6DACF-5765-4B5B-B0D5-474B058864BF}"/>
    <cellStyle name="Normal 6 5 4 3 6 3 2" xfId="31479" xr:uid="{399043F7-6F4A-4A3E-9634-085F7EF1332F}"/>
    <cellStyle name="Normal 6 5 4 3 6 4" xfId="31677" xr:uid="{0C618089-00EB-4E10-B4F7-F237E3E30D1F}"/>
    <cellStyle name="Normal 6 5 4 3 7" xfId="30156" xr:uid="{E689BF94-8089-4EDB-8A90-EC9DD05FAEB6}"/>
    <cellStyle name="Normal 6 5 4 3 7 2" xfId="30525" xr:uid="{EFBA4820-C840-4148-BF88-6BDF2F0347D9}"/>
    <cellStyle name="Normal 6 5 4 4" xfId="1312" xr:uid="{00000000-0005-0000-0000-0000F0060000}"/>
    <cellStyle name="Normal 6 5 4 4 2" xfId="2024" xr:uid="{00000000-0005-0000-0000-0000F1060000}"/>
    <cellStyle name="Normal 6 5 4 4 3" xfId="3757" xr:uid="{00000000-0005-0000-0000-000052060000}"/>
    <cellStyle name="Normal 6 5 4 4 3 2" xfId="4803" xr:uid="{7A47A254-C6AA-423D-9FA2-08282F4CE5E0}"/>
    <cellStyle name="Normal 6 5 4 4 3 3" xfId="30282" xr:uid="{0B00FD0E-6729-4916-9762-F885F79C9AA2}"/>
    <cellStyle name="Normal 6 5 4 4 3 3 2" xfId="31425" xr:uid="{06166BF6-49AB-4FD9-B6C9-466EFABFB73C}"/>
    <cellStyle name="Normal 6 5 4 4 3 4" xfId="31622" xr:uid="{F51A84E7-859C-4016-A24B-CC6BB58A5781}"/>
    <cellStyle name="Normal 6 5 4 5" xfId="2139" xr:uid="{00000000-0005-0000-0000-0000DC020000}"/>
    <cellStyle name="Normal 6 5 4 5 2" xfId="4628" xr:uid="{F656D414-B9FB-4E57-A874-02EABF4164A9}"/>
    <cellStyle name="Normal 6 5 4 5 3" xfId="30220" xr:uid="{CC65D777-7FA0-471D-A07E-954A4411B4C7}"/>
    <cellStyle name="Normal 6 5 4 5 3 2" xfId="31364" xr:uid="{73E9ABE8-24A6-412C-9014-B32C406F5254}"/>
    <cellStyle name="Normal 6 5 4 5 4" xfId="31560" xr:uid="{6EB7D5EF-0E62-4B3E-BC7A-4EBD9D7356D9}"/>
    <cellStyle name="Normal 6 5 4 6" xfId="4044" xr:uid="{275714B7-5104-4FAB-9E0E-B1CADB04BD20}"/>
    <cellStyle name="Normal 6 5 4 6 2" xfId="4758" xr:uid="{66B4AC42-B19A-46C7-BB60-AA3BF5A56B35}"/>
    <cellStyle name="Normal 6 5 4 6 3" xfId="30336" xr:uid="{0B89003E-3F94-4F85-8781-8734CDF2F216}"/>
    <cellStyle name="Normal 6 5 4 6 3 2" xfId="31478" xr:uid="{28AE4F89-814E-43D6-B004-239043802B5A}"/>
    <cellStyle name="Normal 6 5 4 6 4" xfId="31676" xr:uid="{C9E8D383-49F9-4B00-9D73-DB9D2C0D47B7}"/>
    <cellStyle name="Normal 6 5 4 7" xfId="30155" xr:uid="{2552D7E3-E9B3-4241-AB50-FAF890DD8E42}"/>
    <cellStyle name="Normal 6 5 4 7 2" xfId="30524" xr:uid="{4C0D5AE6-EFC9-4BFA-B323-123CB782B2A7}"/>
    <cellStyle name="Normal 6 5 5" xfId="2071" xr:uid="{00000000-0005-0000-0000-0000CF020000}"/>
    <cellStyle name="Normal 6 5 5 2" xfId="4762" xr:uid="{58B42343-3889-4193-AB92-064DC779A64F}"/>
    <cellStyle name="Normal 6 5 5 3" xfId="30171" xr:uid="{1B9038EE-4F4C-4744-8861-25102551DC54}"/>
    <cellStyle name="Normal 6 5 5 3 2" xfId="30526" xr:uid="{438B0090-C4E0-4040-B6B8-2ED195399BE5}"/>
    <cellStyle name="Normal 6 5 5 4" xfId="31511" xr:uid="{22A88986-2C4B-4B97-B1CE-8329EB5EAAF9}"/>
    <cellStyle name="Normal 6 5 6" xfId="30115" xr:uid="{8D7A58C9-2680-41F9-B10A-5FB6EB00FD95}"/>
    <cellStyle name="Normal 6 5 6 2" xfId="30476" xr:uid="{6AC3E222-93E2-4ED5-A04F-8AD2183A95F8}"/>
    <cellStyle name="Normal 6 6" xfId="1313" xr:uid="{00000000-0005-0000-0000-0000F2060000}"/>
    <cellStyle name="Normal 6 6 10" xfId="30157" xr:uid="{52A1F13F-0078-432B-BBAA-5F6768E9F38E}"/>
    <cellStyle name="Normal 6 6 10 2" xfId="31504" xr:uid="{05AC218F-FBCD-4605-9DE7-01587C8CA6CF}"/>
    <cellStyle name="Normal 6 6 2" xfId="1314" xr:uid="{00000000-0005-0000-0000-0000F3060000}"/>
    <cellStyle name="Normal 6 6 3" xfId="1315" xr:uid="{00000000-0005-0000-0000-0000F4060000}"/>
    <cellStyle name="Normal 6 6 3 2" xfId="1316" xr:uid="{00000000-0005-0000-0000-0000F5060000}"/>
    <cellStyle name="Normal 6 6 3 3" xfId="1317" xr:uid="{00000000-0005-0000-0000-0000F6060000}"/>
    <cellStyle name="Normal 6 6 3 3 2" xfId="1318" xr:uid="{00000000-0005-0000-0000-0000F7060000}"/>
    <cellStyle name="Normal 6 6 3 3 2 2" xfId="24450" xr:uid="{FF7B7CA6-5BAD-4B3B-BFA9-B67F9521BFD9}"/>
    <cellStyle name="Normal 6 6 3 3 2 3" xfId="23762" xr:uid="{C401F704-A611-42D7-8DE8-0593ABE99CAF}"/>
    <cellStyle name="Normal 6 6 3 3 3" xfId="1319" xr:uid="{00000000-0005-0000-0000-0000F8060000}"/>
    <cellStyle name="Normal 6 6 3 3 4" xfId="2142" xr:uid="{00000000-0005-0000-0000-0000E4020000}"/>
    <cellStyle name="Normal 6 6 3 3 4 2" xfId="4747" xr:uid="{DCE992B0-96C0-4517-B80E-99DBA26EC200}"/>
    <cellStyle name="Normal 6 6 3 3 4 3" xfId="25601" xr:uid="{C235D33F-C474-40C8-AD55-EC553E1D42A9}"/>
    <cellStyle name="Normal 6 6 3 3 4 4" xfId="30223" xr:uid="{1E0F7A3C-2BD1-4F71-A059-2E52E4FFE1B1}"/>
    <cellStyle name="Normal 6 6 3 3 4 4 2" xfId="31367" xr:uid="{0CD2B232-A623-46D5-BE56-9B0330ABDEE6}"/>
    <cellStyle name="Normal 6 6 3 3 4 5" xfId="31563" xr:uid="{644EB2C4-45E6-4172-BD45-78B17057F6A4}"/>
    <cellStyle name="Normal 6 6 3 3 5" xfId="30463" xr:uid="{904D57A7-5920-484C-BF65-E06F982671D6}"/>
    <cellStyle name="Normal 6 6 3 3 6" xfId="30543" xr:uid="{45581F97-261A-4B5F-B6BF-52BB811941F9}"/>
    <cellStyle name="Normal 6 6 3 4" xfId="1320" xr:uid="{00000000-0005-0000-0000-0000F9060000}"/>
    <cellStyle name="Normal 6 6 3 4 2" xfId="1321" xr:uid="{00000000-0005-0000-0000-0000FA060000}"/>
    <cellStyle name="Normal 6 6 3 4 3" xfId="3758" xr:uid="{00000000-0005-0000-0000-00005A060000}"/>
    <cellStyle name="Normal 6 6 3 4 3 2" xfId="4741" xr:uid="{CCE72AF1-1693-42F5-A9FF-B4A64FA2FDC4}"/>
    <cellStyle name="Normal 6 6 3 4 3 3" xfId="30283" xr:uid="{43EAA275-4ABE-462B-9447-B627D0C084F1}"/>
    <cellStyle name="Normal 6 6 3 4 3 3 2" xfId="31426" xr:uid="{93AAD6B1-80BF-4EEF-8D5D-CD727227AB72}"/>
    <cellStyle name="Normal 6 6 3 4 3 4" xfId="31623" xr:uid="{DD574392-F768-47A5-8B02-6EED73AC3250}"/>
    <cellStyle name="Normal 6 6 4" xfId="1322" xr:uid="{00000000-0005-0000-0000-0000FB060000}"/>
    <cellStyle name="Normal 6 6 4 2" xfId="1323" xr:uid="{00000000-0005-0000-0000-0000FC060000}"/>
    <cellStyle name="Normal 6 6 4 2 2" xfId="1324" xr:uid="{00000000-0005-0000-0000-0000FD060000}"/>
    <cellStyle name="Normal 6 6 4 2 2 2" xfId="24414" xr:uid="{7F9A15D0-EF01-4699-9491-9EC3553B5AF8}"/>
    <cellStyle name="Normal 6 6 4 2 2 3" xfId="25241" xr:uid="{0B833901-0D74-483C-8682-00DEB559717D}"/>
    <cellStyle name="Normal 6 6 4 2 3" xfId="1325" xr:uid="{00000000-0005-0000-0000-0000FE060000}"/>
    <cellStyle name="Normal 6 6 4 2 3 2" xfId="2025" xr:uid="{00000000-0005-0000-0000-0000FF060000}"/>
    <cellStyle name="Normal 6 6 4 2 3 3" xfId="3759" xr:uid="{00000000-0005-0000-0000-00005F060000}"/>
    <cellStyle name="Normal 6 6 4 2 3 3 2" xfId="4810" xr:uid="{D4480518-64CC-4BAE-AD63-DB0C87A603E7}"/>
    <cellStyle name="Normal 6 6 4 2 3 3 3" xfId="30284" xr:uid="{A757C1CC-289F-47DA-B927-DF3F89752397}"/>
    <cellStyle name="Normal 6 6 4 2 3 3 3 2" xfId="31427" xr:uid="{E50733EF-7DA7-4CC6-8EE1-0A08A8F17A48}"/>
    <cellStyle name="Normal 6 6 4 2 3 3 4" xfId="31624" xr:uid="{116C31C3-ADCC-4EDA-827C-4B657CD536F0}"/>
    <cellStyle name="Normal 6 6 4 2 4" xfId="24612" xr:uid="{0E019910-37DE-43E1-BDD5-941731A48A83}"/>
    <cellStyle name="Normal 6 6 4 3" xfId="1326" xr:uid="{00000000-0005-0000-0000-000000070000}"/>
    <cellStyle name="Normal 6 6 4 4" xfId="2980" xr:uid="{00000000-0005-0000-0000-0000D1070000}"/>
    <cellStyle name="Normal 6 6 4 4 2" xfId="31286" xr:uid="{19635C23-0322-4BD8-97B1-5DC1FA748C5B}"/>
    <cellStyle name="Normal 6 6 4 5" xfId="2143" xr:uid="{00000000-0005-0000-0000-0000E6020000}"/>
    <cellStyle name="Normal 6 6 4 5 2" xfId="4636" xr:uid="{BD1045AF-7E49-48EA-AF41-B1E7071CB221}"/>
    <cellStyle name="Normal 6 6 4 5 3" xfId="30224" xr:uid="{6D024BB1-BCE9-45B1-B4E9-3324C92FA7CE}"/>
    <cellStyle name="Normal 6 6 4 5 3 2" xfId="31368" xr:uid="{A3F6340C-D451-475A-A982-207B891A2261}"/>
    <cellStyle name="Normal 6 6 4 5 4" xfId="31564" xr:uid="{E815B1D5-FDA4-48C8-A684-C03B7EE3E407}"/>
    <cellStyle name="Normal 6 6 4 6" xfId="4047" xr:uid="{7E3C1600-D01B-4C17-A3C8-5A48EC2345CF}"/>
    <cellStyle name="Normal 6 6 4 6 2" xfId="4715" xr:uid="{68449821-113B-44E2-90F0-E71E4937E5CF}"/>
    <cellStyle name="Normal 6 6 4 6 3" xfId="30339" xr:uid="{4FEA25DB-3C81-4F82-B8DE-5FCA09BE2E0B}"/>
    <cellStyle name="Normal 6 6 4 6 3 2" xfId="31481" xr:uid="{1305EA02-9F5C-4ACE-9E7C-1E5681505D17}"/>
    <cellStyle name="Normal 6 6 4 6 4" xfId="31679" xr:uid="{6C3874CC-609C-48F8-B7E4-A3BC65EC6DA6}"/>
    <cellStyle name="Normal 6 6 4 7" xfId="30158" xr:uid="{5E7B4808-922D-4165-8936-0598A0A6DAFF}"/>
    <cellStyle name="Normal 6 6 4 7 2" xfId="30527" xr:uid="{D1390093-1061-4654-B29D-280509906CE5}"/>
    <cellStyle name="Normal 6 6 5" xfId="1327" xr:uid="{00000000-0005-0000-0000-000001070000}"/>
    <cellStyle name="Normal 6 6 6" xfId="1328" xr:uid="{00000000-0005-0000-0000-000002070000}"/>
    <cellStyle name="Normal 6 6 6 2" xfId="1329" xr:uid="{00000000-0005-0000-0000-000003070000}"/>
    <cellStyle name="Normal 6 6 6 3" xfId="1330" xr:uid="{00000000-0005-0000-0000-000004070000}"/>
    <cellStyle name="Normal 6 6 6 3 2" xfId="4627" xr:uid="{E7DC806F-0CF2-49E3-9BF1-8EFF6AC3C9C6}"/>
    <cellStyle name="Normal 6 6 6 3 2 2" xfId="4786" xr:uid="{7B28557E-58D5-4C46-AD75-D9193304C79B}"/>
    <cellStyle name="Normal 6 6 6 3 2 3" xfId="30350" xr:uid="{3218E97D-CD8C-4646-865A-D9FE354D3366}"/>
    <cellStyle name="Normal 6 6 6 3 2 3 2" xfId="31490" xr:uid="{3CAE3964-BC01-4657-A282-A605E568255D}"/>
    <cellStyle name="Normal 6 6 6 3 2 4" xfId="31690" xr:uid="{678B2E18-3999-4540-B1B8-C66D5ECF9D30}"/>
    <cellStyle name="Normal 6 6 6 3 3" xfId="25364" xr:uid="{25F2D5BA-2D6F-4E91-8FBB-4B9D252657D9}"/>
    <cellStyle name="Normal 6 6 6 4" xfId="2153" xr:uid="{00000000-0005-0000-0000-0000E9020000}"/>
    <cellStyle name="Normal 6 6 6 4 2" xfId="4691" xr:uid="{114F1330-7415-461B-B792-61BE07D55AC7}"/>
    <cellStyle name="Normal 6 6 6 4 3" xfId="30234" xr:uid="{F58AE918-38CD-4E0E-A2D9-09149BED6B00}"/>
    <cellStyle name="Normal 6 6 6 4 3 2" xfId="31378" xr:uid="{4B856CE8-FBE5-40B9-9BC7-A62E57FFCD5D}"/>
    <cellStyle name="Normal 6 6 6 4 4" xfId="31574" xr:uid="{4C1B4E78-3692-4AD9-812B-F104F8C9273E}"/>
    <cellStyle name="Normal 6 6 6 5" xfId="4096" xr:uid="{E42903F7-CF43-4BB8-AC03-F1EB46C1FC19}"/>
    <cellStyle name="Normal 6 6 6 5 2" xfId="4767" xr:uid="{2CC1BF88-5B5D-4701-8916-7B15CC9D2D01}"/>
    <cellStyle name="Normal 6 6 6 5 3" xfId="30348" xr:uid="{98CCC825-4A1A-42E6-B1AA-0E2C69D86523}"/>
    <cellStyle name="Normal 6 6 6 5 3 2" xfId="30469" xr:uid="{4FBD431D-8DEA-4803-A24A-7EA12E3C3A28}"/>
    <cellStyle name="Normal 6 6 6 5 4" xfId="31688" xr:uid="{C49B3C7B-D919-4712-AAA7-9D97D397881B}"/>
    <cellStyle name="Normal 6 6 6 6" xfId="25714" xr:uid="{CE44424C-FDE2-4274-9AAC-2B2782EEB566}"/>
    <cellStyle name="Normal 6 6 6 6 2" xfId="26403" xr:uid="{DEBDC983-AB32-4C69-A2AF-B29A4C97979C}"/>
    <cellStyle name="Normal 6 6 6 6 3" xfId="31163" xr:uid="{BD47C53A-D048-4DE0-B9CB-CDDE1C18DABC}"/>
    <cellStyle name="Normal 6 6 7" xfId="1331" xr:uid="{00000000-0005-0000-0000-000005070000}"/>
    <cellStyle name="Normal 6 6 7 2" xfId="1332" xr:uid="{00000000-0005-0000-0000-000006070000}"/>
    <cellStyle name="Normal 6 6 7 3" xfId="3760" xr:uid="{00000000-0005-0000-0000-000066060000}"/>
    <cellStyle name="Normal 6 6 7 3 2" xfId="4798" xr:uid="{7A2B7AA4-4D8E-47BA-B48E-48FE92EFB13B}"/>
    <cellStyle name="Normal 6 6 7 3 3" xfId="30285" xr:uid="{2C0FF210-3F32-4667-BC76-A197BDA7207F}"/>
    <cellStyle name="Normal 6 6 7 3 3 2" xfId="31428" xr:uid="{AD38E9A4-55DA-497D-9BB3-C9C7088878B7}"/>
    <cellStyle name="Normal 6 6 7 3 4" xfId="31625" xr:uid="{42646DD9-025F-4705-9E62-4F3B5975772E}"/>
    <cellStyle name="Normal 6 6 8" xfId="2141" xr:uid="{00000000-0005-0000-0000-0000E0020000}"/>
    <cellStyle name="Normal 6 6 8 2" xfId="4774" xr:uid="{C961BEA7-4CED-4BA6-BDFD-A714A0F418E5}"/>
    <cellStyle name="Normal 6 6 8 3" xfId="30222" xr:uid="{37158C93-C128-47BC-9E38-D6AD1178AECA}"/>
    <cellStyle name="Normal 6 6 8 3 2" xfId="31366" xr:uid="{872114F9-D194-46EE-A5D9-EE1B0BAD18D4}"/>
    <cellStyle name="Normal 6 6 8 4" xfId="31562" xr:uid="{3F39477A-ED45-441A-A75D-B419A820AC75}"/>
    <cellStyle name="Normal 6 6 9" xfId="4046" xr:uid="{A50BAD3F-B140-4A20-83B4-791B93C5BDD0}"/>
    <cellStyle name="Normal 6 6 9 2" xfId="4823" xr:uid="{7CDE7D59-F383-4AF9-8CAA-D8B18AFC360A}"/>
    <cellStyle name="Normal 6 6 9 3" xfId="30338" xr:uid="{3A6A9E50-0BA5-4941-9213-B78E13DA814B}"/>
    <cellStyle name="Normal 6 6 9 3 2" xfId="31480" xr:uid="{6013DB08-71B5-4C90-970E-D19F82C70232}"/>
    <cellStyle name="Normal 6 6 9 4" xfId="31678" xr:uid="{53DDC73E-BA27-4E23-88D4-7A4DBD3D816F}"/>
    <cellStyle name="Normal 6 7" xfId="29575" xr:uid="{949E648E-1627-4304-B1D4-9DF911CA9729}"/>
    <cellStyle name="Normal 6 7 2" xfId="29632" xr:uid="{0E90CD01-BDD5-4813-BF65-92255AD7581D}"/>
    <cellStyle name="Normal 6 7 2 2" xfId="31251" xr:uid="{93E5B342-B8B5-4605-BBB7-D65BB0DA361E}"/>
    <cellStyle name="Normal 6 7 2 3" xfId="30419" xr:uid="{12179D78-6B54-4E06-83B0-9939D6079D0B}"/>
    <cellStyle name="Normal 6 7 3" xfId="29611" xr:uid="{7AF28517-C91E-49FA-99C2-5F623D4C0532}"/>
    <cellStyle name="Normal 6 7 3 2" xfId="29651" xr:uid="{53DFD4C6-C645-4A38-ACB5-6A77D465B439}"/>
    <cellStyle name="Normal 6 7 3 3" xfId="30393" xr:uid="{A5E5D95B-DDD1-4A2C-BD44-CABFE47ABDB3}"/>
    <cellStyle name="Normal 6 7 3 4" xfId="30380" xr:uid="{5155BC23-F086-4F1A-906F-131E56510975}"/>
    <cellStyle name="Normal 6 7 3 4 2" xfId="31719" xr:uid="{2BC8B870-CC42-4F6F-B727-0ADF1FB26729}"/>
    <cellStyle name="Normal 6 7 4" xfId="29640" xr:uid="{BF5B92AD-058E-4424-9669-B083BD07B8A2}"/>
    <cellStyle name="Normal 6 7 5" xfId="30367" xr:uid="{F68FEA24-123A-403F-96BE-EBB35A98CD3A}"/>
    <cellStyle name="Normal 6 7 5 2" xfId="31245" xr:uid="{E6CAD0FF-2279-4F48-A47B-5AABE6331490}"/>
    <cellStyle name="Normal 6 7 5 3" xfId="31706" xr:uid="{5A1A3DA2-D180-456E-AB85-E966B8A9EF63}"/>
    <cellStyle name="Normal 6 8" xfId="31497" xr:uid="{87BFBF72-39C8-449B-BCD7-58E40C532503}"/>
    <cellStyle name="Normal 7" xfId="1333" xr:uid="{00000000-0005-0000-0000-000007070000}"/>
    <cellStyle name="Normal 7 10" xfId="1334" xr:uid="{00000000-0005-0000-0000-000008070000}"/>
    <cellStyle name="Normal 7 10 10" xfId="9967" xr:uid="{359EDB8F-CE3F-4AAB-BA56-64B93A8BE2F6}"/>
    <cellStyle name="Normal 7 10 10 2" xfId="20347" xr:uid="{A0EBA2BB-938B-403C-AE99-D606E1476D6E}"/>
    <cellStyle name="Normal 7 10 11" xfId="24757" xr:uid="{DCAAA4C2-9861-49AD-92EC-882F2EE993BF}"/>
    <cellStyle name="Normal 7 10 12" xfId="12622" xr:uid="{9C120931-6A9C-4D9E-867D-D45C3FFA9BE0}"/>
    <cellStyle name="Normal 7 10 2" xfId="1335" xr:uid="{00000000-0005-0000-0000-000009070000}"/>
    <cellStyle name="Normal 7 10 2 2" xfId="1336" xr:uid="{00000000-0005-0000-0000-00000A070000}"/>
    <cellStyle name="Normal 7 10 2 2 2" xfId="5386" xr:uid="{A4B9A53A-3A43-4F3E-97AF-AF5E34941C4F}"/>
    <cellStyle name="Normal 7 10 2 2 2 2" xfId="23998" xr:uid="{5EF00CC8-C1B7-452B-B020-E7942E28CFBA}"/>
    <cellStyle name="Normal 7 10 2 2 2 3" xfId="26136" xr:uid="{DA00C987-569E-4341-827D-79B457BCFD94}"/>
    <cellStyle name="Normal 7 10 2 2 2 4" xfId="14683" xr:uid="{AF8FDFBD-6E65-4DA8-8B0E-B3F6654E15C5}"/>
    <cellStyle name="Normal 7 10 2 2 3" xfId="7136" xr:uid="{1F695DB0-07BF-463B-8722-C8FD9DE9EB6F}"/>
    <cellStyle name="Normal 7 10 2 2 3 2" xfId="27651" xr:uid="{8920B3EA-FA12-4A67-8439-E48C80F70C78}"/>
    <cellStyle name="Normal 7 10 2 2 3 3" xfId="26464" xr:uid="{E77B95E4-620B-4F7D-AC90-1902E601BB1F}"/>
    <cellStyle name="Normal 7 10 2 2 3 4" xfId="17516" xr:uid="{F420B961-5D2F-4632-BE6A-9C566417EBFD}"/>
    <cellStyle name="Normal 7 10 2 2 4" xfId="9969" xr:uid="{5F7FA390-95AA-49B3-AFEE-72F4C6921564}"/>
    <cellStyle name="Normal 7 10 2 2 4 2" xfId="29444" xr:uid="{9F168CC0-FBA2-4457-95B5-94D8723EC7E6}"/>
    <cellStyle name="Normal 7 10 2 2 4 3" xfId="20349" xr:uid="{20AEA8B9-C71C-492C-B138-253E81DD2236}"/>
    <cellStyle name="Normal 7 10 2 2 5" xfId="23413" xr:uid="{8A0A8ABF-D98B-4B79-A80A-A3B39774D71E}"/>
    <cellStyle name="Normal 7 10 2 2 6" xfId="13993" xr:uid="{6D8B82FA-0E6C-4705-9C7C-2244EF70DF8B}"/>
    <cellStyle name="Normal 7 10 2 3" xfId="2815" xr:uid="{00000000-0005-0000-0000-0000DA070000}"/>
    <cellStyle name="Normal 7 10 2 3 2" xfId="6031" xr:uid="{E04C8CEC-3F9D-4245-AA24-EF8271A18E37}"/>
    <cellStyle name="Normal 7 10 2 3 2 2" xfId="27611" xr:uid="{47AA8E0E-5398-489F-9C7E-069702AF5635}"/>
    <cellStyle name="Normal 7 10 2 3 2 3" xfId="15485" xr:uid="{7ED1D0C9-1B01-46B9-9DAD-C57BBC4FCD35}"/>
    <cellStyle name="Normal 7 10 2 3 3" xfId="7938" xr:uid="{1FEF77F3-0BD1-4C29-8FBA-6684FC4B16E9}"/>
    <cellStyle name="Normal 7 10 2 3 3 2" xfId="18318" xr:uid="{55CD75F5-A303-475B-ADFC-8BC97820FAA9}"/>
    <cellStyle name="Normal 7 10 2 3 4" xfId="10771" xr:uid="{AF006C00-1996-4209-87E4-9E26DBCAE9E4}"/>
    <cellStyle name="Normal 7 10 2 3 4 2" xfId="21151" xr:uid="{A4287C7A-E3EA-47F2-9467-86089E66D99F}"/>
    <cellStyle name="Normal 7 10 2 3 5" xfId="25408" xr:uid="{F96F5F49-5B26-4FCC-A7A2-514258545DFA}"/>
    <cellStyle name="Normal 7 10 2 3 6" xfId="13284" xr:uid="{A7A63833-42D2-46E1-964C-4D829DD7806C}"/>
    <cellStyle name="Normal 7 10 2 4" xfId="4210" xr:uid="{0F502A3E-63E3-4E2E-8374-0554430612A7}"/>
    <cellStyle name="Normal 7 10 2 4 2" xfId="8982" xr:uid="{AB6A1B5F-780F-4A02-8EBF-59D98E232FA1}"/>
    <cellStyle name="Normal 7 10 2 4 2 2" xfId="29063" xr:uid="{BE39E1FE-354A-41F3-A150-7076FFA64329}"/>
    <cellStyle name="Normal 7 10 2 4 2 3" xfId="19362" xr:uid="{76DF4956-5777-4EED-9D8B-AF88C6B58339}"/>
    <cellStyle name="Normal 7 10 2 4 3" xfId="11815" xr:uid="{11388FA3-A7FB-4627-B1A8-85D14666261B}"/>
    <cellStyle name="Normal 7 10 2 4 3 2" xfId="22195" xr:uid="{18DDC2C6-0556-401C-AEC8-9E605AC46C13}"/>
    <cellStyle name="Normal 7 10 2 4 4" xfId="24512" xr:uid="{1D9F726A-6BCE-4942-A09A-7B22BDAD81ED}"/>
    <cellStyle name="Normal 7 10 2 4 5" xfId="16529" xr:uid="{76A4361B-AE12-42E6-9D40-C4A92532D484}"/>
    <cellStyle name="Normal 7 10 2 5" xfId="5385" xr:uid="{E5553ABE-3B56-49CC-AFEC-C7BD663E3D93}"/>
    <cellStyle name="Normal 7 10 2 5 2" xfId="27741" xr:uid="{6FB7CD1E-BB98-47A7-866A-C32DB96261CF}"/>
    <cellStyle name="Normal 7 10 2 5 3" xfId="14682" xr:uid="{BFF043C1-DCF2-4466-9280-99DB4D43F2AE}"/>
    <cellStyle name="Normal 7 10 2 6" xfId="7135" xr:uid="{6361ED63-A707-4DFE-9CD2-D4B3AAB26F1C}"/>
    <cellStyle name="Normal 7 10 2 6 2" xfId="17515" xr:uid="{3F86AD79-75C2-4043-9D87-7D65193261D4}"/>
    <cellStyle name="Normal 7 10 2 7" xfId="9968" xr:uid="{E54C6F80-500C-4B60-A673-1AE452898B48}"/>
    <cellStyle name="Normal 7 10 2 7 2" xfId="20348" xr:uid="{51356147-A5F8-47C0-A2EC-BB586B96B995}"/>
    <cellStyle name="Normal 7 10 2 8" xfId="23328" xr:uid="{04908B98-1AF4-44E0-98BC-2FDD3A60EB33}"/>
    <cellStyle name="Normal 7 10 2 9" xfId="12780" xr:uid="{D1BE6283-3FDA-49AA-8341-13787A20BF3F}"/>
    <cellStyle name="Normal 7 10 3" xfId="1337" xr:uid="{00000000-0005-0000-0000-00000B070000}"/>
    <cellStyle name="Normal 7 10 3 2" xfId="4569" xr:uid="{11FCBC09-A35D-4151-A26B-9C6373D21978}"/>
    <cellStyle name="Normal 7 10 3 2 2" xfId="9341" xr:uid="{D9CF7BA1-92E5-4591-9602-33ECCA660599}"/>
    <cellStyle name="Normal 7 10 3 2 2 2" xfId="29315" xr:uid="{9145F611-582B-4B1F-BCE6-D7A1BCD64F24}"/>
    <cellStyle name="Normal 7 10 3 2 2 3" xfId="19721" xr:uid="{BE77D7EB-6259-4ACB-8F57-D12C7AB8F4A3}"/>
    <cellStyle name="Normal 7 10 3 2 3" xfId="12174" xr:uid="{A8FF997D-3A24-4D21-91AF-B7051C583D89}"/>
    <cellStyle name="Normal 7 10 3 2 3 2" xfId="22554" xr:uid="{3C37EBCB-BCA8-4433-9BA6-1FFA34A34C78}"/>
    <cellStyle name="Normal 7 10 3 2 4" xfId="24776" xr:uid="{DA082615-1FF6-43D0-849D-F4B31354C96A}"/>
    <cellStyle name="Normal 7 10 3 2 5" xfId="16888" xr:uid="{B9FDA2A6-F21D-4474-8FE5-A5A79B469669}"/>
    <cellStyle name="Normal 7 10 3 3" xfId="5387" xr:uid="{6608DE53-BD66-4FE6-A7ED-DEEE29BF5B7A}"/>
    <cellStyle name="Normal 7 10 3 3 2" xfId="23458" xr:uid="{AD02EF29-A0BC-4C69-9C51-E0CCE8F7985D}"/>
    <cellStyle name="Normal 7 10 3 3 3" xfId="28177" xr:uid="{5786EC6E-BC84-46CD-9DCF-C5BF731604E8}"/>
    <cellStyle name="Normal 7 10 3 3 4" xfId="14684" xr:uid="{DC83B160-367D-4B98-BCE1-0DC66EBC19B5}"/>
    <cellStyle name="Normal 7 10 3 4" xfId="7137" xr:uid="{37226F6C-8048-4F92-BE47-4D8E2236DF60}"/>
    <cellStyle name="Normal 7 10 3 4 2" xfId="23395" xr:uid="{41637022-843A-442E-8875-D6C6DF8B744A}"/>
    <cellStyle name="Normal 7 10 3 4 3" xfId="26428" xr:uid="{25EC9742-984F-4EBF-B238-BFA9D1E97032}"/>
    <cellStyle name="Normal 7 10 3 4 4" xfId="17517" xr:uid="{190C4A24-CB20-40C2-93A7-61356E2833BD}"/>
    <cellStyle name="Normal 7 10 3 5" xfId="9970" xr:uid="{4210E821-E696-44AC-A9C0-8619178DC8C7}"/>
    <cellStyle name="Normal 7 10 3 5 2" xfId="29445" xr:uid="{80A92848-3D34-423A-8117-F7F695E07DDF}"/>
    <cellStyle name="Normal 7 10 3 5 3" xfId="20350" xr:uid="{40C46509-62EF-4080-9C0C-473775E255EA}"/>
    <cellStyle name="Normal 7 10 3 6" xfId="24567" xr:uid="{2CAF589F-8D02-41D7-B31B-B14902BAD6B1}"/>
    <cellStyle name="Normal 7 10 3 7" xfId="13994" xr:uid="{4BA0991D-B842-41FD-A4E6-6706B5AC3923}"/>
    <cellStyle name="Normal 7 10 4" xfId="1338" xr:uid="{00000000-0005-0000-0000-00000C070000}"/>
    <cellStyle name="Normal 7 10 4 2" xfId="5388" xr:uid="{7F2299F0-9DB4-4D9A-9001-239F73A775C7}"/>
    <cellStyle name="Normal 7 10 4 2 2" xfId="25556" xr:uid="{E5CEE4C4-4715-4AF9-9AA9-3AB12C7D7BF8}"/>
    <cellStyle name="Normal 7 10 4 2 3" xfId="26719" xr:uid="{0518671A-3004-4D51-92EB-14748FE8D4D0}"/>
    <cellStyle name="Normal 7 10 4 2 4" xfId="14685" xr:uid="{55D487BB-2CE0-4823-9C2E-173D990CFA5F}"/>
    <cellStyle name="Normal 7 10 4 3" xfId="7138" xr:uid="{C8001552-B498-40A9-A99C-CEE758884F72}"/>
    <cellStyle name="Normal 7 10 4 3 2" xfId="28479" xr:uid="{E5EEF2C8-A902-4BCF-96B2-5CC315E52353}"/>
    <cellStyle name="Normal 7 10 4 3 3" xfId="17518" xr:uid="{6358BC15-32A6-4BE3-B493-53E3BDD20DAE}"/>
    <cellStyle name="Normal 7 10 4 4" xfId="9971" xr:uid="{323580FE-EEE3-4E8D-80EE-29C6171B7494}"/>
    <cellStyle name="Normal 7 10 4 4 2" xfId="20351" xr:uid="{543851B6-A0ED-47F7-B76F-4F54F2EE5AB8}"/>
    <cellStyle name="Normal 7 10 4 5" xfId="22747" xr:uid="{3749016E-AA7A-4454-A1DA-C500517CF5AF}"/>
    <cellStyle name="Normal 7 10 4 6" xfId="13478" xr:uid="{502BFF64-2BE5-4EE4-B1CD-8F3328BE0C78}"/>
    <cellStyle name="Normal 7 10 5" xfId="2508" xr:uid="{00000000-0005-0000-0000-0000DD070000}"/>
    <cellStyle name="Normal 7 10 5 2" xfId="5788" xr:uid="{F0CC4165-7ADF-41DD-9346-8605F4BE5F3F}"/>
    <cellStyle name="Normal 7 10 5 2 2" xfId="25867" xr:uid="{B61FC58C-C78F-4942-ACE6-ACDE5712BCEF}"/>
    <cellStyle name="Normal 7 10 5 2 3" xfId="15180" xr:uid="{06A66D68-83F9-4B41-B43E-B0BCDBDFA79B}"/>
    <cellStyle name="Normal 7 10 5 3" xfId="7633" xr:uid="{DC12FF0F-A626-4A05-B5C9-CD8DE60BA160}"/>
    <cellStyle name="Normal 7 10 5 3 2" xfId="18013" xr:uid="{5787543C-7E1F-4E36-B71B-5D68C378B636}"/>
    <cellStyle name="Normal 7 10 5 4" xfId="10466" xr:uid="{46DB715C-7B80-44DC-9221-E9A221CBC736}"/>
    <cellStyle name="Normal 7 10 5 4 2" xfId="20846" xr:uid="{EECD5737-11A0-43FC-9A91-FF0D15B9D4B4}"/>
    <cellStyle name="Normal 7 10 5 5" xfId="25103" xr:uid="{4597B0DB-FED5-4E2B-B408-D8ED4E270D5D}"/>
    <cellStyle name="Normal 7 10 5 6" xfId="12896" xr:uid="{CEC3B7B2-46A5-4240-8249-298F51D0FDF8}"/>
    <cellStyle name="Normal 7 10 6" xfId="2388" xr:uid="{00000000-0005-0000-0000-0000D7070000}"/>
    <cellStyle name="Normal 7 10 6 2" xfId="7515" xr:uid="{33EEEEBC-3999-4154-AF49-1DDEC298D42F}"/>
    <cellStyle name="Normal 7 10 6 2 2" xfId="27729" xr:uid="{6E27EFFE-3410-442F-AB71-2298894BF39B}"/>
    <cellStyle name="Normal 7 10 6 2 3" xfId="17895" xr:uid="{166C65E8-4599-47E7-9E14-4A04EC4114C6}"/>
    <cellStyle name="Normal 7 10 6 3" xfId="10348" xr:uid="{7A5E4030-AFE3-4F5F-8ABC-172E1EB362CC}"/>
    <cellStyle name="Normal 7 10 6 3 2" xfId="20728" xr:uid="{84B406C7-CBEC-47CD-9FE7-F652727532BA}"/>
    <cellStyle name="Normal 7 10 6 4" xfId="23003" xr:uid="{451DD849-E7A2-416E-9306-9DD9DD1584EB}"/>
    <cellStyle name="Normal 7 10 6 5" xfId="15062" xr:uid="{5AF3D516-CBE8-4A12-8927-868403AD4680}"/>
    <cellStyle name="Normal 7 10 7" xfId="4048" xr:uid="{6E59AE2C-8E82-494C-B3FD-012447F7B53B}"/>
    <cellStyle name="Normal 7 10 7 2" xfId="8834" xr:uid="{22EDCD99-8D6E-4D4F-A745-3609BA3D8FCE}"/>
    <cellStyle name="Normal 7 10 7 2 2" xfId="19214" xr:uid="{F6B184DA-BF4F-4E31-877F-25BC400D3FB4}"/>
    <cellStyle name="Normal 7 10 7 3" xfId="11667" xr:uid="{40CECD75-8C86-4DBF-85D4-8E4C5D42882A}"/>
    <cellStyle name="Normal 7 10 7 3 2" xfId="22047" xr:uid="{AEEFDBF3-74B8-4DDB-8B03-B040D14A0ADF}"/>
    <cellStyle name="Normal 7 10 7 4" xfId="27429" xr:uid="{2103D2B5-8BCE-41ED-8FCE-241BE7C0470A}"/>
    <cellStyle name="Normal 7 10 7 5" xfId="16381" xr:uid="{1A0EA109-9C61-4286-AECE-80E16F59AB5F}"/>
    <cellStyle name="Normal 7 10 8" xfId="5384" xr:uid="{91C3F893-9AC0-43F1-A489-DF9A5D70CB6F}"/>
    <cellStyle name="Normal 7 10 8 2" xfId="14681" xr:uid="{8DCBDF70-C312-4F7B-9F46-EE95B2AB0865}"/>
    <cellStyle name="Normal 7 10 9" xfId="7134" xr:uid="{15515014-6102-4EEC-8091-16EDB1B419C8}"/>
    <cellStyle name="Normal 7 10 9 2" xfId="17514" xr:uid="{E0F45A6C-1380-40AF-953D-8F8EC9A6BF5E}"/>
    <cellStyle name="Normal 7 11" xfId="1339" xr:uid="{00000000-0005-0000-0000-00000D070000}"/>
    <cellStyle name="Normal 7 11 10" xfId="9972" xr:uid="{22363347-2364-4785-9EB3-D6EE67D8D6F9}"/>
    <cellStyle name="Normal 7 11 10 2" xfId="20352" xr:uid="{D482AEAA-D25E-4AFC-B026-BD68ADA08397}"/>
    <cellStyle name="Normal 7 11 11" xfId="24780" xr:uid="{0D03B689-F3C3-414F-A68D-8351DA2E048C}"/>
    <cellStyle name="Normal 7 11 12" xfId="12623" xr:uid="{EC8688B2-80C3-4313-A060-3151A0DA0DE4}"/>
    <cellStyle name="Normal 7 11 2" xfId="1340" xr:uid="{00000000-0005-0000-0000-00000E070000}"/>
    <cellStyle name="Normal 7 11 2 2" xfId="1341" xr:uid="{00000000-0005-0000-0000-00000F070000}"/>
    <cellStyle name="Normal 7 11 2 2 2" xfId="5391" xr:uid="{8988D664-B5A8-496D-9580-6A16654365BE}"/>
    <cellStyle name="Normal 7 11 2 2 2 2" xfId="23084" xr:uid="{2975A7BF-990C-4EB9-9FE8-09F902CEE05D}"/>
    <cellStyle name="Normal 7 11 2 2 2 3" xfId="28020" xr:uid="{30920CE1-C917-4DEE-BD2A-0A0ADF2E79A0}"/>
    <cellStyle name="Normal 7 11 2 2 2 4" xfId="14688" xr:uid="{671B26F3-3577-4616-B5B5-55038CCCEF22}"/>
    <cellStyle name="Normal 7 11 2 2 3" xfId="7141" xr:uid="{65E79FC5-F13B-483E-A18B-B523871FF8EA}"/>
    <cellStyle name="Normal 7 11 2 2 3 2" xfId="27653" xr:uid="{1F447489-C760-4008-BF9A-963663F4F494}"/>
    <cellStyle name="Normal 7 11 2 2 3 3" xfId="26150" xr:uid="{BBD97FE4-4EEF-4535-B758-1DBF9848DBAF}"/>
    <cellStyle name="Normal 7 11 2 2 3 4" xfId="17521" xr:uid="{1E6750DA-7494-4FFF-8E5E-106522FD205C}"/>
    <cellStyle name="Normal 7 11 2 2 4" xfId="9974" xr:uid="{713C0F8E-83B0-4BFC-954C-AA99327C3BB6}"/>
    <cellStyle name="Normal 7 11 2 2 4 2" xfId="29446" xr:uid="{E593ECA3-1A30-446D-A231-9434060115B5}"/>
    <cellStyle name="Normal 7 11 2 2 4 3" xfId="20354" xr:uid="{033D2FB3-A140-4952-81E1-D1EBA10C7073}"/>
    <cellStyle name="Normal 7 11 2 2 5" xfId="24791" xr:uid="{19BD2E79-0BDF-4C70-BAE1-D84ECE040918}"/>
    <cellStyle name="Normal 7 11 2 2 6" xfId="13995" xr:uid="{39CD0ED1-E0DF-4B7C-9F24-EA6975AF709F}"/>
    <cellStyle name="Normal 7 11 2 3" xfId="2816" xr:uid="{00000000-0005-0000-0000-0000E1070000}"/>
    <cellStyle name="Normal 7 11 2 3 2" xfId="6032" xr:uid="{B3499556-E0C0-40C1-A3F5-6D139E58775D}"/>
    <cellStyle name="Normal 7 11 2 3 2 2" xfId="28471" xr:uid="{6446AA42-626D-4812-BD9C-9BA3A2B1A16F}"/>
    <cellStyle name="Normal 7 11 2 3 2 3" xfId="15486" xr:uid="{6D2591B6-AD6D-458F-BE31-B961D271A5D8}"/>
    <cellStyle name="Normal 7 11 2 3 3" xfId="7939" xr:uid="{B11481E7-C52A-430F-A6A9-79845D0D0905}"/>
    <cellStyle name="Normal 7 11 2 3 3 2" xfId="18319" xr:uid="{EC7DB7D9-279D-47C5-B892-78AB28936435}"/>
    <cellStyle name="Normal 7 11 2 3 4" xfId="10772" xr:uid="{A294334B-7AB2-4BE7-8BBC-EDE42B16F733}"/>
    <cellStyle name="Normal 7 11 2 3 4 2" xfId="21152" xr:uid="{59BD4C94-5818-4225-8EE9-0676871EE40A}"/>
    <cellStyle name="Normal 7 11 2 3 5" xfId="22985" xr:uid="{982E7633-AB26-42ED-821A-58EF5A73554B}"/>
    <cellStyle name="Normal 7 11 2 3 6" xfId="13285" xr:uid="{7C6C56FD-6166-47FA-A994-CF7328094250}"/>
    <cellStyle name="Normal 7 11 2 4" xfId="4211" xr:uid="{03FEBAA3-ABD2-4159-8032-1B1639440376}"/>
    <cellStyle name="Normal 7 11 2 4 2" xfId="8983" xr:uid="{E244D5CC-479E-4B54-8335-EEEB4922CB6B}"/>
    <cellStyle name="Normal 7 11 2 4 2 2" xfId="29064" xr:uid="{5ACFA86F-47FB-4AD9-AC48-971BBD014052}"/>
    <cellStyle name="Normal 7 11 2 4 2 3" xfId="19363" xr:uid="{0C284C7A-9173-47A4-8674-4E00B9C49257}"/>
    <cellStyle name="Normal 7 11 2 4 3" xfId="11816" xr:uid="{C1073F48-C366-435F-ADD9-85E76175FD1E}"/>
    <cellStyle name="Normal 7 11 2 4 3 2" xfId="22196" xr:uid="{C0671745-4072-450D-B085-3F3BDA1631C1}"/>
    <cellStyle name="Normal 7 11 2 4 4" xfId="23463" xr:uid="{F4430A89-939B-403D-95E7-821BB245F15C}"/>
    <cellStyle name="Normal 7 11 2 4 5" xfId="16530" xr:uid="{6CB6507E-4EB5-4336-A00B-89561EB712C1}"/>
    <cellStyle name="Normal 7 11 2 5" xfId="5390" xr:uid="{33BC3003-5F75-4A00-B41C-1C326665A7E7}"/>
    <cellStyle name="Normal 7 11 2 5 2" xfId="26691" xr:uid="{1D5FE240-5B8C-4BE8-A775-60BCA533EF2D}"/>
    <cellStyle name="Normal 7 11 2 5 3" xfId="14687" xr:uid="{6B135D0D-D75E-4BCF-A439-F8F6D830949D}"/>
    <cellStyle name="Normal 7 11 2 6" xfId="7140" xr:uid="{4C754E41-B74C-4AF5-8DBE-1D20CADFDF17}"/>
    <cellStyle name="Normal 7 11 2 6 2" xfId="17520" xr:uid="{9709B54F-A3FB-4619-B026-9EEEA158A0B2}"/>
    <cellStyle name="Normal 7 11 2 7" xfId="9973" xr:uid="{E9E114BA-5E97-43B4-B002-1EC42D644C46}"/>
    <cellStyle name="Normal 7 11 2 7 2" xfId="20353" xr:uid="{FF924DB4-FE08-47AD-BDD5-07FE49CE2E17}"/>
    <cellStyle name="Normal 7 11 2 8" xfId="23104" xr:uid="{8E9B7949-C2D4-4A5C-945B-49928DDC6DB0}"/>
    <cellStyle name="Normal 7 11 2 9" xfId="12781" xr:uid="{36C38E79-D0A4-447D-808C-55992FED73C8}"/>
    <cellStyle name="Normal 7 11 3" xfId="1342" xr:uid="{00000000-0005-0000-0000-000010070000}"/>
    <cellStyle name="Normal 7 11 3 2" xfId="4570" xr:uid="{F08FB077-443F-4C3C-896B-7515BA92433E}"/>
    <cellStyle name="Normal 7 11 3 2 2" xfId="9342" xr:uid="{D27B75A4-C000-467A-888F-1365130BA248}"/>
    <cellStyle name="Normal 7 11 3 2 2 2" xfId="29316" xr:uid="{A2FADAEA-ACA2-4144-8B05-40848E622347}"/>
    <cellStyle name="Normal 7 11 3 2 2 3" xfId="19722" xr:uid="{83BA6AA1-CCA4-45A7-820C-0465F5FEB0CA}"/>
    <cellStyle name="Normal 7 11 3 2 3" xfId="12175" xr:uid="{C82CB428-B76D-467F-988A-CA6D9E9E7A19}"/>
    <cellStyle name="Normal 7 11 3 2 3 2" xfId="22555" xr:uid="{9377B91C-26C4-41C9-BEE6-00E76C7B3FD7}"/>
    <cellStyle name="Normal 7 11 3 2 4" xfId="24896" xr:uid="{F31113B0-56C7-4E4C-93A6-8AF8E5789575}"/>
    <cellStyle name="Normal 7 11 3 2 5" xfId="16889" xr:uid="{8A63E600-65C8-4046-87F2-D20EF988AEDB}"/>
    <cellStyle name="Normal 7 11 3 3" xfId="5392" xr:uid="{E83D9A71-3DF9-43C8-B99C-E8E7B5C91885}"/>
    <cellStyle name="Normal 7 11 3 3 2" xfId="26858" xr:uid="{4BF5156C-88F7-4E45-9120-659344145EE1}"/>
    <cellStyle name="Normal 7 11 3 3 3" xfId="26387" xr:uid="{E7B2315B-E9DD-45FD-ADB1-13B5781B4026}"/>
    <cellStyle name="Normal 7 11 3 3 4" xfId="14689" xr:uid="{BF1817F3-3BA0-46A5-A4BF-75EE8ECFE377}"/>
    <cellStyle name="Normal 7 11 3 4" xfId="7142" xr:uid="{5280A6C7-2B48-4649-87D3-ADCC9DE95D0D}"/>
    <cellStyle name="Normal 7 11 3 4 2" xfId="28202" xr:uid="{812E5A52-87B2-4B40-843F-2D4080B355B3}"/>
    <cellStyle name="Normal 7 11 3 4 3" xfId="26739" xr:uid="{F071AE18-5C98-42D9-8191-89BC464A6E09}"/>
    <cellStyle name="Normal 7 11 3 4 4" xfId="17522" xr:uid="{14CFB8E9-AF26-41C8-AD18-296C9923FCBD}"/>
    <cellStyle name="Normal 7 11 3 5" xfId="9975" xr:uid="{896AB2E8-DD97-4B33-8F61-8C857134410C}"/>
    <cellStyle name="Normal 7 11 3 5 2" xfId="29447" xr:uid="{D5BA7E4F-8041-4F50-9F60-E57D00D4F08C}"/>
    <cellStyle name="Normal 7 11 3 5 3" xfId="20355" xr:uid="{2405E0A6-8308-436C-8A8A-D9C945072D28}"/>
    <cellStyle name="Normal 7 11 3 6" xfId="23989" xr:uid="{E4BF764F-3EA3-4134-BB4F-58F274E37C53}"/>
    <cellStyle name="Normal 7 11 3 7" xfId="13996" xr:uid="{BC402E3E-614B-4EC0-9F88-BC7D83AF55C6}"/>
    <cellStyle name="Normal 7 11 4" xfId="1343" xr:uid="{00000000-0005-0000-0000-000011070000}"/>
    <cellStyle name="Normal 7 11 4 2" xfId="5393" xr:uid="{2B1EB956-87F5-405E-84BF-C14AABB8AC93}"/>
    <cellStyle name="Normal 7 11 4 2 2" xfId="25701" xr:uid="{03F5981A-72C0-49A1-80CE-EF63FB9D190A}"/>
    <cellStyle name="Normal 7 11 4 2 3" xfId="28017" xr:uid="{FE2C575B-A880-4548-A54F-F6561E8BAF53}"/>
    <cellStyle name="Normal 7 11 4 2 4" xfId="14690" xr:uid="{4733B9B7-2481-42CE-A00E-680030EFEDC2}"/>
    <cellStyle name="Normal 7 11 4 3" xfId="7143" xr:uid="{9315D5C9-5A1E-4CB2-A88B-BF8C964D2BEF}"/>
    <cellStyle name="Normal 7 11 4 3 2" xfId="26140" xr:uid="{1CC7326F-494D-4DD0-B298-1CEA679D0896}"/>
    <cellStyle name="Normal 7 11 4 3 3" xfId="17523" xr:uid="{75DE99CE-A15C-4A73-8BDB-D8AF3D881DC3}"/>
    <cellStyle name="Normal 7 11 4 4" xfId="9976" xr:uid="{F9946A74-E173-43E3-B0BA-96C2ABB2266E}"/>
    <cellStyle name="Normal 7 11 4 4 2" xfId="20356" xr:uid="{39529DF1-034E-45DC-AA26-E9CB938FD2F2}"/>
    <cellStyle name="Normal 7 11 4 5" xfId="22827" xr:uid="{AB87E6D9-E620-421D-A83A-875ADE506B2E}"/>
    <cellStyle name="Normal 7 11 4 6" xfId="13479" xr:uid="{B9F47F6D-4538-4CFF-A2B7-BC413BFB317D}"/>
    <cellStyle name="Normal 7 11 5" xfId="2568" xr:uid="{00000000-0005-0000-0000-0000E4070000}"/>
    <cellStyle name="Normal 7 11 5 2" xfId="5837" xr:uid="{26C688D1-BC0D-4F50-A5C7-7657C905B376}"/>
    <cellStyle name="Normal 7 11 5 2 2" xfId="28565" xr:uid="{7D9370AA-0A8E-41EC-B483-4BE5D92A6336}"/>
    <cellStyle name="Normal 7 11 5 2 3" xfId="15240" xr:uid="{7C6C7EA9-C124-4B2D-A0B6-3002D630344F}"/>
    <cellStyle name="Normal 7 11 5 3" xfId="7693" xr:uid="{BEDCB853-65FC-4481-831B-524757D3FCAC}"/>
    <cellStyle name="Normal 7 11 5 3 2" xfId="18073" xr:uid="{664C40D8-033B-4F6E-8A3F-20052D54B7FA}"/>
    <cellStyle name="Normal 7 11 5 4" xfId="10526" xr:uid="{6BEFBC81-C896-460A-AF49-67FB03DBD65D}"/>
    <cellStyle name="Normal 7 11 5 4 2" xfId="20906" xr:uid="{9784D248-BDC7-4DAD-8326-3937CEAA7CBF}"/>
    <cellStyle name="Normal 7 11 5 5" xfId="22962" xr:uid="{A3774CC2-50E6-45FC-A5EF-F71506B10216}"/>
    <cellStyle name="Normal 7 11 5 6" xfId="12956" xr:uid="{03371C5D-BDEC-46D2-B5BA-E5D0E54B2A6D}"/>
    <cellStyle name="Normal 7 11 6" xfId="2389" xr:uid="{00000000-0005-0000-0000-0000DE070000}"/>
    <cellStyle name="Normal 7 11 6 2" xfId="7516" xr:uid="{71D714A7-6425-4457-A44E-C0871A29E4D1}"/>
    <cellStyle name="Normal 7 11 6 2 2" xfId="26746" xr:uid="{45F2AD07-E73E-4F52-B3D4-7FA7DADA198E}"/>
    <cellStyle name="Normal 7 11 6 2 3" xfId="17896" xr:uid="{1D76FDE9-70BF-4C37-BEA9-A8F50FBE07C0}"/>
    <cellStyle name="Normal 7 11 6 3" xfId="10349" xr:uid="{03A8D8C7-3A30-41C0-8D5F-EA494CA6BF65}"/>
    <cellStyle name="Normal 7 11 6 3 2" xfId="20729" xr:uid="{D5C21043-BB2A-4BE9-A353-E036D0635D5F}"/>
    <cellStyle name="Normal 7 11 6 4" xfId="25229" xr:uid="{2258CC28-F1D6-4E1D-8E91-0B27D3C48212}"/>
    <cellStyle name="Normal 7 11 6 5" xfId="15063" xr:uid="{52ADF66A-EB29-4A19-9CFB-5C7149705B6B}"/>
    <cellStyle name="Normal 7 11 7" xfId="4049" xr:uid="{EE667E84-03EA-4DAE-9CA5-DE6E77CCCF57}"/>
    <cellStyle name="Normal 7 11 7 2" xfId="8835" xr:uid="{EC9C2E3F-2204-4C36-8420-00000D705654}"/>
    <cellStyle name="Normal 7 11 7 2 2" xfId="19215" xr:uid="{4C367804-265D-474F-8198-FD538DAF5C9C}"/>
    <cellStyle name="Normal 7 11 7 3" xfId="11668" xr:uid="{56C55BEB-45EC-47E1-9373-A82619D5626C}"/>
    <cellStyle name="Normal 7 11 7 3 2" xfId="22048" xr:uid="{40342CC9-EA1D-41D4-B8B6-DCF058DCDC7A}"/>
    <cellStyle name="Normal 7 11 7 4" xfId="26607" xr:uid="{FC4E2446-8912-4D18-A47F-03FE12A54429}"/>
    <cellStyle name="Normal 7 11 7 5" xfId="16382" xr:uid="{39A3BD08-EAD5-4B60-B444-33BF85C21607}"/>
    <cellStyle name="Normal 7 11 8" xfId="5389" xr:uid="{AE210D88-C35F-41A1-892C-EC73F777EA89}"/>
    <cellStyle name="Normal 7 11 8 2" xfId="14686" xr:uid="{697C4BEC-E756-4A56-BB90-A414E65CC7E7}"/>
    <cellStyle name="Normal 7 11 9" xfId="7139" xr:uid="{566D06A8-060B-4D4C-BF61-F11ACD1F1823}"/>
    <cellStyle name="Normal 7 11 9 2" xfId="17519" xr:uid="{8C424DED-38E2-4C61-9583-22F0578D51C4}"/>
    <cellStyle name="Normal 7 12" xfId="1344" xr:uid="{00000000-0005-0000-0000-000012070000}"/>
    <cellStyle name="Normal 7 12 10" xfId="23319" xr:uid="{520EC44C-78C8-4AC2-929A-A416E99E52C9}"/>
    <cellStyle name="Normal 7 12 11" xfId="12624" xr:uid="{A97707B5-E08C-48E6-9EE8-4A9B22071A35}"/>
    <cellStyle name="Normal 7 12 2" xfId="1345" xr:uid="{00000000-0005-0000-0000-000013070000}"/>
    <cellStyle name="Normal 7 12 2 2" xfId="3417" xr:uid="{00000000-0005-0000-0000-0000E7070000}"/>
    <cellStyle name="Normal 7 12 2 2 2" xfId="6472" xr:uid="{39A9088A-FC78-4479-9DC7-ADCB235A6669}"/>
    <cellStyle name="Normal 7 12 2 2 2 2" xfId="28743" xr:uid="{A27641FD-E14A-4138-B691-D10FAFFA8D97}"/>
    <cellStyle name="Normal 7 12 2 2 2 3" xfId="27112" xr:uid="{4FD4AE5D-EC8D-49D8-B84F-943CA7D5760D}"/>
    <cellStyle name="Normal 7 12 2 2 2 4" xfId="16043" xr:uid="{C6D30117-175F-40B3-B79A-8E6B2759B86F}"/>
    <cellStyle name="Normal 7 12 2 2 3" xfId="8496" xr:uid="{09FAAEA6-2902-43B4-9CD5-58F656E01952}"/>
    <cellStyle name="Normal 7 12 2 2 3 2" xfId="28933" xr:uid="{4A32288B-9108-4ED3-B56C-46CD030CE8B9}"/>
    <cellStyle name="Normal 7 12 2 2 3 3" xfId="18876" xr:uid="{4A4AC680-1106-44EC-AB55-AA9572950355}"/>
    <cellStyle name="Normal 7 12 2 2 4" xfId="11329" xr:uid="{5D538C14-F16A-4F0B-9C06-428974AD32AD}"/>
    <cellStyle name="Normal 7 12 2 2 4 2" xfId="21709" xr:uid="{5E4EDEA6-1091-4DD7-A00A-CE92F8725E34}"/>
    <cellStyle name="Normal 7 12 2 2 5" xfId="24415" xr:uid="{7901D2B0-000F-4F6C-86FD-56A29FAF769F}"/>
    <cellStyle name="Normal 7 12 2 2 6" xfId="13997" xr:uid="{C5FE40AD-E36F-4CCB-BEFB-5E5A72A83FC6}"/>
    <cellStyle name="Normal 7 12 2 3" xfId="4212" xr:uid="{A9517A6B-EEC9-445A-9525-80D1579B21DF}"/>
    <cellStyle name="Normal 7 12 2 3 2" xfId="8984" xr:uid="{363605A0-3161-4FD3-A341-C6B64A6FB591}"/>
    <cellStyle name="Normal 7 12 2 3 2 2" xfId="29065" xr:uid="{AE9A9A4D-7143-464C-B961-1A5B50B8556C}"/>
    <cellStyle name="Normal 7 12 2 3 2 3" xfId="19364" xr:uid="{DFB227FE-7EFF-4B28-BEEC-F9530618E177}"/>
    <cellStyle name="Normal 7 12 2 3 3" xfId="11817" xr:uid="{D9F5E44E-8BC3-4854-B5FC-FF8E49C7FD99}"/>
    <cellStyle name="Normal 7 12 2 3 3 2" xfId="22197" xr:uid="{24610BF3-40D6-4CEA-A2DD-EE28C0F58DAE}"/>
    <cellStyle name="Normal 7 12 2 3 4" xfId="23165" xr:uid="{A120F433-790D-4C3E-B9C5-19B3E2843367}"/>
    <cellStyle name="Normal 7 12 2 3 5" xfId="16531" xr:uid="{247C4DF2-A610-4F4C-8B2F-72E87FA7ACBB}"/>
    <cellStyle name="Normal 7 12 2 4" xfId="5395" xr:uid="{DAF4E148-D4C3-47A6-8253-21AE8D606AFB}"/>
    <cellStyle name="Normal 7 12 2 4 2" xfId="28071" xr:uid="{15DB74D0-3538-414A-B215-1041392378D9}"/>
    <cellStyle name="Normal 7 12 2 4 3" xfId="26883" xr:uid="{E5DE6082-145C-469C-BD01-97F0936D8F74}"/>
    <cellStyle name="Normal 7 12 2 4 4" xfId="14692" xr:uid="{0FE1914F-D6AB-48FB-A6F7-19C438EA792D}"/>
    <cellStyle name="Normal 7 12 2 5" xfId="7145" xr:uid="{CEEAC735-1F80-42A3-8321-BEBDBBA0EDAD}"/>
    <cellStyle name="Normal 7 12 2 5 2" xfId="26863" xr:uid="{7FC277FB-F359-49BC-944E-08714D7C8310}"/>
    <cellStyle name="Normal 7 12 2 5 3" xfId="17525" xr:uid="{A21AEE0E-7E2E-4844-9A39-7F70268A3FAA}"/>
    <cellStyle name="Normal 7 12 2 6" xfId="9978" xr:uid="{5D104CE3-2005-4D2C-91BA-62CD2764C2A5}"/>
    <cellStyle name="Normal 7 12 2 6 2" xfId="20358" xr:uid="{9DD75C04-C32C-41B7-8B04-005C3689DFA0}"/>
    <cellStyle name="Normal 7 12 2 7" xfId="23336" xr:uid="{8C58B10D-58D2-47E9-A3E4-FC944654C601}"/>
    <cellStyle name="Normal 7 12 2 8" xfId="12782" xr:uid="{E649DBA6-EF38-4C42-A68A-E78C329FCC2E}"/>
    <cellStyle name="Normal 7 12 3" xfId="1346" xr:uid="{00000000-0005-0000-0000-000014070000}"/>
    <cellStyle name="Normal 7 12 3 2" xfId="5396" xr:uid="{443EB7AA-966A-4D81-A596-F8B71D54BD25}"/>
    <cellStyle name="Normal 7 12 3 2 2" xfId="25613" xr:uid="{5D5DB393-479B-466F-B4E5-4C66F774489E}"/>
    <cellStyle name="Normal 7 12 3 2 3" xfId="28420" xr:uid="{C6B812D9-43A0-45C7-A9CF-806826CD411E}"/>
    <cellStyle name="Normal 7 12 3 2 4" xfId="14693" xr:uid="{04FFAD5B-49AD-4C32-AFAF-8DA40DBBAA22}"/>
    <cellStyle name="Normal 7 12 3 3" xfId="7146" xr:uid="{31D08A08-FD56-40CA-BFA7-63A6747620DA}"/>
    <cellStyle name="Normal 7 12 3 3 2" xfId="26763" xr:uid="{20E146AB-C481-46EA-834B-687A32370159}"/>
    <cellStyle name="Normal 7 12 3 3 3" xfId="27373" xr:uid="{126CBA36-0DF7-45A9-8ED3-446F54B25D2D}"/>
    <cellStyle name="Normal 7 12 3 3 4" xfId="17526" xr:uid="{C685EBA9-8168-4E70-83F3-57D4600FB1AD}"/>
    <cellStyle name="Normal 7 12 3 4" xfId="9979" xr:uid="{A4249746-35AA-4BE6-8243-638427CB4973}"/>
    <cellStyle name="Normal 7 12 3 4 2" xfId="27577" xr:uid="{A2246321-1797-4EEC-A361-427FBB7A3C71}"/>
    <cellStyle name="Normal 7 12 3 4 3" xfId="29448" xr:uid="{FC474E0F-94E7-4478-AED2-F6A01BFD2FDA}"/>
    <cellStyle name="Normal 7 12 3 4 4" xfId="20359" xr:uid="{51FAB024-1226-42E8-AAF6-A5FB5429E163}"/>
    <cellStyle name="Normal 7 12 3 5" xfId="25256" xr:uid="{1421110F-A50F-449B-AB95-D639693CB953}"/>
    <cellStyle name="Normal 7 12 3 6" xfId="28277" xr:uid="{FF454D42-2019-4230-B53B-246989797AB1}"/>
    <cellStyle name="Normal 7 12 3 7" xfId="13480" xr:uid="{2801D4D9-EDE0-43F3-B730-EE8A7669444F}"/>
    <cellStyle name="Normal 7 12 4" xfId="2817" xr:uid="{00000000-0005-0000-0000-0000E9070000}"/>
    <cellStyle name="Normal 7 12 4 2" xfId="6033" xr:uid="{32FBEA4A-82E4-4966-A90C-DE535393E8C0}"/>
    <cellStyle name="Normal 7 12 4 2 2" xfId="26918" xr:uid="{D83921AD-51A7-496B-9F3B-A4793FF82044}"/>
    <cellStyle name="Normal 7 12 4 2 3" xfId="15487" xr:uid="{2D53276B-54CA-41C8-BE80-BF030D7DCF54}"/>
    <cellStyle name="Normal 7 12 4 3" xfId="7940" xr:uid="{0B88E007-E916-454D-BD47-675A750BAA0F}"/>
    <cellStyle name="Normal 7 12 4 3 2" xfId="18320" xr:uid="{248BA8B1-C989-48FC-B454-D0156789335F}"/>
    <cellStyle name="Normal 7 12 4 4" xfId="10773" xr:uid="{86F5B672-2CD3-4166-969E-FCF60CE9557C}"/>
    <cellStyle name="Normal 7 12 4 4 2" xfId="21153" xr:uid="{A8B38EA7-380D-48A1-8AAE-42F90DAC3DEA}"/>
    <cellStyle name="Normal 7 12 4 5" xfId="23353" xr:uid="{2EE5C875-92FB-4244-85F1-A7B5269EC329}"/>
    <cellStyle name="Normal 7 12 4 6" xfId="13286" xr:uid="{BD1FAE01-0A6B-405B-AB96-B89554939E0D}"/>
    <cellStyle name="Normal 7 12 5" xfId="2390" xr:uid="{00000000-0005-0000-0000-0000E5070000}"/>
    <cellStyle name="Normal 7 12 5 2" xfId="7517" xr:uid="{2881FDC1-79F9-44C7-AA11-057B3B302194}"/>
    <cellStyle name="Normal 7 12 5 2 2" xfId="25855" xr:uid="{A46F6F50-8C06-4C42-9B61-6C5CC67905B2}"/>
    <cellStyle name="Normal 7 12 5 2 3" xfId="17897" xr:uid="{F32CDA9C-1E49-45A3-B185-E476210ABDD6}"/>
    <cellStyle name="Normal 7 12 5 3" xfId="10350" xr:uid="{D381B5B9-B7F2-4A87-978F-37E3CDBA402E}"/>
    <cellStyle name="Normal 7 12 5 3 2" xfId="20730" xr:uid="{20523882-9569-42C4-B086-CBD4A3E82B11}"/>
    <cellStyle name="Normal 7 12 5 4" xfId="23057" xr:uid="{A6F9EEEE-E8DC-402C-A9B2-22B84D550CD6}"/>
    <cellStyle name="Normal 7 12 5 5" xfId="15064" xr:uid="{85D507C5-997B-4EAA-87BA-0875FAA4D589}"/>
    <cellStyle name="Normal 7 12 6" xfId="4050" xr:uid="{3596E1EC-2AB1-4D44-B20A-1ED70535BDF9}"/>
    <cellStyle name="Normal 7 12 6 2" xfId="8836" xr:uid="{3890EE2A-C302-4021-B00A-634E4D23842F}"/>
    <cellStyle name="Normal 7 12 6 2 2" xfId="28993" xr:uid="{955CD499-595D-414F-AAE0-F71BB9C01778}"/>
    <cellStyle name="Normal 7 12 6 2 3" xfId="19216" xr:uid="{913F2D5D-8627-4B2A-9E1A-D7DD3106EAED}"/>
    <cellStyle name="Normal 7 12 6 3" xfId="11669" xr:uid="{8D6AD15C-FE8F-413E-BF2C-CC63FCCFFCB8}"/>
    <cellStyle name="Normal 7 12 6 3 2" xfId="22049" xr:uid="{471792B2-66A8-4D60-B43F-BA638C8B7E91}"/>
    <cellStyle name="Normal 7 12 6 4" xfId="27819" xr:uid="{0DE08D80-981E-47DC-87CF-4F862B724AE2}"/>
    <cellStyle name="Normal 7 12 6 5" xfId="16383" xr:uid="{0BAED52F-AFEE-4DA3-8A28-08092205E7E4}"/>
    <cellStyle name="Normal 7 12 7" xfId="5394" xr:uid="{E8A85330-10A0-460A-939F-343ADD733E52}"/>
    <cellStyle name="Normal 7 12 7 2" xfId="26836" xr:uid="{43749EB2-AA72-4AF7-BF22-85B893F561AE}"/>
    <cellStyle name="Normal 7 12 7 3" xfId="14691" xr:uid="{C0F1CF48-03EC-48B2-B752-F79DF60FEEC7}"/>
    <cellStyle name="Normal 7 12 8" xfId="7144" xr:uid="{19AAED7C-FA0E-4E9F-B250-A2B26DF88045}"/>
    <cellStyle name="Normal 7 12 8 2" xfId="17524" xr:uid="{F44AA86D-E803-46B6-AFD8-5D043216ECE4}"/>
    <cellStyle name="Normal 7 12 9" xfId="9977" xr:uid="{4B10B018-C750-4555-B579-BF05472304FB}"/>
    <cellStyle name="Normal 7 12 9 2" xfId="20357" xr:uid="{D19C51ED-E470-46EA-B869-F4DFDED11AAE}"/>
    <cellStyle name="Normal 7 13" xfId="1347" xr:uid="{00000000-0005-0000-0000-000015070000}"/>
    <cellStyle name="Normal 7 13 10" xfId="12625" xr:uid="{2D384B92-5D75-46D6-9018-93A54C225D1C}"/>
    <cellStyle name="Normal 7 13 2" xfId="1348" xr:uid="{00000000-0005-0000-0000-000016070000}"/>
    <cellStyle name="Normal 7 13 2 2" xfId="2981" xr:uid="{00000000-0005-0000-0000-0000EC070000}"/>
    <cellStyle name="Normal 7 13 2 2 2" xfId="6135" xr:uid="{FE8D53A9-6625-4430-99D9-D9C3115D7D7F}"/>
    <cellStyle name="Normal 7 13 2 2 2 2" xfId="26923" xr:uid="{D35E8CFE-4AE8-4C13-B4F2-8CD714D39F81}"/>
    <cellStyle name="Normal 7 13 2 2 2 3" xfId="27615" xr:uid="{CF0D11E8-5A7A-4820-A722-7C16EC81CB42}"/>
    <cellStyle name="Normal 7 13 2 2 2 4" xfId="15613" xr:uid="{3C8BF89B-DCC0-4D53-9917-6FCA126DD74B}"/>
    <cellStyle name="Normal 7 13 2 2 3" xfId="8066" xr:uid="{68DDBB74-D7DA-4A47-B658-51081B2BF2CE}"/>
    <cellStyle name="Normal 7 13 2 2 3 2" xfId="28764" xr:uid="{4173E0ED-2598-4D03-AEB0-DE0A25AF7D91}"/>
    <cellStyle name="Normal 7 13 2 2 3 3" xfId="18446" xr:uid="{D59CC203-F6EF-4720-BC0E-DB4824764562}"/>
    <cellStyle name="Normal 7 13 2 2 4" xfId="10899" xr:uid="{C5659DA6-8FD7-405B-AD77-8FD632A8F8C0}"/>
    <cellStyle name="Normal 7 13 2 2 4 2" xfId="21279" xr:uid="{5EAC393A-E25D-4040-AA99-C5645CB40D94}"/>
    <cellStyle name="Normal 7 13 2 2 5" xfId="24436" xr:uid="{3994F3C3-412E-48B0-ADFB-64C6C0CABA60}"/>
    <cellStyle name="Normal 7 13 2 2 6" xfId="13481" xr:uid="{90E73610-F862-45F8-8E78-35B01AF3730E}"/>
    <cellStyle name="Normal 7 13 2 3" xfId="5398" xr:uid="{C2511337-16C9-45A8-9333-468C081E9C80}"/>
    <cellStyle name="Normal 7 13 2 3 2" xfId="23416" xr:uid="{C3B71349-DC77-4278-B639-76402E9E57BC}"/>
    <cellStyle name="Normal 7 13 2 3 3" xfId="28181" xr:uid="{F8A5584B-9B09-4954-8A17-C135DB60EF34}"/>
    <cellStyle name="Normal 7 13 2 3 4" xfId="14695" xr:uid="{D31934AC-F6BB-4307-A8AF-7E5977253F78}"/>
    <cellStyle name="Normal 7 13 2 4" xfId="7148" xr:uid="{20B6FFD0-323F-4558-8FF5-79FB207F6696}"/>
    <cellStyle name="Normal 7 13 2 4 2" xfId="26148" xr:uid="{FF4FF221-A08B-4504-947A-0343A1DB8537}"/>
    <cellStyle name="Normal 7 13 2 4 3" xfId="27175" xr:uid="{20F8625E-931C-4469-924A-DE4AB335F6EB}"/>
    <cellStyle name="Normal 7 13 2 4 4" xfId="17528" xr:uid="{1FF3CC5F-0612-4F2F-B13F-5712F1F3C11E}"/>
    <cellStyle name="Normal 7 13 2 5" xfId="9981" xr:uid="{4AE7471D-0114-489F-8CA8-726EC8830133}"/>
    <cellStyle name="Normal 7 13 2 5 2" xfId="29449" xr:uid="{D7AD06FC-802D-43E1-8C8B-0A71DC954DBA}"/>
    <cellStyle name="Normal 7 13 2 5 3" xfId="20361" xr:uid="{102748FF-B588-497E-B490-1D8C4B75F89E}"/>
    <cellStyle name="Normal 7 13 2 6" xfId="23103" xr:uid="{B4881FC2-88B5-4AF5-8CCF-37B88EFA183D}"/>
    <cellStyle name="Normal 7 13 2 7" xfId="12783" xr:uid="{FC89DDCE-20E0-4D06-9AE1-904260F698CB}"/>
    <cellStyle name="Normal 7 13 3" xfId="1349" xr:uid="{00000000-0005-0000-0000-000017070000}"/>
    <cellStyle name="Normal 7 13 3 2" xfId="5399" xr:uid="{DCB20980-7643-4535-88F9-578CE8FBFBCD}"/>
    <cellStyle name="Normal 7 13 3 2 2" xfId="27766" xr:uid="{23C00D56-7A99-4A54-90B1-0B147FC68906}"/>
    <cellStyle name="Normal 7 13 3 2 3" xfId="26817" xr:uid="{20460F01-06EE-4D47-A0BE-B0A32B9D05B2}"/>
    <cellStyle name="Normal 7 13 3 2 4" xfId="14696" xr:uid="{B0B13E8D-91B0-4667-8658-1ADDDDEE0915}"/>
    <cellStyle name="Normal 7 13 3 3" xfId="7149" xr:uid="{64CD0462-F6AC-497F-9989-CBA317968155}"/>
    <cellStyle name="Normal 7 13 3 3 2" xfId="27380" xr:uid="{11DC4761-E4F6-4690-AE9A-B56E67E30089}"/>
    <cellStyle name="Normal 7 13 3 3 3" xfId="27444" xr:uid="{E9AA02BF-9AB4-42F7-A16C-CE009BAA2A77}"/>
    <cellStyle name="Normal 7 13 3 3 4" xfId="17529" xr:uid="{2A80C9F8-14FC-4F30-8B24-C2E6DEE33964}"/>
    <cellStyle name="Normal 7 13 3 4" xfId="9982" xr:uid="{98DBFA60-2698-46F4-BF5C-075BAC410C90}"/>
    <cellStyle name="Normal 7 13 3 4 2" xfId="29450" xr:uid="{84CEC67C-FAC1-4B94-A702-87E75276E1F3}"/>
    <cellStyle name="Normal 7 13 3 4 3" xfId="20362" xr:uid="{59F6F00D-9A4D-4140-B6DF-F155B26FD33D}"/>
    <cellStyle name="Normal 7 13 3 5" xfId="24275" xr:uid="{9ECC0C4F-35AC-4BF6-A677-6556CB126B7C}"/>
    <cellStyle name="Normal 7 13 3 6" xfId="13287" xr:uid="{9A463FB0-23D4-4E20-BE85-7FEB1D78479A}"/>
    <cellStyle name="Normal 7 13 4" xfId="2391" xr:uid="{00000000-0005-0000-0000-0000EA070000}"/>
    <cellStyle name="Normal 7 13 4 2" xfId="7518" xr:uid="{AB47B31C-1842-46B8-BFC4-5DFFF4EFD572}"/>
    <cellStyle name="Normal 7 13 4 2 2" xfId="28064" xr:uid="{DB5496FD-3ECA-4527-9C12-ED22E11A1F40}"/>
    <cellStyle name="Normal 7 13 4 2 3" xfId="17898" xr:uid="{9D218ECA-F844-4997-8237-106A1F8729BE}"/>
    <cellStyle name="Normal 7 13 4 3" xfId="10351" xr:uid="{FC2FC417-DB07-4826-87D7-5B2446E9E3D4}"/>
    <cellStyle name="Normal 7 13 4 3 2" xfId="20731" xr:uid="{CC12FB36-B1F2-4EC9-B42F-50595556BD13}"/>
    <cellStyle name="Normal 7 13 4 4" xfId="22854" xr:uid="{BF373A71-7832-4175-8084-02F7704F61C2}"/>
    <cellStyle name="Normal 7 13 4 5" xfId="15065" xr:uid="{E13BC127-0E7F-4E10-BA34-579DB90C1102}"/>
    <cellStyle name="Normal 7 13 5" xfId="4051" xr:uid="{C48EAA1B-737A-4259-88AF-A88E11F7D0B2}"/>
    <cellStyle name="Normal 7 13 5 2" xfId="8837" xr:uid="{77A6E992-268E-475C-A367-69EAF4F88609}"/>
    <cellStyle name="Normal 7 13 5 2 2" xfId="28994" xr:uid="{4C50D351-F50B-4D38-ADF8-BDC32A258787}"/>
    <cellStyle name="Normal 7 13 5 2 3" xfId="19217" xr:uid="{E91DCA4A-113A-4BF8-98F5-3433F4BDA44E}"/>
    <cellStyle name="Normal 7 13 5 3" xfId="11670" xr:uid="{6424C1A2-E0FA-46CB-865D-D2637C8733E4}"/>
    <cellStyle name="Normal 7 13 5 3 2" xfId="22050" xr:uid="{A8877C6E-3F80-4ECE-BBAC-9E25EE1C5063}"/>
    <cellStyle name="Normal 7 13 5 4" xfId="24053" xr:uid="{4CD85591-419B-4589-8A19-007BB58E4ABA}"/>
    <cellStyle name="Normal 7 13 5 5" xfId="16384" xr:uid="{E002FDFB-78F4-48F0-B689-BCA90642B069}"/>
    <cellStyle name="Normal 7 13 6" xfId="5397" xr:uid="{9FC5ABBE-5778-416A-8388-E134B2F82B4D}"/>
    <cellStyle name="Normal 7 13 6 2" xfId="26082" xr:uid="{9042DCD2-8FD3-4FED-BC94-87E103CDB104}"/>
    <cellStyle name="Normal 7 13 6 3" xfId="28138" xr:uid="{47920828-9C9D-495D-BB4B-107B93789533}"/>
    <cellStyle name="Normal 7 13 6 4" xfId="14694" xr:uid="{3A164B11-B58D-49F7-BAE4-EAB2B732401E}"/>
    <cellStyle name="Normal 7 13 7" xfId="7147" xr:uid="{3F7AF10C-BBF5-44CB-AE49-D899F1B58A2A}"/>
    <cellStyle name="Normal 7 13 7 2" xfId="27501" xr:uid="{CD4C4EB5-DBD3-48EC-8F2A-53F58EEB111E}"/>
    <cellStyle name="Normal 7 13 7 3" xfId="17527" xr:uid="{80DCB9DD-116E-4C3F-89E8-0FC8E6A33AFF}"/>
    <cellStyle name="Normal 7 13 8" xfId="9980" xr:uid="{9FE94840-706F-4124-B963-1EAF1B222905}"/>
    <cellStyle name="Normal 7 13 8 2" xfId="20360" xr:uid="{BDFD353B-89F6-463A-BA27-9F07C438FE06}"/>
    <cellStyle name="Normal 7 13 9" xfId="23991" xr:uid="{1DBB7AE5-BB86-489A-8864-C46BF4D7E5AD}"/>
    <cellStyle name="Normal 7 14" xfId="1350" xr:uid="{00000000-0005-0000-0000-000018070000}"/>
    <cellStyle name="Normal 7 14 2" xfId="4571" xr:uid="{4072DF07-EF14-43D3-B167-C35CAF4234D0}"/>
    <cellStyle name="Normal 7 14 2 2" xfId="9343" xr:uid="{B8A9AD22-3410-4FF4-83C7-E2DC3D14ED22}"/>
    <cellStyle name="Normal 7 14 2 2 2" xfId="29317" xr:uid="{A5799844-DFFA-455D-A86E-8427EBCB3714}"/>
    <cellStyle name="Normal 7 14 2 2 3" xfId="19723" xr:uid="{7C974998-D80F-4756-8AA6-8EBE02DE6977}"/>
    <cellStyle name="Normal 7 14 2 2 4" xfId="31106" xr:uid="{30963E68-DF7F-441E-B851-E7A8DAB34A08}"/>
    <cellStyle name="Normal 7 14 2 2 5" xfId="30421" xr:uid="{B8C63CF5-2E3D-473B-81DF-62C1DAE53521}"/>
    <cellStyle name="Normal 7 14 2 3" xfId="12176" xr:uid="{14EEB91B-D8F9-4F06-B344-22845EF1E6AA}"/>
    <cellStyle name="Normal 7 14 2 3 2" xfId="22556" xr:uid="{3B072E4D-49A0-409B-9BD9-9B2AAEACA31C}"/>
    <cellStyle name="Normal 7 14 2 4" xfId="24584" xr:uid="{5942702B-591C-4132-A5C1-66F61F49F937}"/>
    <cellStyle name="Normal 7 14 2 4 2" xfId="31154" xr:uid="{DFD19340-27A1-4EB4-9771-AFF3F37C5F8F}"/>
    <cellStyle name="Normal 7 14 2 4 3" xfId="30528" xr:uid="{097927A9-822F-4CE1-ABAF-BC40902279A8}"/>
    <cellStyle name="Normal 7 14 2 5" xfId="16890" xr:uid="{683ACCB9-7C62-4B63-B4F1-090AB6DAC786}"/>
    <cellStyle name="Normal 7 14 2 6" xfId="30416" xr:uid="{CAAFDBF3-936A-463B-A3A3-49A746E7DF3C}"/>
    <cellStyle name="Normal 7 14 3" xfId="5400" xr:uid="{FAC9975F-8F2F-4E63-A9C3-9F3C1010A589}"/>
    <cellStyle name="Normal 7 14 3 2" xfId="25774" xr:uid="{8D397C2B-E913-4504-B12F-1B0EE6347D16}"/>
    <cellStyle name="Normal 7 14 3 2 2" xfId="30609" xr:uid="{8CB35ADA-85AD-456B-A4A2-9E7935D7A153}"/>
    <cellStyle name="Normal 7 14 3 2 3" xfId="30628" xr:uid="{844DF4E4-5553-4C45-8863-EB680F88D5AA}"/>
    <cellStyle name="Normal 7 14 3 2 4" xfId="30934" xr:uid="{01A695C0-06D1-4038-BF9D-2C5EAC4E3B89}"/>
    <cellStyle name="Normal 7 14 3 3" xfId="27633" xr:uid="{07857877-B5B2-4CEB-A569-43A78CB1FF4C}"/>
    <cellStyle name="Normal 7 14 3 3 2" xfId="30637" xr:uid="{B264691C-E730-4EB5-8788-D14FC0F420C6}"/>
    <cellStyle name="Normal 7 14 3 3 3" xfId="30947" xr:uid="{6CD0E69B-2973-47A6-BAED-35F716DDA0C5}"/>
    <cellStyle name="Normal 7 14 3 4" xfId="14697" xr:uid="{15E50FBB-3C72-4F94-9257-EF48A0129430}"/>
    <cellStyle name="Normal 7 14 3 5" xfId="29616" xr:uid="{02CF52A5-91C5-41D2-A0F8-38F4DC89323C}"/>
    <cellStyle name="Normal 7 14 3 6" xfId="29612" xr:uid="{26C82F45-E903-4829-958C-65A95733CA82}"/>
    <cellStyle name="Normal 7 14 3 6 2" xfId="29652" xr:uid="{FAD90F05-E5B6-4B3C-A1D0-A7981FC7DD94}"/>
    <cellStyle name="Normal 7 14 3 6 3" xfId="30394" xr:uid="{FA523EAF-70B8-4AB1-B244-F2E2D64AD147}"/>
    <cellStyle name="Normal 7 14 3 6 4" xfId="30381" xr:uid="{D9D852A3-6220-47B4-992C-3A8987A5120D}"/>
    <cellStyle name="Normal 7 14 3 6 4 2" xfId="31720" xr:uid="{E0D828CE-13E3-40E8-9A67-00BAC0712D97}"/>
    <cellStyle name="Normal 7 14 3 7" xfId="29635" xr:uid="{34C97F94-45C7-4B15-9ED5-2C3B425DF668}"/>
    <cellStyle name="Normal 7 14 3 8" xfId="30368" xr:uid="{41672123-6C8D-4359-9C8E-48BF387564A2}"/>
    <cellStyle name="Normal 7 14 3 8 2" xfId="31707" xr:uid="{E814CD8D-8D5B-49AD-88A8-8E69D7486D14}"/>
    <cellStyle name="Normal 7 14 4" xfId="7150" xr:uid="{BDE5B7F9-0BFE-44EC-A692-1FD60098272B}"/>
    <cellStyle name="Normal 7 14 4 2" xfId="23785" xr:uid="{C36A6A98-8F2F-4C86-9EEE-E1C5209BFEB8}"/>
    <cellStyle name="Normal 7 14 4 3" xfId="25875" xr:uid="{A4AA3AA3-09A8-434A-A46E-2D81674CCE1A}"/>
    <cellStyle name="Normal 7 14 4 4" xfId="17530" xr:uid="{0CE44A9C-B3B6-4F7D-8D17-9610CFE16AA4}"/>
    <cellStyle name="Normal 7 14 4 5" xfId="30999" xr:uid="{2F8BC7AC-73B7-4F15-821E-FB071EE57409}"/>
    <cellStyle name="Normal 7 14 4 6" xfId="30420" xr:uid="{385EB25C-5F27-41F3-A609-38B7663A6BFD}"/>
    <cellStyle name="Normal 7 14 5" xfId="9983" xr:uid="{8235CE7C-372C-4318-A599-8E62C285DA7B}"/>
    <cellStyle name="Normal 7 14 5 2" xfId="29451" xr:uid="{AEDE9949-7169-4514-AE0E-4A891C24561E}"/>
    <cellStyle name="Normal 7 14 5 3" xfId="20363" xr:uid="{9449C78C-D33B-459C-BBF9-694343407FAB}"/>
    <cellStyle name="Normal 7 14 5 4" xfId="30939" xr:uid="{E0BCDBFB-8F60-42E5-B625-B2599670E8F5}"/>
    <cellStyle name="Normal 7 14 6" xfId="24136" xr:uid="{9092CC78-A25F-48A6-83D4-F44869564DEA}"/>
    <cellStyle name="Normal 7 14 7" xfId="13998" xr:uid="{0FCA37D2-3715-410D-9450-DBE88E718CBE}"/>
    <cellStyle name="Normal 7 15" xfId="2432" xr:uid="{00000000-0005-0000-0000-0000EF070000}"/>
    <cellStyle name="Normal 7 15 2" xfId="5729" xr:uid="{C5D7E416-4228-41E8-ABDC-EE69883A12CC}"/>
    <cellStyle name="Normal 7 15 2 2" xfId="23596" xr:uid="{65C6AC73-A0E6-4BCE-92BE-B668B8D5257A}"/>
    <cellStyle name="Normal 7 15 2 3" xfId="15104" xr:uid="{17D943AA-C222-4B4C-A18F-6CCE6BA583AE}"/>
    <cellStyle name="Normal 7 15 2 4" xfId="30935" xr:uid="{33745800-52FB-4055-8019-A260A36BC408}"/>
    <cellStyle name="Normal 7 15 3" xfId="7557" xr:uid="{F1E98D2C-5E23-44D7-A17A-E7E508629C08}"/>
    <cellStyle name="Normal 7 15 3 2" xfId="17937" xr:uid="{AE558860-C380-4D33-B8F4-BAFABF7E14FC}"/>
    <cellStyle name="Normal 7 15 3 3" xfId="30948" xr:uid="{0DCC9790-3146-4601-AB3F-28C8BDFFB878}"/>
    <cellStyle name="Normal 7 15 4" xfId="10390" xr:uid="{0365E554-FA94-4190-A1D6-9E0EE659857C}"/>
    <cellStyle name="Normal 7 15 4 2" xfId="20770" xr:uid="{2A88BA57-D2E1-463D-AEDB-D1CD92CC2019}"/>
    <cellStyle name="Normal 7 15 5" xfId="23728" xr:uid="{7232D1CA-690F-4D52-9D19-42CE68785447}"/>
    <cellStyle name="Normal 7 15 6" xfId="12819" xr:uid="{F5044BB9-43F3-49F3-B21A-9AD06E1D6815}"/>
    <cellStyle name="Normal 7 16" xfId="2159" xr:uid="{00000000-0005-0000-0000-0000D6070000}"/>
    <cellStyle name="Normal 7 16 2" xfId="7286" xr:uid="{487A9249-76DA-44C0-9FB7-C1ECCC926A3F}"/>
    <cellStyle name="Normal 7 16 2 2" xfId="17666" xr:uid="{E8531131-82DE-4A9C-9E7C-B57E41F8A0D7}"/>
    <cellStyle name="Normal 7 16 2 3" xfId="30950" xr:uid="{A45B824F-5108-4980-B469-78E9818C36B4}"/>
    <cellStyle name="Normal 7 16 3" xfId="10119" xr:uid="{55FE5E11-08C7-4A4A-B6B1-9A55D8442D61}"/>
    <cellStyle name="Normal 7 16 3 2" xfId="20499" xr:uid="{5B263FD6-644E-4205-BA6A-B5FA3C82A433}"/>
    <cellStyle name="Normal 7 16 4" xfId="24615" xr:uid="{3531CAC4-9557-447A-A968-11C6FD1FBF49}"/>
    <cellStyle name="Normal 7 16 5" xfId="14833" xr:uid="{EA3CD99F-CEAA-4377-8E06-36E914726435}"/>
    <cellStyle name="Normal 7 17" xfId="3784" xr:uid="{341F80F6-8699-4561-8A3C-2CE4C55CAADA}"/>
    <cellStyle name="Normal 7 17 2" xfId="8623" xr:uid="{1FC80999-4DDE-48CF-962D-7BAF4D6653EE}"/>
    <cellStyle name="Normal 7 17 2 2" xfId="19003" xr:uid="{ED9F5490-6BEC-49DB-B407-08529B63281F}"/>
    <cellStyle name="Normal 7 17 3" xfId="11456" xr:uid="{85BFA86A-976C-4244-B91D-A4A316DF7FAA}"/>
    <cellStyle name="Normal 7 17 3 2" xfId="21836" xr:uid="{EBB9E23C-1929-404A-8369-AB114746F9B3}"/>
    <cellStyle name="Normal 7 17 4" xfId="16170" xr:uid="{19ED6957-761A-498A-9DB7-0D4BB90DEA23}"/>
    <cellStyle name="Normal 7 18" xfId="23716" xr:uid="{275285CC-AC04-46B2-8894-D88E3A4793D8}"/>
    <cellStyle name="Normal 7 19" xfId="12391" xr:uid="{409BED8C-AD22-4BB5-AC49-DFFDB915DE9E}"/>
    <cellStyle name="Normal 7 2" xfId="1351" xr:uid="{00000000-0005-0000-0000-000019070000}"/>
    <cellStyle name="Normal 7 2 2" xfId="1352" xr:uid="{00000000-0005-0000-0000-00001A070000}"/>
    <cellStyle name="Normal 7 2 3" xfId="29579" xr:uid="{C9FAE160-566D-4193-A935-2D0DA2B23E4F}"/>
    <cellStyle name="Normal 7 20" xfId="29578" xr:uid="{642B267D-0DF7-40DE-B31F-199C69FB4D2F}"/>
    <cellStyle name="Normal 7 20 2" xfId="29834" xr:uid="{06A9DF73-34B1-440D-84B3-8A48C8702549}"/>
    <cellStyle name="Normal 7 20 2 2" xfId="31246" xr:uid="{209E63D4-6E49-46E2-AC41-4E8AA5C77F37}"/>
    <cellStyle name="Normal 7 21" xfId="29979" xr:uid="{9CE9C7A0-056C-44AD-A33D-E7968E3C6153}"/>
    <cellStyle name="Normal 7 21 2" xfId="31501" xr:uid="{FFA9F5D8-7DC6-4F24-B4CD-E82A02F1D2A8}"/>
    <cellStyle name="Normal 7 22" xfId="30111" xr:uid="{758F768F-0264-4A45-A815-34609497E100}"/>
    <cellStyle name="Normal 7 3" xfId="1353" xr:uid="{00000000-0005-0000-0000-00001B070000}"/>
    <cellStyle name="Normal 7 3 2" xfId="1354" xr:uid="{00000000-0005-0000-0000-00001C070000}"/>
    <cellStyle name="Normal 7 3 3" xfId="1355" xr:uid="{00000000-0005-0000-0000-00001D070000}"/>
    <cellStyle name="Normal 7 3 3 2" xfId="1356" xr:uid="{00000000-0005-0000-0000-00001E070000}"/>
    <cellStyle name="Normal 7 3 3 2 2" xfId="1357" xr:uid="{00000000-0005-0000-0000-00001F070000}"/>
    <cellStyle name="Normal 7 3 3 2 3" xfId="1358" xr:uid="{00000000-0005-0000-0000-000020070000}"/>
    <cellStyle name="Normal 7 3 3 2 3 2" xfId="1359" xr:uid="{00000000-0005-0000-0000-000021070000}"/>
    <cellStyle name="Normal 7 3 3 2 3 2 2" xfId="1360" xr:uid="{00000000-0005-0000-0000-000022070000}"/>
    <cellStyle name="Normal 7 3 3 2 3 2 2 2" xfId="25809" xr:uid="{3A610EB4-A016-4959-9696-204DE0AAB876}"/>
    <cellStyle name="Normal 7 3 3 2 3 2 2 3" xfId="25207" xr:uid="{8ED66FBA-2D40-4643-9B61-F1E32A491FDE}"/>
    <cellStyle name="Normal 7 3 3 2 3 2 3" xfId="1361" xr:uid="{00000000-0005-0000-0000-000023070000}"/>
    <cellStyle name="Normal 7 3 3 2 3 2 3 2" xfId="2026" xr:uid="{00000000-0005-0000-0000-000024070000}"/>
    <cellStyle name="Normal 7 3 3 2 3 2 3 3" xfId="3761" xr:uid="{00000000-0005-0000-0000-000084060000}"/>
    <cellStyle name="Normal 7 3 3 2 3 2 3 3 2" xfId="4739" xr:uid="{14F8C66C-3AFD-4960-8379-ECACDC0C00A0}"/>
    <cellStyle name="Normal 7 3 3 2 3 2 3 3 3" xfId="30286" xr:uid="{CC748A5D-0BEB-4944-8F3D-97F8CF0BB353}"/>
    <cellStyle name="Normal 7 3 3 2 3 2 3 3 3 2" xfId="31429" xr:uid="{6DA37E3D-007F-49C2-A12C-7354CDCD0FDC}"/>
    <cellStyle name="Normal 7 3 3 2 3 2 3 3 4" xfId="31626" xr:uid="{A591BBBB-0D4A-46D3-A04A-7C0B2D602A7C}"/>
    <cellStyle name="Normal 7 3 3 2 3 2 4" xfId="24308" xr:uid="{4F4781A6-ECE1-4C9E-AC58-6E5C10C0A2BA}"/>
    <cellStyle name="Normal 7 3 3 2 3 3" xfId="1362" xr:uid="{00000000-0005-0000-0000-000025070000}"/>
    <cellStyle name="Normal 7 3 3 2 3 4" xfId="2983" xr:uid="{00000000-0005-0000-0000-0000FA070000}"/>
    <cellStyle name="Normal 7 3 3 2 3 4 2" xfId="31276" xr:uid="{FE80F6DF-4597-4CFB-BBD3-5BE6A13FC5D1}"/>
    <cellStyle name="Normal 7 3 3 2 3 5" xfId="2145" xr:uid="{00000000-0005-0000-0000-0000F7020000}"/>
    <cellStyle name="Normal 7 3 3 2 3 5 2" xfId="4635" xr:uid="{4276D1A2-DC93-4587-8A35-0E2B48A1053D}"/>
    <cellStyle name="Normal 7 3 3 2 3 5 3" xfId="30226" xr:uid="{26797C4E-8D1E-4032-A1BF-A4CEED6C0C3E}"/>
    <cellStyle name="Normal 7 3 3 2 3 5 3 2" xfId="31370" xr:uid="{AE22E742-9D01-4013-99C2-F097DBB0C902}"/>
    <cellStyle name="Normal 7 3 3 2 3 5 4" xfId="31566" xr:uid="{44215A84-68FA-41D8-95CF-672B06952FBE}"/>
    <cellStyle name="Normal 7 3 3 2 3 6" xfId="4055" xr:uid="{B827FBD5-2E2E-4EC7-8D41-DDFF87CC148D}"/>
    <cellStyle name="Normal 7 3 3 2 3 6 2" xfId="4800" xr:uid="{41E9EAB1-F610-481E-9DBF-172EE15DBDDE}"/>
    <cellStyle name="Normal 7 3 3 2 3 6 3" xfId="30341" xr:uid="{1870D514-1782-4A72-924A-46F157C54A64}"/>
    <cellStyle name="Normal 7 3 3 2 3 6 3 2" xfId="31483" xr:uid="{10473CFF-088B-46C0-9F1B-6A43DFDE6F83}"/>
    <cellStyle name="Normal 7 3 3 2 3 6 4" xfId="31681" xr:uid="{A0C69ABB-68AB-49B8-8AA7-23CBE1147DF3}"/>
    <cellStyle name="Normal 7 3 3 2 3 7" xfId="30160" xr:uid="{780A71C4-DEF8-4E6E-ACC0-3655804A98B1}"/>
    <cellStyle name="Normal 7 3 3 2 3 7 2" xfId="30530" xr:uid="{0EEE45BB-0632-4849-9B3D-03E60AC02070}"/>
    <cellStyle name="Normal 7 3 3 2 4" xfId="1363" xr:uid="{00000000-0005-0000-0000-000026070000}"/>
    <cellStyle name="Normal 7 3 3 2 4 2" xfId="2982" xr:uid="{00000000-0005-0000-0000-0000FB070000}"/>
    <cellStyle name="Normal 7 3 3 2 4 3" xfId="25208" xr:uid="{B0C3B96C-3DDC-4AE2-9FBF-450A9524DC4A}"/>
    <cellStyle name="Normal 7 3 3 2 4 3 2" xfId="29624" xr:uid="{D5A67649-7538-431D-8D7A-5AD8C95F5258}"/>
    <cellStyle name="Normal 7 3 3 2 4 3 3" xfId="29613" xr:uid="{66300240-9CE0-4062-9E28-4F6B04AC2CFD}"/>
    <cellStyle name="Normal 7 3 3 2 4 3 3 2" xfId="29653" xr:uid="{6CAF7E09-E7DB-45FE-975B-5EBB75C74D81}"/>
    <cellStyle name="Normal 7 3 3 2 4 3 3 3" xfId="30395" xr:uid="{298B7D3F-FBD5-4460-93A9-F54645816E7E}"/>
    <cellStyle name="Normal 7 3 3 2 4 3 3 4" xfId="30382" xr:uid="{EB6E69B1-D944-4719-98E3-285669324B35}"/>
    <cellStyle name="Normal 7 3 3 2 4 3 3 4 2" xfId="31721" xr:uid="{C95F887A-0DE3-4885-9933-DFDC3C26B10C}"/>
    <cellStyle name="Normal 7 3 3 2 4 3 4" xfId="30369" xr:uid="{51F68BB7-1CBC-471B-8C45-133EBC2770D2}"/>
    <cellStyle name="Normal 7 3 3 2 4 3 4 2" xfId="31708" xr:uid="{9A461396-9683-439E-A844-9F185B081F12}"/>
    <cellStyle name="Normal 7 3 3 2 5" xfId="2144" xr:uid="{00000000-0005-0000-0000-0000F5020000}"/>
    <cellStyle name="Normal 7 3 3 2 5 2" xfId="4663" xr:uid="{8519FF03-5F6D-4EB4-B933-25C9AA886D70}"/>
    <cellStyle name="Normal 7 3 3 2 5 3" xfId="30225" xr:uid="{3961AF33-EFDD-4226-A841-E3976186FFD4}"/>
    <cellStyle name="Normal 7 3 3 2 5 3 2" xfId="31369" xr:uid="{16EBF1E3-7968-444B-8C3D-D7DC786844C8}"/>
    <cellStyle name="Normal 7 3 3 2 5 4" xfId="31565" xr:uid="{214AA77A-3A32-4BAE-847A-D697B49E96EA}"/>
    <cellStyle name="Normal 7 3 3 2 6" xfId="4054" xr:uid="{0F69AA1D-AABD-4773-8E71-6D7F88104E7D}"/>
    <cellStyle name="Normal 7 3 3 2 6 2" xfId="4706" xr:uid="{FBE10302-99A6-4D2B-BB8D-B20AC5081845}"/>
    <cellStyle name="Normal 7 3 3 2 6 3" xfId="30340" xr:uid="{A37C4874-8220-4154-9C48-359C73DA2E56}"/>
    <cellStyle name="Normal 7 3 3 2 6 3 2" xfId="31482" xr:uid="{1468B4C2-4CC6-4853-886D-572963C37F80}"/>
    <cellStyle name="Normal 7 3 3 2 6 4" xfId="31680" xr:uid="{70321CC2-308C-492B-9C17-C00F1D0D05E8}"/>
    <cellStyle name="Normal 7 3 3 2 7" xfId="30159" xr:uid="{FA8D9B86-1118-4618-BB6D-43B775B037D2}"/>
    <cellStyle name="Normal 7 3 3 2 7 2" xfId="30529" xr:uid="{5EDFF2C5-0B36-4BC0-9185-4FF885E1700E}"/>
    <cellStyle name="Normal 7 3 3 3" xfId="1364" xr:uid="{00000000-0005-0000-0000-000027070000}"/>
    <cellStyle name="Normal 7 3 3 4" xfId="1365" xr:uid="{00000000-0005-0000-0000-000028070000}"/>
    <cellStyle name="Normal 7 3 3 4 2" xfId="1366" xr:uid="{00000000-0005-0000-0000-000029070000}"/>
    <cellStyle name="Normal 7 3 3 4 2 2" xfId="1367" xr:uid="{00000000-0005-0000-0000-00002A070000}"/>
    <cellStyle name="Normal 7 3 3 4 2 2 2" xfId="1368" xr:uid="{00000000-0005-0000-0000-00002B070000}"/>
    <cellStyle name="Normal 7 3 3 4 2 2 2 2" xfId="2027" xr:uid="{00000000-0005-0000-0000-00002C070000}"/>
    <cellStyle name="Normal 7 3 3 4 2 2 2 2 2" xfId="30080" xr:uid="{3537F8E7-8F63-4952-A614-60ED7C47A13A}"/>
    <cellStyle name="Normal 7 3 3 4 2 2 2 3" xfId="3762" xr:uid="{00000000-0005-0000-0000-00008B060000}"/>
    <cellStyle name="Normal 7 3 3 4 2 2 2 3 2" xfId="4690" xr:uid="{FFDAA0C2-4A8B-4197-B6CC-922603129983}"/>
    <cellStyle name="Normal 7 3 3 4 2 2 2 3 3" xfId="30287" xr:uid="{A5F56370-D827-4B99-ABC8-6275F53DD26A}"/>
    <cellStyle name="Normal 7 3 3 4 2 2 2 3 3 2" xfId="31430" xr:uid="{1B7941D8-E613-4CAB-A60E-F55CDB998239}"/>
    <cellStyle name="Normal 7 3 3 4 2 2 2 3 4" xfId="31627" xr:uid="{07B95D85-B905-48E7-BD19-0355BFAB2114}"/>
    <cellStyle name="Normal 7 3 3 4 2 2 2 4" xfId="23538" xr:uid="{5DC698DF-1EB8-4352-991D-5DF81557D20A}"/>
    <cellStyle name="Normal 7 3 3 4 2 2 3" xfId="2028" xr:uid="{00000000-0005-0000-0000-00002D070000}"/>
    <cellStyle name="Normal 7 3 3 4 2 2 4" xfId="24128" xr:uid="{6B4D953D-C7AF-48CD-AB50-65538F78D7AC}"/>
    <cellStyle name="Normal 7 3 3 4 2 3" xfId="1369" xr:uid="{00000000-0005-0000-0000-00002E070000}"/>
    <cellStyle name="Normal 7 3 3 4 2 3 2" xfId="1370" xr:uid="{00000000-0005-0000-0000-00002F070000}"/>
    <cellStyle name="Normal 7 3 3 4 2 3 2 2" xfId="25760" xr:uid="{9FC1AC3D-9F28-4DA0-9380-BC7E4A0369FC}"/>
    <cellStyle name="Normal 7 3 3 4 2 3 2 3" xfId="23622" xr:uid="{84AE4A6D-2B0B-43BB-8CE5-1E2B5F205C09}"/>
    <cellStyle name="Normal 7 3 3 4 2 3 3" xfId="1371" xr:uid="{00000000-0005-0000-0000-000030070000}"/>
    <cellStyle name="Normal 7 3 3 4 2 3 3 2" xfId="23825" xr:uid="{CCE458EA-8A72-49FE-A77A-634330E76522}"/>
    <cellStyle name="Normal 7 3 3 4 2 3 3 3" xfId="22773" xr:uid="{D5AB1874-6DDC-44B8-AD25-F7B2D8D3E562}"/>
    <cellStyle name="Normal 7 3 3 4 2 3 4" xfId="2147" xr:uid="{00000000-0005-0000-0000-0000FD020000}"/>
    <cellStyle name="Normal 7 3 3 4 2 3 4 2" xfId="4813" xr:uid="{85B8BA1F-331D-494F-A0E7-481902D278F4}"/>
    <cellStyle name="Normal 7 3 3 4 2 3 4 3" xfId="30228" xr:uid="{F67EB70F-E06D-4EBB-9414-4F6A0ABDCA9A}"/>
    <cellStyle name="Normal 7 3 3 4 2 3 4 3 2" xfId="31372" xr:uid="{150FAA65-DC89-4157-9322-130B051ADE2F}"/>
    <cellStyle name="Normal 7 3 3 4 2 3 4 4" xfId="31568" xr:uid="{BC1256C2-D523-4DD4-AA26-053BFC807901}"/>
    <cellStyle name="Normal 7 3 3 4 2 3 5" xfId="24402" xr:uid="{AE0E1D6A-38CA-406E-AE73-788945631526}"/>
    <cellStyle name="Normal 7 3 3 4 2 3 6" xfId="30544" xr:uid="{AC01CEC4-5B95-4E42-8FF7-121F69B77E99}"/>
    <cellStyle name="Normal 7 3 3 4 2 4" xfId="23708" xr:uid="{E6762BC0-4988-4223-B09E-CC35F0BD73AE}"/>
    <cellStyle name="Normal 7 3 3 4 3" xfId="1372" xr:uid="{00000000-0005-0000-0000-000031070000}"/>
    <cellStyle name="Normal 7 3 3 4 4" xfId="2984" xr:uid="{00000000-0005-0000-0000-000003080000}"/>
    <cellStyle name="Normal 7 3 3 4 4 2" xfId="31290" xr:uid="{9F4A7FD4-2CC3-4D75-A163-54E002A5B431}"/>
    <cellStyle name="Normal 7 3 3 4 5" xfId="2146" xr:uid="{00000000-0005-0000-0000-0000FA020000}"/>
    <cellStyle name="Normal 7 3 3 4 5 2" xfId="4023" xr:uid="{6D2F6D47-4728-4B49-AE2E-D503982C4500}"/>
    <cellStyle name="Normal 7 3 3 4 5 3" xfId="30227" xr:uid="{B4C65A3C-9A2A-47E6-ACA6-EABEB7F3EC73}"/>
    <cellStyle name="Normal 7 3 3 4 5 3 2" xfId="31371" xr:uid="{16A1F998-BDD9-48F0-A1CA-3C3865A23834}"/>
    <cellStyle name="Normal 7 3 3 4 5 4" xfId="31567" xr:uid="{C81BDD7A-E442-49FA-9146-5D12360A9450}"/>
    <cellStyle name="Normal 7 3 3 4 6" xfId="4056" xr:uid="{3D663429-9E72-4EFF-8B04-88C376DF2815}"/>
    <cellStyle name="Normal 7 3 3 4 6 2" xfId="4796" xr:uid="{AEA4314F-DE64-4934-8CDE-F04585260C3B}"/>
    <cellStyle name="Normal 7 3 3 4 6 3" xfId="30342" xr:uid="{6116923A-F62C-4F9F-A326-D07A8FD4381A}"/>
    <cellStyle name="Normal 7 3 3 4 6 3 2" xfId="31484" xr:uid="{CDC4F293-C87D-4A0F-B788-8B9E787F9DF4}"/>
    <cellStyle name="Normal 7 3 3 4 6 4" xfId="31682" xr:uid="{85689CFE-9FF2-4DE3-9BD0-535F40259C97}"/>
    <cellStyle name="Normal 7 3 3 4 7" xfId="30161" xr:uid="{52394549-E29E-4278-9C6A-6C4AFCC85D43}"/>
    <cellStyle name="Normal 7 3 3 4 7 2" xfId="30531" xr:uid="{79991904-AF5C-4236-8DCF-6C2BEDC43AA3}"/>
    <cellStyle name="Normal 7 3 3 5" xfId="1373" xr:uid="{00000000-0005-0000-0000-000032070000}"/>
    <cellStyle name="Normal 7 3 3 5 2" xfId="1374" xr:uid="{00000000-0005-0000-0000-000033070000}"/>
    <cellStyle name="Normal 7 3 3 5 3" xfId="3763" xr:uid="{00000000-0005-0000-0000-000092060000}"/>
    <cellStyle name="Normal 7 3 3 5 3 2" xfId="4797" xr:uid="{E8168558-99C5-46A5-A612-2FC93BC3CDFD}"/>
    <cellStyle name="Normal 7 3 3 5 3 2 2" xfId="27332" xr:uid="{602079EF-2278-456C-B1D0-880B1CB11283}"/>
    <cellStyle name="Normal 7 3 3 5 3 3" xfId="25223" xr:uid="{B55B4F7C-6E21-48BE-9E2E-2D34FC86B976}"/>
    <cellStyle name="Normal 7 3 3 5 3 4" xfId="30288" xr:uid="{7DB1975E-D21E-4CBF-9637-4AE3E6D74C12}"/>
    <cellStyle name="Normal 7 3 3 5 3 4 2" xfId="31431" xr:uid="{99ECBF59-1354-4783-BEAE-B7E19B25B945}"/>
    <cellStyle name="Normal 7 3 3 5 3 5" xfId="31628" xr:uid="{7D588285-A419-4667-B536-46B1B8B1ACDD}"/>
    <cellStyle name="Normal 7 3 3 5 4" xfId="24261" xr:uid="{83907BAB-0BFF-4471-B445-39A5F57DBBD9}"/>
    <cellStyle name="Normal 7 3 4" xfId="1375" xr:uid="{00000000-0005-0000-0000-000034070000}"/>
    <cellStyle name="Normal 7 3 4 2" xfId="1376" xr:uid="{00000000-0005-0000-0000-000035070000}"/>
    <cellStyle name="Normal 7 3 4 3" xfId="1377" xr:uid="{00000000-0005-0000-0000-000036070000}"/>
    <cellStyle name="Normal 7 3 4 3 2" xfId="1378" xr:uid="{00000000-0005-0000-0000-000037070000}"/>
    <cellStyle name="Normal 7 3 4 3 2 2" xfId="1379" xr:uid="{00000000-0005-0000-0000-000038070000}"/>
    <cellStyle name="Normal 7 3 4 3 2 2 2" xfId="25627" xr:uid="{D88E8471-D92D-49F6-980C-BD36AA4D314B}"/>
    <cellStyle name="Normal 7 3 4 3 2 2 3" xfId="25735" xr:uid="{126A297B-7ADB-4933-9CCB-2FD3B77C74DF}"/>
    <cellStyle name="Normal 7 3 4 3 2 3" xfId="1380" xr:uid="{00000000-0005-0000-0000-000039070000}"/>
    <cellStyle name="Normal 7 3 4 3 2 3 2" xfId="2029" xr:uid="{00000000-0005-0000-0000-00003A070000}"/>
    <cellStyle name="Normal 7 3 4 3 2 3 3" xfId="3764" xr:uid="{00000000-0005-0000-0000-000099060000}"/>
    <cellStyle name="Normal 7 3 4 3 2 3 3 2" xfId="4821" xr:uid="{AF1FEBE8-E3EC-4326-BAB1-44332DCC67E2}"/>
    <cellStyle name="Normal 7 3 4 3 2 3 3 3" xfId="30289" xr:uid="{30109096-014C-4DA2-92E3-E5015E0ECB5D}"/>
    <cellStyle name="Normal 7 3 4 3 2 3 3 3 2" xfId="31432" xr:uid="{EAB0C2EA-DC67-4172-92E3-7F9D56EB00AD}"/>
    <cellStyle name="Normal 7 3 4 3 2 3 3 4" xfId="31629" xr:uid="{9BD9345E-9D68-4A3B-B175-A464CEC94D75}"/>
    <cellStyle name="Normal 7 3 4 3 2 4" xfId="25414" xr:uid="{F055F10B-64A1-40D8-B460-1A174561E6AE}"/>
    <cellStyle name="Normal 7 3 4 3 3" xfId="1381" xr:uid="{00000000-0005-0000-0000-00003B070000}"/>
    <cellStyle name="Normal 7 3 4 3 4" xfId="2985" xr:uid="{00000000-0005-0000-0000-000009080000}"/>
    <cellStyle name="Normal 7 3 4 3 4 2" xfId="31299" xr:uid="{51B7DBEA-ED31-4954-9F86-83029453074D}"/>
    <cellStyle name="Normal 7 3 4 3 5" xfId="2149" xr:uid="{00000000-0005-0000-0000-000001030000}"/>
    <cellStyle name="Normal 7 3 4 3 5 2" xfId="4669" xr:uid="{E82F8251-A2EF-493C-99EC-798453FDB072}"/>
    <cellStyle name="Normal 7 3 4 3 5 3" xfId="30230" xr:uid="{A6924A06-14A6-48AE-A85A-4DABC1CC13E5}"/>
    <cellStyle name="Normal 7 3 4 3 5 3 2" xfId="31374" xr:uid="{C8D4E907-8DE5-4032-99CD-497732C57A8C}"/>
    <cellStyle name="Normal 7 3 4 3 5 4" xfId="31570" xr:uid="{2AED3941-1FFB-4F03-B67E-AF20682A3540}"/>
    <cellStyle name="Normal 7 3 4 3 6" xfId="4058" xr:uid="{19AF6C94-1102-41EB-A615-06CFDA2F78F6}"/>
    <cellStyle name="Normal 7 3 4 3 6 2" xfId="4819" xr:uid="{0CC34133-4C51-4581-8706-421D8E52AF25}"/>
    <cellStyle name="Normal 7 3 4 3 6 3" xfId="30344" xr:uid="{F2BB3124-6AE4-40BC-B519-5A61E185E003}"/>
    <cellStyle name="Normal 7 3 4 3 6 3 2" xfId="31486" xr:uid="{6FDB91E1-41FC-4670-9B2F-D9DC69D295B1}"/>
    <cellStyle name="Normal 7 3 4 3 6 4" xfId="31684" xr:uid="{94F26B9A-DF18-4DFF-9BB3-356E8653AEE6}"/>
    <cellStyle name="Normal 7 3 4 3 7" xfId="30163" xr:uid="{8FB8729F-E256-4613-98CA-4EC4024F1636}"/>
    <cellStyle name="Normal 7 3 4 3 7 2" xfId="30533" xr:uid="{D8F8BCBD-9FA9-4694-BE0E-FA68B6A82F77}"/>
    <cellStyle name="Normal 7 3 4 4" xfId="1382" xr:uid="{00000000-0005-0000-0000-00003C070000}"/>
    <cellStyle name="Normal 7 3 4 4 2" xfId="2030" xr:uid="{00000000-0005-0000-0000-00003D070000}"/>
    <cellStyle name="Normal 7 3 4 4 3" xfId="3765" xr:uid="{00000000-0005-0000-0000-00009C060000}"/>
    <cellStyle name="Normal 7 3 4 4 3 2" xfId="4748" xr:uid="{0576D2F5-5022-46BF-A95D-FDE144D163B9}"/>
    <cellStyle name="Normal 7 3 4 4 3 3" xfId="30290" xr:uid="{33067305-5030-4C44-A096-EB1A04AB9E17}"/>
    <cellStyle name="Normal 7 3 4 4 3 3 2" xfId="31433" xr:uid="{5464B581-FC1F-4F05-88EE-62C6E6E88CAA}"/>
    <cellStyle name="Normal 7 3 4 4 3 4" xfId="31630" xr:uid="{0A8F1EDA-FA33-459B-B2F0-524CCFD0733E}"/>
    <cellStyle name="Normal 7 3 4 5" xfId="2148" xr:uid="{00000000-0005-0000-0000-0000FF020000}"/>
    <cellStyle name="Normal 7 3 4 5 2" xfId="4676" xr:uid="{62B191F5-1F42-4E10-9F64-94BCDEA70967}"/>
    <cellStyle name="Normal 7 3 4 5 3" xfId="30229" xr:uid="{754916DA-38F4-4DB4-AC60-276D3B784FE8}"/>
    <cellStyle name="Normal 7 3 4 5 3 2" xfId="31373" xr:uid="{044A87F7-8EA1-490E-9C8D-11D6D6BAE37E}"/>
    <cellStyle name="Normal 7 3 4 5 4" xfId="31569" xr:uid="{5DA86EC8-8286-4878-8542-77217A13FFA4}"/>
    <cellStyle name="Normal 7 3 4 6" xfId="4057" xr:uid="{FA0FC87F-FC4E-4E3F-98FE-B3C6B8313692}"/>
    <cellStyle name="Normal 7 3 4 6 2" xfId="4766" xr:uid="{56DF81AD-9939-4BBA-9856-A8B717C867ED}"/>
    <cellStyle name="Normal 7 3 4 6 3" xfId="30343" xr:uid="{B20B5A7A-FDC4-4249-8466-A745C0238C84}"/>
    <cellStyle name="Normal 7 3 4 6 3 2" xfId="31485" xr:uid="{A0200AC4-E0FC-4EF7-BE2C-B088557646B3}"/>
    <cellStyle name="Normal 7 3 4 6 4" xfId="31683" xr:uid="{3694F6B6-85D0-4B9D-A3E8-21FFBEDC8837}"/>
    <cellStyle name="Normal 7 3 4 7" xfId="30162" xr:uid="{547D83AB-00BA-499B-81A0-779EECACE4D6}"/>
    <cellStyle name="Normal 7 3 4 7 2" xfId="30532" xr:uid="{C34CEC2F-9910-42A5-A6D6-E9823FE39A10}"/>
    <cellStyle name="Normal 7 3 5" xfId="2072" xr:uid="{00000000-0005-0000-0000-0000F2020000}"/>
    <cellStyle name="Normal 7 3 5 2" xfId="4780" xr:uid="{2BC8EFBC-06F5-4C7E-B0DC-F1B8E24A78E5}"/>
    <cellStyle name="Normal 7 3 5 3" xfId="30172" xr:uid="{DECA1B29-BBE5-4B43-B1E4-970DDF40EAFE}"/>
    <cellStyle name="Normal 7 3 5 3 2" xfId="30534" xr:uid="{1E65DB43-42EC-4ED4-993E-326E053D0E1B}"/>
    <cellStyle name="Normal 7 3 5 4" xfId="31512" xr:uid="{62585BCE-F536-46B9-8EFD-7DDBD82F7D6A}"/>
    <cellStyle name="Normal 7 3 6" xfId="29580" xr:uid="{F508C06F-0760-4DB3-8A82-A860AE1FCD26}"/>
    <cellStyle name="Normal 7 3 6 2" xfId="31247" xr:uid="{35461E4B-121A-4F8F-8CB4-021E38307A97}"/>
    <cellStyle name="Normal 7 3 6 3" xfId="30477" xr:uid="{EA0BC44F-1276-48AD-906F-6873BECD3DA1}"/>
    <cellStyle name="Normal 7 3 7" xfId="30116" xr:uid="{AA681422-51CE-46B6-A8B2-24AE11AA003A}"/>
    <cellStyle name="Normal 7 3 7 2" xfId="31502" xr:uid="{57282A1B-C9B2-4738-A048-DE5BEE2B6052}"/>
    <cellStyle name="Normal 7 4" xfId="1383" xr:uid="{00000000-0005-0000-0000-00003E070000}"/>
    <cellStyle name="Normal 7 4 10" xfId="1384" xr:uid="{00000000-0005-0000-0000-00003F070000}"/>
    <cellStyle name="Normal 7 4 10 10" xfId="12626" xr:uid="{E39E0DB2-1C99-4921-9289-604FC440D3A7}"/>
    <cellStyle name="Normal 7 4 10 2" xfId="1385" xr:uid="{00000000-0005-0000-0000-000040070000}"/>
    <cellStyle name="Normal 7 4 10 2 2" xfId="2986" xr:uid="{00000000-0005-0000-0000-00000E080000}"/>
    <cellStyle name="Normal 7 4 10 2 2 2" xfId="6136" xr:uid="{58BC0567-405B-4413-914D-5689FA1AE9E6}"/>
    <cellStyle name="Normal 7 4 10 2 2 2 2" xfId="25975" xr:uid="{F32906AA-0510-44F9-AFF5-3E96B250F34E}"/>
    <cellStyle name="Normal 7 4 10 2 2 2 3" xfId="27351" xr:uid="{D1FF3C20-ECA0-445F-B991-2445EF58CA2F}"/>
    <cellStyle name="Normal 7 4 10 2 2 2 4" xfId="15614" xr:uid="{A53AFE9F-0E8E-4969-A9A4-79BCBB14F77E}"/>
    <cellStyle name="Normal 7 4 10 2 2 3" xfId="8067" xr:uid="{7212056B-159D-48BF-83C8-1347DB78FEC6}"/>
    <cellStyle name="Normal 7 4 10 2 2 3 2" xfId="28765" xr:uid="{0667C046-2EFC-4FAD-A0D1-FF6576649D79}"/>
    <cellStyle name="Normal 7 4 10 2 2 3 3" xfId="18447" xr:uid="{6262987E-DA53-4006-977A-3849AD0E8858}"/>
    <cellStyle name="Normal 7 4 10 2 2 4" xfId="10900" xr:uid="{F637C2E1-7753-4B4C-8F16-9AA66DDDAEF0}"/>
    <cellStyle name="Normal 7 4 10 2 2 4 2" xfId="21280" xr:uid="{6613C23C-B3E5-4227-8591-EB121E6D78E9}"/>
    <cellStyle name="Normal 7 4 10 2 2 5" xfId="22714" xr:uid="{3706A199-799F-4D6F-83FD-41BDE783AE20}"/>
    <cellStyle name="Normal 7 4 10 2 2 6" xfId="13482" xr:uid="{F64751DD-61FF-49E7-BFF5-F0A719CB7884}"/>
    <cellStyle name="Normal 7 4 10 2 3" xfId="5403" xr:uid="{5983E34B-CA1D-45DA-8353-366D5E3A0CB4}"/>
    <cellStyle name="Normal 7 4 10 2 3 2" xfId="23455" xr:uid="{225ACEA7-5C66-4905-85C6-E09D28963687}"/>
    <cellStyle name="Normal 7 4 10 2 3 3" xfId="26502" xr:uid="{EC4744C8-04D9-4EC6-8C7D-BD8F9EF2515F}"/>
    <cellStyle name="Normal 7 4 10 2 3 4" xfId="14700" xr:uid="{3D4EA00A-6101-40BC-B90B-10E6FC343E5C}"/>
    <cellStyle name="Normal 7 4 10 2 4" xfId="7153" xr:uid="{A7ECD047-1A9C-410E-881F-47F5A66CACB4}"/>
    <cellStyle name="Normal 7 4 10 2 4 2" xfId="28101" xr:uid="{ABDA0BE5-DD38-480E-92B7-0A0E036EF30E}"/>
    <cellStyle name="Normal 7 4 10 2 4 3" xfId="26538" xr:uid="{B3F0F765-866B-42F2-8B79-EDCEE9283A31}"/>
    <cellStyle name="Normal 7 4 10 2 4 4" xfId="17533" xr:uid="{A6A9B4F8-16F6-490E-AB24-06E45B887DEE}"/>
    <cellStyle name="Normal 7 4 10 2 5" xfId="9986" xr:uid="{B0E34A6C-8106-4A35-BE87-8A751D666FA6}"/>
    <cellStyle name="Normal 7 4 10 2 5 2" xfId="29452" xr:uid="{6D64EC46-F50E-44F4-860D-875C63C9FF2B}"/>
    <cellStyle name="Normal 7 4 10 2 5 3" xfId="20366" xr:uid="{B05791DD-FB82-4608-A729-E2967A40F98A}"/>
    <cellStyle name="Normal 7 4 10 2 6" xfId="23358" xr:uid="{BB82E11A-01DC-407C-BA19-8383DF702642}"/>
    <cellStyle name="Normal 7 4 10 2 7" xfId="12784" xr:uid="{2A40A123-DB6D-4CAD-B3EF-8D16581D2066}"/>
    <cellStyle name="Normal 7 4 10 3" xfId="1386" xr:uid="{00000000-0005-0000-0000-000041070000}"/>
    <cellStyle name="Normal 7 4 10 3 2" xfId="5404" xr:uid="{90229E99-CEEA-4005-976E-676561CE60D7}"/>
    <cellStyle name="Normal 7 4 10 3 2 2" xfId="27219" xr:uid="{68BD47C5-D462-4D85-B923-6CEFB2F05EF6}"/>
    <cellStyle name="Normal 7 4 10 3 2 3" xfId="28099" xr:uid="{DE055B0B-A8BE-45C7-ABC5-2C84D52B9FE3}"/>
    <cellStyle name="Normal 7 4 10 3 2 4" xfId="14701" xr:uid="{2D77293D-C59F-4086-931B-813966E04C5A}"/>
    <cellStyle name="Normal 7 4 10 3 3" xfId="7154" xr:uid="{F1967FBE-A3A8-4F88-8621-8D068AA57768}"/>
    <cellStyle name="Normal 7 4 10 3 3 2" xfId="28574" xr:uid="{2CE122AC-64CC-4038-8FB4-F43AAC17B16B}"/>
    <cellStyle name="Normal 7 4 10 3 3 3" xfId="26356" xr:uid="{B1A30EA3-D358-431D-A7CF-EDDD9E8E93B9}"/>
    <cellStyle name="Normal 7 4 10 3 3 4" xfId="17534" xr:uid="{50931B32-2847-4DB6-8D45-6F68A911D218}"/>
    <cellStyle name="Normal 7 4 10 3 4" xfId="9987" xr:uid="{D28DB7C0-0AF3-46D3-AC36-B9786005EE04}"/>
    <cellStyle name="Normal 7 4 10 3 4 2" xfId="29453" xr:uid="{D7534AF6-ADC2-493F-A75A-91233F6F7645}"/>
    <cellStyle name="Normal 7 4 10 3 4 3" xfId="20367" xr:uid="{E7C29FA1-E4CF-43C0-832F-7E082E95E71A}"/>
    <cellStyle name="Normal 7 4 10 3 5" xfId="23167" xr:uid="{BC4588E6-59EB-42D4-8C1A-C396DA859E20}"/>
    <cellStyle name="Normal 7 4 10 3 6" xfId="13289" xr:uid="{5FAD2BCB-9C26-4C51-BDB6-E0584DEC405D}"/>
    <cellStyle name="Normal 7 4 10 4" xfId="2392" xr:uid="{00000000-0005-0000-0000-00000C080000}"/>
    <cellStyle name="Normal 7 4 10 4 2" xfId="7519" xr:uid="{6071AF00-0683-4207-8FFF-1FA95E4222DF}"/>
    <cellStyle name="Normal 7 4 10 4 2 2" xfId="28091" xr:uid="{E8F543B3-88BC-48D6-AD29-96E64116D095}"/>
    <cellStyle name="Normal 7 4 10 4 2 3" xfId="17899" xr:uid="{3F714F41-FAB1-45A4-AEC1-FFFF63D53736}"/>
    <cellStyle name="Normal 7 4 10 4 3" xfId="10352" xr:uid="{AC62CA15-CE9F-470F-BF7F-19EFF0654FFD}"/>
    <cellStyle name="Normal 7 4 10 4 3 2" xfId="20732" xr:uid="{2B5476F8-1542-4A45-9B8B-CA77C4C773B9}"/>
    <cellStyle name="Normal 7 4 10 4 4" xfId="22887" xr:uid="{CEE392DA-D99F-41B2-9AB5-1684E1A933D9}"/>
    <cellStyle name="Normal 7 4 10 4 5" xfId="15066" xr:uid="{ECCB2C17-EA3D-4753-B88E-D1A79FC6BB59}"/>
    <cellStyle name="Normal 7 4 10 5" xfId="4060" xr:uid="{A47C9DAF-18CB-48BA-8AD7-5149BEA6F166}"/>
    <cellStyle name="Normal 7 4 10 5 2" xfId="8840" xr:uid="{93A520FB-BDD6-4069-BCED-3F1BC303313B}"/>
    <cellStyle name="Normal 7 4 10 5 2 2" xfId="28995" xr:uid="{0C8C64D4-78B4-42B4-8837-FAD504081FC6}"/>
    <cellStyle name="Normal 7 4 10 5 2 3" xfId="19220" xr:uid="{E0313ABF-E8D0-4EF3-B070-B58464E5B21E}"/>
    <cellStyle name="Normal 7 4 10 5 3" xfId="11673" xr:uid="{8B166987-21CC-4FE9-90CF-4B5C0D0BF008}"/>
    <cellStyle name="Normal 7 4 10 5 3 2" xfId="22053" xr:uid="{26496B1F-C615-4E80-8037-4D4E0929AD27}"/>
    <cellStyle name="Normal 7 4 10 5 4" xfId="24474" xr:uid="{BFEDEBE2-F864-495A-899E-53D5D1B5AB36}"/>
    <cellStyle name="Normal 7 4 10 5 5" xfId="16387" xr:uid="{36CBD321-650A-4674-8A2E-13B231E90F45}"/>
    <cellStyle name="Normal 7 4 10 6" xfId="5402" xr:uid="{15474A07-3C10-49DE-874C-C083673A395B}"/>
    <cellStyle name="Normal 7 4 10 6 2" xfId="27164" xr:uid="{D4D8E402-8606-4174-9130-005E070C7A57}"/>
    <cellStyle name="Normal 7 4 10 6 3" xfId="28701" xr:uid="{AAD42802-2F27-424F-890C-4FD7599FF5B0}"/>
    <cellStyle name="Normal 7 4 10 6 4" xfId="14699" xr:uid="{61584101-1BC3-499F-B444-1B5DC1EE4865}"/>
    <cellStyle name="Normal 7 4 10 7" xfId="7152" xr:uid="{04AB0BB5-814C-4F52-A8CA-8C1F0AE8867C}"/>
    <cellStyle name="Normal 7 4 10 7 2" xfId="27948" xr:uid="{C558BB38-0E73-4659-A8A0-91FE0F16FF06}"/>
    <cellStyle name="Normal 7 4 10 7 3" xfId="17532" xr:uid="{571B3FC1-21A8-45C8-93F5-0BA17E336227}"/>
    <cellStyle name="Normal 7 4 10 8" xfId="9985" xr:uid="{03793677-D02C-48A4-AB20-AB22B8E884A6}"/>
    <cellStyle name="Normal 7 4 10 8 2" xfId="20365" xr:uid="{81B37CF5-A956-49DE-BA6A-F3A156E5D91D}"/>
    <cellStyle name="Normal 7 4 10 9" xfId="23487" xr:uid="{70C65870-8499-4097-83B5-10365053E891}"/>
    <cellStyle name="Normal 7 4 11" xfId="1387" xr:uid="{00000000-0005-0000-0000-000042070000}"/>
    <cellStyle name="Normal 7 4 11 10" xfId="12502" xr:uid="{9BEF4524-4829-4979-8370-839308CFC792}"/>
    <cellStyle name="Normal 7 4 11 2" xfId="3418" xr:uid="{00000000-0005-0000-0000-000011080000}"/>
    <cellStyle name="Normal 7 4 11 2 2" xfId="6473" xr:uid="{56A464E2-F958-41E9-88E6-4F5E11A858F6}"/>
    <cellStyle name="Normal 7 4 11 2 2 2" xfId="23039" xr:uid="{5F7D9BE0-8BD6-482E-A322-C8983DFBAE09}"/>
    <cellStyle name="Normal 7 4 11 2 2 3" xfId="28009" xr:uid="{E9DC5484-2CC7-452C-8017-5982DB62A54E}"/>
    <cellStyle name="Normal 7 4 11 2 2 4" xfId="16044" xr:uid="{D4C3B72B-1C5A-4D24-A675-DFFD132575F8}"/>
    <cellStyle name="Normal 7 4 11 2 3" xfId="8497" xr:uid="{94706112-406A-44CD-B0C2-467DC57FC4CB}"/>
    <cellStyle name="Normal 7 4 11 2 3 2" xfId="28616" xr:uid="{F10440D7-0FA7-43DA-8767-2FC1B0B01ED3}"/>
    <cellStyle name="Normal 7 4 11 2 3 3" xfId="28934" xr:uid="{DF0F9BB2-3AE3-43A8-89B5-647D76FA9FF3}"/>
    <cellStyle name="Normal 7 4 11 2 3 4" xfId="18877" xr:uid="{3A6FFCC7-DE6A-4B74-8ACA-2BBC545E5CAD}"/>
    <cellStyle name="Normal 7 4 11 2 4" xfId="11330" xr:uid="{0CE2380F-264F-420E-8716-A243A9787FB4}"/>
    <cellStyle name="Normal 7 4 11 2 4 2" xfId="29483" xr:uid="{C6EF1CE8-29B6-4241-9DD1-64ED89631239}"/>
    <cellStyle name="Normal 7 4 11 2 4 3" xfId="21710" xr:uid="{41EB82DA-43E0-441F-92C5-EC986F91CB76}"/>
    <cellStyle name="Normal 7 4 11 2 5" xfId="23272" xr:uid="{E66039F7-CF61-4055-93B1-FB74E638F62E}"/>
    <cellStyle name="Normal 7 4 11 2 6" xfId="13999" xr:uid="{DCDACEC0-61C6-4FE1-A6AE-D95E55FECA20}"/>
    <cellStyle name="Normal 7 4 11 3" xfId="2818" xr:uid="{00000000-0005-0000-0000-000012080000}"/>
    <cellStyle name="Normal 7 4 11 3 2" xfId="6034" xr:uid="{015F607C-C5BA-47F0-9077-B6A5367B7857}"/>
    <cellStyle name="Normal 7 4 11 3 2 2" xfId="26514" xr:uid="{1DB3F147-0DF4-4A67-89A2-0EE7A9ECB8EA}"/>
    <cellStyle name="Normal 7 4 11 3 2 3" xfId="15488" xr:uid="{EF31F597-F30B-4827-BB92-323198C7688A}"/>
    <cellStyle name="Normal 7 4 11 3 3" xfId="7941" xr:uid="{1B610E9B-1938-4DEB-99B5-75A8D02A9270}"/>
    <cellStyle name="Normal 7 4 11 3 3 2" xfId="18321" xr:uid="{B31BC9A6-5186-46A9-96DD-538B165E66A0}"/>
    <cellStyle name="Normal 7 4 11 3 4" xfId="10774" xr:uid="{795713ED-7E30-4ABB-B50C-E0BE9BC9BFFC}"/>
    <cellStyle name="Normal 7 4 11 3 4 2" xfId="21154" xr:uid="{215CED11-D531-4524-B3EA-9CAD4873CAC5}"/>
    <cellStyle name="Normal 7 4 11 3 5" xfId="24598" xr:uid="{972C80E3-438F-4583-93A7-502503F64D0D}"/>
    <cellStyle name="Normal 7 4 11 3 6" xfId="13288" xr:uid="{FE607638-FDCE-4126-B7F9-101AC49FE9D4}"/>
    <cellStyle name="Normal 7 4 11 4" xfId="2270" xr:uid="{00000000-0005-0000-0000-000010080000}"/>
    <cellStyle name="Normal 7 4 11 4 2" xfId="7397" xr:uid="{7BB7EF9D-4851-44A7-9510-1CB0FFF6EF85}"/>
    <cellStyle name="Normal 7 4 11 4 2 2" xfId="28275" xr:uid="{DA11D543-0EE4-47D6-94AF-349B46E85CAC}"/>
    <cellStyle name="Normal 7 4 11 4 2 3" xfId="17777" xr:uid="{623B9985-75AE-4679-9B67-34BF13072187}"/>
    <cellStyle name="Normal 7 4 11 4 3" xfId="10230" xr:uid="{9ECD19C3-FFB6-4740-B8CB-9CFA90730B94}"/>
    <cellStyle name="Normal 7 4 11 4 3 2" xfId="20610" xr:uid="{A88319F0-B6A7-49DD-A3BB-D23EF6CC62D0}"/>
    <cellStyle name="Normal 7 4 11 4 4" xfId="25472" xr:uid="{F4304C93-9A1A-4AC7-B4C1-4683D0AE4DA4}"/>
    <cellStyle name="Normal 7 4 11 4 5" xfId="14944" xr:uid="{E5EE7506-D514-4CF9-BFB6-F53C9628D025}"/>
    <cellStyle name="Normal 7 4 11 5" xfId="4059" xr:uid="{3893B720-22DE-418C-BCFF-F939857B3691}"/>
    <cellStyle name="Normal 7 4 11 5 2" xfId="8839" xr:uid="{8C77606E-F367-4C2C-847B-E32170DA67E2}"/>
    <cellStyle name="Normal 7 4 11 5 2 2" xfId="19219" xr:uid="{D809E49E-C5B7-43B8-9B85-796BE2E323F0}"/>
    <cellStyle name="Normal 7 4 11 5 3" xfId="11672" xr:uid="{49EF51CA-0745-482E-BCAE-346B1E3DD61C}"/>
    <cellStyle name="Normal 7 4 11 5 3 2" xfId="22052" xr:uid="{634DCD8F-7447-42B4-B51C-F73E018D1D91}"/>
    <cellStyle name="Normal 7 4 11 5 4" xfId="26609" xr:uid="{6607F834-8310-4FAB-AF3A-C987064EBA7D}"/>
    <cellStyle name="Normal 7 4 11 5 5" xfId="16386" xr:uid="{2807DCF7-21C1-402B-A4C1-263FC1FE6DD6}"/>
    <cellStyle name="Normal 7 4 11 6" xfId="5405" xr:uid="{8E270C27-9D00-4E1B-8BBC-4ED1D11CCD4D}"/>
    <cellStyle name="Normal 7 4 11 6 2" xfId="14702" xr:uid="{5ED0D250-85DA-463A-9268-20A15AB5B81F}"/>
    <cellStyle name="Normal 7 4 11 7" xfId="7155" xr:uid="{722FA43A-6E4C-4E77-80C2-9CAD274880D3}"/>
    <cellStyle name="Normal 7 4 11 7 2" xfId="17535" xr:uid="{7097922A-8254-4B00-A4DE-A162705755B0}"/>
    <cellStyle name="Normal 7 4 11 8" xfId="9988" xr:uid="{E70B3B93-5916-4254-97DA-345D84BACCDF}"/>
    <cellStyle name="Normal 7 4 11 8 2" xfId="20368" xr:uid="{0D389D67-370B-4658-8F72-5D2ECED72B84}"/>
    <cellStyle name="Normal 7 4 11 9" xfId="23665" xr:uid="{B1565FF6-FCBB-4338-8555-D139FA72E5D0}"/>
    <cellStyle name="Normal 7 4 12" xfId="1388" xr:uid="{00000000-0005-0000-0000-000043070000}"/>
    <cellStyle name="Normal 7 4 12 2" xfId="3419" xr:uid="{00000000-0005-0000-0000-000014080000}"/>
    <cellStyle name="Normal 7 4 12 2 2" xfId="6474" xr:uid="{C53A0368-3BD9-4648-86B9-9FBDB991B38C}"/>
    <cellStyle name="Normal 7 4 12 2 2 2" xfId="27726" xr:uid="{95B83E74-EF60-4EAD-A6C9-C0ED5BA194DF}"/>
    <cellStyle name="Normal 7 4 12 2 2 3" xfId="16045" xr:uid="{6A35A00E-3B8B-4927-B9D1-49897D5041D7}"/>
    <cellStyle name="Normal 7 4 12 2 3" xfId="8498" xr:uid="{27B2C5E9-D1AE-4620-AC38-BC35C286A93C}"/>
    <cellStyle name="Normal 7 4 12 2 3 2" xfId="18878" xr:uid="{D4654E81-1D4D-4809-A2F5-0484A441C4A9}"/>
    <cellStyle name="Normal 7 4 12 2 4" xfId="11331" xr:uid="{73E84DC8-78B2-4A3A-80AE-C6FC2D7B9558}"/>
    <cellStyle name="Normal 7 4 12 2 4 2" xfId="21711" xr:uid="{D11AF022-3223-4726-9A85-68D8E66554E0}"/>
    <cellStyle name="Normal 7 4 12 2 5" xfId="23835" xr:uid="{C8093F53-6DCE-40E7-9C84-186F93EFBB1A}"/>
    <cellStyle name="Normal 7 4 12 2 6" xfId="14000" xr:uid="{553E88FE-93CB-4E52-B1E2-B8F82EDC187A}"/>
    <cellStyle name="Normal 7 4 12 3" xfId="4117" xr:uid="{CF6AE729-3400-4866-8295-14C644B958B1}"/>
    <cellStyle name="Normal 7 4 12 3 2" xfId="8889" xr:uid="{5C20B8B2-50A4-4906-8756-31284492D646}"/>
    <cellStyle name="Normal 7 4 12 3 2 2" xfId="29004" xr:uid="{453A5423-36A4-4D82-9A42-1748DE6B5DD1}"/>
    <cellStyle name="Normal 7 4 12 3 2 3" xfId="19269" xr:uid="{7DA8253D-3D21-4D9A-8A93-E030AC3F2F3F}"/>
    <cellStyle name="Normal 7 4 12 3 3" xfId="11722" xr:uid="{3A48A19B-3F2D-4760-869D-835E5A68682C}"/>
    <cellStyle name="Normal 7 4 12 3 3 2" xfId="22102" xr:uid="{67781054-8DFF-4D16-BA03-FE53DAF3ABE9}"/>
    <cellStyle name="Normal 7 4 12 3 4" xfId="25607" xr:uid="{EDD4C9DD-27EE-49A8-84B3-85C72607E545}"/>
    <cellStyle name="Normal 7 4 12 3 5" xfId="16436" xr:uid="{5720CED4-1D1D-437E-98FE-8D030602EA43}"/>
    <cellStyle name="Normal 7 4 12 4" xfId="5406" xr:uid="{D423420C-71DF-4A48-93C3-1B18F353F3EE}"/>
    <cellStyle name="Normal 7 4 12 4 2" xfId="25606" xr:uid="{086AB1D6-2839-417D-910A-3E22595AB373}"/>
    <cellStyle name="Normal 7 4 12 4 3" xfId="26549" xr:uid="{79BF2465-24BC-4F16-972F-782A852D7926}"/>
    <cellStyle name="Normal 7 4 12 4 4" xfId="14703" xr:uid="{DFD2889B-EE37-4557-BA49-D391147A3CC0}"/>
    <cellStyle name="Normal 7 4 12 5" xfId="7156" xr:uid="{E86D86D3-D11B-4CA0-8F5A-37140ECB7C13}"/>
    <cellStyle name="Normal 7 4 12 5 2" xfId="26463" xr:uid="{99809174-949D-475C-A707-19CB4C775426}"/>
    <cellStyle name="Normal 7 4 12 5 3" xfId="17536" xr:uid="{FFF0C2B8-6A3F-4202-AEF0-9FD2712E1A76}"/>
    <cellStyle name="Normal 7 4 12 6" xfId="9989" xr:uid="{96AD20DD-F12E-4CAD-8298-2BFB0780256B}"/>
    <cellStyle name="Normal 7 4 12 6 2" xfId="20369" xr:uid="{697AD989-A40B-40AB-A6ED-F1463052333B}"/>
    <cellStyle name="Normal 7 4 12 7" xfId="25416" xr:uid="{A71B0B51-9961-4A1B-8B03-2AD732A86524}"/>
    <cellStyle name="Normal 7 4 12 8" xfId="12660" xr:uid="{E40EC2A3-C163-47D6-B782-3F5EABD0688A}"/>
    <cellStyle name="Normal 7 4 13" xfId="1389" xr:uid="{00000000-0005-0000-0000-000044070000}"/>
    <cellStyle name="Normal 7 4 13 2" xfId="5407" xr:uid="{26788EDD-418F-4E1C-9DCD-CED5B9F56936}"/>
    <cellStyle name="Normal 7 4 13 2 2" xfId="23572" xr:uid="{33F23C0F-79EB-4A7F-B8A1-245C3DA1E51F}"/>
    <cellStyle name="Normal 7 4 13 2 3" xfId="28327" xr:uid="{036C5285-F597-488E-8D2B-9530BA725187}"/>
    <cellStyle name="Normal 7 4 13 2 4" xfId="14704" xr:uid="{3118D945-0194-4CE5-9FE1-9FC8EB95E9C6}"/>
    <cellStyle name="Normal 7 4 13 3" xfId="7157" xr:uid="{9377453A-6ED2-4A9C-8041-8CDDD80AC99E}"/>
    <cellStyle name="Normal 7 4 13 3 2" xfId="25332" xr:uid="{D5C8EE71-B73A-4B2D-BCBB-AF26FF13E38B}"/>
    <cellStyle name="Normal 7 4 13 3 3" xfId="17537" xr:uid="{87865F9E-9231-4361-899D-88FB39190BB3}"/>
    <cellStyle name="Normal 7 4 13 4" xfId="9990" xr:uid="{1E5E9B8A-4DC2-4DC3-9BA3-BC349DC9D373}"/>
    <cellStyle name="Normal 7 4 13 4 2" xfId="20370" xr:uid="{A2FBD245-1426-4591-9B7F-8E4D5790A08B}"/>
    <cellStyle name="Normal 7 4 13 5" xfId="25352" xr:uid="{6C027075-70AD-4093-92FC-3B16D5CE26C3}"/>
    <cellStyle name="Normal 7 4 13 6" xfId="13358" xr:uid="{04EA1659-C33E-44CB-A130-87D58BBB89D5}"/>
    <cellStyle name="Normal 7 4 14" xfId="2433" xr:uid="{00000000-0005-0000-0000-000016080000}"/>
    <cellStyle name="Normal 7 4 14 2" xfId="5730" xr:uid="{C84917D8-661A-4DF3-9292-38E074A869A2}"/>
    <cellStyle name="Normal 7 4 14 2 2" xfId="28176" xr:uid="{454898D2-36CA-4CAC-825D-DFFE598FCDE9}"/>
    <cellStyle name="Normal 7 4 14 2 3" xfId="15105" xr:uid="{BFFD30BA-1915-43A2-B593-BE77E98D0E0F}"/>
    <cellStyle name="Normal 7 4 14 3" xfId="7558" xr:uid="{36F7DBAC-847F-4235-9CAC-C21825755F5C}"/>
    <cellStyle name="Normal 7 4 14 3 2" xfId="17938" xr:uid="{1213D01D-F1E9-4B79-B43F-CED2C27A9937}"/>
    <cellStyle name="Normal 7 4 14 4" xfId="10391" xr:uid="{83821BF0-1014-4935-9284-D3A32CE8B058}"/>
    <cellStyle name="Normal 7 4 14 4 2" xfId="20771" xr:uid="{2CEBC873-2637-4ACE-9411-EE3B78AC1970}"/>
    <cellStyle name="Normal 7 4 14 5" xfId="24152" xr:uid="{808ACA6E-43F7-4D0E-8708-8534AAB96C6F}"/>
    <cellStyle name="Normal 7 4 14 6" xfId="12820" xr:uid="{D165B4CD-8F0C-4025-B281-6729F877C19E}"/>
    <cellStyle name="Normal 7 4 15" xfId="2160" xr:uid="{00000000-0005-0000-0000-00000B080000}"/>
    <cellStyle name="Normal 7 4 15 2" xfId="7287" xr:uid="{A1D9749D-AA1F-4C7B-8E4B-FDE3E7D745A1}"/>
    <cellStyle name="Normal 7 4 15 2 2" xfId="27852" xr:uid="{404C3E8C-AE5A-4434-918B-8C31DDDA27C6}"/>
    <cellStyle name="Normal 7 4 15 2 3" xfId="17667" xr:uid="{F6D6B153-70C7-4B43-BF28-1826DBA583C5}"/>
    <cellStyle name="Normal 7 4 15 3" xfId="10120" xr:uid="{DF3F9963-4E60-4007-B72C-6B8F9A98951C}"/>
    <cellStyle name="Normal 7 4 15 3 2" xfId="20500" xr:uid="{D25CB1A1-CB9C-4466-A48A-FC54E50F2F5A}"/>
    <cellStyle name="Normal 7 4 15 4" xfId="24795" xr:uid="{6EC9E56A-F77C-441C-BFC3-8BCFDB60924E}"/>
    <cellStyle name="Normal 7 4 15 5" xfId="14834" xr:uid="{A175781E-297D-4418-B069-1F62AA874812}"/>
    <cellStyle name="Normal 7 4 16" xfId="3785" xr:uid="{81EF1548-4C16-47BF-BF10-25113C404E93}"/>
    <cellStyle name="Normal 7 4 16 2" xfId="8624" xr:uid="{19D7927A-4375-4499-ADB9-430C7C019806}"/>
    <cellStyle name="Normal 7 4 16 2 2" xfId="19004" xr:uid="{F2ECE25F-CF2B-4EED-970A-53DBF76CE5EE}"/>
    <cellStyle name="Normal 7 4 16 3" xfId="11457" xr:uid="{47F1BCB7-C5EC-4E1C-B846-A8A092D2D81B}"/>
    <cellStyle name="Normal 7 4 16 3 2" xfId="21837" xr:uid="{9E2E5B5B-3FD1-4659-ACEE-A960D12B4ECC}"/>
    <cellStyle name="Normal 7 4 16 4" xfId="24923" xr:uid="{DEB5D9B5-18EC-4772-9D52-1F1FE0439B11}"/>
    <cellStyle name="Normal 7 4 16 5" xfId="16171" xr:uid="{477ADB08-19B0-4E67-AB1B-27FFD2786841}"/>
    <cellStyle name="Normal 7 4 17" xfId="5401" xr:uid="{690F1435-7DE8-4925-9F66-0628E9CBD82C}"/>
    <cellStyle name="Normal 7 4 17 2" xfId="14698" xr:uid="{727F5B02-50AC-4BFD-8BF7-8F22A0FD67C4}"/>
    <cellStyle name="Normal 7 4 18" xfId="7151" xr:uid="{7CAAF367-0132-4C7E-AEF8-5CEFDC4924E3}"/>
    <cellStyle name="Normal 7 4 18 2" xfId="17531" xr:uid="{BA9E2749-73E0-42D0-877C-FC3362712D9C}"/>
    <cellStyle name="Normal 7 4 19" xfId="9984" xr:uid="{69D094E0-89BE-41C0-91FE-B3D34D4F5A3E}"/>
    <cellStyle name="Normal 7 4 19 2" xfId="20364" xr:uid="{B8D6304D-BADE-423E-AFBA-9555EE4B7203}"/>
    <cellStyle name="Normal 7 4 2" xfId="1390" xr:uid="{00000000-0005-0000-0000-000045070000}"/>
    <cellStyle name="Normal 7 4 2 10" xfId="1391" xr:uid="{00000000-0005-0000-0000-000046070000}"/>
    <cellStyle name="Normal 7 4 2 10 2" xfId="3420" xr:uid="{00000000-0005-0000-0000-000019080000}"/>
    <cellStyle name="Normal 7 4 2 10 2 2" xfId="6475" xr:uid="{326DA066-606D-4A6F-81A5-7393C513F2D5}"/>
    <cellStyle name="Normal 7 4 2 10 2 2 2" xfId="26865" xr:uid="{516BE980-12FE-4044-9D3F-5BA13CD2085E}"/>
    <cellStyle name="Normal 7 4 2 10 2 2 3" xfId="16046" xr:uid="{7F7F1EDD-CDE6-490F-8330-0456F1444D76}"/>
    <cellStyle name="Normal 7 4 2 10 2 3" xfId="8499" xr:uid="{EB0523FF-7D02-453C-A773-C50BBEFD07B5}"/>
    <cellStyle name="Normal 7 4 2 10 2 3 2" xfId="18879" xr:uid="{625D427A-F717-4599-82F5-33DD73340015}"/>
    <cellStyle name="Normal 7 4 2 10 2 4" xfId="11332" xr:uid="{F9C60D2A-364D-4923-8195-EA68D3532E69}"/>
    <cellStyle name="Normal 7 4 2 10 2 4 2" xfId="21712" xr:uid="{5CDF6532-6CDB-451F-93D4-EA356A37AA50}"/>
    <cellStyle name="Normal 7 4 2 10 2 5" xfId="22668" xr:uid="{C5BE352D-7F0C-40C2-BFA1-BD7FAD1A0E8A}"/>
    <cellStyle name="Normal 7 4 2 10 2 6" xfId="14001" xr:uid="{5CCE3A02-F844-4C4B-81FA-ADDC7E513042}"/>
    <cellStyle name="Normal 7 4 2 10 3" xfId="4213" xr:uid="{2FDC487A-39A3-470F-B49B-EC1A9D081FDE}"/>
    <cellStyle name="Normal 7 4 2 10 3 2" xfId="8985" xr:uid="{A3AB1BF2-6BE2-4370-BD23-DD1782EE57FB}"/>
    <cellStyle name="Normal 7 4 2 10 3 2 2" xfId="29066" xr:uid="{6503F4A7-8A46-488C-B990-EFB6EEB6D363}"/>
    <cellStyle name="Normal 7 4 2 10 3 2 3" xfId="19365" xr:uid="{A9337CC3-2831-4699-8F03-C1229443EDA7}"/>
    <cellStyle name="Normal 7 4 2 10 3 3" xfId="11818" xr:uid="{D1B2F3AF-8E11-4E5E-A133-5F096E3E2F38}"/>
    <cellStyle name="Normal 7 4 2 10 3 3 2" xfId="22198" xr:uid="{B185E9CA-C730-4B5C-A4D6-3205FA860155}"/>
    <cellStyle name="Normal 7 4 2 10 3 4" xfId="23542" xr:uid="{63ACD1BA-4F2A-4A66-9C39-A623DB27C9F0}"/>
    <cellStyle name="Normal 7 4 2 10 3 5" xfId="16532" xr:uid="{FA13A13D-A3AE-471A-89E9-A5917BF8E08A}"/>
    <cellStyle name="Normal 7 4 2 10 4" xfId="5409" xr:uid="{E8955726-9D9A-4ADC-B24B-48ACF6178402}"/>
    <cellStyle name="Normal 7 4 2 10 4 2" xfId="23205" xr:uid="{6EC121F8-F564-4D79-A6EC-6C882CC04332}"/>
    <cellStyle name="Normal 7 4 2 10 4 3" xfId="28566" xr:uid="{D600E24F-2772-499C-8F12-5F346802DE5F}"/>
    <cellStyle name="Normal 7 4 2 10 4 4" xfId="14706" xr:uid="{A6166809-6A5A-4DAF-88E0-611DEF6FCC24}"/>
    <cellStyle name="Normal 7 4 2 10 5" xfId="7159" xr:uid="{E9758D8C-D6E5-4E66-A396-52FABC3BDC4F}"/>
    <cellStyle name="Normal 7 4 2 10 5 2" xfId="28580" xr:uid="{FE4A5594-827C-4716-A4D4-FACBFDCD9897}"/>
    <cellStyle name="Normal 7 4 2 10 5 3" xfId="17539" xr:uid="{124C9572-1BE1-461A-AAB7-3F7FB7B43BE1}"/>
    <cellStyle name="Normal 7 4 2 10 6" xfId="9992" xr:uid="{9A48B0D7-F318-4E58-9ACD-139FF626719D}"/>
    <cellStyle name="Normal 7 4 2 10 6 2" xfId="20372" xr:uid="{BCD9409F-361E-4FED-9036-95356DABF1A3}"/>
    <cellStyle name="Normal 7 4 2 10 7" xfId="22799" xr:uid="{6B5C48F1-0C89-4841-B7B0-C96EB1372B0C}"/>
    <cellStyle name="Normal 7 4 2 10 8" xfId="12785" xr:uid="{C9A5AD2C-0E08-4DF4-83FF-F49C3E235C16}"/>
    <cellStyle name="Normal 7 4 2 11" xfId="1392" xr:uid="{00000000-0005-0000-0000-000047070000}"/>
    <cellStyle name="Normal 7 4 2 11 2" xfId="5410" xr:uid="{B2818A0B-3226-4E9A-A6DB-2902C1C321C0}"/>
    <cellStyle name="Normal 7 4 2 11 2 2" xfId="22745" xr:uid="{7C46150B-D20C-4138-A989-B899F15D0020}"/>
    <cellStyle name="Normal 7 4 2 11 2 3" xfId="27400" xr:uid="{DA955C69-C619-4E89-866A-99FC71794A6A}"/>
    <cellStyle name="Normal 7 4 2 11 2 4" xfId="14707" xr:uid="{DC394850-23FD-4BC1-AE7C-B243455E5BFE}"/>
    <cellStyle name="Normal 7 4 2 11 3" xfId="7160" xr:uid="{8F07DAEF-A773-4BC8-8493-43E703161E6C}"/>
    <cellStyle name="Normal 7 4 2 11 3 2" xfId="28748" xr:uid="{F4EDA823-90FF-4654-9102-8028CA743AB7}"/>
    <cellStyle name="Normal 7 4 2 11 3 3" xfId="17540" xr:uid="{4BA17A94-8B40-48FA-8E07-1131E1FD5466}"/>
    <cellStyle name="Normal 7 4 2 11 4" xfId="9993" xr:uid="{0B784868-CED5-413E-8599-BC9795D9C71E}"/>
    <cellStyle name="Normal 7 4 2 11 4 2" xfId="20373" xr:uid="{BDF57F71-1963-401E-B664-CC14C5C6772F}"/>
    <cellStyle name="Normal 7 4 2 11 5" xfId="25461" xr:uid="{F4A7E4C1-1C5F-486B-84AF-2AE5F4F66ED4}"/>
    <cellStyle name="Normal 7 4 2 11 6" xfId="13483" xr:uid="{B3475F9D-CEB3-4B6D-A7A0-ED5ECEEBB213}"/>
    <cellStyle name="Normal 7 4 2 12" xfId="2442" xr:uid="{00000000-0005-0000-0000-00001B080000}"/>
    <cellStyle name="Normal 7 4 2 12 2" xfId="5737" xr:uid="{F802D390-8974-4741-A616-85DF37F57A94}"/>
    <cellStyle name="Normal 7 4 2 12 2 2" xfId="27463" xr:uid="{FE3DADE7-BA77-471C-B666-80231FFE0D12}"/>
    <cellStyle name="Normal 7 4 2 12 2 3" xfId="15114" xr:uid="{27FAF4B7-29D2-4EEB-B8EC-41B4FBE301D4}"/>
    <cellStyle name="Normal 7 4 2 12 3" xfId="7567" xr:uid="{BAC59092-22A6-444D-AA12-82517F30C920}"/>
    <cellStyle name="Normal 7 4 2 12 3 2" xfId="17947" xr:uid="{EBFEE1AF-C45F-463B-B94A-DF1507751316}"/>
    <cellStyle name="Normal 7 4 2 12 4" xfId="10400" xr:uid="{C2E2FDC4-C132-488F-9028-088E677F6C7A}"/>
    <cellStyle name="Normal 7 4 2 12 4 2" xfId="20780" xr:uid="{7F26E151-12B5-4364-A2E3-12A91E743A80}"/>
    <cellStyle name="Normal 7 4 2 12 5" xfId="24564" xr:uid="{6978E79D-05B2-4DAA-9844-11905C1D9E82}"/>
    <cellStyle name="Normal 7 4 2 12 6" xfId="12829" xr:uid="{23C034C9-8E69-405D-91FD-BCD5C34BF8FB}"/>
    <cellStyle name="Normal 7 4 2 13" xfId="2172" xr:uid="{00000000-0005-0000-0000-000017080000}"/>
    <cellStyle name="Normal 7 4 2 13 2" xfId="7299" xr:uid="{56B5096C-C4E8-4DC5-96DC-1895B036C687}"/>
    <cellStyle name="Normal 7 4 2 13 2 2" xfId="26407" xr:uid="{BB44E6A2-BCF9-4550-B02B-40C106B3E225}"/>
    <cellStyle name="Normal 7 4 2 13 2 3" xfId="17679" xr:uid="{E5AA7D10-29B5-434D-8755-3A02B5CA15BA}"/>
    <cellStyle name="Normal 7 4 2 13 3" xfId="10132" xr:uid="{3DAC6334-6E8E-4C5F-A1DC-4115783478A2}"/>
    <cellStyle name="Normal 7 4 2 13 3 2" xfId="20512" xr:uid="{A318CEA3-2CFA-4422-8E9E-D6651C2F9AD0}"/>
    <cellStyle name="Normal 7 4 2 13 4" xfId="24907" xr:uid="{1A9502AB-86C5-44AB-8357-D8B4DF11BDDF}"/>
    <cellStyle name="Normal 7 4 2 13 5" xfId="14846" xr:uid="{1BD20AEE-596E-4290-9730-036968BFBF81}"/>
    <cellStyle name="Normal 7 4 2 14" xfId="4061" xr:uid="{A52C928B-0856-4A01-A9BB-4449A1D1B8B3}"/>
    <cellStyle name="Normal 7 4 2 14 2" xfId="8841" xr:uid="{FB30465F-B7CC-4F28-A063-BCC281A06B9F}"/>
    <cellStyle name="Normal 7 4 2 14 2 2" xfId="19221" xr:uid="{32B52E39-52B1-4CB8-AC61-1D9D5D33F77B}"/>
    <cellStyle name="Normal 7 4 2 14 3" xfId="11674" xr:uid="{96CC59EF-D42B-464E-AC7E-0233127F020C}"/>
    <cellStyle name="Normal 7 4 2 14 3 2" xfId="22054" xr:uid="{50F0EC97-0FF3-4EA3-8098-DB91A8AD16C0}"/>
    <cellStyle name="Normal 7 4 2 14 4" xfId="28488" xr:uid="{0E4F3AB4-D552-4CA0-A239-6F2EEB860CEA}"/>
    <cellStyle name="Normal 7 4 2 14 5" xfId="16388" xr:uid="{B3186367-6A9D-4680-8A0E-F7529DB54631}"/>
    <cellStyle name="Normal 7 4 2 15" xfId="5408" xr:uid="{79D4F8DE-5A10-4E99-B27D-9889D740562A}"/>
    <cellStyle name="Normal 7 4 2 15 2" xfId="14705" xr:uid="{A71FBF59-8740-450F-8FF6-396BF640BEFF}"/>
    <cellStyle name="Normal 7 4 2 16" xfId="7158" xr:uid="{D4533FCC-9BC1-4F1F-977D-AF718844C10E}"/>
    <cellStyle name="Normal 7 4 2 16 2" xfId="17538" xr:uid="{B8F27E90-A354-4925-A8CA-661F7482FC7D}"/>
    <cellStyle name="Normal 7 4 2 17" xfId="9991" xr:uid="{B470953D-E08F-4A8D-B6E4-39CD18B6BC23}"/>
    <cellStyle name="Normal 7 4 2 17 2" xfId="20371" xr:uid="{3D9F4D91-CB94-499B-87C0-B00147E1E8DA}"/>
    <cellStyle name="Normal 7 4 2 18" xfId="24594" xr:uid="{1796535B-5A62-45B6-8751-25DBCD745909}"/>
    <cellStyle name="Normal 7 4 2 19" xfId="12404" xr:uid="{DAA70829-EF14-479D-847E-D32B374477F0}"/>
    <cellStyle name="Normal 7 4 2 2" xfId="1393" xr:uid="{00000000-0005-0000-0000-000048070000}"/>
    <cellStyle name="Normal 7 4 2 2 10" xfId="5411" xr:uid="{E97C6693-A0A6-445A-ACF3-2EDAE9C7C0C5}"/>
    <cellStyle name="Normal 7 4 2 2 10 2" xfId="14708" xr:uid="{E686141F-7619-48D9-B4DF-B2D3975BA336}"/>
    <cellStyle name="Normal 7 4 2 2 11" xfId="7161" xr:uid="{3078900C-0F6E-4EF1-A5C6-9A490BE7798A}"/>
    <cellStyle name="Normal 7 4 2 2 11 2" xfId="17541" xr:uid="{53F6BD4D-E911-4F6E-BA75-1713252FBBB0}"/>
    <cellStyle name="Normal 7 4 2 2 12" xfId="9994" xr:uid="{0AF1A047-3E7B-422C-8AA3-8721B1313F7A}"/>
    <cellStyle name="Normal 7 4 2 2 12 2" xfId="20374" xr:uid="{9F1E3723-DE9B-4694-9019-A5B51B998673}"/>
    <cellStyle name="Normal 7 4 2 2 13" xfId="23136" xr:uid="{5DA3417C-B410-4F90-BDC1-5BEB3381B700}"/>
    <cellStyle name="Normal 7 4 2 2 14" xfId="12427" xr:uid="{6621C35F-B735-4972-A4AE-7273D70F2315}"/>
    <cellStyle name="Normal 7 4 2 2 2" xfId="1394" xr:uid="{00000000-0005-0000-0000-000049070000}"/>
    <cellStyle name="Normal 7 4 2 2 2 10" xfId="7162" xr:uid="{D0A072D4-8F60-47E2-A223-B65122EA8217}"/>
    <cellStyle name="Normal 7 4 2 2 2 10 2" xfId="17542" xr:uid="{A4273BB8-873A-4994-9C25-8E879758E895}"/>
    <cellStyle name="Normal 7 4 2 2 2 11" xfId="9995" xr:uid="{69E11266-35BE-4819-B7C9-1AF0AB0F913D}"/>
    <cellStyle name="Normal 7 4 2 2 2 11 2" xfId="20375" xr:uid="{6FF9A40D-BE4F-48A7-ACA8-DFEA8147D2F0}"/>
    <cellStyle name="Normal 7 4 2 2 2 12" xfId="24610" xr:uid="{EE61ED54-3AE3-4231-B2FF-D558C7454AF3}"/>
    <cellStyle name="Normal 7 4 2 2 2 13" xfId="12487" xr:uid="{BCE1313A-25B7-4100-BB87-A1D57C9031C6}"/>
    <cellStyle name="Normal 7 4 2 2 2 2" xfId="1395" xr:uid="{00000000-0005-0000-0000-00004A070000}"/>
    <cellStyle name="Normal 7 4 2 2 2 2 10" xfId="13052" xr:uid="{C2FBA6EB-B97E-45E2-A289-B4E94C86452C}"/>
    <cellStyle name="Normal 7 4 2 2 2 2 2" xfId="2822" xr:uid="{00000000-0005-0000-0000-00001F080000}"/>
    <cellStyle name="Normal 7 4 2 2 2 2 2 2" xfId="3423" xr:uid="{00000000-0005-0000-0000-000020080000}"/>
    <cellStyle name="Normal 7 4 2 2 2 2 2 2 2" xfId="6478" xr:uid="{9DB5A884-C42E-4013-A577-F942EA5D9517}"/>
    <cellStyle name="Normal 7 4 2 2 2 2 2 2 2 2" xfId="26348" xr:uid="{8B79CBA3-CC95-4806-980F-151F8701DC98}"/>
    <cellStyle name="Normal 7 4 2 2 2 2 2 2 2 3" xfId="16049" xr:uid="{2BAA1D17-0A06-4EBA-BD0C-970DED256A9E}"/>
    <cellStyle name="Normal 7 4 2 2 2 2 2 2 3" xfId="8502" xr:uid="{350BAA97-AD0C-47B6-A5F4-A0031EA88E71}"/>
    <cellStyle name="Normal 7 4 2 2 2 2 2 2 3 2" xfId="18882" xr:uid="{0663128D-6438-4678-A1F1-DA39B199FEDE}"/>
    <cellStyle name="Normal 7 4 2 2 2 2 2 2 4" xfId="11335" xr:uid="{6D06BC0B-4DDF-48B2-8E87-E56E6E0ADDE9}"/>
    <cellStyle name="Normal 7 4 2 2 2 2 2 2 4 2" xfId="21715" xr:uid="{3C007C49-D1D0-4C63-B0F3-AE1C8B2EDE17}"/>
    <cellStyle name="Normal 7 4 2 2 2 2 2 2 5" xfId="24377" xr:uid="{EAAC9070-6E16-454B-8250-8EC1BCCA33A0}"/>
    <cellStyle name="Normal 7 4 2 2 2 2 2 2 6" xfId="14004" xr:uid="{46FA7D6B-4CC6-40A7-8F6D-B85CB83ABB70}"/>
    <cellStyle name="Normal 7 4 2 2 2 2 2 3" xfId="4361" xr:uid="{7618CF6F-B551-476E-BF60-9D787EE11522}"/>
    <cellStyle name="Normal 7 4 2 2 2 2 2 3 2" xfId="9133" xr:uid="{4B8F598B-2DE0-47F6-8010-F63673C3FDB5}"/>
    <cellStyle name="Normal 7 4 2 2 2 2 2 3 2 2" xfId="29176" xr:uid="{C4FAD623-B4F6-439E-AEE9-C90E3D983ED5}"/>
    <cellStyle name="Normal 7 4 2 2 2 2 2 3 2 3" xfId="19513" xr:uid="{259F11FE-C71C-4611-9872-1D050DF15678}"/>
    <cellStyle name="Normal 7 4 2 2 2 2 2 3 3" xfId="11966" xr:uid="{C696BDEC-5101-487A-A045-2186A71EB81B}"/>
    <cellStyle name="Normal 7 4 2 2 2 2 2 3 3 2" xfId="22346" xr:uid="{BCC3F565-609E-4568-9C8B-C8F9FAEB5B31}"/>
    <cellStyle name="Normal 7 4 2 2 2 2 2 3 4" xfId="23852" xr:uid="{A03A40A1-3F18-4F11-A602-FAF727CEA6AA}"/>
    <cellStyle name="Normal 7 4 2 2 2 2 2 3 5" xfId="16680" xr:uid="{FB6C811E-6D33-4420-BAC9-9667C0A24723}"/>
    <cellStyle name="Normal 7 4 2 2 2 2 2 4" xfId="6038" xr:uid="{F82B1844-7875-4A3A-946F-B2BF492040F6}"/>
    <cellStyle name="Normal 7 4 2 2 2 2 2 4 2" xfId="26039" xr:uid="{2104FDDF-11D3-41FE-89BA-AD2749EB9FA8}"/>
    <cellStyle name="Normal 7 4 2 2 2 2 2 4 3" xfId="15492" xr:uid="{98B0D481-5FCD-4D9E-ACC3-BC16D58EB69C}"/>
    <cellStyle name="Normal 7 4 2 2 2 2 2 5" xfId="7945" xr:uid="{5E752987-CD79-433C-BD4F-9DD79F3A3F3C}"/>
    <cellStyle name="Normal 7 4 2 2 2 2 2 5 2" xfId="18325" xr:uid="{F31E17DC-0938-4580-B372-6268F07F118A}"/>
    <cellStyle name="Normal 7 4 2 2 2 2 2 6" xfId="10778" xr:uid="{4EE02466-A072-42A4-87CA-AA77CD60B9B7}"/>
    <cellStyle name="Normal 7 4 2 2 2 2 2 6 2" xfId="21158" xr:uid="{429CD86E-1AC9-4703-B0B1-79E9078F28AD}"/>
    <cellStyle name="Normal 7 4 2 2 2 2 2 7" xfId="22660" xr:uid="{7EE7DD84-AC34-4D76-826F-B52EBC30D9D6}"/>
    <cellStyle name="Normal 7 4 2 2 2 2 2 8" xfId="13293" xr:uid="{CB5164C9-11FD-4E6D-A315-CF0C51CA88AE}"/>
    <cellStyle name="Normal 7 4 2 2 2 2 3" xfId="3424" xr:uid="{00000000-0005-0000-0000-000021080000}"/>
    <cellStyle name="Normal 7 4 2 2 2 2 3 2" xfId="4572" xr:uid="{E8CD83E8-39C3-4597-AD00-8F712650C686}"/>
    <cellStyle name="Normal 7 4 2 2 2 2 3 2 2" xfId="9344" xr:uid="{31402AB5-9741-4485-95CE-983BC9A30A84}"/>
    <cellStyle name="Normal 7 4 2 2 2 2 3 2 2 2" xfId="19724" xr:uid="{4106608D-C9E2-4C5F-82B2-7EEB49042C6A}"/>
    <cellStyle name="Normal 7 4 2 2 2 2 3 2 3" xfId="12177" xr:uid="{EA1BB4BC-83D8-419A-9A09-90147BD747CD}"/>
    <cellStyle name="Normal 7 4 2 2 2 2 3 2 3 2" xfId="22557" xr:uid="{F6A73EC7-FCA8-48BF-90B8-A1C98BE65EEC}"/>
    <cellStyle name="Normal 7 4 2 2 2 2 3 2 4" xfId="28508" xr:uid="{B6E554A5-CC5A-44F0-B1B8-C88ED5AF629C}"/>
    <cellStyle name="Normal 7 4 2 2 2 2 3 2 5" xfId="16891" xr:uid="{DDD27565-7F34-4A6A-B6C8-73754A5F256C}"/>
    <cellStyle name="Normal 7 4 2 2 2 2 3 3" xfId="6479" xr:uid="{EBA8060D-8A02-40AE-BF3A-909FF341D408}"/>
    <cellStyle name="Normal 7 4 2 2 2 2 3 3 2" xfId="16050" xr:uid="{874C42DF-C533-4C26-9A18-C2C2FD5E1FFE}"/>
    <cellStyle name="Normal 7 4 2 2 2 2 3 4" xfId="8503" xr:uid="{3BE78970-22FE-45EB-B7D0-520689C46016}"/>
    <cellStyle name="Normal 7 4 2 2 2 2 3 4 2" xfId="18883" xr:uid="{F59E80A7-74F4-43D8-849D-DBF8D08F32D4}"/>
    <cellStyle name="Normal 7 4 2 2 2 2 3 5" xfId="11336" xr:uid="{6CF761E3-E685-41DC-9EBC-3944EDC8493C}"/>
    <cellStyle name="Normal 7 4 2 2 2 2 3 5 2" xfId="21716" xr:uid="{1CFDD384-FC7A-47D7-B5D4-16BCC68B229A}"/>
    <cellStyle name="Normal 7 4 2 2 2 2 3 6" xfId="25312" xr:uid="{9F3E0816-F682-4556-8D03-6E4B80BBE9FD}"/>
    <cellStyle name="Normal 7 4 2 2 2 2 3 7" xfId="14005" xr:uid="{041DE4A5-9581-4AD7-86EF-2AC5CDAF2527}"/>
    <cellStyle name="Normal 7 4 2 2 2 2 4" xfId="3422" xr:uid="{00000000-0005-0000-0000-000022080000}"/>
    <cellStyle name="Normal 7 4 2 2 2 2 4 2" xfId="6477" xr:uid="{365EBB34-4B86-44C8-BE0E-D8AFAE23C9B7}"/>
    <cellStyle name="Normal 7 4 2 2 2 2 4 2 2" xfId="28621" xr:uid="{F169F04B-1425-46B0-A3A8-79CEBB963A8D}"/>
    <cellStyle name="Normal 7 4 2 2 2 2 4 2 3" xfId="16048" xr:uid="{07A9171C-89E2-450F-ADA2-B9F1A2960BE5}"/>
    <cellStyle name="Normal 7 4 2 2 2 2 4 3" xfId="8501" xr:uid="{66256638-9C37-4B9D-9538-6A4FF2DE26F3}"/>
    <cellStyle name="Normal 7 4 2 2 2 2 4 3 2" xfId="18881" xr:uid="{F301AD12-95A0-47D3-8C4A-88CF6DF10456}"/>
    <cellStyle name="Normal 7 4 2 2 2 2 4 4" xfId="11334" xr:uid="{A373D0C9-97CA-4660-AC04-F2A14FE5EDF3}"/>
    <cellStyle name="Normal 7 4 2 2 2 2 4 4 2" xfId="21714" xr:uid="{E45BEC5E-B2B4-4E64-9F12-3723BA308CFD}"/>
    <cellStyle name="Normal 7 4 2 2 2 2 4 5" xfId="23010" xr:uid="{ABD75A91-B6DE-45C8-9DB1-FCA22F3AF19D}"/>
    <cellStyle name="Normal 7 4 2 2 2 2 4 6" xfId="14003" xr:uid="{52D16831-D2D6-47D2-B855-6E6367A2BFF4}"/>
    <cellStyle name="Normal 7 4 2 2 2 2 5" xfId="4249" xr:uid="{4CEA5DAE-F98B-4028-99C5-1EB4F184FF54}"/>
    <cellStyle name="Normal 7 4 2 2 2 2 5 2" xfId="9021" xr:uid="{AE02046C-D4E9-47FB-ABDF-DF8070D58B89}"/>
    <cellStyle name="Normal 7 4 2 2 2 2 5 2 2" xfId="29092" xr:uid="{747F736F-8D93-4752-8732-23EFC4B6BC1B}"/>
    <cellStyle name="Normal 7 4 2 2 2 2 5 2 3" xfId="19401" xr:uid="{0DCBF49C-C2D2-4B80-88DC-08C554BDB373}"/>
    <cellStyle name="Normal 7 4 2 2 2 2 5 3" xfId="11854" xr:uid="{2FBE3C4A-802D-4BB0-9C23-7FAA3E225DC4}"/>
    <cellStyle name="Normal 7 4 2 2 2 2 5 3 2" xfId="22234" xr:uid="{8DFFE79F-12FC-43F4-AA39-83E2599868A4}"/>
    <cellStyle name="Normal 7 4 2 2 2 2 5 4" xfId="23658" xr:uid="{86C4A63B-F4D7-441D-A5D9-FE1BD347C99D}"/>
    <cellStyle name="Normal 7 4 2 2 2 2 5 5" xfId="16568" xr:uid="{29D65DFE-F5A3-4F00-BCF9-7AC14A2AADD5}"/>
    <cellStyle name="Normal 7 4 2 2 2 2 6" xfId="5413" xr:uid="{441167E8-C8C1-4F7C-966C-DE5E26C0616C}"/>
    <cellStyle name="Normal 7 4 2 2 2 2 6 2" xfId="26017" xr:uid="{640D8094-D2FD-4E58-AF9C-0DAB8550FB35}"/>
    <cellStyle name="Normal 7 4 2 2 2 2 6 3" xfId="14710" xr:uid="{C86A33A9-0A95-454A-8E2E-B7E5402BFC74}"/>
    <cellStyle name="Normal 7 4 2 2 2 2 7" xfId="7163" xr:uid="{85B3AEDE-9A0F-4911-81AA-EF0F892ECA8D}"/>
    <cellStyle name="Normal 7 4 2 2 2 2 7 2" xfId="17543" xr:uid="{217D8332-7F9B-4126-B4B6-9921FE1C82CC}"/>
    <cellStyle name="Normal 7 4 2 2 2 2 8" xfId="9996" xr:uid="{8D104A86-C533-4E1B-9BF2-E6B4A17AC7DE}"/>
    <cellStyle name="Normal 7 4 2 2 2 2 8 2" xfId="20376" xr:uid="{F4F8EE0B-21D5-45EB-B477-44448C935CF3}"/>
    <cellStyle name="Normal 7 4 2 2 2 2 9" xfId="23598" xr:uid="{77143F0D-C34D-497E-82D7-9C93806EB824}"/>
    <cellStyle name="Normal 7 4 2 2 2 3" xfId="2821" xr:uid="{00000000-0005-0000-0000-000023080000}"/>
    <cellStyle name="Normal 7 4 2 2 2 3 2" xfId="3425" xr:uid="{00000000-0005-0000-0000-000024080000}"/>
    <cellStyle name="Normal 7 4 2 2 2 3 2 2" xfId="6480" xr:uid="{751BBC07-FC1F-4266-A173-3742C65CAA13}"/>
    <cellStyle name="Normal 7 4 2 2 2 3 2 2 2" xfId="27067" xr:uid="{6A9BE188-2741-4FF0-9C2E-82E96EC7ED63}"/>
    <cellStyle name="Normal 7 4 2 2 2 3 2 2 3" xfId="16051" xr:uid="{5E918990-EAFF-47A3-AE20-759332379613}"/>
    <cellStyle name="Normal 7 4 2 2 2 3 2 3" xfId="8504" xr:uid="{431474CD-4DA2-42AC-8DE9-2EC29FBAC298}"/>
    <cellStyle name="Normal 7 4 2 2 2 3 2 3 2" xfId="18884" xr:uid="{B11B2FFD-2EB7-4AA1-BBE0-FF4D516FDF28}"/>
    <cellStyle name="Normal 7 4 2 2 2 3 2 4" xfId="11337" xr:uid="{5EFF34A0-4386-434F-871E-E005BDD61BC6}"/>
    <cellStyle name="Normal 7 4 2 2 2 3 2 4 2" xfId="21717" xr:uid="{9D95512A-BA48-481E-929B-DBF73959CEF7}"/>
    <cellStyle name="Normal 7 4 2 2 2 3 2 5" xfId="23933" xr:uid="{C57A0D18-3635-448D-A425-BC17FE8EF434}"/>
    <cellStyle name="Normal 7 4 2 2 2 3 2 6" xfId="14006" xr:uid="{73E3BEF1-B1DB-4E4F-B932-496FB082A623}"/>
    <cellStyle name="Normal 7 4 2 2 2 3 3" xfId="4360" xr:uid="{ACFA9AD0-8409-4D8E-A291-B85E88EF8D53}"/>
    <cellStyle name="Normal 7 4 2 2 2 3 3 2" xfId="9132" xr:uid="{473F704A-E7CB-4407-8185-BEB1C2E7F553}"/>
    <cellStyle name="Normal 7 4 2 2 2 3 3 2 2" xfId="29175" xr:uid="{92548F11-FB3C-4417-A085-9463E509CA6B}"/>
    <cellStyle name="Normal 7 4 2 2 2 3 3 2 3" xfId="19512" xr:uid="{A1E6184C-C969-4EC7-A521-5ED4BE1E38AD}"/>
    <cellStyle name="Normal 7 4 2 2 2 3 3 3" xfId="11965" xr:uid="{0CB7AED7-3ED8-4CA6-B9D7-849FC551AD05}"/>
    <cellStyle name="Normal 7 4 2 2 2 3 3 3 2" xfId="22345" xr:uid="{7457421F-D9CE-4E38-8F2A-229727C2EC6D}"/>
    <cellStyle name="Normal 7 4 2 2 2 3 3 4" xfId="24418" xr:uid="{00CFCE18-F01B-4BE7-9DFD-1D0D03B9FCD2}"/>
    <cellStyle name="Normal 7 4 2 2 2 3 3 5" xfId="16679" xr:uid="{15A74BA4-CCF7-48C2-8708-F1C4E0B0B690}"/>
    <cellStyle name="Normal 7 4 2 2 2 3 4" xfId="6037" xr:uid="{B96C9871-83A7-4052-8445-18A546C5FEC1}"/>
    <cellStyle name="Normal 7 4 2 2 2 3 4 2" xfId="28658" xr:uid="{ACB739D5-8B98-4492-B8EF-154EE673C33A}"/>
    <cellStyle name="Normal 7 4 2 2 2 3 4 3" xfId="15491" xr:uid="{505EFCAB-6CC6-4E06-9E7F-8EC4F049CC3B}"/>
    <cellStyle name="Normal 7 4 2 2 2 3 5" xfId="7944" xr:uid="{0AFE0305-CF3F-41C0-B0CE-C64A8A66D827}"/>
    <cellStyle name="Normal 7 4 2 2 2 3 5 2" xfId="18324" xr:uid="{ED70B86F-81DC-45AE-8C41-AED2E1F586B8}"/>
    <cellStyle name="Normal 7 4 2 2 2 3 6" xfId="10777" xr:uid="{8171CDEC-30BE-467C-940E-D81AB8C6E2CB}"/>
    <cellStyle name="Normal 7 4 2 2 2 3 6 2" xfId="21157" xr:uid="{D102A5F4-3C71-4C9A-9CB5-0A04ADFC0743}"/>
    <cellStyle name="Normal 7 4 2 2 2 3 7" xfId="24440" xr:uid="{B4595E0A-868C-440B-96B8-1A86B5746850}"/>
    <cellStyle name="Normal 7 4 2 2 2 3 8" xfId="13292" xr:uid="{462CE7B5-789F-4232-BEBC-ED90A7E02A07}"/>
    <cellStyle name="Normal 7 4 2 2 2 4" xfId="3426" xr:uid="{00000000-0005-0000-0000-000025080000}"/>
    <cellStyle name="Normal 7 4 2 2 2 4 2" xfId="4573" xr:uid="{7E911584-0241-48AA-B8E2-B4838F58EF93}"/>
    <cellStyle name="Normal 7 4 2 2 2 4 2 2" xfId="9345" xr:uid="{1452BFD8-9755-4DAF-85E8-5C8545B85020}"/>
    <cellStyle name="Normal 7 4 2 2 2 4 2 2 2" xfId="19725" xr:uid="{CC2C5E72-894C-4D1F-9601-E93F43823751}"/>
    <cellStyle name="Normal 7 4 2 2 2 4 2 3" xfId="12178" xr:uid="{2A7A4FC3-B834-4CC2-AEC6-FC2B41D252DE}"/>
    <cellStyle name="Normal 7 4 2 2 2 4 2 3 2" xfId="22558" xr:uid="{EAFEFD2C-85AA-4525-A30F-33A3EDEDFC84}"/>
    <cellStyle name="Normal 7 4 2 2 2 4 2 4" xfId="27055" xr:uid="{E18E7140-5060-48E4-805B-2065C05B0A6E}"/>
    <cellStyle name="Normal 7 4 2 2 2 4 2 5" xfId="16892" xr:uid="{4BDF8A7E-5659-4431-9EB1-D9C4F57A625C}"/>
    <cellStyle name="Normal 7 4 2 2 2 4 3" xfId="6481" xr:uid="{2FC4531C-524E-4E99-9F41-216830B5F3FA}"/>
    <cellStyle name="Normal 7 4 2 2 2 4 3 2" xfId="16052" xr:uid="{81BF171A-83BB-42E9-A0EC-8A3CD7F46993}"/>
    <cellStyle name="Normal 7 4 2 2 2 4 4" xfId="8505" xr:uid="{FA954154-0875-42F9-83D1-2EDBF4A71932}"/>
    <cellStyle name="Normal 7 4 2 2 2 4 4 2" xfId="18885" xr:uid="{D704BA3E-FF1E-4DB8-B560-4701177AC587}"/>
    <cellStyle name="Normal 7 4 2 2 2 4 5" xfId="11338" xr:uid="{EC9D3C0F-2FC6-4422-B55F-CB83786AF623}"/>
    <cellStyle name="Normal 7 4 2 2 2 4 5 2" xfId="21718" xr:uid="{68C1A300-A360-413A-B024-41D728334F75}"/>
    <cellStyle name="Normal 7 4 2 2 2 4 6" xfId="25530" xr:uid="{1B5054C0-0BBB-4C59-AE6C-5F82FD104C0A}"/>
    <cellStyle name="Normal 7 4 2 2 2 4 7" xfId="14007" xr:uid="{25153F54-D0C2-4E69-B6AC-118CF42C3125}"/>
    <cellStyle name="Normal 7 4 2 2 2 5" xfId="3421" xr:uid="{00000000-0005-0000-0000-000026080000}"/>
    <cellStyle name="Normal 7 4 2 2 2 5 2" xfId="6476" xr:uid="{69F26A8D-6EA4-4AD9-A05B-8101BD1F3AC8}"/>
    <cellStyle name="Normal 7 4 2 2 2 5 2 2" xfId="27350" xr:uid="{A0732357-EA89-4CC4-BB8E-D3540250B67E}"/>
    <cellStyle name="Normal 7 4 2 2 2 5 2 3" xfId="16047" xr:uid="{FD2BE1D0-20E5-4597-8AC2-2F0B903A77D7}"/>
    <cellStyle name="Normal 7 4 2 2 2 5 3" xfId="8500" xr:uid="{79D07E95-2BF7-4A12-9594-75EC639FE02C}"/>
    <cellStyle name="Normal 7 4 2 2 2 5 3 2" xfId="18880" xr:uid="{7A992CC1-2E56-4D12-8E3B-A010DC535A9C}"/>
    <cellStyle name="Normal 7 4 2 2 2 5 4" xfId="11333" xr:uid="{CD90C17F-5F87-40A6-8701-DD45B6B3477E}"/>
    <cellStyle name="Normal 7 4 2 2 2 5 4 2" xfId="21713" xr:uid="{5E8E6086-DAF4-44DB-8DCD-B517316D4B08}"/>
    <cellStyle name="Normal 7 4 2 2 2 5 5" xfId="25449" xr:uid="{B6305010-B7E6-4630-82C6-A237BE99E17D}"/>
    <cellStyle name="Normal 7 4 2 2 2 5 6" xfId="14002" xr:uid="{E2116394-3E7C-4B6E-B09F-9240F52A11F2}"/>
    <cellStyle name="Normal 7 4 2 2 2 6" xfId="2561" xr:uid="{00000000-0005-0000-0000-000027080000}"/>
    <cellStyle name="Normal 7 4 2 2 2 6 2" xfId="5831" xr:uid="{29EF99E2-33E9-4033-9C15-5658E548A985}"/>
    <cellStyle name="Normal 7 4 2 2 2 6 2 2" xfId="27777" xr:uid="{68DC6E2F-3D57-49C2-ACEC-F9AAE377A6ED}"/>
    <cellStyle name="Normal 7 4 2 2 2 6 2 3" xfId="15233" xr:uid="{6ACAFE22-71B7-40B7-89D9-E0FB4B33B7B2}"/>
    <cellStyle name="Normal 7 4 2 2 2 6 3" xfId="7686" xr:uid="{C1A9B3FD-0C4C-4068-97F1-41A6F6E1EE18}"/>
    <cellStyle name="Normal 7 4 2 2 2 6 3 2" xfId="18066" xr:uid="{0D8F78E0-7F47-41CB-B681-C04C951AFF05}"/>
    <cellStyle name="Normal 7 4 2 2 2 6 4" xfId="10519" xr:uid="{221309B4-F85C-4292-82EC-52589DA9EFC9}"/>
    <cellStyle name="Normal 7 4 2 2 2 6 4 2" xfId="20899" xr:uid="{A169671E-D307-42E9-897E-D7C795292C71}"/>
    <cellStyle name="Normal 7 4 2 2 2 6 5" xfId="23922" xr:uid="{118BA637-206A-45C7-A144-472FDB774D34}"/>
    <cellStyle name="Normal 7 4 2 2 2 6 6" xfId="12949" xr:uid="{9B5E3005-D847-4A39-B865-4AC36EFD2211}"/>
    <cellStyle name="Normal 7 4 2 2 2 7" xfId="2255" xr:uid="{00000000-0005-0000-0000-00001D080000}"/>
    <cellStyle name="Normal 7 4 2 2 2 7 2" xfId="7382" xr:uid="{A5EBBC8A-4805-4A9B-BA14-7CBC58D0B94A}"/>
    <cellStyle name="Normal 7 4 2 2 2 7 2 2" xfId="17762" xr:uid="{CDE19C63-C84D-499C-A704-294050396E7E}"/>
    <cellStyle name="Normal 7 4 2 2 2 7 3" xfId="10215" xr:uid="{EEE9846A-CD04-4A6C-8A2E-8F2E93C33E2E}"/>
    <cellStyle name="Normal 7 4 2 2 2 7 3 2" xfId="20595" xr:uid="{469C99EE-3774-49F4-B9E6-63C1FE617EA8}"/>
    <cellStyle name="Normal 7 4 2 2 2 7 4" xfId="23214" xr:uid="{80D87983-121B-4533-AB2F-EC71820C58D4}"/>
    <cellStyle name="Normal 7 4 2 2 2 7 5" xfId="14929" xr:uid="{B7738474-AD97-410C-97D7-E114AF9835D1}"/>
    <cellStyle name="Normal 7 4 2 2 2 8" xfId="3805" xr:uid="{C06BE601-6E8E-4A23-ABC6-8F4090D579EF}"/>
    <cellStyle name="Normal 7 4 2 2 2 8 2" xfId="8641" xr:uid="{ED98D8F4-215C-4854-9C8C-8FC00A7CA332}"/>
    <cellStyle name="Normal 7 4 2 2 2 8 2 2" xfId="19021" xr:uid="{D30E7302-09BA-48F3-B231-088960639BD7}"/>
    <cellStyle name="Normal 7 4 2 2 2 8 3" xfId="11474" xr:uid="{9B563F5F-436B-453A-A53D-5031617CF4B8}"/>
    <cellStyle name="Normal 7 4 2 2 2 8 3 2" xfId="21854" xr:uid="{AA8431B8-E743-464F-9C6F-FC6E94CD75C1}"/>
    <cellStyle name="Normal 7 4 2 2 2 8 4" xfId="16188" xr:uid="{2CCFB5AC-359E-4515-A89D-75537072F78A}"/>
    <cellStyle name="Normal 7 4 2 2 2 9" xfId="5412" xr:uid="{2355B753-38F0-4078-B7EB-D469F37F6941}"/>
    <cellStyle name="Normal 7 4 2 2 2 9 2" xfId="14709" xr:uid="{9D6CCB3C-B122-4CB8-81F0-1094DB384043}"/>
    <cellStyle name="Normal 7 4 2 2 3" xfId="1396" xr:uid="{00000000-0005-0000-0000-00004B070000}"/>
    <cellStyle name="Normal 7 4 2 2 3 10" xfId="9997" xr:uid="{5A9B2C81-54B8-452F-8F8F-F6172776B0DD}"/>
    <cellStyle name="Normal 7 4 2 2 3 10 2" xfId="20377" xr:uid="{272E0C47-6312-4C18-8087-F58E67B999E8}"/>
    <cellStyle name="Normal 7 4 2 2 3 11" xfId="23418" xr:uid="{EF93F634-64F0-4801-8009-65803AD2F6F6}"/>
    <cellStyle name="Normal 7 4 2 2 3 12" xfId="12628" xr:uid="{F4F620AB-BDE0-491C-A958-483F4B9217CD}"/>
    <cellStyle name="Normal 7 4 2 2 3 2" xfId="2823" xr:uid="{00000000-0005-0000-0000-000029080000}"/>
    <cellStyle name="Normal 7 4 2 2 3 2 2" xfId="3428" xr:uid="{00000000-0005-0000-0000-00002A080000}"/>
    <cellStyle name="Normal 7 4 2 2 3 2 2 2" xfId="6483" xr:uid="{A6713F29-DF43-4476-8040-A1B679734DF4}"/>
    <cellStyle name="Normal 7 4 2 2 3 2 2 2 2" xfId="27565" xr:uid="{BD817701-15C7-4FA8-A681-D7E444A6CF06}"/>
    <cellStyle name="Normal 7 4 2 2 3 2 2 2 3" xfId="16054" xr:uid="{2127FE21-5172-47CE-A5C5-06F26AEE7F0C}"/>
    <cellStyle name="Normal 7 4 2 2 3 2 2 3" xfId="8507" xr:uid="{AAEBE416-2D34-4D93-B5A1-D016C1EEE794}"/>
    <cellStyle name="Normal 7 4 2 2 3 2 2 3 2" xfId="18887" xr:uid="{C6B85F41-2AC5-421C-B6D3-1FA9153B6167}"/>
    <cellStyle name="Normal 7 4 2 2 3 2 2 4" xfId="11340" xr:uid="{0AC66F81-689E-403F-91F1-D626B2712D79}"/>
    <cellStyle name="Normal 7 4 2 2 3 2 2 4 2" xfId="21720" xr:uid="{7063A65A-6731-4C67-AD6E-5810ED16A8DC}"/>
    <cellStyle name="Normal 7 4 2 2 3 2 2 5" xfId="23713" xr:uid="{65CC995D-D2B4-4080-8660-B3E5D6BE333E}"/>
    <cellStyle name="Normal 7 4 2 2 3 2 2 6" xfId="14009" xr:uid="{E4D5CF5D-9322-413D-9900-8FB9F33D2D09}"/>
    <cellStyle name="Normal 7 4 2 2 3 2 3" xfId="4362" xr:uid="{30083B50-655D-432F-A489-CF466DF1233B}"/>
    <cellStyle name="Normal 7 4 2 2 3 2 3 2" xfId="9134" xr:uid="{703B93D3-B8EB-4365-850A-C35CD90CAA5C}"/>
    <cellStyle name="Normal 7 4 2 2 3 2 3 2 2" xfId="29177" xr:uid="{290FDF88-8899-42B6-B214-55C5994F08B1}"/>
    <cellStyle name="Normal 7 4 2 2 3 2 3 2 3" xfId="19514" xr:uid="{CBBF34DB-388E-4EE0-8BB9-F2C19E3FA127}"/>
    <cellStyle name="Normal 7 4 2 2 3 2 3 3" xfId="11967" xr:uid="{12042743-E2DB-4EB3-8857-9EFB8C83F3C7}"/>
    <cellStyle name="Normal 7 4 2 2 3 2 3 3 2" xfId="22347" xr:uid="{8BA8EABC-E430-40D6-8C8D-E58989733B0B}"/>
    <cellStyle name="Normal 7 4 2 2 3 2 3 4" xfId="23567" xr:uid="{4213CC80-EA2C-4779-BCEF-8F4C4148B347}"/>
    <cellStyle name="Normal 7 4 2 2 3 2 3 5" xfId="16681" xr:uid="{F6DCD515-7737-4905-881D-C2027CF92F34}"/>
    <cellStyle name="Normal 7 4 2 2 3 2 4" xfId="6039" xr:uid="{8E80E5D4-1C58-4FF9-A7B1-7D6A0FD516DB}"/>
    <cellStyle name="Normal 7 4 2 2 3 2 4 2" xfId="27985" xr:uid="{2F3415E5-A939-43D6-85F3-14522630F9A7}"/>
    <cellStyle name="Normal 7 4 2 2 3 2 4 3" xfId="15493" xr:uid="{A1C27591-4548-4CE6-AD20-E04609B14B8A}"/>
    <cellStyle name="Normal 7 4 2 2 3 2 5" xfId="7946" xr:uid="{DE92313A-E0E9-4F3D-B7DD-8444C18CDCE9}"/>
    <cellStyle name="Normal 7 4 2 2 3 2 5 2" xfId="18326" xr:uid="{B2F22FEE-0C06-46A4-B925-0857560DBFD9}"/>
    <cellStyle name="Normal 7 4 2 2 3 2 6" xfId="10779" xr:uid="{CD1B608E-6C5A-431D-9416-1B26ED6C560C}"/>
    <cellStyle name="Normal 7 4 2 2 3 2 6 2" xfId="21159" xr:uid="{450140B4-0E01-4E0D-B982-C89A2EDEAA49}"/>
    <cellStyle name="Normal 7 4 2 2 3 2 7" xfId="25056" xr:uid="{EDBBF258-F243-4C65-9EF4-584622AF04AD}"/>
    <cellStyle name="Normal 7 4 2 2 3 2 8" xfId="13294" xr:uid="{B87B94FD-A80A-4C21-92F3-6CF851190746}"/>
    <cellStyle name="Normal 7 4 2 2 3 3" xfId="3429" xr:uid="{00000000-0005-0000-0000-00002B080000}"/>
    <cellStyle name="Normal 7 4 2 2 3 3 2" xfId="4574" xr:uid="{DF868D83-B479-41C7-BBF9-4DEC8D2ADE13}"/>
    <cellStyle name="Normal 7 4 2 2 3 3 2 2" xfId="9346" xr:uid="{EE5F999E-67FD-4448-80AC-1B1AAE322601}"/>
    <cellStyle name="Normal 7 4 2 2 3 3 2 2 2" xfId="29318" xr:uid="{E08D3D1E-337C-4329-801C-9A94A6342583}"/>
    <cellStyle name="Normal 7 4 2 2 3 3 2 2 3" xfId="19726" xr:uid="{5B5A4B99-454D-4546-BB5B-28DDC77971D3}"/>
    <cellStyle name="Normal 7 4 2 2 3 3 2 3" xfId="12179" xr:uid="{DC9A6113-08A3-4C8E-B76F-82FAB69C23C4}"/>
    <cellStyle name="Normal 7 4 2 2 3 3 2 3 2" xfId="22559" xr:uid="{1F11548D-FE78-41C2-B7B6-50586DEB291E}"/>
    <cellStyle name="Normal 7 4 2 2 3 3 2 4" xfId="23904" xr:uid="{10B4EE47-E4B6-4C9F-8F9B-E813072D0750}"/>
    <cellStyle name="Normal 7 4 2 2 3 3 2 5" xfId="16893" xr:uid="{560846C8-E1DE-46FA-84D5-6E0A1E87E781}"/>
    <cellStyle name="Normal 7 4 2 2 3 3 3" xfId="6484" xr:uid="{E644DBE3-541B-40C8-92B4-979B48CAF419}"/>
    <cellStyle name="Normal 7 4 2 2 3 3 3 2" xfId="26759" xr:uid="{EF29B157-3F28-427A-9A60-427013D02E7B}"/>
    <cellStyle name="Normal 7 4 2 2 3 3 3 3" xfId="16055" xr:uid="{1FE06237-B8EF-4B4A-87DF-8D30256DE294}"/>
    <cellStyle name="Normal 7 4 2 2 3 3 4" xfId="8508" xr:uid="{131BA1FF-2F34-4CAB-9FAF-FFD263B8D5CF}"/>
    <cellStyle name="Normal 7 4 2 2 3 3 4 2" xfId="18888" xr:uid="{5DD33F91-AF1E-4728-9FD2-0619C4D30824}"/>
    <cellStyle name="Normal 7 4 2 2 3 3 5" xfId="11341" xr:uid="{F2118075-934A-4B2D-9D52-8849DE4DFAC5}"/>
    <cellStyle name="Normal 7 4 2 2 3 3 5 2" xfId="21721" xr:uid="{65AD0D76-46D5-49A7-96BA-698378B9A6D9}"/>
    <cellStyle name="Normal 7 4 2 2 3 3 6" xfId="25451" xr:uid="{19931D9B-BC78-4DC3-9C5D-8AB011A869F4}"/>
    <cellStyle name="Normal 7 4 2 2 3 3 7" xfId="14010" xr:uid="{30436FE3-E892-4A3C-9AAF-5127EB420200}"/>
    <cellStyle name="Normal 7 4 2 2 3 4" xfId="3427" xr:uid="{00000000-0005-0000-0000-00002C080000}"/>
    <cellStyle name="Normal 7 4 2 2 3 4 2" xfId="6482" xr:uid="{0145A01A-8C0D-4942-9FE8-22F0171AF744}"/>
    <cellStyle name="Normal 7 4 2 2 3 4 2 2" xfId="27845" xr:uid="{3410E0E1-AE14-45A2-889A-52221ACFC69D}"/>
    <cellStyle name="Normal 7 4 2 2 3 4 2 3" xfId="16053" xr:uid="{A52495A6-5AA9-4E9E-BDF0-EFF8276F89F3}"/>
    <cellStyle name="Normal 7 4 2 2 3 4 3" xfId="8506" xr:uid="{56280F35-4E24-439D-840E-B4707D391AB0}"/>
    <cellStyle name="Normal 7 4 2 2 3 4 3 2" xfId="18886" xr:uid="{7D4D6F9E-9B54-49DA-A1EA-598AAF4A23C1}"/>
    <cellStyle name="Normal 7 4 2 2 3 4 4" xfId="11339" xr:uid="{D82DF37B-D578-41D8-8329-6A00A5FAE09B}"/>
    <cellStyle name="Normal 7 4 2 2 3 4 4 2" xfId="21719" xr:uid="{0C655F18-F268-41BB-B435-AE9C8265B927}"/>
    <cellStyle name="Normal 7 4 2 2 3 4 5" xfId="24068" xr:uid="{6F5EA0A9-2A0F-402E-AC19-145AD149419F}"/>
    <cellStyle name="Normal 7 4 2 2 3 4 6" xfId="14008" xr:uid="{7C98B0AC-F8F6-48AF-8D84-5BC1B3825922}"/>
    <cellStyle name="Normal 7 4 2 2 3 5" xfId="2604" xr:uid="{00000000-0005-0000-0000-00002D080000}"/>
    <cellStyle name="Normal 7 4 2 2 3 5 2" xfId="5869" xr:uid="{9B980913-7909-488A-A96A-307B69F95091}"/>
    <cellStyle name="Normal 7 4 2 2 3 5 2 2" xfId="26065" xr:uid="{F8FEBCFA-722C-4CE6-B57A-9C376528233E}"/>
    <cellStyle name="Normal 7 4 2 2 3 5 2 3" xfId="15276" xr:uid="{7959C7C0-617C-4C49-847E-D4CE00F20B44}"/>
    <cellStyle name="Normal 7 4 2 2 3 5 3" xfId="7729" xr:uid="{AA5525FD-ABD2-4936-B2C9-A3EA766D674A}"/>
    <cellStyle name="Normal 7 4 2 2 3 5 3 2" xfId="18109" xr:uid="{20327EAC-25A8-4D66-99C1-C5B6B9320D74}"/>
    <cellStyle name="Normal 7 4 2 2 3 5 4" xfId="10562" xr:uid="{FBAAF576-CC6E-4A56-BE24-05C54B2B0106}"/>
    <cellStyle name="Normal 7 4 2 2 3 5 4 2" xfId="20942" xr:uid="{F781C4F9-E94B-4941-95EA-98CAAB8B43DF}"/>
    <cellStyle name="Normal 7 4 2 2 3 5 5" xfId="24934" xr:uid="{37FFB7F8-A60D-44E6-9594-5221A65F1DD6}"/>
    <cellStyle name="Normal 7 4 2 2 3 5 6" xfId="12992" xr:uid="{1B9030B5-E6E5-487A-B343-DEDBFDAA41E5}"/>
    <cellStyle name="Normal 7 4 2 2 3 6" xfId="2394" xr:uid="{00000000-0005-0000-0000-000028080000}"/>
    <cellStyle name="Normal 7 4 2 2 3 6 2" xfId="7521" xr:uid="{5DE4D045-B16F-40E7-A2C9-09EAD26E002E}"/>
    <cellStyle name="Normal 7 4 2 2 3 6 2 2" xfId="17901" xr:uid="{8E32F77A-B3A8-4D1C-A761-C9EC20219E4A}"/>
    <cellStyle name="Normal 7 4 2 2 3 6 3" xfId="10354" xr:uid="{B4AA0635-3228-4837-852E-7E65F4CD2EE9}"/>
    <cellStyle name="Normal 7 4 2 2 3 6 3 2" xfId="20734" xr:uid="{3C551813-CA7E-44BF-AA87-3BEE9180A3FA}"/>
    <cellStyle name="Normal 7 4 2 2 3 6 4" xfId="25118" xr:uid="{F9AA9969-2FC7-478B-A171-64D56D51EFB0}"/>
    <cellStyle name="Normal 7 4 2 2 3 6 5" xfId="15068" xr:uid="{E6CD36DB-B9D7-430B-A8D6-9ED3605181F6}"/>
    <cellStyle name="Normal 7 4 2 2 3 7" xfId="4098" xr:uid="{84B31C01-A54F-4449-BFB1-7622A40FD18D}"/>
    <cellStyle name="Normal 7 4 2 2 3 7 2" xfId="8872" xr:uid="{B5A4DAD8-1C92-4A7D-9E26-C3C3B3CEA1D9}"/>
    <cellStyle name="Normal 7 4 2 2 3 7 2 2" xfId="19252" xr:uid="{A5C368C7-1931-4781-84D1-53CC9C081BF4}"/>
    <cellStyle name="Normal 7 4 2 2 3 7 3" xfId="11705" xr:uid="{E8EE0E5B-E995-465C-ACFE-0CD6E5F87805}"/>
    <cellStyle name="Normal 7 4 2 2 3 7 3 2" xfId="22085" xr:uid="{82B95611-9FE1-4F48-AC51-E361B86E0326}"/>
    <cellStyle name="Normal 7 4 2 2 3 7 4" xfId="16419" xr:uid="{8FC2B307-1BAE-4FFC-B76C-D8E2F45EAFFA}"/>
    <cellStyle name="Normal 7 4 2 2 3 8" xfId="5414" xr:uid="{81B71814-46F5-410E-98DE-E01ABE410EC1}"/>
    <cellStyle name="Normal 7 4 2 2 3 8 2" xfId="14711" xr:uid="{0E5E79B4-AABA-40D1-93D0-96EC3DF21040}"/>
    <cellStyle name="Normal 7 4 2 2 3 9" xfId="7164" xr:uid="{8E7A57FE-91E2-4C45-90E3-D3EA47C763DD}"/>
    <cellStyle name="Normal 7 4 2 2 3 9 2" xfId="17544" xr:uid="{6315F027-416A-4259-8AB1-F01E008A2841}"/>
    <cellStyle name="Normal 7 4 2 2 4" xfId="1397" xr:uid="{00000000-0005-0000-0000-00004C070000}"/>
    <cellStyle name="Normal 7 4 2 2 4 2" xfId="3430" xr:uid="{00000000-0005-0000-0000-00002F080000}"/>
    <cellStyle name="Normal 7 4 2 2 4 2 2" xfId="6485" xr:uid="{DE854B9F-C7C3-4C98-AB57-A65A52D2292B}"/>
    <cellStyle name="Normal 7 4 2 2 4 2 2 2" xfId="26212" xr:uid="{DBFCD840-845A-4E84-9B73-86D0152B4E16}"/>
    <cellStyle name="Normal 7 4 2 2 4 2 2 3" xfId="16056" xr:uid="{A03A2A70-9C9C-4120-A79C-63172CE1B671}"/>
    <cellStyle name="Normal 7 4 2 2 4 2 3" xfId="8509" xr:uid="{C3E4B5E2-5EC1-48B1-87D3-4CD766EE9313}"/>
    <cellStyle name="Normal 7 4 2 2 4 2 3 2" xfId="18889" xr:uid="{7113B987-0C1C-4905-91A9-0380A806233F}"/>
    <cellStyle name="Normal 7 4 2 2 4 2 4" xfId="11342" xr:uid="{E324CF82-4DF2-4155-96CE-89F1E366D390}"/>
    <cellStyle name="Normal 7 4 2 2 4 2 4 2" xfId="21722" xr:uid="{2363E80A-D10F-4807-8ED4-1C6C39B1E359}"/>
    <cellStyle name="Normal 7 4 2 2 4 2 5" xfId="25583" xr:uid="{E1E348D3-57BD-4DD6-9AB5-EB901E0FAB6C}"/>
    <cellStyle name="Normal 7 4 2 2 4 2 6" xfId="14011" xr:uid="{0DA4CF78-0F83-4406-A67A-CF9DE8F73E01}"/>
    <cellStyle name="Normal 7 4 2 2 4 3" xfId="2820" xr:uid="{00000000-0005-0000-0000-000030080000}"/>
    <cellStyle name="Normal 7 4 2 2 4 3 2" xfId="6036" xr:uid="{24275F97-422E-4BB1-91DF-37D0F599D8FB}"/>
    <cellStyle name="Normal 7 4 2 2 4 3 2 2" xfId="27540" xr:uid="{F6968377-A792-4BAA-8DEF-25671046BD29}"/>
    <cellStyle name="Normal 7 4 2 2 4 3 2 3" xfId="15490" xr:uid="{06849532-8AD2-4245-B3BA-0A39C89CAE1C}"/>
    <cellStyle name="Normal 7 4 2 2 4 3 3" xfId="7943" xr:uid="{15C81E93-7640-4B2D-9DE8-A36ECEE0310C}"/>
    <cellStyle name="Normal 7 4 2 2 4 3 3 2" xfId="18323" xr:uid="{99A9ACD3-9FDE-4DAB-8425-0B5051A27DBE}"/>
    <cellStyle name="Normal 7 4 2 2 4 3 4" xfId="10776" xr:uid="{4A543769-6BA3-41B0-B877-B40BFFE14845}"/>
    <cellStyle name="Normal 7 4 2 2 4 3 4 2" xfId="21156" xr:uid="{DD5E8543-D42A-4F51-AA02-9BA778198B7C}"/>
    <cellStyle name="Normal 7 4 2 2 4 3 5" xfId="25024" xr:uid="{27C6B879-2A9B-4C8D-BA52-667BE9BBFD24}"/>
    <cellStyle name="Normal 7 4 2 2 4 3 6" xfId="13291" xr:uid="{3F1C9EFF-1EE5-468D-98E4-2A027A15C17F}"/>
    <cellStyle name="Normal 7 4 2 2 4 4" xfId="4214" xr:uid="{AF788927-74F5-452F-99D4-A4013529F547}"/>
    <cellStyle name="Normal 7 4 2 2 4 4 2" xfId="8986" xr:uid="{B0EBA951-AD08-4382-8B05-A2DD518631AB}"/>
    <cellStyle name="Normal 7 4 2 2 4 4 2 2" xfId="19366" xr:uid="{D7301CE1-D93C-4CD9-A072-15625D17B8F2}"/>
    <cellStyle name="Normal 7 4 2 2 4 4 3" xfId="11819" xr:uid="{D12483FF-D19F-4649-82D2-9B54E11F3A5E}"/>
    <cellStyle name="Normal 7 4 2 2 4 4 3 2" xfId="22199" xr:uid="{2C2FABCD-4C85-4A66-B964-3063584DC531}"/>
    <cellStyle name="Normal 7 4 2 2 4 4 4" xfId="23219" xr:uid="{FFDB1CA5-507F-4DAB-A0B9-501CABACAD1B}"/>
    <cellStyle name="Normal 7 4 2 2 4 4 5" xfId="16533" xr:uid="{BB82FAA5-5C46-4744-8BAC-0FF1BD15A412}"/>
    <cellStyle name="Normal 7 4 2 2 4 5" xfId="5415" xr:uid="{A32B5EEA-BC34-40B9-95D1-4302E6D87236}"/>
    <cellStyle name="Normal 7 4 2 2 4 5 2" xfId="14712" xr:uid="{9F8BB946-6348-4420-9392-37B627CEE59A}"/>
    <cellStyle name="Normal 7 4 2 2 4 6" xfId="7165" xr:uid="{DAEC77F3-1C8C-4B74-98CD-5F3CF2656F7A}"/>
    <cellStyle name="Normal 7 4 2 2 4 6 2" xfId="17545" xr:uid="{C5F6AB9A-C603-467E-A82C-1D4F7268A796}"/>
    <cellStyle name="Normal 7 4 2 2 4 7" xfId="9998" xr:uid="{7B4F8D55-E74C-4B87-85DF-E6E0103E8E29}"/>
    <cellStyle name="Normal 7 4 2 2 4 7 2" xfId="20378" xr:uid="{80880717-1857-4E6D-AAA6-489A85F61717}"/>
    <cellStyle name="Normal 7 4 2 2 4 8" xfId="22731" xr:uid="{467A0ED2-EC90-473C-98DC-8255A53B9A0D}"/>
    <cellStyle name="Normal 7 4 2 2 4 9" xfId="12786" xr:uid="{B8EB3723-98B9-4927-8220-58823A7A3EA0}"/>
    <cellStyle name="Normal 7 4 2 2 5" xfId="3431" xr:uid="{00000000-0005-0000-0000-000031080000}"/>
    <cellStyle name="Normal 7 4 2 2 5 2" xfId="4575" xr:uid="{78168C4A-73C4-480C-89BC-17406287FD18}"/>
    <cellStyle name="Normal 7 4 2 2 5 2 2" xfId="9347" xr:uid="{9A97ED38-B380-4A83-8B19-F1B614E449DD}"/>
    <cellStyle name="Normal 7 4 2 2 5 2 2 2" xfId="29319" xr:uid="{5003FBDD-1731-48B2-8AD5-7F21002AA236}"/>
    <cellStyle name="Normal 7 4 2 2 5 2 2 3" xfId="19727" xr:uid="{3BD19DB3-E67B-4479-98D3-B893BEFF38DC}"/>
    <cellStyle name="Normal 7 4 2 2 5 2 3" xfId="12180" xr:uid="{43C039E7-7DFE-49E4-AE7F-5826F816AEB2}"/>
    <cellStyle name="Normal 7 4 2 2 5 2 3 2" xfId="22560" xr:uid="{096BA791-6996-4584-84AA-D9CBE0015F90}"/>
    <cellStyle name="Normal 7 4 2 2 5 2 4" xfId="24724" xr:uid="{DD6C1391-E73C-4931-8157-1A3511B235BB}"/>
    <cellStyle name="Normal 7 4 2 2 5 2 5" xfId="16894" xr:uid="{D3DA5277-97A8-4766-BC4F-4591FF1ACF9D}"/>
    <cellStyle name="Normal 7 4 2 2 5 3" xfId="6486" xr:uid="{D2CECFD3-E3E1-45D4-B8D5-C698C07FAC0C}"/>
    <cellStyle name="Normal 7 4 2 2 5 3 2" xfId="27893" xr:uid="{8B952244-3AE7-4AC9-B92D-1F402A016B3F}"/>
    <cellStyle name="Normal 7 4 2 2 5 3 3" xfId="16057" xr:uid="{84468F57-E048-4D2F-9D4D-9B0384BCA31B}"/>
    <cellStyle name="Normal 7 4 2 2 5 4" xfId="8510" xr:uid="{1050905F-D263-49CF-BF7D-503786B0BF0B}"/>
    <cellStyle name="Normal 7 4 2 2 5 4 2" xfId="18890" xr:uid="{AC6EDFB1-A6BB-42AB-B4C0-8FBAC5FED5F5}"/>
    <cellStyle name="Normal 7 4 2 2 5 5" xfId="11343" xr:uid="{91EA5473-DB12-4F7C-8707-EE41C8752789}"/>
    <cellStyle name="Normal 7 4 2 2 5 5 2" xfId="21723" xr:uid="{C27FBEAE-9812-4C1F-BCEB-9EB6BFBFF436}"/>
    <cellStyle name="Normal 7 4 2 2 5 6" xfId="24659" xr:uid="{55DEF902-AC61-48A3-9936-6030E825129F}"/>
    <cellStyle name="Normal 7 4 2 2 5 7" xfId="14012" xr:uid="{4A793EBF-9B30-41E3-90F2-E8F159926CFF}"/>
    <cellStyle name="Normal 7 4 2 2 6" xfId="2987" xr:uid="{00000000-0005-0000-0000-000032080000}"/>
    <cellStyle name="Normal 7 4 2 2 6 2" xfId="6137" xr:uid="{885CA862-FE87-40D5-ADAC-98BB7D68F214}"/>
    <cellStyle name="Normal 7 4 2 2 6 2 2" xfId="27498" xr:uid="{49ACB948-396A-49AA-A870-7044B3EA911B}"/>
    <cellStyle name="Normal 7 4 2 2 6 2 3" xfId="15615" xr:uid="{D202C4EE-4D65-4753-BFC1-FBE788747F3B}"/>
    <cellStyle name="Normal 7 4 2 2 6 3" xfId="8068" xr:uid="{0833C992-0921-49C4-A389-00BC17432EBA}"/>
    <cellStyle name="Normal 7 4 2 2 6 3 2" xfId="18448" xr:uid="{9F9D0E9F-93E3-45FC-A672-4611CF490A61}"/>
    <cellStyle name="Normal 7 4 2 2 6 4" xfId="10901" xr:uid="{8C3220A2-8012-4D07-8A6D-9380A4412557}"/>
    <cellStyle name="Normal 7 4 2 2 6 4 2" xfId="21281" xr:uid="{AFC20936-6F30-4750-9EFA-29108B1E674E}"/>
    <cellStyle name="Normal 7 4 2 2 6 5" xfId="23469" xr:uid="{B5523BE2-1C84-426B-9C30-1F58411441F7}"/>
    <cellStyle name="Normal 7 4 2 2 6 6" xfId="13484" xr:uid="{0CE8DA17-6CAF-48C4-B2FB-797ADB368D48}"/>
    <cellStyle name="Normal 7 4 2 2 7" xfId="2501" xr:uid="{00000000-0005-0000-0000-000033080000}"/>
    <cellStyle name="Normal 7 4 2 2 7 2" xfId="5782" xr:uid="{46C9377F-DD9E-44D5-8F35-C6BE65A25261}"/>
    <cellStyle name="Normal 7 4 2 2 7 2 2" xfId="25870" xr:uid="{72470397-EAC5-47B9-B3E6-E56D2566D9C7}"/>
    <cellStyle name="Normal 7 4 2 2 7 2 3" xfId="15173" xr:uid="{FCED73FE-439C-4FA6-9E9D-25114E9837FD}"/>
    <cellStyle name="Normal 7 4 2 2 7 3" xfId="7626" xr:uid="{E1DFBAD9-539B-4F59-92DF-03573E5E2357}"/>
    <cellStyle name="Normal 7 4 2 2 7 3 2" xfId="18006" xr:uid="{F14037E4-6CBB-464A-B082-F6994BEBFE73}"/>
    <cellStyle name="Normal 7 4 2 2 7 4" xfId="10459" xr:uid="{5C931ABC-546B-4A56-8B6E-95BF9B3E6AFE}"/>
    <cellStyle name="Normal 7 4 2 2 7 4 2" xfId="20839" xr:uid="{BC1A531E-9CA5-48AA-9694-781BE8B092DC}"/>
    <cellStyle name="Normal 7 4 2 2 7 5" xfId="22860" xr:uid="{15607B7D-18B4-4FBC-85CD-EB9D6D36980A}"/>
    <cellStyle name="Normal 7 4 2 2 7 6" xfId="12889" xr:uid="{367BFB58-CAD3-4BEE-B092-49B682FDD40F}"/>
    <cellStyle name="Normal 7 4 2 2 8" xfId="2195" xr:uid="{00000000-0005-0000-0000-00001C080000}"/>
    <cellStyle name="Normal 7 4 2 2 8 2" xfId="7322" xr:uid="{64345797-C159-489C-B9AB-E90EFDDCC77B}"/>
    <cellStyle name="Normal 7 4 2 2 8 2 2" xfId="17702" xr:uid="{83898018-8C4E-49CD-AB1F-68F2D2107E22}"/>
    <cellStyle name="Normal 7 4 2 2 8 3" xfId="10155" xr:uid="{AEE4DB54-113D-496D-A6BA-21276E3D7174}"/>
    <cellStyle name="Normal 7 4 2 2 8 3 2" xfId="20535" xr:uid="{E20F4350-BDB8-4826-B5DD-03E6AAC176D1}"/>
    <cellStyle name="Normal 7 4 2 2 8 4" xfId="24477" xr:uid="{6748E8E5-C49F-4643-B884-0DF9EA494750}"/>
    <cellStyle name="Normal 7 4 2 2 8 5" xfId="14869" xr:uid="{2F78EB13-F436-4C1B-AB68-EA67F7FD673A}"/>
    <cellStyle name="Normal 7 4 2 2 9" xfId="4062" xr:uid="{B46ABEFD-6A47-473A-8BDD-11556DF654C9}"/>
    <cellStyle name="Normal 7 4 2 2 9 2" xfId="8842" xr:uid="{6A88DBD8-B30B-495C-9794-291636DE9245}"/>
    <cellStyle name="Normal 7 4 2 2 9 2 2" xfId="19222" xr:uid="{56DD4781-EC25-48C9-8956-143684A094E4}"/>
    <cellStyle name="Normal 7 4 2 2 9 3" xfId="11675" xr:uid="{96E2148F-38BA-4368-9C18-4583791661D9}"/>
    <cellStyle name="Normal 7 4 2 2 9 3 2" xfId="22055" xr:uid="{56527C18-0767-4D85-8767-7287DF8BF451}"/>
    <cellStyle name="Normal 7 4 2 2 9 4" xfId="16389" xr:uid="{E56B323C-EBC0-46DD-A85E-3742D3AE952D}"/>
    <cellStyle name="Normal 7 4 2 3" xfId="1398" xr:uid="{00000000-0005-0000-0000-00004D070000}"/>
    <cellStyle name="Normal 7 4 2 3 10" xfId="5416" xr:uid="{8C8B1CD1-B6A5-467A-AF9D-289D82C2FFFB}"/>
    <cellStyle name="Normal 7 4 2 3 10 2" xfId="14713" xr:uid="{21D404C2-C36B-4169-9640-42A10BE97DDF}"/>
    <cellStyle name="Normal 7 4 2 3 11" xfId="7166" xr:uid="{F92BC005-23EB-41B2-B765-2A0FE05AC736}"/>
    <cellStyle name="Normal 7 4 2 3 11 2" xfId="17546" xr:uid="{65E3839C-1678-4AEC-8D8C-51D5A32A56E8}"/>
    <cellStyle name="Normal 7 4 2 3 12" xfId="9999" xr:uid="{0EC2392F-3625-4F96-9DAB-9E858D9CC39D}"/>
    <cellStyle name="Normal 7 4 2 3 12 2" xfId="20379" xr:uid="{5E763089-B5F7-403B-A0B8-4A022F793850}"/>
    <cellStyle name="Normal 7 4 2 3 13" xfId="25307" xr:uid="{EF046668-5702-44D2-A5A8-4FA36487B8F4}"/>
    <cellStyle name="Normal 7 4 2 3 14" xfId="12464" xr:uid="{926B9C07-A69D-46C1-8504-A0DB3191A336}"/>
    <cellStyle name="Normal 7 4 2 3 2" xfId="1399" xr:uid="{00000000-0005-0000-0000-00004E070000}"/>
    <cellStyle name="Normal 7 4 2 3 2 10" xfId="10000" xr:uid="{5588C031-AFDD-4BE2-9229-BC3BD3EBC009}"/>
    <cellStyle name="Normal 7 4 2 3 2 10 2" xfId="20380" xr:uid="{F217E0CF-C98E-4E1A-8A60-62A17BF0C8CD}"/>
    <cellStyle name="Normal 7 4 2 3 2 11" xfId="23985" xr:uid="{01B31655-4E45-48D9-9082-25E466419FA4}"/>
    <cellStyle name="Normal 7 4 2 3 2 12" xfId="12629" xr:uid="{E49CE596-0D0E-40CB-BEE2-1F84B8F33F28}"/>
    <cellStyle name="Normal 7 4 2 3 2 2" xfId="1400" xr:uid="{00000000-0005-0000-0000-00004F070000}"/>
    <cellStyle name="Normal 7 4 2 3 2 2 2" xfId="3433" xr:uid="{00000000-0005-0000-0000-000037080000}"/>
    <cellStyle name="Normal 7 4 2 3 2 2 2 2" xfId="6488" xr:uid="{B5711F0C-69AE-405C-82A4-C50BB7635633}"/>
    <cellStyle name="Normal 7 4 2 3 2 2 2 2 2" xfId="26505" xr:uid="{4F476C45-06B1-4A1C-8FBE-97090F2C0ADB}"/>
    <cellStyle name="Normal 7 4 2 3 2 2 2 2 3" xfId="26718" xr:uid="{A1CC0F1C-2CDE-4CEF-A835-41421DF29779}"/>
    <cellStyle name="Normal 7 4 2 3 2 2 2 2 4" xfId="16059" xr:uid="{1D09D644-9147-4F27-BED0-6864D311252F}"/>
    <cellStyle name="Normal 7 4 2 3 2 2 2 3" xfId="8512" xr:uid="{1C1CC2A1-1791-44D2-9246-28DEAE3821D5}"/>
    <cellStyle name="Normal 7 4 2 3 2 2 2 3 2" xfId="28935" xr:uid="{F1D6C972-A649-4FD9-B89B-CBDEF201CAB7}"/>
    <cellStyle name="Normal 7 4 2 3 2 2 2 3 3" xfId="18892" xr:uid="{5C5434A2-6896-4D07-B9E7-D8D82C5C623A}"/>
    <cellStyle name="Normal 7 4 2 3 2 2 2 4" xfId="11345" xr:uid="{FDAF0EA0-01A3-4844-8556-E87D3F1E5ACD}"/>
    <cellStyle name="Normal 7 4 2 3 2 2 2 4 2" xfId="21725" xr:uid="{9C519726-F498-488E-8980-E268B30F4178}"/>
    <cellStyle name="Normal 7 4 2 3 2 2 2 5" xfId="22686" xr:uid="{87F2C3F5-A3D9-46E5-9054-DB46D45E0E43}"/>
    <cellStyle name="Normal 7 4 2 3 2 2 2 6" xfId="14014" xr:uid="{2443BE42-3CF5-49B0-A3F3-FF7D45A9F30F}"/>
    <cellStyle name="Normal 7 4 2 3 2 2 3" xfId="4364" xr:uid="{94ED94A1-9A2F-43F9-AD2A-2B7E741A6D11}"/>
    <cellStyle name="Normal 7 4 2 3 2 2 3 2" xfId="9136" xr:uid="{9D0221DB-8492-4F03-9F62-C2E33F5D3E44}"/>
    <cellStyle name="Normal 7 4 2 3 2 2 3 2 2" xfId="29179" xr:uid="{73FD9858-82EC-48B7-BFC1-460341C59EFC}"/>
    <cellStyle name="Normal 7 4 2 3 2 2 3 2 3" xfId="19516" xr:uid="{611FEC59-E05B-4872-AAB2-BA060EE4B03C}"/>
    <cellStyle name="Normal 7 4 2 3 2 2 3 3" xfId="11969" xr:uid="{EB953968-C471-4F4C-BB25-E40106971C45}"/>
    <cellStyle name="Normal 7 4 2 3 2 2 3 3 2" xfId="22349" xr:uid="{B6CFFBD0-63E0-4BCC-969D-A7B6D53C40F3}"/>
    <cellStyle name="Normal 7 4 2 3 2 2 3 4" xfId="25023" xr:uid="{4A5EC857-2DC5-43FA-A0AC-A85F6EE6E7D8}"/>
    <cellStyle name="Normal 7 4 2 3 2 2 3 5" xfId="16683" xr:uid="{3B099161-2D2C-429D-96F3-9C20BEF4CDE6}"/>
    <cellStyle name="Normal 7 4 2 3 2 2 4" xfId="5418" xr:uid="{96CF66A8-42E5-4B3B-96C8-8A517147CC2B}"/>
    <cellStyle name="Normal 7 4 2 3 2 2 4 2" xfId="27816" xr:uid="{AD6500D6-0323-4E3D-BFB9-FE86937C92D9}"/>
    <cellStyle name="Normal 7 4 2 3 2 2 4 3" xfId="14715" xr:uid="{E967BE07-A5EB-44DD-80AF-7B7F90E96CE9}"/>
    <cellStyle name="Normal 7 4 2 3 2 2 5" xfId="7168" xr:uid="{4A58DC75-3200-4A55-BF2E-8D02B3B3027A}"/>
    <cellStyle name="Normal 7 4 2 3 2 2 5 2" xfId="17548" xr:uid="{B4DBFDA8-F731-44B4-A5C8-38B1A02EFB99}"/>
    <cellStyle name="Normal 7 4 2 3 2 2 6" xfId="10001" xr:uid="{3BB54544-8FBE-4D44-8549-7B26B4B44331}"/>
    <cellStyle name="Normal 7 4 2 3 2 2 6 2" xfId="20381" xr:uid="{AC76AF71-A62D-486B-A89B-3B19ECAB6D74}"/>
    <cellStyle name="Normal 7 4 2 3 2 2 7" xfId="24752" xr:uid="{7A7D9510-388F-40E2-93BA-E578E4F7EB8A}"/>
    <cellStyle name="Normal 7 4 2 3 2 2 8" xfId="13296" xr:uid="{E20C0592-D624-47A1-8A09-3E08B884C0C3}"/>
    <cellStyle name="Normal 7 4 2 3 2 3" xfId="3434" xr:uid="{00000000-0005-0000-0000-000038080000}"/>
    <cellStyle name="Normal 7 4 2 3 2 3 2" xfId="4576" xr:uid="{2642E171-E0CB-448E-A027-84AFC3E96FF0}"/>
    <cellStyle name="Normal 7 4 2 3 2 3 2 2" xfId="9348" xr:uid="{E3CF8F99-F321-47E5-8144-93F8FFDF976B}"/>
    <cellStyle name="Normal 7 4 2 3 2 3 2 2 2" xfId="29320" xr:uid="{2AFC9CEB-FECE-483F-953A-ABED321E6D20}"/>
    <cellStyle name="Normal 7 4 2 3 2 3 2 2 3" xfId="19728" xr:uid="{9E02E87D-686E-4317-A85D-2D4A33FB2F14}"/>
    <cellStyle name="Normal 7 4 2 3 2 3 2 3" xfId="12181" xr:uid="{EA7BD2D8-D8F8-40C1-9999-4CA79988ED7C}"/>
    <cellStyle name="Normal 7 4 2 3 2 3 2 3 2" xfId="22561" xr:uid="{7AEC5018-3A1E-4DA7-9E36-844371F7337F}"/>
    <cellStyle name="Normal 7 4 2 3 2 3 2 4" xfId="25099" xr:uid="{613729BE-7B7A-48DF-A98A-0324D9CC7896}"/>
    <cellStyle name="Normal 7 4 2 3 2 3 2 5" xfId="16895" xr:uid="{08FDC1C4-6ABA-4A7B-9145-1036EAE26631}"/>
    <cellStyle name="Normal 7 4 2 3 2 3 3" xfId="6489" xr:uid="{A85781ED-52CB-4A90-A96A-E63D87C24D21}"/>
    <cellStyle name="Normal 7 4 2 3 2 3 3 2" xfId="27452" xr:uid="{E8747902-D10F-4291-A934-5E04B75CFAE1}"/>
    <cellStyle name="Normal 7 4 2 3 2 3 3 3" xfId="16060" xr:uid="{4C667BEE-63E7-4B09-92CA-0572ADDEB1EC}"/>
    <cellStyle name="Normal 7 4 2 3 2 3 4" xfId="8513" xr:uid="{DB351BA3-2D9D-48BF-B486-C6C168BBEB17}"/>
    <cellStyle name="Normal 7 4 2 3 2 3 4 2" xfId="18893" xr:uid="{E44ED893-5F25-4E3F-BE3A-67E7D345A5EC}"/>
    <cellStyle name="Normal 7 4 2 3 2 3 5" xfId="11346" xr:uid="{B587B2D2-AFDD-4667-88BF-2211E7ED11D2}"/>
    <cellStyle name="Normal 7 4 2 3 2 3 5 2" xfId="21726" xr:uid="{5A319EE7-CECC-42E9-A6E7-D127ED4CD35D}"/>
    <cellStyle name="Normal 7 4 2 3 2 3 6" xfId="25301" xr:uid="{CF1B8EA8-E6A9-405A-B0B1-88D81E32A375}"/>
    <cellStyle name="Normal 7 4 2 3 2 3 7" xfId="14015" xr:uid="{B01ACE33-B4E8-43F8-BFDB-E16A54A75E6D}"/>
    <cellStyle name="Normal 7 4 2 3 2 4" xfId="3432" xr:uid="{00000000-0005-0000-0000-000039080000}"/>
    <cellStyle name="Normal 7 4 2 3 2 4 2" xfId="6487" xr:uid="{0F5A270F-CC57-4C4F-8E41-A53C6D61C272}"/>
    <cellStyle name="Normal 7 4 2 3 2 4 2 2" xfId="26272" xr:uid="{D6E1A9D1-6A68-4A92-9169-C0FA00208013}"/>
    <cellStyle name="Normal 7 4 2 3 2 4 2 3" xfId="16058" xr:uid="{AC5BD39D-70ED-499C-9F51-3E20DE39736E}"/>
    <cellStyle name="Normal 7 4 2 3 2 4 3" xfId="8511" xr:uid="{B706C03C-E70D-4BCA-9CE0-4834839726DE}"/>
    <cellStyle name="Normal 7 4 2 3 2 4 3 2" xfId="18891" xr:uid="{E048BDE4-74AA-49D5-B59D-D9B122159339}"/>
    <cellStyle name="Normal 7 4 2 3 2 4 4" xfId="11344" xr:uid="{DEDFD41D-4637-49F9-BFC8-CC4D2E008799}"/>
    <cellStyle name="Normal 7 4 2 3 2 4 4 2" xfId="21724" xr:uid="{4DA0E474-79B4-4059-B33A-2081634E2A56}"/>
    <cellStyle name="Normal 7 4 2 3 2 4 5" xfId="23471" xr:uid="{8C0CA739-0F46-4DDD-87A1-47C7895853FE}"/>
    <cellStyle name="Normal 7 4 2 3 2 4 6" xfId="14013" xr:uid="{737988B7-65EB-407D-A127-003ECFEE0F2E}"/>
    <cellStyle name="Normal 7 4 2 3 2 5" xfId="2538" xr:uid="{00000000-0005-0000-0000-00003A080000}"/>
    <cellStyle name="Normal 7 4 2 3 2 5 2" xfId="5812" xr:uid="{1FF86231-FF17-4F99-9AA4-D3098D8340C4}"/>
    <cellStyle name="Normal 7 4 2 3 2 5 2 2" xfId="26910" xr:uid="{1652A80E-0B7D-4869-A929-DC2770F88CCD}"/>
    <cellStyle name="Normal 7 4 2 3 2 5 2 3" xfId="15210" xr:uid="{9E8D374D-BAA5-48ED-BB4D-D94F454DEAB9}"/>
    <cellStyle name="Normal 7 4 2 3 2 5 3" xfId="7663" xr:uid="{E1E3EA2A-6393-4AC6-88C9-53712DCC99DC}"/>
    <cellStyle name="Normal 7 4 2 3 2 5 3 2" xfId="18043" xr:uid="{52BA3E61-3442-48B0-B883-612F079E78EA}"/>
    <cellStyle name="Normal 7 4 2 3 2 5 4" xfId="10496" xr:uid="{2D002C16-09DD-442E-AAE6-5C36392980DF}"/>
    <cellStyle name="Normal 7 4 2 3 2 5 4 2" xfId="20876" xr:uid="{B5904AE0-E809-4B49-A05D-121E783BAB2C}"/>
    <cellStyle name="Normal 7 4 2 3 2 5 5" xfId="23657" xr:uid="{A8F13F01-3955-4204-94B5-CBA77FE6FEF6}"/>
    <cellStyle name="Normal 7 4 2 3 2 5 6" xfId="12926" xr:uid="{F3CD5672-035A-4289-B6D9-3CE91F6189F6}"/>
    <cellStyle name="Normal 7 4 2 3 2 6" xfId="2395" xr:uid="{00000000-0005-0000-0000-000035080000}"/>
    <cellStyle name="Normal 7 4 2 3 2 6 2" xfId="7522" xr:uid="{0F39950D-8652-4161-ABDC-3F642EF46C94}"/>
    <cellStyle name="Normal 7 4 2 3 2 6 2 2" xfId="17902" xr:uid="{213839AF-EC2F-4D5D-9374-405FAC963988}"/>
    <cellStyle name="Normal 7 4 2 3 2 6 3" xfId="10355" xr:uid="{80B4AC85-96A1-4097-92B0-A8BF0291253D}"/>
    <cellStyle name="Normal 7 4 2 3 2 6 3 2" xfId="20735" xr:uid="{D46D3BF5-6AB5-4BC9-813A-92A4BF4D2CCB}"/>
    <cellStyle name="Normal 7 4 2 3 2 6 4" xfId="23911" xr:uid="{962BD4BA-EE7D-4E41-A1DB-0FC519780464}"/>
    <cellStyle name="Normal 7 4 2 3 2 6 5" xfId="15069" xr:uid="{A9A21AE6-B312-4991-9739-5ADFDAE34C66}"/>
    <cellStyle name="Normal 7 4 2 3 2 7" xfId="4099" xr:uid="{C102413C-8FEF-4D40-933E-3702638B6733}"/>
    <cellStyle name="Normal 7 4 2 3 2 7 2" xfId="8873" xr:uid="{EA41D6F8-913E-4966-A34F-2E0387505A15}"/>
    <cellStyle name="Normal 7 4 2 3 2 7 2 2" xfId="19253" xr:uid="{1E98A5DD-80D7-432B-922E-17A65C89C845}"/>
    <cellStyle name="Normal 7 4 2 3 2 7 3" xfId="11706" xr:uid="{7F139A08-1225-4F51-B75A-DD915D734B23}"/>
    <cellStyle name="Normal 7 4 2 3 2 7 3 2" xfId="22086" xr:uid="{FD6D2266-D976-4DC2-ACE7-23BB555E0D56}"/>
    <cellStyle name="Normal 7 4 2 3 2 7 4" xfId="16420" xr:uid="{3E15CA83-7512-407A-9EF5-1D6F5C6CEF29}"/>
    <cellStyle name="Normal 7 4 2 3 2 8" xfId="5417" xr:uid="{DE81DCA1-8885-4BEF-852E-1027D0916375}"/>
    <cellStyle name="Normal 7 4 2 3 2 8 2" xfId="14714" xr:uid="{CFE9DFE0-EF44-4FBE-8B56-133E5B4BEDD9}"/>
    <cellStyle name="Normal 7 4 2 3 2 9" xfId="7167" xr:uid="{1B4BA926-DEEE-4563-AF66-B8E391B5C91A}"/>
    <cellStyle name="Normal 7 4 2 3 2 9 2" xfId="17547" xr:uid="{DF10D89F-BCCA-4387-80B6-AB7E05C0C1C7}"/>
    <cellStyle name="Normal 7 4 2 3 3" xfId="1401" xr:uid="{00000000-0005-0000-0000-000050070000}"/>
    <cellStyle name="Normal 7 4 2 3 3 10" xfId="25005" xr:uid="{74A6D7E1-902E-4E7E-BB83-92D9A50C5297}"/>
    <cellStyle name="Normal 7 4 2 3 3 11" xfId="12787" xr:uid="{DF1EF04B-825C-4097-B6A5-99B5D581394A}"/>
    <cellStyle name="Normal 7 4 2 3 3 2" xfId="2824" xr:uid="{00000000-0005-0000-0000-00003C080000}"/>
    <cellStyle name="Normal 7 4 2 3 3 2 2" xfId="3436" xr:uid="{00000000-0005-0000-0000-00003D080000}"/>
    <cellStyle name="Normal 7 4 2 3 3 2 2 2" xfId="6491" xr:uid="{01988EE1-718A-4D93-8EA9-01FEC39B7208}"/>
    <cellStyle name="Normal 7 4 2 3 3 2 2 2 2" xfId="27744" xr:uid="{DDDDBCEC-506F-4A4E-8ADA-6C2ED5B7708E}"/>
    <cellStyle name="Normal 7 4 2 3 3 2 2 2 3" xfId="16062" xr:uid="{89BA0241-2803-49ED-BE9F-8943AE6E1206}"/>
    <cellStyle name="Normal 7 4 2 3 3 2 2 3" xfId="8515" xr:uid="{57CC34DA-9FBC-43E8-B8D4-EE855EA529F4}"/>
    <cellStyle name="Normal 7 4 2 3 3 2 2 3 2" xfId="18895" xr:uid="{70373274-7FA2-4375-8681-1D2E5ABC0984}"/>
    <cellStyle name="Normal 7 4 2 3 3 2 2 4" xfId="11348" xr:uid="{96B8BDCB-0773-48FE-B053-58ECC4AE6CA5}"/>
    <cellStyle name="Normal 7 4 2 3 3 2 2 4 2" xfId="21728" xr:uid="{3DD57718-6B56-4187-80A9-86ECE7EB5B36}"/>
    <cellStyle name="Normal 7 4 2 3 3 2 2 5" xfId="25258" xr:uid="{2709D340-B516-41A4-B702-79E3836CB00E}"/>
    <cellStyle name="Normal 7 4 2 3 3 2 2 6" xfId="14017" xr:uid="{FC196B02-C99F-4F05-AF34-81F7EDF26714}"/>
    <cellStyle name="Normal 7 4 2 3 3 2 3" xfId="4365" xr:uid="{044F8DE7-ED5B-44A8-8944-6EEABE281F31}"/>
    <cellStyle name="Normal 7 4 2 3 3 2 3 2" xfId="9137" xr:uid="{9EC70713-1A6D-4A67-AF71-358173D64B51}"/>
    <cellStyle name="Normal 7 4 2 3 3 2 3 2 2" xfId="29180" xr:uid="{E676AA79-59EC-4D99-BA27-D7C7A3D23B77}"/>
    <cellStyle name="Normal 7 4 2 3 3 2 3 2 3" xfId="19517" xr:uid="{93731995-B6CE-4607-83F9-73A445DC8241}"/>
    <cellStyle name="Normal 7 4 2 3 3 2 3 3" xfId="11970" xr:uid="{FD7213D9-84F2-45D8-9669-3B61C7E6F6B6}"/>
    <cellStyle name="Normal 7 4 2 3 3 2 3 3 2" xfId="22350" xr:uid="{41AD50BB-7707-40C2-8171-0850E08E0658}"/>
    <cellStyle name="Normal 7 4 2 3 3 2 3 4" xfId="24560" xr:uid="{98B05C9D-ACE6-429A-BFF4-DE3CDFB4569C}"/>
    <cellStyle name="Normal 7 4 2 3 3 2 3 5" xfId="16684" xr:uid="{73E77EB9-E214-455C-8263-A7ED96CD922A}"/>
    <cellStyle name="Normal 7 4 2 3 3 2 4" xfId="6040" xr:uid="{97B9107C-B400-43A1-94BE-40E8FCF146F7}"/>
    <cellStyle name="Normal 7 4 2 3 3 2 4 2" xfId="26455" xr:uid="{8603C08A-6BAE-48DD-AC36-B7AFF09BD670}"/>
    <cellStyle name="Normal 7 4 2 3 3 2 4 3" xfId="15494" xr:uid="{8C9EFA2E-B869-4243-AA5B-9CDAB3C94349}"/>
    <cellStyle name="Normal 7 4 2 3 3 2 5" xfId="7947" xr:uid="{968E5FC0-D0EB-4CA0-95F7-57CF3055E9F1}"/>
    <cellStyle name="Normal 7 4 2 3 3 2 5 2" xfId="18327" xr:uid="{993F9A40-5237-4F93-A0F2-099B4A3B0164}"/>
    <cellStyle name="Normal 7 4 2 3 3 2 6" xfId="10780" xr:uid="{B31B16F7-43DD-48E9-96C0-21C8479A3D7D}"/>
    <cellStyle name="Normal 7 4 2 3 3 2 6 2" xfId="21160" xr:uid="{36FB3E83-4021-4952-B75D-573410442A6A}"/>
    <cellStyle name="Normal 7 4 2 3 3 2 7" xfId="23931" xr:uid="{6B5F3540-BA25-469E-81B0-2DF3A40D8EB9}"/>
    <cellStyle name="Normal 7 4 2 3 3 2 8" xfId="13297" xr:uid="{732B9084-E958-4E44-B824-C9EA722BEF3B}"/>
    <cellStyle name="Normal 7 4 2 3 3 3" xfId="3437" xr:uid="{00000000-0005-0000-0000-00003E080000}"/>
    <cellStyle name="Normal 7 4 2 3 3 3 2" xfId="4577" xr:uid="{1DE9A599-11DA-4A6B-B5D2-21E553D70940}"/>
    <cellStyle name="Normal 7 4 2 3 3 3 2 2" xfId="9349" xr:uid="{49E7BF0F-4AAC-4702-AD80-471A65E7758E}"/>
    <cellStyle name="Normal 7 4 2 3 3 3 2 2 2" xfId="29321" xr:uid="{3B0DCB07-3523-46FB-9843-9AE8184E369C}"/>
    <cellStyle name="Normal 7 4 2 3 3 3 2 2 3" xfId="19729" xr:uid="{AD2E44D6-2FBD-4923-88D1-488B7DA0CCDE}"/>
    <cellStyle name="Normal 7 4 2 3 3 3 2 3" xfId="12182" xr:uid="{35C721A0-2FB9-46B8-A96C-0ACB99ED22D6}"/>
    <cellStyle name="Normal 7 4 2 3 3 3 2 3 2" xfId="22562" xr:uid="{4B4D8D67-3A9A-4762-B45E-9A02DE558232}"/>
    <cellStyle name="Normal 7 4 2 3 3 3 2 4" xfId="25152" xr:uid="{0CB06BCC-FE1E-4396-84B4-96541123C57E}"/>
    <cellStyle name="Normal 7 4 2 3 3 3 2 5" xfId="16896" xr:uid="{5669AC14-9F07-49DE-8DB0-48D0A5DCE652}"/>
    <cellStyle name="Normal 7 4 2 3 3 3 3" xfId="6492" xr:uid="{6E004533-E227-4A58-982A-FC863249EA28}"/>
    <cellStyle name="Normal 7 4 2 3 3 3 3 2" xfId="27091" xr:uid="{C7D07C9F-5701-46BE-A5D6-5D77DCF51F32}"/>
    <cellStyle name="Normal 7 4 2 3 3 3 3 3" xfId="16063" xr:uid="{8BEB9FAD-E7A7-4220-BF00-42F898B98964}"/>
    <cellStyle name="Normal 7 4 2 3 3 3 4" xfId="8516" xr:uid="{FC7C918C-5F82-4FD3-BB2C-2A53357A39F8}"/>
    <cellStyle name="Normal 7 4 2 3 3 3 4 2" xfId="18896" xr:uid="{8CABCAA1-2F74-4979-9477-FD78D1234EE4}"/>
    <cellStyle name="Normal 7 4 2 3 3 3 5" xfId="11349" xr:uid="{925745D4-0F3C-4630-9E3A-01AA31B7C960}"/>
    <cellStyle name="Normal 7 4 2 3 3 3 5 2" xfId="21729" xr:uid="{2F7FDD73-9CF4-4B93-972F-C3131E21665D}"/>
    <cellStyle name="Normal 7 4 2 3 3 3 6" xfId="22708" xr:uid="{F47530FB-C22E-481F-B2EB-AB0C7C194DCE}"/>
    <cellStyle name="Normal 7 4 2 3 3 3 7" xfId="14018" xr:uid="{3F06C1D1-5B71-4E2B-B2C2-FA72A14FBE59}"/>
    <cellStyle name="Normal 7 4 2 3 3 4" xfId="3435" xr:uid="{00000000-0005-0000-0000-00003F080000}"/>
    <cellStyle name="Normal 7 4 2 3 3 4 2" xfId="6490" xr:uid="{FE52D829-CEA9-43C9-9D05-BBE66D0237DF}"/>
    <cellStyle name="Normal 7 4 2 3 3 4 2 2" xfId="27047" xr:uid="{BB9D64A2-FF5A-434D-A24C-5D893C99AFCB}"/>
    <cellStyle name="Normal 7 4 2 3 3 4 2 3" xfId="16061" xr:uid="{5CBC3A4C-9AB1-4197-9072-4BE3E22218D5}"/>
    <cellStyle name="Normal 7 4 2 3 3 4 3" xfId="8514" xr:uid="{95B1BDFE-76EF-48D5-AE18-97DF9EAC4EF1}"/>
    <cellStyle name="Normal 7 4 2 3 3 4 3 2" xfId="18894" xr:uid="{E65410F0-F8B8-44EE-A42E-4231B11984F9}"/>
    <cellStyle name="Normal 7 4 2 3 3 4 4" xfId="11347" xr:uid="{FFCBB6BC-06D1-4F6E-B3AD-2CAE67AF6682}"/>
    <cellStyle name="Normal 7 4 2 3 3 4 4 2" xfId="21727" xr:uid="{6D36AA51-6251-47A6-BEA6-E61346442579}"/>
    <cellStyle name="Normal 7 4 2 3 3 4 5" xfId="23530" xr:uid="{CA63C1D9-529A-4458-A521-F58739AAC9A2}"/>
    <cellStyle name="Normal 7 4 2 3 3 4 6" xfId="14016" xr:uid="{34CE9732-A922-4B0C-813D-1BA3CCDE518D}"/>
    <cellStyle name="Normal 7 4 2 3 3 5" xfId="2640" xr:uid="{00000000-0005-0000-0000-000040080000}"/>
    <cellStyle name="Normal 7 4 2 3 3 5 2" xfId="5902" xr:uid="{06DEE614-DB1E-40C6-98B8-655A5BC840AD}"/>
    <cellStyle name="Normal 7 4 2 3 3 5 2 2" xfId="28085" xr:uid="{E73C0A48-5010-4AF4-BFF8-2779B38CAAE9}"/>
    <cellStyle name="Normal 7 4 2 3 3 5 2 3" xfId="15312" xr:uid="{CD10D29B-1BB9-4033-A72C-20650EA7939B}"/>
    <cellStyle name="Normal 7 4 2 3 3 5 3" xfId="7765" xr:uid="{AAF63A09-5ED6-4AC6-B134-9B9A07206138}"/>
    <cellStyle name="Normal 7 4 2 3 3 5 3 2" xfId="18145" xr:uid="{C28E0031-6504-4AF1-8743-859347CDA388}"/>
    <cellStyle name="Normal 7 4 2 3 3 5 4" xfId="10598" xr:uid="{10CF1869-835D-47E8-8557-5FB1FB45379C}"/>
    <cellStyle name="Normal 7 4 2 3 3 5 4 2" xfId="20978" xr:uid="{02BFD86F-D7FB-4B45-AD29-59895ECBED70}"/>
    <cellStyle name="Normal 7 4 2 3 3 5 5" xfId="24392" xr:uid="{3642CC08-061D-412D-B772-B9BBC8C52747}"/>
    <cellStyle name="Normal 7 4 2 3 3 5 6" xfId="13029" xr:uid="{F2805A81-7243-41C4-92ED-D905A26F3587}"/>
    <cellStyle name="Normal 7 4 2 3 3 6" xfId="4215" xr:uid="{2B11B9DA-3A35-4419-B17F-06112D4DA6AE}"/>
    <cellStyle name="Normal 7 4 2 3 3 6 2" xfId="8987" xr:uid="{55144603-3E18-4EA5-90FC-CC93302FD65D}"/>
    <cellStyle name="Normal 7 4 2 3 3 6 2 2" xfId="19367" xr:uid="{7E7540F5-7CC3-4663-A2BB-5954148FA671}"/>
    <cellStyle name="Normal 7 4 2 3 3 6 3" xfId="11820" xr:uid="{848B8CAE-D016-4566-9EB8-B0DB71A665C1}"/>
    <cellStyle name="Normal 7 4 2 3 3 6 3 2" xfId="22200" xr:uid="{A73647F4-93CF-430B-B492-4A6BD9BE71CC}"/>
    <cellStyle name="Normal 7 4 2 3 3 6 4" xfId="22748" xr:uid="{1023BC0F-D3FA-4D97-B691-C203FC4AE763}"/>
    <cellStyle name="Normal 7 4 2 3 3 6 5" xfId="16534" xr:uid="{45CFAB6B-5A5A-4FBC-A74B-53002E84D396}"/>
    <cellStyle name="Normal 7 4 2 3 3 7" xfId="5419" xr:uid="{35CB26D5-D276-425C-BAEA-79EE79A1F237}"/>
    <cellStyle name="Normal 7 4 2 3 3 7 2" xfId="14716" xr:uid="{33CBB5DD-991C-4EF6-BD53-3DB90CCF121C}"/>
    <cellStyle name="Normal 7 4 2 3 3 8" xfId="7169" xr:uid="{AC6F9BAC-8D75-4682-834E-C6C99FF0AE1D}"/>
    <cellStyle name="Normal 7 4 2 3 3 8 2" xfId="17549" xr:uid="{C320B0C3-2ADA-4F75-B0F5-3D83AFF2FB73}"/>
    <cellStyle name="Normal 7 4 2 3 3 9" xfId="10002" xr:uid="{DE4E08E6-0590-4940-A5A1-118E1F7254D1}"/>
    <cellStyle name="Normal 7 4 2 3 3 9 2" xfId="20382" xr:uid="{EAAF0476-701F-43F9-935E-525B6C9B205C}"/>
    <cellStyle name="Normal 7 4 2 3 4" xfId="1402" xr:uid="{00000000-0005-0000-0000-000051070000}"/>
    <cellStyle name="Normal 7 4 2 3 4 2" xfId="3438" xr:uid="{00000000-0005-0000-0000-000042080000}"/>
    <cellStyle name="Normal 7 4 2 3 4 2 2" xfId="6493" xr:uid="{6B211D80-0DCD-44B2-BE9D-58814ECC93F8}"/>
    <cellStyle name="Normal 7 4 2 3 4 2 2 2" xfId="26409" xr:uid="{105A0BFE-232B-4E6F-9EFD-C683CCCE8D3D}"/>
    <cellStyle name="Normal 7 4 2 3 4 2 2 3" xfId="16064" xr:uid="{0853C75B-EACD-4A0D-B8A4-3BB768EA7535}"/>
    <cellStyle name="Normal 7 4 2 3 4 2 3" xfId="8517" xr:uid="{C5E36588-58E5-4EDA-B035-E11519CAF348}"/>
    <cellStyle name="Normal 7 4 2 3 4 2 3 2" xfId="18897" xr:uid="{4B35EC2E-817E-4379-9348-55F7384F7A7A}"/>
    <cellStyle name="Normal 7 4 2 3 4 2 4" xfId="11350" xr:uid="{D795733E-893B-43A1-9D31-A3FD808972AA}"/>
    <cellStyle name="Normal 7 4 2 3 4 2 4 2" xfId="21730" xr:uid="{2B197E8E-C719-42DD-80FA-C4863AF729E3}"/>
    <cellStyle name="Normal 7 4 2 3 4 2 5" xfId="23234" xr:uid="{B2433BA5-93B2-48C3-8C0E-A022BC6B3F0A}"/>
    <cellStyle name="Normal 7 4 2 3 4 2 6" xfId="14019" xr:uid="{ECBC3F6B-B96E-4288-8DBF-45F6589C947D}"/>
    <cellStyle name="Normal 7 4 2 3 4 3" xfId="4363" xr:uid="{B22B2C28-8B7E-4D9A-BB80-121388E1EADB}"/>
    <cellStyle name="Normal 7 4 2 3 4 3 2" xfId="9135" xr:uid="{5B75D42C-5855-4C09-BEF3-B16F1CBAB7EF}"/>
    <cellStyle name="Normal 7 4 2 3 4 3 2 2" xfId="29178" xr:uid="{D601270E-C94E-4453-8AEC-A0E2E3E7B2DD}"/>
    <cellStyle name="Normal 7 4 2 3 4 3 2 3" xfId="19515" xr:uid="{38CD3105-4B2E-4FDD-A5F6-05B6BDEBF0E9}"/>
    <cellStyle name="Normal 7 4 2 3 4 3 3" xfId="11968" xr:uid="{07E7D6A9-7F3B-4D4E-99DA-E2D69A5D965E}"/>
    <cellStyle name="Normal 7 4 2 3 4 3 3 2" xfId="22348" xr:uid="{A733B062-B38B-4F97-8EB3-53E8DB504F27}"/>
    <cellStyle name="Normal 7 4 2 3 4 3 4" xfId="23168" xr:uid="{8077C8A8-E37E-4916-99C0-B66DCD9059A0}"/>
    <cellStyle name="Normal 7 4 2 3 4 3 5" xfId="16682" xr:uid="{27FA9808-82E3-4143-9A84-50137F7EE0A4}"/>
    <cellStyle name="Normal 7 4 2 3 4 4" xfId="5420" xr:uid="{1CCA2808-F3D0-43BE-BE99-EB7EE5FA592C}"/>
    <cellStyle name="Normal 7 4 2 3 4 4 2" xfId="27408" xr:uid="{546EEC58-C751-4718-B1A5-0437D059B702}"/>
    <cellStyle name="Normal 7 4 2 3 4 4 3" xfId="14717" xr:uid="{3AEDFBEE-A180-493C-B1DF-3CB2C9B06A58}"/>
    <cellStyle name="Normal 7 4 2 3 4 5" xfId="7170" xr:uid="{3AE37D08-FF7A-4EAD-B0AC-1357A731F114}"/>
    <cellStyle name="Normal 7 4 2 3 4 5 2" xfId="17550" xr:uid="{815136FD-09BE-4716-8114-FC0E2378FBE7}"/>
    <cellStyle name="Normal 7 4 2 3 4 6" xfId="10003" xr:uid="{CF8D9611-3354-4D0A-B242-9C205EA5DAED}"/>
    <cellStyle name="Normal 7 4 2 3 4 6 2" xfId="20383" xr:uid="{56A197B3-D2B5-430A-8BDC-862329EFB3C6}"/>
    <cellStyle name="Normal 7 4 2 3 4 7" xfId="25147" xr:uid="{42C3A5EB-114C-451B-90D0-B1C48D26644D}"/>
    <cellStyle name="Normal 7 4 2 3 4 8" xfId="13295" xr:uid="{66E7FE57-C50F-473F-A48E-83E2AAFD69B6}"/>
    <cellStyle name="Normal 7 4 2 3 5" xfId="3439" xr:uid="{00000000-0005-0000-0000-000043080000}"/>
    <cellStyle name="Normal 7 4 2 3 5 2" xfId="4578" xr:uid="{8D41DCDF-9867-4A7F-9391-7F4DE0309B96}"/>
    <cellStyle name="Normal 7 4 2 3 5 2 2" xfId="9350" xr:uid="{394D0FF3-3020-43A5-B7E3-326A51684203}"/>
    <cellStyle name="Normal 7 4 2 3 5 2 2 2" xfId="29322" xr:uid="{8876C79D-FF2C-4A1F-BC0C-11645524FAFF}"/>
    <cellStyle name="Normal 7 4 2 3 5 2 2 3" xfId="19730" xr:uid="{859E6A7D-14EE-45E3-8CA4-EBA984483543}"/>
    <cellStyle name="Normal 7 4 2 3 5 2 3" xfId="12183" xr:uid="{0A929E14-F3C2-4BC2-B93F-36482BBA9C07}"/>
    <cellStyle name="Normal 7 4 2 3 5 2 3 2" xfId="22563" xr:uid="{56FC7E13-67D6-44D1-A502-931184BA5298}"/>
    <cellStyle name="Normal 7 4 2 3 5 2 4" xfId="22798" xr:uid="{DF4B6DC9-CDB8-4A61-977F-D668ECD7A265}"/>
    <cellStyle name="Normal 7 4 2 3 5 2 5" xfId="16897" xr:uid="{5EEF3B0A-42C2-4CCE-B7E6-6FC59218785A}"/>
    <cellStyle name="Normal 7 4 2 3 5 3" xfId="6494" xr:uid="{E64F39CB-9B25-44E1-9DAA-51A89B2615E2}"/>
    <cellStyle name="Normal 7 4 2 3 5 3 2" xfId="26953" xr:uid="{73A7E2FD-9F60-45BE-B5F3-8EFD0A60A280}"/>
    <cellStyle name="Normal 7 4 2 3 5 3 3" xfId="16065" xr:uid="{FD54B8D9-1ACF-4D0A-81FC-B6C623754D97}"/>
    <cellStyle name="Normal 7 4 2 3 5 4" xfId="8518" xr:uid="{F3A3247E-1F8B-4CF6-8C0D-421FDFA5BBAD}"/>
    <cellStyle name="Normal 7 4 2 3 5 4 2" xfId="18898" xr:uid="{BE9CB8BE-3158-4E13-9692-25B98293D676}"/>
    <cellStyle name="Normal 7 4 2 3 5 5" xfId="11351" xr:uid="{9F13FFA7-DB84-4346-BFF7-B01B3F23E21E}"/>
    <cellStyle name="Normal 7 4 2 3 5 5 2" xfId="21731" xr:uid="{3CA28E00-BC65-4934-BF57-8354A2966191}"/>
    <cellStyle name="Normal 7 4 2 3 5 6" xfId="25512" xr:uid="{C46F287D-3C82-4069-AD2C-BEFBDD3A6D7B}"/>
    <cellStyle name="Normal 7 4 2 3 5 7" xfId="14020" xr:uid="{5B6BC0C1-901D-4342-9972-37A67B926C80}"/>
    <cellStyle name="Normal 7 4 2 3 6" xfId="2988" xr:uid="{00000000-0005-0000-0000-000044080000}"/>
    <cellStyle name="Normal 7 4 2 3 6 2" xfId="6138" xr:uid="{01E3796D-D798-48FE-9C0C-E4A00DDA0B07}"/>
    <cellStyle name="Normal 7 4 2 3 6 2 2" xfId="28501" xr:uid="{B49D196C-F27B-4945-A279-8C8D3D7969FE}"/>
    <cellStyle name="Normal 7 4 2 3 6 2 3" xfId="15616" xr:uid="{FFE3F257-7A6B-4386-A5EE-044B6274A04B}"/>
    <cellStyle name="Normal 7 4 2 3 6 3" xfId="8069" xr:uid="{5CDCC030-ED7E-404A-8EB4-4195BA0A9905}"/>
    <cellStyle name="Normal 7 4 2 3 6 3 2" xfId="18449" xr:uid="{6728291F-1EA2-414E-99AC-C1AF79F89D77}"/>
    <cellStyle name="Normal 7 4 2 3 6 4" xfId="10902" xr:uid="{28123847-7C3C-45B0-86FE-4A2C73DDAB30}"/>
    <cellStyle name="Normal 7 4 2 3 6 4 2" xfId="21282" xr:uid="{0B46FCF6-E7D4-4F9A-AFAB-7EC8AAEA7E70}"/>
    <cellStyle name="Normal 7 4 2 3 6 5" xfId="23161" xr:uid="{1AAEDB47-B1A5-420D-B674-153C8B07D0D6}"/>
    <cellStyle name="Normal 7 4 2 3 6 6" xfId="13485" xr:uid="{1ADD431F-70F2-44A6-81E0-DAA66D789110}"/>
    <cellStyle name="Normal 7 4 2 3 7" xfId="2478" xr:uid="{00000000-0005-0000-0000-000045080000}"/>
    <cellStyle name="Normal 7 4 2 3 7 2" xfId="5766" xr:uid="{0F3E1F4B-AB2E-4AE5-8439-F1D7EF399285}"/>
    <cellStyle name="Normal 7 4 2 3 7 2 2" xfId="26816" xr:uid="{75FF0B01-19AC-4C89-8180-56355C6ECBA7}"/>
    <cellStyle name="Normal 7 4 2 3 7 2 3" xfId="15150" xr:uid="{74D3FD33-3603-4E3B-B24D-B6ED820152BA}"/>
    <cellStyle name="Normal 7 4 2 3 7 3" xfId="7603" xr:uid="{0FEB3F89-9078-4CB6-AE8F-29C654BECED4}"/>
    <cellStyle name="Normal 7 4 2 3 7 3 2" xfId="17983" xr:uid="{F9474757-1AD0-4A3D-9E5A-1CE831E8B1EB}"/>
    <cellStyle name="Normal 7 4 2 3 7 4" xfId="10436" xr:uid="{278F2BDF-7C69-42C3-8BB8-878886F0C70A}"/>
    <cellStyle name="Normal 7 4 2 3 7 4 2" xfId="20816" xr:uid="{645EA7CB-4B75-499B-A8FD-2B0785300611}"/>
    <cellStyle name="Normal 7 4 2 3 7 5" xfId="24653" xr:uid="{14B94698-E5C2-4A3C-8A3D-2190C517C682}"/>
    <cellStyle name="Normal 7 4 2 3 7 6" xfId="12866" xr:uid="{0395CA8B-9539-4DD3-94A5-4F953090C76C}"/>
    <cellStyle name="Normal 7 4 2 3 8" xfId="2232" xr:uid="{00000000-0005-0000-0000-000034080000}"/>
    <cellStyle name="Normal 7 4 2 3 8 2" xfId="7359" xr:uid="{ABAE7B4A-5509-467D-9412-919A82B4558E}"/>
    <cellStyle name="Normal 7 4 2 3 8 2 2" xfId="17739" xr:uid="{9D2221FC-A8E9-49F3-BB92-D516393964F2}"/>
    <cellStyle name="Normal 7 4 2 3 8 3" xfId="10192" xr:uid="{042DD87E-6450-4539-81F7-DD2736D6138A}"/>
    <cellStyle name="Normal 7 4 2 3 8 3 2" xfId="20572" xr:uid="{3074D180-A790-43CA-8AF6-F0EB8702F7F8}"/>
    <cellStyle name="Normal 7 4 2 3 8 4" xfId="24953" xr:uid="{61479AF8-0B85-4185-A702-0CA42A33AD86}"/>
    <cellStyle name="Normal 7 4 2 3 8 5" xfId="14906" xr:uid="{91989871-B108-4928-9C4D-6CEAB55A48F6}"/>
    <cellStyle name="Normal 7 4 2 3 9" xfId="4063" xr:uid="{FFCED617-206A-483C-934D-7BCD0DED1567}"/>
    <cellStyle name="Normal 7 4 2 3 9 2" xfId="8843" xr:uid="{559A6206-591B-46D5-A69A-CA6C5CB41531}"/>
    <cellStyle name="Normal 7 4 2 3 9 2 2" xfId="19223" xr:uid="{E5B720D8-CE51-4AD5-8877-519B75180EE1}"/>
    <cellStyle name="Normal 7 4 2 3 9 3" xfId="11676" xr:uid="{A2219D8D-D89A-47FF-8831-7EA7854031E1}"/>
    <cellStyle name="Normal 7 4 2 3 9 3 2" xfId="22056" xr:uid="{93530434-315F-4A5C-80CC-1E41AE188AAE}"/>
    <cellStyle name="Normal 7 4 2 3 9 4" xfId="16390" xr:uid="{14217679-016B-4408-8BFC-3F2123797ADE}"/>
    <cellStyle name="Normal 7 4 2 4" xfId="1403" xr:uid="{00000000-0005-0000-0000-000052070000}"/>
    <cellStyle name="Normal 7 4 2 4 10" xfId="7171" xr:uid="{B931BC08-D4DA-4743-8933-B44C8A7C2202}"/>
    <cellStyle name="Normal 7 4 2 4 10 2" xfId="17551" xr:uid="{D2F57CD4-372B-451D-ABEE-23E915F629F6}"/>
    <cellStyle name="Normal 7 4 2 4 11" xfId="10004" xr:uid="{02A2C318-68A2-4898-A3B9-5149781E387B}"/>
    <cellStyle name="Normal 7 4 2 4 11 2" xfId="20384" xr:uid="{FE7ADACE-F28A-4BE5-9CA1-2A9B4122D6E0}"/>
    <cellStyle name="Normal 7 4 2 4 12" xfId="25146" xr:uid="{810F2310-A9E5-4F5B-AF0B-88D7042AB924}"/>
    <cellStyle name="Normal 7 4 2 4 13" xfId="12444" xr:uid="{17E98E0C-4EAB-4941-B071-E713A1D6DFFE}"/>
    <cellStyle name="Normal 7 4 2 4 2" xfId="1404" xr:uid="{00000000-0005-0000-0000-000053070000}"/>
    <cellStyle name="Normal 7 4 2 4 2 10" xfId="10005" xr:uid="{1645BABD-3E68-4A2C-9FE0-C3BD3BDE9EE2}"/>
    <cellStyle name="Normal 7 4 2 4 2 10 2" xfId="20385" xr:uid="{2E2ABC91-4A6F-4231-B91E-F2E4A7D3E3A3}"/>
    <cellStyle name="Normal 7 4 2 4 2 11" xfId="25585" xr:uid="{C2DE54F0-1EB7-42DA-A420-A65F2BAFE32B}"/>
    <cellStyle name="Normal 7 4 2 4 2 12" xfId="12630" xr:uid="{3C5934F1-5D4C-4ED1-8E3F-757D1B63E7DC}"/>
    <cellStyle name="Normal 7 4 2 4 2 2" xfId="1405" xr:uid="{00000000-0005-0000-0000-000054070000}"/>
    <cellStyle name="Normal 7 4 2 4 2 2 2" xfId="3441" xr:uid="{00000000-0005-0000-0000-000049080000}"/>
    <cellStyle name="Normal 7 4 2 4 2 2 2 2" xfId="6496" xr:uid="{E8C9FC17-B5BD-46DE-A7CB-10285394DB4C}"/>
    <cellStyle name="Normal 7 4 2 4 2 2 2 2 2" xfId="28498" xr:uid="{6128ADAE-DDCF-46E9-B274-0FC7BF54E073}"/>
    <cellStyle name="Normal 7 4 2 4 2 2 2 2 3" xfId="26057" xr:uid="{F0A1874E-C620-486D-8060-5D7C6C2C338C}"/>
    <cellStyle name="Normal 7 4 2 4 2 2 2 2 4" xfId="16067" xr:uid="{A132EF9A-BCC6-47CE-9940-19AB1B9EE32D}"/>
    <cellStyle name="Normal 7 4 2 4 2 2 2 3" xfId="8520" xr:uid="{70345AB6-28FA-4A6B-8776-0BA46C129244}"/>
    <cellStyle name="Normal 7 4 2 4 2 2 2 3 2" xfId="28936" xr:uid="{9EFB8EE6-788C-4595-A058-72D87940C73C}"/>
    <cellStyle name="Normal 7 4 2 4 2 2 2 3 3" xfId="18900" xr:uid="{1D88C5AC-56EB-4E83-A35F-070EB8EADD6C}"/>
    <cellStyle name="Normal 7 4 2 4 2 2 2 4" xfId="11353" xr:uid="{AC20873F-D2B4-4F5D-83AD-FF482A6C530B}"/>
    <cellStyle name="Normal 7 4 2 4 2 2 2 4 2" xfId="21733" xr:uid="{3238790B-5B1A-48D6-ABED-E347715489F3}"/>
    <cellStyle name="Normal 7 4 2 4 2 2 2 5" xfId="25263" xr:uid="{10019D3C-0701-4C06-9468-8695FB682D51}"/>
    <cellStyle name="Normal 7 4 2 4 2 2 2 6" xfId="14022" xr:uid="{E7C9B11C-99D1-41A5-80CD-C69707957650}"/>
    <cellStyle name="Normal 7 4 2 4 2 2 3" xfId="4366" xr:uid="{AAAEB657-D454-4295-AD7A-18F093B61451}"/>
    <cellStyle name="Normal 7 4 2 4 2 2 3 2" xfId="9138" xr:uid="{E9C25ECD-8D03-4F99-8FEA-D1B20A035017}"/>
    <cellStyle name="Normal 7 4 2 4 2 2 3 2 2" xfId="29181" xr:uid="{1E2F13CE-BB14-4AE9-9D02-823BA19C5333}"/>
    <cellStyle name="Normal 7 4 2 4 2 2 3 2 3" xfId="19518" xr:uid="{F1227117-9D3D-49C9-9A12-FA2559C8851E}"/>
    <cellStyle name="Normal 7 4 2 4 2 2 3 3" xfId="11971" xr:uid="{8CBFE4FB-0706-4030-9D52-7E0E3C598942}"/>
    <cellStyle name="Normal 7 4 2 4 2 2 3 3 2" xfId="22351" xr:uid="{03A447AF-7168-41C3-8583-196053D85370}"/>
    <cellStyle name="Normal 7 4 2 4 2 2 3 4" xfId="24444" xr:uid="{63BBBCFA-5B6B-4D4F-B11E-66772F893E60}"/>
    <cellStyle name="Normal 7 4 2 4 2 2 3 5" xfId="16685" xr:uid="{EC6CF39E-538C-4150-9DC0-9DC18579863C}"/>
    <cellStyle name="Normal 7 4 2 4 2 2 4" xfId="5423" xr:uid="{A49531EF-9E07-48B3-A00B-F9C45AAB621D}"/>
    <cellStyle name="Normal 7 4 2 4 2 2 4 2" xfId="27872" xr:uid="{0284E31A-A0AE-4136-B002-88D0E48ED855}"/>
    <cellStyle name="Normal 7 4 2 4 2 2 4 3" xfId="14720" xr:uid="{3FBA4BA8-E898-47A2-87CB-B0C816B568B1}"/>
    <cellStyle name="Normal 7 4 2 4 2 2 5" xfId="7173" xr:uid="{B71CDECA-3C7C-4478-B8B8-709B814A9314}"/>
    <cellStyle name="Normal 7 4 2 4 2 2 5 2" xfId="17553" xr:uid="{2CAD84AB-C5E0-42CA-868B-31FD631168BD}"/>
    <cellStyle name="Normal 7 4 2 4 2 2 6" xfId="10006" xr:uid="{95FCDA98-9992-470E-AB8C-B0FB05056341}"/>
    <cellStyle name="Normal 7 4 2 4 2 2 6 2" xfId="20386" xr:uid="{6B8F8F77-21D3-4083-86B9-922B1B8F4454}"/>
    <cellStyle name="Normal 7 4 2 4 2 2 7" xfId="25394" xr:uid="{19780167-0E7D-40DE-8011-0AEF26FE54F6}"/>
    <cellStyle name="Normal 7 4 2 4 2 2 8" xfId="13299" xr:uid="{8ACA14C7-1070-4824-BFA2-14F062EEFC52}"/>
    <cellStyle name="Normal 7 4 2 4 2 3" xfId="3442" xr:uid="{00000000-0005-0000-0000-00004A080000}"/>
    <cellStyle name="Normal 7 4 2 4 2 3 2" xfId="4579" xr:uid="{CCB6D9DF-D0CD-410E-A00E-4015EECB64E3}"/>
    <cellStyle name="Normal 7 4 2 4 2 3 2 2" xfId="9351" xr:uid="{DCC4F88B-7732-4D33-AB0A-ACD57DDEFD07}"/>
    <cellStyle name="Normal 7 4 2 4 2 3 2 2 2" xfId="29323" xr:uid="{EAEDB75C-7A44-4BAC-809D-8A82933E7BAA}"/>
    <cellStyle name="Normal 7 4 2 4 2 3 2 2 3" xfId="19731" xr:uid="{C4944783-D8FE-4DB4-9BA3-1E82BC34A028}"/>
    <cellStyle name="Normal 7 4 2 4 2 3 2 3" xfId="12184" xr:uid="{63CFBB8E-16F7-4C1A-AB42-20FA8D1C2393}"/>
    <cellStyle name="Normal 7 4 2 4 2 3 2 3 2" xfId="22564" xr:uid="{DA11D50E-5310-4C95-BB1C-20F4BEC4F76C}"/>
    <cellStyle name="Normal 7 4 2 4 2 3 2 4" xfId="24893" xr:uid="{EFEA5569-7CF3-474B-9905-D0D2DC77FBF8}"/>
    <cellStyle name="Normal 7 4 2 4 2 3 2 5" xfId="16898" xr:uid="{0E5F3F5E-2569-480A-BD19-2D210D3EFEF1}"/>
    <cellStyle name="Normal 7 4 2 4 2 3 3" xfId="6497" xr:uid="{FC48F7E8-8C0B-4B98-920B-2B0286FFE23E}"/>
    <cellStyle name="Normal 7 4 2 4 2 3 3 2" xfId="26405" xr:uid="{8B57975D-7B57-431F-AFA0-EBA90D5B2B6C}"/>
    <cellStyle name="Normal 7 4 2 4 2 3 3 3" xfId="16068" xr:uid="{2A7D4FCE-1B9E-4852-AC0F-593CFCD45E82}"/>
    <cellStyle name="Normal 7 4 2 4 2 3 4" xfId="8521" xr:uid="{D1D8E662-D92E-4D4B-94D1-4C0F3D9F39C7}"/>
    <cellStyle name="Normal 7 4 2 4 2 3 4 2" xfId="18901" xr:uid="{176AC416-85F2-4EA1-98E9-D00E0F615140}"/>
    <cellStyle name="Normal 7 4 2 4 2 3 5" xfId="11354" xr:uid="{A3A31C55-FA9D-4957-AC49-F573427A00BD}"/>
    <cellStyle name="Normal 7 4 2 4 2 3 5 2" xfId="21734" xr:uid="{4208DEC8-C6B4-4F37-AE56-6E605E8F1340}"/>
    <cellStyle name="Normal 7 4 2 4 2 3 6" xfId="22904" xr:uid="{E79FD255-219F-431F-B3E1-304FCA6F2C15}"/>
    <cellStyle name="Normal 7 4 2 4 2 3 7" xfId="14023" xr:uid="{66C257AD-4F3F-4013-A144-D476057269C4}"/>
    <cellStyle name="Normal 7 4 2 4 2 4" xfId="3440" xr:uid="{00000000-0005-0000-0000-00004B080000}"/>
    <cellStyle name="Normal 7 4 2 4 2 4 2" xfId="6495" xr:uid="{8BFE9F11-3954-4689-A786-FF2F9CA2A262}"/>
    <cellStyle name="Normal 7 4 2 4 2 4 2 2" xfId="28690" xr:uid="{ABA22034-8D3B-4C73-BE6F-D2077FE629EA}"/>
    <cellStyle name="Normal 7 4 2 4 2 4 2 3" xfId="16066" xr:uid="{2A6EF921-F2BD-45E7-A868-1589E9226A65}"/>
    <cellStyle name="Normal 7 4 2 4 2 4 3" xfId="8519" xr:uid="{DCCF92C3-CC7E-4C8F-AEDD-59D0FF0D089E}"/>
    <cellStyle name="Normal 7 4 2 4 2 4 3 2" xfId="18899" xr:uid="{705A7120-817A-4C9A-BBCD-AACCFACFC8FC}"/>
    <cellStyle name="Normal 7 4 2 4 2 4 4" xfId="11352" xr:uid="{D3544EA9-18B3-4A20-9D02-82043860A9CE}"/>
    <cellStyle name="Normal 7 4 2 4 2 4 4 2" xfId="21732" xr:uid="{62695414-01F9-4B16-BCA5-61906A892137}"/>
    <cellStyle name="Normal 7 4 2 4 2 4 5" xfId="23196" xr:uid="{48CCD019-64F1-476C-B343-2B3A06260B3B}"/>
    <cellStyle name="Normal 7 4 2 4 2 4 6" xfId="14021" xr:uid="{C34C3CA7-8B84-48A6-9B55-231CA1F929A4}"/>
    <cellStyle name="Normal 7 4 2 4 2 5" xfId="2621" xr:uid="{00000000-0005-0000-0000-00004C080000}"/>
    <cellStyle name="Normal 7 4 2 4 2 5 2" xfId="5883" xr:uid="{162F9534-4603-4EE7-BCC8-40DE9EB70162}"/>
    <cellStyle name="Normal 7 4 2 4 2 5 2 2" xfId="28453" xr:uid="{432BB97B-CC7F-4191-B8E3-A032AAD42965}"/>
    <cellStyle name="Normal 7 4 2 4 2 5 2 3" xfId="15293" xr:uid="{DC5DDE3B-36F3-4DB0-B0DA-D7BC83D2CD80}"/>
    <cellStyle name="Normal 7 4 2 4 2 5 3" xfId="7746" xr:uid="{8E2B9F89-271A-4C79-A763-2730A62961D8}"/>
    <cellStyle name="Normal 7 4 2 4 2 5 3 2" xfId="18126" xr:uid="{49C4C12B-032E-451E-A41E-E0B0DC138CE7}"/>
    <cellStyle name="Normal 7 4 2 4 2 5 4" xfId="10579" xr:uid="{A375E6AF-717E-4EF7-89CA-4CEAE9232747}"/>
    <cellStyle name="Normal 7 4 2 4 2 5 4 2" xfId="20959" xr:uid="{E3B04979-6F30-4D1B-8080-ADDFE1C047E3}"/>
    <cellStyle name="Normal 7 4 2 4 2 5 5" xfId="23959" xr:uid="{7B1FEF56-7F74-4BF5-AE76-88645295563C}"/>
    <cellStyle name="Normal 7 4 2 4 2 5 6" xfId="13009" xr:uid="{16D03AE3-FE86-45E0-ADF6-CAA03FDB5F2B}"/>
    <cellStyle name="Normal 7 4 2 4 2 6" xfId="2396" xr:uid="{00000000-0005-0000-0000-000047080000}"/>
    <cellStyle name="Normal 7 4 2 4 2 6 2" xfId="7523" xr:uid="{A76C84AC-D7FA-4E67-9B80-783C24274E18}"/>
    <cellStyle name="Normal 7 4 2 4 2 6 2 2" xfId="17903" xr:uid="{7735C72A-AB3A-44DB-B9CF-A60B23D5E96A}"/>
    <cellStyle name="Normal 7 4 2 4 2 6 3" xfId="10356" xr:uid="{9B054F36-4AFC-4E50-95A8-8DE63B3958E8}"/>
    <cellStyle name="Normal 7 4 2 4 2 6 3 2" xfId="20736" xr:uid="{EB380360-1AFA-4882-9966-DAE9B36363C1}"/>
    <cellStyle name="Normal 7 4 2 4 2 6 4" xfId="25489" xr:uid="{09B3EF65-0309-4500-B88F-8E69AE4097C5}"/>
    <cellStyle name="Normal 7 4 2 4 2 6 5" xfId="15070" xr:uid="{A5C5DB98-FDCA-4207-B138-48665FC4E7B5}"/>
    <cellStyle name="Normal 7 4 2 4 2 7" xfId="4100" xr:uid="{A615A8D1-6A36-46E2-847B-4878C02125FD}"/>
    <cellStyle name="Normal 7 4 2 4 2 7 2" xfId="8874" xr:uid="{4114F29A-80CA-48BA-BC1A-8A2FAF071ABD}"/>
    <cellStyle name="Normal 7 4 2 4 2 7 2 2" xfId="19254" xr:uid="{E86CC324-85D1-497C-90CD-2BE9A961181D}"/>
    <cellStyle name="Normal 7 4 2 4 2 7 3" xfId="11707" xr:uid="{D3D5E542-88E0-4657-9D32-3E8609667CC3}"/>
    <cellStyle name="Normal 7 4 2 4 2 7 3 2" xfId="22087" xr:uid="{49CD2A9E-CFD2-4895-9D5D-91A18746A95B}"/>
    <cellStyle name="Normal 7 4 2 4 2 7 4" xfId="16421" xr:uid="{573C1003-EB8C-41D1-911F-FF5B21F44878}"/>
    <cellStyle name="Normal 7 4 2 4 2 8" xfId="5422" xr:uid="{766CFB2F-622E-4F25-9D22-96633E84BE1A}"/>
    <cellStyle name="Normal 7 4 2 4 2 8 2" xfId="14719" xr:uid="{72593861-B15E-4F5A-B0ED-7813F2715FBA}"/>
    <cellStyle name="Normal 7 4 2 4 2 9" xfId="7172" xr:uid="{48407797-F7AC-41D5-9E6F-81908B182441}"/>
    <cellStyle name="Normal 7 4 2 4 2 9 2" xfId="17552" xr:uid="{2C17603D-9B4C-44AA-A0EF-A8718814D834}"/>
    <cellStyle name="Normal 7 4 2 4 3" xfId="1406" xr:uid="{00000000-0005-0000-0000-000055070000}"/>
    <cellStyle name="Normal 7 4 2 4 3 2" xfId="3443" xr:uid="{00000000-0005-0000-0000-00004E080000}"/>
    <cellStyle name="Normal 7 4 2 4 3 2 2" xfId="6498" xr:uid="{68305674-C797-40C7-BB0C-81EF594659BA}"/>
    <cellStyle name="Normal 7 4 2 4 3 2 2 2" xfId="24525" xr:uid="{3F4DC59D-B533-4571-A31D-7C9B281553C4}"/>
    <cellStyle name="Normal 7 4 2 4 3 2 2 3" xfId="28714" xr:uid="{DB599F82-26D9-4742-872D-E4677E884F2C}"/>
    <cellStyle name="Normal 7 4 2 4 3 2 2 4" xfId="16069" xr:uid="{BB2C2468-C0C3-4BD9-9CD2-9D2AB98CCE65}"/>
    <cellStyle name="Normal 7 4 2 4 3 2 3" xfId="8522" xr:uid="{517069DC-E7A8-4BCE-9CE2-9C298EBA0CEE}"/>
    <cellStyle name="Normal 7 4 2 4 3 2 3 2" xfId="28937" xr:uid="{7F8F8EDB-BB5E-42D6-8D7E-5DD70CC18786}"/>
    <cellStyle name="Normal 7 4 2 4 3 2 3 3" xfId="18902" xr:uid="{A0FA28BF-EE20-4B04-B3E4-3723FE6E22C8}"/>
    <cellStyle name="Normal 7 4 2 4 3 2 4" xfId="11355" xr:uid="{9691508A-27FF-4475-90DA-7B47F2D70909}"/>
    <cellStyle name="Normal 7 4 2 4 3 2 4 2" xfId="21735" xr:uid="{F53DEC85-5C19-4421-875A-2ACB2AA8D5BC}"/>
    <cellStyle name="Normal 7 4 2 4 3 2 5" xfId="23286" xr:uid="{7A6F7BD0-63DA-4862-8C6B-2B31A4FA3DFF}"/>
    <cellStyle name="Normal 7 4 2 4 3 2 6" xfId="14024" xr:uid="{C2486EEF-2D65-4552-A92C-6FF30E073B7A}"/>
    <cellStyle name="Normal 7 4 2 4 3 3" xfId="2825" xr:uid="{00000000-0005-0000-0000-00004F080000}"/>
    <cellStyle name="Normal 7 4 2 4 3 3 2" xfId="6041" xr:uid="{535C257E-5D4B-4198-82C8-E999FA9B3136}"/>
    <cellStyle name="Normal 7 4 2 4 3 3 2 2" xfId="27839" xr:uid="{EEAA24A5-4A7E-4F43-8F1E-8F52A537B74C}"/>
    <cellStyle name="Normal 7 4 2 4 3 3 2 3" xfId="15495" xr:uid="{31FE131C-62EE-44A7-AE47-D7F356754560}"/>
    <cellStyle name="Normal 7 4 2 4 3 3 3" xfId="7948" xr:uid="{25908E5D-77DD-4DF7-A949-876FCE3A4C83}"/>
    <cellStyle name="Normal 7 4 2 4 3 3 3 2" xfId="18328" xr:uid="{FBE47FA9-E084-4D46-83E2-26DD38C83757}"/>
    <cellStyle name="Normal 7 4 2 4 3 3 4" xfId="10781" xr:uid="{4B6532DA-BE75-4F6B-9AA2-05E530E0D4B3}"/>
    <cellStyle name="Normal 7 4 2 4 3 3 4 2" xfId="21161" xr:uid="{56285DC4-1A64-4C00-9D6E-A46781D91D64}"/>
    <cellStyle name="Normal 7 4 2 4 3 3 5" xfId="24120" xr:uid="{F557AC7F-F932-4E72-860B-1C1103051EA8}"/>
    <cellStyle name="Normal 7 4 2 4 3 3 6" xfId="13298" xr:uid="{64ADBB3E-2E50-43E0-BE71-4AF34A909986}"/>
    <cellStyle name="Normal 7 4 2 4 3 4" xfId="4216" xr:uid="{B598CC0D-41CE-4725-B55D-D9DBCBCCE81B}"/>
    <cellStyle name="Normal 7 4 2 4 3 4 2" xfId="8988" xr:uid="{346B4F6C-A1D7-4323-9FA6-6941310BCCD1}"/>
    <cellStyle name="Normal 7 4 2 4 3 4 2 2" xfId="29067" xr:uid="{C2A895EB-C6F8-4540-A260-580F69B5AEC5}"/>
    <cellStyle name="Normal 7 4 2 4 3 4 2 3" xfId="19368" xr:uid="{BBF76C09-54D7-450F-BF03-265396877F8D}"/>
    <cellStyle name="Normal 7 4 2 4 3 4 3" xfId="11821" xr:uid="{8C4A0A73-B6EA-49D5-9784-3724AB2703C1}"/>
    <cellStyle name="Normal 7 4 2 4 3 4 3 2" xfId="22201" xr:uid="{2AD8131C-1897-4EBD-9AA5-6E49E2A2711F}"/>
    <cellStyle name="Normal 7 4 2 4 3 4 4" xfId="23621" xr:uid="{977F998E-7DDA-43D2-B84A-A004A2443B61}"/>
    <cellStyle name="Normal 7 4 2 4 3 4 5" xfId="16535" xr:uid="{271A7751-C7A8-406B-A22A-45FCCD866C81}"/>
    <cellStyle name="Normal 7 4 2 4 3 5" xfId="5424" xr:uid="{2E65E1D4-3052-40C6-97F4-B6E2E11D8BF2}"/>
    <cellStyle name="Normal 7 4 2 4 3 5 2" xfId="26900" xr:uid="{39F65D39-778D-4E1B-9BD9-11AB11530AE8}"/>
    <cellStyle name="Normal 7 4 2 4 3 5 3" xfId="14721" xr:uid="{13A138FE-F583-44C8-B97E-650218C28B20}"/>
    <cellStyle name="Normal 7 4 2 4 3 6" xfId="7174" xr:uid="{DD0F5BE0-A944-4448-8295-DFBE81A71140}"/>
    <cellStyle name="Normal 7 4 2 4 3 6 2" xfId="17554" xr:uid="{D0634BD9-832B-4163-9972-AFC73A0E6B20}"/>
    <cellStyle name="Normal 7 4 2 4 3 7" xfId="10007" xr:uid="{48422E25-51C6-4046-97EA-4E22C49EDD17}"/>
    <cellStyle name="Normal 7 4 2 4 3 7 2" xfId="20387" xr:uid="{07E4FE30-D2E5-4621-B700-B135C9068521}"/>
    <cellStyle name="Normal 7 4 2 4 3 8" xfId="24131" xr:uid="{E6FC3DA2-A9DA-4B50-AEDC-E5D29766288B}"/>
    <cellStyle name="Normal 7 4 2 4 3 9" xfId="12788" xr:uid="{79A18FE0-2809-4472-8A81-356B4E62405A}"/>
    <cellStyle name="Normal 7 4 2 4 4" xfId="1407" xr:uid="{00000000-0005-0000-0000-000056070000}"/>
    <cellStyle name="Normal 7 4 2 4 4 2" xfId="4580" xr:uid="{F90CA143-97AF-4E8C-A770-D8821B1C12F5}"/>
    <cellStyle name="Normal 7 4 2 4 4 2 2" xfId="9352" xr:uid="{BABCC6F4-8932-4669-AB41-90518E651972}"/>
    <cellStyle name="Normal 7 4 2 4 4 2 2 2" xfId="29324" xr:uid="{1EBD480C-034E-4D17-897F-122D7BE25E1E}"/>
    <cellStyle name="Normal 7 4 2 4 4 2 2 3" xfId="19732" xr:uid="{FF145B92-B761-45E1-BF03-852C8B745C26}"/>
    <cellStyle name="Normal 7 4 2 4 4 2 3" xfId="12185" xr:uid="{FED648E9-FD6D-4B93-BB48-62CD3F8DCAFB}"/>
    <cellStyle name="Normal 7 4 2 4 4 2 3 2" xfId="22565" xr:uid="{D20E51FE-F8FB-4FD1-B70E-05289D3A43CA}"/>
    <cellStyle name="Normal 7 4 2 4 4 2 4" xfId="25696" xr:uid="{9AB87D3B-7502-430A-B82A-C209718BD820}"/>
    <cellStyle name="Normal 7 4 2 4 4 2 5" xfId="16899" xr:uid="{4F79C56B-8295-4535-ABB2-FDEADC126866}"/>
    <cellStyle name="Normal 7 4 2 4 4 3" xfId="5425" xr:uid="{31E3EE82-17E0-4E74-B15B-E5E7C1A8B933}"/>
    <cellStyle name="Normal 7 4 2 4 4 3 2" xfId="27831" xr:uid="{52CD2B51-6D16-4B44-A735-68CA6195A7BD}"/>
    <cellStyle name="Normal 7 4 2 4 4 3 3" xfId="14722" xr:uid="{E9A18D3B-352C-4EF1-BB95-6E1004493ECA}"/>
    <cellStyle name="Normal 7 4 2 4 4 4" xfId="7175" xr:uid="{77E0A48D-0C82-457D-A46A-8D58EA2BD4A3}"/>
    <cellStyle name="Normal 7 4 2 4 4 4 2" xfId="17555" xr:uid="{1E1110F7-1978-48EE-828F-4F436298F6E9}"/>
    <cellStyle name="Normal 7 4 2 4 4 5" xfId="10008" xr:uid="{C00F6A0C-D806-4A5B-8F7D-99E94A280068}"/>
    <cellStyle name="Normal 7 4 2 4 4 5 2" xfId="20388" xr:uid="{EDC48D79-EDBD-429E-9410-D9094CED12A4}"/>
    <cellStyle name="Normal 7 4 2 4 4 6" xfId="24544" xr:uid="{D144AA4D-3853-42D9-8FE1-26140F5E28BD}"/>
    <cellStyle name="Normal 7 4 2 4 4 7" xfId="14025" xr:uid="{AD023489-2E07-4B60-88AD-0D2124CB5C57}"/>
    <cellStyle name="Normal 7 4 2 4 5" xfId="2989" xr:uid="{00000000-0005-0000-0000-000051080000}"/>
    <cellStyle name="Normal 7 4 2 4 5 2" xfId="6139" xr:uid="{2AC1C3AE-B22F-4FE2-9930-18FFD3780E91}"/>
    <cellStyle name="Normal 7 4 2 4 5 2 2" xfId="25484" xr:uid="{CD94F832-DE7A-4F26-AB27-1611EFE6DFC3}"/>
    <cellStyle name="Normal 7 4 2 4 5 2 3" xfId="27192" xr:uid="{7D2C6571-E09A-45AD-8461-5841B9B74311}"/>
    <cellStyle name="Normal 7 4 2 4 5 2 4" xfId="15617" xr:uid="{EB12760B-3974-4EDE-A035-DF84B1A41311}"/>
    <cellStyle name="Normal 7 4 2 4 5 3" xfId="8070" xr:uid="{5DD8CBE1-B409-43F9-B9FF-50DF6587B640}"/>
    <cellStyle name="Normal 7 4 2 4 5 3 2" xfId="28766" xr:uid="{370C96D7-FBE7-40F9-8A9B-886DE567E5B3}"/>
    <cellStyle name="Normal 7 4 2 4 5 3 3" xfId="18450" xr:uid="{B1CE3031-322D-4DD1-B80A-9F7C719B033D}"/>
    <cellStyle name="Normal 7 4 2 4 5 4" xfId="10903" xr:uid="{557ACEC6-F1DC-4A79-9810-8D8953082EEC}"/>
    <cellStyle name="Normal 7 4 2 4 5 4 2" xfId="21283" xr:uid="{0CDDFD9B-9EB1-4692-91EB-F5622CF0C425}"/>
    <cellStyle name="Normal 7 4 2 4 5 5" xfId="23514" xr:uid="{7E2BDC90-743A-4CDE-8836-16218CDC2524}"/>
    <cellStyle name="Normal 7 4 2 4 5 6" xfId="13486" xr:uid="{14228182-435A-49B9-BE81-AEA0E4143C69}"/>
    <cellStyle name="Normal 7 4 2 4 6" xfId="2458" xr:uid="{00000000-0005-0000-0000-000052080000}"/>
    <cellStyle name="Normal 7 4 2 4 6 2" xfId="5750" xr:uid="{BEE05D96-D934-44ED-8368-AB5368390DFA}"/>
    <cellStyle name="Normal 7 4 2 4 6 2 2" xfId="28419" xr:uid="{7F8ECA08-AA09-4CC0-8159-86D99A414513}"/>
    <cellStyle name="Normal 7 4 2 4 6 2 3" xfId="15130" xr:uid="{3A483F97-B87C-44B3-95BF-CB39AABC850F}"/>
    <cellStyle name="Normal 7 4 2 4 6 3" xfId="7583" xr:uid="{E5E8A413-96BF-4559-BFF9-177C0427E082}"/>
    <cellStyle name="Normal 7 4 2 4 6 3 2" xfId="17963" xr:uid="{3BCC37CF-BDBE-4A19-A6B5-234712581127}"/>
    <cellStyle name="Normal 7 4 2 4 6 4" xfId="10416" xr:uid="{7679A0CE-6406-44CC-B71F-1858387BF605}"/>
    <cellStyle name="Normal 7 4 2 4 6 4 2" xfId="20796" xr:uid="{2A7A0AD0-A7BB-4844-8D8A-11783CC6F84D}"/>
    <cellStyle name="Normal 7 4 2 4 6 5" xfId="23303" xr:uid="{016C8953-02D4-49D5-9CD7-28D2D1205CB3}"/>
    <cellStyle name="Normal 7 4 2 4 6 6" xfId="12846" xr:uid="{07BC2695-B784-4FD4-BDF9-A31E26E6F7BC}"/>
    <cellStyle name="Normal 7 4 2 4 7" xfId="2212" xr:uid="{00000000-0005-0000-0000-000046080000}"/>
    <cellStyle name="Normal 7 4 2 4 7 2" xfId="7339" xr:uid="{221DA03E-D7F9-4E77-A9C9-24C02853C977}"/>
    <cellStyle name="Normal 7 4 2 4 7 2 2" xfId="17719" xr:uid="{6CED23D0-11C3-4588-9D21-0C8A53415568}"/>
    <cellStyle name="Normal 7 4 2 4 7 3" xfId="10172" xr:uid="{3CA10CEC-1F46-49A4-AD82-2E0A0BFB4AC6}"/>
    <cellStyle name="Normal 7 4 2 4 7 3 2" xfId="20552" xr:uid="{FD603573-4CC7-446F-A03F-75FD3E980E0D}"/>
    <cellStyle name="Normal 7 4 2 4 7 4" xfId="25246" xr:uid="{15C0597D-BDEA-412E-9653-FDE4E25C5976}"/>
    <cellStyle name="Normal 7 4 2 4 7 5" xfId="14886" xr:uid="{9DEC71EC-8AAA-440B-8552-BBF414B6496B}"/>
    <cellStyle name="Normal 7 4 2 4 8" xfId="4064" xr:uid="{4ABD5869-1B00-438E-90E6-141CF70F662E}"/>
    <cellStyle name="Normal 7 4 2 4 8 2" xfId="8844" xr:uid="{A3182066-70FF-4554-9B51-2999B2DAB449}"/>
    <cellStyle name="Normal 7 4 2 4 8 2 2" xfId="19224" xr:uid="{14FDB6FA-BADB-42A2-BFFB-498D668741D8}"/>
    <cellStyle name="Normal 7 4 2 4 8 3" xfId="11677" xr:uid="{67463485-28B8-44FF-A5DB-8F59EC77DC61}"/>
    <cellStyle name="Normal 7 4 2 4 8 3 2" xfId="22057" xr:uid="{06A1252E-4FB3-4E5E-ADE0-E9F9384D9AFB}"/>
    <cellStyle name="Normal 7 4 2 4 8 4" xfId="16391" xr:uid="{812D0A9A-3224-450F-B429-5C40CC67D428}"/>
    <cellStyle name="Normal 7 4 2 4 9" xfId="5421" xr:uid="{EB804556-033E-41D6-BB9C-1704BDD851CC}"/>
    <cellStyle name="Normal 7 4 2 4 9 2" xfId="14718" xr:uid="{80299997-AD89-421B-B216-EC8F8ECF5499}"/>
    <cellStyle name="Normal 7 4 2 5" xfId="1408" xr:uid="{00000000-0005-0000-0000-000057070000}"/>
    <cellStyle name="Normal 7 4 2 5 10" xfId="10009" xr:uid="{4F4B021F-78DD-4C68-8420-3089DCEF5A6A}"/>
    <cellStyle name="Normal 7 4 2 5 10 2" xfId="20389" xr:uid="{CE9593AF-2159-4713-8852-371EC3B4ED27}"/>
    <cellStyle name="Normal 7 4 2 5 11" xfId="23949" xr:uid="{A21590B5-D5FA-4C2C-91F5-25C91CBC03BE}"/>
    <cellStyle name="Normal 7 4 2 5 12" xfId="12631" xr:uid="{9C79C262-5AB5-4E25-869D-83C091DC85CA}"/>
    <cellStyle name="Normal 7 4 2 5 2" xfId="1409" xr:uid="{00000000-0005-0000-0000-000058070000}"/>
    <cellStyle name="Normal 7 4 2 5 2 2" xfId="1410" xr:uid="{00000000-0005-0000-0000-000059070000}"/>
    <cellStyle name="Normal 7 4 2 5 2 2 2" xfId="5428" xr:uid="{DC90032F-A7C8-4259-A04D-01902D52223C}"/>
    <cellStyle name="Normal 7 4 2 5 2 2 2 2" xfId="24039" xr:uid="{CF8A841D-0A25-4FFF-BE10-9094372666BC}"/>
    <cellStyle name="Normal 7 4 2 5 2 2 2 3" xfId="26697" xr:uid="{3DCE1E5B-3503-41E4-BFFB-3FC924283F66}"/>
    <cellStyle name="Normal 7 4 2 5 2 2 2 4" xfId="14725" xr:uid="{2B527BCA-D423-4503-9122-2282CC9B0298}"/>
    <cellStyle name="Normal 7 4 2 5 2 2 3" xfId="7178" xr:uid="{50096904-D60E-493E-BF10-D12065D10048}"/>
    <cellStyle name="Normal 7 4 2 5 2 2 3 2" xfId="27660" xr:uid="{03596C6D-25D5-4684-8349-791B9C74B4EA}"/>
    <cellStyle name="Normal 7 4 2 5 2 2 3 3" xfId="26808" xr:uid="{B6522971-26A5-4705-B878-C0D14A90DE1B}"/>
    <cellStyle name="Normal 7 4 2 5 2 2 3 4" xfId="17558" xr:uid="{8977E768-8809-45AA-96F3-C21DCBF63BFA}"/>
    <cellStyle name="Normal 7 4 2 5 2 2 4" xfId="10011" xr:uid="{48744055-C16C-4E02-A1BC-C76C9D86DA11}"/>
    <cellStyle name="Normal 7 4 2 5 2 2 4 2" xfId="29454" xr:uid="{82CA0832-D893-4A15-A498-C3E504F5CA01}"/>
    <cellStyle name="Normal 7 4 2 5 2 2 4 3" xfId="20391" xr:uid="{35289887-E0A1-4325-95F5-3F4E4148E3BE}"/>
    <cellStyle name="Normal 7 4 2 5 2 2 5" xfId="24368" xr:uid="{5F8623EE-AFD1-4BEE-9EFD-0D1372A39FE6}"/>
    <cellStyle name="Normal 7 4 2 5 2 2 6" xfId="14026" xr:uid="{239B6095-F271-4FC3-8047-C5C6F98D064A}"/>
    <cellStyle name="Normal 7 4 2 5 2 3" xfId="2826" xr:uid="{00000000-0005-0000-0000-000056080000}"/>
    <cellStyle name="Normal 7 4 2 5 2 3 2" xfId="6042" xr:uid="{3B687E05-5AF1-476B-96EF-1D8891D56292}"/>
    <cellStyle name="Normal 7 4 2 5 2 3 2 2" xfId="26996" xr:uid="{F174BAD1-E068-460A-8850-0F44A204B877}"/>
    <cellStyle name="Normal 7 4 2 5 2 3 2 3" xfId="15496" xr:uid="{86FC6865-D5D6-4CBA-8CD2-E90836557260}"/>
    <cellStyle name="Normal 7 4 2 5 2 3 3" xfId="7949" xr:uid="{F6A66019-9BBF-4ACB-8D7D-4937110A8EBE}"/>
    <cellStyle name="Normal 7 4 2 5 2 3 3 2" xfId="18329" xr:uid="{BAC6A313-4AF2-4524-8E47-94D2C3D3D1A5}"/>
    <cellStyle name="Normal 7 4 2 5 2 3 4" xfId="10782" xr:uid="{0A47D0C6-4148-4166-B175-0CCD96ED5179}"/>
    <cellStyle name="Normal 7 4 2 5 2 3 4 2" xfId="21162" xr:uid="{F01EA6D1-BFD3-42D8-A2C4-14718DA00CB5}"/>
    <cellStyle name="Normal 7 4 2 5 2 3 5" xfId="24254" xr:uid="{AA11F716-55BF-4F43-A013-00199C546F74}"/>
    <cellStyle name="Normal 7 4 2 5 2 3 6" xfId="13300" xr:uid="{0481F61A-9C9E-4357-8143-C6223F165FDC}"/>
    <cellStyle name="Normal 7 4 2 5 2 4" xfId="4217" xr:uid="{7908C746-7B05-4A29-BD28-29DD803831E6}"/>
    <cellStyle name="Normal 7 4 2 5 2 4 2" xfId="8989" xr:uid="{FC7F19FB-A224-4058-B1A1-C2EE96C7387A}"/>
    <cellStyle name="Normal 7 4 2 5 2 4 2 2" xfId="29068" xr:uid="{D0F4EA3A-0818-40FE-B61C-EE1ED9C623F0}"/>
    <cellStyle name="Normal 7 4 2 5 2 4 2 3" xfId="19369" xr:uid="{137D3889-0DED-4D71-82F2-D317CF828EBA}"/>
    <cellStyle name="Normal 7 4 2 5 2 4 3" xfId="11822" xr:uid="{C342DDFB-92D1-4778-9890-97FC20A8E7CB}"/>
    <cellStyle name="Normal 7 4 2 5 2 4 3 2" xfId="22202" xr:uid="{A83F5AB7-AD6A-4A27-B11A-0F0A83494DAF}"/>
    <cellStyle name="Normal 7 4 2 5 2 4 4" xfId="25137" xr:uid="{00A57F31-AA66-4FC2-9856-226F21BACAC7}"/>
    <cellStyle name="Normal 7 4 2 5 2 4 5" xfId="16536" xr:uid="{7D249806-6434-4FAC-85B3-B5D837B174F4}"/>
    <cellStyle name="Normal 7 4 2 5 2 5" xfId="5427" xr:uid="{5F0D3FCF-1197-44C3-A71A-CAAAFF02276D}"/>
    <cellStyle name="Normal 7 4 2 5 2 5 2" xfId="27998" xr:uid="{395C09B6-4C2A-4833-A72E-B29AB0BD7E53}"/>
    <cellStyle name="Normal 7 4 2 5 2 5 3" xfId="14724" xr:uid="{8526D7D3-0BCB-4BE2-AE4F-B0CBD9A1B6A1}"/>
    <cellStyle name="Normal 7 4 2 5 2 6" xfId="7177" xr:uid="{57159596-E411-4E62-ADBF-E6BB82F754F9}"/>
    <cellStyle name="Normal 7 4 2 5 2 6 2" xfId="17557" xr:uid="{FDEE0A3F-33B6-4BAD-87B5-F9AEEB3A0EA7}"/>
    <cellStyle name="Normal 7 4 2 5 2 7" xfId="10010" xr:uid="{2D9544BA-5D50-49F7-8FF8-38F6B042B1CA}"/>
    <cellStyle name="Normal 7 4 2 5 2 7 2" xfId="20390" xr:uid="{950719A6-A31F-4584-939F-52764EAE2976}"/>
    <cellStyle name="Normal 7 4 2 5 2 8" xfId="23553" xr:uid="{4263F13F-552B-45CE-AF3A-A25450F4E864}"/>
    <cellStyle name="Normal 7 4 2 5 2 9" xfId="12789" xr:uid="{61519436-3F18-46C4-B474-45A63D9C7AB6}"/>
    <cellStyle name="Normal 7 4 2 5 3" xfId="1411" xr:uid="{00000000-0005-0000-0000-00005A070000}"/>
    <cellStyle name="Normal 7 4 2 5 3 2" xfId="4581" xr:uid="{13C40225-0DA6-4F7A-93D5-510AEB78A0A7}"/>
    <cellStyle name="Normal 7 4 2 5 3 2 2" xfId="9353" xr:uid="{D44B9B45-80A4-4714-85AB-36621735EB4D}"/>
    <cellStyle name="Normal 7 4 2 5 3 2 2 2" xfId="29325" xr:uid="{F8427771-6A35-471E-9329-001360E5C35D}"/>
    <cellStyle name="Normal 7 4 2 5 3 2 2 3" xfId="19733" xr:uid="{C4D49B9A-EA51-4BE5-ABDB-C3D5687FDDB7}"/>
    <cellStyle name="Normal 7 4 2 5 3 2 3" xfId="12186" xr:uid="{47BDBF7F-27BB-4465-8373-0A622B381B62}"/>
    <cellStyle name="Normal 7 4 2 5 3 2 3 2" xfId="22566" xr:uid="{0D8467CA-3267-43C9-AF76-1E246700C673}"/>
    <cellStyle name="Normal 7 4 2 5 3 2 4" xfId="24908" xr:uid="{BD3E6A35-BE3D-4EE6-BBC1-D8212640D94A}"/>
    <cellStyle name="Normal 7 4 2 5 3 2 5" xfId="16900" xr:uid="{D77F4839-19AF-472A-AADA-876BBE0B3BD5}"/>
    <cellStyle name="Normal 7 4 2 5 3 3" xfId="5429" xr:uid="{6450F5DD-3052-44AE-9F5F-80F6A3EE9490}"/>
    <cellStyle name="Normal 7 4 2 5 3 3 2" xfId="22756" xr:uid="{82362F64-8C4D-459D-B138-3C1EDCE14382}"/>
    <cellStyle name="Normal 7 4 2 5 3 3 3" xfId="26550" xr:uid="{6EAB76BA-E1F9-4B4D-966D-BA0117E7B0BE}"/>
    <cellStyle name="Normal 7 4 2 5 3 3 4" xfId="14726" xr:uid="{7C738719-6FAF-4FC4-A32B-0116FAEB40E9}"/>
    <cellStyle name="Normal 7 4 2 5 3 4" xfId="7179" xr:uid="{F4DCA465-1ACF-45FC-9534-C32CF99F1CA5}"/>
    <cellStyle name="Normal 7 4 2 5 3 4 2" xfId="23472" xr:uid="{E9F5805B-9470-4EDC-ADDD-DCD941EAFF16}"/>
    <cellStyle name="Normal 7 4 2 5 3 4 3" xfId="26454" xr:uid="{7EECDE86-A8D7-4793-908A-F6DAB116F831}"/>
    <cellStyle name="Normal 7 4 2 5 3 4 4" xfId="17559" xr:uid="{758244B3-D92B-47D8-924C-7A5248D7C923}"/>
    <cellStyle name="Normal 7 4 2 5 3 5" xfId="10012" xr:uid="{737537A2-C40F-4B9F-BAA8-A6B342AC2340}"/>
    <cellStyle name="Normal 7 4 2 5 3 5 2" xfId="29455" xr:uid="{9BC5852B-53C0-43F8-A843-A5FF9D6E31BC}"/>
    <cellStyle name="Normal 7 4 2 5 3 5 3" xfId="20392" xr:uid="{6A8F803F-AA2E-4885-A0DA-C945AE5CD861}"/>
    <cellStyle name="Normal 7 4 2 5 3 6" xfId="25189" xr:uid="{5377AF0B-B07A-4D2B-80C5-F1CB2867184F}"/>
    <cellStyle name="Normal 7 4 2 5 3 7" xfId="14027" xr:uid="{E5137585-FB68-46C2-919F-DBB481287483}"/>
    <cellStyle name="Normal 7 4 2 5 4" xfId="1412" xr:uid="{00000000-0005-0000-0000-00005B070000}"/>
    <cellStyle name="Normal 7 4 2 5 4 2" xfId="5430" xr:uid="{9D587BF4-AC59-4918-97E4-B9E003E19072}"/>
    <cellStyle name="Normal 7 4 2 5 4 2 2" xfId="23734" xr:uid="{B019886C-1359-412E-8D96-C792177B3565}"/>
    <cellStyle name="Normal 7 4 2 5 4 2 3" xfId="26744" xr:uid="{0CE44BB1-8AB8-4275-AE33-7E35FAB49585}"/>
    <cellStyle name="Normal 7 4 2 5 4 2 4" xfId="14727" xr:uid="{45111C35-E0D5-4B5A-BBAE-16A4BE097BFF}"/>
    <cellStyle name="Normal 7 4 2 5 4 3" xfId="7180" xr:uid="{1A27C967-9251-40DF-ACB2-443B5CAB8019}"/>
    <cellStyle name="Normal 7 4 2 5 4 3 2" xfId="26087" xr:uid="{25621472-5CE3-4A0C-9494-30A0E3A54AFA}"/>
    <cellStyle name="Normal 7 4 2 5 4 3 3" xfId="17560" xr:uid="{B0C8B698-FB26-484E-873B-62D78C810D27}"/>
    <cellStyle name="Normal 7 4 2 5 4 4" xfId="10013" xr:uid="{18B4609A-23DC-4F90-B039-9F6A4303ABA1}"/>
    <cellStyle name="Normal 7 4 2 5 4 4 2" xfId="20393" xr:uid="{20A456CB-E6B6-4F6C-A6B2-C6D2B971D143}"/>
    <cellStyle name="Normal 7 4 2 5 4 5" xfId="24173" xr:uid="{FF9718A2-9A1D-406D-BDBD-1FC6CBCA4784}"/>
    <cellStyle name="Normal 7 4 2 5 4 6" xfId="13487" xr:uid="{73718355-8767-4822-BFEC-ED8909E4E64E}"/>
    <cellStyle name="Normal 7 4 2 5 5" xfId="2518" xr:uid="{00000000-0005-0000-0000-000059080000}"/>
    <cellStyle name="Normal 7 4 2 5 5 2" xfId="5796" xr:uid="{D91E1A03-91FC-4180-8558-21FDFA7B1A85}"/>
    <cellStyle name="Normal 7 4 2 5 5 2 2" xfId="26101" xr:uid="{899F7A24-B9A1-4C50-AEEA-9D474FA4A6E9}"/>
    <cellStyle name="Normal 7 4 2 5 5 2 3" xfId="15190" xr:uid="{8D1B3C93-EBFA-4819-958C-2F0CACFE1EFD}"/>
    <cellStyle name="Normal 7 4 2 5 5 3" xfId="7643" xr:uid="{81309B9C-59D9-4CC5-AD67-F40A50081CEB}"/>
    <cellStyle name="Normal 7 4 2 5 5 3 2" xfId="18023" xr:uid="{6D0B638F-51FC-4BB7-8833-AF7913B19F01}"/>
    <cellStyle name="Normal 7 4 2 5 5 4" xfId="10476" xr:uid="{EFD4DDC0-ADF2-449A-AC6E-069161845BFB}"/>
    <cellStyle name="Normal 7 4 2 5 5 4 2" xfId="20856" xr:uid="{F324FADB-B8D1-4342-A415-E1AB18C1AAA2}"/>
    <cellStyle name="Normal 7 4 2 5 5 5" xfId="24030" xr:uid="{7544ACC1-4452-4E36-8156-B8EB3A130A24}"/>
    <cellStyle name="Normal 7 4 2 5 5 6" xfId="12906" xr:uid="{5AE87465-D9FC-4676-8514-A35A9F559BF3}"/>
    <cellStyle name="Normal 7 4 2 5 6" xfId="2397" xr:uid="{00000000-0005-0000-0000-000053080000}"/>
    <cellStyle name="Normal 7 4 2 5 6 2" xfId="7524" xr:uid="{C44AA49F-EA30-4C1D-A7AA-368AC4FD12B0}"/>
    <cellStyle name="Normal 7 4 2 5 6 2 2" xfId="26848" xr:uid="{02C9C303-5722-4CA6-87FC-A9A5EBC995CE}"/>
    <cellStyle name="Normal 7 4 2 5 6 2 3" xfId="17904" xr:uid="{BB5EF9F8-B020-44DA-B448-A5890D3EE6E7}"/>
    <cellStyle name="Normal 7 4 2 5 6 3" xfId="10357" xr:uid="{A10D214D-A674-40AB-A355-E21B492E83BF}"/>
    <cellStyle name="Normal 7 4 2 5 6 3 2" xfId="20737" xr:uid="{5334C005-9896-43BF-8600-46AA296A307E}"/>
    <cellStyle name="Normal 7 4 2 5 6 4" xfId="23579" xr:uid="{24E987B6-8535-4A6B-8AC4-EF7BF8D0DAFA}"/>
    <cellStyle name="Normal 7 4 2 5 6 5" xfId="15071" xr:uid="{F3169F16-BF1F-4788-9CAD-AC7C449E61D1}"/>
    <cellStyle name="Normal 7 4 2 5 7" xfId="4065" xr:uid="{CD24C5D8-64C7-4E38-AE6A-E07FD8DAA435}"/>
    <cellStyle name="Normal 7 4 2 5 7 2" xfId="8845" xr:uid="{C6CE6DB9-81FB-438A-BE86-E541574BECAE}"/>
    <cellStyle name="Normal 7 4 2 5 7 2 2" xfId="19225" xr:uid="{1C3F134B-79D1-4839-97F2-130859F8B169}"/>
    <cellStyle name="Normal 7 4 2 5 7 3" xfId="11678" xr:uid="{57EDC30A-257C-419F-B6B7-784485107058}"/>
    <cellStyle name="Normal 7 4 2 5 7 3 2" xfId="22058" xr:uid="{A0F18111-F1BD-406C-99C7-3E89D5CADB8E}"/>
    <cellStyle name="Normal 7 4 2 5 7 4" xfId="28079" xr:uid="{C85E6CB5-C3DC-4F9A-ACB4-F3E56903F176}"/>
    <cellStyle name="Normal 7 4 2 5 7 5" xfId="16392" xr:uid="{72DD76BE-E92C-41A1-92BB-CBDEE0DF260F}"/>
    <cellStyle name="Normal 7 4 2 5 8" xfId="5426" xr:uid="{BB73E277-5C4F-4CAB-9689-E95916508D19}"/>
    <cellStyle name="Normal 7 4 2 5 8 2" xfId="14723" xr:uid="{4D7B405F-719B-4273-86A8-7ADE3E7CDFF0}"/>
    <cellStyle name="Normal 7 4 2 5 9" xfId="7176" xr:uid="{E2FC0238-D568-49BD-8CAD-C4343ECF0472}"/>
    <cellStyle name="Normal 7 4 2 5 9 2" xfId="17556" xr:uid="{1DD1EA12-FE9F-4321-98B3-29F2E25FFBB5}"/>
    <cellStyle name="Normal 7 4 2 6" xfId="1413" xr:uid="{00000000-0005-0000-0000-00005C070000}"/>
    <cellStyle name="Normal 7 4 2 6 10" xfId="10014" xr:uid="{B005047F-553F-4924-9AED-EE4FF4F402CC}"/>
    <cellStyle name="Normal 7 4 2 6 10 2" xfId="20394" xr:uid="{AEEC708B-5BE3-4339-9329-464B6727CE2D}"/>
    <cellStyle name="Normal 7 4 2 6 11" xfId="23969" xr:uid="{B1BFA53B-4411-4F77-90BC-F1ACAFC20672}"/>
    <cellStyle name="Normal 7 4 2 6 12" xfId="12632" xr:uid="{356EBB20-4CFC-4623-8999-6556D895B666}"/>
    <cellStyle name="Normal 7 4 2 6 2" xfId="1414" xr:uid="{00000000-0005-0000-0000-00005D070000}"/>
    <cellStyle name="Normal 7 4 2 6 2 2" xfId="1415" xr:uid="{00000000-0005-0000-0000-00005E070000}"/>
    <cellStyle name="Normal 7 4 2 6 2 2 2" xfId="5433" xr:uid="{ACC49959-56F5-457B-8777-6A4362BBF026}"/>
    <cellStyle name="Normal 7 4 2 6 2 2 2 2" xfId="25083" xr:uid="{3B9B08C4-D6CA-4A0C-B355-9341D725EBDD}"/>
    <cellStyle name="Normal 7 4 2 6 2 2 2 3" xfId="28229" xr:uid="{20C2A7A5-F58B-4B9B-B161-904618D63BBB}"/>
    <cellStyle name="Normal 7 4 2 6 2 2 2 4" xfId="14730" xr:uid="{C0232D7C-B838-4704-8517-D1D2136571EB}"/>
    <cellStyle name="Normal 7 4 2 6 2 2 3" xfId="7183" xr:uid="{BE33CC03-26D6-4F9E-96FB-EF0745C5CFBC}"/>
    <cellStyle name="Normal 7 4 2 6 2 2 3 2" xfId="27662" xr:uid="{8A55FD98-BA27-42A1-B444-FCB1DEC93CE1}"/>
    <cellStyle name="Normal 7 4 2 6 2 2 3 3" xfId="28706" xr:uid="{F3335788-22CA-49A2-A198-B67340352892}"/>
    <cellStyle name="Normal 7 4 2 6 2 2 3 4" xfId="17563" xr:uid="{5D2F1BA3-BFA8-4272-8075-7B079CD1E603}"/>
    <cellStyle name="Normal 7 4 2 6 2 2 4" xfId="10016" xr:uid="{62D4065E-236E-4227-B202-B705D98E07CB}"/>
    <cellStyle name="Normal 7 4 2 6 2 2 4 2" xfId="29456" xr:uid="{953B8973-E9D4-4A28-9448-9283324B166F}"/>
    <cellStyle name="Normal 7 4 2 6 2 2 4 3" xfId="20396" xr:uid="{A4154077-145C-4608-B623-9B291738B4B5}"/>
    <cellStyle name="Normal 7 4 2 6 2 2 5" xfId="24111" xr:uid="{1E6376B6-685C-41F6-AA1A-0E1371E4F7E4}"/>
    <cellStyle name="Normal 7 4 2 6 2 2 6" xfId="14028" xr:uid="{F2E8C2ED-6652-4E5E-B034-69DEC9945787}"/>
    <cellStyle name="Normal 7 4 2 6 2 3" xfId="2827" xr:uid="{00000000-0005-0000-0000-00005D080000}"/>
    <cellStyle name="Normal 7 4 2 6 2 3 2" xfId="6043" xr:uid="{CD12F26D-7E38-4B72-BD0F-648FE20591B2}"/>
    <cellStyle name="Normal 7 4 2 6 2 3 2 2" xfId="26925" xr:uid="{7A04FC21-7B5E-4CD7-B124-1DF756BCC50B}"/>
    <cellStyle name="Normal 7 4 2 6 2 3 2 3" xfId="15497" xr:uid="{92AEBB35-1F1E-45DB-A179-204373507A49}"/>
    <cellStyle name="Normal 7 4 2 6 2 3 3" xfId="7950" xr:uid="{544102D1-B4FD-4580-AB52-37F5F53691B1}"/>
    <cellStyle name="Normal 7 4 2 6 2 3 3 2" xfId="18330" xr:uid="{D5BE6525-FBCC-4B18-A71C-5E613C285E72}"/>
    <cellStyle name="Normal 7 4 2 6 2 3 4" xfId="10783" xr:uid="{4F84140B-4949-4A65-8CA7-13438E35AAFE}"/>
    <cellStyle name="Normal 7 4 2 6 2 3 4 2" xfId="21163" xr:uid="{EADBB21F-4358-4A40-9D66-D97F8AD657E1}"/>
    <cellStyle name="Normal 7 4 2 6 2 3 5" xfId="24550" xr:uid="{236C8CB4-8771-4D9A-A151-835DD1644386}"/>
    <cellStyle name="Normal 7 4 2 6 2 3 6" xfId="13301" xr:uid="{FFBBAFCE-4E25-452F-A3A4-2BFC8F0A33A5}"/>
    <cellStyle name="Normal 7 4 2 6 2 4" xfId="4218" xr:uid="{CB5E1B9E-8298-4AB5-8BA2-CDA1208127F1}"/>
    <cellStyle name="Normal 7 4 2 6 2 4 2" xfId="8990" xr:uid="{8A08711D-C16C-4D26-A112-C5B19FD900A6}"/>
    <cellStyle name="Normal 7 4 2 6 2 4 2 2" xfId="29069" xr:uid="{7DBA42BE-1030-4A1A-9B27-A843FA100053}"/>
    <cellStyle name="Normal 7 4 2 6 2 4 2 3" xfId="19370" xr:uid="{185869D1-AB3E-426B-B499-220AD464EF35}"/>
    <cellStyle name="Normal 7 4 2 6 2 4 3" xfId="11823" xr:uid="{67F4D7A1-B4EE-4730-8EAD-10F1F3EF120C}"/>
    <cellStyle name="Normal 7 4 2 6 2 4 3 2" xfId="22203" xr:uid="{23FF878B-135C-476A-A974-E6D81A426931}"/>
    <cellStyle name="Normal 7 4 2 6 2 4 4" xfId="24156" xr:uid="{3F4AFEAA-481D-442A-A5F1-93DED3FB4675}"/>
    <cellStyle name="Normal 7 4 2 6 2 4 5" xfId="16537" xr:uid="{9DDB4BA9-5EFA-4772-8776-20EE45B267C5}"/>
    <cellStyle name="Normal 7 4 2 6 2 5" xfId="5432" xr:uid="{B53CA646-856C-40E3-B9B1-1B1C39C90F5B}"/>
    <cellStyle name="Normal 7 4 2 6 2 5 2" xfId="26381" xr:uid="{985CE4B6-9B97-404E-8FC0-9CA482811201}"/>
    <cellStyle name="Normal 7 4 2 6 2 5 3" xfId="14729" xr:uid="{0DB742FD-2D59-49F6-8D24-05C7BE73D3ED}"/>
    <cellStyle name="Normal 7 4 2 6 2 6" xfId="7182" xr:uid="{7F0CD3EC-A7ED-415E-BB71-E350FC058EFE}"/>
    <cellStyle name="Normal 7 4 2 6 2 6 2" xfId="17562" xr:uid="{BF747459-136E-42E9-B078-152299A8E6D6}"/>
    <cellStyle name="Normal 7 4 2 6 2 7" xfId="10015" xr:uid="{AE1DDB34-B94D-4F70-8B50-BBDACA9B0F46}"/>
    <cellStyle name="Normal 7 4 2 6 2 7 2" xfId="20395" xr:uid="{32D57998-B51C-4D26-AE68-6ED260EE16CF}"/>
    <cellStyle name="Normal 7 4 2 6 2 8" xfId="24493" xr:uid="{6CC6677E-E6E1-45EE-BA0C-C14C13A7610E}"/>
    <cellStyle name="Normal 7 4 2 6 2 9" xfId="12790" xr:uid="{173BBFF3-D0F4-4160-AFF4-3F0497245FA6}"/>
    <cellStyle name="Normal 7 4 2 6 3" xfId="1416" xr:uid="{00000000-0005-0000-0000-00005F070000}"/>
    <cellStyle name="Normal 7 4 2 6 3 2" xfId="4582" xr:uid="{1BF54EF6-A596-4E83-B706-8E4A11FB6522}"/>
    <cellStyle name="Normal 7 4 2 6 3 2 2" xfId="9354" xr:uid="{C70380DC-B373-40D4-AC39-627D89764B5A}"/>
    <cellStyle name="Normal 7 4 2 6 3 2 2 2" xfId="29326" xr:uid="{9C1A41FE-2635-4791-A25C-E3F106F38BD2}"/>
    <cellStyle name="Normal 7 4 2 6 3 2 2 3" xfId="19734" xr:uid="{C10CF57A-7449-4792-B663-B665D61B8051}"/>
    <cellStyle name="Normal 7 4 2 6 3 2 3" xfId="12187" xr:uid="{9987C1F0-235F-4763-85FC-D06D2B2C4ECF}"/>
    <cellStyle name="Normal 7 4 2 6 3 2 3 2" xfId="22567" xr:uid="{FB548799-0E5E-406E-9E65-6539CA2FCB7D}"/>
    <cellStyle name="Normal 7 4 2 6 3 2 4" xfId="23525" xr:uid="{43912BF1-D01E-4BCF-81CA-9DEFFB11AD82}"/>
    <cellStyle name="Normal 7 4 2 6 3 2 5" xfId="16901" xr:uid="{BA4ECC0D-83ED-407F-BCAA-064BFB4F01C3}"/>
    <cellStyle name="Normal 7 4 2 6 3 3" xfId="5434" xr:uid="{586EF2D9-24F5-4293-9A1C-40A22B06FF20}"/>
    <cellStyle name="Normal 7 4 2 6 3 3 2" xfId="26867" xr:uid="{9703619E-5EBC-4ECB-9542-BD3FC3B49889}"/>
    <cellStyle name="Normal 7 4 2 6 3 3 3" xfId="27060" xr:uid="{898A3EAE-B37A-42A8-A9B5-A4B9E4D060D4}"/>
    <cellStyle name="Normal 7 4 2 6 3 3 4" xfId="14731" xr:uid="{0BBC9CEC-1798-4D37-915A-9BA30FF844EE}"/>
    <cellStyle name="Normal 7 4 2 6 3 4" xfId="7184" xr:uid="{81C49B6A-535B-4744-9D34-E03E2DC1FC01}"/>
    <cellStyle name="Normal 7 4 2 6 3 4 2" xfId="26071" xr:uid="{54965685-2E95-4A9A-8DAC-26B9ACC33AAE}"/>
    <cellStyle name="Normal 7 4 2 6 3 4 3" xfId="26078" xr:uid="{4B8C6A35-BB5E-4E04-8659-982CCD8A6CCD}"/>
    <cellStyle name="Normal 7 4 2 6 3 4 4" xfId="17564" xr:uid="{B27B0C0C-397F-4F16-AD78-649203BA9DBB}"/>
    <cellStyle name="Normal 7 4 2 6 3 5" xfId="10017" xr:uid="{DB3DA74A-F661-4D5D-9965-C692008A5E5F}"/>
    <cellStyle name="Normal 7 4 2 6 3 5 2" xfId="29457" xr:uid="{D3B1CD2D-4B81-49DE-99E0-FDDCC3584FA2}"/>
    <cellStyle name="Normal 7 4 2 6 3 5 3" xfId="20397" xr:uid="{06C36481-C097-46B8-BFA2-9452BC204D9B}"/>
    <cellStyle name="Normal 7 4 2 6 3 6" xfId="23181" xr:uid="{1DB60C66-997E-4EBF-BC69-CA57773C7EEB}"/>
    <cellStyle name="Normal 7 4 2 6 3 7" xfId="14029" xr:uid="{38A60E8F-1A15-4F0E-B1BC-C7F451D6E98E}"/>
    <cellStyle name="Normal 7 4 2 6 4" xfId="1417" xr:uid="{00000000-0005-0000-0000-000060070000}"/>
    <cellStyle name="Normal 7 4 2 6 4 2" xfId="5435" xr:uid="{1098EACB-F920-4291-9391-EFC70FC55943}"/>
    <cellStyle name="Normal 7 4 2 6 4 2 2" xfId="25674" xr:uid="{A31B6F93-403A-46B7-838C-23C6F6A7892F}"/>
    <cellStyle name="Normal 7 4 2 6 4 2 3" xfId="27223" xr:uid="{AF167C8A-3895-4A44-9B5F-E4A0FD058299}"/>
    <cellStyle name="Normal 7 4 2 6 4 2 4" xfId="14732" xr:uid="{F0BBF8B3-23E5-4EA8-81AF-B1566C2E3D6F}"/>
    <cellStyle name="Normal 7 4 2 6 4 3" xfId="7185" xr:uid="{F100B69C-70E3-4089-B3A4-FA365EB5D525}"/>
    <cellStyle name="Normal 7 4 2 6 4 3 2" xfId="27074" xr:uid="{847359D5-C1DB-48F5-8BE8-52AA144B6839}"/>
    <cellStyle name="Normal 7 4 2 6 4 3 3" xfId="17565" xr:uid="{E755EA97-62BB-408D-812C-AD918708BE0D}"/>
    <cellStyle name="Normal 7 4 2 6 4 4" xfId="10018" xr:uid="{62B92776-CB32-4631-AAD3-0911FDE28057}"/>
    <cellStyle name="Normal 7 4 2 6 4 4 2" xfId="20398" xr:uid="{7E4BA555-3E90-425F-AD14-F5855C84BBEB}"/>
    <cellStyle name="Normal 7 4 2 6 4 5" xfId="24506" xr:uid="{D1F60048-1F01-454C-8F29-5C365FD9AE94}"/>
    <cellStyle name="Normal 7 4 2 6 4 6" xfId="13488" xr:uid="{A33226EE-2783-4EA0-AEF9-1D2369B95F25}"/>
    <cellStyle name="Normal 7 4 2 6 5" xfId="2581" xr:uid="{00000000-0005-0000-0000-000060080000}"/>
    <cellStyle name="Normal 7 4 2 6 5 2" xfId="5846" xr:uid="{17D75B77-B2E5-482C-AF94-4F4BB57B6AA4}"/>
    <cellStyle name="Normal 7 4 2 6 5 2 2" xfId="28578" xr:uid="{47400427-7ED5-4ED7-8D01-2982F6F56245}"/>
    <cellStyle name="Normal 7 4 2 6 5 2 3" xfId="15253" xr:uid="{0692E47A-8ABA-490E-B809-91E5AD376575}"/>
    <cellStyle name="Normal 7 4 2 6 5 3" xfId="7706" xr:uid="{8F573EFC-8B2A-4675-9DAA-06B413A2D871}"/>
    <cellStyle name="Normal 7 4 2 6 5 3 2" xfId="18086" xr:uid="{A72F17EF-D17E-457D-A99B-9EDDAE54C255}"/>
    <cellStyle name="Normal 7 4 2 6 5 4" xfId="10539" xr:uid="{FE721382-46EC-47CE-9E00-1C7D2AD5CB5C}"/>
    <cellStyle name="Normal 7 4 2 6 5 4 2" xfId="20919" xr:uid="{BA75287A-DD7E-48BF-B60B-1477C427A975}"/>
    <cellStyle name="Normal 7 4 2 6 5 5" xfId="25294" xr:uid="{2E4EDD41-397C-4261-A4FE-33FF3F5E5E5E}"/>
    <cellStyle name="Normal 7 4 2 6 5 6" xfId="12969" xr:uid="{D2E29B5C-A764-4CBE-A5A5-82E3569611B1}"/>
    <cellStyle name="Normal 7 4 2 6 6" xfId="2398" xr:uid="{00000000-0005-0000-0000-00005A080000}"/>
    <cellStyle name="Normal 7 4 2 6 6 2" xfId="7525" xr:uid="{21F174A7-4987-4EBF-A1EF-44A664994639}"/>
    <cellStyle name="Normal 7 4 2 6 6 2 2" xfId="26786" xr:uid="{FCC0CB2D-E4EF-45DB-B929-DFB54B1569B1}"/>
    <cellStyle name="Normal 7 4 2 6 6 2 3" xfId="17905" xr:uid="{6AAD9FE9-06E3-4AD8-95AD-40296A6C342B}"/>
    <cellStyle name="Normal 7 4 2 6 6 3" xfId="10358" xr:uid="{96808953-3DDB-4A9D-9F4C-E5CBDC75F4BE}"/>
    <cellStyle name="Normal 7 4 2 6 6 3 2" xfId="20738" xr:uid="{A6BE3F22-05B0-4709-A6B2-6F8C6FB45ECB}"/>
    <cellStyle name="Normal 7 4 2 6 6 4" xfId="23100" xr:uid="{50A340EA-2354-4D27-A57E-7B444BE316CA}"/>
    <cellStyle name="Normal 7 4 2 6 6 5" xfId="15072" xr:uid="{02E62824-B523-4CBE-9AC5-A726FE865AD8}"/>
    <cellStyle name="Normal 7 4 2 6 7" xfId="4066" xr:uid="{787504FD-E615-4DF1-9D77-BBECC0DE93F8}"/>
    <cellStyle name="Normal 7 4 2 6 7 2" xfId="8846" xr:uid="{FCF05B19-81FB-4A54-BEB7-F0A61DB12570}"/>
    <cellStyle name="Normal 7 4 2 6 7 2 2" xfId="19226" xr:uid="{32B3D620-F75A-4CAD-B1E5-597DD8136D45}"/>
    <cellStyle name="Normal 7 4 2 6 7 3" xfId="11679" xr:uid="{33C1B2BD-D14A-44C0-9307-05BFF67FA58E}"/>
    <cellStyle name="Normal 7 4 2 6 7 3 2" xfId="22059" xr:uid="{6B631C3B-0DB2-48F2-B87D-D2F45125569C}"/>
    <cellStyle name="Normal 7 4 2 6 7 4" xfId="28107" xr:uid="{F5261F1D-F1B9-45E8-8F81-7C53A7BE747C}"/>
    <cellStyle name="Normal 7 4 2 6 7 5" xfId="16393" xr:uid="{D8E47FB0-8BB3-4344-AB82-69A4BA1C62CB}"/>
    <cellStyle name="Normal 7 4 2 6 8" xfId="5431" xr:uid="{1F40B752-6737-46EE-A6DF-1B75DA96DBD1}"/>
    <cellStyle name="Normal 7 4 2 6 8 2" xfId="14728" xr:uid="{391F89FC-6944-4964-B2E1-FDFC3C4ED719}"/>
    <cellStyle name="Normal 7 4 2 6 9" xfId="7181" xr:uid="{450B9847-020C-49F1-B642-B0DEC3E29F00}"/>
    <cellStyle name="Normal 7 4 2 6 9 2" xfId="17561" xr:uid="{ACCB61D8-4537-48D9-9271-7E8864C9E44C}"/>
    <cellStyle name="Normal 7 4 2 7" xfId="1418" xr:uid="{00000000-0005-0000-0000-000061070000}"/>
    <cellStyle name="Normal 7 4 2 7 10" xfId="12633" xr:uid="{94DB8E25-984C-4D8D-A56D-979E81D1A1DE}"/>
    <cellStyle name="Normal 7 4 2 7 2" xfId="1419" xr:uid="{00000000-0005-0000-0000-000062070000}"/>
    <cellStyle name="Normal 7 4 2 7 2 2" xfId="2990" xr:uid="{00000000-0005-0000-0000-000063080000}"/>
    <cellStyle name="Normal 7 4 2 7 2 2 2" xfId="6140" xr:uid="{1266CA9C-5035-448E-8939-3C069FE41792}"/>
    <cellStyle name="Normal 7 4 2 7 2 2 2 2" xfId="27832" xr:uid="{6BA6E3E3-0B5D-4725-AD7D-45FA59660042}"/>
    <cellStyle name="Normal 7 4 2 7 2 2 2 3" xfId="26313" xr:uid="{14734C87-6DE6-4D0B-84FB-F5E620DB5FDB}"/>
    <cellStyle name="Normal 7 4 2 7 2 2 2 4" xfId="15618" xr:uid="{6FB34FEA-6554-4BE3-8D10-9AD6CE81D6C6}"/>
    <cellStyle name="Normal 7 4 2 7 2 2 3" xfId="8071" xr:uid="{CE9E1B3D-C1FD-4CBA-A6BB-D92144A0865F}"/>
    <cellStyle name="Normal 7 4 2 7 2 2 3 2" xfId="27723" xr:uid="{0032E810-F024-4C77-AE8D-9373B8055228}"/>
    <cellStyle name="Normal 7 4 2 7 2 2 3 3" xfId="18451" xr:uid="{B3FB1B6C-478C-4CD5-A026-5797CBD64E79}"/>
    <cellStyle name="Normal 7 4 2 7 2 2 4" xfId="10904" xr:uid="{4415CB7F-40E9-45E1-85D9-6DABC2764ED3}"/>
    <cellStyle name="Normal 7 4 2 7 2 2 4 2" xfId="21284" xr:uid="{3E1FD531-B551-4991-9904-10393FE33A3C}"/>
    <cellStyle name="Normal 7 4 2 7 2 2 5" xfId="23829" xr:uid="{E0E623C1-45BB-4EFA-87D1-5D1FD674B409}"/>
    <cellStyle name="Normal 7 4 2 7 2 2 6" xfId="13489" xr:uid="{6258D515-6824-426D-9C18-B099CE2EE0A9}"/>
    <cellStyle name="Normal 7 4 2 7 2 3" xfId="5437" xr:uid="{73706557-7274-4A62-9D2E-9D0F68BD4BC2}"/>
    <cellStyle name="Normal 7 4 2 7 2 3 2" xfId="23501" xr:uid="{15F8D672-281A-4D72-AD12-49CEE82E7533}"/>
    <cellStyle name="Normal 7 4 2 7 2 3 3" xfId="27197" xr:uid="{D064E7A5-6181-4134-830F-81AF10BBEB20}"/>
    <cellStyle name="Normal 7 4 2 7 2 3 4" xfId="14734" xr:uid="{DB7C5814-2379-4983-8608-9F3F172D6E7F}"/>
    <cellStyle name="Normal 7 4 2 7 2 4" xfId="7187" xr:uid="{3836BD7D-4B8E-4F9B-8B5D-7B489FC8B2BF}"/>
    <cellStyle name="Normal 7 4 2 7 2 4 2" xfId="26635" xr:uid="{18E5D6C6-EF43-4D85-8CE8-AE7EE66E87D1}"/>
    <cellStyle name="Normal 7 4 2 7 2 4 3" xfId="27244" xr:uid="{6B17FA2A-E0D2-44FB-8207-51940BE33BD3}"/>
    <cellStyle name="Normal 7 4 2 7 2 4 4" xfId="17567" xr:uid="{DFEF93DD-08C3-4443-844E-F6CA5FDD1CF2}"/>
    <cellStyle name="Normal 7 4 2 7 2 5" xfId="10020" xr:uid="{0889C94F-1ABA-4FC6-9E28-0795963A3FA9}"/>
    <cellStyle name="Normal 7 4 2 7 2 5 2" xfId="29458" xr:uid="{70201FCB-86E4-489F-8B22-D4D9F690346B}"/>
    <cellStyle name="Normal 7 4 2 7 2 5 3" xfId="20400" xr:uid="{89FBEA2D-C08B-4774-AF5A-524674D3512A}"/>
    <cellStyle name="Normal 7 4 2 7 2 6" xfId="23850" xr:uid="{DF26400E-02C4-4589-8613-8A8F024D1767}"/>
    <cellStyle name="Normal 7 4 2 7 2 7" xfId="12791" xr:uid="{BFB7021A-E11C-42FB-8F02-FE5A49CDF78E}"/>
    <cellStyle name="Normal 7 4 2 7 3" xfId="1420" xr:uid="{00000000-0005-0000-0000-000063070000}"/>
    <cellStyle name="Normal 7 4 2 7 3 2" xfId="5438" xr:uid="{82B5E694-2FC5-4E24-8479-0FC41482D483}"/>
    <cellStyle name="Normal 7 4 2 7 3 2 2" xfId="26972" xr:uid="{2BF54BE0-ED09-4508-B9C3-888EF3FACA7E}"/>
    <cellStyle name="Normal 7 4 2 7 3 2 3" xfId="28158" xr:uid="{41CB8755-7976-4FA8-92E0-440C84D9FADA}"/>
    <cellStyle name="Normal 7 4 2 7 3 2 4" xfId="14735" xr:uid="{8D89238C-0030-4AB4-9F24-B117B919F0F0}"/>
    <cellStyle name="Normal 7 4 2 7 3 3" xfId="7188" xr:uid="{0008B33A-5D63-4F47-B563-238954287A5F}"/>
    <cellStyle name="Normal 7 4 2 7 3 3 2" xfId="28238" xr:uid="{260C5BFE-EE4A-4508-BB9D-B54A34FC1DD1}"/>
    <cellStyle name="Normal 7 4 2 7 3 3 3" xfId="26044" xr:uid="{7BC6694E-8F7E-426B-982B-C6FE59EE42A5}"/>
    <cellStyle name="Normal 7 4 2 7 3 3 4" xfId="17568" xr:uid="{27E6BAC9-0590-4F18-8EA6-355AEED43B58}"/>
    <cellStyle name="Normal 7 4 2 7 3 4" xfId="10021" xr:uid="{D6282C0B-23EE-4436-B69D-F5E8D9CEA92A}"/>
    <cellStyle name="Normal 7 4 2 7 3 4 2" xfId="29459" xr:uid="{794BD335-970E-4ABE-8731-2B8B81EFDD62}"/>
    <cellStyle name="Normal 7 4 2 7 3 4 3" xfId="20401" xr:uid="{5459E404-4B22-4EAD-B82F-42EE3543FD20}"/>
    <cellStyle name="Normal 7 4 2 7 3 5" xfId="23110" xr:uid="{BCC33169-2365-4075-A213-E531A6313F02}"/>
    <cellStyle name="Normal 7 4 2 7 3 6" xfId="13302" xr:uid="{44BF5C5C-C4C7-4BF3-978B-7EB2E005626C}"/>
    <cellStyle name="Normal 7 4 2 7 4" xfId="2399" xr:uid="{00000000-0005-0000-0000-000061080000}"/>
    <cellStyle name="Normal 7 4 2 7 4 2" xfId="7526" xr:uid="{86492D43-90EB-48CF-8201-D4300A5D77A1}"/>
    <cellStyle name="Normal 7 4 2 7 4 2 2" xfId="25868" xr:uid="{FFB7116F-81E7-4660-99A9-B36EAAF51FAD}"/>
    <cellStyle name="Normal 7 4 2 7 4 2 3" xfId="17906" xr:uid="{9EBB2063-CA9F-41AA-ACB2-36A461FE1529}"/>
    <cellStyle name="Normal 7 4 2 7 4 3" xfId="10359" xr:uid="{54018CCB-AB0E-4704-9798-FE8BC0349EED}"/>
    <cellStyle name="Normal 7 4 2 7 4 3 2" xfId="20739" xr:uid="{9AD254BA-D173-4481-812D-E6A24542D02F}"/>
    <cellStyle name="Normal 7 4 2 7 4 4" xfId="24788" xr:uid="{9018913B-342D-4E75-A25C-8C37B551CB05}"/>
    <cellStyle name="Normal 7 4 2 7 4 5" xfId="15073" xr:uid="{7DD61C3C-68EC-4DA4-8FD3-0480FC45329D}"/>
    <cellStyle name="Normal 7 4 2 7 5" xfId="4067" xr:uid="{77472886-F551-449A-8098-A7FB30B7B646}"/>
    <cellStyle name="Normal 7 4 2 7 5 2" xfId="8847" xr:uid="{F84EA359-FB2C-4639-A40E-838E073F2E29}"/>
    <cellStyle name="Normal 7 4 2 7 5 2 2" xfId="28996" xr:uid="{7BF56CC5-6A5C-4EF6-B5F0-8F2CBE3D79FE}"/>
    <cellStyle name="Normal 7 4 2 7 5 2 3" xfId="19227" xr:uid="{8AD95E74-020B-4D2D-9F96-D8EB383DF9DA}"/>
    <cellStyle name="Normal 7 4 2 7 5 3" xfId="11680" xr:uid="{C12A5A78-6510-436E-A32D-926A5FAD00FB}"/>
    <cellStyle name="Normal 7 4 2 7 5 3 2" xfId="22060" xr:uid="{B6EEC522-B3A4-4B2E-85A7-A04BC0C8DDFB}"/>
    <cellStyle name="Normal 7 4 2 7 5 4" xfId="22812" xr:uid="{37258880-037A-4767-9152-4095A0169B94}"/>
    <cellStyle name="Normal 7 4 2 7 5 5" xfId="16394" xr:uid="{6E299FD7-684B-4802-A6FF-86435AC177AA}"/>
    <cellStyle name="Normal 7 4 2 7 6" xfId="5436" xr:uid="{D3C90363-648C-472E-B1D6-0895137A7634}"/>
    <cellStyle name="Normal 7 4 2 7 6 2" xfId="26328" xr:uid="{B017C560-B810-4746-8C55-B4995878F636}"/>
    <cellStyle name="Normal 7 4 2 7 6 3" xfId="26510" xr:uid="{92F04E2A-EF45-425E-B460-6E5D80E4539C}"/>
    <cellStyle name="Normal 7 4 2 7 6 4" xfId="14733" xr:uid="{BAE21227-5844-4849-AED3-9A0C92C98A8C}"/>
    <cellStyle name="Normal 7 4 2 7 7" xfId="7186" xr:uid="{7CC78FA1-708E-40DD-960B-EAF910F14868}"/>
    <cellStyle name="Normal 7 4 2 7 7 2" xfId="26421" xr:uid="{6A8787EE-F31E-4982-9135-5F1148B2FDBE}"/>
    <cellStyle name="Normal 7 4 2 7 7 3" xfId="17566" xr:uid="{23954045-1D4A-4E58-9EDC-5DC74BA99BA5}"/>
    <cellStyle name="Normal 7 4 2 7 8" xfId="10019" xr:uid="{94B3A68A-3BD4-419B-9AC3-B8BD758CE315}"/>
    <cellStyle name="Normal 7 4 2 7 8 2" xfId="20399" xr:uid="{FB3E73B1-994C-477B-9EC3-AED1D1AD3CD1}"/>
    <cellStyle name="Normal 7 4 2 7 9" xfId="24625" xr:uid="{E09003C2-1B00-4328-BBF9-063EA82CCD48}"/>
    <cellStyle name="Normal 7 4 2 8" xfId="1421" xr:uid="{00000000-0005-0000-0000-000064070000}"/>
    <cellStyle name="Normal 7 4 2 8 10" xfId="12634" xr:uid="{764DDC1B-9402-4F8E-8F51-32FAF920D60E}"/>
    <cellStyle name="Normal 7 4 2 8 2" xfId="1422" xr:uid="{00000000-0005-0000-0000-000065070000}"/>
    <cellStyle name="Normal 7 4 2 8 2 2" xfId="2991" xr:uid="{00000000-0005-0000-0000-000067080000}"/>
    <cellStyle name="Normal 7 4 2 8 2 2 2" xfId="6141" xr:uid="{9041C163-69A9-43CC-9E9A-D833F2C7176D}"/>
    <cellStyle name="Normal 7 4 2 8 2 2 2 2" xfId="26203" xr:uid="{B493E099-C3E2-4544-9AA4-825065CBA4E2}"/>
    <cellStyle name="Normal 7 4 2 8 2 2 2 3" xfId="27475" xr:uid="{3AB40F7B-C570-4D06-ADBC-05D10685A382}"/>
    <cellStyle name="Normal 7 4 2 8 2 2 2 4" xfId="15619" xr:uid="{662CF5B3-522E-4A27-8305-2C33727EF944}"/>
    <cellStyle name="Normal 7 4 2 8 2 2 3" xfId="8072" xr:uid="{A7D51079-161A-4855-A031-386021851227}"/>
    <cellStyle name="Normal 7 4 2 8 2 2 3 2" xfId="28767" xr:uid="{E2D87E69-31E9-42B6-96CD-1C9BA892C7BB}"/>
    <cellStyle name="Normal 7 4 2 8 2 2 3 3" xfId="18452" xr:uid="{A4CED350-C79A-4982-82E0-0E78037D358B}"/>
    <cellStyle name="Normal 7 4 2 8 2 2 4" xfId="10905" xr:uid="{CB272D73-6214-4DBE-B2F7-601C344F4AED}"/>
    <cellStyle name="Normal 7 4 2 8 2 2 4 2" xfId="21285" xr:uid="{A51A0245-F2DF-4AE0-AADB-DA7AF0E58429}"/>
    <cellStyle name="Normal 7 4 2 8 2 2 5" xfId="25247" xr:uid="{3814E4DE-EEA9-49D4-9238-DCCEEA448DD9}"/>
    <cellStyle name="Normal 7 4 2 8 2 2 6" xfId="13490" xr:uid="{CC3172A9-4FD7-4114-8024-2F839FFAC561}"/>
    <cellStyle name="Normal 7 4 2 8 2 3" xfId="5440" xr:uid="{336699C8-1CEE-4FE0-A41F-11B48F3781CB}"/>
    <cellStyle name="Normal 7 4 2 8 2 3 2" xfId="25141" xr:uid="{143F8DC0-D0F0-4F1B-A5F6-49BBA04A9BAA}"/>
    <cellStyle name="Normal 7 4 2 8 2 3 3" xfId="27241" xr:uid="{FCF3E825-A10B-4A4B-9EA1-E9B2699347E6}"/>
    <cellStyle name="Normal 7 4 2 8 2 3 4" xfId="14737" xr:uid="{F4C934E6-EF23-4A45-A8C7-37BB666CB016}"/>
    <cellStyle name="Normal 7 4 2 8 2 4" xfId="7190" xr:uid="{18D41000-B14D-4DB2-B55D-9828FC100708}"/>
    <cellStyle name="Normal 7 4 2 8 2 4 2" xfId="26095" xr:uid="{B5DDF77C-89DA-471A-8272-5E6E03F47423}"/>
    <cellStyle name="Normal 7 4 2 8 2 4 3" xfId="26435" xr:uid="{EADE3D3C-76DB-4633-9772-34B4800C979C}"/>
    <cellStyle name="Normal 7 4 2 8 2 4 4" xfId="17570" xr:uid="{2AEDA77A-D5D4-4E04-B75B-45DDA0F9A858}"/>
    <cellStyle name="Normal 7 4 2 8 2 5" xfId="10023" xr:uid="{0B9161BD-1312-4222-8C65-7C901862FE49}"/>
    <cellStyle name="Normal 7 4 2 8 2 5 2" xfId="29460" xr:uid="{3B11A4C3-9B9B-404A-AAB3-C3FF001AC2C4}"/>
    <cellStyle name="Normal 7 4 2 8 2 5 3" xfId="20403" xr:uid="{22CC1A39-7AB0-474E-9DD9-C58BA7F6E7DB}"/>
    <cellStyle name="Normal 7 4 2 8 2 6" xfId="23375" xr:uid="{4798756F-1AD2-44D4-A672-6B80D892F56E}"/>
    <cellStyle name="Normal 7 4 2 8 2 7" xfId="12792" xr:uid="{BF2F52C6-13F2-4F1D-9924-D50FFADB0400}"/>
    <cellStyle name="Normal 7 4 2 8 3" xfId="1423" xr:uid="{00000000-0005-0000-0000-000066070000}"/>
    <cellStyle name="Normal 7 4 2 8 3 2" xfId="5441" xr:uid="{DF7E501D-4D91-426D-AD30-9FD2EF2BFCE7}"/>
    <cellStyle name="Normal 7 4 2 8 3 2 2" xfId="27433" xr:uid="{7D3C8E64-94D2-442D-AA48-12B7CF08B5B7}"/>
    <cellStyle name="Normal 7 4 2 8 3 2 3" xfId="28601" xr:uid="{1FEA78ED-3976-4495-9929-FD5F90723AF7}"/>
    <cellStyle name="Normal 7 4 2 8 3 2 4" xfId="14738" xr:uid="{E3B0F55E-0118-4914-A1F6-148CF20F42D4}"/>
    <cellStyle name="Normal 7 4 2 8 3 3" xfId="7191" xr:uid="{E0B26F10-6A1D-4076-95F6-2A99FD4F5D93}"/>
    <cellStyle name="Normal 7 4 2 8 3 3 2" xfId="27426" xr:uid="{5A5AEE34-4573-48E5-9EB2-1803A67C8182}"/>
    <cellStyle name="Normal 7 4 2 8 3 3 3" xfId="27402" xr:uid="{2556DBBF-00E5-435C-841D-7AE47896058F}"/>
    <cellStyle name="Normal 7 4 2 8 3 3 4" xfId="17571" xr:uid="{050D4FF1-B4FE-48C8-B357-5E446ABB2642}"/>
    <cellStyle name="Normal 7 4 2 8 3 4" xfId="10024" xr:uid="{D2779331-985F-4D2A-B82B-048C9760EA3D}"/>
    <cellStyle name="Normal 7 4 2 8 3 4 2" xfId="29461" xr:uid="{637DFF79-F514-4FB7-8A89-4E4CEE4DC035}"/>
    <cellStyle name="Normal 7 4 2 8 3 4 3" xfId="20404" xr:uid="{1B7A3929-C49F-4C4E-A47E-E6A72371383E}"/>
    <cellStyle name="Normal 7 4 2 8 3 5" xfId="25126" xr:uid="{7A71748C-01E1-42B4-AA1C-8BCDE39C24C6}"/>
    <cellStyle name="Normal 7 4 2 8 3 6" xfId="13303" xr:uid="{D245C534-4BE7-4770-B518-4D1A290DFB03}"/>
    <cellStyle name="Normal 7 4 2 8 4" xfId="2400" xr:uid="{00000000-0005-0000-0000-000065080000}"/>
    <cellStyle name="Normal 7 4 2 8 4 2" xfId="7527" xr:uid="{7A821489-26D7-4677-B041-69A2C39EA31A}"/>
    <cellStyle name="Normal 7 4 2 8 4 2 2" xfId="26247" xr:uid="{3F381CF9-2F0E-45E0-99AC-CBE86D141DBD}"/>
    <cellStyle name="Normal 7 4 2 8 4 2 3" xfId="17907" xr:uid="{2272D246-2772-444E-8657-CD6E53F0122A}"/>
    <cellStyle name="Normal 7 4 2 8 4 3" xfId="10360" xr:uid="{E3E695FB-914F-4538-A5FE-829A11F73630}"/>
    <cellStyle name="Normal 7 4 2 8 4 3 2" xfId="20740" xr:uid="{E48C7E1C-2B52-443E-BF89-E06BBDE3396E}"/>
    <cellStyle name="Normal 7 4 2 8 4 4" xfId="25499" xr:uid="{A4BA8B26-23DB-4570-B019-11C38E654B92}"/>
    <cellStyle name="Normal 7 4 2 8 4 5" xfId="15074" xr:uid="{D4271D88-5D5E-4508-BFC3-E6279DEB43BE}"/>
    <cellStyle name="Normal 7 4 2 8 5" xfId="4068" xr:uid="{DEAF12DA-3FA9-4DCB-8904-0FEFEC41EF1A}"/>
    <cellStyle name="Normal 7 4 2 8 5 2" xfId="8848" xr:uid="{1E336397-8442-444B-B4E3-A2BBFD7CEBFF}"/>
    <cellStyle name="Normal 7 4 2 8 5 2 2" xfId="28997" xr:uid="{75514FFB-B72B-46F8-ACF7-870092C6E62D}"/>
    <cellStyle name="Normal 7 4 2 8 5 2 3" xfId="19228" xr:uid="{4DA0DEEB-F0A6-4D78-B87F-5D39B35D266F}"/>
    <cellStyle name="Normal 7 4 2 8 5 3" xfId="11681" xr:uid="{D55E82D3-75FE-4EF0-A82A-5C356FFF3CB3}"/>
    <cellStyle name="Normal 7 4 2 8 5 3 2" xfId="22061" xr:uid="{C7ED9254-E5EE-4DDC-883D-9503F73F9DA8}"/>
    <cellStyle name="Normal 7 4 2 8 5 4" xfId="24975" xr:uid="{A72BF85D-5E4B-40FC-84A2-4CFFF781B86B}"/>
    <cellStyle name="Normal 7 4 2 8 5 5" xfId="16395" xr:uid="{D3B83BD2-8D64-4965-BCEF-EA03A12C7646}"/>
    <cellStyle name="Normal 7 4 2 8 6" xfId="5439" xr:uid="{7F3F327F-51DB-4F24-9C4B-E5C89DF83EE3}"/>
    <cellStyle name="Normal 7 4 2 8 6 2" xfId="26898" xr:uid="{E8A65548-4070-4D93-BEEB-7CCF5EE40D86}"/>
    <cellStyle name="Normal 7 4 2 8 6 3" xfId="26871" xr:uid="{84838828-46F0-4DEF-BA3F-EAB48AF9A8E2}"/>
    <cellStyle name="Normal 7 4 2 8 6 4" xfId="14736" xr:uid="{69A46E30-CEE4-4EEB-93D4-36FD588DE682}"/>
    <cellStyle name="Normal 7 4 2 8 7" xfId="7189" xr:uid="{022E0D6E-5008-440E-94C0-FCA08E2C0C61}"/>
    <cellStyle name="Normal 7 4 2 8 7 2" xfId="26952" xr:uid="{2FCBC965-BC6D-4F97-8AB6-7B6C07325484}"/>
    <cellStyle name="Normal 7 4 2 8 7 3" xfId="17569" xr:uid="{D552055A-C5C7-4BFF-92A2-74EE2AEF58D8}"/>
    <cellStyle name="Normal 7 4 2 8 8" xfId="10022" xr:uid="{9EB0C26B-B5D2-4F74-A99F-8154FF2AFA9E}"/>
    <cellStyle name="Normal 7 4 2 8 8 2" xfId="20402" xr:uid="{FAE3E505-1AB7-4AFC-99DE-4F30A123E761}"/>
    <cellStyle name="Normal 7 4 2 8 9" xfId="24218" xr:uid="{90CC9198-C7BD-4DC7-A6D9-37C25CDAEFF2}"/>
    <cellStyle name="Normal 7 4 2 9" xfId="1424" xr:uid="{00000000-0005-0000-0000-000067070000}"/>
    <cellStyle name="Normal 7 4 2 9 10" xfId="12627" xr:uid="{DFDE78C4-8E58-41BD-A9CC-0E3FE4FF757E}"/>
    <cellStyle name="Normal 7 4 2 9 2" xfId="3444" xr:uid="{00000000-0005-0000-0000-00006A080000}"/>
    <cellStyle name="Normal 7 4 2 9 2 2" xfId="6499" xr:uid="{D6E9C181-6061-4F0C-B3EA-ED194457DA41}"/>
    <cellStyle name="Normal 7 4 2 9 2 2 2" xfId="25660" xr:uid="{AF607323-AC0D-414A-8F77-EE6893045231}"/>
    <cellStyle name="Normal 7 4 2 9 2 2 3" xfId="26412" xr:uid="{509785D6-8A2F-42A6-B8DB-8ABF8E3C060A}"/>
    <cellStyle name="Normal 7 4 2 9 2 2 4" xfId="16070" xr:uid="{A58D279F-36A8-461F-89B9-FFE923980C7C}"/>
    <cellStyle name="Normal 7 4 2 9 2 3" xfId="8523" xr:uid="{EF66F453-D807-4980-B50E-4CCBAFB733A8}"/>
    <cellStyle name="Normal 7 4 2 9 2 3 2" xfId="28604" xr:uid="{B547C6E4-D9DC-4171-8FAD-C356971CE623}"/>
    <cellStyle name="Normal 7 4 2 9 2 3 3" xfId="28938" xr:uid="{0E25B91D-7487-4276-B067-0ABEBC60BEDF}"/>
    <cellStyle name="Normal 7 4 2 9 2 3 4" xfId="18903" xr:uid="{02A1BA71-9964-4CB4-A4D8-1ADEA24125BC}"/>
    <cellStyle name="Normal 7 4 2 9 2 4" xfId="11356" xr:uid="{54519620-988D-49D7-A0EA-4A122FE56D51}"/>
    <cellStyle name="Normal 7 4 2 9 2 4 2" xfId="29484" xr:uid="{FC835250-DF4C-4944-8875-1A77052EC6B1}"/>
    <cellStyle name="Normal 7 4 2 9 2 4 3" xfId="21736" xr:uid="{6E24494B-DCF2-4A6B-A86C-9F188EF0E2F6}"/>
    <cellStyle name="Normal 7 4 2 9 2 5" xfId="25160" xr:uid="{A329167D-D56F-4DA6-B18E-91E3E4955854}"/>
    <cellStyle name="Normal 7 4 2 9 2 6" xfId="14030" xr:uid="{4C006EB8-F23A-4180-92FA-69EFDB76ED45}"/>
    <cellStyle name="Normal 7 4 2 9 3" xfId="2819" xr:uid="{00000000-0005-0000-0000-00006B080000}"/>
    <cellStyle name="Normal 7 4 2 9 3 2" xfId="6035" xr:uid="{795FEE40-626B-42B5-BAF9-A3BEA4C1BB8C}"/>
    <cellStyle name="Normal 7 4 2 9 3 2 2" xfId="26771" xr:uid="{87813332-7EAD-4E02-9112-3A1229BE077B}"/>
    <cellStyle name="Normal 7 4 2 9 3 2 3" xfId="15489" xr:uid="{DCBA6F41-7C2A-414B-A542-F8AB5A081384}"/>
    <cellStyle name="Normal 7 4 2 9 3 3" xfId="7942" xr:uid="{A1F020B0-9442-4F1D-A526-F7270CF91865}"/>
    <cellStyle name="Normal 7 4 2 9 3 3 2" xfId="18322" xr:uid="{3EB35884-0264-4057-AE8C-9FAA1A3E7328}"/>
    <cellStyle name="Normal 7 4 2 9 3 4" xfId="10775" xr:uid="{3F4BB8D7-6A93-4816-BC7A-13FB97BEC3AF}"/>
    <cellStyle name="Normal 7 4 2 9 3 4 2" xfId="21155" xr:uid="{13474AFC-43F4-443F-BE0B-320A30877F95}"/>
    <cellStyle name="Normal 7 4 2 9 3 5" xfId="25145" xr:uid="{6B8F29FD-44AE-4E2F-8C63-D9C0C2430D48}"/>
    <cellStyle name="Normal 7 4 2 9 3 6" xfId="13290" xr:uid="{5C832931-E50C-4A84-AC60-CCB69FE73A52}"/>
    <cellStyle name="Normal 7 4 2 9 4" xfId="2393" xr:uid="{00000000-0005-0000-0000-000069080000}"/>
    <cellStyle name="Normal 7 4 2 9 4 2" xfId="7520" xr:uid="{7870606D-1837-44BD-BC37-7E3134EB028F}"/>
    <cellStyle name="Normal 7 4 2 9 4 2 2" xfId="26415" xr:uid="{FF062303-D59F-49DD-AAC3-2A4BA0C5BA02}"/>
    <cellStyle name="Normal 7 4 2 9 4 2 3" xfId="17900" xr:uid="{C8470F4B-0DC2-4EF0-BD9F-ED27D4F6CB5A}"/>
    <cellStyle name="Normal 7 4 2 9 4 3" xfId="10353" xr:uid="{4D7874B9-E019-443B-B306-FA092DEC4B01}"/>
    <cellStyle name="Normal 7 4 2 9 4 3 2" xfId="20733" xr:uid="{585F05EA-88E4-4145-84E6-9E74DDADE4AE}"/>
    <cellStyle name="Normal 7 4 2 9 4 4" xfId="23871" xr:uid="{AFFA7455-76C5-4A6D-AEC8-973157377937}"/>
    <cellStyle name="Normal 7 4 2 9 4 5" xfId="15067" xr:uid="{B1DA497D-9798-4947-85EB-2DFFC2B3D5A0}"/>
    <cellStyle name="Normal 7 4 2 9 5" xfId="4097" xr:uid="{A842F1E4-1C7A-4362-BC43-4637DC25B33F}"/>
    <cellStyle name="Normal 7 4 2 9 5 2" xfId="8871" xr:uid="{E5C15C7A-E4A4-4CBD-BCBC-C757F7FB36EB}"/>
    <cellStyle name="Normal 7 4 2 9 5 2 2" xfId="19251" xr:uid="{F5CF3878-642A-43DB-BF34-E6CA3F0EA0BE}"/>
    <cellStyle name="Normal 7 4 2 9 5 3" xfId="11704" xr:uid="{117745DD-C582-496B-9D1E-46B70FE21667}"/>
    <cellStyle name="Normal 7 4 2 9 5 3 2" xfId="22084" xr:uid="{6A9EA27A-94F0-48FF-B287-40F1488F38AA}"/>
    <cellStyle name="Normal 7 4 2 9 5 4" xfId="27760" xr:uid="{2936B5FE-D440-4912-B0A0-9AB4800926E0}"/>
    <cellStyle name="Normal 7 4 2 9 5 5" xfId="16418" xr:uid="{07618204-4FC9-4EDF-BD54-DADBDD2AB6B1}"/>
    <cellStyle name="Normal 7 4 2 9 6" xfId="5442" xr:uid="{4C217F3C-EC4B-448B-A6F0-DF227F715B36}"/>
    <cellStyle name="Normal 7 4 2 9 6 2" xfId="14739" xr:uid="{92D1C401-A612-4185-9E34-B9FD7B5A1E0C}"/>
    <cellStyle name="Normal 7 4 2 9 7" xfId="7192" xr:uid="{10B00204-3DB2-47A6-950C-F9215B517CCC}"/>
    <cellStyle name="Normal 7 4 2 9 7 2" xfId="17572" xr:uid="{674329F4-AE34-4A67-BEF0-E293902B27BD}"/>
    <cellStyle name="Normal 7 4 2 9 8" xfId="10025" xr:uid="{99634E40-1A29-4CCD-AD4E-A2253FDB5D72}"/>
    <cellStyle name="Normal 7 4 2 9 8 2" xfId="20405" xr:uid="{244B2B4B-504F-45AA-A156-A6C6DAC7A6B6}"/>
    <cellStyle name="Normal 7 4 2 9 9" xfId="23434" xr:uid="{187FFA7C-3B7F-4477-A6E0-532B8B6D20FC}"/>
    <cellStyle name="Normal 7 4 20" xfId="23421" xr:uid="{560269DD-4FB6-443C-9D5A-BCA4A87C8567}"/>
    <cellStyle name="Normal 7 4 21" xfId="12392" xr:uid="{78020374-5E69-42E9-9C1C-CA25722A3109}"/>
    <cellStyle name="Normal 7 4 3" xfId="1425" xr:uid="{00000000-0005-0000-0000-000068070000}"/>
    <cellStyle name="Normal 7 4 3 10" xfId="5443" xr:uid="{C369CAD4-6E23-40D4-A836-672D1462F693}"/>
    <cellStyle name="Normal 7 4 3 10 2" xfId="14740" xr:uid="{7E55366E-75AD-4BA1-A727-D0583EBE90C3}"/>
    <cellStyle name="Normal 7 4 3 11" xfId="7193" xr:uid="{0B7C27FE-72A1-4F2E-882E-9EF1BC97106C}"/>
    <cellStyle name="Normal 7 4 3 11 2" xfId="17573" xr:uid="{4EEEDC54-1342-4B0A-B166-087A6D2AEEAD}"/>
    <cellStyle name="Normal 7 4 3 12" xfId="10026" xr:uid="{E732EAF0-F96F-48CF-9F7A-C0CBA9BC5432}"/>
    <cellStyle name="Normal 7 4 3 12 2" xfId="20406" xr:uid="{49E1E74F-71EF-4F1C-AD0E-90E359AF8CCB}"/>
    <cellStyle name="Normal 7 4 3 13" xfId="23484" xr:uid="{47A70420-A2A9-41DE-AA50-2BF0B5A3C8AD}"/>
    <cellStyle name="Normal 7 4 3 14" xfId="12411" xr:uid="{369AE292-FCDB-4819-B036-27F97726FB3B}"/>
    <cellStyle name="Normal 7 4 3 2" xfId="1426" xr:uid="{00000000-0005-0000-0000-000069070000}"/>
    <cellStyle name="Normal 7 4 3 2 10" xfId="7194" xr:uid="{2E0ABF26-5374-4290-A047-2C58A8227129}"/>
    <cellStyle name="Normal 7 4 3 2 10 2" xfId="17574" xr:uid="{396054ED-31D5-4B50-8579-D2DC193BBA01}"/>
    <cellStyle name="Normal 7 4 3 2 11" xfId="10027" xr:uid="{AB474B92-B5A4-4F31-86C9-46914798584A}"/>
    <cellStyle name="Normal 7 4 3 2 11 2" xfId="20407" xr:uid="{979AABA8-78AF-4E30-A6D0-985F1669E228}"/>
    <cellStyle name="Normal 7 4 3 2 12" xfId="22695" xr:uid="{A51C8BFF-F624-4974-B58B-B31555F393BD}"/>
    <cellStyle name="Normal 7 4 3 2 13" xfId="12471" xr:uid="{A89F8D3A-8214-40EA-ABAD-20CD723F2742}"/>
    <cellStyle name="Normal 7 4 3 2 2" xfId="1427" xr:uid="{00000000-0005-0000-0000-00006A070000}"/>
    <cellStyle name="Normal 7 4 3 2 2 10" xfId="10028" xr:uid="{9FD8A555-7A7B-47CE-8FEF-C456F4145EAB}"/>
    <cellStyle name="Normal 7 4 3 2 2 10 2" xfId="20408" xr:uid="{0029460B-CCCD-48EA-BB22-22239F4AAE76}"/>
    <cellStyle name="Normal 7 4 3 2 2 11" xfId="22907" xr:uid="{CB737441-0451-493A-B999-E5301B36F1C2}"/>
    <cellStyle name="Normal 7 4 3 2 2 12" xfId="12636" xr:uid="{DCD91032-04B0-4F09-8630-4478A35CD128}"/>
    <cellStyle name="Normal 7 4 3 2 2 2" xfId="2830" xr:uid="{00000000-0005-0000-0000-00006F080000}"/>
    <cellStyle name="Normal 7 4 3 2 2 2 2" xfId="3446" xr:uid="{00000000-0005-0000-0000-000070080000}"/>
    <cellStyle name="Normal 7 4 3 2 2 2 2 2" xfId="6501" xr:uid="{73A91FAC-8613-4027-A5BA-6AE933FD408E}"/>
    <cellStyle name="Normal 7 4 3 2 2 2 2 2 2" xfId="28313" xr:uid="{5FFBBE1D-255B-4763-A079-A6BEF753B5D3}"/>
    <cellStyle name="Normal 7 4 3 2 2 2 2 2 3" xfId="28248" xr:uid="{6DE3B26C-2185-455B-AF8E-B203BB4D126C}"/>
    <cellStyle name="Normal 7 4 3 2 2 2 2 2 4" xfId="16072" xr:uid="{F97FE7E3-C7AA-4795-A148-9D2A85B8CBA2}"/>
    <cellStyle name="Normal 7 4 3 2 2 2 2 3" xfId="8525" xr:uid="{BDA0CCFD-9723-4FEC-803F-F710041E190E}"/>
    <cellStyle name="Normal 7 4 3 2 2 2 2 3 2" xfId="28939" xr:uid="{EE6549BB-6E10-4DB0-BB3C-F04D23E78B70}"/>
    <cellStyle name="Normal 7 4 3 2 2 2 2 3 3" xfId="18905" xr:uid="{B9E0C6DC-AF27-408C-9952-F29578D91555}"/>
    <cellStyle name="Normal 7 4 3 2 2 2 2 4" xfId="11358" xr:uid="{DF6325A3-6120-4C43-8647-26D0489490F5}"/>
    <cellStyle name="Normal 7 4 3 2 2 2 2 4 2" xfId="21738" xr:uid="{8B137044-9094-44BE-840D-E4C6ED98F0D9}"/>
    <cellStyle name="Normal 7 4 3 2 2 2 2 5" xfId="23133" xr:uid="{D4DDEAEF-6C19-4D83-95A6-099272D66830}"/>
    <cellStyle name="Normal 7 4 3 2 2 2 2 6" xfId="14032" xr:uid="{535B6EB0-279D-4C7B-BE13-9884454E50BC}"/>
    <cellStyle name="Normal 7 4 3 2 2 2 3" xfId="4367" xr:uid="{77596B4F-F602-4722-A351-F785FD60A7E7}"/>
    <cellStyle name="Normal 7 4 3 2 2 2 3 2" xfId="9139" xr:uid="{C31CC852-97F2-4584-AE45-B2782F8C5E6E}"/>
    <cellStyle name="Normal 7 4 3 2 2 2 3 2 2" xfId="29182" xr:uid="{3F619BC3-5FA2-4B13-A833-32DA547B3E29}"/>
    <cellStyle name="Normal 7 4 3 2 2 2 3 2 3" xfId="19519" xr:uid="{FD1E87B0-BC72-47AF-B722-8D69342202EB}"/>
    <cellStyle name="Normal 7 4 3 2 2 2 3 3" xfId="11972" xr:uid="{C915D1DB-CF42-4E04-AB1B-D2FECA0D456D}"/>
    <cellStyle name="Normal 7 4 3 2 2 2 3 3 2" xfId="22352" xr:uid="{17772FA0-B8D8-4A5F-874D-62C8045E9355}"/>
    <cellStyle name="Normal 7 4 3 2 2 2 3 4" xfId="23317" xr:uid="{2E932ACB-2132-4D31-9BDD-0C7BB62784E7}"/>
    <cellStyle name="Normal 7 4 3 2 2 2 3 5" xfId="16686" xr:uid="{F938DDC9-6772-4E20-AC96-34B02072E7DD}"/>
    <cellStyle name="Normal 7 4 3 2 2 2 4" xfId="6046" xr:uid="{A2E7AD9E-4C3A-4EF6-8D2C-2EE0BABDB26E}"/>
    <cellStyle name="Normal 7 4 3 2 2 2 4 2" xfId="28517" xr:uid="{D9EE22C2-9722-4779-ABFC-5C853846D868}"/>
    <cellStyle name="Normal 7 4 3 2 2 2 4 3" xfId="15500" xr:uid="{0787DD3D-75F4-4B77-B226-57B449D82234}"/>
    <cellStyle name="Normal 7 4 3 2 2 2 5" xfId="7953" xr:uid="{5441EE2B-D936-489D-9EBE-9784A22F64F1}"/>
    <cellStyle name="Normal 7 4 3 2 2 2 5 2" xfId="18333" xr:uid="{1CEDD6E3-F816-47AA-9346-714025A00908}"/>
    <cellStyle name="Normal 7 4 3 2 2 2 6" xfId="10786" xr:uid="{59C2E9FD-C4D8-4357-9071-9887B6DEE46F}"/>
    <cellStyle name="Normal 7 4 3 2 2 2 6 2" xfId="21166" xr:uid="{39D776FF-EE52-4020-A835-6AE2523CED41}"/>
    <cellStyle name="Normal 7 4 3 2 2 2 7" xfId="24040" xr:uid="{49765F66-5107-44ED-A16D-3EC0454B4BFA}"/>
    <cellStyle name="Normal 7 4 3 2 2 2 8" xfId="13306" xr:uid="{5CCD7CD2-BA35-4202-81D4-C8C157A4EDE8}"/>
    <cellStyle name="Normal 7 4 3 2 2 3" xfId="3447" xr:uid="{00000000-0005-0000-0000-000071080000}"/>
    <cellStyle name="Normal 7 4 3 2 2 3 2" xfId="4583" xr:uid="{448BA9DD-CA71-4DD4-9A4A-98AC19CD0CE6}"/>
    <cellStyle name="Normal 7 4 3 2 2 3 2 2" xfId="9355" xr:uid="{E92207E9-8361-42B0-B86D-18828B8D9E09}"/>
    <cellStyle name="Normal 7 4 3 2 2 3 2 2 2" xfId="29327" xr:uid="{BEA8D4E0-A165-4EF0-B274-C351B0992894}"/>
    <cellStyle name="Normal 7 4 3 2 2 3 2 2 3" xfId="19735" xr:uid="{B5F2B030-D025-46A3-9DE3-E1053033F439}"/>
    <cellStyle name="Normal 7 4 3 2 2 3 2 3" xfId="12188" xr:uid="{F0DF7214-F1EA-4BE6-A67F-DAD43EA13FAE}"/>
    <cellStyle name="Normal 7 4 3 2 2 3 2 3 2" xfId="22568" xr:uid="{DB403025-7911-486A-A3FD-C254DE64CB5E}"/>
    <cellStyle name="Normal 7 4 3 2 2 3 2 4" xfId="27276" xr:uid="{4346FAE6-88C2-4B14-B648-0908CF5F5982}"/>
    <cellStyle name="Normal 7 4 3 2 2 3 2 5" xfId="16902" xr:uid="{ADFAEA55-BD5A-4623-8389-DFAB4EBE6B30}"/>
    <cellStyle name="Normal 7 4 3 2 2 3 3" xfId="6502" xr:uid="{520C026B-62FA-45B6-95E0-484FCC53083F}"/>
    <cellStyle name="Normal 7 4 3 2 2 3 3 2" xfId="28608" xr:uid="{C897C46F-99A8-4007-90ED-9A99E7AF6F58}"/>
    <cellStyle name="Normal 7 4 3 2 2 3 3 3" xfId="16073" xr:uid="{F5CABBCC-D517-4B6D-A06E-D8F75282FBCE}"/>
    <cellStyle name="Normal 7 4 3 2 2 3 4" xfId="8526" xr:uid="{3729610D-88BC-4173-9FCE-F431092F9000}"/>
    <cellStyle name="Normal 7 4 3 2 2 3 4 2" xfId="18906" xr:uid="{E6D5C908-F513-4FFF-94A8-9C385E02D92B}"/>
    <cellStyle name="Normal 7 4 3 2 2 3 5" xfId="11359" xr:uid="{C8B369C4-6E3E-4043-A7A3-2DBBE5A5EEE4}"/>
    <cellStyle name="Normal 7 4 3 2 2 3 5 2" xfId="21739" xr:uid="{2A4305E4-BB5C-496F-BC5B-49AD81EAD71D}"/>
    <cellStyle name="Normal 7 4 3 2 2 3 6" xfId="24457" xr:uid="{004AE425-5CEF-4BF9-B966-9DA729332B64}"/>
    <cellStyle name="Normal 7 4 3 2 2 3 7" xfId="14033" xr:uid="{90D6CE88-CD3F-49B3-9CCA-153BB73EB1F4}"/>
    <cellStyle name="Normal 7 4 3 2 2 4" xfId="3445" xr:uid="{00000000-0005-0000-0000-000072080000}"/>
    <cellStyle name="Normal 7 4 3 2 2 4 2" xfId="6500" xr:uid="{EB1A46E9-0FE2-4CAA-9295-95259B6574B9}"/>
    <cellStyle name="Normal 7 4 3 2 2 4 2 2" xfId="25967" xr:uid="{5E021479-D919-4B53-A37F-E3021A4A4C58}"/>
    <cellStyle name="Normal 7 4 3 2 2 4 2 3" xfId="16071" xr:uid="{BE7FB648-4CC2-40F0-96AE-D8F325984D9F}"/>
    <cellStyle name="Normal 7 4 3 2 2 4 3" xfId="8524" xr:uid="{777CCF37-BB25-4772-A0DC-981B9D2E7A87}"/>
    <cellStyle name="Normal 7 4 3 2 2 4 3 2" xfId="18904" xr:uid="{AE8E2B10-346F-47B4-9B2E-77F81B9526C2}"/>
    <cellStyle name="Normal 7 4 3 2 2 4 4" xfId="11357" xr:uid="{BBC2A0CE-EF62-486A-9D34-6338A93DC58C}"/>
    <cellStyle name="Normal 7 4 3 2 2 4 4 2" xfId="21737" xr:uid="{041F560B-48AB-42D2-A448-E298E35B1CC5}"/>
    <cellStyle name="Normal 7 4 3 2 2 4 5" xfId="23913" xr:uid="{C5DAC3F0-87A3-448C-B2FA-D1124791F83A}"/>
    <cellStyle name="Normal 7 4 3 2 2 4 6" xfId="14031" xr:uid="{76E94513-B395-4A5B-9A19-E0C9AF0486B0}"/>
    <cellStyle name="Normal 7 4 3 2 2 5" xfId="2647" xr:uid="{00000000-0005-0000-0000-000073080000}"/>
    <cellStyle name="Normal 7 4 3 2 2 5 2" xfId="5909" xr:uid="{991E32FB-FFEC-4EA7-9CFA-9C42ED05704F}"/>
    <cellStyle name="Normal 7 4 3 2 2 5 2 2" xfId="27455" xr:uid="{A709F353-F263-4736-9BD8-43DE5C3A1F1E}"/>
    <cellStyle name="Normal 7 4 3 2 2 5 2 3" xfId="15319" xr:uid="{EC252FE6-7278-4F83-A335-0B4F2B31C299}"/>
    <cellStyle name="Normal 7 4 3 2 2 5 3" xfId="7772" xr:uid="{BF3A39B9-A372-4F64-BA03-7A2CB5013155}"/>
    <cellStyle name="Normal 7 4 3 2 2 5 3 2" xfId="18152" xr:uid="{F7951E38-6DB3-42DD-A715-E051A96463DF}"/>
    <cellStyle name="Normal 7 4 3 2 2 5 4" xfId="10605" xr:uid="{A6C5F2DA-65F0-4837-AC0B-F544FBC34583}"/>
    <cellStyle name="Normal 7 4 3 2 2 5 4 2" xfId="20985" xr:uid="{CC5D2271-DC00-4E5E-AFDE-354FCBEB032E}"/>
    <cellStyle name="Normal 7 4 3 2 2 5 5" xfId="23860" xr:uid="{683ABF96-C534-42EC-96FE-087BCB2CEFFA}"/>
    <cellStyle name="Normal 7 4 3 2 2 5 6" xfId="13036" xr:uid="{555E0BEF-EA73-478D-97B4-3F259BFE293E}"/>
    <cellStyle name="Normal 7 4 3 2 2 6" xfId="2402" xr:uid="{00000000-0005-0000-0000-00006E080000}"/>
    <cellStyle name="Normal 7 4 3 2 2 6 2" xfId="7529" xr:uid="{B7D2C21E-E0D9-45E7-A65D-035B94FE8B2B}"/>
    <cellStyle name="Normal 7 4 3 2 2 6 2 2" xfId="17909" xr:uid="{FB97DE76-37F7-4312-9792-DADF345222B9}"/>
    <cellStyle name="Normal 7 4 3 2 2 6 3" xfId="10362" xr:uid="{84F3CEE3-971D-41E2-8788-31836FAA8B11}"/>
    <cellStyle name="Normal 7 4 3 2 2 6 3 2" xfId="20742" xr:uid="{11C0C840-C431-469C-B2DA-4DEF3F50D488}"/>
    <cellStyle name="Normal 7 4 3 2 2 6 4" xfId="25588" xr:uid="{283B6E97-968B-4F13-B48B-E1C3A2BE1C14}"/>
    <cellStyle name="Normal 7 4 3 2 2 6 5" xfId="15076" xr:uid="{442A0DA2-0514-4A45-ABB2-8E3FEBB68A4E}"/>
    <cellStyle name="Normal 7 4 3 2 2 7" xfId="4102" xr:uid="{5EFD4A15-4447-498E-A1F4-436CC18FD198}"/>
    <cellStyle name="Normal 7 4 3 2 2 7 2" xfId="8876" xr:uid="{E1E5E935-8613-425E-99C8-C13E6C6CE237}"/>
    <cellStyle name="Normal 7 4 3 2 2 7 2 2" xfId="19256" xr:uid="{D46AA6BF-B9D2-47B2-A934-C6205DF9E734}"/>
    <cellStyle name="Normal 7 4 3 2 2 7 3" xfId="11709" xr:uid="{3D93CCC8-260A-4414-BFCB-792F1491E5BD}"/>
    <cellStyle name="Normal 7 4 3 2 2 7 3 2" xfId="22089" xr:uid="{D6E8D4B0-0118-4AB7-BF38-587E40144071}"/>
    <cellStyle name="Normal 7 4 3 2 2 7 4" xfId="16423" xr:uid="{88D7E175-8BEC-464D-A5E9-B3DC7325B47A}"/>
    <cellStyle name="Normal 7 4 3 2 2 8" xfId="5445" xr:uid="{8E7E55A8-31B2-436C-9C83-C7D65E223C4C}"/>
    <cellStyle name="Normal 7 4 3 2 2 8 2" xfId="14742" xr:uid="{22FFCC05-27A4-40D7-AAAF-85620A809732}"/>
    <cellStyle name="Normal 7 4 3 2 2 9" xfId="7195" xr:uid="{004D57DF-3249-4E47-812A-2F3A521EE2C6}"/>
    <cellStyle name="Normal 7 4 3 2 2 9 2" xfId="17575" xr:uid="{B5B7B915-20E5-49CE-8BAD-437A52656451}"/>
    <cellStyle name="Normal 7 4 3 2 3" xfId="1428" xr:uid="{00000000-0005-0000-0000-00006B070000}"/>
    <cellStyle name="Normal 7 4 3 2 3 2" xfId="3448" xr:uid="{00000000-0005-0000-0000-000075080000}"/>
    <cellStyle name="Normal 7 4 3 2 3 2 2" xfId="6503" xr:uid="{21205F71-0D82-48F6-A296-F4892DB16333}"/>
    <cellStyle name="Normal 7 4 3 2 3 2 2 2" xfId="25919" xr:uid="{789EB38F-23A3-4908-8B10-A46B8010D0CA}"/>
    <cellStyle name="Normal 7 4 3 2 3 2 2 3" xfId="28080" xr:uid="{40051244-9B90-4AFF-8D4B-96A99796BEE4}"/>
    <cellStyle name="Normal 7 4 3 2 3 2 2 4" xfId="16074" xr:uid="{6C408732-3AE7-4EC2-B8C5-858C2DD6BE0C}"/>
    <cellStyle name="Normal 7 4 3 2 3 2 3" xfId="8527" xr:uid="{E103CC02-1ACB-4465-9645-7C3FE3CD6878}"/>
    <cellStyle name="Normal 7 4 3 2 3 2 3 2" xfId="28940" xr:uid="{4EAD5B8C-9A20-4B2D-99FD-A03A229996F1}"/>
    <cellStyle name="Normal 7 4 3 2 3 2 3 3" xfId="18907" xr:uid="{0852BAA3-CB15-47A3-91F9-32C7A65D879E}"/>
    <cellStyle name="Normal 7 4 3 2 3 2 4" xfId="11360" xr:uid="{9032075C-26ED-4781-966B-B0368C910AAE}"/>
    <cellStyle name="Normal 7 4 3 2 3 2 4 2" xfId="21740" xr:uid="{73A39CD6-9DDB-4407-B97F-C94710083B05}"/>
    <cellStyle name="Normal 7 4 3 2 3 2 5" xfId="23558" xr:uid="{0F0FD7DD-4A65-4952-92C4-0057997402F0}"/>
    <cellStyle name="Normal 7 4 3 2 3 2 6" xfId="14034" xr:uid="{F2AC072C-4C48-4344-BDF4-A2048CA14A6B}"/>
    <cellStyle name="Normal 7 4 3 2 3 3" xfId="2829" xr:uid="{00000000-0005-0000-0000-000076080000}"/>
    <cellStyle name="Normal 7 4 3 2 3 3 2" xfId="6045" xr:uid="{2F40B74F-DC07-4D92-886F-813AC11669F3}"/>
    <cellStyle name="Normal 7 4 3 2 3 3 2 2" xfId="28723" xr:uid="{3AC6F74E-A50C-4E63-A16C-07ED6E60BD5C}"/>
    <cellStyle name="Normal 7 4 3 2 3 3 2 3" xfId="15499" xr:uid="{8CBA6569-B346-4A2B-B530-A80A3C59EBBB}"/>
    <cellStyle name="Normal 7 4 3 2 3 3 3" xfId="7952" xr:uid="{4E373BB4-504E-47EF-9E79-CAC8FA87135F}"/>
    <cellStyle name="Normal 7 4 3 2 3 3 3 2" xfId="18332" xr:uid="{EB791CD6-0471-4D99-96B7-AB76F0B3136A}"/>
    <cellStyle name="Normal 7 4 3 2 3 3 4" xfId="10785" xr:uid="{DD737E0D-9AF6-4E52-9381-ACB0A82C147E}"/>
    <cellStyle name="Normal 7 4 3 2 3 3 4 2" xfId="21165" xr:uid="{F5859D5F-3700-4692-A331-58F93B34411D}"/>
    <cellStyle name="Normal 7 4 3 2 3 3 5" xfId="24641" xr:uid="{FF35E9EC-13CF-4680-A665-3EE2893DAD72}"/>
    <cellStyle name="Normal 7 4 3 2 3 3 6" xfId="13305" xr:uid="{3CE12D0D-599C-4B99-940A-93B1F0266566}"/>
    <cellStyle name="Normal 7 4 3 2 3 4" xfId="4220" xr:uid="{6E3BC1E7-F8BD-43C1-B91A-816D12426DEE}"/>
    <cellStyle name="Normal 7 4 3 2 3 4 2" xfId="8992" xr:uid="{0A692B99-1804-4513-9F06-643635BB0790}"/>
    <cellStyle name="Normal 7 4 3 2 3 4 2 2" xfId="29071" xr:uid="{DA9D2592-47FB-4F1D-BFA6-EBB81FB188E0}"/>
    <cellStyle name="Normal 7 4 3 2 3 4 2 3" xfId="19372" xr:uid="{038B2056-D737-4FB1-A6D2-4BC63B056001}"/>
    <cellStyle name="Normal 7 4 3 2 3 4 3" xfId="11825" xr:uid="{78535C63-AB7A-44EF-A101-95F98832CCA5}"/>
    <cellStyle name="Normal 7 4 3 2 3 4 3 2" xfId="22205" xr:uid="{6D16DAF9-4B44-4D47-BF69-2D8280A83371}"/>
    <cellStyle name="Normal 7 4 3 2 3 4 4" xfId="22693" xr:uid="{B973C05B-9CC2-478B-A2C5-62E833C796DA}"/>
    <cellStyle name="Normal 7 4 3 2 3 4 5" xfId="16539" xr:uid="{C4633A96-5B7D-47DC-85FA-81F02C2A433B}"/>
    <cellStyle name="Normal 7 4 3 2 3 5" xfId="5446" xr:uid="{3A6AD47D-EAD5-4F97-A979-749B398589A4}"/>
    <cellStyle name="Normal 7 4 3 2 3 5 2" xfId="25913" xr:uid="{C5D29D23-FE1C-4BFF-89C5-69310B0DCE9C}"/>
    <cellStyle name="Normal 7 4 3 2 3 5 3" xfId="14743" xr:uid="{BD3256AC-3DE1-47C1-935A-7AF5EA9C1D44}"/>
    <cellStyle name="Normal 7 4 3 2 3 6" xfId="7196" xr:uid="{47654914-8CFE-4023-AB97-B19E9F93A688}"/>
    <cellStyle name="Normal 7 4 3 2 3 6 2" xfId="17576" xr:uid="{631FE5E1-3465-4C7A-9FCD-6AC02CF6B120}"/>
    <cellStyle name="Normal 7 4 3 2 3 7" xfId="10029" xr:uid="{9112CE37-E33E-4B59-A80E-4B8E74D3D28E}"/>
    <cellStyle name="Normal 7 4 3 2 3 7 2" xfId="20409" xr:uid="{A9ED16B8-F03F-4E24-90D7-02012BB168AC}"/>
    <cellStyle name="Normal 7 4 3 2 3 8" xfId="23823" xr:uid="{D81D44BF-8E0A-479B-B128-DD40BB514314}"/>
    <cellStyle name="Normal 7 4 3 2 3 9" xfId="12794" xr:uid="{D3B2A001-D1BB-464D-85C9-47EEBAE40815}"/>
    <cellStyle name="Normal 7 4 3 2 4" xfId="3449" xr:uid="{00000000-0005-0000-0000-000077080000}"/>
    <cellStyle name="Normal 7 4 3 2 4 2" xfId="4584" xr:uid="{BE69B502-CFA4-4673-B0CA-466D6376D99E}"/>
    <cellStyle name="Normal 7 4 3 2 4 2 2" xfId="9356" xr:uid="{B6849C53-F490-4032-AEC4-3A084CC61281}"/>
    <cellStyle name="Normal 7 4 3 2 4 2 2 2" xfId="29328" xr:uid="{49EFC940-64F5-4477-9D86-DB69A7F4CFA3}"/>
    <cellStyle name="Normal 7 4 3 2 4 2 2 3" xfId="19736" xr:uid="{32AE62BA-70DE-498C-A44C-59826C128A7C}"/>
    <cellStyle name="Normal 7 4 3 2 4 2 3" xfId="12189" xr:uid="{159A9BA1-2929-4A12-92CB-676A1CFADB15}"/>
    <cellStyle name="Normal 7 4 3 2 4 2 3 2" xfId="22569" xr:uid="{292322E4-F4B3-4726-A139-7E0F817029FB}"/>
    <cellStyle name="Normal 7 4 3 2 4 2 4" xfId="23495" xr:uid="{E04771C6-694C-4C78-9686-66A2E4A88F17}"/>
    <cellStyle name="Normal 7 4 3 2 4 2 5" xfId="16903" xr:uid="{941EFF89-C574-4C61-88AF-87557EA019BF}"/>
    <cellStyle name="Normal 7 4 3 2 4 3" xfId="6504" xr:uid="{FE9CE113-79F2-4B5C-BA67-98F3380ED68B}"/>
    <cellStyle name="Normal 7 4 3 2 4 3 2" xfId="26656" xr:uid="{D6492BDD-063D-43CD-B114-9F3447EF7DF7}"/>
    <cellStyle name="Normal 7 4 3 2 4 3 3" xfId="16075" xr:uid="{D28ACD28-03F2-41DF-91DC-E18B1FFD3BD2}"/>
    <cellStyle name="Normal 7 4 3 2 4 4" xfId="8528" xr:uid="{E3E207EE-AB51-45CE-AC81-46110AE208CC}"/>
    <cellStyle name="Normal 7 4 3 2 4 4 2" xfId="18908" xr:uid="{3022FECD-1E22-4532-8251-13E8C2CA2EF1}"/>
    <cellStyle name="Normal 7 4 3 2 4 5" xfId="11361" xr:uid="{06032698-B473-4D99-B7A2-A384DF1D6120}"/>
    <cellStyle name="Normal 7 4 3 2 4 5 2" xfId="21741" xr:uid="{2DEF58B8-F434-4326-833C-2C6D8957AC90}"/>
    <cellStyle name="Normal 7 4 3 2 4 6" xfId="23941" xr:uid="{583D7F32-4C0C-48B8-B0D6-39460D9575C2}"/>
    <cellStyle name="Normal 7 4 3 2 4 7" xfId="14035" xr:uid="{60928655-B0A7-4FF0-B832-B5642E0859B1}"/>
    <cellStyle name="Normal 7 4 3 2 5" xfId="2993" xr:uid="{00000000-0005-0000-0000-000078080000}"/>
    <cellStyle name="Normal 7 4 3 2 5 2" xfId="6143" xr:uid="{578F7411-E3DC-4F14-81AC-C358F6B04072}"/>
    <cellStyle name="Normal 7 4 3 2 5 2 2" xfId="26933" xr:uid="{FBD999AA-530E-4AA4-BD85-D9722360CD28}"/>
    <cellStyle name="Normal 7 4 3 2 5 2 3" xfId="27870" xr:uid="{B257E8BD-D4E7-4059-8C1B-A9B76FE6BFEC}"/>
    <cellStyle name="Normal 7 4 3 2 5 2 4" xfId="15621" xr:uid="{CFEBD5F4-751F-4372-A347-0DA6494FD338}"/>
    <cellStyle name="Normal 7 4 3 2 5 3" xfId="8074" xr:uid="{538275EF-640F-432E-9825-FF19D2D51182}"/>
    <cellStyle name="Normal 7 4 3 2 5 3 2" xfId="28769" xr:uid="{C681F8E4-BF3D-4C72-BD42-733E0A0057F2}"/>
    <cellStyle name="Normal 7 4 3 2 5 3 3" xfId="18454" xr:uid="{F43F2424-0270-42EC-B3BD-C36BAC8BA10C}"/>
    <cellStyle name="Normal 7 4 3 2 5 4" xfId="10907" xr:uid="{35B6B5F3-DC7D-4D12-825A-3586A22CBAF9}"/>
    <cellStyle name="Normal 7 4 3 2 5 4 2" xfId="21287" xr:uid="{5169B47F-28E6-40F9-AA14-89B747D7E99D}"/>
    <cellStyle name="Normal 7 4 3 2 5 5" xfId="24997" xr:uid="{B73C22F6-2F7D-46AC-865D-26CB506AA2E2}"/>
    <cellStyle name="Normal 7 4 3 2 5 6" xfId="13492" xr:uid="{318B7E50-E7A8-4B7B-878B-4E42339EB4EA}"/>
    <cellStyle name="Normal 7 4 3 2 6" xfId="2545" xr:uid="{00000000-0005-0000-0000-000079080000}"/>
    <cellStyle name="Normal 7 4 3 2 6 2" xfId="5817" xr:uid="{56974547-57DB-43F4-ADFE-38DD14043912}"/>
    <cellStyle name="Normal 7 4 3 2 6 2 2" xfId="26665" xr:uid="{00B38EBC-9ECA-43A2-9A83-6AA81309DC05}"/>
    <cellStyle name="Normal 7 4 3 2 6 2 3" xfId="15217" xr:uid="{32481FC7-B74B-4984-A4FF-43335934C822}"/>
    <cellStyle name="Normal 7 4 3 2 6 3" xfId="7670" xr:uid="{35F1688F-0AB5-49FC-AE97-A0D52627FA0B}"/>
    <cellStyle name="Normal 7 4 3 2 6 3 2" xfId="18050" xr:uid="{ED46ED4D-BA3A-4FBE-8BBC-5F0DD9015BE0}"/>
    <cellStyle name="Normal 7 4 3 2 6 4" xfId="10503" xr:uid="{D5929A23-9E1C-4E58-A651-98B5DB851C0A}"/>
    <cellStyle name="Normal 7 4 3 2 6 4 2" xfId="20883" xr:uid="{02F5C775-2FC8-410B-8ABB-F0311A026A2D}"/>
    <cellStyle name="Normal 7 4 3 2 6 5" xfId="23680" xr:uid="{E5C72DE6-A4B7-4B4A-9F09-5E0E03FCE46C}"/>
    <cellStyle name="Normal 7 4 3 2 6 6" xfId="12933" xr:uid="{A1D994E2-F66D-4C4C-A4DF-BC2FEA1C8FFF}"/>
    <cellStyle name="Normal 7 4 3 2 7" xfId="2239" xr:uid="{00000000-0005-0000-0000-00006D080000}"/>
    <cellStyle name="Normal 7 4 3 2 7 2" xfId="7366" xr:uid="{54C6D058-527F-4302-B06F-EF8FAFA9A236}"/>
    <cellStyle name="Normal 7 4 3 2 7 2 2" xfId="17746" xr:uid="{D19D41E0-7A7D-40B2-9C1D-59DDB17FC557}"/>
    <cellStyle name="Normal 7 4 3 2 7 3" xfId="10199" xr:uid="{A2100957-86A7-40A9-A08A-021D8F1E89DF}"/>
    <cellStyle name="Normal 7 4 3 2 7 3 2" xfId="20579" xr:uid="{A2280B11-CD6D-4527-AFE0-8A056FB63D09}"/>
    <cellStyle name="Normal 7 4 3 2 7 4" xfId="25300" xr:uid="{0603B06E-A1F5-4D58-8A1B-000246F50293}"/>
    <cellStyle name="Normal 7 4 3 2 7 5" xfId="14913" xr:uid="{40C4DFAD-8EB2-498D-A09C-408A62E4D8B9}"/>
    <cellStyle name="Normal 7 4 3 2 8" xfId="4070" xr:uid="{1788756D-2364-4287-B913-92CA22C8B232}"/>
    <cellStyle name="Normal 7 4 3 2 8 2" xfId="8850" xr:uid="{F636902B-44CD-452E-A097-BD6C9B82C6F6}"/>
    <cellStyle name="Normal 7 4 3 2 8 2 2" xfId="19230" xr:uid="{6F87E975-C485-4A61-BE1A-5F05CB89F4EE}"/>
    <cellStyle name="Normal 7 4 3 2 8 3" xfId="11683" xr:uid="{8FFFB54E-DC3D-4100-9DB7-3C91F2B513D6}"/>
    <cellStyle name="Normal 7 4 3 2 8 3 2" xfId="22063" xr:uid="{16F6A337-3841-45CC-B34C-4B770E5AADE0}"/>
    <cellStyle name="Normal 7 4 3 2 8 4" xfId="16397" xr:uid="{96617CEB-2E3E-4F5C-BCE9-EEF55DA318E9}"/>
    <cellStyle name="Normal 7 4 3 2 9" xfId="5444" xr:uid="{3E4D21E4-15FB-474A-9291-70A16EB38D4A}"/>
    <cellStyle name="Normal 7 4 3 2 9 2" xfId="14741" xr:uid="{BA42F566-5410-4CAC-812B-1D5B44999462}"/>
    <cellStyle name="Normal 7 4 3 3" xfId="1429" xr:uid="{00000000-0005-0000-0000-00006C070000}"/>
    <cellStyle name="Normal 7 4 3 3 10" xfId="10030" xr:uid="{6667FA85-31D9-4427-9837-D0170AFC350D}"/>
    <cellStyle name="Normal 7 4 3 3 10 2" xfId="20410" xr:uid="{089B2346-AECA-44F6-9A15-0847870DF850}"/>
    <cellStyle name="Normal 7 4 3 3 11" xfId="22764" xr:uid="{B86F18A5-73F3-4000-ACBC-207F0FA23A4A}"/>
    <cellStyle name="Normal 7 4 3 3 12" xfId="12635" xr:uid="{7A85351B-D760-457A-A31A-24CD8DE5DBDA}"/>
    <cellStyle name="Normal 7 4 3 3 2" xfId="2831" xr:uid="{00000000-0005-0000-0000-00007B080000}"/>
    <cellStyle name="Normal 7 4 3 3 2 2" xfId="3451" xr:uid="{00000000-0005-0000-0000-00007C080000}"/>
    <cellStyle name="Normal 7 4 3 3 2 2 2" xfId="6506" xr:uid="{48B5E98D-E20A-446E-8CE6-CB1B22942103}"/>
    <cellStyle name="Normal 7 4 3 3 2 2 2 2" xfId="26050" xr:uid="{E78C11AD-0DCB-4CFD-AC95-376CACF35712}"/>
    <cellStyle name="Normal 7 4 3 3 2 2 2 3" xfId="28499" xr:uid="{D6EB5508-2B1F-409F-BF0E-5F62BF76C654}"/>
    <cellStyle name="Normal 7 4 3 3 2 2 2 4" xfId="16077" xr:uid="{262CD2BB-F139-47AC-90B7-CAB4073CD94D}"/>
    <cellStyle name="Normal 7 4 3 3 2 2 3" xfId="8530" xr:uid="{E30491D7-3CEA-4373-B543-9CB1B7626C17}"/>
    <cellStyle name="Normal 7 4 3 3 2 2 3 2" xfId="28941" xr:uid="{1D3C20E2-F2B4-4F2C-B041-D12DDFCD41DD}"/>
    <cellStyle name="Normal 7 4 3 3 2 2 3 3" xfId="18910" xr:uid="{B6EE3C50-3755-4F44-BF67-E82A5DFA14B4}"/>
    <cellStyle name="Normal 7 4 3 3 2 2 4" xfId="11363" xr:uid="{7DC0C649-CFCA-438C-96B8-974CDE4E2BAD}"/>
    <cellStyle name="Normal 7 4 3 3 2 2 4 2" xfId="21743" xr:uid="{312F8E66-125B-4C94-9E3C-927D9C54082E}"/>
    <cellStyle name="Normal 7 4 3 3 2 2 5" xfId="24577" xr:uid="{CF31D9AE-9CF8-4A4E-A71E-355ABC001280}"/>
    <cellStyle name="Normal 7 4 3 3 2 2 6" xfId="14037" xr:uid="{96ED7D6B-5A4B-4533-A5EC-81BAC427DE5C}"/>
    <cellStyle name="Normal 7 4 3 3 2 3" xfId="4368" xr:uid="{1164E2F6-BE54-4C9A-9367-B13ECC269973}"/>
    <cellStyle name="Normal 7 4 3 3 2 3 2" xfId="9140" xr:uid="{CE24510D-F338-49D8-B45A-D82D59DDA679}"/>
    <cellStyle name="Normal 7 4 3 3 2 3 2 2" xfId="29183" xr:uid="{15A0BC14-9723-4844-997D-7F608D6D3BE4}"/>
    <cellStyle name="Normal 7 4 3 3 2 3 2 3" xfId="19520" xr:uid="{279C4189-A4D0-4F42-B42F-D442B7F2B84D}"/>
    <cellStyle name="Normal 7 4 3 3 2 3 3" xfId="11973" xr:uid="{BEC1F4D3-518A-4F33-BA3F-4CF935058B4B}"/>
    <cellStyle name="Normal 7 4 3 3 2 3 3 2" xfId="22353" xr:uid="{F89F05BD-F693-4E0A-A692-51703F75E7DD}"/>
    <cellStyle name="Normal 7 4 3 3 2 3 4" xfId="22855" xr:uid="{1326B803-3310-46CE-A6FB-42D3ED54462C}"/>
    <cellStyle name="Normal 7 4 3 3 2 3 5" xfId="16687" xr:uid="{5014DB47-F0F0-40C8-B66B-0941FA40DF3B}"/>
    <cellStyle name="Normal 7 4 3 3 2 4" xfId="6047" xr:uid="{7BB6B4AF-EA51-459C-86B6-BABFCD88A947}"/>
    <cellStyle name="Normal 7 4 3 3 2 4 2" xfId="28067" xr:uid="{17D66357-EF32-4F8C-84B6-32FE3BE82A93}"/>
    <cellStyle name="Normal 7 4 3 3 2 4 3" xfId="15501" xr:uid="{9DD7B4D8-A34D-4CAB-91BE-38C25D3B1407}"/>
    <cellStyle name="Normal 7 4 3 3 2 5" xfId="7954" xr:uid="{A98EE685-BE0A-47CF-B38D-E67C444EBDC5}"/>
    <cellStyle name="Normal 7 4 3 3 2 5 2" xfId="18334" xr:uid="{7313D125-3020-4C73-A463-409099B17A9F}"/>
    <cellStyle name="Normal 7 4 3 3 2 6" xfId="10787" xr:uid="{C0957656-6A55-4DCB-918D-D196EA4F5E7F}"/>
    <cellStyle name="Normal 7 4 3 3 2 6 2" xfId="21167" xr:uid="{2A2FB51E-E0AF-4311-AF82-31FEE760DB29}"/>
    <cellStyle name="Normal 7 4 3 3 2 7" xfId="25204" xr:uid="{F41EA67F-7807-4F32-B7E0-7363D90FCC61}"/>
    <cellStyle name="Normal 7 4 3 3 2 8" xfId="13307" xr:uid="{607FBB25-0D28-4F52-AD1B-83BEBCB24050}"/>
    <cellStyle name="Normal 7 4 3 3 3" xfId="3452" xr:uid="{00000000-0005-0000-0000-00007D080000}"/>
    <cellStyle name="Normal 7 4 3 3 3 2" xfId="4585" xr:uid="{F18E3703-1BDE-480F-BE5E-1F730306F51A}"/>
    <cellStyle name="Normal 7 4 3 3 3 2 2" xfId="9357" xr:uid="{B0677BE6-9079-4D98-A8F1-8D97277FF505}"/>
    <cellStyle name="Normal 7 4 3 3 3 2 2 2" xfId="29329" xr:uid="{24071852-15EF-40E2-9F82-D651F337EB84}"/>
    <cellStyle name="Normal 7 4 3 3 3 2 2 3" xfId="19737" xr:uid="{12701740-B917-40F3-B4F7-9F90747D2844}"/>
    <cellStyle name="Normal 7 4 3 3 3 2 3" xfId="12190" xr:uid="{BB004EC3-B997-40D7-B22F-908ADF68194E}"/>
    <cellStyle name="Normal 7 4 3 3 3 2 3 2" xfId="22570" xr:uid="{C3534578-EB7C-4F64-8B94-4616D70F02AC}"/>
    <cellStyle name="Normal 7 4 3 3 3 2 4" xfId="25454" xr:uid="{22DA6432-24DF-4E3B-B59B-B9C6A0520FC1}"/>
    <cellStyle name="Normal 7 4 3 3 3 2 5" xfId="16904" xr:uid="{FCDC8A1C-E1FD-4A4B-9C72-13153C0BB55A}"/>
    <cellStyle name="Normal 7 4 3 3 3 3" xfId="6507" xr:uid="{654F5FB6-7196-47D6-8AAF-6C493651A246}"/>
    <cellStyle name="Normal 7 4 3 3 3 3 2" xfId="27474" xr:uid="{69965E02-6437-4F03-804C-9A661E470984}"/>
    <cellStyle name="Normal 7 4 3 3 3 3 3" xfId="16078" xr:uid="{55A8CC60-1E47-4A51-A6B4-F2F325865EC8}"/>
    <cellStyle name="Normal 7 4 3 3 3 4" xfId="8531" xr:uid="{5A83B3DB-B880-4A3B-AE55-6BB6EDA7B46B}"/>
    <cellStyle name="Normal 7 4 3 3 3 4 2" xfId="18911" xr:uid="{26FDF01F-42BD-4B10-8796-FE241310EE7C}"/>
    <cellStyle name="Normal 7 4 3 3 3 5" xfId="11364" xr:uid="{06C307B1-50D8-42DF-AA97-0D940E415962}"/>
    <cellStyle name="Normal 7 4 3 3 3 5 2" xfId="21744" xr:uid="{2B6081B6-FE53-4D57-BA48-CE0983A23D21}"/>
    <cellStyle name="Normal 7 4 3 3 3 6" xfId="25238" xr:uid="{C1208326-4645-4857-A234-EB126694D89D}"/>
    <cellStyle name="Normal 7 4 3 3 3 7" xfId="14038" xr:uid="{6150ABE2-3190-4D8E-9C58-717516F2FC4D}"/>
    <cellStyle name="Normal 7 4 3 3 4" xfId="3450" xr:uid="{00000000-0005-0000-0000-00007E080000}"/>
    <cellStyle name="Normal 7 4 3 3 4 2" xfId="6505" xr:uid="{AB9CC0A2-EA6E-4ECE-8E8F-6953D22BD62A}"/>
    <cellStyle name="Normal 7 4 3 3 4 2 2" xfId="26686" xr:uid="{EF441DC9-0BA0-4DAF-859C-EAED2F3FA7E7}"/>
    <cellStyle name="Normal 7 4 3 3 4 2 3" xfId="16076" xr:uid="{CF51B8B6-35B7-465A-A95E-21074B0F731E}"/>
    <cellStyle name="Normal 7 4 3 3 4 3" xfId="8529" xr:uid="{6E3458D8-3B9B-4F11-8724-43C5E55F88DF}"/>
    <cellStyle name="Normal 7 4 3 3 4 3 2" xfId="18909" xr:uid="{AFA529B8-41D2-4DBF-A25E-50AE2612621F}"/>
    <cellStyle name="Normal 7 4 3 3 4 4" xfId="11362" xr:uid="{25DDDA3A-69A0-4D9A-BEB2-4E48E9D4813E}"/>
    <cellStyle name="Normal 7 4 3 3 4 4 2" xfId="21742" xr:uid="{561A8E3B-8179-4F40-85BC-CDBEA35B6370}"/>
    <cellStyle name="Normal 7 4 3 3 4 5" xfId="24927" xr:uid="{DF90C266-0B60-4C07-BD54-1B0EEFE5325C}"/>
    <cellStyle name="Normal 7 4 3 3 4 6" xfId="14036" xr:uid="{DFE5541A-9458-4317-A8E5-1691D21861B9}"/>
    <cellStyle name="Normal 7 4 3 3 5" xfId="2588" xr:uid="{00000000-0005-0000-0000-00007F080000}"/>
    <cellStyle name="Normal 7 4 3 3 5 2" xfId="5853" xr:uid="{111C5C2C-A182-4704-A487-D3944057A596}"/>
    <cellStyle name="Normal 7 4 3 3 5 2 2" xfId="26178" xr:uid="{1F5AABDE-1389-477C-80D6-A213032F088B}"/>
    <cellStyle name="Normal 7 4 3 3 5 2 3" xfId="15260" xr:uid="{7EA4A352-F373-45DD-B537-590F3A11C396}"/>
    <cellStyle name="Normal 7 4 3 3 5 3" xfId="7713" xr:uid="{7EAFA413-63AD-4A34-B4A4-F513D1AD5670}"/>
    <cellStyle name="Normal 7 4 3 3 5 3 2" xfId="18093" xr:uid="{8BB37E77-570C-4567-8D06-F87243B472B1}"/>
    <cellStyle name="Normal 7 4 3 3 5 4" xfId="10546" xr:uid="{E1549959-8817-4633-8289-6E00F9783B2C}"/>
    <cellStyle name="Normal 7 4 3 3 5 4 2" xfId="20926" xr:uid="{2E6ED116-9846-431C-815B-D5DC8B253A02}"/>
    <cellStyle name="Normal 7 4 3 3 5 5" xfId="25048" xr:uid="{8511F9FB-FE04-4F54-B76D-0F6555F47898}"/>
    <cellStyle name="Normal 7 4 3 3 5 6" xfId="12976" xr:uid="{43FEF3D2-CBF4-4FBD-9A90-92776017DD28}"/>
    <cellStyle name="Normal 7 4 3 3 6" xfId="2401" xr:uid="{00000000-0005-0000-0000-00007A080000}"/>
    <cellStyle name="Normal 7 4 3 3 6 2" xfId="7528" xr:uid="{3FF4B652-F802-4890-923C-4AC57CFC6BA0}"/>
    <cellStyle name="Normal 7 4 3 3 6 2 2" xfId="17908" xr:uid="{E68CA27F-967A-487A-B572-281C900CF99F}"/>
    <cellStyle name="Normal 7 4 3 3 6 3" xfId="10361" xr:uid="{193E1795-909A-4BF7-8262-DD4654DFBF86}"/>
    <cellStyle name="Normal 7 4 3 3 6 3 2" xfId="20741" xr:uid="{7AAEED86-CD26-4E1B-BB33-3ADBE7B5BB89}"/>
    <cellStyle name="Normal 7 4 3 3 6 4" xfId="23249" xr:uid="{429D2802-A5D3-42F3-9D3E-41E494361E46}"/>
    <cellStyle name="Normal 7 4 3 3 6 5" xfId="15075" xr:uid="{BD8597E0-3AE8-49CB-9D76-9F4A689838B5}"/>
    <cellStyle name="Normal 7 4 3 3 7" xfId="4101" xr:uid="{F0B7520E-C9CD-4676-9705-62383BEED1A9}"/>
    <cellStyle name="Normal 7 4 3 3 7 2" xfId="8875" xr:uid="{10C788E9-E200-4D9A-AE89-79B41165D7DD}"/>
    <cellStyle name="Normal 7 4 3 3 7 2 2" xfId="19255" xr:uid="{EA5A4DC9-E0B7-41F7-9A93-A760A1F9960C}"/>
    <cellStyle name="Normal 7 4 3 3 7 3" xfId="11708" xr:uid="{5BD47590-79D5-442D-8776-37C03AA1DA7B}"/>
    <cellStyle name="Normal 7 4 3 3 7 3 2" xfId="22088" xr:uid="{3F53DE9D-52C7-4518-8D70-DA4FED8E9BF3}"/>
    <cellStyle name="Normal 7 4 3 3 7 4" xfId="16422" xr:uid="{02B56F57-C9AC-494F-8A20-DEC5A811C11D}"/>
    <cellStyle name="Normal 7 4 3 3 8" xfId="5447" xr:uid="{DB9B4F3E-2691-495E-8284-1ECC209D77C9}"/>
    <cellStyle name="Normal 7 4 3 3 8 2" xfId="14744" xr:uid="{004188FD-65A4-406B-B9B7-8FEFB49F8489}"/>
    <cellStyle name="Normal 7 4 3 3 9" xfId="7197" xr:uid="{1D9BF1DF-B944-4ABA-BE4A-CA1C939720ED}"/>
    <cellStyle name="Normal 7 4 3 3 9 2" xfId="17577" xr:uid="{7034C2D9-C843-4505-A313-432FB976C8D2}"/>
    <cellStyle name="Normal 7 4 3 4" xfId="1430" xr:uid="{00000000-0005-0000-0000-00006D070000}"/>
    <cellStyle name="Normal 7 4 3 4 2" xfId="3453" xr:uid="{00000000-0005-0000-0000-000081080000}"/>
    <cellStyle name="Normal 7 4 3 4 2 2" xfId="6508" xr:uid="{5CBF7F30-3323-4EAB-A7E0-3F88CF0BC913}"/>
    <cellStyle name="Normal 7 4 3 4 2 2 2" xfId="23518" xr:uid="{5901EB7B-0C5A-47E2-9E44-D71F908B0092}"/>
    <cellStyle name="Normal 7 4 3 4 2 2 3" xfId="25879" xr:uid="{B2BBB98A-4899-4C7E-B326-4C91DB326458}"/>
    <cellStyle name="Normal 7 4 3 4 2 2 4" xfId="16079" xr:uid="{7055F32A-BC18-4F42-A7A0-3D55BB69C3F4}"/>
    <cellStyle name="Normal 7 4 3 4 2 3" xfId="8532" xr:uid="{11430790-3FEE-49B1-8B5A-0D306385F222}"/>
    <cellStyle name="Normal 7 4 3 4 2 3 2" xfId="28942" xr:uid="{7163F059-7EB7-4F8B-BA34-ECD7FE44467B}"/>
    <cellStyle name="Normal 7 4 3 4 2 3 3" xfId="18912" xr:uid="{C9F4ED25-46E9-4B0D-BE71-DCFFD89F00A2}"/>
    <cellStyle name="Normal 7 4 3 4 2 4" xfId="11365" xr:uid="{22A9B4A9-E21A-4750-A368-B09B5A08F92A}"/>
    <cellStyle name="Normal 7 4 3 4 2 4 2" xfId="21745" xr:uid="{8AA30EE1-CC49-4A13-B4F6-AF9FBD41C4FD}"/>
    <cellStyle name="Normal 7 4 3 4 2 5" xfId="23352" xr:uid="{F9DBE65A-8BAE-46A8-93B5-A94EE58F61D8}"/>
    <cellStyle name="Normal 7 4 3 4 2 6" xfId="14039" xr:uid="{FCB69EA9-4645-4C69-910A-24F5C7EF16C8}"/>
    <cellStyle name="Normal 7 4 3 4 3" xfId="2828" xr:uid="{00000000-0005-0000-0000-000082080000}"/>
    <cellStyle name="Normal 7 4 3 4 3 2" xfId="6044" xr:uid="{D4436D1D-1802-4B4C-A77E-8756FEE4AB49}"/>
    <cellStyle name="Normal 7 4 3 4 3 2 2" xfId="26010" xr:uid="{65CC4502-9897-4C0E-9116-B511B4EB6C1D}"/>
    <cellStyle name="Normal 7 4 3 4 3 2 3" xfId="15498" xr:uid="{870FBBFF-365B-4C7C-83AC-AB62265F91CB}"/>
    <cellStyle name="Normal 7 4 3 4 3 3" xfId="7951" xr:uid="{F289DF43-462C-4EF2-A46E-67BDAB1512D1}"/>
    <cellStyle name="Normal 7 4 3 4 3 3 2" xfId="18331" xr:uid="{36038B05-0B63-4624-BCE8-A4FEBD5C722B}"/>
    <cellStyle name="Normal 7 4 3 4 3 4" xfId="10784" xr:uid="{6781698A-5BCE-41C9-BBCA-4301FDC8D239}"/>
    <cellStyle name="Normal 7 4 3 4 3 4 2" xfId="21164" xr:uid="{F7B0FE75-3DE0-4F6B-B8B2-1A43B84AC2DE}"/>
    <cellStyle name="Normal 7 4 3 4 3 5" xfId="24872" xr:uid="{52399C13-1388-495D-8E38-FC6CAC5DC2DF}"/>
    <cellStyle name="Normal 7 4 3 4 3 6" xfId="13304" xr:uid="{C10AA231-F24F-4722-9717-CB84CBE0EB2D}"/>
    <cellStyle name="Normal 7 4 3 4 4" xfId="4219" xr:uid="{F78D4B62-EDF2-4AB7-9DEE-497CD2C415AD}"/>
    <cellStyle name="Normal 7 4 3 4 4 2" xfId="8991" xr:uid="{F71EDB45-9810-4D87-8762-F549CCD7BB02}"/>
    <cellStyle name="Normal 7 4 3 4 4 2 2" xfId="29070" xr:uid="{524B28EC-43F0-4019-9D4D-DBF6E9BC9755}"/>
    <cellStyle name="Normal 7 4 3 4 4 2 3" xfId="19371" xr:uid="{56EC96C9-509D-400C-919D-212DC4D85B5F}"/>
    <cellStyle name="Normal 7 4 3 4 4 3" xfId="11824" xr:uid="{A6B36A25-F2E9-4829-80BF-949050D817B5}"/>
    <cellStyle name="Normal 7 4 3 4 4 3 2" xfId="22204" xr:uid="{D93F6B13-0F03-4A69-80D1-F00874B103F5}"/>
    <cellStyle name="Normal 7 4 3 4 4 4" xfId="24951" xr:uid="{98B0EA07-A356-42CD-A364-0F6F4D084560}"/>
    <cellStyle name="Normal 7 4 3 4 4 5" xfId="16538" xr:uid="{C99310B4-52FC-42F8-998B-F83A68E8C447}"/>
    <cellStyle name="Normal 7 4 3 4 5" xfId="5448" xr:uid="{FFA53823-102B-449A-B135-DAA9CE52C2E1}"/>
    <cellStyle name="Normal 7 4 3 4 5 2" xfId="25872" xr:uid="{8547CB7E-A1FF-4B13-951F-A22FF4AE4097}"/>
    <cellStyle name="Normal 7 4 3 4 5 3" xfId="14745" xr:uid="{08FF8EB2-D4DD-4BE1-968D-3CF95B1085D0}"/>
    <cellStyle name="Normal 7 4 3 4 6" xfId="7198" xr:uid="{BAF5CBFF-6980-43EA-959E-43221B798C71}"/>
    <cellStyle name="Normal 7 4 3 4 6 2" xfId="17578" xr:uid="{E0417E85-D902-45ED-850B-BDDDC1EAB10C}"/>
    <cellStyle name="Normal 7 4 3 4 7" xfId="10031" xr:uid="{20E05630-56E6-49F8-B05E-B39E08C74933}"/>
    <cellStyle name="Normal 7 4 3 4 7 2" xfId="20411" xr:uid="{D606B5E7-D6DF-49FB-B867-04950CA47F6F}"/>
    <cellStyle name="Normal 7 4 3 4 8" xfId="22698" xr:uid="{E663FDFE-3056-4B0A-A699-530B605D2EAB}"/>
    <cellStyle name="Normal 7 4 3 4 9" xfId="12793" xr:uid="{EFC20897-F697-4AC5-A1D5-242406207B9D}"/>
    <cellStyle name="Normal 7 4 3 5" xfId="1431" xr:uid="{00000000-0005-0000-0000-00006E070000}"/>
    <cellStyle name="Normal 7 4 3 5 2" xfId="4586" xr:uid="{32AAEC66-C84F-4F4B-9085-09C0EB6273DA}"/>
    <cellStyle name="Normal 7 4 3 5 2 2" xfId="9358" xr:uid="{90B25159-4300-4BCE-8DE3-24844D9CEED2}"/>
    <cellStyle name="Normal 7 4 3 5 2 2 2" xfId="29330" xr:uid="{03391A60-D465-4962-94B1-865E32136359}"/>
    <cellStyle name="Normal 7 4 3 5 2 2 3" xfId="19738" xr:uid="{7B7679F3-5742-44C6-B9DA-6773280A4856}"/>
    <cellStyle name="Normal 7 4 3 5 2 3" xfId="12191" xr:uid="{32F85BC9-45B3-4D52-9F8A-C4B8F058362B}"/>
    <cellStyle name="Normal 7 4 3 5 2 3 2" xfId="22571" xr:uid="{58028893-E889-4500-9A5A-5192B2981EAA}"/>
    <cellStyle name="Normal 7 4 3 5 2 4" xfId="23988" xr:uid="{662E79A0-DCE2-4051-9540-1F063C7A2FF5}"/>
    <cellStyle name="Normal 7 4 3 5 2 5" xfId="16905" xr:uid="{36964F92-B719-4357-928D-C0A9D95E955E}"/>
    <cellStyle name="Normal 7 4 3 5 3" xfId="5449" xr:uid="{55395201-A444-4DAF-8240-6F1A99D8FF91}"/>
    <cellStyle name="Normal 7 4 3 5 3 2" xfId="26343" xr:uid="{96547A6C-7F4D-47A4-936A-437334C9FF4F}"/>
    <cellStyle name="Normal 7 4 3 5 3 3" xfId="14746" xr:uid="{B01B003D-09F0-41A7-9E25-076F0A13C040}"/>
    <cellStyle name="Normal 7 4 3 5 4" xfId="7199" xr:uid="{06444F2C-0374-48A8-8176-B66859AA11CC}"/>
    <cellStyle name="Normal 7 4 3 5 4 2" xfId="17579" xr:uid="{8B888782-6FEA-407C-9DFB-589676603ED3}"/>
    <cellStyle name="Normal 7 4 3 5 5" xfId="10032" xr:uid="{29AAE153-BD0B-4399-9C73-A798C68315C9}"/>
    <cellStyle name="Normal 7 4 3 5 5 2" xfId="20412" xr:uid="{81DDCE17-9BA0-4C95-AE8E-4B670AEA1C3D}"/>
    <cellStyle name="Normal 7 4 3 5 6" xfId="23858" xr:uid="{DA4BEBB2-AFC0-4336-ADD6-7BD0DB116E1A}"/>
    <cellStyle name="Normal 7 4 3 5 7" xfId="14040" xr:uid="{78E0465A-D360-474F-81AB-8916C3666EF8}"/>
    <cellStyle name="Normal 7 4 3 6" xfId="2992" xr:uid="{00000000-0005-0000-0000-000084080000}"/>
    <cellStyle name="Normal 7 4 3 6 2" xfId="6142" xr:uid="{DECB5462-13A0-4971-93E2-67D64097B287}"/>
    <cellStyle name="Normal 7 4 3 6 2 2" xfId="24786" xr:uid="{4763614B-9A15-465F-B4E0-4D5682EEC570}"/>
    <cellStyle name="Normal 7 4 3 6 2 3" xfId="26641" xr:uid="{38E6F481-054E-4951-A4C8-038582470DEC}"/>
    <cellStyle name="Normal 7 4 3 6 2 4" xfId="15620" xr:uid="{CF275B3F-9D0A-467E-8F53-450B4BBB2501}"/>
    <cellStyle name="Normal 7 4 3 6 3" xfId="8073" xr:uid="{684E6C9B-8F1F-4C96-B900-9475A48A6A90}"/>
    <cellStyle name="Normal 7 4 3 6 3 2" xfId="28768" xr:uid="{101FAE63-21CF-4237-B40A-3C0788565985}"/>
    <cellStyle name="Normal 7 4 3 6 3 3" xfId="18453" xr:uid="{4E427ABA-F9E9-499C-9D02-F1D537CD0FCA}"/>
    <cellStyle name="Normal 7 4 3 6 4" xfId="10906" xr:uid="{A10836A0-4C54-4C33-9779-473B3614B4F3}"/>
    <cellStyle name="Normal 7 4 3 6 4 2" xfId="21286" xr:uid="{DA2223B3-1516-44A5-BF6E-D468F9EA8F0A}"/>
    <cellStyle name="Normal 7 4 3 6 5" xfId="24501" xr:uid="{2D2D3BAB-4EE1-40A9-9DAE-9BBDB025D104}"/>
    <cellStyle name="Normal 7 4 3 6 6" xfId="13491" xr:uid="{D8C51755-15E4-4D5D-B33E-C5777ED4CD4D}"/>
    <cellStyle name="Normal 7 4 3 7" xfId="2485" xr:uid="{00000000-0005-0000-0000-000085080000}"/>
    <cellStyle name="Normal 7 4 3 7 2" xfId="5771" xr:uid="{7EC0E344-7771-4C9E-8813-722F72405483}"/>
    <cellStyle name="Normal 7 4 3 7 2 2" xfId="27031" xr:uid="{C4A76B5A-3250-41B6-83CD-0ADFD2DE1444}"/>
    <cellStyle name="Normal 7 4 3 7 2 3" xfId="15157" xr:uid="{607EB0E2-E535-4617-8722-6D0ADED78D08}"/>
    <cellStyle name="Normal 7 4 3 7 3" xfId="7610" xr:uid="{33C3883B-9E2C-4F93-BF03-9232B138A1EE}"/>
    <cellStyle name="Normal 7 4 3 7 3 2" xfId="17990" xr:uid="{67879044-935B-4B97-A03A-E634BCF98FB2}"/>
    <cellStyle name="Normal 7 4 3 7 4" xfId="10443" xr:uid="{C8B9B9BB-45C1-46CC-A234-96C734088617}"/>
    <cellStyle name="Normal 7 4 3 7 4 2" xfId="20823" xr:uid="{1DE6E8F3-B876-42BD-BA32-1791CD97C485}"/>
    <cellStyle name="Normal 7 4 3 7 5" xfId="23068" xr:uid="{0271FA07-948E-446C-9858-16D19FE45933}"/>
    <cellStyle name="Normal 7 4 3 7 6" xfId="12873" xr:uid="{231A3B36-517F-475A-9A76-713D87C84C49}"/>
    <cellStyle name="Normal 7 4 3 8" xfId="2179" xr:uid="{00000000-0005-0000-0000-00006C080000}"/>
    <cellStyle name="Normal 7 4 3 8 2" xfId="7306" xr:uid="{61404530-84D2-4FCC-B79A-40F6D1459624}"/>
    <cellStyle name="Normal 7 4 3 8 2 2" xfId="17686" xr:uid="{0B164E7B-ABA5-4238-BF26-6C01C2A9E63F}"/>
    <cellStyle name="Normal 7 4 3 8 3" xfId="10139" xr:uid="{9D3117D7-E98C-47FF-B117-08F9C3256A30}"/>
    <cellStyle name="Normal 7 4 3 8 3 2" xfId="20519" xr:uid="{90C46BEB-9A72-495F-AF5C-3C849CDBEAB0}"/>
    <cellStyle name="Normal 7 4 3 8 4" xfId="22818" xr:uid="{8043779F-2F38-4DEF-B53C-1493A615375A}"/>
    <cellStyle name="Normal 7 4 3 8 5" xfId="14853" xr:uid="{92C41245-DB38-4685-9AA4-D23501AAEF39}"/>
    <cellStyle name="Normal 7 4 3 9" xfId="4069" xr:uid="{9B83B12B-F037-4973-AB0C-83E137F3CCA4}"/>
    <cellStyle name="Normal 7 4 3 9 2" xfId="8849" xr:uid="{F26D4E52-7049-4504-862C-EDEE61895F5C}"/>
    <cellStyle name="Normal 7 4 3 9 2 2" xfId="19229" xr:uid="{BF60D9B6-3B18-46FC-AF3E-456E390ED4FD}"/>
    <cellStyle name="Normal 7 4 3 9 3" xfId="11682" xr:uid="{5AE3403A-02C3-4D2D-8309-643F1A197D08}"/>
    <cellStyle name="Normal 7 4 3 9 3 2" xfId="22062" xr:uid="{0C78B99F-AD36-4BE1-92A4-14881384F045}"/>
    <cellStyle name="Normal 7 4 3 9 4" xfId="16396" xr:uid="{92F4B5A9-F8D7-426A-A253-1347198AF915}"/>
    <cellStyle name="Normal 7 4 4" xfId="1432" xr:uid="{00000000-0005-0000-0000-00006F070000}"/>
    <cellStyle name="Normal 7 4 4 10" xfId="5450" xr:uid="{E3B89E48-5BD7-4CAB-A493-53FC19BCD894}"/>
    <cellStyle name="Normal 7 4 4 10 2" xfId="14747" xr:uid="{F69FED75-DFAE-48F9-AEF7-F43173D57B3F}"/>
    <cellStyle name="Normal 7 4 4 11" xfId="7200" xr:uid="{450BA93B-30BB-4489-A0C0-4616AAFE258B}"/>
    <cellStyle name="Normal 7 4 4 11 2" xfId="17580" xr:uid="{38E264F0-7759-4EEB-A8BE-79CFD9A7C20A}"/>
    <cellStyle name="Normal 7 4 4 12" xfId="10033" xr:uid="{AFDCE651-09CB-423B-A6E6-CBD55F2B2AFA}"/>
    <cellStyle name="Normal 7 4 4 12 2" xfId="20413" xr:uid="{1DE52EE3-07B5-4308-A5FC-33897D9F665A}"/>
    <cellStyle name="Normal 7 4 4 13" xfId="25346" xr:uid="{ECE91AA8-E135-4F43-A425-BFD3BD91DA6D}"/>
    <cellStyle name="Normal 7 4 4 14" xfId="12418" xr:uid="{91BFECF0-198C-452A-90F5-3BC8E451D944}"/>
    <cellStyle name="Normal 7 4 4 2" xfId="1433" xr:uid="{00000000-0005-0000-0000-000070070000}"/>
    <cellStyle name="Normal 7 4 4 2 10" xfId="7201" xr:uid="{1780B4E2-A429-4928-8711-A8E9D8D7B098}"/>
    <cellStyle name="Normal 7 4 4 2 10 2" xfId="17581" xr:uid="{971BB55E-6229-4B92-8ACF-623834102A83}"/>
    <cellStyle name="Normal 7 4 4 2 11" xfId="10034" xr:uid="{C035D557-3EFF-45F3-BC8F-FDEA512F952C}"/>
    <cellStyle name="Normal 7 4 4 2 11 2" xfId="20414" xr:uid="{C4E67250-1EE6-4C48-A021-E2DE29480886}"/>
    <cellStyle name="Normal 7 4 4 2 12" xfId="23473" xr:uid="{99C65200-6E1C-4865-920A-1AD02BF528B9}"/>
    <cellStyle name="Normal 7 4 4 2 13" xfId="12478" xr:uid="{1787C933-1F9A-474B-94C4-ACF8D47EE646}"/>
    <cellStyle name="Normal 7 4 4 2 2" xfId="1434" xr:uid="{00000000-0005-0000-0000-000071070000}"/>
    <cellStyle name="Normal 7 4 4 2 2 10" xfId="13043" xr:uid="{85D260CD-ECE6-4BDB-B90F-7767C72C53D5}"/>
    <cellStyle name="Normal 7 4 4 2 2 2" xfId="2834" xr:uid="{00000000-0005-0000-0000-000089080000}"/>
    <cellStyle name="Normal 7 4 4 2 2 2 2" xfId="3456" xr:uid="{00000000-0005-0000-0000-00008A080000}"/>
    <cellStyle name="Normal 7 4 4 2 2 2 2 2" xfId="6511" xr:uid="{B0689EE3-D10E-460E-9499-3C1AFF201603}"/>
    <cellStyle name="Normal 7 4 4 2 2 2 2 2 2" xfId="27707" xr:uid="{F87B1CF3-4D27-433F-AEB6-4849FE48B7BE}"/>
    <cellStyle name="Normal 7 4 4 2 2 2 2 2 3" xfId="16082" xr:uid="{09436EDD-7B29-41AF-B1F1-BCEC022D3963}"/>
    <cellStyle name="Normal 7 4 4 2 2 2 2 3" xfId="8535" xr:uid="{8D76F6F3-08D3-4D55-883F-27E1666CE904}"/>
    <cellStyle name="Normal 7 4 4 2 2 2 2 3 2" xfId="18915" xr:uid="{BC115AB2-6628-4205-B78C-F266D4F8CD53}"/>
    <cellStyle name="Normal 7 4 4 2 2 2 2 4" xfId="11368" xr:uid="{A8742545-96B9-4C68-BB6A-E1AEAD17E7C4}"/>
    <cellStyle name="Normal 7 4 4 2 2 2 2 4 2" xfId="21748" xr:uid="{98077CBB-A4A3-4B92-8568-D1EC04E51BCA}"/>
    <cellStyle name="Normal 7 4 4 2 2 2 2 5" xfId="25334" xr:uid="{D866E4A2-C79F-444C-A4E1-DAB3A77704E1}"/>
    <cellStyle name="Normal 7 4 4 2 2 2 2 6" xfId="14043" xr:uid="{1FA1CED8-CA7B-4386-9666-50BF16F6D7AE}"/>
    <cellStyle name="Normal 7 4 4 2 2 2 3" xfId="4370" xr:uid="{0DAD4E56-0B56-42BE-BBA3-FC5733DFFF43}"/>
    <cellStyle name="Normal 7 4 4 2 2 2 3 2" xfId="9142" xr:uid="{105A3B7F-F95A-4D38-AA5A-0218E258D147}"/>
    <cellStyle name="Normal 7 4 4 2 2 2 3 2 2" xfId="29185" xr:uid="{9E197F34-F4F8-449E-BC15-E5F56BE7EE69}"/>
    <cellStyle name="Normal 7 4 4 2 2 2 3 2 3" xfId="19522" xr:uid="{0E93FDFD-73C9-46BA-9CB3-0CF54B0594EB}"/>
    <cellStyle name="Normal 7 4 4 2 2 2 3 3" xfId="11975" xr:uid="{4DAAE4C4-1896-44CD-A007-6C93B672DEB7}"/>
    <cellStyle name="Normal 7 4 4 2 2 2 3 3 2" xfId="22355" xr:uid="{1931F75A-796A-4B3B-89E8-933BD93EAF88}"/>
    <cellStyle name="Normal 7 4 4 2 2 2 3 4" xfId="25558" xr:uid="{072D2D10-7B7D-4B65-BC32-6BFD4E46F379}"/>
    <cellStyle name="Normal 7 4 4 2 2 2 3 5" xfId="16689" xr:uid="{EA5C8DFA-B06A-41F5-9FB1-BEE951D0CF65}"/>
    <cellStyle name="Normal 7 4 4 2 2 2 4" xfId="6050" xr:uid="{9ED16AA7-F360-4202-AB4C-D8C141A8E0C9}"/>
    <cellStyle name="Normal 7 4 4 2 2 2 4 2" xfId="28434" xr:uid="{08334893-4728-4854-B02F-B20CA7ACE106}"/>
    <cellStyle name="Normal 7 4 4 2 2 2 4 3" xfId="15504" xr:uid="{E45DE93C-3E44-4B63-8658-F9BF77A3F236}"/>
    <cellStyle name="Normal 7 4 4 2 2 2 5" xfId="7957" xr:uid="{B44D6036-ED79-4F4A-B1EB-626F643EB465}"/>
    <cellStyle name="Normal 7 4 4 2 2 2 5 2" xfId="18337" xr:uid="{B9EB0688-D67C-43ED-8CF5-A010D5608565}"/>
    <cellStyle name="Normal 7 4 4 2 2 2 6" xfId="10790" xr:uid="{2C09063D-25A9-413E-8F72-31835EC2AABA}"/>
    <cellStyle name="Normal 7 4 4 2 2 2 6 2" xfId="21170" xr:uid="{FDDA696B-39FC-44CD-BEFC-D8925BB1D484}"/>
    <cellStyle name="Normal 7 4 4 2 2 2 7" xfId="23132" xr:uid="{EE77D4BC-B01A-4857-8FD9-A3277F61286D}"/>
    <cellStyle name="Normal 7 4 4 2 2 2 8" xfId="13310" xr:uid="{D7EA7EE7-B82D-4043-8A0B-B0E6CF6892C8}"/>
    <cellStyle name="Normal 7 4 4 2 2 3" xfId="3457" xr:uid="{00000000-0005-0000-0000-00008B080000}"/>
    <cellStyle name="Normal 7 4 4 2 2 3 2" xfId="4587" xr:uid="{0A2EBD96-5343-4C53-A307-37B25ADC726E}"/>
    <cellStyle name="Normal 7 4 4 2 2 3 2 2" xfId="9359" xr:uid="{B7D332E5-2E09-4014-96B1-2C5C2738B2E4}"/>
    <cellStyle name="Normal 7 4 4 2 2 3 2 2 2" xfId="19739" xr:uid="{FFBD64CA-DA1C-4BB5-9282-DF6B817BD172}"/>
    <cellStyle name="Normal 7 4 4 2 2 3 2 3" xfId="12192" xr:uid="{2B77A7CA-EE70-44B3-8F8B-94F9305BBC2A}"/>
    <cellStyle name="Normal 7 4 4 2 2 3 2 3 2" xfId="22572" xr:uid="{18C8B68B-75B3-48CA-82A5-BD04641DB0F0}"/>
    <cellStyle name="Normal 7 4 4 2 2 3 2 4" xfId="28440" xr:uid="{371F78E5-887F-4666-B682-8E8898BBF52B}"/>
    <cellStyle name="Normal 7 4 4 2 2 3 2 5" xfId="16906" xr:uid="{B51432E6-24D0-4EB4-8058-909E6B13D686}"/>
    <cellStyle name="Normal 7 4 4 2 2 3 3" xfId="6512" xr:uid="{EBFEE145-7C44-4FEA-A424-560480DD22B9}"/>
    <cellStyle name="Normal 7 4 4 2 2 3 3 2" xfId="16083" xr:uid="{AC61386E-B397-4853-83DC-5AF087868306}"/>
    <cellStyle name="Normal 7 4 4 2 2 3 4" xfId="8536" xr:uid="{FDE0BA1F-9267-4564-94C9-C081213DD651}"/>
    <cellStyle name="Normal 7 4 4 2 2 3 4 2" xfId="18916" xr:uid="{1BE319B7-4E1A-4DCB-9664-0E818A5C84CD}"/>
    <cellStyle name="Normal 7 4 4 2 2 3 5" xfId="11369" xr:uid="{D0543F52-B8AC-4B37-819C-9DD0F9F23915}"/>
    <cellStyle name="Normal 7 4 4 2 2 3 5 2" xfId="21749" xr:uid="{C2548F04-A02E-4CD9-AAD1-D362474D311D}"/>
    <cellStyle name="Normal 7 4 4 2 2 3 6" xfId="23054" xr:uid="{001E25AE-D7A2-415C-A238-CF147CEF1ED8}"/>
    <cellStyle name="Normal 7 4 4 2 2 3 7" xfId="14044" xr:uid="{9A645B1E-FA20-4A76-94D7-27A4F1B0F564}"/>
    <cellStyle name="Normal 7 4 4 2 2 4" xfId="3455" xr:uid="{00000000-0005-0000-0000-00008C080000}"/>
    <cellStyle name="Normal 7 4 4 2 2 4 2" xfId="6510" xr:uid="{DB8979AA-4BDB-435B-A2C3-7F281B79A5DB}"/>
    <cellStyle name="Normal 7 4 4 2 2 4 2 2" xfId="27625" xr:uid="{1364445D-4378-4F8B-8E18-5CA8A1B837D2}"/>
    <cellStyle name="Normal 7 4 4 2 2 4 2 3" xfId="16081" xr:uid="{AE9BD2D5-10BC-4B9B-B911-5F91E53CB1D2}"/>
    <cellStyle name="Normal 7 4 4 2 2 4 3" xfId="8534" xr:uid="{AB089DE0-4D9C-4850-ABE7-B6F9056C3B5A}"/>
    <cellStyle name="Normal 7 4 4 2 2 4 3 2" xfId="18914" xr:uid="{088AB71F-1714-47EF-B619-63A0C5103E0F}"/>
    <cellStyle name="Normal 7 4 4 2 2 4 4" xfId="11367" xr:uid="{E6788041-E3DF-4264-B2C2-F3EB8F695F17}"/>
    <cellStyle name="Normal 7 4 4 2 2 4 4 2" xfId="21747" xr:uid="{F513B7B1-0713-491D-922C-7C02520EB424}"/>
    <cellStyle name="Normal 7 4 4 2 2 4 5" xfId="24473" xr:uid="{BD33F25E-4D01-43E2-A79E-DACF017A302B}"/>
    <cellStyle name="Normal 7 4 4 2 2 4 6" xfId="14042" xr:uid="{AA518B72-551D-49FF-97B6-5F5E268E2048}"/>
    <cellStyle name="Normal 7 4 4 2 2 5" xfId="4244" xr:uid="{6424EC82-10A1-42F5-9FFA-D6F9DA223917}"/>
    <cellStyle name="Normal 7 4 4 2 2 5 2" xfId="9016" xr:uid="{C0A51B5F-A418-46AF-81D2-8B163386F866}"/>
    <cellStyle name="Normal 7 4 4 2 2 5 2 2" xfId="29087" xr:uid="{7EBFC413-0B91-49A7-BDAD-66B27BE1A561}"/>
    <cellStyle name="Normal 7 4 4 2 2 5 2 3" xfId="19396" xr:uid="{13EEF0C0-7C9E-4888-9368-D49232433AAC}"/>
    <cellStyle name="Normal 7 4 4 2 2 5 3" xfId="11849" xr:uid="{CC1BFE65-A6EB-4675-B539-0C46A4A8B8A0}"/>
    <cellStyle name="Normal 7 4 4 2 2 5 3 2" xfId="22229" xr:uid="{2C82E1B6-16C8-4636-AE8B-2C290E7D2D6E}"/>
    <cellStyle name="Normal 7 4 4 2 2 5 4" xfId="23101" xr:uid="{B184A7CB-64E8-4552-9480-71A0B3794C87}"/>
    <cellStyle name="Normal 7 4 4 2 2 5 5" xfId="16563" xr:uid="{35234B4C-12F7-43EA-BCE1-C58380744C48}"/>
    <cellStyle name="Normal 7 4 4 2 2 6" xfId="5452" xr:uid="{C937A26F-B1D4-4453-9186-D297675A8C84}"/>
    <cellStyle name="Normal 7 4 4 2 2 6 2" xfId="26124" xr:uid="{C4976971-ADAE-423B-AE09-1C6B9BD6BE9E}"/>
    <cellStyle name="Normal 7 4 4 2 2 6 3" xfId="14749" xr:uid="{2AFE0F13-E501-4D26-96E0-F1BDEF3312A4}"/>
    <cellStyle name="Normal 7 4 4 2 2 7" xfId="7202" xr:uid="{C07BAA99-A4AD-40A8-8A24-D840DC98A042}"/>
    <cellStyle name="Normal 7 4 4 2 2 7 2" xfId="17582" xr:uid="{87D137C4-F41A-4C53-BD2A-2A75BD6A7E74}"/>
    <cellStyle name="Normal 7 4 4 2 2 8" xfId="10035" xr:uid="{2E0ADCB0-F339-4F9E-8A5D-752AB01A92F3}"/>
    <cellStyle name="Normal 7 4 4 2 2 8 2" xfId="20415" xr:uid="{6B75B93F-10E8-49C0-950C-F9A78D9836EF}"/>
    <cellStyle name="Normal 7 4 4 2 2 9" xfId="24460" xr:uid="{73C2BF4B-6624-44F6-8D87-B3A3255B3196}"/>
    <cellStyle name="Normal 7 4 4 2 3" xfId="2833" xr:uid="{00000000-0005-0000-0000-00008D080000}"/>
    <cellStyle name="Normal 7 4 4 2 3 2" xfId="3458" xr:uid="{00000000-0005-0000-0000-00008E080000}"/>
    <cellStyle name="Normal 7 4 4 2 3 2 2" xfId="6513" xr:uid="{34236F50-C037-4F8D-B6B2-6F0363CB5844}"/>
    <cellStyle name="Normal 7 4 4 2 3 2 2 2" xfId="28486" xr:uid="{339F1BE5-9433-44FE-A763-3AF771840D39}"/>
    <cellStyle name="Normal 7 4 4 2 3 2 2 3" xfId="16084" xr:uid="{61EB5AE0-87F8-4BF5-B28C-B790D2F2AC84}"/>
    <cellStyle name="Normal 7 4 4 2 3 2 3" xfId="8537" xr:uid="{650E8CFB-2725-44A8-89A1-D7BA0FE2923E}"/>
    <cellStyle name="Normal 7 4 4 2 3 2 3 2" xfId="18917" xr:uid="{91C5B97E-2457-4587-9FA5-4B5E372B5DCA}"/>
    <cellStyle name="Normal 7 4 4 2 3 2 4" xfId="11370" xr:uid="{DA7DFC6C-B0AC-4C3E-A861-98A860641B96}"/>
    <cellStyle name="Normal 7 4 4 2 3 2 4 2" xfId="21750" xr:uid="{C6B46EAB-3A80-43F7-B514-D3D782DCE271}"/>
    <cellStyle name="Normal 7 4 4 2 3 2 5" xfId="24499" xr:uid="{D8A95826-72A8-43FF-BD71-35E9BCBFCE99}"/>
    <cellStyle name="Normal 7 4 4 2 3 2 6" xfId="14045" xr:uid="{79DA3B40-853C-4D18-8FE6-C40E89EF19E0}"/>
    <cellStyle name="Normal 7 4 4 2 3 3" xfId="4369" xr:uid="{5718650D-9B49-4598-94A3-96C121F7519F}"/>
    <cellStyle name="Normal 7 4 4 2 3 3 2" xfId="9141" xr:uid="{50B08A76-5F8B-479D-99B5-B4F20FA5D439}"/>
    <cellStyle name="Normal 7 4 4 2 3 3 2 2" xfId="29184" xr:uid="{61F201DD-B55C-4156-A085-167C97EE008E}"/>
    <cellStyle name="Normal 7 4 4 2 3 3 2 3" xfId="19521" xr:uid="{DC5B0B79-D730-4828-98F9-CC47A1978333}"/>
    <cellStyle name="Normal 7 4 4 2 3 3 3" xfId="11974" xr:uid="{28D945B7-1103-47D4-A6EB-162A9E1A71DA}"/>
    <cellStyle name="Normal 7 4 4 2 3 3 3 2" xfId="22354" xr:uid="{E65617C7-B9F8-476B-8BF2-97882EAC814A}"/>
    <cellStyle name="Normal 7 4 4 2 3 3 4" xfId="23056" xr:uid="{3C537B82-AA9A-467F-ACA3-8F8ED612691F}"/>
    <cellStyle name="Normal 7 4 4 2 3 3 5" xfId="16688" xr:uid="{B7C056BC-24CF-4E2A-9F1C-4734D38A5989}"/>
    <cellStyle name="Normal 7 4 4 2 3 4" xfId="6049" xr:uid="{8614F297-A17E-4D0E-870D-3711AD73852B}"/>
    <cellStyle name="Normal 7 4 4 2 3 4 2" xfId="27642" xr:uid="{BA3C52BA-3AC7-4896-92F9-7A7300903EC5}"/>
    <cellStyle name="Normal 7 4 4 2 3 4 3" xfId="15503" xr:uid="{2876EE0A-FAFE-4DB0-A291-825A606682A6}"/>
    <cellStyle name="Normal 7 4 4 2 3 5" xfId="7956" xr:uid="{DB2DE750-5190-4404-B65E-67182576AD24}"/>
    <cellStyle name="Normal 7 4 4 2 3 5 2" xfId="18336" xr:uid="{882DBBCA-7C96-4DDE-A6C7-39C2E96C92ED}"/>
    <cellStyle name="Normal 7 4 4 2 3 6" xfId="10789" xr:uid="{45FA64DC-7A4B-4A17-9FB9-EAE8C4D295C8}"/>
    <cellStyle name="Normal 7 4 4 2 3 6 2" xfId="21169" xr:uid="{D2095383-C4E5-473E-A330-898A2D163753}"/>
    <cellStyle name="Normal 7 4 4 2 3 7" xfId="22897" xr:uid="{A02929AC-6E9B-44A5-80F6-0B24F1028588}"/>
    <cellStyle name="Normal 7 4 4 2 3 8" xfId="13309" xr:uid="{5B80B824-8D58-4B5C-AE5C-EDE867B145B7}"/>
    <cellStyle name="Normal 7 4 4 2 4" xfId="3459" xr:uid="{00000000-0005-0000-0000-00008F080000}"/>
    <cellStyle name="Normal 7 4 4 2 4 2" xfId="4588" xr:uid="{EB627D3D-2681-4252-9B95-0E8D4C27F3C3}"/>
    <cellStyle name="Normal 7 4 4 2 4 2 2" xfId="9360" xr:uid="{1C290444-83FC-41FC-B6A0-8BFA93D20B08}"/>
    <cellStyle name="Normal 7 4 4 2 4 2 2 2" xfId="19740" xr:uid="{0F8BD4ED-A530-4B81-8098-D4E0E51C95B1}"/>
    <cellStyle name="Normal 7 4 4 2 4 2 3" xfId="12193" xr:uid="{236D53CA-13DE-41CD-B516-3C2D9C7EACBB}"/>
    <cellStyle name="Normal 7 4 4 2 4 2 3 2" xfId="22573" xr:uid="{7BFB50A7-875F-418A-AF09-1025B45772EF}"/>
    <cellStyle name="Normal 7 4 4 2 4 2 4" xfId="25978" xr:uid="{D9B52417-CCBE-49AE-B848-B57D3E63404E}"/>
    <cellStyle name="Normal 7 4 4 2 4 2 5" xfId="16907" xr:uid="{517A41E9-BAC1-4FCE-BFF1-D519FE74BAC8}"/>
    <cellStyle name="Normal 7 4 4 2 4 3" xfId="6514" xr:uid="{715B2ACF-BA4F-4DF4-A8D1-52A2E092DDE9}"/>
    <cellStyle name="Normal 7 4 4 2 4 3 2" xfId="16085" xr:uid="{0D8CF97E-21EB-4AC7-A2BA-9764C4015C9E}"/>
    <cellStyle name="Normal 7 4 4 2 4 4" xfId="8538" xr:uid="{A22FAA5C-A938-4B0B-9F88-ACABAE0B73A9}"/>
    <cellStyle name="Normal 7 4 4 2 4 4 2" xfId="18918" xr:uid="{D9A5A6CF-640A-43A0-9D79-261DAED40A5C}"/>
    <cellStyle name="Normal 7 4 4 2 4 5" xfId="11371" xr:uid="{265CEEB0-A996-4D92-8966-842C11952763}"/>
    <cellStyle name="Normal 7 4 4 2 4 5 2" xfId="21751" xr:uid="{16F38D62-10F3-4B07-B1CE-B2AD6A5F059C}"/>
    <cellStyle name="Normal 7 4 4 2 4 6" xfId="22707" xr:uid="{68B1762D-D6C1-4593-8ADC-EC870A07BDF8}"/>
    <cellStyle name="Normal 7 4 4 2 4 7" xfId="14046" xr:uid="{12A4D8A0-42B0-4D28-B709-D35887FE31D9}"/>
    <cellStyle name="Normal 7 4 4 2 5" xfId="3454" xr:uid="{00000000-0005-0000-0000-000090080000}"/>
    <cellStyle name="Normal 7 4 4 2 5 2" xfId="6509" xr:uid="{71442CDA-8704-465A-9E78-1DF9673FDA59}"/>
    <cellStyle name="Normal 7 4 4 2 5 2 2" xfId="26471" xr:uid="{7968241E-6B5D-4F67-9009-FAA894F99D23}"/>
    <cellStyle name="Normal 7 4 4 2 5 2 3" xfId="16080" xr:uid="{F0CB1509-292A-48DF-97E6-9585DCB4F1B9}"/>
    <cellStyle name="Normal 7 4 4 2 5 3" xfId="8533" xr:uid="{0AAAFE54-847A-489F-AF1C-63C13B231E16}"/>
    <cellStyle name="Normal 7 4 4 2 5 3 2" xfId="18913" xr:uid="{A7AE5073-9934-4218-95BB-4C13A6598B37}"/>
    <cellStyle name="Normal 7 4 4 2 5 4" xfId="11366" xr:uid="{A9D3F44A-5F53-4F95-B187-DB99A473ACC0}"/>
    <cellStyle name="Normal 7 4 4 2 5 4 2" xfId="21746" xr:uid="{11B55F38-7F1C-4A4E-B4E8-833C6941F2AB}"/>
    <cellStyle name="Normal 7 4 4 2 5 5" xfId="25096" xr:uid="{3AB56816-3174-4584-B530-8EBDB09C1D5E}"/>
    <cellStyle name="Normal 7 4 4 2 5 6" xfId="14041" xr:uid="{81C8A64A-C038-4D7B-B98F-C8EAF384ECC4}"/>
    <cellStyle name="Normal 7 4 4 2 6" xfId="2552" xr:uid="{00000000-0005-0000-0000-000091080000}"/>
    <cellStyle name="Normal 7 4 4 2 6 2" xfId="5824" xr:uid="{F20CE6BA-12C7-4C14-A008-A15032D5A25B}"/>
    <cellStyle name="Normal 7 4 4 2 6 2 2" xfId="27587" xr:uid="{5BEA6F7A-80FC-4FFF-AAE9-237450D76ED5}"/>
    <cellStyle name="Normal 7 4 4 2 6 2 3" xfId="15224" xr:uid="{F90B9A98-A7E6-451C-8BAE-57C7F3A42DEA}"/>
    <cellStyle name="Normal 7 4 4 2 6 3" xfId="7677" xr:uid="{F23C6D6B-CF8D-40E4-A892-EFCF66043F69}"/>
    <cellStyle name="Normal 7 4 4 2 6 3 2" xfId="18057" xr:uid="{AFF8699B-7BCE-4E04-82FD-282E7A9342F1}"/>
    <cellStyle name="Normal 7 4 4 2 6 4" xfId="10510" xr:uid="{0D24AE76-6568-4B47-8025-7FA3A808C65A}"/>
    <cellStyle name="Normal 7 4 4 2 6 4 2" xfId="20890" xr:uid="{86768A89-C52D-46AE-9800-33A4FE29CFD8}"/>
    <cellStyle name="Normal 7 4 4 2 6 5" xfId="24200" xr:uid="{91F6AB87-A6E4-486E-A0B5-0D2DA2143D03}"/>
    <cellStyle name="Normal 7 4 4 2 6 6" xfId="12940" xr:uid="{C866F9FC-8C70-4F91-A275-BC83D5C86989}"/>
    <cellStyle name="Normal 7 4 4 2 7" xfId="2246" xr:uid="{00000000-0005-0000-0000-000087080000}"/>
    <cellStyle name="Normal 7 4 4 2 7 2" xfId="7373" xr:uid="{26283281-5ABF-482D-B5B3-127F8E984BFF}"/>
    <cellStyle name="Normal 7 4 4 2 7 2 2" xfId="17753" xr:uid="{2A060D8B-9545-4E67-BD93-DE0D9596E7FB}"/>
    <cellStyle name="Normal 7 4 4 2 7 3" xfId="10206" xr:uid="{F58D38A8-DBD8-41D8-AF5C-8D0538519E16}"/>
    <cellStyle name="Normal 7 4 4 2 7 3 2" xfId="20586" xr:uid="{5E0907C3-349F-4D28-A9D8-857AE3176668}"/>
    <cellStyle name="Normal 7 4 4 2 7 4" xfId="22753" xr:uid="{FD00B7D4-3539-4198-9907-1464487681AC}"/>
    <cellStyle name="Normal 7 4 4 2 7 5" xfId="14920" xr:uid="{BA2D0341-9462-4C2B-AF9D-67FB8C251BA0}"/>
    <cellStyle name="Normal 7 4 4 2 8" xfId="3799" xr:uid="{DAA32352-6BAD-430F-9A17-F7EF7AB6614A}"/>
    <cellStyle name="Normal 7 4 4 2 8 2" xfId="8635" xr:uid="{CD6C34D6-6911-49EF-B3EA-F852754DDF1F}"/>
    <cellStyle name="Normal 7 4 4 2 8 2 2" xfId="19015" xr:uid="{F97DB3D1-9FE7-40C0-8B08-55F2D4C221F4}"/>
    <cellStyle name="Normal 7 4 4 2 8 3" xfId="11468" xr:uid="{FCEA4E2D-C2D2-4663-92A4-343D02BD1178}"/>
    <cellStyle name="Normal 7 4 4 2 8 3 2" xfId="21848" xr:uid="{E050C544-35DC-4BD0-BCB9-42DCBE06AECA}"/>
    <cellStyle name="Normal 7 4 4 2 8 4" xfId="16182" xr:uid="{EC44B864-D532-4297-BAE3-94C32EBC660A}"/>
    <cellStyle name="Normal 7 4 4 2 9" xfId="5451" xr:uid="{EE4BCC74-C422-439B-AD8A-2B512A0795F4}"/>
    <cellStyle name="Normal 7 4 4 2 9 2" xfId="14748" xr:uid="{F516A8B1-8CC9-4949-9E5F-848D22370AAE}"/>
    <cellStyle name="Normal 7 4 4 3" xfId="1435" xr:uid="{00000000-0005-0000-0000-000072070000}"/>
    <cellStyle name="Normal 7 4 4 3 10" xfId="10036" xr:uid="{0AD9C01A-7272-4FE1-A52F-22B7BBD12FF2}"/>
    <cellStyle name="Normal 7 4 4 3 10 2" xfId="20416" xr:uid="{36F7C331-6751-4B69-8C0D-AB4B7C300153}"/>
    <cellStyle name="Normal 7 4 4 3 11" xfId="24032" xr:uid="{BA681105-BE24-4BB5-8D87-F19F049BCC02}"/>
    <cellStyle name="Normal 7 4 4 3 12" xfId="12637" xr:uid="{99999AEE-47FD-4FA7-8FD4-45B02F09CBEB}"/>
    <cellStyle name="Normal 7 4 4 3 2" xfId="2835" xr:uid="{00000000-0005-0000-0000-000093080000}"/>
    <cellStyle name="Normal 7 4 4 3 2 2" xfId="3461" xr:uid="{00000000-0005-0000-0000-000094080000}"/>
    <cellStyle name="Normal 7 4 4 3 2 2 2" xfId="6516" xr:uid="{034D1EAC-D921-43B0-9889-CD6826907649}"/>
    <cellStyle name="Normal 7 4 4 3 2 2 2 2" xfId="28680" xr:uid="{053950AF-9542-4417-9943-2597D0C02EBD}"/>
    <cellStyle name="Normal 7 4 4 3 2 2 2 3" xfId="16087" xr:uid="{D1C17C96-AF36-4CC9-96B3-454480DA749B}"/>
    <cellStyle name="Normal 7 4 4 3 2 2 3" xfId="8540" xr:uid="{986437B4-FBB8-4F2F-BB70-FA6454ADB463}"/>
    <cellStyle name="Normal 7 4 4 3 2 2 3 2" xfId="18920" xr:uid="{4C575817-6CB8-496D-BF09-ABB4A9CF2DCD}"/>
    <cellStyle name="Normal 7 4 4 3 2 2 4" xfId="11373" xr:uid="{54F9B92A-66AA-45B3-866D-B16A31EC942C}"/>
    <cellStyle name="Normal 7 4 4 3 2 2 4 2" xfId="21753" xr:uid="{2502CA8E-522F-42A9-B245-AF35E3C98EA0}"/>
    <cellStyle name="Normal 7 4 4 3 2 2 5" xfId="23907" xr:uid="{1D2E9EE8-F643-4313-AF75-E46F10BE5FC2}"/>
    <cellStyle name="Normal 7 4 4 3 2 2 6" xfId="14048" xr:uid="{C13405EC-5891-4A8E-8B7C-BC6D51C259A8}"/>
    <cellStyle name="Normal 7 4 4 3 2 3" xfId="4371" xr:uid="{0659832D-C1DD-467F-B7B6-1FE42F2F2940}"/>
    <cellStyle name="Normal 7 4 4 3 2 3 2" xfId="9143" xr:uid="{E6B3A5D8-7DA3-45F9-9942-9F0A3EF5ABB4}"/>
    <cellStyle name="Normal 7 4 4 3 2 3 2 2" xfId="29186" xr:uid="{BB606388-E4A1-42F9-9CF4-70216C3CF050}"/>
    <cellStyle name="Normal 7 4 4 3 2 3 2 3" xfId="19523" xr:uid="{EDFCAAEA-3CFC-4FDC-99F1-1183F7FC1430}"/>
    <cellStyle name="Normal 7 4 4 3 2 3 3" xfId="11976" xr:uid="{E656D6CD-A3F3-4801-985F-D85295FA1C57}"/>
    <cellStyle name="Normal 7 4 4 3 2 3 3 2" xfId="22356" xr:uid="{5155C7CA-726A-4A03-988F-9D04AEDE7B53}"/>
    <cellStyle name="Normal 7 4 4 3 2 3 4" xfId="23313" xr:uid="{FF037F3A-C9EE-4789-8D8F-16D1F83D2BA6}"/>
    <cellStyle name="Normal 7 4 4 3 2 3 5" xfId="16690" xr:uid="{8113FA6A-9C2B-46E4-9489-643A315959DF}"/>
    <cellStyle name="Normal 7 4 4 3 2 4" xfId="6051" xr:uid="{DE932555-5864-4A68-B63A-46AF8A2B591A}"/>
    <cellStyle name="Normal 7 4 4 3 2 4 2" xfId="28607" xr:uid="{E8D0DB87-9700-4EAB-990B-2381980AF999}"/>
    <cellStyle name="Normal 7 4 4 3 2 4 3" xfId="15505" xr:uid="{675359B0-1C01-40AA-B61F-9A4003C9AC56}"/>
    <cellStyle name="Normal 7 4 4 3 2 5" xfId="7958" xr:uid="{49DF7570-FCF9-426A-8F55-B6D9CDC1FB76}"/>
    <cellStyle name="Normal 7 4 4 3 2 5 2" xfId="18338" xr:uid="{4CFF227B-804B-4CC6-83BE-B35A6B8DAFBA}"/>
    <cellStyle name="Normal 7 4 4 3 2 6" xfId="10791" xr:uid="{04644EAF-96E5-4873-9266-32AAE5E3774A}"/>
    <cellStyle name="Normal 7 4 4 3 2 6 2" xfId="21171" xr:uid="{C81BB689-44C1-4D2A-82D1-C28D0552B0D8}"/>
    <cellStyle name="Normal 7 4 4 3 2 7" xfId="24868" xr:uid="{807E4EA1-9D04-4E45-83F2-68B50B7A8515}"/>
    <cellStyle name="Normal 7 4 4 3 2 8" xfId="13311" xr:uid="{BD10ACE1-8FCF-4488-A07D-D7342DFEBAD6}"/>
    <cellStyle name="Normal 7 4 4 3 3" xfId="3462" xr:uid="{00000000-0005-0000-0000-000095080000}"/>
    <cellStyle name="Normal 7 4 4 3 3 2" xfId="4589" xr:uid="{A474941C-FDE8-462E-80AC-1AEBB47CFAA8}"/>
    <cellStyle name="Normal 7 4 4 3 3 2 2" xfId="9361" xr:uid="{8C1074CE-37B7-4913-A6FF-6C6D691F1ED5}"/>
    <cellStyle name="Normal 7 4 4 3 3 2 2 2" xfId="29331" xr:uid="{A451520F-E369-4C5D-9818-8B2B69613E76}"/>
    <cellStyle name="Normal 7 4 4 3 3 2 2 3" xfId="19741" xr:uid="{9F6772C3-147C-42B4-9790-4925794F556E}"/>
    <cellStyle name="Normal 7 4 4 3 3 2 3" xfId="12194" xr:uid="{231DC338-AEDB-4BF9-A826-BC73AD859B1C}"/>
    <cellStyle name="Normal 7 4 4 3 3 2 3 2" xfId="22574" xr:uid="{092FBB8C-4A28-4367-B46E-126423D2A717}"/>
    <cellStyle name="Normal 7 4 4 3 3 2 4" xfId="25336" xr:uid="{0987B2FE-3244-4645-A112-18F593F4BCFA}"/>
    <cellStyle name="Normal 7 4 4 3 3 2 5" xfId="16908" xr:uid="{67B67DB3-2EDC-4FB1-868F-EDBA5B21871B}"/>
    <cellStyle name="Normal 7 4 4 3 3 3" xfId="6517" xr:uid="{AC414C89-6E7D-4392-B1CC-1E182DA39C3D}"/>
    <cellStyle name="Normal 7 4 4 3 3 3 2" xfId="28409" xr:uid="{8DBF70E8-8A8F-4CCD-83F2-87CABD6C61ED}"/>
    <cellStyle name="Normal 7 4 4 3 3 3 3" xfId="16088" xr:uid="{037F70C4-A8F5-46D9-9E67-E1D66CF33B36}"/>
    <cellStyle name="Normal 7 4 4 3 3 4" xfId="8541" xr:uid="{CFABD363-A6D3-452D-930E-013BC2326696}"/>
    <cellStyle name="Normal 7 4 4 3 3 4 2" xfId="18921" xr:uid="{55E0E2B5-57F9-4C00-9C63-80DB3467B08E}"/>
    <cellStyle name="Normal 7 4 4 3 3 5" xfId="11374" xr:uid="{BAEB42AC-B1BC-4DBE-B93C-B07B4FF468F7}"/>
    <cellStyle name="Normal 7 4 4 3 3 5 2" xfId="21754" xr:uid="{08795ADC-573E-43A9-A426-73BD16C606C4}"/>
    <cellStyle name="Normal 7 4 4 3 3 6" xfId="25143" xr:uid="{C7CCA1E3-02D1-4BB8-AD9F-084A8C76BBD2}"/>
    <cellStyle name="Normal 7 4 4 3 3 7" xfId="14049" xr:uid="{6C3CDA8A-5BA2-48C0-82AD-A38D7AA7E568}"/>
    <cellStyle name="Normal 7 4 4 3 4" xfId="3460" xr:uid="{00000000-0005-0000-0000-000096080000}"/>
    <cellStyle name="Normal 7 4 4 3 4 2" xfId="6515" xr:uid="{F9090B4D-F3CC-4F61-8095-3B8BE0779478}"/>
    <cellStyle name="Normal 7 4 4 3 4 2 2" xfId="26422" xr:uid="{D379E330-4095-4BDC-97F3-0ADCF8EECFBB}"/>
    <cellStyle name="Normal 7 4 4 3 4 2 3" xfId="16086" xr:uid="{D375E2F8-E8AE-4EEF-8ED1-BBDAD5360910}"/>
    <cellStyle name="Normal 7 4 4 3 4 3" xfId="8539" xr:uid="{A18FDA77-F04D-4DF8-A347-B24A599E4CFD}"/>
    <cellStyle name="Normal 7 4 4 3 4 3 2" xfId="18919" xr:uid="{88DD5590-8B64-4490-8E7C-9C0CAEA6849D}"/>
    <cellStyle name="Normal 7 4 4 3 4 4" xfId="11372" xr:uid="{524758A7-14DA-41D6-9A4A-6D4F48CE43A8}"/>
    <cellStyle name="Normal 7 4 4 3 4 4 2" xfId="21752" xr:uid="{2385AD1A-2651-4DD3-A382-D510A661377B}"/>
    <cellStyle name="Normal 7 4 4 3 4 5" xfId="23402" xr:uid="{76C33ED5-E615-4081-8154-0EFD014530B6}"/>
    <cellStyle name="Normal 7 4 4 3 4 6" xfId="14047" xr:uid="{A7C35981-5852-4505-AB7C-66BF7BBD2B18}"/>
    <cellStyle name="Normal 7 4 4 3 5" xfId="2595" xr:uid="{00000000-0005-0000-0000-000097080000}"/>
    <cellStyle name="Normal 7 4 4 3 5 2" xfId="5860" xr:uid="{F2599C98-B9A0-4118-9CE8-33021C6A6B6D}"/>
    <cellStyle name="Normal 7 4 4 3 5 2 2" xfId="27146" xr:uid="{76DC0338-C8F7-4BB1-A594-E523882A8B15}"/>
    <cellStyle name="Normal 7 4 4 3 5 2 3" xfId="15267" xr:uid="{5F33D464-7C8E-4DD5-9456-6D815C1F9100}"/>
    <cellStyle name="Normal 7 4 4 3 5 3" xfId="7720" xr:uid="{AFEF6897-243C-497C-A883-74FDF5E5B904}"/>
    <cellStyle name="Normal 7 4 4 3 5 3 2" xfId="18100" xr:uid="{943B9694-A54A-4FC0-BE14-C5768314675A}"/>
    <cellStyle name="Normal 7 4 4 3 5 4" xfId="10553" xr:uid="{A4072F29-C570-459A-B51F-E90C79C94AAA}"/>
    <cellStyle name="Normal 7 4 4 3 5 4 2" xfId="20933" xr:uid="{8051ED48-CFA2-4EF5-B914-29BDD6F917FF}"/>
    <cellStyle name="Normal 7 4 4 3 5 5" xfId="25264" xr:uid="{29DE1F0B-1A51-499B-8642-4715FCB8BDB9}"/>
    <cellStyle name="Normal 7 4 4 3 5 6" xfId="12983" xr:uid="{CB99174D-2904-4DB9-8D7E-5ED794E6D756}"/>
    <cellStyle name="Normal 7 4 4 3 6" xfId="2403" xr:uid="{00000000-0005-0000-0000-000092080000}"/>
    <cellStyle name="Normal 7 4 4 3 6 2" xfId="7530" xr:uid="{22B55CE2-FDBF-4440-B37F-3513AA4B2DB5}"/>
    <cellStyle name="Normal 7 4 4 3 6 2 2" xfId="17910" xr:uid="{00E4EC6B-257D-4D6E-B791-8B8C924B17E9}"/>
    <cellStyle name="Normal 7 4 4 3 6 3" xfId="10363" xr:uid="{1D14EC35-D8CD-41E6-A37C-78351754AA0E}"/>
    <cellStyle name="Normal 7 4 4 3 6 3 2" xfId="20743" xr:uid="{18DCC22E-5D92-407D-848C-517E166002DE}"/>
    <cellStyle name="Normal 7 4 4 3 6 4" xfId="23351" xr:uid="{6059F81A-D840-4902-B026-ABAEFA6A9F0B}"/>
    <cellStyle name="Normal 7 4 4 3 6 5" xfId="15077" xr:uid="{4D55F934-1FFC-4396-9F31-6D84758483DD}"/>
    <cellStyle name="Normal 7 4 4 3 7" xfId="4103" xr:uid="{6A1C0A1D-511F-4E74-B247-18BCDAE310FC}"/>
    <cellStyle name="Normal 7 4 4 3 7 2" xfId="8877" xr:uid="{27E6B2CE-1AFD-4862-9E16-5BF29D5C5909}"/>
    <cellStyle name="Normal 7 4 4 3 7 2 2" xfId="19257" xr:uid="{824FCCF6-6BC4-4C86-AB05-99C7ABE84B42}"/>
    <cellStyle name="Normal 7 4 4 3 7 3" xfId="11710" xr:uid="{05DB735E-454B-4105-88B9-5CC241F5CCCB}"/>
    <cellStyle name="Normal 7 4 4 3 7 3 2" xfId="22090" xr:uid="{81AFA6DA-3E88-4DB8-90F1-7319E912E8F2}"/>
    <cellStyle name="Normal 7 4 4 3 7 4" xfId="16424" xr:uid="{46FF35D0-51FF-4D94-B961-C26787B78596}"/>
    <cellStyle name="Normal 7 4 4 3 8" xfId="5453" xr:uid="{58EF8992-1F4B-41D3-A46F-97B36DCFC36A}"/>
    <cellStyle name="Normal 7 4 4 3 8 2" xfId="14750" xr:uid="{472FBAF2-5C4C-439D-9980-33A89F795071}"/>
    <cellStyle name="Normal 7 4 4 3 9" xfId="7203" xr:uid="{952ADF49-3098-473E-B217-95CF5041A2A8}"/>
    <cellStyle name="Normal 7 4 4 3 9 2" xfId="17583" xr:uid="{70E7D636-D7A1-460A-BE46-3B0A90B2B5F6}"/>
    <cellStyle name="Normal 7 4 4 4" xfId="1436" xr:uid="{00000000-0005-0000-0000-000073070000}"/>
    <cellStyle name="Normal 7 4 4 4 2" xfId="3463" xr:uid="{00000000-0005-0000-0000-000099080000}"/>
    <cellStyle name="Normal 7 4 4 4 2 2" xfId="6518" xr:uid="{F982CCF3-E4B3-45BC-9DF4-6F2C832F9625}"/>
    <cellStyle name="Normal 7 4 4 4 2 2 2" xfId="25835" xr:uid="{0C93712A-98B4-4A27-9406-FAAD6D859413}"/>
    <cellStyle name="Normal 7 4 4 4 2 2 3" xfId="16089" xr:uid="{48FB1532-3D66-4BB7-92D7-C502905FCC63}"/>
    <cellStyle name="Normal 7 4 4 4 2 3" xfId="8542" xr:uid="{4A994164-35D4-4108-80D3-9858944D52C1}"/>
    <cellStyle name="Normal 7 4 4 4 2 3 2" xfId="18922" xr:uid="{178C6F7F-B996-4AAC-9298-269F9631A294}"/>
    <cellStyle name="Normal 7 4 4 4 2 4" xfId="11375" xr:uid="{4FA9F0EE-E592-4579-A037-25E98C68D43D}"/>
    <cellStyle name="Normal 7 4 4 4 2 4 2" xfId="21755" xr:uid="{0FE6EAEE-F1E8-40B0-9D52-50A69A761F3A}"/>
    <cellStyle name="Normal 7 4 4 4 2 5" xfId="22765" xr:uid="{D6039679-CC4D-4C29-9FBD-23AA925B05DE}"/>
    <cellStyle name="Normal 7 4 4 4 2 6" xfId="14050" xr:uid="{AFEDC8C5-B75D-4B3B-A740-64D6C07312F0}"/>
    <cellStyle name="Normal 7 4 4 4 3" xfId="2832" xr:uid="{00000000-0005-0000-0000-00009A080000}"/>
    <cellStyle name="Normal 7 4 4 4 3 2" xfId="6048" xr:uid="{B47FB063-49D7-4081-8C3E-40F89A8ED9AD}"/>
    <cellStyle name="Normal 7 4 4 4 3 2 2" xfId="27734" xr:uid="{B792A0A3-E041-45B6-BFA5-6531E09A3C53}"/>
    <cellStyle name="Normal 7 4 4 4 3 2 3" xfId="15502" xr:uid="{12BEB11B-A442-450C-9428-A9E6BB086A87}"/>
    <cellStyle name="Normal 7 4 4 4 3 3" xfId="7955" xr:uid="{DA97BF09-2837-4C57-AB4E-94C0D8F31BD2}"/>
    <cellStyle name="Normal 7 4 4 4 3 3 2" xfId="18335" xr:uid="{5B287435-B7E4-48B5-9AA8-6B13DAD14B82}"/>
    <cellStyle name="Normal 7 4 4 4 3 4" xfId="10788" xr:uid="{0596FCAC-9CAA-4574-86D2-F97DE7354D19}"/>
    <cellStyle name="Normal 7 4 4 4 3 4 2" xfId="21168" xr:uid="{A899A5D7-41A6-498C-9BA0-19AD65E3F0A7}"/>
    <cellStyle name="Normal 7 4 4 4 3 5" xfId="25089" xr:uid="{68A8F8FA-735F-4F37-A8AD-7CF63DF62108}"/>
    <cellStyle name="Normal 7 4 4 4 3 6" xfId="13308" xr:uid="{E3C36802-0ABD-4645-B477-520D77839989}"/>
    <cellStyle name="Normal 7 4 4 4 4" xfId="4221" xr:uid="{44491943-E6A8-4D35-9E5F-48696B2FDF6C}"/>
    <cellStyle name="Normal 7 4 4 4 4 2" xfId="8993" xr:uid="{1E995EB1-E39A-482C-9073-C5620D091600}"/>
    <cellStyle name="Normal 7 4 4 4 4 2 2" xfId="19373" xr:uid="{2100FD03-C50A-4B77-A4DE-6A7C7745C0B5}"/>
    <cellStyle name="Normal 7 4 4 4 4 3" xfId="11826" xr:uid="{AE41E4D8-5D4B-4406-9864-AF1BE471B40F}"/>
    <cellStyle name="Normal 7 4 4 4 4 3 2" xfId="22206" xr:uid="{CA58DF2F-54B7-4BC1-B6A7-876B93D3E253}"/>
    <cellStyle name="Normal 7 4 4 4 4 4" xfId="22920" xr:uid="{3A848BF1-9B56-4355-A25C-B03A989D831A}"/>
    <cellStyle name="Normal 7 4 4 4 4 5" xfId="16540" xr:uid="{6E5F843C-BF66-444E-9962-572C83A6D746}"/>
    <cellStyle name="Normal 7 4 4 4 5" xfId="5454" xr:uid="{D13E76A0-1ECF-4EBD-9186-795140A7597B}"/>
    <cellStyle name="Normal 7 4 4 4 5 2" xfId="14751" xr:uid="{25EF9968-B704-4A78-9AD6-F02A07C76212}"/>
    <cellStyle name="Normal 7 4 4 4 6" xfId="7204" xr:uid="{1EC584B9-648C-453C-8CFB-406AB96E37EB}"/>
    <cellStyle name="Normal 7 4 4 4 6 2" xfId="17584" xr:uid="{E0CF6BBE-30B7-48B7-841A-C002A3E2060D}"/>
    <cellStyle name="Normal 7 4 4 4 7" xfId="10037" xr:uid="{460CF3DF-2A15-47CB-BF9D-651639FEFF7A}"/>
    <cellStyle name="Normal 7 4 4 4 7 2" xfId="20417" xr:uid="{01419667-F645-4A46-ABBE-D34331822207}"/>
    <cellStyle name="Normal 7 4 4 4 8" xfId="25155" xr:uid="{63897A23-9DF6-4E47-90C0-BA341FBC4E4F}"/>
    <cellStyle name="Normal 7 4 4 4 9" xfId="12795" xr:uid="{18F73C9F-56BF-4797-BE54-74F01120802D}"/>
    <cellStyle name="Normal 7 4 4 5" xfId="3464" xr:uid="{00000000-0005-0000-0000-00009B080000}"/>
    <cellStyle name="Normal 7 4 4 5 2" xfId="4590" xr:uid="{BBAA1457-EF96-48C1-BC26-BB325F7B0E53}"/>
    <cellStyle name="Normal 7 4 4 5 2 2" xfId="9362" xr:uid="{73D4206B-084D-4F0E-AB3C-3EE94F592A02}"/>
    <cellStyle name="Normal 7 4 4 5 2 2 2" xfId="29332" xr:uid="{2C97B3A2-03A9-4BF5-BB89-F3AB6C7DA914}"/>
    <cellStyle name="Normal 7 4 4 5 2 2 3" xfId="19742" xr:uid="{E7D47298-C79C-4B27-A375-271385A1F32E}"/>
    <cellStyle name="Normal 7 4 4 5 2 3" xfId="12195" xr:uid="{772E7CD2-A7F4-4D15-97BD-2B6F74B8C2F8}"/>
    <cellStyle name="Normal 7 4 4 5 2 3 2" xfId="22575" xr:uid="{C5AE1F92-A2D4-4FE4-81AB-738EA7E2869B}"/>
    <cellStyle name="Normal 7 4 4 5 2 4" xfId="24838" xr:uid="{7728F992-F520-4B48-88DC-FB6E4522D4E8}"/>
    <cellStyle name="Normal 7 4 4 5 2 5" xfId="16909" xr:uid="{B77B69CB-D17F-4BA0-8BD3-EEFDA8B55E6A}"/>
    <cellStyle name="Normal 7 4 4 5 3" xfId="6519" xr:uid="{B81E5C47-1D47-43B5-A72E-8098E337F4AB}"/>
    <cellStyle name="Normal 7 4 4 5 3 2" xfId="28487" xr:uid="{61508F15-6411-4A3A-A82A-871F8F563594}"/>
    <cellStyle name="Normal 7 4 4 5 3 3" xfId="16090" xr:uid="{C400E1FF-3987-425B-8638-06C24403A991}"/>
    <cellStyle name="Normal 7 4 4 5 4" xfId="8543" xr:uid="{0F897E2E-7061-41CB-8372-D4EFA0033D3B}"/>
    <cellStyle name="Normal 7 4 4 5 4 2" xfId="18923" xr:uid="{CEAB414B-8420-45E9-ABD5-BD6DD0561A42}"/>
    <cellStyle name="Normal 7 4 4 5 5" xfId="11376" xr:uid="{8063B509-CC82-421B-95B5-CBF15BA79A53}"/>
    <cellStyle name="Normal 7 4 4 5 5 2" xfId="21756" xr:uid="{7E8C913D-9533-4ABD-8479-CB6DB2D5AE29}"/>
    <cellStyle name="Normal 7 4 4 5 6" xfId="25190" xr:uid="{1E9517DB-DDAB-419C-992E-10533A90F797}"/>
    <cellStyle name="Normal 7 4 4 5 7" xfId="14051" xr:uid="{3F2AC03E-8703-48A2-89E3-48BA060139C0}"/>
    <cellStyle name="Normal 7 4 4 6" xfId="2994" xr:uid="{00000000-0005-0000-0000-00009C080000}"/>
    <cellStyle name="Normal 7 4 4 6 2" xfId="6144" xr:uid="{2B43D5BA-5114-430D-9C49-4DCAF0AB7850}"/>
    <cellStyle name="Normal 7 4 4 6 2 2" xfId="28477" xr:uid="{28BD2B38-C118-4B21-BF93-8215D5DE7C40}"/>
    <cellStyle name="Normal 7 4 4 6 2 3" xfId="15622" xr:uid="{1DD96F9A-EB3C-4030-9B74-E9C6683B6D13}"/>
    <cellStyle name="Normal 7 4 4 6 3" xfId="8075" xr:uid="{2CC6AF16-6074-435E-8A6B-605B84CC3B5A}"/>
    <cellStyle name="Normal 7 4 4 6 3 2" xfId="18455" xr:uid="{10C6D6B9-8ACB-42E3-BB51-CC60F075ABC4}"/>
    <cellStyle name="Normal 7 4 4 6 4" xfId="10908" xr:uid="{7F482487-2CC4-4837-B8DF-E45A7A5E75C7}"/>
    <cellStyle name="Normal 7 4 4 6 4 2" xfId="21288" xr:uid="{7622F3EF-8FA5-4E71-87E5-84797A8D97E4}"/>
    <cellStyle name="Normal 7 4 4 6 5" xfId="23333" xr:uid="{A4E4CD58-90B9-4C4C-9D2F-499DA1778149}"/>
    <cellStyle name="Normal 7 4 4 6 6" xfId="13493" xr:uid="{A5FAEBB9-6985-4BD3-A833-B5FDFF03F085}"/>
    <cellStyle name="Normal 7 4 4 7" xfId="2492" xr:uid="{00000000-0005-0000-0000-00009D080000}"/>
    <cellStyle name="Normal 7 4 4 7 2" xfId="5777" xr:uid="{01B52D0A-3CF0-46DC-B6F0-FBF64E3B159C}"/>
    <cellStyle name="Normal 7 4 4 7 2 2" xfId="28613" xr:uid="{24E7A3D5-3D8D-426B-8BD8-E36A2FA9DEB1}"/>
    <cellStyle name="Normal 7 4 4 7 2 3" xfId="15164" xr:uid="{B762EAD9-688B-4EDF-913C-39867300C7A8}"/>
    <cellStyle name="Normal 7 4 4 7 3" xfId="7617" xr:uid="{9CE6A97B-B5F4-46D8-8D4A-F4AA3D6F1806}"/>
    <cellStyle name="Normal 7 4 4 7 3 2" xfId="17997" xr:uid="{F8064113-CE90-49C0-A8B7-CC868350F09C}"/>
    <cellStyle name="Normal 7 4 4 7 4" xfId="10450" xr:uid="{B7983416-652E-43C7-8228-D077394E3EF5}"/>
    <cellStyle name="Normal 7 4 4 7 4 2" xfId="20830" xr:uid="{C937A6F6-E287-47A8-8618-DA885DC3C596}"/>
    <cellStyle name="Normal 7 4 4 7 5" xfId="25017" xr:uid="{AB707457-F50F-4488-B3E1-3EB8DAE6B6F6}"/>
    <cellStyle name="Normal 7 4 4 7 6" xfId="12880" xr:uid="{7546E79D-F083-4AA2-858C-2ED96CFB2C03}"/>
    <cellStyle name="Normal 7 4 4 8" xfId="2186" xr:uid="{00000000-0005-0000-0000-000086080000}"/>
    <cellStyle name="Normal 7 4 4 8 2" xfId="7313" xr:uid="{F190B6F3-DFEB-4069-BCA7-52C1B43AB5D8}"/>
    <cellStyle name="Normal 7 4 4 8 2 2" xfId="17693" xr:uid="{CD95C1DD-EB56-4B25-8F18-B6FE79337B1B}"/>
    <cellStyle name="Normal 7 4 4 8 3" xfId="10146" xr:uid="{C513C012-6B52-44B6-AD99-B5F620C56156}"/>
    <cellStyle name="Normal 7 4 4 8 3 2" xfId="20526" xr:uid="{E058294E-89D6-44CE-A1BE-2029E7C4C2E8}"/>
    <cellStyle name="Normal 7 4 4 8 4" xfId="24348" xr:uid="{A316E81C-E4FF-4399-BB54-8027D9BCFF0F}"/>
    <cellStyle name="Normal 7 4 4 8 5" xfId="14860" xr:uid="{6FAF84CF-AF10-4F2C-909B-E12D90F9401B}"/>
    <cellStyle name="Normal 7 4 4 9" xfId="4071" xr:uid="{8D74B87E-CD51-42A7-BBFA-D19E8595345F}"/>
    <cellStyle name="Normal 7 4 4 9 2" xfId="8851" xr:uid="{78141478-0620-4302-A6B6-3580DEEA7251}"/>
    <cellStyle name="Normal 7 4 4 9 2 2" xfId="19231" xr:uid="{6ACAF1E5-B00C-4740-95A1-FC93F0EB3386}"/>
    <cellStyle name="Normal 7 4 4 9 3" xfId="11684" xr:uid="{710F83C3-37EA-4B30-8D94-EFB2076B3B47}"/>
    <cellStyle name="Normal 7 4 4 9 3 2" xfId="22064" xr:uid="{5DACBBCD-65F7-421A-9850-59D620ABD4A6}"/>
    <cellStyle name="Normal 7 4 4 9 4" xfId="16398" xr:uid="{5108955D-11F1-4CB2-A850-EE4BFF4D196F}"/>
    <cellStyle name="Normal 7 4 5" xfId="1437" xr:uid="{00000000-0005-0000-0000-000074070000}"/>
    <cellStyle name="Normal 7 4 5 10" xfId="5455" xr:uid="{3BEA69EA-7367-4B83-93C6-827E4511E462}"/>
    <cellStyle name="Normal 7 4 5 10 2" xfId="14752" xr:uid="{98E0E415-F561-49A0-B3A0-87C6719E80DE}"/>
    <cellStyle name="Normal 7 4 5 11" xfId="7205" xr:uid="{D23C35F3-A56E-4ED3-98FB-293A345E11E0}"/>
    <cellStyle name="Normal 7 4 5 11 2" xfId="17585" xr:uid="{5A62008C-C375-43A8-BEEA-1B14C41898A5}"/>
    <cellStyle name="Normal 7 4 5 12" xfId="10038" xr:uid="{20AD47E1-C817-4817-B990-CA429EE224EE}"/>
    <cellStyle name="Normal 7 4 5 12 2" xfId="20418" xr:uid="{EE524DD4-A4A4-4D08-BFF5-C085C63825A1}"/>
    <cellStyle name="Normal 7 4 5 13" xfId="23190" xr:uid="{13FA5086-04B8-458F-9CD4-5D21F985A8FF}"/>
    <cellStyle name="Normal 7 4 5 14" xfId="12452" xr:uid="{8B12ECBD-940B-4229-8FBA-83B178826641}"/>
    <cellStyle name="Normal 7 4 5 2" xfId="1438" xr:uid="{00000000-0005-0000-0000-000075070000}"/>
    <cellStyle name="Normal 7 4 5 2 10" xfId="10039" xr:uid="{7E4A2B0B-6A88-44F0-A277-731B8AE6015E}"/>
    <cellStyle name="Normal 7 4 5 2 10 2" xfId="20419" xr:uid="{B2F2615F-9C46-4F7D-B051-AB20533FE80F}"/>
    <cellStyle name="Normal 7 4 5 2 11" xfId="24164" xr:uid="{C678FABD-64B0-41FB-ACC4-EC1234DAECA2}"/>
    <cellStyle name="Normal 7 4 5 2 12" xfId="12638" xr:uid="{C532D50D-F9F1-4330-BCE7-3F9E92E22F8A}"/>
    <cellStyle name="Normal 7 4 5 2 2" xfId="1439" xr:uid="{00000000-0005-0000-0000-000076070000}"/>
    <cellStyle name="Normal 7 4 5 2 2 2" xfId="3466" xr:uid="{00000000-0005-0000-0000-0000A1080000}"/>
    <cellStyle name="Normal 7 4 5 2 2 2 2" xfId="6521" xr:uid="{759C40B8-2BAD-48C4-BBAA-C50AB5F0A92A}"/>
    <cellStyle name="Normal 7 4 5 2 2 2 2 2" xfId="27739" xr:uid="{226FC528-0EE5-4D66-AFD9-5205DE87404B}"/>
    <cellStyle name="Normal 7 4 5 2 2 2 2 3" xfId="26928" xr:uid="{C9002E2F-8DCE-45A3-A35E-13558D4EEF36}"/>
    <cellStyle name="Normal 7 4 5 2 2 2 2 4" xfId="16092" xr:uid="{95B69166-525D-4D49-9E84-AF984F5FF843}"/>
    <cellStyle name="Normal 7 4 5 2 2 2 3" xfId="8545" xr:uid="{3B7703FE-2103-42F9-A5C2-D5E40CDEDA4F}"/>
    <cellStyle name="Normal 7 4 5 2 2 2 3 2" xfId="28943" xr:uid="{2B0205DA-F7B1-4837-88B4-3162D65112BC}"/>
    <cellStyle name="Normal 7 4 5 2 2 2 3 3" xfId="18925" xr:uid="{E3BD6200-D717-4910-8462-1C4409ADFDE1}"/>
    <cellStyle name="Normal 7 4 5 2 2 2 4" xfId="11378" xr:uid="{5DF666FB-AC85-4C66-9217-AD1973C4A5C7}"/>
    <cellStyle name="Normal 7 4 5 2 2 2 4 2" xfId="21758" xr:uid="{89F97885-1607-464C-BFB4-6A1857302746}"/>
    <cellStyle name="Normal 7 4 5 2 2 2 5" xfId="23452" xr:uid="{B7218DFF-9D69-4080-B380-64735778F0ED}"/>
    <cellStyle name="Normal 7 4 5 2 2 2 6" xfId="14053" xr:uid="{49DFE780-4C61-418F-994E-F134DF7FC24D}"/>
    <cellStyle name="Normal 7 4 5 2 2 3" xfId="4373" xr:uid="{C8443702-7F2D-4E52-9E30-664900B6AACD}"/>
    <cellStyle name="Normal 7 4 5 2 2 3 2" xfId="9145" xr:uid="{1AD95E88-1032-4597-92E3-C3C5614A1AC2}"/>
    <cellStyle name="Normal 7 4 5 2 2 3 2 2" xfId="29188" xr:uid="{D1EA1C01-4B98-4844-A2E8-A5971B45F20B}"/>
    <cellStyle name="Normal 7 4 5 2 2 3 2 3" xfId="19525" xr:uid="{5E4D1342-F5FF-465C-AD31-16ECFBBBAC0E}"/>
    <cellStyle name="Normal 7 4 5 2 2 3 3" xfId="11978" xr:uid="{C342A270-226B-4E98-BA91-0EEB14C41C73}"/>
    <cellStyle name="Normal 7 4 5 2 2 3 3 2" xfId="22358" xr:uid="{4ECE6B0F-AE4F-458C-A2BE-A10850F9160D}"/>
    <cellStyle name="Normal 7 4 5 2 2 3 4" xfId="24052" xr:uid="{7488166C-A495-44C2-B9F9-42FDCE3AB047}"/>
    <cellStyle name="Normal 7 4 5 2 2 3 5" xfId="16692" xr:uid="{E0EF8343-B663-4CC7-A472-DCFED6AB6021}"/>
    <cellStyle name="Normal 7 4 5 2 2 4" xfId="5457" xr:uid="{284E01FD-7710-485A-BFA2-B4C4EDB3EDD2}"/>
    <cellStyle name="Normal 7 4 5 2 2 4 2" xfId="26772" xr:uid="{02247007-EEC9-4278-828F-C6E499097436}"/>
    <cellStyle name="Normal 7 4 5 2 2 4 3" xfId="14754" xr:uid="{98DA4B1B-DB3E-4551-8B04-2BAFA1D10C83}"/>
    <cellStyle name="Normal 7 4 5 2 2 5" xfId="7207" xr:uid="{A8D606ED-48B7-4114-9511-75844D53DF0A}"/>
    <cellStyle name="Normal 7 4 5 2 2 5 2" xfId="17587" xr:uid="{76C499E0-4165-4B1F-B593-E78787CA9E29}"/>
    <cellStyle name="Normal 7 4 5 2 2 6" xfId="10040" xr:uid="{5EB3A933-48D2-47D3-A543-5C286C2649D5}"/>
    <cellStyle name="Normal 7 4 5 2 2 6 2" xfId="20420" xr:uid="{1CA99D9C-4FF8-42D1-A289-E0C84746A60D}"/>
    <cellStyle name="Normal 7 4 5 2 2 7" xfId="22835" xr:uid="{5A7C386A-1115-4874-85A7-41FBC5C69438}"/>
    <cellStyle name="Normal 7 4 5 2 2 8" xfId="13313" xr:uid="{3424E5BB-EBB7-47F3-8D06-BC6DC77B58DA}"/>
    <cellStyle name="Normal 7 4 5 2 3" xfId="3467" xr:uid="{00000000-0005-0000-0000-0000A2080000}"/>
    <cellStyle name="Normal 7 4 5 2 3 2" xfId="4591" xr:uid="{C5FB1697-5F66-4D73-BBEF-A574F753092C}"/>
    <cellStyle name="Normal 7 4 5 2 3 2 2" xfId="9363" xr:uid="{50D94030-38F6-450D-8C26-A93EA93BC79E}"/>
    <cellStyle name="Normal 7 4 5 2 3 2 2 2" xfId="29333" xr:uid="{31C34051-A5FD-4A0E-80FD-62F7A520F809}"/>
    <cellStyle name="Normal 7 4 5 2 3 2 2 3" xfId="19743" xr:uid="{5E42A3E0-37F7-43D6-9A70-88B270FB2BC0}"/>
    <cellStyle name="Normal 7 4 5 2 3 2 3" xfId="12196" xr:uid="{E6F6FA50-DEA6-420F-9D35-C11873B36E8B}"/>
    <cellStyle name="Normal 7 4 5 2 3 2 3 2" xfId="22576" xr:uid="{8E578A5C-8020-42A4-95A5-AD3C784CCEA8}"/>
    <cellStyle name="Normal 7 4 5 2 3 2 4" xfId="25337" xr:uid="{9EC854F1-36B2-407C-A633-75D679117AF6}"/>
    <cellStyle name="Normal 7 4 5 2 3 2 5" xfId="16910" xr:uid="{1C3506FF-1B26-4EAE-BF05-07D4747E042D}"/>
    <cellStyle name="Normal 7 4 5 2 3 3" xfId="6522" xr:uid="{56C522B1-B0A4-4B91-AD8E-03E569B695CC}"/>
    <cellStyle name="Normal 7 4 5 2 3 3 2" xfId="28702" xr:uid="{8D8C42E4-4AD0-4358-9332-A68EC79F9756}"/>
    <cellStyle name="Normal 7 4 5 2 3 3 3" xfId="16093" xr:uid="{5D57D89A-FFF1-4811-8C8B-67D4BCAC36D6}"/>
    <cellStyle name="Normal 7 4 5 2 3 4" xfId="8546" xr:uid="{8DEC7C9E-115A-40D0-A41A-8514A63B41A8}"/>
    <cellStyle name="Normal 7 4 5 2 3 4 2" xfId="18926" xr:uid="{BF4047EB-C272-4D1A-8B85-C5F2C820607D}"/>
    <cellStyle name="Normal 7 4 5 2 3 5" xfId="11379" xr:uid="{217215EC-841B-40AA-B0DB-35EFE4BC0D14}"/>
    <cellStyle name="Normal 7 4 5 2 3 5 2" xfId="21759" xr:uid="{FB26DF1D-3007-4DF0-9B48-A521486431BB}"/>
    <cellStyle name="Normal 7 4 5 2 3 6" xfId="23876" xr:uid="{2B142B24-9C6B-4A99-8197-3CAFB2245630}"/>
    <cellStyle name="Normal 7 4 5 2 3 7" xfId="14054" xr:uid="{528A2296-5118-41DE-B0F1-9251904292C4}"/>
    <cellStyle name="Normal 7 4 5 2 4" xfId="3465" xr:uid="{00000000-0005-0000-0000-0000A3080000}"/>
    <cellStyle name="Normal 7 4 5 2 4 2" xfId="6520" xr:uid="{3FCEE10E-AB9A-410F-ADD7-7A98A5FF4167}"/>
    <cellStyle name="Normal 7 4 5 2 4 2 2" xfId="27875" xr:uid="{08C35DFB-141B-4EB0-A9D0-6361D4F1E786}"/>
    <cellStyle name="Normal 7 4 5 2 4 2 3" xfId="16091" xr:uid="{938F8666-FB29-49E3-A3A9-8B5F7ABC7FDA}"/>
    <cellStyle name="Normal 7 4 5 2 4 3" xfId="8544" xr:uid="{6951522A-5B8B-4170-919C-C622CBC96F3D}"/>
    <cellStyle name="Normal 7 4 5 2 4 3 2" xfId="18924" xr:uid="{16D6616C-F1F8-4DC9-A10D-1E361B5A5261}"/>
    <cellStyle name="Normal 7 4 5 2 4 4" xfId="11377" xr:uid="{13ECABE8-85AD-4240-AE31-D061B4D05B5A}"/>
    <cellStyle name="Normal 7 4 5 2 4 4 2" xfId="21757" xr:uid="{9CC4C4C8-7B1B-4FC6-B531-18B674D20C27}"/>
    <cellStyle name="Normal 7 4 5 2 4 5" xfId="24453" xr:uid="{4E86DF6A-B825-4616-810A-F440E709C2B7}"/>
    <cellStyle name="Normal 7 4 5 2 4 6" xfId="14052" xr:uid="{8E394009-EDAA-4408-852F-E73257E41C83}"/>
    <cellStyle name="Normal 7 4 5 2 5" xfId="2526" xr:uid="{00000000-0005-0000-0000-0000A4080000}"/>
    <cellStyle name="Normal 7 4 5 2 5 2" xfId="5803" xr:uid="{AE5464FD-9C27-4CD4-835D-278EF0D461C1}"/>
    <cellStyle name="Normal 7 4 5 2 5 2 2" xfId="26297" xr:uid="{EE06E6B2-2519-4BEC-B248-A80F9A994B32}"/>
    <cellStyle name="Normal 7 4 5 2 5 2 3" xfId="15198" xr:uid="{4580F76A-3C06-4ADB-9621-BE67C42B329C}"/>
    <cellStyle name="Normal 7 4 5 2 5 3" xfId="7651" xr:uid="{E6F6C072-70FB-40C0-A9A9-ED00A30D4C7F}"/>
    <cellStyle name="Normal 7 4 5 2 5 3 2" xfId="18031" xr:uid="{C5875B92-3594-4955-AC39-B2AF25FFBDE0}"/>
    <cellStyle name="Normal 7 4 5 2 5 4" xfId="10484" xr:uid="{C4F87399-C515-4447-BF61-2B0AFDEDDD36}"/>
    <cellStyle name="Normal 7 4 5 2 5 4 2" xfId="20864" xr:uid="{4156CA54-464C-40C9-B49B-22F3D6E88135}"/>
    <cellStyle name="Normal 7 4 5 2 5 5" xfId="23209" xr:uid="{B2B70038-36D2-484A-9EDE-AF015FAE5F12}"/>
    <cellStyle name="Normal 7 4 5 2 5 6" xfId="12914" xr:uid="{EFEE560A-0B5F-41BA-B8C7-72148F06874C}"/>
    <cellStyle name="Normal 7 4 5 2 6" xfId="2404" xr:uid="{00000000-0005-0000-0000-00009F080000}"/>
    <cellStyle name="Normal 7 4 5 2 6 2" xfId="7531" xr:uid="{9BBEDFB3-869E-4604-9785-608F56B8E45A}"/>
    <cellStyle name="Normal 7 4 5 2 6 2 2" xfId="17911" xr:uid="{770AEAD1-1F39-4014-8A9A-93B524BD4E77}"/>
    <cellStyle name="Normal 7 4 5 2 6 3" xfId="10364" xr:uid="{5B6E3C15-26B9-45F6-9C7D-B57E3FA50F3B}"/>
    <cellStyle name="Normal 7 4 5 2 6 3 2" xfId="20744" xr:uid="{DB5830AA-A633-46EC-9F60-CA94BABB248D}"/>
    <cellStyle name="Normal 7 4 5 2 6 4" xfId="25260" xr:uid="{7B45440A-7E9E-4EB0-916B-88EE8F7E7259}"/>
    <cellStyle name="Normal 7 4 5 2 6 5" xfId="15078" xr:uid="{FB9032AF-3629-459C-B70A-4B9C53AEF29E}"/>
    <cellStyle name="Normal 7 4 5 2 7" xfId="4104" xr:uid="{8FD28EFA-C3CB-4557-AC4E-BF87B29153B0}"/>
    <cellStyle name="Normal 7 4 5 2 7 2" xfId="8878" xr:uid="{260B4A7B-6277-4E72-B3BC-9471517336C0}"/>
    <cellStyle name="Normal 7 4 5 2 7 2 2" xfId="19258" xr:uid="{AB1FB1C3-5381-4B26-BC02-389B83916361}"/>
    <cellStyle name="Normal 7 4 5 2 7 3" xfId="11711" xr:uid="{0AFBAB61-1214-4C50-BC9C-457C50C5A534}"/>
    <cellStyle name="Normal 7 4 5 2 7 3 2" xfId="22091" xr:uid="{A884F0D6-1218-4C37-9B1E-C74A3129080F}"/>
    <cellStyle name="Normal 7 4 5 2 7 4" xfId="16425" xr:uid="{849EE00F-E1E3-49D3-801F-6DEC2BFB5916}"/>
    <cellStyle name="Normal 7 4 5 2 8" xfId="5456" xr:uid="{F09B4FB6-D050-449A-B582-47A32A44F49C}"/>
    <cellStyle name="Normal 7 4 5 2 8 2" xfId="14753" xr:uid="{1249583C-87EA-482C-963D-784FE3213BCE}"/>
    <cellStyle name="Normal 7 4 5 2 9" xfId="7206" xr:uid="{0C851AFB-7C92-43C9-A4D6-A63E4FBF4BCD}"/>
    <cellStyle name="Normal 7 4 5 2 9 2" xfId="17586" xr:uid="{C14A22CA-C2B2-4725-9704-2F05FBB73448}"/>
    <cellStyle name="Normal 7 4 5 3" xfId="1440" xr:uid="{00000000-0005-0000-0000-000077070000}"/>
    <cellStyle name="Normal 7 4 5 3 10" xfId="24614" xr:uid="{4C744DA3-21BC-440E-8C96-D4CB18772947}"/>
    <cellStyle name="Normal 7 4 5 3 11" xfId="12796" xr:uid="{99365A30-2A21-4C99-87DC-94CD63FE7E63}"/>
    <cellStyle name="Normal 7 4 5 3 2" xfId="2836" xr:uid="{00000000-0005-0000-0000-0000A6080000}"/>
    <cellStyle name="Normal 7 4 5 3 2 2" xfId="3469" xr:uid="{00000000-0005-0000-0000-0000A7080000}"/>
    <cellStyle name="Normal 7 4 5 3 2 2 2" xfId="6524" xr:uid="{3D43E045-23D5-488C-9E94-5C16E657E405}"/>
    <cellStyle name="Normal 7 4 5 3 2 2 2 2" xfId="28423" xr:uid="{15790266-B34E-4E9F-933A-BD9FF2D41BBA}"/>
    <cellStyle name="Normal 7 4 5 3 2 2 2 3" xfId="16095" xr:uid="{C4463353-E454-41CE-A818-2C9CF0EA256D}"/>
    <cellStyle name="Normal 7 4 5 3 2 2 3" xfId="8548" xr:uid="{53F06438-B183-49CA-9ABA-B126D95AEB7C}"/>
    <cellStyle name="Normal 7 4 5 3 2 2 3 2" xfId="18928" xr:uid="{C5AF21F7-5F5E-49AF-98B0-B166EE2D6D36}"/>
    <cellStyle name="Normal 7 4 5 3 2 2 4" xfId="11381" xr:uid="{5550EB3C-C080-4D72-9AF8-79C67338107E}"/>
    <cellStyle name="Normal 7 4 5 3 2 2 4 2" xfId="21761" xr:uid="{0ADD8D08-89CC-4F81-8F2A-63C26EE882A8}"/>
    <cellStyle name="Normal 7 4 5 3 2 2 5" xfId="24331" xr:uid="{110C14E9-4DA6-4C8A-A623-8C4DA1C18513}"/>
    <cellStyle name="Normal 7 4 5 3 2 2 6" xfId="14056" xr:uid="{5D48DA47-A997-40DF-A05E-03E1AA896ED0}"/>
    <cellStyle name="Normal 7 4 5 3 2 3" xfId="4374" xr:uid="{0C638723-7EC5-4BBF-B85A-F7DA74481A1F}"/>
    <cellStyle name="Normal 7 4 5 3 2 3 2" xfId="9146" xr:uid="{B721CCCD-0A08-41C4-BCBF-1B443D0E2176}"/>
    <cellStyle name="Normal 7 4 5 3 2 3 2 2" xfId="29189" xr:uid="{9AF4A210-9EBD-431C-8F19-B71E5EADA8C2}"/>
    <cellStyle name="Normal 7 4 5 3 2 3 2 3" xfId="19526" xr:uid="{8171C32E-4272-46E8-8898-B49904C3F162}"/>
    <cellStyle name="Normal 7 4 5 3 2 3 3" xfId="11979" xr:uid="{3C2152C7-F5BB-419A-88C9-79BD358B1DD7}"/>
    <cellStyle name="Normal 7 4 5 3 2 3 3 2" xfId="22359" xr:uid="{28444200-7BA3-41E2-ADD8-7301CFF40D45}"/>
    <cellStyle name="Normal 7 4 5 3 2 3 4" xfId="22918" xr:uid="{09FBA3C0-D311-4F13-AFA1-7D0F432B1A8F}"/>
    <cellStyle name="Normal 7 4 5 3 2 3 5" xfId="16693" xr:uid="{78C2EC2F-2DA8-4386-8033-35B74E2DDBB6}"/>
    <cellStyle name="Normal 7 4 5 3 2 4" xfId="6052" xr:uid="{E39BE4B3-2DF2-44F3-AC26-C01470B4FC7A}"/>
    <cellStyle name="Normal 7 4 5 3 2 4 2" xfId="26566" xr:uid="{A98C0F54-6348-4585-9F78-F7DE2FC3E7D5}"/>
    <cellStyle name="Normal 7 4 5 3 2 4 3" xfId="15506" xr:uid="{71F9AB58-1893-4104-A00A-DF7B2A71C980}"/>
    <cellStyle name="Normal 7 4 5 3 2 5" xfId="7959" xr:uid="{C8BDD795-4668-43C6-AAD5-1987D8CA839C}"/>
    <cellStyle name="Normal 7 4 5 3 2 5 2" xfId="18339" xr:uid="{00EB6901-7F88-4FF7-8B00-FA4F51A5D420}"/>
    <cellStyle name="Normal 7 4 5 3 2 6" xfId="10792" xr:uid="{62A9211B-1887-457E-ABFA-3BA132E2CE7D}"/>
    <cellStyle name="Normal 7 4 5 3 2 6 2" xfId="21172" xr:uid="{1423FCE5-862C-46F5-8F8E-E6D61F840160}"/>
    <cellStyle name="Normal 7 4 5 3 2 7" xfId="23539" xr:uid="{DE2B695C-D9BC-4A10-AD4C-A8B5B1A7AB60}"/>
    <cellStyle name="Normal 7 4 5 3 2 8" xfId="13314" xr:uid="{5B7C446C-12F1-4EF5-99F8-DB42FFD90ADB}"/>
    <cellStyle name="Normal 7 4 5 3 3" xfId="3470" xr:uid="{00000000-0005-0000-0000-0000A8080000}"/>
    <cellStyle name="Normal 7 4 5 3 3 2" xfId="4592" xr:uid="{F16ECC63-77FB-4BC0-9263-3D0232E68377}"/>
    <cellStyle name="Normal 7 4 5 3 3 2 2" xfId="9364" xr:uid="{49B8B833-66EB-47B7-A317-B968AE51B0CF}"/>
    <cellStyle name="Normal 7 4 5 3 3 2 2 2" xfId="29334" xr:uid="{9593D21F-2633-4EB4-A6EC-5B30E8195583}"/>
    <cellStyle name="Normal 7 4 5 3 3 2 2 3" xfId="19744" xr:uid="{0D44F4C7-D9D4-4DBC-9DCD-9DFEB449FD0F}"/>
    <cellStyle name="Normal 7 4 5 3 3 2 3" xfId="12197" xr:uid="{5FB3DE9C-06F9-48E1-998C-8887FF754BAE}"/>
    <cellStyle name="Normal 7 4 5 3 3 2 3 2" xfId="22577" xr:uid="{FBDB5E6A-93AE-4500-9A85-23F5F0ECF22D}"/>
    <cellStyle name="Normal 7 4 5 3 3 2 4" xfId="25813" xr:uid="{B7346527-8675-4701-B877-62C841F6EBE0}"/>
    <cellStyle name="Normal 7 4 5 3 3 2 5" xfId="16911" xr:uid="{04D13FF9-3085-4228-BF3C-FE4E49CC3FCC}"/>
    <cellStyle name="Normal 7 4 5 3 3 3" xfId="6525" xr:uid="{9A4816BF-5D82-4100-95FF-086C23DB05A8}"/>
    <cellStyle name="Normal 7 4 5 3 3 3 2" xfId="26966" xr:uid="{7D3823DC-C7EB-4964-8756-C5BA544B68C4}"/>
    <cellStyle name="Normal 7 4 5 3 3 3 3" xfId="16096" xr:uid="{B126597B-9062-4A5E-968E-68A5860302BF}"/>
    <cellStyle name="Normal 7 4 5 3 3 4" xfId="8549" xr:uid="{4142520B-C995-40C9-9D97-9BBE14EDE247}"/>
    <cellStyle name="Normal 7 4 5 3 3 4 2" xfId="18929" xr:uid="{38A8EDC7-9CCF-4D01-B2AE-A1C83511C591}"/>
    <cellStyle name="Normal 7 4 5 3 3 5" xfId="11382" xr:uid="{28947E2A-5BBA-406A-98C1-DF60F3D73676}"/>
    <cellStyle name="Normal 7 4 5 3 3 5 2" xfId="21762" xr:uid="{5175FD23-5EE1-417D-A47F-73CF52833302}"/>
    <cellStyle name="Normal 7 4 5 3 3 6" xfId="25221" xr:uid="{64D9CA94-8A3C-40DD-98CD-79811DF79CBA}"/>
    <cellStyle name="Normal 7 4 5 3 3 7" xfId="14057" xr:uid="{F8447182-E098-4626-B45E-98AADA5EA0D7}"/>
    <cellStyle name="Normal 7 4 5 3 4" xfId="3468" xr:uid="{00000000-0005-0000-0000-0000A9080000}"/>
    <cellStyle name="Normal 7 4 5 3 4 2" xfId="6523" xr:uid="{EC580DD9-7275-479A-AA36-4019BB56B500}"/>
    <cellStyle name="Normal 7 4 5 3 4 2 2" xfId="28171" xr:uid="{667E8CEF-9AC4-4C27-96BB-0ADA10B9C7DA}"/>
    <cellStyle name="Normal 7 4 5 3 4 2 3" xfId="16094" xr:uid="{B8026675-0137-407F-933C-49AB3640FD85}"/>
    <cellStyle name="Normal 7 4 5 3 4 3" xfId="8547" xr:uid="{524A143B-8D12-41FA-9DBD-30220D6C3132}"/>
    <cellStyle name="Normal 7 4 5 3 4 3 2" xfId="18927" xr:uid="{0D27E462-6BF9-4BED-9856-E51B33311492}"/>
    <cellStyle name="Normal 7 4 5 3 4 4" xfId="11380" xr:uid="{3C91C5C8-72B4-426B-B061-1B5A2292495F}"/>
    <cellStyle name="Normal 7 4 5 3 4 4 2" xfId="21760" xr:uid="{8B5C94E8-934E-4BA0-8E92-79D17A692450}"/>
    <cellStyle name="Normal 7 4 5 3 4 5" xfId="24628" xr:uid="{D35239FD-09F5-4203-B7CB-904310CA3BF3}"/>
    <cellStyle name="Normal 7 4 5 3 4 6" xfId="14055" xr:uid="{C5CDB690-D4CE-42E7-ABAA-01518013248E}"/>
    <cellStyle name="Normal 7 4 5 3 5" xfId="2629" xr:uid="{00000000-0005-0000-0000-0000AA080000}"/>
    <cellStyle name="Normal 7 4 5 3 5 2" xfId="5891" xr:uid="{23142878-3E64-49A3-BA10-E99C203598A0}"/>
    <cellStyle name="Normal 7 4 5 3 5 2 2" xfId="26004" xr:uid="{BEF8B5AC-3BC3-4BD5-A597-7EC34795E82A}"/>
    <cellStyle name="Normal 7 4 5 3 5 2 3" xfId="15301" xr:uid="{1178578C-D67A-4B6C-8AFA-C38FDC910A54}"/>
    <cellStyle name="Normal 7 4 5 3 5 3" xfId="7754" xr:uid="{D6A72C4C-0188-4478-8821-B4BACD68C0F8}"/>
    <cellStyle name="Normal 7 4 5 3 5 3 2" xfId="18134" xr:uid="{046EB1D8-C08A-4410-B8C1-BA9D1632C251}"/>
    <cellStyle name="Normal 7 4 5 3 5 4" xfId="10587" xr:uid="{D00AB987-4839-467C-A7C1-09C933AED028}"/>
    <cellStyle name="Normal 7 4 5 3 5 4 2" xfId="20967" xr:uid="{147252C8-FADB-4773-B582-3E7DBC0152CB}"/>
    <cellStyle name="Normal 7 4 5 3 5 5" xfId="22879" xr:uid="{F78359D1-4FFF-4A2A-A148-43F4BFFDE41B}"/>
    <cellStyle name="Normal 7 4 5 3 5 6" xfId="13017" xr:uid="{0E89B7A7-D291-437F-B36D-3DABFBB30ECB}"/>
    <cellStyle name="Normal 7 4 5 3 6" xfId="4222" xr:uid="{6733272E-A744-4F20-B62A-DCC6BF90E6DB}"/>
    <cellStyle name="Normal 7 4 5 3 6 2" xfId="8994" xr:uid="{BD24733A-6C45-4563-87F3-273B8C8CA50A}"/>
    <cellStyle name="Normal 7 4 5 3 6 2 2" xfId="19374" xr:uid="{5DF50BFC-DDA0-4805-926D-A233BFE2283F}"/>
    <cellStyle name="Normal 7 4 5 3 6 3" xfId="11827" xr:uid="{87FB4150-563F-4FE9-8252-81900F4010FF}"/>
    <cellStyle name="Normal 7 4 5 3 6 3 2" xfId="22207" xr:uid="{3AEBE2F6-8496-45AA-B148-6F773FFCB072}"/>
    <cellStyle name="Normal 7 4 5 3 6 4" xfId="23592" xr:uid="{96941FE2-5BA6-45C7-94A9-6E6D07771D06}"/>
    <cellStyle name="Normal 7 4 5 3 6 5" xfId="16541" xr:uid="{AC15E640-E84D-4419-A405-D7592B8FFC29}"/>
    <cellStyle name="Normal 7 4 5 3 7" xfId="5458" xr:uid="{CB254C3D-8328-438C-BCB2-8175D5A7D7C0}"/>
    <cellStyle name="Normal 7 4 5 3 7 2" xfId="14755" xr:uid="{BF2EACDD-1085-482B-92B4-1207E9B75013}"/>
    <cellStyle name="Normal 7 4 5 3 8" xfId="7208" xr:uid="{AE704272-A315-4F5C-9074-FE104449892B}"/>
    <cellStyle name="Normal 7 4 5 3 8 2" xfId="17588" xr:uid="{0E02743E-A4C4-4CC3-8694-090F8FA53EAF}"/>
    <cellStyle name="Normal 7 4 5 3 9" xfId="10041" xr:uid="{0B61A119-BD13-445E-90A8-6817F9C647CE}"/>
    <cellStyle name="Normal 7 4 5 3 9 2" xfId="20421" xr:uid="{0BB920D2-DADD-49BC-BF35-D06395A6B8A6}"/>
    <cellStyle name="Normal 7 4 5 4" xfId="1441" xr:uid="{00000000-0005-0000-0000-000078070000}"/>
    <cellStyle name="Normal 7 4 5 4 2" xfId="3471" xr:uid="{00000000-0005-0000-0000-0000AC080000}"/>
    <cellStyle name="Normal 7 4 5 4 2 2" xfId="6526" xr:uid="{42FBD595-D5B7-4AB9-8D34-D4A4C1708753}"/>
    <cellStyle name="Normal 7 4 5 4 2 2 2" xfId="25971" xr:uid="{2980C43F-A4A4-4484-B060-7C9B30649953}"/>
    <cellStyle name="Normal 7 4 5 4 2 2 3" xfId="16097" xr:uid="{DCD9613D-4A7E-43F9-A40E-EE3F54EC9E4B}"/>
    <cellStyle name="Normal 7 4 5 4 2 3" xfId="8550" xr:uid="{55FBFC02-499D-47BD-B532-C2640EB2B05D}"/>
    <cellStyle name="Normal 7 4 5 4 2 3 2" xfId="18930" xr:uid="{0F914924-E3DF-4011-854A-867251C0B59B}"/>
    <cellStyle name="Normal 7 4 5 4 2 4" xfId="11383" xr:uid="{13AC4B8A-9E5B-474E-9E6C-EE4AE33C4E9C}"/>
    <cellStyle name="Normal 7 4 5 4 2 4 2" xfId="21763" xr:uid="{90CA32E0-CB42-40E4-9F5A-8DB54EAC6541}"/>
    <cellStyle name="Normal 7 4 5 4 2 5" xfId="22771" xr:uid="{94BBA90A-4A8B-48E8-A640-3995F7A77AF9}"/>
    <cellStyle name="Normal 7 4 5 4 2 6" xfId="14058" xr:uid="{B7C92D4B-1964-4EB7-9CFC-E84F2E7C7CAE}"/>
    <cellStyle name="Normal 7 4 5 4 3" xfId="4372" xr:uid="{982E9A28-BAEF-4D2A-BA36-1FA1CE6DD9F4}"/>
    <cellStyle name="Normal 7 4 5 4 3 2" xfId="9144" xr:uid="{B712051D-32A4-43A4-8A2F-54401EFD0C75}"/>
    <cellStyle name="Normal 7 4 5 4 3 2 2" xfId="29187" xr:uid="{99D741DD-8818-4024-9257-3A11E348F120}"/>
    <cellStyle name="Normal 7 4 5 4 3 2 3" xfId="19524" xr:uid="{8264D096-1196-40D9-B548-697DC033D31E}"/>
    <cellStyle name="Normal 7 4 5 4 3 3" xfId="11977" xr:uid="{152172AE-EAFB-467A-95C5-81277FA4B09E}"/>
    <cellStyle name="Normal 7 4 5 4 3 3 2" xfId="22357" xr:uid="{0508528A-A947-49DE-AF97-F946734EE209}"/>
    <cellStyle name="Normal 7 4 5 4 3 4" xfId="25531" xr:uid="{E6EC1743-A75B-4844-8031-40D139C09885}"/>
    <cellStyle name="Normal 7 4 5 4 3 5" xfId="16691" xr:uid="{36DC94FC-6C39-42C6-91E1-F72E73567142}"/>
    <cellStyle name="Normal 7 4 5 4 4" xfId="5459" xr:uid="{F4736D85-8878-4FA8-923A-E1403838DB9E}"/>
    <cellStyle name="Normal 7 4 5 4 4 2" xfId="26572" xr:uid="{624BF12C-C3D0-4C8B-A536-EFF8619DDA34}"/>
    <cellStyle name="Normal 7 4 5 4 4 3" xfId="14756" xr:uid="{1B9A5E26-C8C1-483B-9DFB-4844385D2F0A}"/>
    <cellStyle name="Normal 7 4 5 4 5" xfId="7209" xr:uid="{D60782DB-55D6-48B1-956D-983D1F530E6E}"/>
    <cellStyle name="Normal 7 4 5 4 5 2" xfId="17589" xr:uid="{5D06CA8C-1AD9-4647-94A1-100975BFC402}"/>
    <cellStyle name="Normal 7 4 5 4 6" xfId="10042" xr:uid="{B046BC94-B393-4FC2-B26B-E939306116A1}"/>
    <cellStyle name="Normal 7 4 5 4 6 2" xfId="20422" xr:uid="{E0179641-1977-468D-A4DF-EE6E9ED518F0}"/>
    <cellStyle name="Normal 7 4 5 4 7" xfId="25045" xr:uid="{DAD150E5-63F9-456D-9DE2-ECABA4755ED5}"/>
    <cellStyle name="Normal 7 4 5 4 8" xfId="13312" xr:uid="{8A287C97-45FB-442A-B27F-6A8E1BE93E89}"/>
    <cellStyle name="Normal 7 4 5 5" xfId="3472" xr:uid="{00000000-0005-0000-0000-0000AD080000}"/>
    <cellStyle name="Normal 7 4 5 5 2" xfId="4593" xr:uid="{35926369-7039-4EEC-B75A-3BB1B347393D}"/>
    <cellStyle name="Normal 7 4 5 5 2 2" xfId="9365" xr:uid="{546177B1-454A-4B2A-BFEC-6304F37CC577}"/>
    <cellStyle name="Normal 7 4 5 5 2 2 2" xfId="29335" xr:uid="{CC14DF5E-FE0D-486C-AAF8-1B25ECD8B96E}"/>
    <cellStyle name="Normal 7 4 5 5 2 2 3" xfId="19745" xr:uid="{87C6055A-3964-4D38-8D4A-CE748D2E6B01}"/>
    <cellStyle name="Normal 7 4 5 5 2 3" xfId="12198" xr:uid="{2EC098A8-4B36-4970-AF8C-00FFD5C5EBAE}"/>
    <cellStyle name="Normal 7 4 5 5 2 3 2" xfId="22578" xr:uid="{22FC2890-9AC8-4682-9492-D716708225D3}"/>
    <cellStyle name="Normal 7 4 5 5 2 4" xfId="25014" xr:uid="{BCC1CDE4-D924-4A74-ABE2-BC5407609446}"/>
    <cellStyle name="Normal 7 4 5 5 2 5" xfId="16912" xr:uid="{004673F0-7811-480D-A61E-403C4EE5590B}"/>
    <cellStyle name="Normal 7 4 5 5 3" xfId="6527" xr:uid="{E3206B87-3C43-4C2E-8780-6DE350835BA0}"/>
    <cellStyle name="Normal 7 4 5 5 3 2" xfId="27460" xr:uid="{2502B905-3FA1-4966-ACCB-BC7CAACEF295}"/>
    <cellStyle name="Normal 7 4 5 5 3 3" xfId="16098" xr:uid="{996D8786-8EBA-4700-BBEC-ED4C5AC1B543}"/>
    <cellStyle name="Normal 7 4 5 5 4" xfId="8551" xr:uid="{82075F95-A6E9-4D35-A9F0-06F7AC3631A3}"/>
    <cellStyle name="Normal 7 4 5 5 4 2" xfId="18931" xr:uid="{A9FEF4C5-48FB-455A-BC90-FD1F945BC554}"/>
    <cellStyle name="Normal 7 4 5 5 5" xfId="11384" xr:uid="{6649B145-16D2-42EB-9E9A-6272A5863D30}"/>
    <cellStyle name="Normal 7 4 5 5 5 2" xfId="21764" xr:uid="{23C63933-20B4-4F27-B148-5287C908DEA0}"/>
    <cellStyle name="Normal 7 4 5 5 6" xfId="24611" xr:uid="{EA31AACA-524A-4320-BE62-8957480C0168}"/>
    <cellStyle name="Normal 7 4 5 5 7" xfId="14059" xr:uid="{4CB9380D-C10B-4E9E-B0DE-819499236CC6}"/>
    <cellStyle name="Normal 7 4 5 6" xfId="2995" xr:uid="{00000000-0005-0000-0000-0000AE080000}"/>
    <cellStyle name="Normal 7 4 5 6 2" xfId="6145" xr:uid="{329964A5-29AB-4E50-A18A-0A87C77E0CD2}"/>
    <cellStyle name="Normal 7 4 5 6 2 2" xfId="26283" xr:uid="{F6A11925-35D7-4E7B-A272-D237D9A4867B}"/>
    <cellStyle name="Normal 7 4 5 6 2 3" xfId="15623" xr:uid="{8C08E7FF-2AAA-4A1F-ABA8-09F53F075606}"/>
    <cellStyle name="Normal 7 4 5 6 3" xfId="8076" xr:uid="{3CE81D40-D365-4DDF-AD91-51407A1C4B00}"/>
    <cellStyle name="Normal 7 4 5 6 3 2" xfId="18456" xr:uid="{2699446A-D6E3-4CE3-B055-4CB4598BFD69}"/>
    <cellStyle name="Normal 7 4 5 6 4" xfId="10909" xr:uid="{C0D1FBFA-0F28-4D12-A591-2DBC776B99E0}"/>
    <cellStyle name="Normal 7 4 5 6 4 2" xfId="21289" xr:uid="{9C1F2FD1-FEB8-41EF-98CD-A19DD9AE8D71}"/>
    <cellStyle name="Normal 7 4 5 6 5" xfId="23244" xr:uid="{76C9B4D9-2046-4620-9B09-B04B8044D621}"/>
    <cellStyle name="Normal 7 4 5 6 6" xfId="13494" xr:uid="{94814A25-6D71-4B56-BB2B-1EF7487F1533}"/>
    <cellStyle name="Normal 7 4 5 7" xfId="2466" xr:uid="{00000000-0005-0000-0000-0000AF080000}"/>
    <cellStyle name="Normal 7 4 5 7 2" xfId="5757" xr:uid="{0806CEDE-82C4-4757-94A1-D4A364F385D3}"/>
    <cellStyle name="Normal 7 4 5 7 2 2" xfId="27824" xr:uid="{D8A20EC4-0930-48B5-BB8D-002EEEFF8B79}"/>
    <cellStyle name="Normal 7 4 5 7 2 3" xfId="15138" xr:uid="{DAB03735-5BCD-45F9-965F-F78638AB8C71}"/>
    <cellStyle name="Normal 7 4 5 7 3" xfId="7591" xr:uid="{ED185F1D-0AFD-46B2-AFBC-5817A752073C}"/>
    <cellStyle name="Normal 7 4 5 7 3 2" xfId="17971" xr:uid="{2A1AE796-8920-4BEB-9B03-81203931504B}"/>
    <cellStyle name="Normal 7 4 5 7 4" xfId="10424" xr:uid="{F3CE7AE9-9597-4D70-ADB1-9CD09D5303E7}"/>
    <cellStyle name="Normal 7 4 5 7 4 2" xfId="20804" xr:uid="{4BD12F4B-85C9-443B-ADB6-EB5598A001F6}"/>
    <cellStyle name="Normal 7 4 5 7 5" xfId="24686" xr:uid="{7F498DCC-8B79-42AE-A66D-651ED3928429}"/>
    <cellStyle name="Normal 7 4 5 7 6" xfId="12854" xr:uid="{9679F6B9-5814-4809-BD04-04514E08081E}"/>
    <cellStyle name="Normal 7 4 5 8" xfId="2220" xr:uid="{00000000-0005-0000-0000-00009E080000}"/>
    <cellStyle name="Normal 7 4 5 8 2" xfId="7347" xr:uid="{F557962B-98E4-404E-BF09-964D44DF646A}"/>
    <cellStyle name="Normal 7 4 5 8 2 2" xfId="17727" xr:uid="{AC796349-D30C-4D4B-B059-04E362F1D48F}"/>
    <cellStyle name="Normal 7 4 5 8 3" xfId="10180" xr:uid="{65D29BBD-196A-4C9A-871F-33946F3CB743}"/>
    <cellStyle name="Normal 7 4 5 8 3 2" xfId="20560" xr:uid="{0A8EC2C8-C8BA-4B53-896F-A5393B55CE64}"/>
    <cellStyle name="Normal 7 4 5 8 4" xfId="25055" xr:uid="{1DAEE79F-B8A0-4360-B81F-5E1789B45645}"/>
    <cellStyle name="Normal 7 4 5 8 5" xfId="14894" xr:uid="{9007E917-66A3-431C-88DD-43C81AF06304}"/>
    <cellStyle name="Normal 7 4 5 9" xfId="4072" xr:uid="{3A901DB5-58D0-4820-A143-9FCA31460F7B}"/>
    <cellStyle name="Normal 7 4 5 9 2" xfId="8852" xr:uid="{700C17F6-D58A-408C-990F-C332EC8EC78C}"/>
    <cellStyle name="Normal 7 4 5 9 2 2" xfId="19232" xr:uid="{21BE3DC1-CB27-4FAF-BB6A-6FA87890E308}"/>
    <cellStyle name="Normal 7 4 5 9 3" xfId="11685" xr:uid="{1CB0413C-DD3D-4618-9B8E-208420E02059}"/>
    <cellStyle name="Normal 7 4 5 9 3 2" xfId="22065" xr:uid="{5227A0D6-DE0B-44F1-888B-5E60B3D3CD5C}"/>
    <cellStyle name="Normal 7 4 5 9 4" xfId="16399" xr:uid="{C8264871-7043-484B-8B5D-04A589B9A087}"/>
    <cellStyle name="Normal 7 4 6" xfId="1442" xr:uid="{00000000-0005-0000-0000-000079070000}"/>
    <cellStyle name="Normal 7 4 6 10" xfId="7210" xr:uid="{9D0BAB81-E060-46C4-A067-C3886DD2E4F5}"/>
    <cellStyle name="Normal 7 4 6 10 2" xfId="17590" xr:uid="{9281F678-6949-4A54-9733-A9AB1BF089C4}"/>
    <cellStyle name="Normal 7 4 6 11" xfId="10043" xr:uid="{579AAEC4-267E-45D8-8DA8-18AB3513478E}"/>
    <cellStyle name="Normal 7 4 6 11 2" xfId="20423" xr:uid="{59AE8321-472F-48C9-9BCE-38BE78599AF0}"/>
    <cellStyle name="Normal 7 4 6 12" xfId="24333" xr:uid="{BBFED37D-C0AD-4F14-AA04-70C6AE104C62}"/>
    <cellStyle name="Normal 7 4 6 13" xfId="12435" xr:uid="{6BCE06AF-85C4-4CC2-A918-E39D433FF0CD}"/>
    <cellStyle name="Normal 7 4 6 2" xfId="1443" xr:uid="{00000000-0005-0000-0000-00007A070000}"/>
    <cellStyle name="Normal 7 4 6 2 10" xfId="10044" xr:uid="{015A21AC-34D4-4826-84DF-2A188863A218}"/>
    <cellStyle name="Normal 7 4 6 2 10 2" xfId="20424" xr:uid="{57D37285-A06B-422F-B2D6-F44DF926CFBE}"/>
    <cellStyle name="Normal 7 4 6 2 11" xfId="24464" xr:uid="{3A31A8B7-2F92-472E-B7B5-9E887E7C8D00}"/>
    <cellStyle name="Normal 7 4 6 2 12" xfId="12639" xr:uid="{36FBE80E-5417-4AF5-86DE-81A4404606E3}"/>
    <cellStyle name="Normal 7 4 6 2 2" xfId="1444" xr:uid="{00000000-0005-0000-0000-00007B070000}"/>
    <cellStyle name="Normal 7 4 6 2 2 2" xfId="3474" xr:uid="{00000000-0005-0000-0000-0000B3080000}"/>
    <cellStyle name="Normal 7 4 6 2 2 2 2" xfId="6529" xr:uid="{2F811766-F2D8-4F4A-BA50-EF6F59704A35}"/>
    <cellStyle name="Normal 7 4 6 2 2 2 2 2" xfId="28019" xr:uid="{0EDEF980-8DC6-4133-825D-0AC672B945BF}"/>
    <cellStyle name="Normal 7 4 6 2 2 2 2 3" xfId="28174" xr:uid="{C9E9391A-CE76-400B-A4DD-A6C96FC18D1A}"/>
    <cellStyle name="Normal 7 4 6 2 2 2 2 4" xfId="16100" xr:uid="{3605FF11-A96C-4B5F-8FB7-99805CCB62D8}"/>
    <cellStyle name="Normal 7 4 6 2 2 2 3" xfId="8553" xr:uid="{C4F74542-B8A6-42C1-A393-BC01099B8C81}"/>
    <cellStyle name="Normal 7 4 6 2 2 2 3 2" xfId="28944" xr:uid="{484EA8FF-A658-414F-9465-055E6F23859F}"/>
    <cellStyle name="Normal 7 4 6 2 2 2 3 3" xfId="18933" xr:uid="{6981B120-B073-420F-B6D7-0CB1E2F8A322}"/>
    <cellStyle name="Normal 7 4 6 2 2 2 4" xfId="11386" xr:uid="{395CAD96-80CB-41CA-BD86-7FD10E6DB9DF}"/>
    <cellStyle name="Normal 7 4 6 2 2 2 4 2" xfId="21766" xr:uid="{50EB8523-F2CE-4146-8B69-A2E310D75B9E}"/>
    <cellStyle name="Normal 7 4 6 2 2 2 5" xfId="23315" xr:uid="{7176CF5D-11D8-4B27-8F9A-BFE9DC434CCA}"/>
    <cellStyle name="Normal 7 4 6 2 2 2 6" xfId="14061" xr:uid="{D5A276A3-7024-4E73-9B16-9116CA47891B}"/>
    <cellStyle name="Normal 7 4 6 2 2 3" xfId="4375" xr:uid="{A95130CF-C1A4-4A97-BA51-A9E1E46AC1AE}"/>
    <cellStyle name="Normal 7 4 6 2 2 3 2" xfId="9147" xr:uid="{8FB22CD3-2825-4E0D-8E2B-C6AE3C0C82EF}"/>
    <cellStyle name="Normal 7 4 6 2 2 3 2 2" xfId="29190" xr:uid="{D13D335D-E041-48E9-B7D1-4A67740958C5}"/>
    <cellStyle name="Normal 7 4 6 2 2 3 2 3" xfId="19527" xr:uid="{DB344710-F17E-418C-B4A2-630026663705}"/>
    <cellStyle name="Normal 7 4 6 2 2 3 3" xfId="11980" xr:uid="{8B36AEBF-4134-4BF8-A36C-9786466154DA}"/>
    <cellStyle name="Normal 7 4 6 2 2 3 3 2" xfId="22360" xr:uid="{C7F59C12-9CF7-4B47-9F45-F7C1BEC7C5BE}"/>
    <cellStyle name="Normal 7 4 6 2 2 3 4" xfId="25164" xr:uid="{3C115A6D-5126-4E2C-B507-31228BFAAE47}"/>
    <cellStyle name="Normal 7 4 6 2 2 3 5" xfId="16694" xr:uid="{D66D56DF-7F5C-49BE-BBB9-7F2F3686A2B0}"/>
    <cellStyle name="Normal 7 4 6 2 2 4" xfId="5462" xr:uid="{0CC6A5EB-0BCE-4510-BA88-5FEA0A5CE841}"/>
    <cellStyle name="Normal 7 4 6 2 2 4 2" xfId="28463" xr:uid="{5B671DBE-841C-4EF3-B4B0-44130DDBD783}"/>
    <cellStyle name="Normal 7 4 6 2 2 4 3" xfId="14759" xr:uid="{EDEA2358-8CBB-4A34-ADCC-15B892D84035}"/>
    <cellStyle name="Normal 7 4 6 2 2 5" xfId="7212" xr:uid="{C8622CF0-6FD8-4D48-B3CB-2AF7D2A7302D}"/>
    <cellStyle name="Normal 7 4 6 2 2 5 2" xfId="17592" xr:uid="{61377672-1CFC-4732-A347-7DE660EB372D}"/>
    <cellStyle name="Normal 7 4 6 2 2 6" xfId="10045" xr:uid="{65A19268-3767-4078-A796-2C4CBC861A87}"/>
    <cellStyle name="Normal 7 4 6 2 2 6 2" xfId="20425" xr:uid="{6EEB025A-54AB-4B21-B3FD-EFE52BBACBEC}"/>
    <cellStyle name="Normal 7 4 6 2 2 7" xfId="24150" xr:uid="{DF5D084C-42C6-42A0-B7E0-1157BB69E3A5}"/>
    <cellStyle name="Normal 7 4 6 2 2 8" xfId="13316" xr:uid="{165DDDD3-124E-47C3-91DC-3E4956AB94E1}"/>
    <cellStyle name="Normal 7 4 6 2 3" xfId="3475" xr:uid="{00000000-0005-0000-0000-0000B4080000}"/>
    <cellStyle name="Normal 7 4 6 2 3 2" xfId="4594" xr:uid="{AA9A90EB-6786-4553-BCF1-820E08D62D55}"/>
    <cellStyle name="Normal 7 4 6 2 3 2 2" xfId="9366" xr:uid="{C2246DDC-4E13-4C61-8968-6177DDB50795}"/>
    <cellStyle name="Normal 7 4 6 2 3 2 2 2" xfId="29336" xr:uid="{31266F53-CA8F-4EF3-8346-F5CE4DF6BBA1}"/>
    <cellStyle name="Normal 7 4 6 2 3 2 2 3" xfId="19746" xr:uid="{35689738-0262-4E2E-BAF1-64F685E77766}"/>
    <cellStyle name="Normal 7 4 6 2 3 2 3" xfId="12199" xr:uid="{BE3011C3-5EC8-436E-AAD2-BD8EF622F124}"/>
    <cellStyle name="Normal 7 4 6 2 3 2 3 2" xfId="22579" xr:uid="{8CC6CDDA-E727-4ED4-A72A-05F6C13D9FD8}"/>
    <cellStyle name="Normal 7 4 6 2 3 2 4" xfId="23993" xr:uid="{4D51B64E-BCB2-4EE1-B006-9BC0CD8C2EF3}"/>
    <cellStyle name="Normal 7 4 6 2 3 2 5" xfId="16913" xr:uid="{012AE3E8-1ED9-4641-AB2A-A7BB3922440C}"/>
    <cellStyle name="Normal 7 4 6 2 3 3" xfId="6530" xr:uid="{2EFCFD26-23A9-43B4-8E21-F6FB3260333C}"/>
    <cellStyle name="Normal 7 4 6 2 3 3 2" xfId="26702" xr:uid="{B4B5CA8E-1E02-446A-B17B-F16112AD7BB4}"/>
    <cellStyle name="Normal 7 4 6 2 3 3 3" xfId="16101" xr:uid="{6F902B5B-0EF3-4C63-810A-D291B05A10F1}"/>
    <cellStyle name="Normal 7 4 6 2 3 4" xfId="8554" xr:uid="{4687F2C9-0B83-42E4-B559-9E6EF6827985}"/>
    <cellStyle name="Normal 7 4 6 2 3 4 2" xfId="18934" xr:uid="{3B844C43-1343-40FE-BD7C-093E5C60487E}"/>
    <cellStyle name="Normal 7 4 6 2 3 5" xfId="11387" xr:uid="{D9D4C41C-9940-41B4-83A4-0C3BF2E3A360}"/>
    <cellStyle name="Normal 7 4 6 2 3 5 2" xfId="21767" xr:uid="{3A4A0930-732E-4036-913C-716D778E0713}"/>
    <cellStyle name="Normal 7 4 6 2 3 6" xfId="22900" xr:uid="{FC5630F8-D770-4D8E-B960-DE9C0187F3DE}"/>
    <cellStyle name="Normal 7 4 6 2 3 7" xfId="14062" xr:uid="{4CE8185E-7E44-4B27-A157-43795DCE7A16}"/>
    <cellStyle name="Normal 7 4 6 2 4" xfId="3473" xr:uid="{00000000-0005-0000-0000-0000B5080000}"/>
    <cellStyle name="Normal 7 4 6 2 4 2" xfId="6528" xr:uid="{A7065ACD-749C-4101-B617-76BAE472C0A7}"/>
    <cellStyle name="Normal 7 4 6 2 4 2 2" xfId="25906" xr:uid="{B86BAEC1-F979-42C6-99B5-2C2E12484112}"/>
    <cellStyle name="Normal 7 4 6 2 4 2 3" xfId="16099" xr:uid="{58F29C10-D636-4686-938A-855CF3DCD771}"/>
    <cellStyle name="Normal 7 4 6 2 4 3" xfId="8552" xr:uid="{0AEA8D9C-556A-403C-B4B1-97E240CDC933}"/>
    <cellStyle name="Normal 7 4 6 2 4 3 2" xfId="18932" xr:uid="{79DB9C0E-2454-4F95-BF3E-02655D6D29C7}"/>
    <cellStyle name="Normal 7 4 6 2 4 4" xfId="11385" xr:uid="{5704E751-D96F-4DBF-859F-4DEFDDB9AB3D}"/>
    <cellStyle name="Normal 7 4 6 2 4 4 2" xfId="21765" xr:uid="{731B8A3F-E65F-4DA0-8B6C-75A01AF6462B}"/>
    <cellStyle name="Normal 7 4 6 2 4 5" xfId="25051" xr:uid="{F842D7F2-DBC3-4B01-8A2B-4FBB6AB1F674}"/>
    <cellStyle name="Normal 7 4 6 2 4 6" xfId="14060" xr:uid="{3FA029E0-83EC-4C1E-924F-02FAFF8C3151}"/>
    <cellStyle name="Normal 7 4 6 2 5" xfId="2612" xr:uid="{00000000-0005-0000-0000-0000B6080000}"/>
    <cellStyle name="Normal 7 4 6 2 5 2" xfId="5876" xr:uid="{ED28E35E-3B05-43CA-8272-C98CFE752A4D}"/>
    <cellStyle name="Normal 7 4 6 2 5 2 2" xfId="28342" xr:uid="{AFB9A578-F33D-4994-B6A6-915A59C8352E}"/>
    <cellStyle name="Normal 7 4 6 2 5 2 3" xfId="15284" xr:uid="{183E967D-EBC3-47C1-BAF4-AC54C24D929C}"/>
    <cellStyle name="Normal 7 4 6 2 5 3" xfId="7737" xr:uid="{7E3AB69C-436C-401C-9731-4BF2E5CA0323}"/>
    <cellStyle name="Normal 7 4 6 2 5 3 2" xfId="18117" xr:uid="{37B93855-0475-488B-AD3D-C61E28883DFC}"/>
    <cellStyle name="Normal 7 4 6 2 5 4" xfId="10570" xr:uid="{B178F962-2657-4F24-AA8F-DE264DF48D23}"/>
    <cellStyle name="Normal 7 4 6 2 5 4 2" xfId="20950" xr:uid="{077C6A62-37F7-425D-AABA-A9B4B25DC1F8}"/>
    <cellStyle name="Normal 7 4 6 2 5 5" xfId="24143" xr:uid="{5151E569-3E21-4983-BF90-72E5D7566DF1}"/>
    <cellStyle name="Normal 7 4 6 2 5 6" xfId="13000" xr:uid="{B0D1F0C8-B578-42DD-9297-A7A26493E6A5}"/>
    <cellStyle name="Normal 7 4 6 2 6" xfId="2405" xr:uid="{00000000-0005-0000-0000-0000B1080000}"/>
    <cellStyle name="Normal 7 4 6 2 6 2" xfId="7532" xr:uid="{3E5CC756-B253-4B3C-9DB5-BDF4E3049137}"/>
    <cellStyle name="Normal 7 4 6 2 6 2 2" xfId="17912" xr:uid="{4F7B4801-3A30-4063-9945-9276C0972B4A}"/>
    <cellStyle name="Normal 7 4 6 2 6 3" xfId="10365" xr:uid="{D328754E-1865-498D-ABA5-A3AA117E1F7A}"/>
    <cellStyle name="Normal 7 4 6 2 6 3 2" xfId="20745" xr:uid="{89CE0C2E-16F7-4DA9-9179-5B9D4093E09C}"/>
    <cellStyle name="Normal 7 4 6 2 6 4" xfId="23614" xr:uid="{C63B725F-10E9-4005-B129-185D18AB4974}"/>
    <cellStyle name="Normal 7 4 6 2 6 5" xfId="15079" xr:uid="{686D7622-0DA7-455A-B5E0-6173D814EE00}"/>
    <cellStyle name="Normal 7 4 6 2 7" xfId="4105" xr:uid="{FBC0C879-14E9-4755-8B03-4CDD731C2FC5}"/>
    <cellStyle name="Normal 7 4 6 2 7 2" xfId="8879" xr:uid="{C58BACB1-648D-4A62-8DF5-AE1F6BC94290}"/>
    <cellStyle name="Normal 7 4 6 2 7 2 2" xfId="19259" xr:uid="{9DE98E81-F832-46FD-90D4-FD7D25B8E057}"/>
    <cellStyle name="Normal 7 4 6 2 7 3" xfId="11712" xr:uid="{74A38B67-90CA-4EEB-BF93-499AD9B73FD6}"/>
    <cellStyle name="Normal 7 4 6 2 7 3 2" xfId="22092" xr:uid="{D7F29AF2-0D5B-41BE-82B6-57DAC19ABB89}"/>
    <cellStyle name="Normal 7 4 6 2 7 4" xfId="16426" xr:uid="{637739DF-7C78-4B06-938E-04C37FC8F35F}"/>
    <cellStyle name="Normal 7 4 6 2 8" xfId="5461" xr:uid="{2F886AA2-4DDA-40FD-9E88-F748B011B828}"/>
    <cellStyle name="Normal 7 4 6 2 8 2" xfId="14758" xr:uid="{7FA1EA60-EAA8-429A-A717-719E22507350}"/>
    <cellStyle name="Normal 7 4 6 2 9" xfId="7211" xr:uid="{0EBDD1CB-AD53-45F4-AA45-AB9B37BCF00A}"/>
    <cellStyle name="Normal 7 4 6 2 9 2" xfId="17591" xr:uid="{6BC88A3B-1DCE-4ABE-9228-C1F329747FBB}"/>
    <cellStyle name="Normal 7 4 6 3" xfId="1445" xr:uid="{00000000-0005-0000-0000-00007C070000}"/>
    <cellStyle name="Normal 7 4 6 3 2" xfId="3476" xr:uid="{00000000-0005-0000-0000-0000B8080000}"/>
    <cellStyle name="Normal 7 4 6 3 2 2" xfId="6531" xr:uid="{35017E7D-4080-453E-9AB5-4EBD7D742297}"/>
    <cellStyle name="Normal 7 4 6 3 2 2 2" xfId="25596" xr:uid="{0F8CE7FB-386C-435B-A026-98059F5A95A9}"/>
    <cellStyle name="Normal 7 4 6 3 2 2 3" xfId="28536" xr:uid="{1F2CEFE1-D1FE-4130-ACC8-FD585A24FA99}"/>
    <cellStyle name="Normal 7 4 6 3 2 2 4" xfId="16102" xr:uid="{88626788-AA4A-42B7-8834-79CDBF1F5327}"/>
    <cellStyle name="Normal 7 4 6 3 2 3" xfId="8555" xr:uid="{8FB01244-A933-4F0C-BCDB-A633B5525C26}"/>
    <cellStyle name="Normal 7 4 6 3 2 3 2" xfId="28945" xr:uid="{B5BAFC47-2B98-4822-959C-22BE61FD9BC3}"/>
    <cellStyle name="Normal 7 4 6 3 2 3 3" xfId="18935" xr:uid="{763CE3F2-E5C5-47D8-BA0B-756F115B01F4}"/>
    <cellStyle name="Normal 7 4 6 3 2 4" xfId="11388" xr:uid="{3581D6B7-B0E6-457A-AA56-376099B8AF45}"/>
    <cellStyle name="Normal 7 4 6 3 2 4 2" xfId="21768" xr:uid="{9EAA1A85-C736-4161-8EB5-AE161B56076D}"/>
    <cellStyle name="Normal 7 4 6 3 2 5" xfId="23682" xr:uid="{F6B9E067-6AA6-466A-B3C9-A78C4E1F66B9}"/>
    <cellStyle name="Normal 7 4 6 3 2 6" xfId="14063" xr:uid="{22FA1A24-F2FC-4BFE-8BAB-1373E623DF80}"/>
    <cellStyle name="Normal 7 4 6 3 3" xfId="2837" xr:uid="{00000000-0005-0000-0000-0000B9080000}"/>
    <cellStyle name="Normal 7 4 6 3 3 2" xfId="6053" xr:uid="{9833E8C8-D664-4632-AEAC-06D0FE3225DB}"/>
    <cellStyle name="Normal 7 4 6 3 3 2 2" xfId="25926" xr:uid="{1F4B852F-4C06-42C4-AD07-13893317F0E1}"/>
    <cellStyle name="Normal 7 4 6 3 3 2 3" xfId="15507" xr:uid="{17B32C06-3280-4A63-81CA-C96A785D6C1D}"/>
    <cellStyle name="Normal 7 4 6 3 3 3" xfId="7960" xr:uid="{BC3F3018-7F28-4708-97DE-8915B1749A03}"/>
    <cellStyle name="Normal 7 4 6 3 3 3 2" xfId="18340" xr:uid="{27BA55F5-426F-4C43-9835-B844C5A2DD31}"/>
    <cellStyle name="Normal 7 4 6 3 3 4" xfId="10793" xr:uid="{EAA73794-EE82-4AE9-A943-B5B056B37C1A}"/>
    <cellStyle name="Normal 7 4 6 3 3 4 2" xfId="21173" xr:uid="{5A10CD32-36F2-438E-B345-DE2BDB4A9EFE}"/>
    <cellStyle name="Normal 7 4 6 3 3 5" xfId="22941" xr:uid="{FB4C0B42-AD50-4039-A7AA-357C00D435AC}"/>
    <cellStyle name="Normal 7 4 6 3 3 6" xfId="13315" xr:uid="{C3FCB08E-F407-46DD-8B97-023E94F4A4B3}"/>
    <cellStyle name="Normal 7 4 6 3 4" xfId="4223" xr:uid="{3D508AE3-1814-404D-9AC4-712273263D09}"/>
    <cellStyle name="Normal 7 4 6 3 4 2" xfId="8995" xr:uid="{CF3251C8-5F32-48E4-AEF0-9E4ECEFAC3C5}"/>
    <cellStyle name="Normal 7 4 6 3 4 2 2" xfId="29072" xr:uid="{1044CA18-5623-4314-B05D-5ABAAC6D8965}"/>
    <cellStyle name="Normal 7 4 6 3 4 2 3" xfId="19375" xr:uid="{3ADC7E10-6F86-492B-B40F-0999E1058B87}"/>
    <cellStyle name="Normal 7 4 6 3 4 3" xfId="11828" xr:uid="{059EDE9C-EEF9-4E19-A280-1845B7381291}"/>
    <cellStyle name="Normal 7 4 6 3 4 3 2" xfId="22208" xr:uid="{1E094AD0-1DCD-4C0E-9C66-5325193AEC02}"/>
    <cellStyle name="Normal 7 4 6 3 4 4" xfId="24428" xr:uid="{2757FBC0-CFF8-45CD-BA73-66D590E944AE}"/>
    <cellStyle name="Normal 7 4 6 3 4 5" xfId="16542" xr:uid="{E8F3403B-B7F8-45DF-841A-A643EC17ED5D}"/>
    <cellStyle name="Normal 7 4 6 3 5" xfId="5463" xr:uid="{ACED7834-840E-47D4-8EAE-013D3F8DD5E1}"/>
    <cellStyle name="Normal 7 4 6 3 5 2" xfId="28045" xr:uid="{DBA71A09-0ABB-419B-85A4-F90BCEADE320}"/>
    <cellStyle name="Normal 7 4 6 3 5 3" xfId="14760" xr:uid="{3F6B750F-8CA5-4894-B3FC-F21D8C721CA2}"/>
    <cellStyle name="Normal 7 4 6 3 6" xfId="7213" xr:uid="{C6DA2319-B02F-4D3C-BA00-AEB648EC567D}"/>
    <cellStyle name="Normal 7 4 6 3 6 2" xfId="17593" xr:uid="{F6ECAE9E-E100-48F6-90F1-82731369342C}"/>
    <cellStyle name="Normal 7 4 6 3 7" xfId="10046" xr:uid="{14B519C2-0820-4466-A584-7FE00120A0A3}"/>
    <cellStyle name="Normal 7 4 6 3 7 2" xfId="20426" xr:uid="{23B42D99-E8B9-470A-B34B-1E6BC71D1E6B}"/>
    <cellStyle name="Normal 7 4 6 3 8" xfId="23301" xr:uid="{D10B02A0-CC7F-451E-B557-50CF86281086}"/>
    <cellStyle name="Normal 7 4 6 3 9" xfId="12797" xr:uid="{4D297DEC-FC89-4059-A06B-191A9F90780A}"/>
    <cellStyle name="Normal 7 4 6 4" xfId="1446" xr:uid="{00000000-0005-0000-0000-00007D070000}"/>
    <cellStyle name="Normal 7 4 6 4 2" xfId="4595" xr:uid="{06556283-BC7A-40E8-B0B8-1D337E804B2B}"/>
    <cellStyle name="Normal 7 4 6 4 2 2" xfId="9367" xr:uid="{8802636A-28FD-46A2-8892-80F032F8547E}"/>
    <cellStyle name="Normal 7 4 6 4 2 2 2" xfId="29337" xr:uid="{61E34EF4-3A13-4C76-932B-12452DD5E700}"/>
    <cellStyle name="Normal 7 4 6 4 2 2 3" xfId="19747" xr:uid="{9021AC51-3EDE-4047-A68C-1E8C5C9E6091}"/>
    <cellStyle name="Normal 7 4 6 4 2 3" xfId="12200" xr:uid="{E5B5D3AD-DEE0-44EC-BCFE-0A1535C70484}"/>
    <cellStyle name="Normal 7 4 6 4 2 3 2" xfId="22580" xr:uid="{542A0DC7-1ED4-4D5E-AC95-46C3FA357628}"/>
    <cellStyle name="Normal 7 4 6 4 2 4" xfId="23086" xr:uid="{203B5CCE-9CAB-4CF3-AB1B-CA03B1CD66EE}"/>
    <cellStyle name="Normal 7 4 6 4 2 5" xfId="16914" xr:uid="{A4F82774-452B-493E-8F71-5D91F5FB0493}"/>
    <cellStyle name="Normal 7 4 6 4 3" xfId="5464" xr:uid="{B833A83F-A323-476C-BDC2-5D9177DC1535}"/>
    <cellStyle name="Normal 7 4 6 4 3 2" xfId="27063" xr:uid="{5B70F443-C489-4B90-8D3B-0BE26E28E497}"/>
    <cellStyle name="Normal 7 4 6 4 3 3" xfId="14761" xr:uid="{D5F94BAF-D334-43DC-B93D-852F0F7F4488}"/>
    <cellStyle name="Normal 7 4 6 4 4" xfId="7214" xr:uid="{BA01F59F-0ADB-4B7F-9840-4EDC9AA8FB21}"/>
    <cellStyle name="Normal 7 4 6 4 4 2" xfId="17594" xr:uid="{49834D77-38BE-4EF6-A045-C2AA3B4A435F}"/>
    <cellStyle name="Normal 7 4 6 4 5" xfId="10047" xr:uid="{7AFF5F4B-400D-4BCE-852F-FB4131887FFD}"/>
    <cellStyle name="Normal 7 4 6 4 5 2" xfId="20427" xr:uid="{1A653C84-D28E-46F4-871C-FFFD91262864}"/>
    <cellStyle name="Normal 7 4 6 4 6" xfId="23260" xr:uid="{3DF2D86D-5F6B-4241-8670-53457CA0D6BC}"/>
    <cellStyle name="Normal 7 4 6 4 7" xfId="14064" xr:uid="{EED9FD42-1709-4C37-A935-014C3E30E31B}"/>
    <cellStyle name="Normal 7 4 6 5" xfId="2996" xr:uid="{00000000-0005-0000-0000-0000BB080000}"/>
    <cellStyle name="Normal 7 4 6 5 2" xfId="6146" xr:uid="{55E48DA5-4B76-478A-BA7F-7495F63ACFBE}"/>
    <cellStyle name="Normal 7 4 6 5 2 2" xfId="22637" xr:uid="{67BD9E09-E9FD-4CC8-B327-D9551139194D}"/>
    <cellStyle name="Normal 7 4 6 5 2 3" xfId="26804" xr:uid="{643CC87A-6649-4CAA-9C93-5E302EDF844F}"/>
    <cellStyle name="Normal 7 4 6 5 2 4" xfId="15624" xr:uid="{0EFCFE9F-1BB0-4F14-9B97-C7E15DF2761F}"/>
    <cellStyle name="Normal 7 4 6 5 3" xfId="8077" xr:uid="{8814ED0B-8579-4B4A-ACC6-722A933F1F07}"/>
    <cellStyle name="Normal 7 4 6 5 3 2" xfId="28770" xr:uid="{CB6418F2-424E-4ABA-9D8A-0060B00E9E94}"/>
    <cellStyle name="Normal 7 4 6 5 3 3" xfId="18457" xr:uid="{7AAF2FE2-E9AE-437F-B825-DB61440AA9F7}"/>
    <cellStyle name="Normal 7 4 6 5 4" xfId="10910" xr:uid="{DFAA71AD-5AE9-4FD7-A701-8DD957708B93}"/>
    <cellStyle name="Normal 7 4 6 5 4 2" xfId="21290" xr:uid="{0F31019A-44AE-4AE4-8E49-3FAD3C383265}"/>
    <cellStyle name="Normal 7 4 6 5 5" xfId="24816" xr:uid="{55A88DCE-7EB1-4825-A9C5-5692F014DE4E}"/>
    <cellStyle name="Normal 7 4 6 5 6" xfId="13495" xr:uid="{DAFD1A46-5ED7-4040-809C-00EB2EDC4E0E}"/>
    <cellStyle name="Normal 7 4 6 6" xfId="2449" xr:uid="{00000000-0005-0000-0000-0000BC080000}"/>
    <cellStyle name="Normal 7 4 6 6 2" xfId="5743" xr:uid="{91DC8A24-84B8-44CC-8DAF-4A1B7006D8FA}"/>
    <cellStyle name="Normal 7 4 6 6 2 2" xfId="28603" xr:uid="{1008F856-5904-4562-8ABB-82B63C120CBB}"/>
    <cellStyle name="Normal 7 4 6 6 2 3" xfId="15121" xr:uid="{34BBFA9B-2282-4D60-A8D3-7F1983AF70F9}"/>
    <cellStyle name="Normal 7 4 6 6 3" xfId="7574" xr:uid="{38F769B6-93FF-41AE-989A-483E7E0C64A6}"/>
    <cellStyle name="Normal 7 4 6 6 3 2" xfId="17954" xr:uid="{E56532B5-334C-41A0-9408-9A8D9896B87A}"/>
    <cellStyle name="Normal 7 4 6 6 4" xfId="10407" xr:uid="{D4173E3F-45A5-4BB0-BA83-B0B90F13EDE9}"/>
    <cellStyle name="Normal 7 4 6 6 4 2" xfId="20787" xr:uid="{6E430E16-8CFC-444C-A9D6-F231C478AA65}"/>
    <cellStyle name="Normal 7 4 6 6 5" xfId="23461" xr:uid="{15E33F00-4954-4425-BC03-3D6722B643D9}"/>
    <cellStyle name="Normal 7 4 6 6 6" xfId="12837" xr:uid="{9DA777EC-6CF3-41AD-9C1B-C781CB28E336}"/>
    <cellStyle name="Normal 7 4 6 7" xfId="2203" xr:uid="{00000000-0005-0000-0000-0000B0080000}"/>
    <cellStyle name="Normal 7 4 6 7 2" xfId="7330" xr:uid="{A8F81ABD-473B-4918-9E04-DB1C766D92A5}"/>
    <cellStyle name="Normal 7 4 6 7 2 2" xfId="17710" xr:uid="{FDCE9D7A-B89D-40BB-BEA4-74A61A8B40CC}"/>
    <cellStyle name="Normal 7 4 6 7 3" xfId="10163" xr:uid="{2C0D19E8-C15D-422B-B923-BD2F5C035D3B}"/>
    <cellStyle name="Normal 7 4 6 7 3 2" xfId="20543" xr:uid="{394CAB9D-35A2-4A86-937B-5F0D8D6D7041}"/>
    <cellStyle name="Normal 7 4 6 7 4" xfId="24840" xr:uid="{9E5FDA80-4CAB-44E3-B4E4-46156B50308A}"/>
    <cellStyle name="Normal 7 4 6 7 5" xfId="14877" xr:uid="{5DF8B1D1-0475-4895-BFC3-551D63DE687A}"/>
    <cellStyle name="Normal 7 4 6 8" xfId="4073" xr:uid="{33E269F1-C808-433A-91A0-C4A75B23DD7C}"/>
    <cellStyle name="Normal 7 4 6 8 2" xfId="8853" xr:uid="{A6AB4A80-9BD7-4DBA-8503-88D339F7795E}"/>
    <cellStyle name="Normal 7 4 6 8 2 2" xfId="19233" xr:uid="{A79640B2-7119-4697-9C1C-115D9A4EAF16}"/>
    <cellStyle name="Normal 7 4 6 8 3" xfId="11686" xr:uid="{D99C783C-3268-4C21-8A0E-0C682639B465}"/>
    <cellStyle name="Normal 7 4 6 8 3 2" xfId="22066" xr:uid="{F152A3B2-D04F-4AD8-83C6-2BB298DF8924}"/>
    <cellStyle name="Normal 7 4 6 8 4" xfId="16400" xr:uid="{BD37A6C5-F0BE-4A49-BB6C-8F9B0900EB06}"/>
    <cellStyle name="Normal 7 4 6 9" xfId="5460" xr:uid="{71C8AF85-F312-4E30-893B-D1658E4F63A4}"/>
    <cellStyle name="Normal 7 4 6 9 2" xfId="14757" xr:uid="{F214C8CE-D46B-4D80-9E30-215AC376FC0F}"/>
    <cellStyle name="Normal 7 4 7" xfId="1447" xr:uid="{00000000-0005-0000-0000-00007E070000}"/>
    <cellStyle name="Normal 7 4 7 10" xfId="7215" xr:uid="{B79F1174-C0EF-43EE-B43A-E3C61683CAC6}"/>
    <cellStyle name="Normal 7 4 7 10 2" xfId="17595" xr:uid="{95B2FC8A-E885-4B3B-B5EC-02781C1A58EC}"/>
    <cellStyle name="Normal 7 4 7 11" xfId="10048" xr:uid="{61F7AF7F-836E-4902-8FA2-4DFDAF1457E1}"/>
    <cellStyle name="Normal 7 4 7 11 2" xfId="20428" xr:uid="{ACDF87DF-0957-4653-A0EB-E45124CC174F}"/>
    <cellStyle name="Normal 7 4 7 12" xfId="23784" xr:uid="{A414E85A-79DA-4583-8CF8-9F03726BE8F9}"/>
    <cellStyle name="Normal 7 4 7 13" xfId="12496" xr:uid="{E3FF85BB-8BF9-4B25-ADB5-6C1CD46C9B5C}"/>
    <cellStyle name="Normal 7 4 7 2" xfId="1448" xr:uid="{00000000-0005-0000-0000-00007F070000}"/>
    <cellStyle name="Normal 7 4 7 2 10" xfId="10049" xr:uid="{F40C03E6-EB31-4D47-9DB7-C15F15CCF13A}"/>
    <cellStyle name="Normal 7 4 7 2 10 2" xfId="20429" xr:uid="{F6D054F0-4AB0-4B3F-95C6-26A0388FEC62}"/>
    <cellStyle name="Normal 7 4 7 2 11" xfId="23602" xr:uid="{31F11D70-37E3-4F73-9881-E3BF5C0B086F}"/>
    <cellStyle name="Normal 7 4 7 2 12" xfId="12640" xr:uid="{C1B98FB0-5037-4A65-BF12-7FE07AB74A9A}"/>
    <cellStyle name="Normal 7 4 7 2 2" xfId="1449" xr:uid="{00000000-0005-0000-0000-000080070000}"/>
    <cellStyle name="Normal 7 4 7 2 2 2" xfId="3478" xr:uid="{00000000-0005-0000-0000-0000C0080000}"/>
    <cellStyle name="Normal 7 4 7 2 2 2 2" xfId="6533" xr:uid="{835532A3-77B8-450B-8517-EF41F501D9C9}"/>
    <cellStyle name="Normal 7 4 7 2 2 2 2 2" xfId="27878" xr:uid="{753EB7B4-3D9C-4D5D-A3FC-F4E5B8D41D55}"/>
    <cellStyle name="Normal 7 4 7 2 2 2 2 3" xfId="26176" xr:uid="{0582B580-DB86-483F-8105-DFA09FC7ADC3}"/>
    <cellStyle name="Normal 7 4 7 2 2 2 2 4" xfId="16104" xr:uid="{C69B7FE9-6CA8-4618-B6CE-089E9D15D73F}"/>
    <cellStyle name="Normal 7 4 7 2 2 2 3" xfId="8557" xr:uid="{CF3D07B9-FEBB-483E-9979-C38A4907E144}"/>
    <cellStyle name="Normal 7 4 7 2 2 2 3 2" xfId="28946" xr:uid="{569A284B-BF6D-43C1-912F-2FBEB10DEC4A}"/>
    <cellStyle name="Normal 7 4 7 2 2 2 3 3" xfId="18937" xr:uid="{B79C1081-154D-47F1-BE0F-7D0B459F0F90}"/>
    <cellStyle name="Normal 7 4 7 2 2 2 4" xfId="11390" xr:uid="{198CE081-D38D-41D3-BA1F-18F68ADDD82A}"/>
    <cellStyle name="Normal 7 4 7 2 2 2 4 2" xfId="21770" xr:uid="{E91A20DD-98E4-4926-83CB-3B99B424C5A2}"/>
    <cellStyle name="Normal 7 4 7 2 2 2 5" xfId="25070" xr:uid="{2EAD1687-EDF3-4532-8749-D9E3BE5D5912}"/>
    <cellStyle name="Normal 7 4 7 2 2 2 6" xfId="14066" xr:uid="{B8C2BAA5-061A-4030-945D-403DD5A96AFD}"/>
    <cellStyle name="Normal 7 4 7 2 2 3" xfId="4376" xr:uid="{BFB4A6B1-5B30-48CD-8C71-C8027AED9B9E}"/>
    <cellStyle name="Normal 7 4 7 2 2 3 2" xfId="9148" xr:uid="{1151F43E-E6E9-4C32-97FE-1859BBC3D077}"/>
    <cellStyle name="Normal 7 4 7 2 2 3 2 2" xfId="29191" xr:uid="{1E835761-F2DC-4A00-B563-DEBA163B5F0C}"/>
    <cellStyle name="Normal 7 4 7 2 2 3 2 3" xfId="19528" xr:uid="{635DC76E-0DCC-4D5C-B01B-95173782E5BA}"/>
    <cellStyle name="Normal 7 4 7 2 2 3 3" xfId="11981" xr:uid="{890425D6-E295-44D2-A670-FE1A4CBAF665}"/>
    <cellStyle name="Normal 7 4 7 2 2 3 3 2" xfId="22361" xr:uid="{7B6E5C9E-F032-49CB-93ED-49F1925F2AEC}"/>
    <cellStyle name="Normal 7 4 7 2 2 3 4" xfId="22921" xr:uid="{180EDF12-3F04-42F0-9650-D5BA1FEAAC50}"/>
    <cellStyle name="Normal 7 4 7 2 2 3 5" xfId="16695" xr:uid="{0B8F5DD4-C2A8-408C-AB7A-BFA92340C3F0}"/>
    <cellStyle name="Normal 7 4 7 2 2 4" xfId="5467" xr:uid="{085C80A0-B636-43BC-B6E0-918B21F9F4FE}"/>
    <cellStyle name="Normal 7 4 7 2 2 4 2" xfId="27877" xr:uid="{A0231EC6-6DBA-425B-A7BE-ECB7CCE7148D}"/>
    <cellStyle name="Normal 7 4 7 2 2 4 3" xfId="14764" xr:uid="{814A1EDD-0F76-4742-802A-DDF1E255A252}"/>
    <cellStyle name="Normal 7 4 7 2 2 5" xfId="7217" xr:uid="{60B59DE1-CF70-4DFA-83F7-D16E015BB124}"/>
    <cellStyle name="Normal 7 4 7 2 2 5 2" xfId="17597" xr:uid="{114C42DE-3216-4CD0-832F-26E415C0D56A}"/>
    <cellStyle name="Normal 7 4 7 2 2 6" xfId="10050" xr:uid="{0E815CF9-78A4-4845-B442-F14A9B09353A}"/>
    <cellStyle name="Normal 7 4 7 2 2 6 2" xfId="20430" xr:uid="{CEFB5057-1F37-48F9-A9C3-5EA3C85E5147}"/>
    <cellStyle name="Normal 7 4 7 2 2 7" xfId="25195" xr:uid="{809CDBE0-EF51-474A-8E89-25D65B8BA3D0}"/>
    <cellStyle name="Normal 7 4 7 2 2 8" xfId="13318" xr:uid="{1AADC6D2-94A6-4D00-8F14-11595BDC81F5}"/>
    <cellStyle name="Normal 7 4 7 2 3" xfId="3479" xr:uid="{00000000-0005-0000-0000-0000C1080000}"/>
    <cellStyle name="Normal 7 4 7 2 3 2" xfId="4596" xr:uid="{1689FB8F-5DB2-4F3F-8C00-9F23EBA7B220}"/>
    <cellStyle name="Normal 7 4 7 2 3 2 2" xfId="9368" xr:uid="{087BBC59-C397-489E-9DBF-0D4209A62F13}"/>
    <cellStyle name="Normal 7 4 7 2 3 2 2 2" xfId="29338" xr:uid="{DBD29D0C-9D6F-4A27-B56E-90DEE53D2EFB}"/>
    <cellStyle name="Normal 7 4 7 2 3 2 2 3" xfId="19748" xr:uid="{522F09AD-AAD5-4A97-BAC3-DBA3DE60D4F5}"/>
    <cellStyle name="Normal 7 4 7 2 3 2 3" xfId="12201" xr:uid="{55C93E96-8871-49B4-80C9-9B89DE07AEDE}"/>
    <cellStyle name="Normal 7 4 7 2 3 2 3 2" xfId="22581" xr:uid="{2AA920AA-7192-4A4A-9C0E-282153FC5606}"/>
    <cellStyle name="Normal 7 4 7 2 3 2 4" xfId="22803" xr:uid="{82676B81-828D-4BDD-8E8C-6D58812B4460}"/>
    <cellStyle name="Normal 7 4 7 2 3 2 5" xfId="16915" xr:uid="{7726C983-AA88-4D6C-AFCD-8DB7CCB30F29}"/>
    <cellStyle name="Normal 7 4 7 2 3 3" xfId="6534" xr:uid="{A95C4F38-A94E-4D03-9440-684836A648C8}"/>
    <cellStyle name="Normal 7 4 7 2 3 3 2" xfId="26904" xr:uid="{F523E6E7-5F38-4FFB-92F5-496B29A97F41}"/>
    <cellStyle name="Normal 7 4 7 2 3 3 3" xfId="16105" xr:uid="{6CC3315D-F4AA-41D1-955C-B870089E995B}"/>
    <cellStyle name="Normal 7 4 7 2 3 4" xfId="8558" xr:uid="{2D62317B-2C70-4287-8FDF-457891378A2F}"/>
    <cellStyle name="Normal 7 4 7 2 3 4 2" xfId="18938" xr:uid="{9138CF04-DC4A-4C56-B8F5-CD86EB6CC4C6}"/>
    <cellStyle name="Normal 7 4 7 2 3 5" xfId="11391" xr:uid="{F5B87F4C-24F6-4D73-BE1F-956492E1AA20}"/>
    <cellStyle name="Normal 7 4 7 2 3 5 2" xfId="21771" xr:uid="{180E7CB1-72AC-4F60-BA6F-72C3B5C0D1D7}"/>
    <cellStyle name="Normal 7 4 7 2 3 6" xfId="23660" xr:uid="{433E7EB2-4F66-404D-BD3F-C6CCCB4C2BAA}"/>
    <cellStyle name="Normal 7 4 7 2 3 7" xfId="14067" xr:uid="{14FE246A-9A3A-422B-AFD3-FFE4BA1479EC}"/>
    <cellStyle name="Normal 7 4 7 2 4" xfId="3477" xr:uid="{00000000-0005-0000-0000-0000C2080000}"/>
    <cellStyle name="Normal 7 4 7 2 4 2" xfId="6532" xr:uid="{AC873C04-59CF-44C5-B9D8-1244FA312A75}"/>
    <cellStyle name="Normal 7 4 7 2 4 2 2" xfId="28693" xr:uid="{F47CEBB1-A5FF-4223-AC54-5E4BFE1C4D05}"/>
    <cellStyle name="Normal 7 4 7 2 4 2 3" xfId="16103" xr:uid="{0ECF9ED6-B2E9-400C-A529-9D0DA49C269C}"/>
    <cellStyle name="Normal 7 4 7 2 4 3" xfId="8556" xr:uid="{0AEB99EA-8B24-4814-9EAD-C812A5E1DFA2}"/>
    <cellStyle name="Normal 7 4 7 2 4 3 2" xfId="18936" xr:uid="{FBF54366-F1B3-4EB3-9265-3AA238B11917}"/>
    <cellStyle name="Normal 7 4 7 2 4 4" xfId="11389" xr:uid="{CF7BF7FC-13C8-4CF2-A553-3E054EC32361}"/>
    <cellStyle name="Normal 7 4 7 2 4 4 2" xfId="21769" xr:uid="{7FBBBFD2-9D3F-4570-8E8D-42FCDBA696EF}"/>
    <cellStyle name="Normal 7 4 7 2 4 5" xfId="23082" xr:uid="{F500A9A7-03FF-48CE-B3DA-7D9A7BF22254}"/>
    <cellStyle name="Normal 7 4 7 2 4 6" xfId="14065" xr:uid="{944BD33C-BC03-4ECA-8058-07C53A9CECA4}"/>
    <cellStyle name="Normal 7 4 7 2 5" xfId="2659" xr:uid="{00000000-0005-0000-0000-0000C3080000}"/>
    <cellStyle name="Normal 7 4 7 2 5 2" xfId="5919" xr:uid="{443DCE2B-1BCC-4789-BC72-DF370AE7C418}"/>
    <cellStyle name="Normal 7 4 7 2 5 2 2" xfId="28338" xr:uid="{8B00CD0F-65F8-4F19-92C2-FBEC85C3723B}"/>
    <cellStyle name="Normal 7 4 7 2 5 2 3" xfId="15331" xr:uid="{BC3654FF-F640-4849-BBE5-A074CF7AE471}"/>
    <cellStyle name="Normal 7 4 7 2 5 3" xfId="7784" xr:uid="{96DFB3CC-A7FD-4EDB-A126-275A452086D4}"/>
    <cellStyle name="Normal 7 4 7 2 5 3 2" xfId="18164" xr:uid="{BB748B09-C445-4262-A3D2-665784591EBE}"/>
    <cellStyle name="Normal 7 4 7 2 5 4" xfId="10617" xr:uid="{9E00C11B-8CA0-4262-9313-24F7205A5E35}"/>
    <cellStyle name="Normal 7 4 7 2 5 4 2" xfId="20997" xr:uid="{44ACAF02-FCC8-46FF-BCFC-1AC8A436311E}"/>
    <cellStyle name="Normal 7 4 7 2 5 5" xfId="24249" xr:uid="{9652E4A4-661C-461F-A4E5-6C30D82367C9}"/>
    <cellStyle name="Normal 7 4 7 2 5 6" xfId="13061" xr:uid="{497D5461-BAB8-482E-AEF1-32484752C112}"/>
    <cellStyle name="Normal 7 4 7 2 6" xfId="2406" xr:uid="{00000000-0005-0000-0000-0000BE080000}"/>
    <cellStyle name="Normal 7 4 7 2 6 2" xfId="7533" xr:uid="{12C15163-D3D2-4099-AD4D-3F32D16C7917}"/>
    <cellStyle name="Normal 7 4 7 2 6 2 2" xfId="17913" xr:uid="{752FFE43-BDC1-4658-8EE9-E42E01502B7F}"/>
    <cellStyle name="Normal 7 4 7 2 6 3" xfId="10366" xr:uid="{414B79A5-C223-41B1-8954-D6404FDB9F63}"/>
    <cellStyle name="Normal 7 4 7 2 6 3 2" xfId="20746" xr:uid="{8E74309E-0898-4694-8E1E-F07D1D4CC7CA}"/>
    <cellStyle name="Normal 7 4 7 2 6 4" xfId="24277" xr:uid="{9D38924A-EC67-40DF-9F6E-C50DBBED1E9D}"/>
    <cellStyle name="Normal 7 4 7 2 6 5" xfId="15080" xr:uid="{73E8DB9B-F18A-47A6-8E5F-C8FA1EF47659}"/>
    <cellStyle name="Normal 7 4 7 2 7" xfId="4106" xr:uid="{D87A775D-18FB-45E1-96AA-50CF7B162F1F}"/>
    <cellStyle name="Normal 7 4 7 2 7 2" xfId="8880" xr:uid="{DF991E6F-1F0C-44AE-BA6A-543E71D4749D}"/>
    <cellStyle name="Normal 7 4 7 2 7 2 2" xfId="19260" xr:uid="{3B727B29-FCC8-4D2C-8F00-B26C7C7D7724}"/>
    <cellStyle name="Normal 7 4 7 2 7 3" xfId="11713" xr:uid="{16BF8E4F-AD5A-4707-A9DC-F6654F932618}"/>
    <cellStyle name="Normal 7 4 7 2 7 3 2" xfId="22093" xr:uid="{97491C52-85E1-4BAA-A2A7-BD76FA8D6397}"/>
    <cellStyle name="Normal 7 4 7 2 7 4" xfId="16427" xr:uid="{A5E909EF-B5C4-4877-941B-A3659F729203}"/>
    <cellStyle name="Normal 7 4 7 2 8" xfId="5466" xr:uid="{6F0B7010-59EE-490E-8ED4-B783C191CA87}"/>
    <cellStyle name="Normal 7 4 7 2 8 2" xfId="14763" xr:uid="{78E2288B-5128-4C6D-9A0F-3CB5109E590F}"/>
    <cellStyle name="Normal 7 4 7 2 9" xfId="7216" xr:uid="{F4913F37-2E7F-4915-B248-3364406353F7}"/>
    <cellStyle name="Normal 7 4 7 2 9 2" xfId="17596" xr:uid="{4B90E811-204E-4212-A726-358031C684E7}"/>
    <cellStyle name="Normal 7 4 7 3" xfId="1450" xr:uid="{00000000-0005-0000-0000-000081070000}"/>
    <cellStyle name="Normal 7 4 7 3 2" xfId="3480" xr:uid="{00000000-0005-0000-0000-0000C5080000}"/>
    <cellStyle name="Normal 7 4 7 3 2 2" xfId="6535" xr:uid="{61706EA8-5D82-469E-B186-E0431E394375}"/>
    <cellStyle name="Normal 7 4 7 3 2 2 2" xfId="25750" xr:uid="{ECFDC6EF-3C9F-4A61-BFBD-7FDC7F3C51B4}"/>
    <cellStyle name="Normal 7 4 7 3 2 2 3" xfId="28069" xr:uid="{7AFE8E7C-95E4-4E6B-ACC6-3E6100D2653B}"/>
    <cellStyle name="Normal 7 4 7 3 2 2 4" xfId="16106" xr:uid="{4493339F-23EC-4A52-A00A-F6BE7069BBA3}"/>
    <cellStyle name="Normal 7 4 7 3 2 3" xfId="8559" xr:uid="{335C79E9-6054-4027-BE5B-C25C41F48C52}"/>
    <cellStyle name="Normal 7 4 7 3 2 3 2" xfId="28947" xr:uid="{B5E39330-300B-4FD5-ACC7-490077C31DCA}"/>
    <cellStyle name="Normal 7 4 7 3 2 3 3" xfId="18939" xr:uid="{6FA3E757-27A9-4C60-9684-D2642DBB38CC}"/>
    <cellStyle name="Normal 7 4 7 3 2 4" xfId="11392" xr:uid="{086E2616-65C5-472F-8D1A-8BD68DCA150D}"/>
    <cellStyle name="Normal 7 4 7 3 2 4 2" xfId="21772" xr:uid="{F7D4E1DB-B764-47EB-B5F7-06B498E5C787}"/>
    <cellStyle name="Normal 7 4 7 3 2 5" xfId="23230" xr:uid="{4AB5FA36-6094-498D-AF13-7EB6F3BD39B5}"/>
    <cellStyle name="Normal 7 4 7 3 2 6" xfId="14068" xr:uid="{753790BE-DA64-4AB2-9067-92DD94E84573}"/>
    <cellStyle name="Normal 7 4 7 3 3" xfId="2838" xr:uid="{00000000-0005-0000-0000-0000C6080000}"/>
    <cellStyle name="Normal 7 4 7 3 3 2" xfId="6054" xr:uid="{8DE4C71E-332A-403D-A415-A81138DD4354}"/>
    <cellStyle name="Normal 7 4 7 3 3 2 2" xfId="26054" xr:uid="{D388C9E6-6518-457A-8D14-B941CACB46EC}"/>
    <cellStyle name="Normal 7 4 7 3 3 2 3" xfId="15508" xr:uid="{E0B7F2D8-A1B1-452C-A864-AEFFD9A3EB8E}"/>
    <cellStyle name="Normal 7 4 7 3 3 3" xfId="7961" xr:uid="{BBE9A254-9019-4A38-B50A-12B081FC8543}"/>
    <cellStyle name="Normal 7 4 7 3 3 3 2" xfId="18341" xr:uid="{7CEA1581-C4CF-43FD-8F79-132B725EA5F5}"/>
    <cellStyle name="Normal 7 4 7 3 3 4" xfId="10794" xr:uid="{03794532-AD69-4E82-B4E9-AF8643F71B54}"/>
    <cellStyle name="Normal 7 4 7 3 3 4 2" xfId="21174" xr:uid="{1B24BDCB-82BC-4609-BCA8-2D409AFBA1C1}"/>
    <cellStyle name="Normal 7 4 7 3 3 5" xfId="23420" xr:uid="{00DB68DD-9B57-4227-8DE6-69BEA69A5BDB}"/>
    <cellStyle name="Normal 7 4 7 3 3 6" xfId="13317" xr:uid="{79771691-01FB-4CD5-A8C5-73D033E20F8D}"/>
    <cellStyle name="Normal 7 4 7 3 4" xfId="4224" xr:uid="{868E8642-FD9A-4C16-A2A9-CB4C8F6EC4D8}"/>
    <cellStyle name="Normal 7 4 7 3 4 2" xfId="8996" xr:uid="{4A114C44-F849-4837-A218-8C4BFC20DB6C}"/>
    <cellStyle name="Normal 7 4 7 3 4 2 2" xfId="29073" xr:uid="{D37E2849-96A6-402D-BF6D-51D76082C881}"/>
    <cellStyle name="Normal 7 4 7 3 4 2 3" xfId="19376" xr:uid="{04B4192F-13C7-40A9-B41F-D9FDD757D52F}"/>
    <cellStyle name="Normal 7 4 7 3 4 3" xfId="11829" xr:uid="{3E2A0BF3-04EF-4A8F-A8FE-C3832F6D8A17}"/>
    <cellStyle name="Normal 7 4 7 3 4 3 2" xfId="22209" xr:uid="{D5CE6415-826C-4C7E-B729-9BC35B831ED8}"/>
    <cellStyle name="Normal 7 4 7 3 4 4" xfId="23217" xr:uid="{15E37647-CD6C-4DA4-BBA4-28A47CCC4BEB}"/>
    <cellStyle name="Normal 7 4 7 3 4 5" xfId="16543" xr:uid="{AD8FF9A8-C77A-44FB-9887-9087FCBC4094}"/>
    <cellStyle name="Normal 7 4 7 3 5" xfId="5468" xr:uid="{8D25D220-2FF2-43BE-BC8F-56B4161337FE}"/>
    <cellStyle name="Normal 7 4 7 3 5 2" xfId="27926" xr:uid="{2BBADF59-D9E5-42CB-B28C-CEA4A398C5D1}"/>
    <cellStyle name="Normal 7 4 7 3 5 3" xfId="14765" xr:uid="{D8A35B42-5228-4B3B-9E71-60B74908A532}"/>
    <cellStyle name="Normal 7 4 7 3 6" xfId="7218" xr:uid="{126128AB-A05E-4E92-A97F-5888BB8AD877}"/>
    <cellStyle name="Normal 7 4 7 3 6 2" xfId="17598" xr:uid="{436869C4-895A-4BA2-967B-234A76F89593}"/>
    <cellStyle name="Normal 7 4 7 3 7" xfId="10051" xr:uid="{2CCB0FF7-08CC-42D7-90B9-D3F0BB1A6436}"/>
    <cellStyle name="Normal 7 4 7 3 7 2" xfId="20431" xr:uid="{CD933EEC-61EC-456A-8E02-A24EDE00DC1D}"/>
    <cellStyle name="Normal 7 4 7 3 8" xfId="24365" xr:uid="{BD47C77D-257C-4527-977A-0E9C6C74B7D7}"/>
    <cellStyle name="Normal 7 4 7 3 9" xfId="12798" xr:uid="{9A8FCB18-907D-4ABD-B53A-8AE5A6F7F03E}"/>
    <cellStyle name="Normal 7 4 7 4" xfId="1451" xr:uid="{00000000-0005-0000-0000-000082070000}"/>
    <cellStyle name="Normal 7 4 7 4 2" xfId="4597" xr:uid="{FB99FE3F-BCFD-4770-AC9D-0E013FACC6CA}"/>
    <cellStyle name="Normal 7 4 7 4 2 2" xfId="9369" xr:uid="{0289CCA7-D936-43D2-BC28-CC7ED5349085}"/>
    <cellStyle name="Normal 7 4 7 4 2 2 2" xfId="29339" xr:uid="{D4D4E986-8887-481B-82EF-15450503BCC6}"/>
    <cellStyle name="Normal 7 4 7 4 2 2 3" xfId="19749" xr:uid="{13D5F93D-EBD5-4BFA-8470-D17F42C52125}"/>
    <cellStyle name="Normal 7 4 7 4 2 3" xfId="12202" xr:uid="{02996C38-3969-42E9-BBB1-7FF44A0DEB9F}"/>
    <cellStyle name="Normal 7 4 7 4 2 3 2" xfId="22582" xr:uid="{E90656C2-4548-4684-A2EA-CCE35561E46B}"/>
    <cellStyle name="Normal 7 4 7 4 2 4" xfId="25707" xr:uid="{A431ED13-DEE9-4D05-BFBD-82AE9B4033C6}"/>
    <cellStyle name="Normal 7 4 7 4 2 5" xfId="16916" xr:uid="{DDF9C28C-4DC4-4803-85E5-CD40F5201F86}"/>
    <cellStyle name="Normal 7 4 7 4 3" xfId="5469" xr:uid="{FCC12BAB-EB74-49EA-92F5-4DD47FAEF40D}"/>
    <cellStyle name="Normal 7 4 7 4 3 2" xfId="27196" xr:uid="{005C267B-13B8-4241-9E1F-9D6D0C8A2373}"/>
    <cellStyle name="Normal 7 4 7 4 3 3" xfId="14766" xr:uid="{F961C8CD-6951-4227-9997-B8ED73975A66}"/>
    <cellStyle name="Normal 7 4 7 4 4" xfId="7219" xr:uid="{78F1A636-2A49-46B5-B168-6DA0297DA514}"/>
    <cellStyle name="Normal 7 4 7 4 4 2" xfId="17599" xr:uid="{A0C1DAC9-3967-4DE6-A4E0-BC2933ECC7B0}"/>
    <cellStyle name="Normal 7 4 7 4 5" xfId="10052" xr:uid="{247CB7BF-F3AB-4FAB-8849-615BBF88BFE3}"/>
    <cellStyle name="Normal 7 4 7 4 5 2" xfId="20432" xr:uid="{433360EF-24F2-44FE-B491-00832D4F3C4C}"/>
    <cellStyle name="Normal 7 4 7 4 6" xfId="23942" xr:uid="{4B8E3C43-E3F8-45A4-B209-D344009322F9}"/>
    <cellStyle name="Normal 7 4 7 4 7" xfId="14069" xr:uid="{D6F7031A-BBD4-41CE-8452-F3D01734CF83}"/>
    <cellStyle name="Normal 7 4 7 5" xfId="2997" xr:uid="{00000000-0005-0000-0000-0000C8080000}"/>
    <cellStyle name="Normal 7 4 7 5 2" xfId="6147" xr:uid="{6BCE8B4A-9675-40C0-A2D5-6294386B68E9}"/>
    <cellStyle name="Normal 7 4 7 5 2 2" xfId="25621" xr:uid="{00D2962E-FF70-4896-8991-B69B1A34BC5D}"/>
    <cellStyle name="Normal 7 4 7 5 2 3" xfId="28713" xr:uid="{1A2B71F5-5B9A-42F3-9242-0C02BE2F4E8E}"/>
    <cellStyle name="Normal 7 4 7 5 2 4" xfId="15625" xr:uid="{2979D8AD-8A6A-430C-8D78-829E0661FEAF}"/>
    <cellStyle name="Normal 7 4 7 5 3" xfId="8078" xr:uid="{C3649476-9B69-458C-A42E-9F7BADBA0F44}"/>
    <cellStyle name="Normal 7 4 7 5 3 2" xfId="28771" xr:uid="{1FA1714F-F91C-4808-A63D-01DAD61C1825}"/>
    <cellStyle name="Normal 7 4 7 5 3 3" xfId="18458" xr:uid="{150810D6-BA47-481C-BE74-1A7170BE9834}"/>
    <cellStyle name="Normal 7 4 7 5 4" xfId="10911" xr:uid="{76AF9BC8-791B-41D3-8DDC-70BADCC74451}"/>
    <cellStyle name="Normal 7 4 7 5 4 2" xfId="21291" xr:uid="{464574B5-8425-4615-97A5-7E829E354DC4}"/>
    <cellStyle name="Normal 7 4 7 5 5" xfId="23237" xr:uid="{E90100EE-4289-4EA3-A0A4-25E461D2A1AE}"/>
    <cellStyle name="Normal 7 4 7 5 6" xfId="13496" xr:uid="{369EE70D-046F-4304-922A-298A8F178DE4}"/>
    <cellStyle name="Normal 7 4 7 6" xfId="2509" xr:uid="{00000000-0005-0000-0000-0000C9080000}"/>
    <cellStyle name="Normal 7 4 7 6 2" xfId="5789" xr:uid="{3282F4A4-00CD-4F19-9E65-F7B74C6C665F}"/>
    <cellStyle name="Normal 7 4 7 6 2 2" xfId="26983" xr:uid="{66B53AA0-BEFE-4749-A86C-02568B55DDB5}"/>
    <cellStyle name="Normal 7 4 7 6 2 3" xfId="15181" xr:uid="{55CD1FC0-6CF1-4FB1-83EE-30066C9FC681}"/>
    <cellStyle name="Normal 7 4 7 6 3" xfId="7634" xr:uid="{5D6AE3A2-45AE-49DD-BB38-14E2B4134932}"/>
    <cellStyle name="Normal 7 4 7 6 3 2" xfId="18014" xr:uid="{88E4946E-65D9-4531-AB80-D4140E7F23CD}"/>
    <cellStyle name="Normal 7 4 7 6 4" xfId="10467" xr:uid="{24758081-1C61-4D2A-94E1-4C6478F91DAC}"/>
    <cellStyle name="Normal 7 4 7 6 4 2" xfId="20847" xr:uid="{B09CA23A-6034-47FF-992D-9130CACE3CFB}"/>
    <cellStyle name="Normal 7 4 7 6 5" xfId="22837" xr:uid="{F640ABDA-F9FF-4991-9312-581AA991DA9E}"/>
    <cellStyle name="Normal 7 4 7 6 6" xfId="12897" xr:uid="{5B8820CC-2D2B-48FD-9836-B40397742CA8}"/>
    <cellStyle name="Normal 7 4 7 7" xfId="2264" xr:uid="{00000000-0005-0000-0000-0000BD080000}"/>
    <cellStyle name="Normal 7 4 7 7 2" xfId="7391" xr:uid="{E74BE3B4-261E-444B-A27C-4F00352E7831}"/>
    <cellStyle name="Normal 7 4 7 7 2 2" xfId="17771" xr:uid="{6CEFC5A1-6090-4C2C-B75A-8C0909309771}"/>
    <cellStyle name="Normal 7 4 7 7 3" xfId="10224" xr:uid="{65CE8179-84B8-4688-8184-4749C187FB18}"/>
    <cellStyle name="Normal 7 4 7 7 3 2" xfId="20604" xr:uid="{DF899853-DDB0-4671-B968-05FF263CF7A4}"/>
    <cellStyle name="Normal 7 4 7 7 4" xfId="24889" xr:uid="{47D07235-046B-4F6B-81B0-576B8D303214}"/>
    <cellStyle name="Normal 7 4 7 7 5" xfId="14938" xr:uid="{87694CAD-8FC6-450E-952E-6ED1E3EC09BD}"/>
    <cellStyle name="Normal 7 4 7 8" xfId="4074" xr:uid="{70E150A0-3A47-4E60-B8FA-194FFB563C3E}"/>
    <cellStyle name="Normal 7 4 7 8 2" xfId="8854" xr:uid="{5DF1E159-61F3-4D49-AA29-426995D42922}"/>
    <cellStyle name="Normal 7 4 7 8 2 2" xfId="19234" xr:uid="{5A6D3A2F-AFA5-4626-99E0-6FE492875E7B}"/>
    <cellStyle name="Normal 7 4 7 8 3" xfId="11687" xr:uid="{DBB786BC-AF1E-4169-916E-BD0BE84ED065}"/>
    <cellStyle name="Normal 7 4 7 8 3 2" xfId="22067" xr:uid="{9A3746EF-A789-4423-AE61-8B8F3818B0B2}"/>
    <cellStyle name="Normal 7 4 7 8 4" xfId="16401" xr:uid="{085B9D30-FF63-40A6-AD5F-27858B14E95D}"/>
    <cellStyle name="Normal 7 4 7 9" xfId="5465" xr:uid="{9299171B-9C8B-4B60-AB4A-96F4C3795E5F}"/>
    <cellStyle name="Normal 7 4 7 9 2" xfId="14762" xr:uid="{A42887CF-1C94-4F1E-9F18-7545BC723F24}"/>
    <cellStyle name="Normal 7 4 8" xfId="1452" xr:uid="{00000000-0005-0000-0000-000083070000}"/>
    <cellStyle name="Normal 7 4 8 10" xfId="10053" xr:uid="{EF1712B9-C7CB-4AE8-AF0F-EEFD4CA74A28}"/>
    <cellStyle name="Normal 7 4 8 10 2" xfId="20433" xr:uid="{3C6DBDF1-9C3E-4E2D-8524-E76C6490384E}"/>
    <cellStyle name="Normal 7 4 8 11" xfId="23573" xr:uid="{43D06133-5809-4FC6-8DC4-450E476CEC4E}"/>
    <cellStyle name="Normal 7 4 8 12" xfId="12641" xr:uid="{6961CC9C-F0C5-4FCB-B4DB-A0EB2B36D790}"/>
    <cellStyle name="Normal 7 4 8 2" xfId="1453" xr:uid="{00000000-0005-0000-0000-000084070000}"/>
    <cellStyle name="Normal 7 4 8 2 2" xfId="1454" xr:uid="{00000000-0005-0000-0000-000085070000}"/>
    <cellStyle name="Normal 7 4 8 2 2 2" xfId="5472" xr:uid="{3636D283-D47D-4334-9F84-556F35350CD4}"/>
    <cellStyle name="Normal 7 4 8 2 2 2 2" xfId="22857" xr:uid="{001F5703-3C79-4AFC-97A0-E655D62F5145}"/>
    <cellStyle name="Normal 7 4 8 2 2 2 3" xfId="26531" xr:uid="{7B3488E1-EC29-470F-8BCA-EE71F9B0E4F4}"/>
    <cellStyle name="Normal 7 4 8 2 2 2 4" xfId="14769" xr:uid="{0E4F747D-C5F0-4A33-9086-928DFCEC4AE7}"/>
    <cellStyle name="Normal 7 4 8 2 2 3" xfId="7222" xr:uid="{114E8657-7A27-4839-9190-62CF8DE676B8}"/>
    <cellStyle name="Normal 7 4 8 2 2 3 2" xfId="27673" xr:uid="{CDF11442-3C64-4690-8B34-D1E2879987F5}"/>
    <cellStyle name="Normal 7 4 8 2 2 3 3" xfId="27224" xr:uid="{00A3FBD5-8822-4EE3-BB33-4BB4B90B7BFE}"/>
    <cellStyle name="Normal 7 4 8 2 2 3 4" xfId="17602" xr:uid="{64BCE88B-475D-4F81-BBBF-81734BD592D1}"/>
    <cellStyle name="Normal 7 4 8 2 2 4" xfId="10055" xr:uid="{F90B0E8E-6484-4357-8D7A-CF9A58E95B54}"/>
    <cellStyle name="Normal 7 4 8 2 2 4 2" xfId="29462" xr:uid="{1DD9C4E6-F108-4FE3-B158-0F11A48A747D}"/>
    <cellStyle name="Normal 7 4 8 2 2 4 3" xfId="20435" xr:uid="{B151CD92-979C-4289-BA81-31E625EE1FB0}"/>
    <cellStyle name="Normal 7 4 8 2 2 5" xfId="22983" xr:uid="{DC1D515C-8D40-4010-B201-28E36CD742B8}"/>
    <cellStyle name="Normal 7 4 8 2 2 6" xfId="14070" xr:uid="{6269B15C-ED57-4E8D-9118-1C43CE8D3032}"/>
    <cellStyle name="Normal 7 4 8 2 3" xfId="2839" xr:uid="{00000000-0005-0000-0000-0000CD080000}"/>
    <cellStyle name="Normal 7 4 8 2 3 2" xfId="6055" xr:uid="{533E40A1-DF87-4FA6-AE2C-A2B63E3428C2}"/>
    <cellStyle name="Normal 7 4 8 2 3 2 2" xfId="27976" xr:uid="{B6DBF4DC-96B9-4B03-8C95-8AEF8EB0838E}"/>
    <cellStyle name="Normal 7 4 8 2 3 2 3" xfId="15509" xr:uid="{43E36D2B-2CE5-46AC-A934-BEF148DDBB44}"/>
    <cellStyle name="Normal 7 4 8 2 3 3" xfId="7962" xr:uid="{04A2E131-B306-4793-8B45-EB3B6D12F2D2}"/>
    <cellStyle name="Normal 7 4 8 2 3 3 2" xfId="18342" xr:uid="{0291A93E-8044-4E13-8231-4795AD85073F}"/>
    <cellStyle name="Normal 7 4 8 2 3 4" xfId="10795" xr:uid="{CCBF599F-2B4A-4F20-82CB-CACDF3B1F18F}"/>
    <cellStyle name="Normal 7 4 8 2 3 4 2" xfId="21175" xr:uid="{9E42111E-D727-414C-BB03-DCEC354A0271}"/>
    <cellStyle name="Normal 7 4 8 2 3 5" xfId="25545" xr:uid="{5B2D9023-73DA-4C07-93E9-9A05B412FA11}"/>
    <cellStyle name="Normal 7 4 8 2 3 6" xfId="13319" xr:uid="{372EB46D-FBCB-4920-A543-58B0CE78C24C}"/>
    <cellStyle name="Normal 7 4 8 2 4" xfId="4225" xr:uid="{8E084ECD-D9A3-44A4-A982-75C1FF528684}"/>
    <cellStyle name="Normal 7 4 8 2 4 2" xfId="8997" xr:uid="{079480DA-C2A6-4B8B-BD2D-0CE02AB0AE0C}"/>
    <cellStyle name="Normal 7 4 8 2 4 2 2" xfId="29074" xr:uid="{6DB4ED39-4019-42DC-B1AD-57FF195097E3}"/>
    <cellStyle name="Normal 7 4 8 2 4 2 3" xfId="19377" xr:uid="{C6F3931D-3785-40C9-9691-4E0B7196FB77}"/>
    <cellStyle name="Normal 7 4 8 2 4 3" xfId="11830" xr:uid="{CDA35758-37F4-4F93-AA7D-79E55E812167}"/>
    <cellStyle name="Normal 7 4 8 2 4 3 2" xfId="22210" xr:uid="{11D3B409-E9D6-41C2-A7CE-B4EEEF93B14D}"/>
    <cellStyle name="Normal 7 4 8 2 4 4" xfId="24112" xr:uid="{0B9D6056-DDE6-48B5-BA68-07BA3D8C25C7}"/>
    <cellStyle name="Normal 7 4 8 2 4 5" xfId="16544" xr:uid="{93347217-0AD9-43A3-A432-8A0B4AB0976F}"/>
    <cellStyle name="Normal 7 4 8 2 5" xfId="5471" xr:uid="{D16A82EB-F898-4D42-B341-781736254535}"/>
    <cellStyle name="Normal 7 4 8 2 5 2" xfId="28591" xr:uid="{07B1A7FE-5DA6-4522-B8AB-1D6656A4C352}"/>
    <cellStyle name="Normal 7 4 8 2 5 3" xfId="14768" xr:uid="{EF28EBA3-8C92-4F02-A28C-B91C1791E825}"/>
    <cellStyle name="Normal 7 4 8 2 6" xfId="7221" xr:uid="{F82626F9-B023-4DD5-99F4-C3233264730A}"/>
    <cellStyle name="Normal 7 4 8 2 6 2" xfId="17601" xr:uid="{65417845-AEB1-42BC-9F5C-EC07F3813DF3}"/>
    <cellStyle name="Normal 7 4 8 2 7" xfId="10054" xr:uid="{E3A0AD72-330F-4E16-9251-6FF44E174797}"/>
    <cellStyle name="Normal 7 4 8 2 7 2" xfId="20434" xr:uid="{92058508-752E-41BD-A1E3-6A7ECF2FF9AE}"/>
    <cellStyle name="Normal 7 4 8 2 8" xfId="23182" xr:uid="{D1A9F8F7-5B3D-47D5-9AB4-485129EF5884}"/>
    <cellStyle name="Normal 7 4 8 2 9" xfId="12799" xr:uid="{E5314721-3A8C-4084-92F5-27E37DA35265}"/>
    <cellStyle name="Normal 7 4 8 3" xfId="1455" xr:uid="{00000000-0005-0000-0000-000086070000}"/>
    <cellStyle name="Normal 7 4 8 3 2" xfId="4598" xr:uid="{0552F609-7B1B-4E64-BC29-4822327C096B}"/>
    <cellStyle name="Normal 7 4 8 3 2 2" xfId="9370" xr:uid="{EFB8727F-0BF3-4E35-A6CA-126317C3646D}"/>
    <cellStyle name="Normal 7 4 8 3 2 2 2" xfId="29340" xr:uid="{4FD2DF76-9645-465E-9B70-515351FB064B}"/>
    <cellStyle name="Normal 7 4 8 3 2 2 3" xfId="19750" xr:uid="{D0EAD18A-C677-44DB-BB26-6E71FE56911A}"/>
    <cellStyle name="Normal 7 4 8 3 2 3" xfId="12203" xr:uid="{41AA11EC-67D3-42D5-857C-D96D3CF6C217}"/>
    <cellStyle name="Normal 7 4 8 3 2 3 2" xfId="22583" xr:uid="{B914BBE6-A71D-4D37-848C-FD9C5600B136}"/>
    <cellStyle name="Normal 7 4 8 3 2 4" xfId="24049" xr:uid="{BC81B891-0337-4B68-A938-824B9F85EF89}"/>
    <cellStyle name="Normal 7 4 8 3 2 5" xfId="16917" xr:uid="{45508FF6-ADAC-476C-999C-574F428865E5}"/>
    <cellStyle name="Normal 7 4 8 3 3" xfId="5473" xr:uid="{9EB788E9-C458-4241-97E0-0A5708A4F013}"/>
    <cellStyle name="Normal 7 4 8 3 3 2" xfId="26873" xr:uid="{5864A27F-D222-4694-889D-07BC791B4827}"/>
    <cellStyle name="Normal 7 4 8 3 3 3" xfId="27753" xr:uid="{970D654A-3A39-468E-9FF8-6EEF5B872978}"/>
    <cellStyle name="Normal 7 4 8 3 3 4" xfId="14770" xr:uid="{D6471D8E-B8AD-4F07-A492-B59D7BA115C2}"/>
    <cellStyle name="Normal 7 4 8 3 4" xfId="7223" xr:uid="{CFB8BE2B-B057-4463-9007-F5A746AEEFA8}"/>
    <cellStyle name="Normal 7 4 8 3 4 2" xfId="27448" xr:uid="{2C111934-A6EB-4C1C-9E28-2B305E91DA34}"/>
    <cellStyle name="Normal 7 4 8 3 4 3" xfId="26542" xr:uid="{BA28009A-4CCE-42DC-847A-665A79744884}"/>
    <cellStyle name="Normal 7 4 8 3 4 4" xfId="17603" xr:uid="{7553F6F9-5D53-48F7-AEB8-ECD0645E5423}"/>
    <cellStyle name="Normal 7 4 8 3 5" xfId="10056" xr:uid="{53D5B659-CC9A-4282-AFB6-6FC4A325B9AF}"/>
    <cellStyle name="Normal 7 4 8 3 5 2" xfId="29463" xr:uid="{ED9AC750-B820-45ED-9DBD-C803097122AA}"/>
    <cellStyle name="Normal 7 4 8 3 5 3" xfId="20436" xr:uid="{199DA9D9-5D95-4BAD-B915-2F7DEE3B0A69}"/>
    <cellStyle name="Normal 7 4 8 3 6" xfId="24086" xr:uid="{C42B40C5-0926-44A6-864E-A770011B03A1}"/>
    <cellStyle name="Normal 7 4 8 3 7" xfId="14071" xr:uid="{2387A4F3-8807-408B-8776-012E16C10264}"/>
    <cellStyle name="Normal 7 4 8 4" xfId="1456" xr:uid="{00000000-0005-0000-0000-000087070000}"/>
    <cellStyle name="Normal 7 4 8 4 2" xfId="5474" xr:uid="{958CCFC7-A3AA-4E91-A046-F3DE252E7A43}"/>
    <cellStyle name="Normal 7 4 8 4 2 2" xfId="22869" xr:uid="{26AC1B0C-17C8-4C3C-9674-A1DBA9D4E53F}"/>
    <cellStyle name="Normal 7 4 8 4 2 3" xfId="28395" xr:uid="{4B196243-582F-478C-AA12-1B90DF8A5532}"/>
    <cellStyle name="Normal 7 4 8 4 2 4" xfId="14771" xr:uid="{078F1B5B-9148-46E4-A2CF-592D9DA8B159}"/>
    <cellStyle name="Normal 7 4 8 4 3" xfId="7224" xr:uid="{DFEAD6C0-7EC2-498F-B1CF-0095E0E59A1D}"/>
    <cellStyle name="Normal 7 4 8 4 3 2" xfId="27716" xr:uid="{DD897E5F-461E-405A-A6B7-D6F62706497F}"/>
    <cellStyle name="Normal 7 4 8 4 3 3" xfId="17604" xr:uid="{73799A35-854B-47AA-BF6B-D745F5F9AE43}"/>
    <cellStyle name="Normal 7 4 8 4 4" xfId="10057" xr:uid="{274713DF-9C4F-4F39-B0C6-CC78A3E62918}"/>
    <cellStyle name="Normal 7 4 8 4 4 2" xfId="20437" xr:uid="{3C396B5E-E960-4686-A80A-8B1A6FA7ECDA}"/>
    <cellStyle name="Normal 7 4 8 4 5" xfId="25226" xr:uid="{CA4E3F5D-FCCF-4226-B39A-0FBDEB279BA7}"/>
    <cellStyle name="Normal 7 4 8 4 6" xfId="13497" xr:uid="{4E555D96-9475-4A85-A500-2A06EECEF281}"/>
    <cellStyle name="Normal 7 4 8 5" xfId="2569" xr:uid="{00000000-0005-0000-0000-0000D0080000}"/>
    <cellStyle name="Normal 7 4 8 5 2" xfId="5838" xr:uid="{0B4A4FB7-E628-4771-9D78-2BE2F5A0CC9A}"/>
    <cellStyle name="Normal 7 4 8 5 2 2" xfId="27445" xr:uid="{1CBA59C3-48A6-4C5B-9198-9C49E59DEBC6}"/>
    <cellStyle name="Normal 7 4 8 5 2 3" xfId="15241" xr:uid="{84425239-7B88-447E-A96A-BA3BA78301FC}"/>
    <cellStyle name="Normal 7 4 8 5 3" xfId="7694" xr:uid="{FF7E3AB0-9D5B-4C6B-AAA9-013CDB84EC1F}"/>
    <cellStyle name="Normal 7 4 8 5 3 2" xfId="18074" xr:uid="{AAB89A67-DE61-47AA-A2A6-73C10586305C}"/>
    <cellStyle name="Normal 7 4 8 5 4" xfId="10527" xr:uid="{F7532814-E583-40F2-A2FF-CBD1218C2FF6}"/>
    <cellStyle name="Normal 7 4 8 5 4 2" xfId="20907" xr:uid="{84ADA1D1-FA62-44CA-B030-636B308291F0}"/>
    <cellStyle name="Normal 7 4 8 5 5" xfId="23703" xr:uid="{4027B57F-1CD2-4D4D-A090-33B6A7F2C613}"/>
    <cellStyle name="Normal 7 4 8 5 6" xfId="12957" xr:uid="{268865C0-322C-4EE8-BE9D-00E2CBABDD0C}"/>
    <cellStyle name="Normal 7 4 8 6" xfId="2407" xr:uid="{00000000-0005-0000-0000-0000CA080000}"/>
    <cellStyle name="Normal 7 4 8 6 2" xfId="7534" xr:uid="{A7B3FD74-6C53-412E-86D9-EF8903CBBE17}"/>
    <cellStyle name="Normal 7 4 8 6 2 2" xfId="26368" xr:uid="{39E3F7FF-2F09-4F7F-A9AD-B4DB0A684011}"/>
    <cellStyle name="Normal 7 4 8 6 2 3" xfId="17914" xr:uid="{B1256805-C7C5-4C0B-BA11-9A8F4E51285D}"/>
    <cellStyle name="Normal 7 4 8 6 3" xfId="10367" xr:uid="{357387AB-895E-4C97-BA1B-D5593175AC1E}"/>
    <cellStyle name="Normal 7 4 8 6 3 2" xfId="20747" xr:uid="{7921721A-A43F-41A0-8E28-79734A2F6035}"/>
    <cellStyle name="Normal 7 4 8 6 4" xfId="23366" xr:uid="{6FA3567B-2144-49ED-90E4-FC728EDA7B23}"/>
    <cellStyle name="Normal 7 4 8 6 5" xfId="15081" xr:uid="{5E7F0B08-7B2C-46AF-B59F-7D7551AA5123}"/>
    <cellStyle name="Normal 7 4 8 7" xfId="4075" xr:uid="{0960D526-1A98-4C15-8071-4F9A5745CC87}"/>
    <cellStyle name="Normal 7 4 8 7 2" xfId="8855" xr:uid="{DE5A15D0-8DC0-4101-8A38-F8E39D609947}"/>
    <cellStyle name="Normal 7 4 8 7 2 2" xfId="19235" xr:uid="{A8B73B77-4E88-4475-9F15-A36B45F1D723}"/>
    <cellStyle name="Normal 7 4 8 7 3" xfId="11688" xr:uid="{638EF884-A8AF-4064-ABC9-C467478312EA}"/>
    <cellStyle name="Normal 7 4 8 7 3 2" xfId="22068" xr:uid="{0B07804D-300E-47CC-89C7-F11AD7EAE2D8}"/>
    <cellStyle name="Normal 7 4 8 7 4" xfId="26796" xr:uid="{D442B26F-BA01-4D34-AAF2-C52342F27401}"/>
    <cellStyle name="Normal 7 4 8 7 5" xfId="16402" xr:uid="{2E4142AA-993D-483A-8966-B1CE97751566}"/>
    <cellStyle name="Normal 7 4 8 8" xfId="5470" xr:uid="{684AF55B-A0B4-4691-A806-7BC4B2CAB0C4}"/>
    <cellStyle name="Normal 7 4 8 8 2" xfId="14767" xr:uid="{56AB07C7-698B-401C-BD1B-D480F5B5CC29}"/>
    <cellStyle name="Normal 7 4 8 9" xfId="7220" xr:uid="{0F50CFEF-AF0B-45D4-9190-0FE1F1CDA087}"/>
    <cellStyle name="Normal 7 4 8 9 2" xfId="17600" xr:uid="{4BA2EB9D-922F-4E67-9D93-6F9A42F6CA96}"/>
    <cellStyle name="Normal 7 4 9" xfId="1457" xr:uid="{00000000-0005-0000-0000-000088070000}"/>
    <cellStyle name="Normal 7 4 9 10" xfId="25206" xr:uid="{7241CE05-D77C-43DB-A46C-C1B42A29B8E7}"/>
    <cellStyle name="Normal 7 4 9 11" xfId="12642" xr:uid="{3348A1C7-23FF-4553-B2D0-CAA7C2FEE860}"/>
    <cellStyle name="Normal 7 4 9 2" xfId="1458" xr:uid="{00000000-0005-0000-0000-000089070000}"/>
    <cellStyle name="Normal 7 4 9 2 2" xfId="3481" xr:uid="{00000000-0005-0000-0000-0000D3080000}"/>
    <cellStyle name="Normal 7 4 9 2 2 2" xfId="6536" xr:uid="{BA36B20E-5840-4A1D-B488-DFCC8F41A966}"/>
    <cellStyle name="Normal 7 4 9 2 2 2 2" xfId="28441" xr:uid="{D6EC271F-1033-42EC-BCC4-C111AA9739D7}"/>
    <cellStyle name="Normal 7 4 9 2 2 2 3" xfId="26053" xr:uid="{D6AEC97E-0F0C-4673-98BE-D6D52C7F62A4}"/>
    <cellStyle name="Normal 7 4 9 2 2 2 4" xfId="16107" xr:uid="{8BF22692-E9F8-494C-9A6B-4241FC5D6979}"/>
    <cellStyle name="Normal 7 4 9 2 2 3" xfId="8560" xr:uid="{059B61F9-92CF-4CE2-8726-6E51F0F784E1}"/>
    <cellStyle name="Normal 7 4 9 2 2 3 2" xfId="28948" xr:uid="{0A996F82-AA77-4746-9D04-6C2DA4C2F325}"/>
    <cellStyle name="Normal 7 4 9 2 2 3 3" xfId="18940" xr:uid="{F05DFFB1-DF31-43BE-A1DE-0DD45D4E96CB}"/>
    <cellStyle name="Normal 7 4 9 2 2 4" xfId="11393" xr:uid="{9F19B492-0FA2-48FF-A20C-B3E232687F08}"/>
    <cellStyle name="Normal 7 4 9 2 2 4 2" xfId="21773" xr:uid="{C34E92A8-B2C0-4916-ACDC-E064A3D90D7D}"/>
    <cellStyle name="Normal 7 4 9 2 2 5" xfId="24233" xr:uid="{409C5A68-292E-455E-8879-B09DBDC74F9A}"/>
    <cellStyle name="Normal 7 4 9 2 2 6" xfId="14072" xr:uid="{2C07340D-D89B-493A-AD4B-3B07D3EB92A4}"/>
    <cellStyle name="Normal 7 4 9 2 3" xfId="4226" xr:uid="{596C2C39-C518-4720-A6D0-F9BE8BDE57CA}"/>
    <cellStyle name="Normal 7 4 9 2 3 2" xfId="8998" xr:uid="{D3CFC366-2233-4F6C-B642-ED89E0F0C967}"/>
    <cellStyle name="Normal 7 4 9 2 3 2 2" xfId="29075" xr:uid="{FD2DA22B-237A-45D1-842A-050C7C47708B}"/>
    <cellStyle name="Normal 7 4 9 2 3 2 3" xfId="19378" xr:uid="{281CFFE6-2F57-4FCE-9539-7A33A062615C}"/>
    <cellStyle name="Normal 7 4 9 2 3 3" xfId="11831" xr:uid="{8EEFBD95-578D-419A-8ED8-F67E64F7B848}"/>
    <cellStyle name="Normal 7 4 9 2 3 3 2" xfId="22211" xr:uid="{81B9662E-3C24-4D48-AE45-898BC0B0A91D}"/>
    <cellStyle name="Normal 7 4 9 2 3 4" xfId="24769" xr:uid="{9204D11A-797E-4CDB-96F3-EFA40F92FDCE}"/>
    <cellStyle name="Normal 7 4 9 2 3 5" xfId="16545" xr:uid="{92792AC9-0339-4CFE-B08D-FC8D8DA12481}"/>
    <cellStyle name="Normal 7 4 9 2 4" xfId="5476" xr:uid="{F7D4DD52-F08A-491D-81DB-28C7127D001F}"/>
    <cellStyle name="Normal 7 4 9 2 4 2" xfId="27602" xr:uid="{1EC68115-1AF4-449C-A038-4F9044C92822}"/>
    <cellStyle name="Normal 7 4 9 2 4 3" xfId="27806" xr:uid="{F0339573-60E5-4002-918F-93569A80834E}"/>
    <cellStyle name="Normal 7 4 9 2 4 4" xfId="14773" xr:uid="{F5BBF738-CA06-4029-8192-1C40D3FEF50A}"/>
    <cellStyle name="Normal 7 4 9 2 5" xfId="7226" xr:uid="{AAC930F3-8E13-4B24-B773-D88136900BCE}"/>
    <cellStyle name="Normal 7 4 9 2 5 2" xfId="27800" xr:uid="{7161DC4A-CA9F-45BF-965B-4BAAF68A711F}"/>
    <cellStyle name="Normal 7 4 9 2 5 3" xfId="17606" xr:uid="{050BF83E-08D8-4B51-A14B-822887668489}"/>
    <cellStyle name="Normal 7 4 9 2 6" xfId="10059" xr:uid="{A1AB6BF3-ACFE-4CA6-8113-69FA37E93CDF}"/>
    <cellStyle name="Normal 7 4 9 2 6 2" xfId="20439" xr:uid="{6C7DEB65-E8D2-485F-988E-80A6D5DAE483}"/>
    <cellStyle name="Normal 7 4 9 2 7" xfId="23449" xr:uid="{ECB327FF-942C-49BB-B733-2341E1DAA505}"/>
    <cellStyle name="Normal 7 4 9 2 8" xfId="12800" xr:uid="{25890BCF-C627-49BF-A851-B35582533F92}"/>
    <cellStyle name="Normal 7 4 9 3" xfId="1459" xr:uid="{00000000-0005-0000-0000-00008A070000}"/>
    <cellStyle name="Normal 7 4 9 3 2" xfId="5477" xr:uid="{34FC27ED-9267-4FE6-804B-4B6B659DACF4}"/>
    <cellStyle name="Normal 7 4 9 3 2 2" xfId="25514" xr:uid="{ECBF6AE4-3B42-442A-B397-A47093BAA862}"/>
    <cellStyle name="Normal 7 4 9 3 2 3" xfId="28639" xr:uid="{FBE8799A-8110-4913-BBAD-AC016AF95620}"/>
    <cellStyle name="Normal 7 4 9 3 2 4" xfId="14774" xr:uid="{93071C95-B1DC-490F-994E-C804B09ED584}"/>
    <cellStyle name="Normal 7 4 9 3 3" xfId="7227" xr:uid="{CD11F4D1-4581-4F93-A457-798636273C9F}"/>
    <cellStyle name="Normal 7 4 9 3 3 2" xfId="27158" xr:uid="{3E22AF7B-8B3D-4F56-8ADD-62DB11A0E0EF}"/>
    <cellStyle name="Normal 7 4 9 3 3 3" xfId="25831" xr:uid="{951EB23D-D78B-46E0-8017-A74A3458DCA0}"/>
    <cellStyle name="Normal 7 4 9 3 3 4" xfId="17607" xr:uid="{50F913BF-F798-4DD0-AEBA-A8B491D17827}"/>
    <cellStyle name="Normal 7 4 9 3 4" xfId="10060" xr:uid="{AFDD6B66-0556-4939-B25D-3B996FBB9A2C}"/>
    <cellStyle name="Normal 7 4 9 3 4 2" xfId="26574" xr:uid="{4027B8DC-26EC-4C8C-A66F-E12FF5141C14}"/>
    <cellStyle name="Normal 7 4 9 3 4 3" xfId="29464" xr:uid="{CEAFC507-E9CD-4663-AF1E-05BEE35F8A93}"/>
    <cellStyle name="Normal 7 4 9 3 4 4" xfId="20440" xr:uid="{2EE181E1-A004-444C-9B6F-F734AC31831E}"/>
    <cellStyle name="Normal 7 4 9 3 5" xfId="23140" xr:uid="{2AF327B9-2D1D-40BF-9B1A-2480DE36D783}"/>
    <cellStyle name="Normal 7 4 9 3 6" xfId="27908" xr:uid="{2B94D36C-826D-4C6A-8ACC-DD1229001485}"/>
    <cellStyle name="Normal 7 4 9 3 7" xfId="13498" xr:uid="{AA8FEBD0-D55B-46DB-9349-45F5D78FB400}"/>
    <cellStyle name="Normal 7 4 9 4" xfId="2840" xr:uid="{00000000-0005-0000-0000-0000D5080000}"/>
    <cellStyle name="Normal 7 4 9 4 2" xfId="6056" xr:uid="{CA35AE32-8A49-4A1D-91F3-DB3B40F122BB}"/>
    <cellStyle name="Normal 7 4 9 4 2 2" xfId="27956" xr:uid="{F560F6A6-140A-400F-87EB-1F4947E73B88}"/>
    <cellStyle name="Normal 7 4 9 4 2 3" xfId="15510" xr:uid="{5CFD9CBC-FC1E-42AA-ABBE-8CCFCE4DE975}"/>
    <cellStyle name="Normal 7 4 9 4 3" xfId="7963" xr:uid="{44734FEC-A5EC-4868-8F46-984BBB606219}"/>
    <cellStyle name="Normal 7 4 9 4 3 2" xfId="18343" xr:uid="{600C4E21-9490-4C71-A5AF-A2F76E03C564}"/>
    <cellStyle name="Normal 7 4 9 4 4" xfId="10796" xr:uid="{3EB39DCA-A7D2-4A88-A314-E1390084789F}"/>
    <cellStyle name="Normal 7 4 9 4 4 2" xfId="21176" xr:uid="{C7E13083-4768-4A29-8D0F-7F432AD845A7}"/>
    <cellStyle name="Normal 7 4 9 4 5" xfId="25358" xr:uid="{0CB459D8-1683-498E-B309-B7437B03D01D}"/>
    <cellStyle name="Normal 7 4 9 4 6" xfId="13320" xr:uid="{0C7D5F92-015A-40C3-8658-AEFA983A7BB8}"/>
    <cellStyle name="Normal 7 4 9 5" xfId="2408" xr:uid="{00000000-0005-0000-0000-0000D1080000}"/>
    <cellStyle name="Normal 7 4 9 5 2" xfId="7535" xr:uid="{EA42B910-957F-406C-BBBC-C6DAF86D86FE}"/>
    <cellStyle name="Normal 7 4 9 5 2 2" xfId="27247" xr:uid="{9FBA0F6A-3E29-4A8F-B6CC-742C60529986}"/>
    <cellStyle name="Normal 7 4 9 5 2 3" xfId="17915" xr:uid="{78DC0D4E-C4F6-49C6-BEB9-F2A5C3EE8159}"/>
    <cellStyle name="Normal 7 4 9 5 3" xfId="10368" xr:uid="{86718D3C-0642-4DCF-BDE5-480BBF1B24B2}"/>
    <cellStyle name="Normal 7 4 9 5 3 2" xfId="20748" xr:uid="{7A76C505-1F7A-4AF0-992A-613760DD97E2}"/>
    <cellStyle name="Normal 7 4 9 5 4" xfId="24928" xr:uid="{A3747C55-5DBC-47EF-BFDD-BB8F9424984E}"/>
    <cellStyle name="Normal 7 4 9 5 5" xfId="15082" xr:uid="{2A282EA6-6DD9-4676-BA80-36F3388B61BC}"/>
    <cellStyle name="Normal 7 4 9 6" xfId="4076" xr:uid="{ECFEC964-18E2-4A55-9DDE-17A187421C86}"/>
    <cellStyle name="Normal 7 4 9 6 2" xfId="8856" xr:uid="{05369801-56D3-4D72-A3C4-13544C799199}"/>
    <cellStyle name="Normal 7 4 9 6 2 2" xfId="28998" xr:uid="{985A2476-8016-48C6-B19B-8E5A095831BA}"/>
    <cellStyle name="Normal 7 4 9 6 2 3" xfId="19236" xr:uid="{64AA5B8D-8160-4A3E-ADD4-0FA6DAA3D899}"/>
    <cellStyle name="Normal 7 4 9 6 3" xfId="11689" xr:uid="{5A407977-0356-48BB-B948-B9E2BF6E857D}"/>
    <cellStyle name="Normal 7 4 9 6 3 2" xfId="22069" xr:uid="{003FE15E-2013-4C8D-86ED-88B751E3DD2C}"/>
    <cellStyle name="Normal 7 4 9 6 4" xfId="28172" xr:uid="{1CCE1AE5-BE80-4AA7-85BF-C9A73A3EA59B}"/>
    <cellStyle name="Normal 7 4 9 6 5" xfId="16403" xr:uid="{1F7BD514-47B8-46FD-A352-A22BFCFA7682}"/>
    <cellStyle name="Normal 7 4 9 7" xfId="5475" xr:uid="{CCEF96D4-FC6A-423C-B1B0-072A0C3E5B8F}"/>
    <cellStyle name="Normal 7 4 9 7 2" xfId="28305" xr:uid="{D50CC486-3BAB-43DF-A9AF-FF380362D7CD}"/>
    <cellStyle name="Normal 7 4 9 7 3" xfId="14772" xr:uid="{2F958CE7-9EE8-42DA-8FA1-7E82351CCECD}"/>
    <cellStyle name="Normal 7 4 9 8" xfId="7225" xr:uid="{C11C0213-DE70-4B4C-910B-94E9A71F0D83}"/>
    <cellStyle name="Normal 7 4 9 8 2" xfId="17605" xr:uid="{EA06E039-073F-4D18-BECB-3A1FE3F10177}"/>
    <cellStyle name="Normal 7 4 9 9" xfId="10058" xr:uid="{BEF1D5CA-EBE5-46A7-A649-AEC3EEFC11C3}"/>
    <cellStyle name="Normal 7 4 9 9 2" xfId="20438" xr:uid="{83FDCABE-BF8A-47D5-829B-2000387E3BAA}"/>
    <cellStyle name="Normal 7 5" xfId="1460" xr:uid="{00000000-0005-0000-0000-00008B070000}"/>
    <cellStyle name="Normal 7 6" xfId="1461" xr:uid="{00000000-0005-0000-0000-00008C070000}"/>
    <cellStyle name="Normal 7 6 10" xfId="1462" xr:uid="{00000000-0005-0000-0000-00008D070000}"/>
    <cellStyle name="Normal 7 6 10 2" xfId="1463" xr:uid="{00000000-0005-0000-0000-00008E070000}"/>
    <cellStyle name="Normal 7 6 10 2 2" xfId="1464" xr:uid="{00000000-0005-0000-0000-00008F070000}"/>
    <cellStyle name="Normal 7 6 10 2 2 2" xfId="23867" xr:uid="{203ECEE9-28AC-4CA7-BFCE-356C379A39D2}"/>
    <cellStyle name="Normal 7 6 10 2 2 3" xfId="25006" xr:uid="{6823BFC9-1FCE-4FD7-B367-57FB0194A201}"/>
    <cellStyle name="Normal 7 6 10 2 3" xfId="1465" xr:uid="{00000000-0005-0000-0000-000090070000}"/>
    <cellStyle name="Normal 7 6 10 2 3 2" xfId="2031" xr:uid="{00000000-0005-0000-0000-000091070000}"/>
    <cellStyle name="Normal 7 6 10 2 3 3" xfId="3766" xr:uid="{00000000-0005-0000-0000-0000F0060000}"/>
    <cellStyle name="Normal 7 6 10 2 3 3 2" xfId="4757" xr:uid="{BE653DD7-1A95-4D05-ACBC-B4D6D2120D32}"/>
    <cellStyle name="Normal 7 6 10 2 3 3 3" xfId="30291" xr:uid="{CB1BD4F2-F63B-4AC6-A611-52768EB82BEB}"/>
    <cellStyle name="Normal 7 6 10 2 3 3 3 2" xfId="31434" xr:uid="{39266993-B013-4166-A920-C26B0A484995}"/>
    <cellStyle name="Normal 7 6 10 2 3 3 4" xfId="31631" xr:uid="{E1F93840-EE29-493B-A5F9-44A29EBD528D}"/>
    <cellStyle name="Normal 7 6 10 2 4" xfId="25604" xr:uid="{1F88F4F4-8E7E-4A10-9831-AB18C3F05F2C}"/>
    <cellStyle name="Normal 7 6 10 3" xfId="1466" xr:uid="{00000000-0005-0000-0000-000092070000}"/>
    <cellStyle name="Normal 7 6 10 4" xfId="2998" xr:uid="{00000000-0005-0000-0000-0000DB080000}"/>
    <cellStyle name="Normal 7 6 10 4 2" xfId="31283" xr:uid="{69027C77-DB7A-41A6-AD44-B417C9A1F73E}"/>
    <cellStyle name="Normal 7 6 10 5" xfId="2151" xr:uid="{00000000-0005-0000-0000-000024030000}"/>
    <cellStyle name="Normal 7 6 10 5 2" xfId="4681" xr:uid="{64225ED7-B81F-4829-937E-4C8F86992647}"/>
    <cellStyle name="Normal 7 6 10 5 3" xfId="30232" xr:uid="{E8A66BD3-D076-4AC4-9CB9-C69A4F84E392}"/>
    <cellStyle name="Normal 7 6 10 5 3 2" xfId="31376" xr:uid="{D1DAB6D5-9CCE-40FC-902D-9DEE317FF735}"/>
    <cellStyle name="Normal 7 6 10 5 4" xfId="31572" xr:uid="{11601000-5713-4821-958F-68BE4ED60597}"/>
    <cellStyle name="Normal 7 6 10 6" xfId="4079" xr:uid="{5A04D94C-6FA8-4354-90B5-CFB60835C8E6}"/>
    <cellStyle name="Normal 7 6 10 6 2" xfId="4824" xr:uid="{0FEEC669-8F27-4B5E-8A98-CFDB8125CE32}"/>
    <cellStyle name="Normal 7 6 10 6 3" xfId="30346" xr:uid="{F9587E97-63EE-407D-AB4F-67E8F50E4485}"/>
    <cellStyle name="Normal 7 6 10 6 3 2" xfId="31488" xr:uid="{1B8E676E-0AA8-4F0A-8F3B-F346F6626895}"/>
    <cellStyle name="Normal 7 6 10 6 4" xfId="31686" xr:uid="{8B0FF327-4B58-4E9D-B7E2-13B7E118E2F7}"/>
    <cellStyle name="Normal 7 6 10 7" xfId="30165" xr:uid="{12C3815A-038F-484F-AD47-98D3CF0EAE5F}"/>
    <cellStyle name="Normal 7 6 10 7 2" xfId="30535" xr:uid="{0238211A-81EA-4FE4-8F6A-61EEA3D894FA}"/>
    <cellStyle name="Normal 7 6 11" xfId="1467" xr:uid="{00000000-0005-0000-0000-000093070000}"/>
    <cellStyle name="Normal 7 6 11 10" xfId="12643" xr:uid="{4994F450-78F0-4D7A-AAC7-62621D59190D}"/>
    <cellStyle name="Normal 7 6 11 2" xfId="2424" xr:uid="{00000000-0005-0000-0000-0000DD080000}"/>
    <cellStyle name="Normal 7 6 11 2 2" xfId="2999" xr:uid="{00000000-0005-0000-0000-0000DE080000}"/>
    <cellStyle name="Normal 7 6 11 2 2 2" xfId="6148" xr:uid="{3AC7CF31-3B91-4166-A372-BC7763FFCF1D}"/>
    <cellStyle name="Normal 7 6 11 2 2 2 2" xfId="28149" xr:uid="{03FA1087-3B6E-4E72-8978-31D40D60E86C}"/>
    <cellStyle name="Normal 7 6 11 2 2 2 3" xfId="15626" xr:uid="{20161C1B-6017-4CDA-A29A-0102EDBEA5C3}"/>
    <cellStyle name="Normal 7 6 11 2 2 3" xfId="8079" xr:uid="{5E8D8961-5478-4CBE-BBDE-7EFC17FF8191}"/>
    <cellStyle name="Normal 7 6 11 2 2 3 2" xfId="18459" xr:uid="{BBB956AF-DFF1-4A67-B026-B9E16F6B9CC2}"/>
    <cellStyle name="Normal 7 6 11 2 2 4" xfId="10912" xr:uid="{3D74FEE2-D5B9-47DE-B190-ADE5D9E806EA}"/>
    <cellStyle name="Normal 7 6 11 2 2 4 2" xfId="21292" xr:uid="{7553158E-4646-4A2E-8950-DD4335E18336}"/>
    <cellStyle name="Normal 7 6 11 2 2 5" xfId="24372" xr:uid="{1CBCCA99-94AC-4230-979D-F81491E7E872}"/>
    <cellStyle name="Normal 7 6 11 2 2 6" xfId="13499" xr:uid="{92BCA6AD-5261-4290-88CB-25848BB8B0C3}"/>
    <cellStyle name="Normal 7 6 11 2 3" xfId="5724" xr:uid="{0C1D1DA6-3D1F-4E81-8A71-AC06F1C7C3AE}"/>
    <cellStyle name="Normal 7 6 11 2 3 2" xfId="26861" xr:uid="{86813863-7573-450B-8DAE-522DAD0AA597}"/>
    <cellStyle name="Normal 7 6 11 2 3 3" xfId="28088" xr:uid="{D75F17B0-65BB-480E-A52F-70B24F227861}"/>
    <cellStyle name="Normal 7 6 11 2 3 4" xfId="15098" xr:uid="{6A8E30D2-0E52-446B-B141-6C3E947D31E1}"/>
    <cellStyle name="Normal 7 6 11 2 4" xfId="7551" xr:uid="{19757AE8-A20E-4D43-B592-50A4FA82CE74}"/>
    <cellStyle name="Normal 7 6 11 2 4 2" xfId="27922" xr:uid="{BBE86201-DC1F-4FF6-9EBC-D8E968F51AF4}"/>
    <cellStyle name="Normal 7 6 11 2 4 3" xfId="17931" xr:uid="{DFA0D98A-67C2-4EEA-8877-4E00D8A21C99}"/>
    <cellStyle name="Normal 7 6 11 2 5" xfId="10384" xr:uid="{0BF49B14-911C-4DCA-B35A-7A442AC926C8}"/>
    <cellStyle name="Normal 7 6 11 2 5 2" xfId="20764" xr:uid="{5EBBEF21-D2B7-458D-A837-3D936316FF8C}"/>
    <cellStyle name="Normal 7 6 11 2 6" xfId="23441" xr:uid="{A3FF67C1-A1FC-4029-9CBD-98AE9B8E0075}"/>
    <cellStyle name="Normal 7 6 11 2 7" xfId="12801" xr:uid="{707CB870-238C-4E67-9DCB-86E13B5BF97A}"/>
    <cellStyle name="Normal 7 6 11 3" xfId="2841" xr:uid="{00000000-0005-0000-0000-0000DF080000}"/>
    <cellStyle name="Normal 7 6 11 3 2" xfId="6057" xr:uid="{0E66994F-AB92-4AE2-96D3-9E1476833E76}"/>
    <cellStyle name="Normal 7 6 11 3 2 2" xfId="28230" xr:uid="{90FBAF69-CCF2-42A5-BF1C-3A6F5F067F8F}"/>
    <cellStyle name="Normal 7 6 11 3 2 3" xfId="15511" xr:uid="{B5BE4AC8-6972-486A-9ECA-9CE45E91FADA}"/>
    <cellStyle name="Normal 7 6 11 3 3" xfId="7964" xr:uid="{A6137628-7F20-44C7-A345-B77B06069AB7}"/>
    <cellStyle name="Normal 7 6 11 3 3 2" xfId="18344" xr:uid="{5DD65BE9-E751-4A83-8338-FC6103F31FD9}"/>
    <cellStyle name="Normal 7 6 11 3 4" xfId="10797" xr:uid="{C820DEBB-9274-4C0C-93FC-B21E42B69993}"/>
    <cellStyle name="Normal 7 6 11 3 4 2" xfId="21177" xr:uid="{9DC86F1B-0AD8-41F1-9FEB-2C201D73B9DF}"/>
    <cellStyle name="Normal 7 6 11 3 5" xfId="24608" xr:uid="{001A71B5-1DBB-40D1-875D-925F704F1CD1}"/>
    <cellStyle name="Normal 7 6 11 3 6" xfId="13321" xr:uid="{96A8BCE1-FD6F-4D3C-B983-1D7D1555A729}"/>
    <cellStyle name="Normal 7 6 11 4" xfId="2409" xr:uid="{00000000-0005-0000-0000-0000DC080000}"/>
    <cellStyle name="Normal 7 6 11 4 2" xfId="7536" xr:uid="{AD2413B8-EBE9-49A2-BF62-6FA8BA92C6BA}"/>
    <cellStyle name="Normal 7 6 11 4 2 2" xfId="28150" xr:uid="{763A2114-8416-4167-99CE-F128ECACC10F}"/>
    <cellStyle name="Normal 7 6 11 4 2 3" xfId="17916" xr:uid="{7C3F0325-3EF4-4C37-B104-D0635FEB5EBF}"/>
    <cellStyle name="Normal 7 6 11 4 3" xfId="10369" xr:uid="{9023DCF8-60CC-48E8-99B6-35D3BD4D656C}"/>
    <cellStyle name="Normal 7 6 11 4 3 2" xfId="20749" xr:uid="{1BB90C20-7D78-4E49-9A7F-692C99895E0F}"/>
    <cellStyle name="Normal 7 6 11 4 4" xfId="23053" xr:uid="{1FB59AC9-B6FC-455D-9F5B-3D4148D5424E}"/>
    <cellStyle name="Normal 7 6 11 4 5" xfId="15083" xr:uid="{49648981-1940-424A-AF31-125BD8D9AD04}"/>
    <cellStyle name="Normal 7 6 11 5" xfId="4080" xr:uid="{29A54018-86C1-4A02-A68F-6FE599A9096C}"/>
    <cellStyle name="Normal 7 6 11 5 2" xfId="8858" xr:uid="{65C6C44F-2DCC-4DF3-8E09-472C2819728F}"/>
    <cellStyle name="Normal 7 6 11 5 2 2" xfId="19238" xr:uid="{375611D9-874F-4022-B426-FEDC446BD18B}"/>
    <cellStyle name="Normal 7 6 11 5 3" xfId="11691" xr:uid="{EE0497FB-2F90-477E-9FD1-5F91B9FE8910}"/>
    <cellStyle name="Normal 7 6 11 5 3 2" xfId="22071" xr:uid="{8FE4A299-C19E-40AF-839F-006BFA2FC9C8}"/>
    <cellStyle name="Normal 7 6 11 5 4" xfId="28366" xr:uid="{4AF83121-8555-436F-B8E0-9382F2D155A1}"/>
    <cellStyle name="Normal 7 6 11 5 5" xfId="16405" xr:uid="{362022DB-A9EF-45F7-9B15-4DD83BF95245}"/>
    <cellStyle name="Normal 7 6 11 6" xfId="5478" xr:uid="{5D97CF1F-2749-4B34-998A-6C1D9A483679}"/>
    <cellStyle name="Normal 7 6 11 6 2" xfId="14775" xr:uid="{ADCFD7A9-F5D7-4A62-ADD7-ECA794330AA8}"/>
    <cellStyle name="Normal 7 6 11 7" xfId="7228" xr:uid="{B44B0FFA-7DF7-42E6-BF6C-909BD4DBFEF0}"/>
    <cellStyle name="Normal 7 6 11 7 2" xfId="17608" xr:uid="{FAFFFF1C-D94B-4D7D-BAC2-5D4812C6F508}"/>
    <cellStyle name="Normal 7 6 11 8" xfId="10061" xr:uid="{19AC1174-BF6A-442B-ACEE-30994F3F1F93}"/>
    <cellStyle name="Normal 7 6 11 8 2" xfId="20441" xr:uid="{244D7068-1150-4E32-9D14-FCEF0CE33CC3}"/>
    <cellStyle name="Normal 7 6 11 9" xfId="24344" xr:uid="{64354268-5E2B-4139-B183-9BD32696B582}"/>
    <cellStyle name="Normal 7 6 12" xfId="1468" xr:uid="{00000000-0005-0000-0000-000094070000}"/>
    <cellStyle name="Normal 7 6 12 2" xfId="1469" xr:uid="{00000000-0005-0000-0000-000095070000}"/>
    <cellStyle name="Normal 7 6 12 2 2" xfId="1470" xr:uid="{00000000-0005-0000-0000-000096070000}"/>
    <cellStyle name="Normal 7 6 12 2 2 2" xfId="7229" xr:uid="{827BC4BE-2AD5-432F-B7C7-325F08217BCC}"/>
    <cellStyle name="Normal 7 6 12 2 2 2 2" xfId="26110" xr:uid="{9418F1EA-2734-413D-8500-BB6C4AB45D6E}"/>
    <cellStyle name="Normal 7 6 12 2 2 2 3" xfId="17609" xr:uid="{A2391066-30A0-43F6-88D2-5FA6F36424A2}"/>
    <cellStyle name="Normal 7 6 12 2 2 3" xfId="10062" xr:uid="{595E208F-F756-4A10-8055-19FC6787F55B}"/>
    <cellStyle name="Normal 7 6 12 2 2 3 2" xfId="20442" xr:uid="{63C8C390-FE77-4EEF-B461-6CAF46B2A5A7}"/>
    <cellStyle name="Normal 7 6 12 2 2 4" xfId="24993" xr:uid="{6AF005A0-6095-4522-898B-BB64A806890B}"/>
    <cellStyle name="Normal 7 6 12 2 2 5" xfId="14776" xr:uid="{CA0D64A7-87C4-40FB-8E31-79D53531E706}"/>
    <cellStyle name="Normal 7 6 12 2 3" xfId="26127" xr:uid="{DE1761FF-B39A-4DEF-BB17-1AF5EDCE2CAB}"/>
    <cellStyle name="Normal 7 6 12 3" xfId="1471" xr:uid="{00000000-0005-0000-0000-000097070000}"/>
    <cellStyle name="Normal 7 6 12 3 2" xfId="4658" xr:uid="{97AB34FA-8022-4EDD-B4EE-6D0A8751C733}"/>
    <cellStyle name="Normal 7 6 12 3 2 2" xfId="4781" xr:uid="{1283EBFF-7AA6-4AF6-9F77-7BA3E62CC93D}"/>
    <cellStyle name="Normal 7 6 12 3 2 3" xfId="30351" xr:uid="{32EA88A3-08AC-49A9-88D9-78D4B3CF965A}"/>
    <cellStyle name="Normal 7 6 12 3 2 3 2" xfId="31491" xr:uid="{4E36D0A4-F1F3-4DA5-BD91-14C17BE12718}"/>
    <cellStyle name="Normal 7 6 12 3 2 4" xfId="31691" xr:uid="{4EB2BB40-362C-4EB4-A380-9BF8050F35EC}"/>
    <cellStyle name="Normal 7 6 12 3 3" xfId="22886" xr:uid="{EEFDE06D-FAD0-4B2C-B4EC-7A08AE158797}"/>
    <cellStyle name="Normal 7 6 12 4" xfId="2032" xr:uid="{00000000-0005-0000-0000-000098070000}"/>
    <cellStyle name="Normal 7 6 12 4 2" xfId="23741" xr:uid="{79817153-0D54-48A8-826F-2B970D536EE6}"/>
    <cellStyle name="Normal 7 6 12 4 2 2" xfId="26431" xr:uid="{C49203E7-1566-434F-BAE6-BF94EB7F9C20}"/>
    <cellStyle name="Normal 7 6 12 4 3" xfId="25192" xr:uid="{F061C7BC-0996-4741-82A0-31A69AC23C4A}"/>
    <cellStyle name="Normal 7 6 12 4 3 2" xfId="26655" xr:uid="{F87E6003-60F4-45AF-8490-D1CC2D385632}"/>
    <cellStyle name="Normal 7 6 12 4 4" xfId="26354" xr:uid="{FB10D5FA-D50A-43CE-A72A-FAB2CDEE87C7}"/>
    <cellStyle name="Normal 7 6 12 5" xfId="2154" xr:uid="{00000000-0005-0000-0000-000027030000}"/>
    <cellStyle name="Normal 7 6 12 5 2" xfId="4790" xr:uid="{41EDDE25-589E-426C-B333-2F90E7438841}"/>
    <cellStyle name="Normal 7 6 12 5 2 2" xfId="28351" xr:uid="{3EB7436E-C897-4D37-A74A-339AD61DBDE8}"/>
    <cellStyle name="Normal 7 6 12 5 3" xfId="30235" xr:uid="{83457AE9-53E7-4626-824E-8BAF1E027614}"/>
    <cellStyle name="Normal 7 6 12 5 3 2" xfId="30408" xr:uid="{BBED2A49-C521-4234-9A68-3423CCBF2CC3}"/>
    <cellStyle name="Normal 7 6 12 5 4" xfId="31575" xr:uid="{F51BCC98-4641-44BA-970F-92381F3BC744}"/>
    <cellStyle name="Normal 7 6 12 6" xfId="4107" xr:uid="{30A2C7AC-688D-49BA-80A4-9263C9BFA06B}"/>
    <cellStyle name="Normal 7 6 12 6 2" xfId="4760" xr:uid="{A9321574-1AD7-4B70-B5D3-A6DF307B9A1E}"/>
    <cellStyle name="Normal 7 6 12 6 3" xfId="30349" xr:uid="{92066A0A-D760-4CC8-B1AD-E90895EDD322}"/>
    <cellStyle name="Normal 7 6 12 6 3 2" xfId="30470" xr:uid="{F372F407-C5C1-421C-B0DA-539207397CF2}"/>
    <cellStyle name="Normal 7 6 12 6 4" xfId="31689" xr:uid="{AF9DAF71-AEF0-46C2-AF8D-5CD1CE61D7A8}"/>
    <cellStyle name="Normal 7 6 12 7" xfId="25333" xr:uid="{F7D8B81A-047F-48C6-A186-A40F67FBBC1A}"/>
    <cellStyle name="Normal 7 6 12 7 2" xfId="26410" xr:uid="{92E5298E-5151-4BC5-8530-0F8A55FB4F6C}"/>
    <cellStyle name="Normal 7 6 12 7 3" xfId="31158" xr:uid="{2374E897-A2DD-4365-809D-E07045FA949F}"/>
    <cellStyle name="Normal 7 6 13" xfId="1472" xr:uid="{00000000-0005-0000-0000-000099070000}"/>
    <cellStyle name="Normal 7 6 13 2" xfId="4599" xr:uid="{3B4DDB37-5983-43FF-ACEF-860659222593}"/>
    <cellStyle name="Normal 7 6 13 2 2" xfId="9371" xr:uid="{CDEC0402-8630-454A-8E5A-5AC7B33D7A9D}"/>
    <cellStyle name="Normal 7 6 13 2 2 2" xfId="29341" xr:uid="{1398F320-3620-46AB-8D56-93072B29C3C1}"/>
    <cellStyle name="Normal 7 6 13 2 2 3" xfId="19751" xr:uid="{C0A6EE25-B01C-4B52-BECC-E276B0C87655}"/>
    <cellStyle name="Normal 7 6 13 2 3" xfId="12204" xr:uid="{43D41024-C8FE-4C65-B95F-208F8619F646}"/>
    <cellStyle name="Normal 7 6 13 2 3 2" xfId="22584" xr:uid="{3DF9474A-F397-4E1D-8623-AA6FF160C46C}"/>
    <cellStyle name="Normal 7 6 13 2 4" xfId="25323" xr:uid="{98ECA508-CF63-41EA-B13E-B59CBA420D04}"/>
    <cellStyle name="Normal 7 6 13 2 5" xfId="16918" xr:uid="{0CB1D580-E7FB-4A27-9476-70C921428E95}"/>
    <cellStyle name="Normal 7 6 13 3" xfId="5479" xr:uid="{CE46A238-16DD-4E36-BA20-268E23F60FCA}"/>
    <cellStyle name="Normal 7 6 13 3 2" xfId="23513" xr:uid="{1BC609B7-6C52-437C-A2E9-194250405883}"/>
    <cellStyle name="Normal 7 6 13 3 3" xfId="27939" xr:uid="{F9065EAC-74DE-4D0F-8B98-36D70B44BF47}"/>
    <cellStyle name="Normal 7 6 13 3 4" xfId="14777" xr:uid="{73B0D313-E46F-4BB7-9250-4D30D966D483}"/>
    <cellStyle name="Normal 7 6 13 4" xfId="7230" xr:uid="{A57384AF-2504-4427-ACE1-93DE4EDA52C9}"/>
    <cellStyle name="Normal 7 6 13 4 2" xfId="24385" xr:uid="{B1C46D47-275D-425D-ADBB-E99F9000C558}"/>
    <cellStyle name="Normal 7 6 13 4 3" xfId="28697" xr:uid="{A229D5F5-BE03-4E55-8618-2F91B811C9DB}"/>
    <cellStyle name="Normal 7 6 13 4 4" xfId="17610" xr:uid="{EEBC38E0-0F65-4135-BD17-F4E424EC63C7}"/>
    <cellStyle name="Normal 7 6 13 5" xfId="10063" xr:uid="{AAACA06A-32C1-487F-8989-1B393794C0E5}"/>
    <cellStyle name="Normal 7 6 13 5 2" xfId="29465" xr:uid="{18463E07-0ECC-4E05-84C7-B841D4A96E41}"/>
    <cellStyle name="Normal 7 6 13 5 3" xfId="20443" xr:uid="{C83BDC38-E3E2-47CA-BF4C-1C4B25CD76BF}"/>
    <cellStyle name="Normal 7 6 13 6" xfId="25178" xr:uid="{23CC18F1-B5FD-43D3-ACE6-4D68C924481A}"/>
    <cellStyle name="Normal 7 6 13 7" xfId="14073" xr:uid="{EA591954-F772-48CC-8DF0-65618EB3BC16}"/>
    <cellStyle name="Normal 7 6 14" xfId="1473" xr:uid="{00000000-0005-0000-0000-00009A070000}"/>
    <cellStyle name="Normal 7 6 14 2" xfId="1474" xr:uid="{00000000-0005-0000-0000-00009B070000}"/>
    <cellStyle name="Normal 7 6 14 3" xfId="3767" xr:uid="{00000000-0005-0000-0000-0000F9060000}"/>
    <cellStyle name="Normal 7 6 14 3 2" xfId="4765" xr:uid="{54A32A04-56ED-4AB1-B7BA-D2EE0846373E}"/>
    <cellStyle name="Normal 7 6 14 3 2 2" xfId="27604" xr:uid="{5CE32205-96EA-49E5-8C23-87FB17C255E3}"/>
    <cellStyle name="Normal 7 6 14 3 3" xfId="28622" xr:uid="{50B7BDC0-20CD-4F0E-861C-3C44806BB4F1}"/>
    <cellStyle name="Normal 7 6 14 3 4" xfId="30292" xr:uid="{FAC2BF2A-86D0-46D4-9C19-960A9118AE4A}"/>
    <cellStyle name="Normal 7 6 14 3 4 2" xfId="31435" xr:uid="{1A077638-1BB3-4622-90A7-D76601927321}"/>
    <cellStyle name="Normal 7 6 14 3 5" xfId="31632" xr:uid="{F015D07E-7A10-4562-9261-1F62D0680FB5}"/>
    <cellStyle name="Normal 7 6 14 4" xfId="28272" xr:uid="{76CFB33E-5912-4B74-BBBF-6DD865E37708}"/>
    <cellStyle name="Normal 7 6 15" xfId="2441" xr:uid="{00000000-0005-0000-0000-0000E4080000}"/>
    <cellStyle name="Normal 7 6 15 2" xfId="5736" xr:uid="{495C43A3-3574-42FB-866D-BB7B70A3AE84}"/>
    <cellStyle name="Normal 7 6 15 2 2" xfId="28257" xr:uid="{A7F5FD02-FE5F-4F52-9BDE-3CDFDEDF93F6}"/>
    <cellStyle name="Normal 7 6 15 2 3" xfId="15113" xr:uid="{A605DAC2-51E2-4793-85BE-FDF33844A779}"/>
    <cellStyle name="Normal 7 6 15 3" xfId="7566" xr:uid="{B1FBA154-3591-4765-849C-DC8A096E34E7}"/>
    <cellStyle name="Normal 7 6 15 3 2" xfId="17946" xr:uid="{95A63BD3-3AA5-4531-9C1F-2173606782E4}"/>
    <cellStyle name="Normal 7 6 15 4" xfId="10399" xr:uid="{F98C58F5-E2A2-46E9-A62C-89E1E7F78CB6}"/>
    <cellStyle name="Normal 7 6 15 4 2" xfId="20779" xr:uid="{6FF81C5F-5DE3-4A3F-B5BA-3A215ECF90ED}"/>
    <cellStyle name="Normal 7 6 15 5" xfId="23163" xr:uid="{10624513-C597-4EC4-8C9B-6ABB485F5B22}"/>
    <cellStyle name="Normal 7 6 15 6" xfId="12828" xr:uid="{D57B35CA-7752-4FA8-BF85-3846C00B7CF1}"/>
    <cellStyle name="Normal 7 6 16" xfId="2171" xr:uid="{00000000-0005-0000-0000-0000D7080000}"/>
    <cellStyle name="Normal 7 6 16 2" xfId="7298" xr:uid="{B69C3657-7ADD-440C-989D-222D5F260A6C}"/>
    <cellStyle name="Normal 7 6 16 2 2" xfId="28356" xr:uid="{D6C497BB-3960-49BA-854A-2D36942534BD}"/>
    <cellStyle name="Normal 7 6 16 2 3" xfId="17678" xr:uid="{3F943B67-BF68-46FE-8EDA-A84648BC5EE8}"/>
    <cellStyle name="Normal 7 6 16 3" xfId="10131" xr:uid="{255D5F4D-71A3-4CA9-A87C-1319BF01B770}"/>
    <cellStyle name="Normal 7 6 16 3 2" xfId="20511" xr:uid="{093DA020-9795-4CA2-889A-A189C62135C3}"/>
    <cellStyle name="Normal 7 6 16 4" xfId="24530" xr:uid="{EB3C2B4A-5266-490D-9B9B-69216121C96F}"/>
    <cellStyle name="Normal 7 6 16 5" xfId="14845" xr:uid="{889E0779-BA30-46AE-A624-D2769B733098}"/>
    <cellStyle name="Normal 7 6 17" xfId="2150" xr:uid="{00000000-0005-0000-0000-000023030000}"/>
    <cellStyle name="Normal 7 6 17 2" xfId="4752" xr:uid="{96FA94DC-ED9F-4AD7-A7E8-D4EAB8FFA409}"/>
    <cellStyle name="Normal 7 6 17 2 2" xfId="27349" xr:uid="{AA61CBCD-A41A-4F57-8D53-D196359313E1}"/>
    <cellStyle name="Normal 7 6 17 3" xfId="27002" xr:uid="{CF3F67CA-7171-40A7-8B27-2E3B488C6464}"/>
    <cellStyle name="Normal 7 6 17 4" xfId="30231" xr:uid="{22805842-D57A-4294-947D-0526512732D1}"/>
    <cellStyle name="Normal 7 6 17 4 2" xfId="31375" xr:uid="{3A52D4CE-12B1-451F-B61D-7FA7D4D520E5}"/>
    <cellStyle name="Normal 7 6 17 5" xfId="31571" xr:uid="{F2A4B6CE-C68B-42CC-9C27-3F458A1293BD}"/>
    <cellStyle name="Normal 7 6 18" xfId="4078" xr:uid="{0FEC4EED-31A4-4E9D-A539-4F81C2FE41D8}"/>
    <cellStyle name="Normal 7 6 18 2" xfId="4693" xr:uid="{BF19DB26-08D9-499A-A4F6-1D49D2A37102}"/>
    <cellStyle name="Normal 7 6 18 3" xfId="30345" xr:uid="{097B12CA-5FBD-4FCE-AC04-16616058D705}"/>
    <cellStyle name="Normal 7 6 18 3 2" xfId="31487" xr:uid="{FF36C13B-12D4-45EE-9BDA-D2A65682F0F4}"/>
    <cellStyle name="Normal 7 6 18 4" xfId="31685" xr:uid="{84FA38DB-E8D3-4A3F-894E-B6DF80BE9978}"/>
    <cellStyle name="Normal 7 6 19" xfId="24158" xr:uid="{0B50E127-6DDF-46B3-9CFD-D81FF9105BDA}"/>
    <cellStyle name="Normal 7 6 2" xfId="1475" xr:uid="{00000000-0005-0000-0000-00009C070000}"/>
    <cellStyle name="Normal 7 6 2 10" xfId="28662" xr:uid="{0B934B43-1FFE-4900-9038-D4630AE52971}"/>
    <cellStyle name="Normal 7 6 2 11" xfId="12426" xr:uid="{2CBCC447-7587-426D-ACC9-4DB969F5CB85}"/>
    <cellStyle name="Normal 7 6 2 2" xfId="1476" xr:uid="{00000000-0005-0000-0000-00009D070000}"/>
    <cellStyle name="Normal 7 6 2 2 2" xfId="1477" xr:uid="{00000000-0005-0000-0000-00009E070000}"/>
    <cellStyle name="Normal 7 6 2 2 2 10" xfId="29982" xr:uid="{04EAF5DC-CECD-4DF5-8341-46D11520E3B2}"/>
    <cellStyle name="Normal 7 6 2 2 2 2" xfId="1478" xr:uid="{00000000-0005-0000-0000-00009F070000}"/>
    <cellStyle name="Normal 7 6 2 2 2 2 2" xfId="3483" xr:uid="{00000000-0005-0000-0000-0000E9080000}"/>
    <cellStyle name="Normal 7 6 2 2 2 2 2 2" xfId="6538" xr:uid="{3C43956B-92BD-42AF-94BE-7873034E45CC}"/>
    <cellStyle name="Normal 7 6 2 2 2 2 2 2 2" xfId="27971" xr:uid="{2C749FF5-9938-4C6E-8B13-46B6B9A118DE}"/>
    <cellStyle name="Normal 7 6 2 2 2 2 2 2 3" xfId="16109" xr:uid="{2E6F8660-BB0A-44BB-8411-930BB6C75FE5}"/>
    <cellStyle name="Normal 7 6 2 2 2 2 2 3" xfId="8562" xr:uid="{2D4F33BD-E1F5-48A7-B377-7ECD0C2B92E7}"/>
    <cellStyle name="Normal 7 6 2 2 2 2 2 3 2" xfId="18942" xr:uid="{F5908889-B071-4103-B187-EB026C3E9830}"/>
    <cellStyle name="Normal 7 6 2 2 2 2 2 4" xfId="11395" xr:uid="{198D3C54-6DB1-4A1B-9407-0DF7C2AEC7A3}"/>
    <cellStyle name="Normal 7 6 2 2 2 2 2 4 2" xfId="21775" xr:uid="{633C6899-E9CE-4394-8B2D-E18E351F1D3E}"/>
    <cellStyle name="Normal 7 6 2 2 2 2 2 5" xfId="23961" xr:uid="{4E1EA9D4-EA7B-4C15-8C17-E4CCEA800507}"/>
    <cellStyle name="Normal 7 6 2 2 2 2 2 6" xfId="14075" xr:uid="{917D2B9E-EF24-48CE-8383-273F4C0A52F4}"/>
    <cellStyle name="Normal 7 6 2 2 2 2 3" xfId="4377" xr:uid="{D4997153-9B6F-4C01-BE23-261C435D3A09}"/>
    <cellStyle name="Normal 7 6 2 2 2 2 3 2" xfId="9149" xr:uid="{73921F97-1065-4407-9809-495CBAD68613}"/>
    <cellStyle name="Normal 7 6 2 2 2 2 3 2 2" xfId="29192" xr:uid="{91EB5C62-EBF0-4364-A59B-31E9A108C41D}"/>
    <cellStyle name="Normal 7 6 2 2 2 2 3 2 3" xfId="19529" xr:uid="{82AB5975-74DF-48AA-A235-1243C30AF6E3}"/>
    <cellStyle name="Normal 7 6 2 2 2 2 3 3" xfId="11982" xr:uid="{0973E22F-3FBD-4A8F-A200-C78C9B6F33BB}"/>
    <cellStyle name="Normal 7 6 2 2 2 2 3 3 2" xfId="22362" xr:uid="{AFD10173-F0B6-48A8-B1EE-63990D38F079}"/>
    <cellStyle name="Normal 7 6 2 2 2 2 3 4" xfId="24427" xr:uid="{E6D7019A-E718-45E4-AFE1-762534489854}"/>
    <cellStyle name="Normal 7 6 2 2 2 2 3 5" xfId="16696" xr:uid="{F733C953-EF2A-4647-8D0D-E83858C2CA8F}"/>
    <cellStyle name="Normal 7 6 2 2 2 2 4" xfId="5480" xr:uid="{8DE60161-2BB3-4693-B577-A20D4692DEE6}"/>
    <cellStyle name="Normal 7 6 2 2 2 2 4 2" xfId="27358" xr:uid="{ADA7C34E-C8D7-4230-BA87-C3C3B92F3FB3}"/>
    <cellStyle name="Normal 7 6 2 2 2 2 4 3" xfId="14778" xr:uid="{2DA40E8B-A8D0-4E42-830B-4975E2564D1D}"/>
    <cellStyle name="Normal 7 6 2 2 2 2 5" xfId="7231" xr:uid="{AD3D54A5-6FF3-41E4-9694-D1AF111A41E0}"/>
    <cellStyle name="Normal 7 6 2 2 2 2 5 2" xfId="17611" xr:uid="{5CED58A6-1C51-42F3-A14D-7733BB90C807}"/>
    <cellStyle name="Normal 7 6 2 2 2 2 6" xfId="10064" xr:uid="{30F6F61F-22B1-464B-B9AA-148D29C8E096}"/>
    <cellStyle name="Normal 7 6 2 2 2 2 6 2" xfId="20444" xr:uid="{B11F13BF-C2A2-4741-BD41-3B0CA0F60C47}"/>
    <cellStyle name="Normal 7 6 2 2 2 2 7" xfId="25239" xr:uid="{297D51F8-69E1-48CA-A6D4-16811EF48A4E}"/>
    <cellStyle name="Normal 7 6 2 2 2 2 8" xfId="13322" xr:uid="{7D0E37C6-3D86-4C1F-9001-C790F89B8C34}"/>
    <cellStyle name="Normal 7 6 2 2 2 3" xfId="3484" xr:uid="{00000000-0005-0000-0000-0000EA080000}"/>
    <cellStyle name="Normal 7 6 2 2 2 3 2" xfId="4600" xr:uid="{F7E77E51-AF70-477D-915D-5CFCE89872C9}"/>
    <cellStyle name="Normal 7 6 2 2 2 3 2 2" xfId="9372" xr:uid="{6B21FC2E-9F3C-4C23-A412-2B431DD3ECBF}"/>
    <cellStyle name="Normal 7 6 2 2 2 3 2 2 2" xfId="29342" xr:uid="{062C8278-7C0B-4592-AAF6-FAF7FD1824CF}"/>
    <cellStyle name="Normal 7 6 2 2 2 3 2 2 3" xfId="19752" xr:uid="{540803B5-EB63-4312-ABB0-07CDC1D1382B}"/>
    <cellStyle name="Normal 7 6 2 2 2 3 2 3" xfId="12205" xr:uid="{E1162E05-973F-43E3-A05B-36A698B81043}"/>
    <cellStyle name="Normal 7 6 2 2 2 3 2 3 2" xfId="22585" xr:uid="{DB5AFD22-FB56-4383-9283-BD1C5CCDAD02}"/>
    <cellStyle name="Normal 7 6 2 2 2 3 2 4" xfId="25645" xr:uid="{CD6A38B1-3877-49CE-9454-AA7495112144}"/>
    <cellStyle name="Normal 7 6 2 2 2 3 2 5" xfId="16919" xr:uid="{FB7A93D7-025A-431A-A577-50FB9725D6E0}"/>
    <cellStyle name="Normal 7 6 2 2 2 3 3" xfId="6539" xr:uid="{0E10CFB7-73A1-4A1D-A4DC-825547754653}"/>
    <cellStyle name="Normal 7 6 2 2 2 3 3 2" xfId="27719" xr:uid="{2E469244-C77B-4BD3-960A-CFAD5B5A5197}"/>
    <cellStyle name="Normal 7 6 2 2 2 3 3 3" xfId="16110" xr:uid="{20249134-12C7-42F4-AA3F-D689BFD52AC9}"/>
    <cellStyle name="Normal 7 6 2 2 2 3 4" xfId="8563" xr:uid="{19B320F8-C9DF-4C65-847F-6BD39620D6EA}"/>
    <cellStyle name="Normal 7 6 2 2 2 3 4 2" xfId="18943" xr:uid="{5CD72663-E027-4421-9CC7-289E793CFD77}"/>
    <cellStyle name="Normal 7 6 2 2 2 3 4 3" xfId="29856" xr:uid="{F5A0251C-89B3-4ED2-B453-D31D90B62909}"/>
    <cellStyle name="Normal 7 6 2 2 2 3 5" xfId="11396" xr:uid="{FAC59828-E1EB-4737-81CE-DE16F306EB80}"/>
    <cellStyle name="Normal 7 6 2 2 2 3 5 2" xfId="21776" xr:uid="{474D0F86-4834-490D-A723-2FBB179E9695}"/>
    <cellStyle name="Normal 7 6 2 2 2 3 6" xfId="25365" xr:uid="{0F583448-3F60-430D-9CCC-94406A5FEA53}"/>
    <cellStyle name="Normal 7 6 2 2 2 3 7" xfId="25683" xr:uid="{6BEFCE0B-27F9-42CB-B022-6CCAE86597D8}"/>
    <cellStyle name="Normal 7 6 2 2 2 3 8" xfId="14076" xr:uid="{9FD870AE-3489-4168-934F-1025B36A5561}"/>
    <cellStyle name="Normal 7 6 2 2 2 4" xfId="3482" xr:uid="{00000000-0005-0000-0000-0000EB080000}"/>
    <cellStyle name="Normal 7 6 2 2 2 4 2" xfId="6537" xr:uid="{2320380E-A1D5-49AB-8E4A-A47391D43B4B}"/>
    <cellStyle name="Normal 7 6 2 2 2 4 2 2" xfId="27320" xr:uid="{1A19FDD6-EB0B-4C8E-A246-77221CE44C0A}"/>
    <cellStyle name="Normal 7 6 2 2 2 4 2 3" xfId="16108" xr:uid="{45DEF5E9-4AF0-432D-8F89-6A7ADEDA0AF0}"/>
    <cellStyle name="Normal 7 6 2 2 2 4 3" xfId="8561" xr:uid="{0A133847-C4E7-43AD-8ACD-B4957DABDD78}"/>
    <cellStyle name="Normal 7 6 2 2 2 4 3 2" xfId="18941" xr:uid="{FCEC1B20-9B09-42E7-BD3A-2B8A7462B387}"/>
    <cellStyle name="Normal 7 6 2 2 2 4 4" xfId="11394" xr:uid="{AA87D188-B539-4C73-BD47-2E0C1D4213FB}"/>
    <cellStyle name="Normal 7 6 2 2 2 4 4 2" xfId="21774" xr:uid="{E374D47B-912C-4DA9-88B5-2B7D5300E3C8}"/>
    <cellStyle name="Normal 7 6 2 2 2 4 5" xfId="23671" xr:uid="{1761F923-A575-4080-9E2C-8E823506DC55}"/>
    <cellStyle name="Normal 7 6 2 2 2 4 6" xfId="14074" xr:uid="{22FCA1B1-9327-4628-9DC9-AFD8BE8D4685}"/>
    <cellStyle name="Normal 7 6 2 2 2 5" xfId="2651" xr:uid="{00000000-0005-0000-0000-0000EC080000}"/>
    <cellStyle name="Normal 7 6 2 2 2 5 2" xfId="5913" xr:uid="{04EDB135-DE1E-44A7-AFBC-FCA5C83F406B}"/>
    <cellStyle name="Normal 7 6 2 2 2 5 2 2" xfId="28281" xr:uid="{11CC99B3-A87C-4175-91A2-9C4672B38B5C}"/>
    <cellStyle name="Normal 7 6 2 2 2 5 2 3" xfId="15323" xr:uid="{86CBC41F-3252-4286-A051-4D6F9B4B9CC8}"/>
    <cellStyle name="Normal 7 6 2 2 2 5 3" xfId="7776" xr:uid="{628AE643-BC3E-4EEC-8727-E55DCDB2A884}"/>
    <cellStyle name="Normal 7 6 2 2 2 5 3 2" xfId="18156" xr:uid="{C4AEBD2D-8F2E-4C83-BE00-B39F03431BCC}"/>
    <cellStyle name="Normal 7 6 2 2 2 5 4" xfId="10609" xr:uid="{A9A8B79E-C40F-46BD-8F9E-67BE47AD219F}"/>
    <cellStyle name="Normal 7 6 2 2 2 5 4 2" xfId="20989" xr:uid="{BC6C5DBE-8C7C-47A5-8E02-7EEE113AAD58}"/>
    <cellStyle name="Normal 7 6 2 2 2 5 5" xfId="23781" xr:uid="{B69EE12D-5EBE-4254-9996-F147571C3F8A}"/>
    <cellStyle name="Normal 7 6 2 2 2 5 6" xfId="13051" xr:uid="{0F059C69-DC57-4447-848B-B885E4C1D202}"/>
    <cellStyle name="Normal 7 6 2 2 2 6" xfId="4108" xr:uid="{14AB8BEC-B9AC-4B4E-AB64-5487A5CF4C35}"/>
    <cellStyle name="Normal 7 6 2 2 2 7" xfId="25095" xr:uid="{2DD6EE98-696C-462E-BCC5-900432B06F90}"/>
    <cellStyle name="Normal 7 6 2 2 2 7 2" xfId="29683" xr:uid="{9C6F49DB-D23B-4106-9F39-763D45CC4D93}"/>
    <cellStyle name="Normal 7 6 2 2 2 7 2 2" xfId="31156" xr:uid="{319D062E-984D-495E-A6B1-EDF1A68F4600}"/>
    <cellStyle name="Normal 7 6 2 2 2 8" xfId="29671" xr:uid="{A6916481-21A3-435F-B144-A91FBB42ED2B}"/>
    <cellStyle name="Normal 7 6 2 2 2 9" xfId="29837" xr:uid="{9D9C830E-9D27-4D5D-A596-7040B62EB861}"/>
    <cellStyle name="Normal 7 6 2 2 3" xfId="1479" xr:uid="{00000000-0005-0000-0000-0000A0070000}"/>
    <cellStyle name="Normal 7 6 2 2 3 2" xfId="3485" xr:uid="{00000000-0005-0000-0000-0000EE080000}"/>
    <cellStyle name="Normal 7 6 2 2 3 2 2" xfId="6540" xr:uid="{FF18CD6A-4F26-4260-80A0-2005F66843B1}"/>
    <cellStyle name="Normal 7 6 2 2 3 2 2 2" xfId="28384" xr:uid="{07ECBAA9-9252-4872-A60C-A39FAE87088B}"/>
    <cellStyle name="Normal 7 6 2 2 3 2 2 3" xfId="16111" xr:uid="{6D800536-7678-4839-A8DC-19931B69DAFF}"/>
    <cellStyle name="Normal 7 6 2 2 3 2 3" xfId="8564" xr:uid="{A1BAE006-68DD-4C66-A71D-005340E3CC91}"/>
    <cellStyle name="Normal 7 6 2 2 3 2 3 2" xfId="18944" xr:uid="{E4D20621-0EB1-4163-B085-EFFE44787647}"/>
    <cellStyle name="Normal 7 6 2 2 3 2 4" xfId="11397" xr:uid="{EF40E55E-F2FD-46FF-A2A3-F2C8962B2EC8}"/>
    <cellStyle name="Normal 7 6 2 2 3 2 4 2" xfId="21777" xr:uid="{ADA49CD4-49EE-469A-AD60-21774BDCB933}"/>
    <cellStyle name="Normal 7 6 2 2 3 2 5" xfId="23482" xr:uid="{4DF0783F-7C7F-4C4C-82E0-206F0EAEE840}"/>
    <cellStyle name="Normal 7 6 2 2 3 2 6" xfId="14077" xr:uid="{16A9736A-144E-4928-9AF6-4EFDD1065295}"/>
    <cellStyle name="Normal 7 6 2 2 3 3" xfId="2843" xr:uid="{00000000-0005-0000-0000-0000ED080000}"/>
    <cellStyle name="Normal 7 6 2 2 3 3 2" xfId="7965" xr:uid="{7249D37C-1CE1-44C4-AB44-0C06094481CB}"/>
    <cellStyle name="Normal 7 6 2 2 3 3 2 2" xfId="26587" xr:uid="{4936CB13-CFAD-4C01-B8A0-C873FE6357D9}"/>
    <cellStyle name="Normal 7 6 2 2 3 3 2 3" xfId="18345" xr:uid="{767D9DE3-8BA8-4ECE-8DDF-A5DE470B5A45}"/>
    <cellStyle name="Normal 7 6 2 2 3 3 3" xfId="10798" xr:uid="{1384BC0E-AF6C-4966-8D47-C417BF01370D}"/>
    <cellStyle name="Normal 7 6 2 2 3 3 3 2" xfId="21178" xr:uid="{9ABF4405-E1F5-42AA-8EE4-047FB517FF60}"/>
    <cellStyle name="Normal 7 6 2 2 3 3 4" xfId="23158" xr:uid="{45CB43B7-725A-457E-BE64-9BA44477EA48}"/>
    <cellStyle name="Normal 7 6 2 2 3 3 5" xfId="15512" xr:uid="{B4B0CDB4-80E8-43B1-832A-7E27644129C5}"/>
    <cellStyle name="Normal 7 6 2 2 3 4" xfId="3804" xr:uid="{28B2792A-E4C2-42BA-AC1C-BAFBCE227706}"/>
    <cellStyle name="Normal 7 6 2 2 3 4 2" xfId="8640" xr:uid="{78F59A9D-589F-4C8B-9D37-7FAF077F9C38}"/>
    <cellStyle name="Normal 7 6 2 2 3 4 2 2" xfId="19020" xr:uid="{3A43083D-68EB-4073-BB41-542ACCDC4DD5}"/>
    <cellStyle name="Normal 7 6 2 2 3 4 3" xfId="11473" xr:uid="{77914C42-79A0-45E7-A6D5-C13A38D0FBFB}"/>
    <cellStyle name="Normal 7 6 2 2 3 4 3 2" xfId="21853" xr:uid="{6469B20A-8342-4E19-8943-E9F35BF15376}"/>
    <cellStyle name="Normal 7 6 2 2 3 4 4" xfId="27422" xr:uid="{F1090F80-B0C1-46E5-B080-330F0302A84D}"/>
    <cellStyle name="Normal 7 6 2 2 3 4 5" xfId="16187" xr:uid="{13904CB8-1769-410C-A745-D63646D406DF}"/>
    <cellStyle name="Normal 7 6 2 2 3 5" xfId="5481" xr:uid="{049B8662-1A99-4A8B-A424-009D4B14D026}"/>
    <cellStyle name="Normal 7 6 2 2 3 5 2" xfId="14779" xr:uid="{0AB0EF44-AADF-4F49-92B0-4065F856268C}"/>
    <cellStyle name="Normal 7 6 2 2 3 6" xfId="7232" xr:uid="{1FC6158B-B2CD-42C7-B621-C330C4EAC1A0}"/>
    <cellStyle name="Normal 7 6 2 2 3 6 2" xfId="17612" xr:uid="{68EE18A3-D37E-42DA-9C03-37DC158E6A58}"/>
    <cellStyle name="Normal 7 6 2 2 3 7" xfId="10065" xr:uid="{F7111006-E276-435A-93CD-33A3271CCB09}"/>
    <cellStyle name="Normal 7 6 2 2 3 7 2" xfId="20445" xr:uid="{0412B25D-50C0-4063-9B20-08869A45F482}"/>
    <cellStyle name="Normal 7 6 2 2 3 8" xfId="24088" xr:uid="{E2C51115-D68E-431A-8B6A-FB0455416D5A}"/>
    <cellStyle name="Normal 7 6 2 2 3 9" xfId="13323" xr:uid="{9E346B45-7006-4F4B-A3B6-4BDF7DD67189}"/>
    <cellStyle name="Normal 7 6 2 2 4" xfId="2842" xr:uid="{00000000-0005-0000-0000-0000EF080000}"/>
    <cellStyle name="Normal 7 6 2 2 5" xfId="3486" xr:uid="{00000000-0005-0000-0000-0000F0080000}"/>
    <cellStyle name="Normal 7 6 2 2 5 2" xfId="4601" xr:uid="{5382A3A7-0759-4813-94AB-A76BF14657A6}"/>
    <cellStyle name="Normal 7 6 2 2 5 2 2" xfId="9373" xr:uid="{4D3D6C70-B861-4573-814D-03A56D0F782A}"/>
    <cellStyle name="Normal 7 6 2 2 5 2 2 2" xfId="19753" xr:uid="{17D1EA00-D755-4FB7-89C1-504E5DBF8B1B}"/>
    <cellStyle name="Normal 7 6 2 2 5 2 3" xfId="12206" xr:uid="{97C9921C-C018-44E5-8721-8F39A9FF8C06}"/>
    <cellStyle name="Normal 7 6 2 2 5 2 3 2" xfId="22586" xr:uid="{69B2F764-A1F2-4BE8-AF28-B9F55204C887}"/>
    <cellStyle name="Normal 7 6 2 2 5 2 4" xfId="26736" xr:uid="{934F4AF8-BE69-4D83-8C74-1814C6B5140D}"/>
    <cellStyle name="Normal 7 6 2 2 5 2 5" xfId="16920" xr:uid="{040E12F0-1115-44F0-B8BF-02F016E01AB1}"/>
    <cellStyle name="Normal 7 6 2 2 5 3" xfId="6541" xr:uid="{61CB24AD-EF4B-4C70-8A05-E1ED25D7E49E}"/>
    <cellStyle name="Normal 7 6 2 2 5 3 2" xfId="16112" xr:uid="{D929F99D-2176-487F-9CC7-C2BD318A8A3C}"/>
    <cellStyle name="Normal 7 6 2 2 5 4" xfId="8565" xr:uid="{1B046643-6896-4EBD-A8BC-F4FE2D2C7ED5}"/>
    <cellStyle name="Normal 7 6 2 2 5 4 2" xfId="18945" xr:uid="{D8EEE973-8CA6-4140-90F5-0B6F16E7D485}"/>
    <cellStyle name="Normal 7 6 2 2 5 5" xfId="11398" xr:uid="{8A9DBD6E-90C5-4E9B-99D1-92A6BAC7FB19}"/>
    <cellStyle name="Normal 7 6 2 2 5 5 2" xfId="21778" xr:uid="{5BF316AA-94AB-4134-8F00-A333BEFF6EE0}"/>
    <cellStyle name="Normal 7 6 2 2 5 6" xfId="24562" xr:uid="{3E76B5FF-1B9A-4161-87A4-751D4B3E9752}"/>
    <cellStyle name="Normal 7 6 2 2 5 7" xfId="14078" xr:uid="{4DDD2D37-CA5D-497E-BC0D-7E552FC39117}"/>
    <cellStyle name="Normal 7 6 2 2 6" xfId="2560" xr:uid="{00000000-0005-0000-0000-0000F1080000}"/>
    <cellStyle name="Normal 7 6 2 2 6 2" xfId="5830" xr:uid="{B66FAA02-2061-4C28-94CA-12E640BE358B}"/>
    <cellStyle name="Normal 7 6 2 2 6 2 2" xfId="28672" xr:uid="{B0FFD673-EFD7-4AF0-A637-F37D84DBAEDF}"/>
    <cellStyle name="Normal 7 6 2 2 6 2 3" xfId="15232" xr:uid="{9DFBBEA0-13F0-460E-A223-45BA0E6D6AA1}"/>
    <cellStyle name="Normal 7 6 2 2 6 3" xfId="7685" xr:uid="{63FA4D9A-472C-4BCB-9C4D-EBF0C0779232}"/>
    <cellStyle name="Normal 7 6 2 2 6 3 2" xfId="18065" xr:uid="{AA1276C8-F94F-4E02-9918-E5158BBD146E}"/>
    <cellStyle name="Normal 7 6 2 2 6 4" xfId="10518" xr:uid="{39AA716C-C051-4882-8AB7-1A507ADBEE45}"/>
    <cellStyle name="Normal 7 6 2 2 6 4 2" xfId="20898" xr:uid="{6A7A902D-7399-4B15-ADA7-3A63D562E9E1}"/>
    <cellStyle name="Normal 7 6 2 2 6 5" xfId="23879" xr:uid="{B97EB2A7-DC6C-47FB-9D73-FFC054BBD131}"/>
    <cellStyle name="Normal 7 6 2 2 6 6" xfId="12948" xr:uid="{5C138EAE-DEA9-4AD5-A5FC-91C0DB1C2EFB}"/>
    <cellStyle name="Normal 7 6 2 2 7" xfId="2254" xr:uid="{00000000-0005-0000-0000-0000E6080000}"/>
    <cellStyle name="Normal 7 6 2 2 7 2" xfId="7381" xr:uid="{FF82BE85-CF7E-4D30-9509-E49B9532792C}"/>
    <cellStyle name="Normal 7 6 2 2 7 2 2" xfId="17761" xr:uid="{757A19E5-54D2-47FB-9AAD-B0C917D4B4BB}"/>
    <cellStyle name="Normal 7 6 2 2 7 3" xfId="10214" xr:uid="{9E5C0D3E-2C0D-4C99-8AC6-38661FC76CAE}"/>
    <cellStyle name="Normal 7 6 2 2 7 3 2" xfId="20594" xr:uid="{E32D5685-E2FB-49A1-A380-BF6348883FF4}"/>
    <cellStyle name="Normal 7 6 2 2 7 4" xfId="22862" xr:uid="{1D27C0B9-DB74-48FE-AB51-476EA2630360}"/>
    <cellStyle name="Normal 7 6 2 2 7 5" xfId="14928" xr:uid="{1AE6BEDE-C5EE-45E3-B1A0-392B2C209929}"/>
    <cellStyle name="Normal 7 6 2 2 8" xfId="23548" xr:uid="{C5CE898B-5079-473C-B569-1516EB8A0480}"/>
    <cellStyle name="Normal 7 6 2 2 9" xfId="12486" xr:uid="{39F8E732-094A-4460-B449-9D1468C045E8}"/>
    <cellStyle name="Normal 7 6 2 3" xfId="1480" xr:uid="{00000000-0005-0000-0000-0000A1070000}"/>
    <cellStyle name="Normal 7 6 2 3 10" xfId="10066" xr:uid="{1E1A3F6E-F969-4BAE-9F6F-3AA572EF8B3A}"/>
    <cellStyle name="Normal 7 6 2 3 10 2" xfId="20446" xr:uid="{256AC34C-FBD0-4F27-88CC-FEFDC0ABDECA}"/>
    <cellStyle name="Normal 7 6 2 3 11" xfId="25393" xr:uid="{167A9EED-2DEA-4CC9-B832-6DB0C5C99144}"/>
    <cellStyle name="Normal 7 6 2 3 12" xfId="12644" xr:uid="{E8BC95D7-541E-43E5-A0AF-7043290B7F2A}"/>
    <cellStyle name="Normal 7 6 2 3 2" xfId="2425" xr:uid="{00000000-0005-0000-0000-0000F3080000}"/>
    <cellStyle name="Normal 7 6 2 3 2 2" xfId="3487" xr:uid="{00000000-0005-0000-0000-0000F4080000}"/>
    <cellStyle name="Normal 7 6 2 3 2 2 2" xfId="6542" xr:uid="{2ED177E0-8D34-47F6-A550-BB54CD807983}"/>
    <cellStyle name="Normal 7 6 2 3 2 2 2 2" xfId="27736" xr:uid="{7B4B4AD0-D389-448D-9CF1-2C7A12CFAB15}"/>
    <cellStyle name="Normal 7 6 2 3 2 2 2 3" xfId="27486" xr:uid="{974FFAAC-0323-4FC9-A221-BF7EAC317557}"/>
    <cellStyle name="Normal 7 6 2 3 2 2 2 4" xfId="16113" xr:uid="{943B722A-1B6D-485C-BE3E-606506E530D2}"/>
    <cellStyle name="Normal 7 6 2 3 2 2 3" xfId="8566" xr:uid="{FA3BE7CA-8711-46A0-ACF0-5961A05AB851}"/>
    <cellStyle name="Normal 7 6 2 3 2 2 3 2" xfId="28949" xr:uid="{A37E3316-1CDF-4325-9EA6-9E73D2DB4680}"/>
    <cellStyle name="Normal 7 6 2 3 2 2 3 3" xfId="18946" xr:uid="{DF22B7A1-C024-4378-99DA-6E0A161155FE}"/>
    <cellStyle name="Normal 7 6 2 3 2 2 4" xfId="11399" xr:uid="{5880DDF9-8A56-4C4D-9CD8-7088981D7E9F}"/>
    <cellStyle name="Normal 7 6 2 3 2 2 4 2" xfId="21779" xr:uid="{4CB6013D-D85D-4607-B82A-4F2B066B2D34}"/>
    <cellStyle name="Normal 7 6 2 3 2 2 5" xfId="24797" xr:uid="{3EA3BD21-3DB5-4AE3-BB45-0A9CADD59DC2}"/>
    <cellStyle name="Normal 7 6 2 3 2 2 6" xfId="14079" xr:uid="{CC47A00B-1AB7-464B-A96F-1B0D14F90019}"/>
    <cellStyle name="Normal 7 6 2 3 2 3" xfId="2844" xr:uid="{00000000-0005-0000-0000-0000F5080000}"/>
    <cellStyle name="Normal 7 6 2 3 2 3 2" xfId="6058" xr:uid="{28B2E169-D7C2-4667-819D-0471C974F8D7}"/>
    <cellStyle name="Normal 7 6 2 3 2 3 2 2" xfId="26561" xr:uid="{74A0F5AF-D0CB-49BF-8753-E75A9FB067B3}"/>
    <cellStyle name="Normal 7 6 2 3 2 3 2 3" xfId="15513" xr:uid="{11978ACD-762B-44EB-A880-BC19191F914D}"/>
    <cellStyle name="Normal 7 6 2 3 2 3 3" xfId="7966" xr:uid="{B0545A4D-8699-4CA2-B39E-1B70F4A32311}"/>
    <cellStyle name="Normal 7 6 2 3 2 3 3 2" xfId="18346" xr:uid="{0DA7AE16-5A69-446A-A742-5D1BA50817CC}"/>
    <cellStyle name="Normal 7 6 2 3 2 3 4" xfId="10799" xr:uid="{A22CF988-77B7-483B-B476-BEAFAE84D019}"/>
    <cellStyle name="Normal 7 6 2 3 2 3 4 2" xfId="21179" xr:uid="{52400798-466A-47CC-86FE-E125E28CA297}"/>
    <cellStyle name="Normal 7 6 2 3 2 3 5" xfId="23176" xr:uid="{CF5192CA-0014-421A-99D0-F4FCC99E05C3}"/>
    <cellStyle name="Normal 7 6 2 3 2 3 6" xfId="13324" xr:uid="{613B7118-BE5A-48C6-B989-DE44F6BDA5DE}"/>
    <cellStyle name="Normal 7 6 2 3 2 4" xfId="4227" xr:uid="{4C5857AD-234B-4557-ADE5-B8289ADFA87B}"/>
    <cellStyle name="Normal 7 6 2 3 2 4 2" xfId="8999" xr:uid="{CB3B5041-B31D-497A-9D0B-64FC5C0E3A11}"/>
    <cellStyle name="Normal 7 6 2 3 2 4 2 2" xfId="19379" xr:uid="{60104DF8-912C-4105-A482-48B17DE8EA36}"/>
    <cellStyle name="Normal 7 6 2 3 2 4 3" xfId="11832" xr:uid="{2A4BF771-42B9-4F8D-B0E4-FB6E90789D39}"/>
    <cellStyle name="Normal 7 6 2 3 2 4 3 2" xfId="22212" xr:uid="{180518FC-28E0-4F1D-B9E9-975CB149259E}"/>
    <cellStyle name="Normal 7 6 2 3 2 4 4" xfId="23191" xr:uid="{DF7D4F32-EB8C-4BB1-AF49-8F4DEC3925B3}"/>
    <cellStyle name="Normal 7 6 2 3 2 4 5" xfId="16546" xr:uid="{16983FF2-37E5-4C2D-9694-40C4B52EDD4E}"/>
    <cellStyle name="Normal 7 6 2 3 2 5" xfId="5725" xr:uid="{CEE0CD0B-5F26-4751-88D7-0A0E532635CB}"/>
    <cellStyle name="Normal 7 6 2 3 2 5 2" xfId="15099" xr:uid="{C6DBCB33-7F20-48A6-9F48-D85BE71DD538}"/>
    <cellStyle name="Normal 7 6 2 3 2 6" xfId="7552" xr:uid="{189EF68A-E256-4796-89AE-AC0F3FAF7D8E}"/>
    <cellStyle name="Normal 7 6 2 3 2 6 2" xfId="17932" xr:uid="{43FB66C0-390C-4279-B678-C9FDF62130EE}"/>
    <cellStyle name="Normal 7 6 2 3 2 7" xfId="10385" xr:uid="{DBB79F94-F3C9-4812-B61F-AFDCD4D42AF7}"/>
    <cellStyle name="Normal 7 6 2 3 2 7 2" xfId="20765" xr:uid="{3C339B12-A6EB-4E4B-8738-0FBB837DE6F7}"/>
    <cellStyle name="Normal 7 6 2 3 2 8" xfId="23597" xr:uid="{46362229-43AB-4867-8795-752F1117C320}"/>
    <cellStyle name="Normal 7 6 2 3 2 9" xfId="12802" xr:uid="{00811522-1434-49F0-9892-C89467140CF9}"/>
    <cellStyle name="Normal 7 6 2 3 3" xfId="3488" xr:uid="{00000000-0005-0000-0000-0000F6080000}"/>
    <cellStyle name="Normal 7 6 2 3 3 2" xfId="4602" xr:uid="{4517D012-AB3F-4A50-A0AE-6DC9C9AABA35}"/>
    <cellStyle name="Normal 7 6 2 3 3 2 2" xfId="9374" xr:uid="{C788363A-D2D0-4902-9FC0-2B01B7C53F29}"/>
    <cellStyle name="Normal 7 6 2 3 3 2 2 2" xfId="29343" xr:uid="{F7D3D6A1-47D2-48DF-964B-7A00284DE874}"/>
    <cellStyle name="Normal 7 6 2 3 3 2 2 3" xfId="19754" xr:uid="{2595AF05-3149-411D-B2A3-9AB2965C3326}"/>
    <cellStyle name="Normal 7 6 2 3 3 2 3" xfId="12207" xr:uid="{8306838D-A175-48DF-9E22-7CCECC7A46AF}"/>
    <cellStyle name="Normal 7 6 2 3 3 2 3 2" xfId="22587" xr:uid="{666A7408-14DC-4E23-BF53-D70A7F51D1CC}"/>
    <cellStyle name="Normal 7 6 2 3 3 2 4" xfId="23845" xr:uid="{E19D32D2-28B6-4847-815D-8D68D928324E}"/>
    <cellStyle name="Normal 7 6 2 3 3 2 5" xfId="16921" xr:uid="{1F763406-0259-44E6-8D78-7596465B723C}"/>
    <cellStyle name="Normal 7 6 2 3 3 3" xfId="6543" xr:uid="{935A2752-8B7F-4C6A-BF5C-9EDD067E1A9A}"/>
    <cellStyle name="Normal 7 6 2 3 3 3 2" xfId="26797" xr:uid="{88148196-7D1B-4249-9D88-AFD134F9481F}"/>
    <cellStyle name="Normal 7 6 2 3 3 3 3" xfId="16114" xr:uid="{5C68F48B-039B-4724-A7FE-555E7C0A0FE3}"/>
    <cellStyle name="Normal 7 6 2 3 3 4" xfId="8567" xr:uid="{A34AC5BC-0734-4227-9483-F63AE9FA58A4}"/>
    <cellStyle name="Normal 7 6 2 3 3 4 2" xfId="18947" xr:uid="{DA7AF1A6-8AED-419E-8558-7AA2EF1EDAAE}"/>
    <cellStyle name="Normal 7 6 2 3 3 5" xfId="11400" xr:uid="{ADA725C3-BAC9-4DE8-B058-DE956EBE7BD5}"/>
    <cellStyle name="Normal 7 6 2 3 3 5 2" xfId="21780" xr:uid="{106E1BA2-A679-4A52-8A91-C8AD22D52F32}"/>
    <cellStyle name="Normal 7 6 2 3 3 6" xfId="23952" xr:uid="{3DF65DFE-68C1-4814-B5DB-D46D28CCC849}"/>
    <cellStyle name="Normal 7 6 2 3 3 7" xfId="14080" xr:uid="{2AAC3EB0-648E-4039-A54B-70CFFB60586E}"/>
    <cellStyle name="Normal 7 6 2 3 4" xfId="3000" xr:uid="{00000000-0005-0000-0000-0000F7080000}"/>
    <cellStyle name="Normal 7 6 2 3 4 2" xfId="6149" xr:uid="{8CE6BF8B-0E9F-4452-84EA-E1F3441688C5}"/>
    <cellStyle name="Normal 7 6 2 3 4 2 2" xfId="26411" xr:uid="{58070C94-302A-4FED-9388-BC7FD3B37CC0}"/>
    <cellStyle name="Normal 7 6 2 3 4 2 3" xfId="15627" xr:uid="{0C47AA3F-AB24-4930-9F11-72E8E2853579}"/>
    <cellStyle name="Normal 7 6 2 3 4 3" xfId="8080" xr:uid="{DE95BD2A-6FEC-43D3-99B0-B0875EAAA115}"/>
    <cellStyle name="Normal 7 6 2 3 4 3 2" xfId="18460" xr:uid="{ED7BAE7D-93BA-4869-9024-02B2F0BF21BA}"/>
    <cellStyle name="Normal 7 6 2 3 4 4" xfId="10913" xr:uid="{B17E3A17-CCA1-40F8-B55A-5C7F6649D437}"/>
    <cellStyle name="Normal 7 6 2 3 4 4 2" xfId="21293" xr:uid="{E8854CB8-4A7B-42B7-B6C5-59EAF2B0AF74}"/>
    <cellStyle name="Normal 7 6 2 3 4 5" xfId="24932" xr:uid="{CD25090A-1621-41C6-A210-0964DFF056A3}"/>
    <cellStyle name="Normal 7 6 2 3 4 6" xfId="13500" xr:uid="{FBD1A3F5-66E5-42B8-A13E-5BBCC43129D9}"/>
    <cellStyle name="Normal 7 6 2 3 5" xfId="2603" xr:uid="{00000000-0005-0000-0000-0000F8080000}"/>
    <cellStyle name="Normal 7 6 2 3 5 2" xfId="5868" xr:uid="{68540AEA-0E8E-4490-B917-D8E157903F73}"/>
    <cellStyle name="Normal 7 6 2 3 5 2 2" xfId="25873" xr:uid="{99D1D200-427F-4337-BF8F-46411779011E}"/>
    <cellStyle name="Normal 7 6 2 3 5 2 3" xfId="15275" xr:uid="{7B3CE3F2-FBE3-4F86-B53B-87E78ECF1E4D}"/>
    <cellStyle name="Normal 7 6 2 3 5 3" xfId="7728" xr:uid="{46B538C4-698E-407A-A73A-E6508947368F}"/>
    <cellStyle name="Normal 7 6 2 3 5 3 2" xfId="18108" xr:uid="{8C020935-67DA-4919-8F95-EE48A1028C02}"/>
    <cellStyle name="Normal 7 6 2 3 5 4" xfId="10561" xr:uid="{A7DF25E5-D097-4AB6-8A00-5C02D02AC826}"/>
    <cellStyle name="Normal 7 6 2 3 5 4 2" xfId="20941" xr:uid="{31A32AC7-551F-4906-BAB2-3B442B016CFC}"/>
    <cellStyle name="Normal 7 6 2 3 5 5" xfId="22926" xr:uid="{DCFA66F2-A4CC-4D03-88FA-4D2DEDA2B454}"/>
    <cellStyle name="Normal 7 6 2 3 5 6" xfId="12991" xr:uid="{F0E67ACF-9FBC-40E0-A18F-2E957BAD3AC0}"/>
    <cellStyle name="Normal 7 6 2 3 6" xfId="2410" xr:uid="{00000000-0005-0000-0000-0000F2080000}"/>
    <cellStyle name="Normal 7 6 2 3 6 2" xfId="7537" xr:uid="{78E3D2FD-30E3-475C-A30E-3B2F53C80C2E}"/>
    <cellStyle name="Normal 7 6 2 3 6 2 2" xfId="17917" xr:uid="{81BE1BC3-C79A-4BCB-A37E-0F1B6A11141F}"/>
    <cellStyle name="Normal 7 6 2 3 6 3" xfId="10370" xr:uid="{BC48B4BF-DD1D-4F5D-8422-249DC6A0F923}"/>
    <cellStyle name="Normal 7 6 2 3 6 3 2" xfId="20750" xr:uid="{186FE3F9-E38C-4563-937D-AF0E6A552712}"/>
    <cellStyle name="Normal 7 6 2 3 6 4" xfId="25440" xr:uid="{FEDB20F1-CD1B-4AB9-9D41-85153BDA663B}"/>
    <cellStyle name="Normal 7 6 2 3 6 5" xfId="15084" xr:uid="{94E2F247-9332-4E0E-A9F1-EE55A5533C72}"/>
    <cellStyle name="Normal 7 6 2 3 7" xfId="4081" xr:uid="{A6B066F1-DD96-4C23-A370-41D05A534855}"/>
    <cellStyle name="Normal 7 6 2 3 7 2" xfId="8859" xr:uid="{667C695F-D196-43B0-9454-E2BEAC50E32B}"/>
    <cellStyle name="Normal 7 6 2 3 7 2 2" xfId="19239" xr:uid="{58A1C407-A8BF-4947-968E-83CFCDF6891D}"/>
    <cellStyle name="Normal 7 6 2 3 7 3" xfId="11692" xr:uid="{D348FA38-632B-4CDE-8A66-F8DC1E6E7289}"/>
    <cellStyle name="Normal 7 6 2 3 7 3 2" xfId="22072" xr:uid="{860FD70A-BDAB-4B4D-84BD-620614E8FCD7}"/>
    <cellStyle name="Normal 7 6 2 3 7 4" xfId="16406" xr:uid="{95D5832A-9277-429F-AC12-EB7E130781B2}"/>
    <cellStyle name="Normal 7 6 2 3 8" xfId="5482" xr:uid="{7A635B9E-6B33-46CF-BC6A-D7E5668F196F}"/>
    <cellStyle name="Normal 7 6 2 3 8 2" xfId="14780" xr:uid="{A9FE8C30-9E0C-4D99-BCA5-24D0BB0B4012}"/>
    <cellStyle name="Normal 7 6 2 3 9" xfId="7233" xr:uid="{69B6C9D1-4B47-4FD4-9E52-B740DF431ACF}"/>
    <cellStyle name="Normal 7 6 2 3 9 2" xfId="17613" xr:uid="{B773A3F7-250A-44AB-B434-737FFFE34FD5}"/>
    <cellStyle name="Normal 7 6 2 4" xfId="1481" xr:uid="{00000000-0005-0000-0000-0000A2070000}"/>
    <cellStyle name="Normal 7 6 2 4 2" xfId="1482" xr:uid="{00000000-0005-0000-0000-0000A3070000}"/>
    <cellStyle name="Normal 7 6 2 4 2 2" xfId="7234" xr:uid="{6E122A99-0A2B-481E-941E-1A629EFDA561}"/>
    <cellStyle name="Normal 7 6 2 4 2 2 2" xfId="28573" xr:uid="{83729F6A-F6F6-4A57-98C1-F05D08D6747E}"/>
    <cellStyle name="Normal 7 6 2 4 2 2 3" xfId="28472" xr:uid="{B2F2DA54-1103-42A2-9A7C-76FB970A49FC}"/>
    <cellStyle name="Normal 7 6 2 4 2 2 4" xfId="17614" xr:uid="{D3ADCC34-AB49-487F-8203-E8A8E112658B}"/>
    <cellStyle name="Normal 7 6 2 4 2 3" xfId="10067" xr:uid="{CEDBC37A-7193-45AF-A6B6-FCA2810ED39C}"/>
    <cellStyle name="Normal 7 6 2 4 2 3 2" xfId="29466" xr:uid="{2956D692-3D13-45A4-A872-ED62089834FD}"/>
    <cellStyle name="Normal 7 6 2 4 2 3 3" xfId="20447" xr:uid="{6A1C4D72-F17D-4E46-9A7F-286D12EE63B6}"/>
    <cellStyle name="Normal 7 6 2 4 2 4" xfId="22635" xr:uid="{4D6831AF-81DC-4B28-8CFE-4A01A6C21AFC}"/>
    <cellStyle name="Normal 7 6 2 4 2 5" xfId="14781" xr:uid="{724AB0AE-DCBD-447A-9A5F-559E64BBAC60}"/>
    <cellStyle name="Normal 7 6 2 4 3" xfId="27384" xr:uid="{FA1FF1D9-E270-4A7D-A943-E427F0729186}"/>
    <cellStyle name="Normal 7 6 2 4 4" xfId="27362" xr:uid="{5E3A2284-2B4C-4BE2-948C-47C09382975B}"/>
    <cellStyle name="Normal 7 6 2 5" xfId="1483" xr:uid="{00000000-0005-0000-0000-0000A4070000}"/>
    <cellStyle name="Normal 7 6 2 5 2" xfId="4603" xr:uid="{12B5E42F-D790-45DA-9D1D-5C233CD01BAE}"/>
    <cellStyle name="Normal 7 6 2 5 2 2" xfId="9375" xr:uid="{2F3F45FC-EC56-4E7D-93DD-DA14367C6125}"/>
    <cellStyle name="Normal 7 6 2 5 2 2 2" xfId="29344" xr:uid="{19A9BD2C-7CD5-4F36-819D-FCF0DCCAC26D}"/>
    <cellStyle name="Normal 7 6 2 5 2 2 3" xfId="19755" xr:uid="{6D73268A-E381-41BB-9B34-46954B025484}"/>
    <cellStyle name="Normal 7 6 2 5 2 3" xfId="12208" xr:uid="{B541EE0C-4218-421C-9358-C9821E1A6070}"/>
    <cellStyle name="Normal 7 6 2 5 2 3 2" xfId="22588" xr:uid="{012FB8A7-B699-401A-B4CF-B396529CC047}"/>
    <cellStyle name="Normal 7 6 2 5 2 4" xfId="22819" xr:uid="{5A2CA262-985D-488C-8315-7CA4E45DF330}"/>
    <cellStyle name="Normal 7 6 2 5 2 5" xfId="16922" xr:uid="{3BAEB2FB-CA7F-4AFE-9FED-04598FABBA68}"/>
    <cellStyle name="Normal 7 6 2 5 3" xfId="5483" xr:uid="{9BFE6913-B7FD-46C9-B7DA-1CA04FBD48E1}"/>
    <cellStyle name="Normal 7 6 2 5 3 2" xfId="23480" xr:uid="{FB55B3A7-7CC4-4B33-81ED-58C90816DEA3}"/>
    <cellStyle name="Normal 7 6 2 5 3 3" xfId="26130" xr:uid="{E82DA417-FF46-4F52-9655-06161D003715}"/>
    <cellStyle name="Normal 7 6 2 5 3 4" xfId="14782" xr:uid="{35CE0722-3881-4B50-B822-855499230C93}"/>
    <cellStyle name="Normal 7 6 2 5 4" xfId="7235" xr:uid="{61D9F8CE-C3A3-4C75-975A-5683861D81A8}"/>
    <cellStyle name="Normal 7 6 2 5 4 2" xfId="24405" xr:uid="{FF928902-5FAB-491E-94A9-CC6410DAF7CB}"/>
    <cellStyle name="Normal 7 6 2 5 4 3" xfId="26436" xr:uid="{92080964-D7FF-4FC2-9B39-69DF9E261DF5}"/>
    <cellStyle name="Normal 7 6 2 5 4 4" xfId="17615" xr:uid="{A1508B5E-4B42-4C5E-8E1E-D427EE683154}"/>
    <cellStyle name="Normal 7 6 2 5 5" xfId="10068" xr:uid="{5E8CB66E-C768-459E-B683-3A13F096FB12}"/>
    <cellStyle name="Normal 7 6 2 5 5 2" xfId="29467" xr:uid="{A01A7646-22A0-41C3-B691-FACD4DA56448}"/>
    <cellStyle name="Normal 7 6 2 5 5 3" xfId="20448" xr:uid="{E4F574C7-E9B7-468D-9451-085997566E7D}"/>
    <cellStyle name="Normal 7 6 2 5 6" xfId="25144" xr:uid="{1CD5A22A-E0C0-40E0-BF04-96020AA18368}"/>
    <cellStyle name="Normal 7 6 2 5 7" xfId="14081" xr:uid="{6F77A334-7E8D-454F-9079-979D25F26416}"/>
    <cellStyle name="Normal 7 6 2 6" xfId="1484" xr:uid="{00000000-0005-0000-0000-0000A5070000}"/>
    <cellStyle name="Normal 7 6 2 6 2" xfId="2500" xr:uid="{00000000-0005-0000-0000-0000FB080000}"/>
    <cellStyle name="Normal 7 6 2 6 2 2" xfId="7625" xr:uid="{6DA91824-4395-46A4-B38A-CA6BA7737022}"/>
    <cellStyle name="Normal 7 6 2 6 2 2 2" xfId="18005" xr:uid="{B286C0FC-B35F-4A65-8F1E-46A4D3D798C7}"/>
    <cellStyle name="Normal 7 6 2 6 2 3" xfId="10458" xr:uid="{F0F27D90-69BA-4FBF-9D6A-63517C68C43B}"/>
    <cellStyle name="Normal 7 6 2 6 2 3 2" xfId="20838" xr:uid="{5D964759-6C67-4757-A5AD-5C7EDC1A05BE}"/>
    <cellStyle name="Normal 7 6 2 6 2 4" xfId="28457" xr:uid="{14B8BD50-F673-4976-A063-187232F799C6}"/>
    <cellStyle name="Normal 7 6 2 6 2 5" xfId="15172" xr:uid="{B518ABFA-065B-423C-BD0E-6902CAC24386}"/>
    <cellStyle name="Normal 7 6 2 6 3" xfId="2047" xr:uid="{00000000-0005-0000-0000-0000A5070000}"/>
    <cellStyle name="Normal 7 6 2 6 4" xfId="5484" xr:uid="{A67FD77B-8C42-46EF-8626-0391DF1149CC}"/>
    <cellStyle name="Normal 7 6 2 6 4 2" xfId="29747" xr:uid="{5D856566-71DC-4B60-BA54-4AAFB41ABC56}"/>
    <cellStyle name="Normal 7 6 2 6 5" xfId="22767" xr:uid="{55D9A16F-D7A4-4684-8925-24433A61B1FE}"/>
    <cellStyle name="Normal 7 6 2 6 6" xfId="12888" xr:uid="{23CC4D2E-FB2B-433A-8457-8D4F882A536F}"/>
    <cellStyle name="Normal 7 6 2 7" xfId="2194" xr:uid="{00000000-0005-0000-0000-0000E5080000}"/>
    <cellStyle name="Normal 7 6 2 7 2" xfId="7321" xr:uid="{BF72EEEC-0363-42E3-BC13-D45899A28E16}"/>
    <cellStyle name="Normal 7 6 2 7 2 2" xfId="25934" xr:uid="{B86B97D5-6C7E-4598-A23A-995132FA8F68}"/>
    <cellStyle name="Normal 7 6 2 7 2 3" xfId="17701" xr:uid="{4BEFBD65-26C5-4811-A175-AF2DB6BCCA56}"/>
    <cellStyle name="Normal 7 6 2 7 3" xfId="10154" xr:uid="{21A3D271-F3A0-4463-94E9-EDCAD5111008}"/>
    <cellStyle name="Normal 7 6 2 7 3 2" xfId="20534" xr:uid="{E0479714-0684-4F81-93CE-59DB467146FA}"/>
    <cellStyle name="Normal 7 6 2 7 4" xfId="24913" xr:uid="{8956E53A-E2B5-4656-A712-A63BE9BA9A20}"/>
    <cellStyle name="Normal 7 6 2 7 5" xfId="14868" xr:uid="{53DC5CB4-8DC4-4461-95A0-784F72F2BAF7}"/>
    <cellStyle name="Normal 7 6 2 8" xfId="24378" xr:uid="{ED4EC8EF-5843-457B-AF88-4D7D2FF16CC9}"/>
    <cellStyle name="Normal 7 6 2 8 2" xfId="26104" xr:uid="{1718AF5F-58E8-4B0F-AB17-E916184D4514}"/>
    <cellStyle name="Normal 7 6 2 9" xfId="26699" xr:uid="{6293BA1F-4F0E-4845-A691-991D33328C21}"/>
    <cellStyle name="Normal 7 6 20" xfId="12403" xr:uid="{4D736B5C-A5E8-4CE8-A84B-CC95F0450F18}"/>
    <cellStyle name="Normal 7 6 21" xfId="29836" xr:uid="{14591012-5BF2-4661-84EF-D3C202A421F1}"/>
    <cellStyle name="Normal 7 6 21 2" xfId="31505" xr:uid="{AE07DE1B-668E-4B16-88FD-3A9EC54BD8AE}"/>
    <cellStyle name="Normal 7 6 22" xfId="29981" xr:uid="{9BCCC15C-78C9-486F-A701-1A52E6003D5D}"/>
    <cellStyle name="Normal 7 6 23" xfId="30164" xr:uid="{49D357EA-AD67-4E3B-A3C0-C67DEDCA22C2}"/>
    <cellStyle name="Normal 7 6 3" xfId="1485" xr:uid="{00000000-0005-0000-0000-0000A6070000}"/>
    <cellStyle name="Normal 7 6 3 10" xfId="5485" xr:uid="{0FF0B9C9-C1B6-4F32-B56F-A6E9F15C0064}"/>
    <cellStyle name="Normal 7 6 3 10 2" xfId="14783" xr:uid="{11F63485-85EE-419C-92E1-1121CED9FCEE}"/>
    <cellStyle name="Normal 7 6 3 11" xfId="7236" xr:uid="{C03B5CF4-3859-4FAB-B0F8-AD00D31F5CD5}"/>
    <cellStyle name="Normal 7 6 3 11 2" xfId="17616" xr:uid="{3965AFF5-D500-4564-8608-7B8F9F639B94}"/>
    <cellStyle name="Normal 7 6 3 12" xfId="10069" xr:uid="{FB397A62-BE51-4249-8822-47E85F69ACF6}"/>
    <cellStyle name="Normal 7 6 3 12 2" xfId="20449" xr:uid="{2017A004-559C-4D69-BB7E-AF23B9128025}"/>
    <cellStyle name="Normal 7 6 3 13" xfId="24060" xr:uid="{00283BD8-6DFE-4D42-A8C9-DE55BB8542D4}"/>
    <cellStyle name="Normal 7 6 3 14" xfId="12463" xr:uid="{330A2FA6-1B02-4750-856C-3013779CABB4}"/>
    <cellStyle name="Normal 7 6 3 2" xfId="1486" xr:uid="{00000000-0005-0000-0000-0000A7070000}"/>
    <cellStyle name="Normal 7 6 3 2 10" xfId="10070" xr:uid="{C384459C-EE0B-4E33-B24B-329E5047D295}"/>
    <cellStyle name="Normal 7 6 3 2 10 2" xfId="20450" xr:uid="{36061472-8AC3-4274-8073-CEF844A71F48}"/>
    <cellStyle name="Normal 7 6 3 2 11" xfId="24505" xr:uid="{4204AB79-5DC5-4919-B457-C0C5904DDC3B}"/>
    <cellStyle name="Normal 7 6 3 2 12" xfId="12645" xr:uid="{22329E4F-DB2C-4C3F-9CF0-92AE194A115C}"/>
    <cellStyle name="Normal 7 6 3 2 2" xfId="1487" xr:uid="{00000000-0005-0000-0000-0000A8070000}"/>
    <cellStyle name="Normal 7 6 3 2 2 2" xfId="3490" xr:uid="{00000000-0005-0000-0000-0000FF080000}"/>
    <cellStyle name="Normal 7 6 3 2 2 2 2" xfId="6545" xr:uid="{A75AD212-DE64-4528-9504-E8C40F6BFFD9}"/>
    <cellStyle name="Normal 7 6 3 2 2 2 2 2" xfId="24605" xr:uid="{A8C4C092-3BDF-4E13-8A90-AF197A9ED4D0}"/>
    <cellStyle name="Normal 7 6 3 2 2 2 2 3" xfId="27048" xr:uid="{2ED1A404-9ADC-44F3-A047-EBCF7D564F86}"/>
    <cellStyle name="Normal 7 6 3 2 2 2 2 4" xfId="16116" xr:uid="{EF263C13-2736-4C6F-8F51-B5CEE61F346C}"/>
    <cellStyle name="Normal 7 6 3 2 2 2 3" xfId="8569" xr:uid="{32111021-159F-4647-B700-FE0DBF32DC34}"/>
    <cellStyle name="Normal 7 6 3 2 2 2 3 2" xfId="28950" xr:uid="{EAA0EE0C-4FE5-4161-BCED-F3045E4F6B01}"/>
    <cellStyle name="Normal 7 6 3 2 2 2 3 3" xfId="18949" xr:uid="{BFC8A839-9433-4509-8CDC-EE5B8F75A796}"/>
    <cellStyle name="Normal 7 6 3 2 2 2 4" xfId="11402" xr:uid="{3903FC95-6D88-43D5-B48C-BF1168E91186}"/>
    <cellStyle name="Normal 7 6 3 2 2 2 4 2" xfId="21782" xr:uid="{85F0D391-5129-4115-8BDB-5E45211D7ADD}"/>
    <cellStyle name="Normal 7 6 3 2 2 2 5" xfId="24106" xr:uid="{53B646B6-BDEF-47EF-BC18-89C8554F3A50}"/>
    <cellStyle name="Normal 7 6 3 2 2 2 6" xfId="14083" xr:uid="{BAE7D445-FB7C-42D7-AD8B-B9AC3626DEDA}"/>
    <cellStyle name="Normal 7 6 3 2 2 3" xfId="4378" xr:uid="{C162742C-DE66-4955-A711-6E4484B11279}"/>
    <cellStyle name="Normal 7 6 3 2 2 3 2" xfId="9150" xr:uid="{0918B151-3C2B-4B85-A6EE-AA68960CB029}"/>
    <cellStyle name="Normal 7 6 3 2 2 3 2 2" xfId="29193" xr:uid="{88587D24-EEEF-4814-86EC-5BC5CAA19DD2}"/>
    <cellStyle name="Normal 7 6 3 2 2 3 2 3" xfId="19530" xr:uid="{8B3E029C-4D34-4CE9-B3C5-4B123FC6AEC1}"/>
    <cellStyle name="Normal 7 6 3 2 2 3 3" xfId="11983" xr:uid="{266513DF-7348-434C-8067-A7FDC9FC347D}"/>
    <cellStyle name="Normal 7 6 3 2 2 3 3 2" xfId="22363" xr:uid="{F34BC78C-C166-4889-B870-241F722142EB}"/>
    <cellStyle name="Normal 7 6 3 2 2 3 4" xfId="24116" xr:uid="{9C2A6350-DC11-4F7E-A855-98DE6405744B}"/>
    <cellStyle name="Normal 7 6 3 2 2 3 5" xfId="16697" xr:uid="{EA3FD3EA-104B-4372-8508-1829A0B44B5A}"/>
    <cellStyle name="Normal 7 6 3 2 2 4" xfId="5487" xr:uid="{F6EB880C-ED38-43AD-9751-1348F342E406}"/>
    <cellStyle name="Normal 7 6 3 2 2 4 2" xfId="26682" xr:uid="{174D04E0-A481-4349-AFBB-03F3FEE58C33}"/>
    <cellStyle name="Normal 7 6 3 2 2 4 3" xfId="14785" xr:uid="{1351964C-5036-4720-AC2B-4923681CF4AE}"/>
    <cellStyle name="Normal 7 6 3 2 2 5" xfId="7238" xr:uid="{B202CF5B-A6DC-4139-A90D-747D11398E52}"/>
    <cellStyle name="Normal 7 6 3 2 2 5 2" xfId="17618" xr:uid="{B893D070-4A71-4F7A-9322-7BF783E4AD36}"/>
    <cellStyle name="Normal 7 6 3 2 2 6" xfId="10071" xr:uid="{4F20E983-D5B4-4F3B-9774-CCF5C3CD4021}"/>
    <cellStyle name="Normal 7 6 3 2 2 6 2" xfId="20451" xr:uid="{EF6D2DA0-8AC6-416D-AB1F-40B3D31A6C2B}"/>
    <cellStyle name="Normal 7 6 3 2 2 7" xfId="25106" xr:uid="{89018BB3-8938-462E-AEA3-006F14FFFBAD}"/>
    <cellStyle name="Normal 7 6 3 2 2 8" xfId="13326" xr:uid="{61F590E0-3462-4D35-AD10-130D37A535D8}"/>
    <cellStyle name="Normal 7 6 3 2 3" xfId="3491" xr:uid="{00000000-0005-0000-0000-000000090000}"/>
    <cellStyle name="Normal 7 6 3 2 3 2" xfId="4604" xr:uid="{39ECBFA1-EFA7-434E-B5B7-F7621C6DED91}"/>
    <cellStyle name="Normal 7 6 3 2 3 2 2" xfId="9376" xr:uid="{6A24BE19-D00A-402A-BF36-29A11EF1785A}"/>
    <cellStyle name="Normal 7 6 3 2 3 2 2 2" xfId="29345" xr:uid="{1EFC031E-8BC5-41C9-B3F7-ADEFFFCEF88E}"/>
    <cellStyle name="Normal 7 6 3 2 3 2 2 3" xfId="19756" xr:uid="{F8C1338B-9D46-4335-A532-D1A8DCD6CDB1}"/>
    <cellStyle name="Normal 7 6 3 2 3 2 3" xfId="12209" xr:uid="{E79DF795-2412-48C3-839B-400AC4100CB6}"/>
    <cellStyle name="Normal 7 6 3 2 3 2 3 2" xfId="22589" xr:uid="{90C6B6F4-9B46-4D95-BA39-EA67B5D745C0}"/>
    <cellStyle name="Normal 7 6 3 2 3 2 4" xfId="25653" xr:uid="{2CE1781A-5E26-4029-AEFA-75D6D87258A2}"/>
    <cellStyle name="Normal 7 6 3 2 3 2 5" xfId="16923" xr:uid="{9B51D3E1-8B40-45FB-B22D-E8E0CBC33D80}"/>
    <cellStyle name="Normal 7 6 3 2 3 3" xfId="6546" xr:uid="{E4F7623D-6662-4A7F-8469-B85FD6B2A69A}"/>
    <cellStyle name="Normal 7 6 3 2 3 3 2" xfId="26834" xr:uid="{EBEE138B-E2C0-41E6-96F2-23A53F2328CC}"/>
    <cellStyle name="Normal 7 6 3 2 3 3 3" xfId="16117" xr:uid="{94112684-D143-469E-B73F-BA75177662C5}"/>
    <cellStyle name="Normal 7 6 3 2 3 4" xfId="8570" xr:uid="{204587C1-477C-4F02-AC2C-FB776FA0CC80}"/>
    <cellStyle name="Normal 7 6 3 2 3 4 2" xfId="18950" xr:uid="{5C79DCA2-4A5F-46C4-AAFF-A42ADB2FB554}"/>
    <cellStyle name="Normal 7 6 3 2 3 5" xfId="11403" xr:uid="{AEB043DD-3436-4ACC-B81C-0B3407855D19}"/>
    <cellStyle name="Normal 7 6 3 2 3 5 2" xfId="21783" xr:uid="{BAC586FA-8088-469D-8538-E78A0BE57809}"/>
    <cellStyle name="Normal 7 6 3 2 3 6" xfId="24227" xr:uid="{8EED4C54-AB70-4569-8CE6-1053658155E5}"/>
    <cellStyle name="Normal 7 6 3 2 3 7" xfId="14084" xr:uid="{30054B3B-B915-405B-ADE7-584368C336C6}"/>
    <cellStyle name="Normal 7 6 3 2 4" xfId="3489" xr:uid="{00000000-0005-0000-0000-000001090000}"/>
    <cellStyle name="Normal 7 6 3 2 4 2" xfId="6544" xr:uid="{7B6E7000-0441-4622-945D-CE45B7D4AB6B}"/>
    <cellStyle name="Normal 7 6 3 2 4 2 2" xfId="26593" xr:uid="{4BCE06FB-C81E-4322-B29F-BBE14600E106}"/>
    <cellStyle name="Normal 7 6 3 2 4 2 3" xfId="16115" xr:uid="{3A1732FA-27B6-45A2-AF77-63EB64C97D89}"/>
    <cellStyle name="Normal 7 6 3 2 4 3" xfId="8568" xr:uid="{9DD597EA-EC23-4792-894C-E9B1C33E94AE}"/>
    <cellStyle name="Normal 7 6 3 2 4 3 2" xfId="18948" xr:uid="{362CFB7D-F2B8-4926-B044-983395B01BA1}"/>
    <cellStyle name="Normal 7 6 3 2 4 4" xfId="11401" xr:uid="{D92811AC-761B-403F-B3BF-E85A22387678}"/>
    <cellStyle name="Normal 7 6 3 2 4 4 2" xfId="21781" xr:uid="{FB91684D-B12B-42F6-90A5-428E33A98090}"/>
    <cellStyle name="Normal 7 6 3 2 4 5" xfId="23524" xr:uid="{8A11F309-5766-481E-9FEA-7954DA7B47B4}"/>
    <cellStyle name="Normal 7 6 3 2 4 6" xfId="14082" xr:uid="{CE988D99-B1B8-4C92-985D-D11FA4B9C379}"/>
    <cellStyle name="Normal 7 6 3 2 5" xfId="2537" xr:uid="{00000000-0005-0000-0000-000002090000}"/>
    <cellStyle name="Normal 7 6 3 2 5 2" xfId="5811" xr:uid="{F4DFDF64-7DF7-4B91-90EE-A93EAE6980E3}"/>
    <cellStyle name="Normal 7 6 3 2 5 2 2" xfId="27623" xr:uid="{63BA84BA-A60E-4664-B663-17E1FEC0AD59}"/>
    <cellStyle name="Normal 7 6 3 2 5 2 3" xfId="15209" xr:uid="{BBE616B4-4FED-4FAD-9B28-D5068FF531DD}"/>
    <cellStyle name="Normal 7 6 3 2 5 3" xfId="7662" xr:uid="{61134F25-A1A6-4156-9344-85714967A00C}"/>
    <cellStyle name="Normal 7 6 3 2 5 3 2" xfId="18042" xr:uid="{05AE6B0B-E90F-496D-9F41-02F654425368}"/>
    <cellStyle name="Normal 7 6 3 2 5 4" xfId="10495" xr:uid="{5797FCFC-89AF-49F9-9975-DF75035D6631}"/>
    <cellStyle name="Normal 7 6 3 2 5 4 2" xfId="20875" xr:uid="{D1EF8E00-47DB-4AF1-89E3-031429467C7E}"/>
    <cellStyle name="Normal 7 6 3 2 5 5" xfId="24103" xr:uid="{037A8E6B-0580-4D89-A363-ABD4DA75EE1C}"/>
    <cellStyle name="Normal 7 6 3 2 5 6" xfId="12925" xr:uid="{F05D9D0A-05DF-4E0B-BA3C-4F5C0046ED46}"/>
    <cellStyle name="Normal 7 6 3 2 6" xfId="2411" xr:uid="{00000000-0005-0000-0000-0000FD080000}"/>
    <cellStyle name="Normal 7 6 3 2 6 2" xfId="7538" xr:uid="{0AF1B255-9782-4AA0-85B9-E2F027122566}"/>
    <cellStyle name="Normal 7 6 3 2 6 2 2" xfId="17918" xr:uid="{A8F0BB78-33FF-4A33-9C14-85171F59F9D7}"/>
    <cellStyle name="Normal 7 6 3 2 6 3" xfId="10371" xr:uid="{748D5359-7EA2-4C9F-A25C-AC466CAA6C64}"/>
    <cellStyle name="Normal 7 6 3 2 6 3 2" xfId="20751" xr:uid="{21BAC3C7-CA48-4471-B2F8-D6F7724DCB22}"/>
    <cellStyle name="Normal 7 6 3 2 6 4" xfId="24579" xr:uid="{7DA92AAD-0C30-4D70-8EF8-F92F27EDCF5E}"/>
    <cellStyle name="Normal 7 6 3 2 6 5" xfId="15085" xr:uid="{3F5B5856-726F-4C40-B48C-00F81E228475}"/>
    <cellStyle name="Normal 7 6 3 2 7" xfId="4083" xr:uid="{8905C58B-3AA2-4522-9658-D1A4F26EBCA6}"/>
    <cellStyle name="Normal 7 6 3 2 7 2" xfId="8861" xr:uid="{AE4A32B9-46AF-4B7A-9737-F3E5908BFA7F}"/>
    <cellStyle name="Normal 7 6 3 2 7 2 2" xfId="19241" xr:uid="{9A3E086B-6CD9-4D34-9AB3-3AECDBA64CA3}"/>
    <cellStyle name="Normal 7 6 3 2 7 3" xfId="11694" xr:uid="{6653D4D5-6BF4-413E-A5D3-BE0A02CE4719}"/>
    <cellStyle name="Normal 7 6 3 2 7 3 2" xfId="22074" xr:uid="{0D8C75DD-86CE-40BD-B9F8-D0241E611C28}"/>
    <cellStyle name="Normal 7 6 3 2 7 4" xfId="16408" xr:uid="{24095FED-6EE3-4AC6-9E67-DA564407F3A5}"/>
    <cellStyle name="Normal 7 6 3 2 8" xfId="5486" xr:uid="{1C04D63F-2527-4922-B84E-C8532F610DB5}"/>
    <cellStyle name="Normal 7 6 3 2 8 2" xfId="14784" xr:uid="{FE9598D6-D404-4D12-A2A9-953F6914CC16}"/>
    <cellStyle name="Normal 7 6 3 2 9" xfId="7237" xr:uid="{EF280821-8194-4C2F-9C83-1E7EDD85217C}"/>
    <cellStyle name="Normal 7 6 3 2 9 2" xfId="17617" xr:uid="{74D5B46C-9487-40D8-BBB3-53F2C6750AFE}"/>
    <cellStyle name="Normal 7 6 3 3" xfId="1488" xr:uid="{00000000-0005-0000-0000-0000A9070000}"/>
    <cellStyle name="Normal 7 6 3 3 2" xfId="1489" xr:uid="{00000000-0005-0000-0000-0000AA070000}"/>
    <cellStyle name="Normal 7 6 3 3 2 2" xfId="1490" xr:uid="{00000000-0005-0000-0000-0000AB070000}"/>
    <cellStyle name="Normal 7 6 3 3 2 2 2" xfId="3494" xr:uid="{00000000-0005-0000-0000-000005090000}"/>
    <cellStyle name="Normal 7 6 3 3 2 2 2 2" xfId="8572" xr:uid="{8B74FCD3-3004-4FF9-A207-3B34207350F0}"/>
    <cellStyle name="Normal 7 6 3 3 2 2 2 2 2" xfId="28952" xr:uid="{7332878A-36D6-4C54-9958-DC49BDBA1940}"/>
    <cellStyle name="Normal 7 6 3 3 2 2 2 2 3" xfId="18952" xr:uid="{5421953C-2644-4634-A08A-92CAB110B78D}"/>
    <cellStyle name="Normal 7 6 3 3 2 2 2 3" xfId="11405" xr:uid="{595A7502-EE64-4239-A595-0E27D4A90B57}"/>
    <cellStyle name="Normal 7 6 3 3 2 2 2 3 2" xfId="21785" xr:uid="{AD091209-4EC8-4E66-94C2-820E502DE9F6}"/>
    <cellStyle name="Normal 7 6 3 3 2 2 2 4" xfId="23834" xr:uid="{1CC13E34-5A25-404A-9A23-D6B30847F204}"/>
    <cellStyle name="Normal 7 6 3 3 2 2 2 5" xfId="16119" xr:uid="{2C6D172E-98DF-4EBB-AA83-BFF35D6113D1}"/>
    <cellStyle name="Normal 7 6 3 3 2 2 3" xfId="3624" xr:uid="{00000000-0005-0000-0000-0000AB070000}"/>
    <cellStyle name="Normal 7 6 3 3 2 2 3 2" xfId="28144" xr:uid="{8EEB4BA7-6823-4210-B5A8-6255A1ED9AD1}"/>
    <cellStyle name="Normal 7 6 3 3 2 2 3 3" xfId="26091" xr:uid="{EB27B8F3-FCF2-43E1-9E0B-18AE21233D3B}"/>
    <cellStyle name="Normal 7 6 3 3 2 2 4" xfId="5488" xr:uid="{3D8DF5C9-2CCE-4182-AF0F-F0C5756989A7}"/>
    <cellStyle name="Normal 7 6 3 3 2 2 4 2" xfId="29786" xr:uid="{AEE5E8D0-64E0-4EF2-B258-9A2F3F526AE1}"/>
    <cellStyle name="Normal 7 6 3 3 2 2 5" xfId="24559" xr:uid="{B922943A-682E-4BDA-97D1-4B15684C58BE}"/>
    <cellStyle name="Normal 7 6 3 3 2 2 6" xfId="14086" xr:uid="{962D000C-A1AC-4453-ACAB-73642BEFA1C9}"/>
    <cellStyle name="Normal 7 6 3 3 2 3" xfId="3493" xr:uid="{00000000-0005-0000-0000-000006090000}"/>
    <cellStyle name="Normal 7 6 3 3 2 3 2" xfId="30074" xr:uid="{32C9490F-223B-4F54-991F-4B3A7967E779}"/>
    <cellStyle name="Normal 7 6 3 3 2 4" xfId="2846" xr:uid="{00000000-0005-0000-0000-000004090000}"/>
    <cellStyle name="Normal 7 6 3 3 2 4 2" xfId="7968" xr:uid="{7FEAC7C5-8702-4A4A-B139-616752534E0F}"/>
    <cellStyle name="Normal 7 6 3 3 2 4 2 2" xfId="26705" xr:uid="{CB561070-5FA2-49DC-A8AE-EB062A357746}"/>
    <cellStyle name="Normal 7 6 3 3 2 4 2 3" xfId="18348" xr:uid="{B7D03DF5-BD0B-495C-8930-FF0F2A8CD2C0}"/>
    <cellStyle name="Normal 7 6 3 3 2 4 3" xfId="10801" xr:uid="{F0E2E89E-372C-4389-8A1A-DBA4DCC2754E}"/>
    <cellStyle name="Normal 7 6 3 3 2 4 3 2" xfId="21181" xr:uid="{10594F66-5859-4BA2-8F95-ABD9FCBFBF80}"/>
    <cellStyle name="Normal 7 6 3 3 2 4 4" xfId="22794" xr:uid="{19E007BA-7098-4A3F-9530-9818CE4A424A}"/>
    <cellStyle name="Normal 7 6 3 3 2 4 5" xfId="15515" xr:uid="{08EB1DFA-FFE2-4B40-9F7A-2B80C57D678F}"/>
    <cellStyle name="Normal 7 6 3 3 2 5" xfId="3768" xr:uid="{00000000-0005-0000-0000-000009070000}"/>
    <cellStyle name="Normal 7 6 3 3 2 5 2" xfId="4095" xr:uid="{9ECDFCFE-9E25-458F-A3CA-22ABFB47DDE6}"/>
    <cellStyle name="Normal 7 6 3 3 2 5 2 2" xfId="29806" xr:uid="{5B30EC69-E692-4A67-825D-515A3CD295B3}"/>
    <cellStyle name="Normal 7 6 3 3 2 5 3" xfId="23112" xr:uid="{8B9C337C-9F1F-4B71-B33C-4BBF8768F2B4}"/>
    <cellStyle name="Normal 7 6 3 3 2 5 3 2" xfId="30094" xr:uid="{704ABBA2-7391-4C03-A229-8C5BE6596277}"/>
    <cellStyle name="Normal 7 6 3 3 2 5 4" xfId="25624" xr:uid="{08F19465-FA20-4EFC-BDBA-F333EA0FE99C}"/>
    <cellStyle name="Normal 7 6 3 3 2 5 5" xfId="30293" xr:uid="{B0B0FC5E-A681-4C7A-9402-587E6D246449}"/>
    <cellStyle name="Normal 7 6 3 3 2 5 5 2" xfId="31436" xr:uid="{0C479F8B-31BC-4A83-A9FF-C393F1C53DF5}"/>
    <cellStyle name="Normal 7 6 3 3 2 5 6" xfId="31633" xr:uid="{30D63F68-2665-4D62-BFD1-4D3B105583A0}"/>
    <cellStyle name="Normal 7 6 3 3 2 6" xfId="23049" xr:uid="{6A1329E9-4F61-4AE7-A038-DC47D92FCBA5}"/>
    <cellStyle name="Normal 7 6 3 3 2 6 2" xfId="31146" xr:uid="{34B83ACE-44A3-4940-AFE5-B4EF022905B3}"/>
    <cellStyle name="Normal 7 6 3 3 2 6 3" xfId="30914" xr:uid="{6E2A21CD-035E-489F-A7DE-293D595960DB}"/>
    <cellStyle name="Normal 7 6 3 3 2 7" xfId="13327" xr:uid="{F64208F4-0E3F-4CEE-8256-88031B63933C}"/>
    <cellStyle name="Normal 7 6 3 3 2 8" xfId="30926" xr:uid="{9FCF0968-A979-4539-AD90-D2D9D79CDAFE}"/>
    <cellStyle name="Normal 7 6 3 3 3" xfId="1491" xr:uid="{00000000-0005-0000-0000-0000AC070000}"/>
    <cellStyle name="Normal 7 6 3 3 3 2" xfId="3495" xr:uid="{00000000-0005-0000-0000-000007090000}"/>
    <cellStyle name="Normal 7 6 3 3 3 2 2" xfId="8573" xr:uid="{EF5855A4-E2C1-49DF-9504-E2EA90CE0347}"/>
    <cellStyle name="Normal 7 6 3 3 3 2 2 2" xfId="28953" xr:uid="{025541B1-DBD4-4EEF-9100-08DB729F7508}"/>
    <cellStyle name="Normal 7 6 3 3 3 2 2 3" xfId="18953" xr:uid="{63D9C151-495E-40D9-AF42-DAF5A7960CFA}"/>
    <cellStyle name="Normal 7 6 3 3 3 2 2 4" xfId="29816" xr:uid="{A6D295F5-EE7B-4174-AF97-372C2354F921}"/>
    <cellStyle name="Normal 7 6 3 3 3 2 3" xfId="11406" xr:uid="{36AF5DE9-B923-43DA-853A-9DA9024BB51D}"/>
    <cellStyle name="Normal 7 6 3 3 3 2 3 2" xfId="21786" xr:uid="{1F465D1C-26CD-4943-9251-547D0E3620B2}"/>
    <cellStyle name="Normal 7 6 3 3 3 2 4" xfId="25234" xr:uid="{ACDE281D-914C-4269-A204-0BEA3AA49052}"/>
    <cellStyle name="Normal 7 6 3 3 3 2 5" xfId="24790" xr:uid="{E7424FEE-A287-4278-8785-A45E7B369859}"/>
    <cellStyle name="Normal 7 6 3 3 3 2 6" xfId="16120" xr:uid="{36AD8D00-0916-4C96-8A04-308D4955D853}"/>
    <cellStyle name="Normal 7 6 3 3 3 3" xfId="3582" xr:uid="{00000000-0005-0000-0000-0000AC070000}"/>
    <cellStyle name="Normal 7 6 3 3 3 3 2" xfId="22702" xr:uid="{AA2F5C75-DC2C-4230-A5D8-101807C85474}"/>
    <cellStyle name="Normal 7 6 3 3 3 3 2 2" xfId="29819" xr:uid="{780A20BF-D728-490A-A368-FF54E81B0461}"/>
    <cellStyle name="Normal 7 6 3 3 3 3 3" xfId="23939" xr:uid="{BF96C682-830A-4B3C-86E6-BED0BFAFAB1E}"/>
    <cellStyle name="Normal 7 6 3 3 3 4" xfId="4605" xr:uid="{B2D18F5D-868F-400D-8613-513DEF26BB5F}"/>
    <cellStyle name="Normal 7 6 3 3 3 4 2" xfId="9377" xr:uid="{0425B6A6-629F-4611-80FC-EDBECEF46DCF}"/>
    <cellStyle name="Normal 7 6 3 3 3 4 2 2" xfId="19757" xr:uid="{F252610E-686D-4982-B396-9C861E514B40}"/>
    <cellStyle name="Normal 7 6 3 3 3 4 2 3" xfId="31107" xr:uid="{8CB3474E-5571-49FA-AE72-8D5E115219A0}"/>
    <cellStyle name="Normal 7 6 3 3 3 4 2 4" xfId="30915" xr:uid="{DE5E27BB-B822-402D-923F-F9EA10B0EB4E}"/>
    <cellStyle name="Normal 7 6 3 3 3 4 3" xfId="12210" xr:uid="{380CCD94-C053-4C53-BD94-FFD08E872D30}"/>
    <cellStyle name="Normal 7 6 3 3 3 4 3 2" xfId="22590" xr:uid="{6FDC5E10-66D4-454D-ADAD-CEBBF6359800}"/>
    <cellStyle name="Normal 7 6 3 3 3 4 4" xfId="16924" xr:uid="{F6ECB581-5B9B-47AF-9F76-84B6EC88C8E6}"/>
    <cellStyle name="Normal 7 6 3 3 3 5" xfId="5489" xr:uid="{E526189A-FBBF-4CD8-BD80-1D49B21A9FC2}"/>
    <cellStyle name="Normal 7 6 3 3 3 5 2" xfId="29710" xr:uid="{04BD60D3-49F8-449A-9143-0C78D84BF8AD}"/>
    <cellStyle name="Normal 7 6 3 3 3 5 2 2" xfId="30953" xr:uid="{B3D80988-D845-47B0-B2DE-F9006412263D}"/>
    <cellStyle name="Normal 7 6 3 3 3 6" xfId="22964" xr:uid="{A39247FC-957C-4179-8B1D-E102D3CFAC6C}"/>
    <cellStyle name="Normal 7 6 3 3 3 6 2" xfId="29674" xr:uid="{CA9E9E34-311D-47F7-9DA7-90D58AC2FE83}"/>
    <cellStyle name="Normal 7 6 3 3 3 7" xfId="25779" xr:uid="{E22A0136-BAAB-4D71-B4B6-C80D15B87F53}"/>
    <cellStyle name="Normal 7 6 3 3 3 8" xfId="14087" xr:uid="{574FAC05-942C-4FEA-9B51-28FD901D0829}"/>
    <cellStyle name="Normal 7 6 3 3 4" xfId="3492" xr:uid="{00000000-0005-0000-0000-000008090000}"/>
    <cellStyle name="Normal 7 6 3 3 4 2" xfId="6547" xr:uid="{F5FEA776-40B7-467D-A373-0714A130124A}"/>
    <cellStyle name="Normal 7 6 3 3 4 2 2" xfId="23242" xr:uid="{51F7082C-2196-41C7-B373-69BB56C93B1A}"/>
    <cellStyle name="Normal 7 6 3 3 4 2 3" xfId="28160" xr:uid="{DC6147DF-82B5-4E3B-916F-0BCF6F0F8E91}"/>
    <cellStyle name="Normal 7 6 3 3 4 2 4" xfId="16118" xr:uid="{30F026B2-B805-4647-990F-CDDA94500353}"/>
    <cellStyle name="Normal 7 6 3 3 4 2 5" xfId="30570" xr:uid="{84B7872D-76F9-4A5E-9DB5-AB13DBD0B9B6}"/>
    <cellStyle name="Normal 7 6 3 3 4 3" xfId="8571" xr:uid="{1B8B625A-97E3-41E8-AF27-40244788585F}"/>
    <cellStyle name="Normal 7 6 3 3 4 3 2" xfId="28951" xr:uid="{3B3AD2CA-9486-42DA-8189-C299B1046117}"/>
    <cellStyle name="Normal 7 6 3 3 4 3 3" xfId="18951" xr:uid="{82189C2D-B2BE-4B80-88E4-6F1F020896B9}"/>
    <cellStyle name="Normal 7 6 3 3 4 4" xfId="11404" xr:uid="{303873E4-CF73-49B2-B038-F358E018E3BA}"/>
    <cellStyle name="Normal 7 6 3 3 4 4 2" xfId="21784" xr:uid="{5ED4D9AD-9B8A-4975-ACB2-0C70ABBDF531}"/>
    <cellStyle name="Normal 7 6 3 3 4 5" xfId="23498" xr:uid="{32B2BFD8-525E-4378-91D5-DDA650781DB0}"/>
    <cellStyle name="Normal 7 6 3 3 4 6" xfId="26302" xr:uid="{7E74C817-56EC-4084-A037-5AED7963C962}"/>
    <cellStyle name="Normal 7 6 3 3 4 7" xfId="14085" xr:uid="{470675C5-9F8B-41C5-B2C5-F6046364DB90}"/>
    <cellStyle name="Normal 7 6 3 3 5" xfId="2639" xr:uid="{00000000-0005-0000-0000-000009090000}"/>
    <cellStyle name="Normal 7 6 3 3 5 2" xfId="5901" xr:uid="{48132DCA-E8C2-4B60-8DE5-7EB3B66FFC2A}"/>
    <cellStyle name="Normal 7 6 3 3 5 2 2" xfId="15311" xr:uid="{0F63A216-69B1-45FD-AB2D-0A9A1A2FF379}"/>
    <cellStyle name="Normal 7 6 3 3 5 3" xfId="7764" xr:uid="{DBB43D33-4A0F-4C79-9AD8-720A439FBA15}"/>
    <cellStyle name="Normal 7 6 3 3 5 3 2" xfId="18144" xr:uid="{8030CBFF-0684-4121-AA6D-DB623D42B6E4}"/>
    <cellStyle name="Normal 7 6 3 3 5 4" xfId="10597" xr:uid="{389C6673-130F-44DE-BAD7-639E6FAAE7BC}"/>
    <cellStyle name="Normal 7 6 3 3 5 4 2" xfId="20977" xr:uid="{132AC504-2503-4B3D-AFD5-9A34968FC33D}"/>
    <cellStyle name="Normal 7 6 3 3 5 5" xfId="22690" xr:uid="{3688B1EF-53C5-488A-ACE0-5EA188193F00}"/>
    <cellStyle name="Normal 7 6 3 3 5 6" xfId="27189" xr:uid="{C5DA87B6-E3B5-4F70-81FF-F04A3C4CD07F}"/>
    <cellStyle name="Normal 7 6 3 3 5 7" xfId="13028" xr:uid="{CEBC3EB5-DFC0-40A5-A11A-60194FAE245D}"/>
    <cellStyle name="Normal 7 6 3 3 6" xfId="2152" xr:uid="{00000000-0005-0000-0000-000031030000}"/>
    <cellStyle name="Normal 7 6 3 3 6 2" xfId="4639" xr:uid="{DDD6DC4B-9466-4B61-9B06-D6792D4BBF9B}"/>
    <cellStyle name="Normal 7 6 3 3 6 3" xfId="30233" xr:uid="{6645CF52-C51C-46A3-B69A-670BFF6D043C}"/>
    <cellStyle name="Normal 7 6 3 3 6 3 2" xfId="31377" xr:uid="{9C0664F1-2BC2-4486-BD5C-A88F2827CD6E}"/>
    <cellStyle name="Normal 7 6 3 3 6 4" xfId="31573" xr:uid="{B935607C-FA16-46A0-8678-73DBE2437CBD}"/>
    <cellStyle name="Normal 7 6 3 3 7" xfId="4084" xr:uid="{FF6F513F-DDB9-462A-B13C-92776B7D2349}"/>
    <cellStyle name="Normal 7 6 3 3 7 2" xfId="4736" xr:uid="{CF2CB097-34DC-4247-8F0E-ABB43BA53B2B}"/>
    <cellStyle name="Normal 7 6 3 3 7 2 2" xfId="27718" xr:uid="{1EDD18A6-6835-40A8-88E3-C4F11ED69DE5}"/>
    <cellStyle name="Normal 7 6 3 3 7 3" xfId="26788" xr:uid="{96671C3B-A1B1-44DF-9104-304A20AEB2C0}"/>
    <cellStyle name="Normal 7 6 3 3 7 3 2" xfId="31185" xr:uid="{6E7833E5-778C-465E-8DE0-065A447A6E20}"/>
    <cellStyle name="Normal 7 6 3 3 7 4" xfId="27627" xr:uid="{D690042B-48A8-4B37-88B6-2BF49BC9445A}"/>
    <cellStyle name="Normal 7 6 3 3 7 5" xfId="30347" xr:uid="{9CC4D4A5-A59A-485D-9725-F0B5952F9150}"/>
    <cellStyle name="Normal 7 6 3 3 7 5 2" xfId="31489" xr:uid="{7896352E-95E3-41EA-B176-36FF0CEE565A}"/>
    <cellStyle name="Normal 7 6 3 3 7 6" xfId="31687" xr:uid="{D11F685F-83BD-4E7B-A8DA-FFB6C0997B38}"/>
    <cellStyle name="Normal 7 6 3 3 8" xfId="29682" xr:uid="{DDD031FA-DD35-4F20-99A5-AA11D3C98D44}"/>
    <cellStyle name="Normal 7 6 3 3 8 2" xfId="30545" xr:uid="{DE3B6B93-E2A5-480B-9010-B39AA1DCB833}"/>
    <cellStyle name="Normal 7 6 3 3 9" xfId="29670" xr:uid="{5A811436-6D74-48D3-AB9A-EE7538A6A6FC}"/>
    <cellStyle name="Normal 7 6 3 4" xfId="1492" xr:uid="{00000000-0005-0000-0000-0000AD070000}"/>
    <cellStyle name="Normal 7 6 3 4 2" xfId="3496" xr:uid="{00000000-0005-0000-0000-00000B090000}"/>
    <cellStyle name="Normal 7 6 3 4 2 2" xfId="6548" xr:uid="{BDCE6B7E-62BD-4044-B894-D9E0A2E850C9}"/>
    <cellStyle name="Normal 7 6 3 4 2 2 2" xfId="25817" xr:uid="{7B4532F0-478E-4AB7-9ED1-5AA482BF542A}"/>
    <cellStyle name="Normal 7 6 3 4 2 2 3" xfId="16121" xr:uid="{35E135D1-54BB-4081-99BA-AEF677987A76}"/>
    <cellStyle name="Normal 7 6 3 4 2 3" xfId="8574" xr:uid="{90BA02D6-CC03-4693-9CC9-BCB83579C29B}"/>
    <cellStyle name="Normal 7 6 3 4 2 3 2" xfId="18954" xr:uid="{65545394-FAE5-44BB-B2F1-507185147897}"/>
    <cellStyle name="Normal 7 6 3 4 2 4" xfId="11407" xr:uid="{CFF84FD6-9744-4EFE-86F3-8F7164451CEF}"/>
    <cellStyle name="Normal 7 6 3 4 2 4 2" xfId="21787" xr:uid="{1D951B25-C0C3-4BD6-96F5-5A17B8028CF0}"/>
    <cellStyle name="Normal 7 6 3 4 2 5" xfId="23155" xr:uid="{2B59EF41-2E53-450E-A5F1-810ABB2CF3ED}"/>
    <cellStyle name="Normal 7 6 3 4 2 6" xfId="14088" xr:uid="{9879ECFA-35C0-46D6-8663-23859D7AC2AF}"/>
    <cellStyle name="Normal 7 6 3 4 3" xfId="2845" xr:uid="{00000000-0005-0000-0000-00000C090000}"/>
    <cellStyle name="Normal 7 6 3 4 3 2" xfId="6059" xr:uid="{7FB49BD6-6F31-4B45-B557-17E3453C031E}"/>
    <cellStyle name="Normal 7 6 3 4 3 2 2" xfId="27111" xr:uid="{55A0543A-1117-4D83-A7B8-F9A9D7E41E40}"/>
    <cellStyle name="Normal 7 6 3 4 3 2 3" xfId="15514" xr:uid="{D16F7FB5-F41D-421D-A9B9-779147882517}"/>
    <cellStyle name="Normal 7 6 3 4 3 3" xfId="7967" xr:uid="{15655578-63B4-41BF-A5B3-024B7D70EB39}"/>
    <cellStyle name="Normal 7 6 3 4 3 3 2" xfId="18347" xr:uid="{630A5C95-8882-492D-8B3C-D91C8593B88B}"/>
    <cellStyle name="Normal 7 6 3 4 3 4" xfId="10800" xr:uid="{3EEDB382-2C2E-4827-8256-DD31D1484B28}"/>
    <cellStyle name="Normal 7 6 3 4 3 4 2" xfId="21180" xr:uid="{9D54FC28-AC6C-48D7-AEFC-121BF1CB48EB}"/>
    <cellStyle name="Normal 7 6 3 4 3 5" xfId="25338" xr:uid="{16C01234-1BA7-4D1A-9A8A-A36392ED2FF9}"/>
    <cellStyle name="Normal 7 6 3 4 3 6" xfId="13325" xr:uid="{DE1E783A-8BA0-4C3B-8CCC-83EDD34DE2B3}"/>
    <cellStyle name="Normal 7 6 3 4 4" xfId="4228" xr:uid="{32C5111D-E894-401D-8BA7-B9AF0DE3D009}"/>
    <cellStyle name="Normal 7 6 3 4 4 2" xfId="9000" xr:uid="{75079CD1-BECF-4205-B52C-BD9B59C4C153}"/>
    <cellStyle name="Normal 7 6 3 4 4 2 2" xfId="19380" xr:uid="{F7166BD3-B39C-465F-B5F9-DDCE8F8F3F52}"/>
    <cellStyle name="Normal 7 6 3 4 4 3" xfId="11833" xr:uid="{1463F024-B423-4C98-815A-F12B8C80C849}"/>
    <cellStyle name="Normal 7 6 3 4 4 3 2" xfId="22213" xr:uid="{13DD88AD-FF73-4A21-BE70-28E43FA1F7E0}"/>
    <cellStyle name="Normal 7 6 3 4 4 4" xfId="23208" xr:uid="{BBA65995-B27D-45A9-BD56-3555EE9DE275}"/>
    <cellStyle name="Normal 7 6 3 4 4 5" xfId="16547" xr:uid="{23563D06-ACFA-4D53-8FAB-2687F20D5518}"/>
    <cellStyle name="Normal 7 6 3 4 5" xfId="5490" xr:uid="{B1CB6DCF-31E2-43F8-A244-6C39885D46AF}"/>
    <cellStyle name="Normal 7 6 3 4 5 2" xfId="14786" xr:uid="{95E64EF2-3171-4025-9C61-DD362010BBE1}"/>
    <cellStyle name="Normal 7 6 3 4 6" xfId="7239" xr:uid="{108BD58C-916F-48C3-9672-7A310AE010EF}"/>
    <cellStyle name="Normal 7 6 3 4 6 2" xfId="17619" xr:uid="{C5E76D88-3368-4496-BCBD-A49B920BB512}"/>
    <cellStyle name="Normal 7 6 3 4 7" xfId="10072" xr:uid="{1CFE59E8-5846-4B0B-A048-57B198C01098}"/>
    <cellStyle name="Normal 7 6 3 4 7 2" xfId="20452" xr:uid="{2EC0ED5F-C82F-46A2-8D96-111897ACAF92}"/>
    <cellStyle name="Normal 7 6 3 4 8" xfId="25111" xr:uid="{1645CE95-CC52-4795-AA28-D0ACA599BC28}"/>
    <cellStyle name="Normal 7 6 3 4 9" xfId="12803" xr:uid="{861CFB80-084F-49F2-BC7A-8CE1FD2B9E70}"/>
    <cellStyle name="Normal 7 6 3 5" xfId="1493" xr:uid="{00000000-0005-0000-0000-0000AE070000}"/>
    <cellStyle name="Normal 7 6 3 5 2" xfId="4606" xr:uid="{334770A4-F9AD-44B1-9E35-20123E2610C4}"/>
    <cellStyle name="Normal 7 6 3 5 2 2" xfId="9378" xr:uid="{0A3E0FEE-8653-4C0D-A345-B0A5A370D5F5}"/>
    <cellStyle name="Normal 7 6 3 5 2 2 2" xfId="29346" xr:uid="{BA7A14BD-8546-4157-B552-4D65E2B154EF}"/>
    <cellStyle name="Normal 7 6 3 5 2 2 3" xfId="19758" xr:uid="{55B73C30-5F3E-4A07-AAD1-7978DB1C75D8}"/>
    <cellStyle name="Normal 7 6 3 5 2 3" xfId="12211" xr:uid="{00F0E0D4-CA95-4E8F-A0C3-023838EADDCF}"/>
    <cellStyle name="Normal 7 6 3 5 2 3 2" xfId="22591" xr:uid="{2DBB6977-B16C-4C03-9F51-82159352EC90}"/>
    <cellStyle name="Normal 7 6 3 5 2 4" xfId="25453" xr:uid="{F2EF33B9-DD57-4843-BF51-CF9E8EF3466B}"/>
    <cellStyle name="Normal 7 6 3 5 2 5" xfId="16925" xr:uid="{8A2C4A4E-12AD-476D-B7FD-3F9AE25A9C30}"/>
    <cellStyle name="Normal 7 6 3 5 3" xfId="5491" xr:uid="{78A76860-74B0-42D7-8CAB-5F737FE07FBE}"/>
    <cellStyle name="Normal 7 6 3 5 3 2" xfId="27481" xr:uid="{7F98AA3E-87F5-46D2-8F9F-22BC5432271A}"/>
    <cellStyle name="Normal 7 6 3 5 3 3" xfId="14787" xr:uid="{4591BEF2-F23B-4A12-B0A5-E1E40B0CBD23}"/>
    <cellStyle name="Normal 7 6 3 5 4" xfId="7240" xr:uid="{C134C1AF-352F-41CC-A63F-8160F9B16606}"/>
    <cellStyle name="Normal 7 6 3 5 4 2" xfId="17620" xr:uid="{908330EF-5FDB-4180-9CAA-5D7CAC7F7E2B}"/>
    <cellStyle name="Normal 7 6 3 5 5" xfId="10073" xr:uid="{8374ABE6-97A6-401D-8078-3437C41512B6}"/>
    <cellStyle name="Normal 7 6 3 5 5 2" xfId="20453" xr:uid="{A09BCBE1-F36A-4F23-8013-7B3682F03646}"/>
    <cellStyle name="Normal 7 6 3 5 6" xfId="24065" xr:uid="{F27258FD-AF9D-4FDF-AFF2-21ACF01FCDB7}"/>
    <cellStyle name="Normal 7 6 3 5 7" xfId="14089" xr:uid="{6FE82AB9-A0E6-4E41-AB83-B9B16AA87F12}"/>
    <cellStyle name="Normal 7 6 3 6" xfId="3001" xr:uid="{00000000-0005-0000-0000-00000E090000}"/>
    <cellStyle name="Normal 7 6 3 6 2" xfId="6150" xr:uid="{D2225D40-537E-4931-856D-C80A52FF4BFA}"/>
    <cellStyle name="Normal 7 6 3 6 2 2" xfId="24293" xr:uid="{26C16EB9-858D-4BD4-9CFC-A8959CDF03BA}"/>
    <cellStyle name="Normal 7 6 3 6 2 3" xfId="15628" xr:uid="{27642C92-841C-4AFF-A755-FBC6D1CD5A2F}"/>
    <cellStyle name="Normal 7 6 3 6 3" xfId="8081" xr:uid="{CAC6634D-B02E-46B0-97B1-64A92891BB5A}"/>
    <cellStyle name="Normal 7 6 3 6 3 2" xfId="18461" xr:uid="{011E2817-E21F-42F8-8972-6FD23128CA95}"/>
    <cellStyle name="Normal 7 6 3 6 4" xfId="10914" xr:uid="{A9C75B3C-8F6C-49E9-9579-D72106984BF7}"/>
    <cellStyle name="Normal 7 6 3 6 4 2" xfId="21294" xr:uid="{2DDB2999-8856-41A9-BB9E-8E60C308C139}"/>
    <cellStyle name="Normal 7 6 3 6 5" xfId="23062" xr:uid="{E42710B7-7567-4CFC-8C13-A58F2CF6B02A}"/>
    <cellStyle name="Normal 7 6 3 6 6" xfId="13501" xr:uid="{262120CC-206C-4228-98C6-2FE900E4E433}"/>
    <cellStyle name="Normal 7 6 3 7" xfId="2477" xr:uid="{00000000-0005-0000-0000-00000F090000}"/>
    <cellStyle name="Normal 7 6 3 7 2" xfId="5765" xr:uid="{D54B627D-F2BB-47A4-8AAC-8C90500B1422}"/>
    <cellStyle name="Normal 7 6 3 7 2 2" xfId="27190" xr:uid="{5AE2C8CB-5B95-4C16-9ED1-D003474EDB5F}"/>
    <cellStyle name="Normal 7 6 3 7 2 3" xfId="15149" xr:uid="{228B54B7-1555-4C16-BE58-ACEEF3A67042}"/>
    <cellStyle name="Normal 7 6 3 7 3" xfId="7602" xr:uid="{4BD16946-689F-47B3-8C7A-0D7BA2F18EA5}"/>
    <cellStyle name="Normal 7 6 3 7 3 2" xfId="17982" xr:uid="{8F73512D-077C-4320-8FF6-BC40E720BEE9}"/>
    <cellStyle name="Normal 7 6 3 7 4" xfId="10435" xr:uid="{2CFE7D18-FF92-4123-B761-3B4491F2CFA2}"/>
    <cellStyle name="Normal 7 6 3 7 4 2" xfId="20815" xr:uid="{2707D9FB-9E67-43DB-962B-7B7F5F705B63}"/>
    <cellStyle name="Normal 7 6 3 7 5" xfId="23768" xr:uid="{936336D0-0778-4AE6-9464-D33BF9F6A356}"/>
    <cellStyle name="Normal 7 6 3 7 6" xfId="12865" xr:uid="{082891E5-27E3-4D78-A5F1-3147C37C3EE4}"/>
    <cellStyle name="Normal 7 6 3 8" xfId="2231" xr:uid="{00000000-0005-0000-0000-0000FC080000}"/>
    <cellStyle name="Normal 7 6 3 8 2" xfId="7358" xr:uid="{B0DD7F28-8B64-421D-811E-519E770901DA}"/>
    <cellStyle name="Normal 7 6 3 8 2 2" xfId="17738" xr:uid="{BB0AB26C-8DA6-4783-AA0E-4EAA007CB7EF}"/>
    <cellStyle name="Normal 7 6 3 8 3" xfId="10191" xr:uid="{BEBBE2B1-8816-4318-AE32-5D46A10282F2}"/>
    <cellStyle name="Normal 7 6 3 8 3 2" xfId="20571" xr:uid="{B88BB2F0-AE3C-4FF5-95A4-01B02DFB5404}"/>
    <cellStyle name="Normal 7 6 3 8 4" xfId="23684" xr:uid="{CED53B9C-BA16-4491-B6F8-6BD65392DCD9}"/>
    <cellStyle name="Normal 7 6 3 8 5" xfId="14905" xr:uid="{7AF9EC48-2BFE-41A4-97B8-C7DC6094307C}"/>
    <cellStyle name="Normal 7 6 3 9" xfId="4082" xr:uid="{EF2773C0-75F8-4338-8D49-6A223B83D823}"/>
    <cellStyle name="Normal 7 6 3 9 2" xfId="8860" xr:uid="{C24C100F-3C93-4C78-BABE-8D3DA12C1E19}"/>
    <cellStyle name="Normal 7 6 3 9 2 2" xfId="19240" xr:uid="{B526C73A-CE7A-462A-BBCE-70A06B044FE8}"/>
    <cellStyle name="Normal 7 6 3 9 3" xfId="11693" xr:uid="{A39B2275-139E-43AE-9E93-1C45495EAD8D}"/>
    <cellStyle name="Normal 7 6 3 9 3 2" xfId="22073" xr:uid="{24D02D32-3058-49EF-824F-F7408B5EB3A0}"/>
    <cellStyle name="Normal 7 6 3 9 4" xfId="16407" xr:uid="{F289F06D-4061-4F56-A06D-D8BCDAA2EEB2}"/>
    <cellStyle name="Normal 7 6 4" xfId="1494" xr:uid="{00000000-0005-0000-0000-0000AF070000}"/>
    <cellStyle name="Normal 7 6 4 10" xfId="7241" xr:uid="{035EE198-4A52-4876-87A0-070F5F7708CF}"/>
    <cellStyle name="Normal 7 6 4 10 2" xfId="17621" xr:uid="{D89DF4CC-0987-4DE1-8B85-5A0C99566751}"/>
    <cellStyle name="Normal 7 6 4 11" xfId="10074" xr:uid="{F5343F40-5D9A-4340-8BBF-07E79251F3C3}"/>
    <cellStyle name="Normal 7 6 4 11 2" xfId="20454" xr:uid="{B702B95F-96D1-4434-9D40-676A330F5478}"/>
    <cellStyle name="Normal 7 6 4 12" xfId="24699" xr:uid="{0F9783B3-1B61-4494-BDB0-5321A3955761}"/>
    <cellStyle name="Normal 7 6 4 13" xfId="12443" xr:uid="{E596B25F-4216-4C7F-AFEA-51C74067E89C}"/>
    <cellStyle name="Normal 7 6 4 2" xfId="1495" xr:uid="{00000000-0005-0000-0000-0000B0070000}"/>
    <cellStyle name="Normal 7 6 4 2 10" xfId="10075" xr:uid="{49AB007F-0B85-4E9B-9297-7FAB9EDD1A13}"/>
    <cellStyle name="Normal 7 6 4 2 10 2" xfId="20455" xr:uid="{07B8A567-6003-482F-A8D1-6F8D08720156}"/>
    <cellStyle name="Normal 7 6 4 2 11" xfId="24834" xr:uid="{84097491-E54A-4F8D-89AD-642D736C2ECF}"/>
    <cellStyle name="Normal 7 6 4 2 12" xfId="12646" xr:uid="{D133F7A5-CB7E-41D0-B1D2-C6384AA4A48A}"/>
    <cellStyle name="Normal 7 6 4 2 2" xfId="1496" xr:uid="{00000000-0005-0000-0000-0000B1070000}"/>
    <cellStyle name="Normal 7 6 4 2 2 2" xfId="3498" xr:uid="{00000000-0005-0000-0000-000013090000}"/>
    <cellStyle name="Normal 7 6 4 2 2 2 2" xfId="6550" xr:uid="{214EEB64-1D93-45D2-8CEE-24CCB5F09020}"/>
    <cellStyle name="Normal 7 6 4 2 2 2 2 2" xfId="26710" xr:uid="{2A3AD107-4414-477B-8FB4-A88673D3BC25}"/>
    <cellStyle name="Normal 7 6 4 2 2 2 2 3" xfId="27005" xr:uid="{39EEA1F4-25C0-4828-9CB9-0A7767AB67EE}"/>
    <cellStyle name="Normal 7 6 4 2 2 2 2 4" xfId="16123" xr:uid="{C223E3D0-527D-4D4A-AC2A-7D30010B4321}"/>
    <cellStyle name="Normal 7 6 4 2 2 2 3" xfId="8576" xr:uid="{CA2E8B40-3298-401D-9DF9-9D47F9083327}"/>
    <cellStyle name="Normal 7 6 4 2 2 2 3 2" xfId="28954" xr:uid="{285D4BB7-57D0-491B-8105-EBF2388F0C4C}"/>
    <cellStyle name="Normal 7 6 4 2 2 2 3 3" xfId="18956" xr:uid="{A56A4225-07CA-4D6C-95D3-ED802EA7B0A3}"/>
    <cellStyle name="Normal 7 6 4 2 2 2 4" xfId="11409" xr:uid="{DA0BBD34-69D9-440E-BD34-6F0EE9C954A7}"/>
    <cellStyle name="Normal 7 6 4 2 2 2 4 2" xfId="21789" xr:uid="{674CA4BB-0812-40C8-A408-5A3CF9E6C347}"/>
    <cellStyle name="Normal 7 6 4 2 2 2 5" xfId="25576" xr:uid="{2A25585F-AAD2-4C72-8326-06640CEA80EE}"/>
    <cellStyle name="Normal 7 6 4 2 2 2 6" xfId="14091" xr:uid="{62891AED-D085-4513-83D0-0FDF749C6787}"/>
    <cellStyle name="Normal 7 6 4 2 2 3" xfId="4379" xr:uid="{6B0C6F2C-F1EA-4317-B151-4A0E02E17B31}"/>
    <cellStyle name="Normal 7 6 4 2 2 3 2" xfId="9151" xr:uid="{5E25D483-94C1-4C6C-8F93-262F279AE31D}"/>
    <cellStyle name="Normal 7 6 4 2 2 3 2 2" xfId="29194" xr:uid="{1C357637-EB2A-4B49-B8E1-5CFCFBEF3DA0}"/>
    <cellStyle name="Normal 7 6 4 2 2 3 2 3" xfId="19531" xr:uid="{008419AC-12D3-4030-8471-7A11685807FB}"/>
    <cellStyle name="Normal 7 6 4 2 2 3 3" xfId="11984" xr:uid="{CE59ADFC-3D0E-4D8E-A1E0-67BF151C7A21}"/>
    <cellStyle name="Normal 7 6 4 2 2 3 3 2" xfId="22364" xr:uid="{D470C0D9-346B-4FF2-AE3C-7631F48FE8B6}"/>
    <cellStyle name="Normal 7 6 4 2 2 3 4" xfId="24133" xr:uid="{01CA1647-475F-4DAE-A951-51BAB4AE9EB2}"/>
    <cellStyle name="Normal 7 6 4 2 2 3 5" xfId="16698" xr:uid="{ADD8F09B-422D-4159-884D-963C9A8967E0}"/>
    <cellStyle name="Normal 7 6 4 2 2 4" xfId="5494" xr:uid="{C30A7CF7-8099-4867-879B-2A15BF15C23D}"/>
    <cellStyle name="Normal 7 6 4 2 2 4 2" xfId="26927" xr:uid="{51714018-8DA3-4B95-8778-06DDBC6938DC}"/>
    <cellStyle name="Normal 7 6 4 2 2 4 3" xfId="14790" xr:uid="{76D31EED-C37C-4B0B-9F52-FB4C8E514434}"/>
    <cellStyle name="Normal 7 6 4 2 2 5" xfId="7243" xr:uid="{80EAA8DB-BAA0-4ABA-8A4D-573BCCD6D179}"/>
    <cellStyle name="Normal 7 6 4 2 2 5 2" xfId="17623" xr:uid="{96D2DF67-A618-41C9-9E6F-6575B034B959}"/>
    <cellStyle name="Normal 7 6 4 2 2 6" xfId="10076" xr:uid="{5C6DCC4E-28BF-4E27-8114-ADE19AE0B452}"/>
    <cellStyle name="Normal 7 6 4 2 2 6 2" xfId="20456" xr:uid="{8A009F11-04D3-497F-9B78-CB0EFDD8CB6B}"/>
    <cellStyle name="Normal 7 6 4 2 2 7" xfId="24578" xr:uid="{1A61F48B-7205-49C2-AA4D-4F3208C1919B}"/>
    <cellStyle name="Normal 7 6 4 2 2 8" xfId="13329" xr:uid="{6FA52218-8A77-4EF4-94F5-80A5FB768C2E}"/>
    <cellStyle name="Normal 7 6 4 2 3" xfId="3499" xr:uid="{00000000-0005-0000-0000-000014090000}"/>
    <cellStyle name="Normal 7 6 4 2 3 2" xfId="4607" xr:uid="{66F6D489-D49B-45AF-ADD0-5A63CD6F86D1}"/>
    <cellStyle name="Normal 7 6 4 2 3 2 2" xfId="9379" xr:uid="{13F6ED99-B520-4F0F-962D-7C6496C77841}"/>
    <cellStyle name="Normal 7 6 4 2 3 2 2 2" xfId="29347" xr:uid="{111B7E26-43CD-4734-AC48-BDB1414D34B9}"/>
    <cellStyle name="Normal 7 6 4 2 3 2 2 3" xfId="19759" xr:uid="{0AAD0977-7135-4C42-8D21-D2C61851AABF}"/>
    <cellStyle name="Normal 7 6 4 2 3 2 3" xfId="12212" xr:uid="{0428E7B4-13B1-4215-8937-D2289B0A14E5}"/>
    <cellStyle name="Normal 7 6 4 2 3 2 3 2" xfId="22592" xr:uid="{A0B6B42E-F3D2-408A-BC8A-BADCC9B082A8}"/>
    <cellStyle name="Normal 7 6 4 2 3 2 4" xfId="23245" xr:uid="{09DA1CB3-B645-49A8-8DCF-D310CFCEAA5B}"/>
    <cellStyle name="Normal 7 6 4 2 3 2 5" xfId="16926" xr:uid="{C7D63BF1-7F62-45F4-BCC1-DEFBD46C845A}"/>
    <cellStyle name="Normal 7 6 4 2 3 3" xfId="6551" xr:uid="{F5922A6E-BDD9-4825-BAF7-237878C34A8D}"/>
    <cellStyle name="Normal 7 6 4 2 3 3 2" xfId="27769" xr:uid="{D3CFDD13-73FD-4080-8D31-72CE817E5517}"/>
    <cellStyle name="Normal 7 6 4 2 3 3 3" xfId="16124" xr:uid="{569ACA0E-6D2C-41EF-9BF3-A6E20F299AFA}"/>
    <cellStyle name="Normal 7 6 4 2 3 4" xfId="8577" xr:uid="{0B4CADA8-46D5-435B-AE28-90CAFED1AF89}"/>
    <cellStyle name="Normal 7 6 4 2 3 4 2" xfId="18957" xr:uid="{34F622B0-3350-4944-8D8B-BC2F93F58DE3}"/>
    <cellStyle name="Normal 7 6 4 2 3 5" xfId="11410" xr:uid="{31F6793A-534E-42E2-AD39-BA9DD8743DB4}"/>
    <cellStyle name="Normal 7 6 4 2 3 5 2" xfId="21790" xr:uid="{5673C078-898F-4C9D-B37B-B7F3C28FF66A}"/>
    <cellStyle name="Normal 7 6 4 2 3 6" xfId="23960" xr:uid="{D783E5CE-2E14-4883-88B2-8675FBE6978F}"/>
    <cellStyle name="Normal 7 6 4 2 3 7" xfId="14092" xr:uid="{E2CF11E8-08A7-456F-ABF1-92CDC18F2C5C}"/>
    <cellStyle name="Normal 7 6 4 2 4" xfId="3497" xr:uid="{00000000-0005-0000-0000-000015090000}"/>
    <cellStyle name="Normal 7 6 4 2 4 2" xfId="6549" xr:uid="{CD82B9AD-1120-4375-8BF3-85B1EB5A0DFC}"/>
    <cellStyle name="Normal 7 6 4 2 4 2 2" xfId="26287" xr:uid="{8525F22A-04E3-4DB9-A4BB-91F8DD646266}"/>
    <cellStyle name="Normal 7 6 4 2 4 2 3" xfId="16122" xr:uid="{623069F8-A423-469D-A071-FE11F0374414}"/>
    <cellStyle name="Normal 7 6 4 2 4 3" xfId="8575" xr:uid="{49DD5175-9EA0-48AC-BDD5-DEB9FB6E8565}"/>
    <cellStyle name="Normal 7 6 4 2 4 3 2" xfId="18955" xr:uid="{337F8F82-4C28-41F2-B7E5-F877F277B9EE}"/>
    <cellStyle name="Normal 7 6 4 2 4 4" xfId="11408" xr:uid="{2368853A-E8C0-46E9-A1A2-939D1BB14FD5}"/>
    <cellStyle name="Normal 7 6 4 2 4 4 2" xfId="21788" xr:uid="{69D7CCEF-F97D-42F4-94BB-EB13570F5694}"/>
    <cellStyle name="Normal 7 6 4 2 4 5" xfId="22703" xr:uid="{297823CD-807C-4D59-BFA8-2B0411ACC5E4}"/>
    <cellStyle name="Normal 7 6 4 2 4 6" xfId="14090" xr:uid="{03F4B3A2-BAFC-45D5-9F9A-E46A98E9A94B}"/>
    <cellStyle name="Normal 7 6 4 2 5" xfId="2620" xr:uid="{00000000-0005-0000-0000-000016090000}"/>
    <cellStyle name="Normal 7 6 4 2 5 2" xfId="5882" xr:uid="{CA82C9FA-ECBB-4830-AAC9-1A35263FD096}"/>
    <cellStyle name="Normal 7 6 4 2 5 2 2" xfId="27735" xr:uid="{B4311067-D804-4D03-B5B7-74D45B43874D}"/>
    <cellStyle name="Normal 7 6 4 2 5 2 3" xfId="15292" xr:uid="{062D6E6D-9851-4F2C-B5D5-BD6F47412466}"/>
    <cellStyle name="Normal 7 6 4 2 5 3" xfId="7745" xr:uid="{D11D1D9F-CBC8-439E-9280-87A8061AD43A}"/>
    <cellStyle name="Normal 7 6 4 2 5 3 2" xfId="18125" xr:uid="{C2F39C00-C66C-4C15-BBDB-2798A8E8031C}"/>
    <cellStyle name="Normal 7 6 4 2 5 4" xfId="10578" xr:uid="{03D8FC28-5C5B-4C0F-95C5-F44C702848F1}"/>
    <cellStyle name="Normal 7 6 4 2 5 4 2" xfId="20958" xr:uid="{BA2958BA-73A3-40F8-BDF5-31AD53E6180E}"/>
    <cellStyle name="Normal 7 6 4 2 5 5" xfId="23642" xr:uid="{89F6BECF-0EC9-478F-B1DE-95553FB28B0C}"/>
    <cellStyle name="Normal 7 6 4 2 5 6" xfId="13008" xr:uid="{B1E7B27F-1398-479E-9BD9-CC4DE1E4F93F}"/>
    <cellStyle name="Normal 7 6 4 2 6" xfId="2412" xr:uid="{00000000-0005-0000-0000-000011090000}"/>
    <cellStyle name="Normal 7 6 4 2 6 2" xfId="7539" xr:uid="{909C80D6-F97A-4A5F-9535-F2822C42DD2D}"/>
    <cellStyle name="Normal 7 6 4 2 6 2 2" xfId="17919" xr:uid="{2E747C5F-4256-4B90-9FCC-72116FC8D146}"/>
    <cellStyle name="Normal 7 6 4 2 6 3" xfId="10372" xr:uid="{DA9631A7-2BA3-48D2-B158-0A801C9D75EF}"/>
    <cellStyle name="Normal 7 6 4 2 6 3 2" xfId="20752" xr:uid="{218BD272-9FA9-449E-989D-FAA0659443DC}"/>
    <cellStyle name="Normal 7 6 4 2 6 4" xfId="22963" xr:uid="{DB140B91-8617-458B-A1D6-A52A595FFBAA}"/>
    <cellStyle name="Normal 7 6 4 2 6 5" xfId="15086" xr:uid="{9D2CFA7D-55B1-4DF9-9125-26CBC1EC63D4}"/>
    <cellStyle name="Normal 7 6 4 2 7" xfId="4109" xr:uid="{77E46761-4AE2-4ED7-BEE7-7728377FC1FB}"/>
    <cellStyle name="Normal 7 6 4 2 7 2" xfId="8881" xr:uid="{6C0F0865-8587-43DB-AB1E-FC6EE651C3FE}"/>
    <cellStyle name="Normal 7 6 4 2 7 2 2" xfId="19261" xr:uid="{79693B14-F256-438F-80F3-2E9EAE2685D3}"/>
    <cellStyle name="Normal 7 6 4 2 7 3" xfId="11714" xr:uid="{BD46F7F7-AF10-44E4-A8E7-4A239FB3CAE8}"/>
    <cellStyle name="Normal 7 6 4 2 7 3 2" xfId="22094" xr:uid="{4BC53BCB-BF34-4BCB-87E8-584A463F96BE}"/>
    <cellStyle name="Normal 7 6 4 2 7 4" xfId="16428" xr:uid="{161D2999-90BA-4C98-82B4-AAA544CB94F7}"/>
    <cellStyle name="Normal 7 6 4 2 8" xfId="5493" xr:uid="{ED208182-AB4A-43E2-B8D4-3D0E4CE3FC3D}"/>
    <cellStyle name="Normal 7 6 4 2 8 2" xfId="14789" xr:uid="{827BB9A6-6F22-42F9-97F6-75D452236B82}"/>
    <cellStyle name="Normal 7 6 4 2 9" xfId="7242" xr:uid="{5FCE118D-9011-46AC-97E4-C1A923D60652}"/>
    <cellStyle name="Normal 7 6 4 2 9 2" xfId="17622" xr:uid="{F5FC5549-0709-4391-A1B4-7DFCAB1765FB}"/>
    <cellStyle name="Normal 7 6 4 3" xfId="1497" xr:uid="{00000000-0005-0000-0000-0000B2070000}"/>
    <cellStyle name="Normal 7 6 4 3 2" xfId="3500" xr:uid="{00000000-0005-0000-0000-000018090000}"/>
    <cellStyle name="Normal 7 6 4 3 2 2" xfId="6552" xr:uid="{D5D721FD-4294-41E9-9E53-B39918ABA39F}"/>
    <cellStyle name="Normal 7 6 4 3 2 2 2" xfId="23055" xr:uid="{3BE78620-1BC4-4DF3-A5DE-DB2C98BC7C91}"/>
    <cellStyle name="Normal 7 6 4 3 2 2 3" xfId="26088" xr:uid="{F8B224D6-DEB0-48B7-8C9E-E1D80A12A2C2}"/>
    <cellStyle name="Normal 7 6 4 3 2 2 4" xfId="16125" xr:uid="{A36195B5-1EBC-40F4-A100-AC26DF93E762}"/>
    <cellStyle name="Normal 7 6 4 3 2 3" xfId="8578" xr:uid="{937966F0-4210-4544-AC52-3D1795A1E072}"/>
    <cellStyle name="Normal 7 6 4 3 2 3 2" xfId="28955" xr:uid="{A459C81F-790B-4A1C-B115-EB72415FCA89}"/>
    <cellStyle name="Normal 7 6 4 3 2 3 3" xfId="18958" xr:uid="{C9A2FCA2-BCF3-40D5-9E91-1625D7C4269A}"/>
    <cellStyle name="Normal 7 6 4 3 2 4" xfId="11411" xr:uid="{781009EA-ACEE-4181-95A0-1AD5234FF42C}"/>
    <cellStyle name="Normal 7 6 4 3 2 4 2" xfId="21791" xr:uid="{DF504D84-6586-4591-BEFB-5063037976D2}"/>
    <cellStyle name="Normal 7 6 4 3 2 5" xfId="24723" xr:uid="{E9ECF8B6-8C80-4E7D-A69B-84FDD893AE7D}"/>
    <cellStyle name="Normal 7 6 4 3 2 6" xfId="14093" xr:uid="{82571571-29DA-43BB-B6F9-C12F49F1DAAC}"/>
    <cellStyle name="Normal 7 6 4 3 3" xfId="2847" xr:uid="{00000000-0005-0000-0000-000019090000}"/>
    <cellStyle name="Normal 7 6 4 3 3 2" xfId="6060" xr:uid="{0DA2B59D-B791-46D6-8532-4C10B6B91FBA}"/>
    <cellStyle name="Normal 7 6 4 3 3 2 2" xfId="28357" xr:uid="{5D105145-8517-4BE2-A09D-ECFB5DEA7455}"/>
    <cellStyle name="Normal 7 6 4 3 3 2 3" xfId="15516" xr:uid="{096319CA-E769-4DE6-BECA-93CE94F800F8}"/>
    <cellStyle name="Normal 7 6 4 3 3 3" xfId="7969" xr:uid="{2F5CE179-3A0F-4A9D-B401-53D318BCBD18}"/>
    <cellStyle name="Normal 7 6 4 3 3 3 2" xfId="18349" xr:uid="{FBFA4E50-9252-468E-8F29-60E2C05BE592}"/>
    <cellStyle name="Normal 7 6 4 3 3 4" xfId="10802" xr:uid="{3E22AB5A-4335-420E-80AD-C0134BE393BF}"/>
    <cellStyle name="Normal 7 6 4 3 3 4 2" xfId="21182" xr:uid="{8CE11DFB-2E08-48D4-ABB7-4E2446763A20}"/>
    <cellStyle name="Normal 7 6 4 3 3 5" xfId="24987" xr:uid="{2B1A971E-F5B0-47FF-8658-F8F56EDA747D}"/>
    <cellStyle name="Normal 7 6 4 3 3 6" xfId="13328" xr:uid="{4E9911BA-E1F1-432A-85FE-474B10F1C98E}"/>
    <cellStyle name="Normal 7 6 4 3 4" xfId="4229" xr:uid="{5644E9A4-EBAE-4A30-A3A7-814AEB5E2BBD}"/>
    <cellStyle name="Normal 7 6 4 3 4 2" xfId="9001" xr:uid="{1F1E9345-0D5F-4EB5-BC77-66AA88AF8084}"/>
    <cellStyle name="Normal 7 6 4 3 4 2 2" xfId="29076" xr:uid="{04EF2121-8F9D-47E1-95D6-2A96462046A0}"/>
    <cellStyle name="Normal 7 6 4 3 4 2 3" xfId="19381" xr:uid="{00120F8E-2E91-487F-AC3F-BD77EFA709C8}"/>
    <cellStyle name="Normal 7 6 4 3 4 3" xfId="11834" xr:uid="{3133CD66-DEC5-48F4-9AAD-E488D033F91C}"/>
    <cellStyle name="Normal 7 6 4 3 4 3 2" xfId="22214" xr:uid="{AB3E41C7-A31C-482C-8829-CDF220706801}"/>
    <cellStyle name="Normal 7 6 4 3 4 4" xfId="22916" xr:uid="{117F10E1-0F2A-436E-ACBF-F6C29F47C5A9}"/>
    <cellStyle name="Normal 7 6 4 3 4 5" xfId="16548" xr:uid="{A5BEF6C1-15E3-4E49-8272-A8C2C967417A}"/>
    <cellStyle name="Normal 7 6 4 3 5" xfId="5495" xr:uid="{B08F0AA9-0A61-4228-BEC0-06332A122D18}"/>
    <cellStyle name="Normal 7 6 4 3 5 2" xfId="28396" xr:uid="{761A86C3-ED31-49F1-93DC-0C7D04858817}"/>
    <cellStyle name="Normal 7 6 4 3 5 3" xfId="14791" xr:uid="{49F51432-65E2-4899-8358-EACE04E00462}"/>
    <cellStyle name="Normal 7 6 4 3 6" xfId="7244" xr:uid="{F646D13A-AED6-4D8D-A845-E6F81DC4ECAA}"/>
    <cellStyle name="Normal 7 6 4 3 6 2" xfId="17624" xr:uid="{F4ED4057-A56C-40B8-B84C-F083BD5C8E7D}"/>
    <cellStyle name="Normal 7 6 4 3 7" xfId="10077" xr:uid="{DF3E602C-AE99-4F19-BF5D-BA08004E781C}"/>
    <cellStyle name="Normal 7 6 4 3 7 2" xfId="20457" xr:uid="{6D5DAEA5-68AE-4405-8C12-ECE841313B1E}"/>
    <cellStyle name="Normal 7 6 4 3 8" xfId="23341" xr:uid="{635B3F8E-57FD-4427-A73F-46D378261E0D}"/>
    <cellStyle name="Normal 7 6 4 3 9" xfId="12804" xr:uid="{6E0D6631-0B8D-43E8-9700-2101A92FE9BC}"/>
    <cellStyle name="Normal 7 6 4 4" xfId="1498" xr:uid="{00000000-0005-0000-0000-0000B3070000}"/>
    <cellStyle name="Normal 7 6 4 4 2" xfId="4608" xr:uid="{B16931EB-7DAE-4907-8E70-D8B738510EE6}"/>
    <cellStyle name="Normal 7 6 4 4 2 2" xfId="9380" xr:uid="{D3C7172B-6501-44FC-BC19-3FAAE562FBFB}"/>
    <cellStyle name="Normal 7 6 4 4 2 2 2" xfId="29348" xr:uid="{5028358C-192B-4348-BDD4-2BD130CC8A4F}"/>
    <cellStyle name="Normal 7 6 4 4 2 2 3" xfId="19760" xr:uid="{13D538F3-9528-4969-A811-47504BBADF1D}"/>
    <cellStyle name="Normal 7 6 4 4 2 3" xfId="12213" xr:uid="{74B0E405-8302-4CE7-8775-ECA51A499A38}"/>
    <cellStyle name="Normal 7 6 4 4 2 3 2" xfId="22593" xr:uid="{A8AB96D9-7258-42D5-99A1-55B661C2972D}"/>
    <cellStyle name="Normal 7 6 4 4 2 4" xfId="23737" xr:uid="{9C5B22E1-2BF8-44D0-8F15-C795EA035DF6}"/>
    <cellStyle name="Normal 7 6 4 4 2 5" xfId="16927" xr:uid="{7512255A-B8C1-4313-98A9-B8AAA554676D}"/>
    <cellStyle name="Normal 7 6 4 4 3" xfId="5496" xr:uid="{0773F734-9059-4CFF-8EC5-101FF109C416}"/>
    <cellStyle name="Normal 7 6 4 4 3 2" xfId="27784" xr:uid="{1A12C115-CC31-43A4-9197-A7CD1F6F391C}"/>
    <cellStyle name="Normal 7 6 4 4 3 3" xfId="14792" xr:uid="{C18CF4CC-B277-44AB-828B-A04FF0926824}"/>
    <cellStyle name="Normal 7 6 4 4 4" xfId="7245" xr:uid="{6240168D-E640-496A-96A9-F337D8E4203C}"/>
    <cellStyle name="Normal 7 6 4 4 4 2" xfId="17625" xr:uid="{525548CA-F646-40DD-BC6F-23687FEDF6FD}"/>
    <cellStyle name="Normal 7 6 4 4 5" xfId="10078" xr:uid="{CE001266-510D-4FC6-B297-6ECD56E12BDC}"/>
    <cellStyle name="Normal 7 6 4 4 5 2" xfId="20458" xr:uid="{B242D98E-EABD-4686-955D-F8E4E40B0A18}"/>
    <cellStyle name="Normal 7 6 4 4 6" xfId="23474" xr:uid="{D2D71813-8875-4C5D-B3D6-044D13BE8A19}"/>
    <cellStyle name="Normal 7 6 4 4 7" xfId="14094" xr:uid="{AD175A59-4B0F-44EC-9EE9-E862184E4AF4}"/>
    <cellStyle name="Normal 7 6 4 5" xfId="3002" xr:uid="{00000000-0005-0000-0000-00001B090000}"/>
    <cellStyle name="Normal 7 6 4 5 2" xfId="6151" xr:uid="{90578136-11C7-49EF-81BA-156BF174B318}"/>
    <cellStyle name="Normal 7 6 4 5 2 2" xfId="25647" xr:uid="{50B6CDAF-0D17-4CD8-90BD-95FF3A06F049}"/>
    <cellStyle name="Normal 7 6 4 5 2 3" xfId="27508" xr:uid="{E3DABAFF-4279-48AD-9175-C601B5BFAC61}"/>
    <cellStyle name="Normal 7 6 4 5 2 4" xfId="15629" xr:uid="{59D28FE0-3EBB-4B33-8B51-3592740E3B8E}"/>
    <cellStyle name="Normal 7 6 4 5 3" xfId="8082" xr:uid="{1593290C-B0DA-4379-A3E0-534ACFF6909F}"/>
    <cellStyle name="Normal 7 6 4 5 3 2" xfId="28772" xr:uid="{03946E0B-3269-497D-B1B4-77B97149BEDE}"/>
    <cellStyle name="Normal 7 6 4 5 3 3" xfId="18462" xr:uid="{BF16C1A0-9822-4D47-A742-0B5348BF515D}"/>
    <cellStyle name="Normal 7 6 4 5 4" xfId="10915" xr:uid="{15D1B895-427B-42C9-8218-BC101DA53385}"/>
    <cellStyle name="Normal 7 6 4 5 4 2" xfId="21295" xr:uid="{07E05386-D6B5-4F0F-9541-E2ADBF877C18}"/>
    <cellStyle name="Normal 7 6 4 5 5" xfId="22988" xr:uid="{AA691454-5113-4FB4-87D2-11739E7C604C}"/>
    <cellStyle name="Normal 7 6 4 5 6" xfId="13502" xr:uid="{80EDD499-EB67-449A-A662-417C08D2759D}"/>
    <cellStyle name="Normal 7 6 4 6" xfId="2457" xr:uid="{00000000-0005-0000-0000-00001C090000}"/>
    <cellStyle name="Normal 7 6 4 6 2" xfId="5749" xr:uid="{5C7ECC11-5A5E-4742-93C1-93ABCAF451DD}"/>
    <cellStyle name="Normal 7 6 4 6 2 2" xfId="27519" xr:uid="{0B431D5C-5A9F-40C1-A469-B3FB46C54045}"/>
    <cellStyle name="Normal 7 6 4 6 2 3" xfId="15129" xr:uid="{7786E342-5940-4005-A46E-4386156685AA}"/>
    <cellStyle name="Normal 7 6 4 6 3" xfId="7582" xr:uid="{6614F47F-3B61-438F-A015-54D8ED0B784D}"/>
    <cellStyle name="Normal 7 6 4 6 3 2" xfId="17962" xr:uid="{582818AA-C3A4-4DAA-8F13-7948F36C02D0}"/>
    <cellStyle name="Normal 7 6 4 6 4" xfId="10415" xr:uid="{0840C9DB-4E69-40F0-BEE7-88E70FFD731F}"/>
    <cellStyle name="Normal 7 6 4 6 4 2" xfId="20795" xr:uid="{12344003-0DAF-491F-972E-91BB6DFF52CC}"/>
    <cellStyle name="Normal 7 6 4 6 5" xfId="23396" xr:uid="{9FA5B035-2601-4F75-8A83-5A87EB96104D}"/>
    <cellStyle name="Normal 7 6 4 6 6" xfId="12845" xr:uid="{9ED57ABB-C750-4436-896D-DA1DBDFB3F0B}"/>
    <cellStyle name="Normal 7 6 4 7" xfId="2211" xr:uid="{00000000-0005-0000-0000-000010090000}"/>
    <cellStyle name="Normal 7 6 4 7 2" xfId="7338" xr:uid="{C6DD2CEB-8E2E-467D-BAE0-3FBCF447319B}"/>
    <cellStyle name="Normal 7 6 4 7 2 2" xfId="17718" xr:uid="{29EE4852-5465-45F1-8671-6D1F0111BE9B}"/>
    <cellStyle name="Normal 7 6 4 7 3" xfId="10171" xr:uid="{41AD4F93-CE63-4CAF-8287-65AE5F09F554}"/>
    <cellStyle name="Normal 7 6 4 7 3 2" xfId="20551" xr:uid="{438D9016-FB78-4B8E-BF5E-6395939B03E9}"/>
    <cellStyle name="Normal 7 6 4 7 4" xfId="23895" xr:uid="{0CADA542-F7D4-4031-8302-CBD27A5EA11C}"/>
    <cellStyle name="Normal 7 6 4 7 5" xfId="14885" xr:uid="{2FCCF03A-40FB-4A4C-BEB3-A1933E008AB1}"/>
    <cellStyle name="Normal 7 6 4 8" xfId="4085" xr:uid="{11850CE3-2A1F-47EF-B471-999DD0D6EC39}"/>
    <cellStyle name="Normal 7 6 4 8 2" xfId="8862" xr:uid="{FE95634D-8F33-41D2-9E6C-F65192F00752}"/>
    <cellStyle name="Normal 7 6 4 8 2 2" xfId="19242" xr:uid="{8BE33F30-94BC-4BBC-8383-2CB6173F8692}"/>
    <cellStyle name="Normal 7 6 4 8 3" xfId="11695" xr:uid="{CE13F861-80D1-45D9-B0C6-B1E764EFA1C2}"/>
    <cellStyle name="Normal 7 6 4 8 3 2" xfId="22075" xr:uid="{95A5F071-E116-4268-8948-93F70ECB1FF0}"/>
    <cellStyle name="Normal 7 6 4 8 4" xfId="16409" xr:uid="{C8F0C22F-C200-44E0-8CBD-0716BEC85CC9}"/>
    <cellStyle name="Normal 7 6 4 9" xfId="5492" xr:uid="{D292BAB4-4D87-46A6-BF4A-6386D5DA9302}"/>
    <cellStyle name="Normal 7 6 4 9 2" xfId="14788" xr:uid="{50E78859-CACB-4E35-B1CA-1A390D183C89}"/>
    <cellStyle name="Normal 7 6 5" xfId="1499" xr:uid="{00000000-0005-0000-0000-0000B4070000}"/>
    <cellStyle name="Normal 7 6 5 10" xfId="10079" xr:uid="{DF3FBC87-0B9B-40A1-AE4C-0EAC5DF663CA}"/>
    <cellStyle name="Normal 7 6 5 10 2" xfId="20459" xr:uid="{4EC8ADD7-9EF6-408B-969E-A98714B64BE2}"/>
    <cellStyle name="Normal 7 6 5 11" xfId="24069" xr:uid="{E61F5D74-F8CC-4F82-8A62-7F385A9996D1}"/>
    <cellStyle name="Normal 7 6 5 12" xfId="12647" xr:uid="{FB75F0C5-BC27-4FA1-8CDF-8AB2BD8454C9}"/>
    <cellStyle name="Normal 7 6 5 2" xfId="1500" xr:uid="{00000000-0005-0000-0000-0000B5070000}"/>
    <cellStyle name="Normal 7 6 5 2 2" xfId="1501" xr:uid="{00000000-0005-0000-0000-0000B6070000}"/>
    <cellStyle name="Normal 7 6 5 2 2 2" xfId="5499" xr:uid="{E7D01064-A9DA-43E2-BD7F-8BE99A6CBE46}"/>
    <cellStyle name="Normal 7 6 5 2 2 2 2" xfId="24804" xr:uid="{D74CCB81-EE89-40BD-A651-D2397EED77F1}"/>
    <cellStyle name="Normal 7 6 5 2 2 2 3" xfId="27836" xr:uid="{858DF70D-599C-44FE-BC8D-CCEEAE3631E2}"/>
    <cellStyle name="Normal 7 6 5 2 2 2 4" xfId="14795" xr:uid="{5AFCEABD-88CD-4BC1-A9F3-858BA1A0DB98}"/>
    <cellStyle name="Normal 7 6 5 2 2 3" xfId="7248" xr:uid="{205E6962-B9B9-4764-A254-6B36C81DAA70}"/>
    <cellStyle name="Normal 7 6 5 2 2 3 2" xfId="27680" xr:uid="{903D530F-9213-4378-A3E2-20DB1D6D8E2E}"/>
    <cellStyle name="Normal 7 6 5 2 2 3 3" xfId="27830" xr:uid="{B8EB2944-3F2D-4394-970A-437B5D6F330F}"/>
    <cellStyle name="Normal 7 6 5 2 2 3 4" xfId="17628" xr:uid="{51A2E2CE-64DE-40DE-A6A2-316D44780599}"/>
    <cellStyle name="Normal 7 6 5 2 2 4" xfId="10081" xr:uid="{1A92C8BC-D39C-4639-8D36-28691DFCA540}"/>
    <cellStyle name="Normal 7 6 5 2 2 4 2" xfId="29468" xr:uid="{9F20443E-21B9-494F-B24D-1211805F4477}"/>
    <cellStyle name="Normal 7 6 5 2 2 4 3" xfId="20461" xr:uid="{93EC5B0D-A3C5-4AFE-ADC9-40F688624D8C}"/>
    <cellStyle name="Normal 7 6 5 2 2 5" xfId="24687" xr:uid="{DE10F9B7-7379-4872-8B6A-23698B840900}"/>
    <cellStyle name="Normal 7 6 5 2 2 6" xfId="14095" xr:uid="{B0BE8522-4076-441B-96EA-40824BB98BCA}"/>
    <cellStyle name="Normal 7 6 5 2 3" xfId="2848" xr:uid="{00000000-0005-0000-0000-000020090000}"/>
    <cellStyle name="Normal 7 6 5 2 3 2" xfId="6061" xr:uid="{2D925E2C-A4E9-4D58-917A-11A3E56E570C}"/>
    <cellStyle name="Normal 7 6 5 2 3 2 2" xfId="27687" xr:uid="{08579B00-37A0-4D2D-B741-0D76075C24B8}"/>
    <cellStyle name="Normal 7 6 5 2 3 2 3" xfId="15517" xr:uid="{937FC035-2C2E-4A21-989C-416B995AE6D9}"/>
    <cellStyle name="Normal 7 6 5 2 3 3" xfId="7970" xr:uid="{564FBD73-78CC-4849-8011-285DF5FAEA1D}"/>
    <cellStyle name="Normal 7 6 5 2 3 3 2" xfId="18350" xr:uid="{4B9EECFA-4E80-40F4-8D21-9F0CD286499E}"/>
    <cellStyle name="Normal 7 6 5 2 3 4" xfId="10803" xr:uid="{643B0A30-BEED-4CC2-9056-F8CB97C651AA}"/>
    <cellStyle name="Normal 7 6 5 2 3 4 2" xfId="21183" xr:uid="{BC6BBA72-C174-4E41-B37A-38CFFE3AF547}"/>
    <cellStyle name="Normal 7 6 5 2 3 5" xfId="24230" xr:uid="{2DD603A8-BED6-4F04-BFF2-A5BDD9C3C6AE}"/>
    <cellStyle name="Normal 7 6 5 2 3 6" xfId="13330" xr:uid="{E11FFCF2-C722-4897-80E4-2E9BB38A8AAB}"/>
    <cellStyle name="Normal 7 6 5 2 4" xfId="4230" xr:uid="{BEFF7DA6-1B62-4455-981F-FF52525144C4}"/>
    <cellStyle name="Normal 7 6 5 2 4 2" xfId="9002" xr:uid="{052E31BB-E2DA-475B-AF01-E6B7DC9A4042}"/>
    <cellStyle name="Normal 7 6 5 2 4 2 2" xfId="29077" xr:uid="{F6532E92-B218-496F-A9A0-A9A7BD61A0F8}"/>
    <cellStyle name="Normal 7 6 5 2 4 2 3" xfId="19382" xr:uid="{7DD29C7B-D90B-4FBB-A9F7-7C6E62FCEBD4}"/>
    <cellStyle name="Normal 7 6 5 2 4 3" xfId="11835" xr:uid="{33D767A8-829E-46E3-896D-5754A6CF897C}"/>
    <cellStyle name="Normal 7 6 5 2 4 3 2" xfId="22215" xr:uid="{DD737A68-9990-408A-95BA-F9BE69979620}"/>
    <cellStyle name="Normal 7 6 5 2 4 4" xfId="23844" xr:uid="{D76A78E7-45C2-4F5D-8A2F-1A50B7832796}"/>
    <cellStyle name="Normal 7 6 5 2 4 5" xfId="16549" xr:uid="{2890542C-1270-4BDE-AF4B-E1326976F566}"/>
    <cellStyle name="Normal 7 6 5 2 5" xfId="5498" xr:uid="{57B78EE6-7841-42ED-A2A6-9BDAEA7C889A}"/>
    <cellStyle name="Normal 7 6 5 2 5 2" xfId="27139" xr:uid="{3CB9700E-5A5C-4819-AB08-22F6E62D5BE7}"/>
    <cellStyle name="Normal 7 6 5 2 5 3" xfId="14794" xr:uid="{A7FE7C76-E922-4743-B111-09BC9106E9CC}"/>
    <cellStyle name="Normal 7 6 5 2 6" xfId="7247" xr:uid="{4862564F-D428-4D96-A80C-2DCBD8993F2B}"/>
    <cellStyle name="Normal 7 6 5 2 6 2" xfId="17627" xr:uid="{562F2376-9098-419C-95D0-4E76847DFC1B}"/>
    <cellStyle name="Normal 7 6 5 2 7" xfId="10080" xr:uid="{DC63A437-50E5-491A-AD3F-C1CABC2759BE}"/>
    <cellStyle name="Normal 7 6 5 2 7 2" xfId="20460" xr:uid="{5124A459-17B2-48D3-91D4-BD503E8A9CF2}"/>
    <cellStyle name="Normal 7 6 5 2 8" xfId="23238" xr:uid="{9E3CA18B-B945-400C-9C14-33091210BAF6}"/>
    <cellStyle name="Normal 7 6 5 2 9" xfId="12805" xr:uid="{C37684F4-A37F-4EA8-AAA9-4B7A6619FBB3}"/>
    <cellStyle name="Normal 7 6 5 3" xfId="1502" xr:uid="{00000000-0005-0000-0000-0000B7070000}"/>
    <cellStyle name="Normal 7 6 5 3 2" xfId="4609" xr:uid="{A31E5E11-9452-49DF-82C6-7A872B65B43C}"/>
    <cellStyle name="Normal 7 6 5 3 2 2" xfId="9381" xr:uid="{5D7F5286-3528-42BB-8D71-FDB46231D195}"/>
    <cellStyle name="Normal 7 6 5 3 2 2 2" xfId="29349" xr:uid="{6FA31A69-84ED-4BEC-A0E2-88DDF5E61206}"/>
    <cellStyle name="Normal 7 6 5 3 2 2 3" xfId="19761" xr:uid="{9FBC37E3-2557-4260-A526-F7BB117EF95D}"/>
    <cellStyle name="Normal 7 6 5 3 2 3" xfId="12214" xr:uid="{3BB80120-C50E-4D9B-8D76-121F08A551F3}"/>
    <cellStyle name="Normal 7 6 5 3 2 3 2" xfId="22594" xr:uid="{6BF84990-48C2-4EC4-9B8F-77256D126BCB}"/>
    <cellStyle name="Normal 7 6 5 3 2 4" xfId="23875" xr:uid="{A4373488-25F7-4AE1-A30A-4A24639504D8}"/>
    <cellStyle name="Normal 7 6 5 3 2 5" xfId="16928" xr:uid="{EAA94611-9138-4B12-9179-5EA06D298EEA}"/>
    <cellStyle name="Normal 7 6 5 3 3" xfId="5500" xr:uid="{E7DAD043-6AE3-4AC1-B786-9BBFE7339374}"/>
    <cellStyle name="Normal 7 6 5 3 3 2" xfId="25801" xr:uid="{44967C79-7D0B-4E84-A99E-681F3E8F24C1}"/>
    <cellStyle name="Normal 7 6 5 3 3 3" xfId="28114" xr:uid="{B93C29BC-09E4-4A66-8E44-8F0A6CF78288}"/>
    <cellStyle name="Normal 7 6 5 3 3 4" xfId="14796" xr:uid="{D165794D-EA70-4A47-8B38-33BA446E4169}"/>
    <cellStyle name="Normal 7 6 5 3 4" xfId="7249" xr:uid="{81B50CBF-AC87-4D6C-8852-00497000B5CD}"/>
    <cellStyle name="Normal 7 6 5 3 4 2" xfId="24855" xr:uid="{FE06049C-30C1-43B9-B38C-3DFFB8716974}"/>
    <cellStyle name="Normal 7 6 5 3 4 3" xfId="27206" xr:uid="{63796442-6B39-4ABD-BFF2-28A58284432A}"/>
    <cellStyle name="Normal 7 6 5 3 4 4" xfId="17629" xr:uid="{A5F050B3-85E0-4682-A9DB-664CDC9A79EF}"/>
    <cellStyle name="Normal 7 6 5 3 5" xfId="10082" xr:uid="{D7DC216D-1E73-4623-8389-1E20B8153073}"/>
    <cellStyle name="Normal 7 6 5 3 5 2" xfId="29469" xr:uid="{200210D5-41D4-42EC-8CE0-4DC6FEF33C50}"/>
    <cellStyle name="Normal 7 6 5 3 5 3" xfId="20462" xr:uid="{A19966B2-E5BB-4CC7-A122-3C1E264E1887}"/>
    <cellStyle name="Normal 7 6 5 3 6" xfId="23590" xr:uid="{82992022-37F0-40A8-9867-021839D0216E}"/>
    <cellStyle name="Normal 7 6 5 3 7" xfId="14096" xr:uid="{B9886D02-1060-421F-98E1-3B9D47822D62}"/>
    <cellStyle name="Normal 7 6 5 4" xfId="1503" xr:uid="{00000000-0005-0000-0000-0000B8070000}"/>
    <cellStyle name="Normal 7 6 5 4 2" xfId="5501" xr:uid="{0448C5CA-400A-4F9A-9F2C-FFC0C2A5BC16}"/>
    <cellStyle name="Normal 7 6 5 4 2 2" xfId="25065" xr:uid="{6D85387C-BEE5-4EA8-8562-29F7FEAF8C54}"/>
    <cellStyle name="Normal 7 6 5 4 2 3" xfId="28317" xr:uid="{5BA3CC29-3443-4898-BCAE-1DE0AD6F8EB1}"/>
    <cellStyle name="Normal 7 6 5 4 2 4" xfId="14797" xr:uid="{F6A537C0-D38D-49E9-A143-B03E526A3625}"/>
    <cellStyle name="Normal 7 6 5 4 3" xfId="7250" xr:uid="{D3E2AE04-D1F3-4C38-A891-B9B7297207D2}"/>
    <cellStyle name="Normal 7 6 5 4 3 2" xfId="27311" xr:uid="{96C97A13-D7ED-428C-8971-01428BF5CD64}"/>
    <cellStyle name="Normal 7 6 5 4 3 3" xfId="17630" xr:uid="{137D9BBF-689C-40AD-98C7-64A77D725B87}"/>
    <cellStyle name="Normal 7 6 5 4 4" xfId="10083" xr:uid="{0A5C38E3-CD4B-488F-97E0-91E36EEDF728}"/>
    <cellStyle name="Normal 7 6 5 4 4 2" xfId="20463" xr:uid="{39388F70-C8A2-4962-AC8A-626FD65554AC}"/>
    <cellStyle name="Normal 7 6 5 4 5" xfId="23554" xr:uid="{98F9B7CA-BCF9-44B6-A03D-846CA1C21B07}"/>
    <cellStyle name="Normal 7 6 5 4 6" xfId="13503" xr:uid="{8D2DF42F-EFC1-44D8-9472-20F47BF14A7E}"/>
    <cellStyle name="Normal 7 6 5 5" xfId="2517" xr:uid="{00000000-0005-0000-0000-000023090000}"/>
    <cellStyle name="Normal 7 6 5 5 2" xfId="5795" xr:uid="{A9F19D54-6E6A-46E2-9C4C-8DF33B402472}"/>
    <cellStyle name="Normal 7 6 5 5 2 2" xfId="26308" xr:uid="{60489D58-1A9D-4CF3-9EED-BEEB248944F9}"/>
    <cellStyle name="Normal 7 6 5 5 2 3" xfId="15189" xr:uid="{59C38AAD-98DE-48FB-8D51-B5ED5DB69078}"/>
    <cellStyle name="Normal 7 6 5 5 3" xfId="7642" xr:uid="{114DA3DD-D026-404F-B1D3-2312EE0C354A}"/>
    <cellStyle name="Normal 7 6 5 5 3 2" xfId="18022" xr:uid="{0DD8FB3C-2F4B-4FDF-AF12-910BBC8759CD}"/>
    <cellStyle name="Normal 7 6 5 5 4" xfId="10475" xr:uid="{3E356359-D060-4D23-991E-B97B13F06CB5}"/>
    <cellStyle name="Normal 7 6 5 5 4 2" xfId="20855" xr:uid="{44EECC84-9E0F-4F15-B137-F654756F5474}"/>
    <cellStyle name="Normal 7 6 5 5 5" xfId="23906" xr:uid="{E3F90392-059D-469A-AC0E-0BDACDF09501}"/>
    <cellStyle name="Normal 7 6 5 5 6" xfId="12905" xr:uid="{C1D38FF7-5C92-4681-BF21-05503F8663E1}"/>
    <cellStyle name="Normal 7 6 5 6" xfId="2413" xr:uid="{00000000-0005-0000-0000-00001D090000}"/>
    <cellStyle name="Normal 7 6 5 6 2" xfId="7540" xr:uid="{3508834D-B89E-46C8-B299-CDA7B4274BBE}"/>
    <cellStyle name="Normal 7 6 5 6 2 2" xfId="28431" xr:uid="{4C9CF324-6BA4-4F60-B99D-0370AA4F4A93}"/>
    <cellStyle name="Normal 7 6 5 6 2 3" xfId="17920" xr:uid="{99EA2127-49D3-4607-95F1-053C6827513B}"/>
    <cellStyle name="Normal 7 6 5 6 3" xfId="10373" xr:uid="{B72334EA-2842-42B8-AE23-5F70208D013F}"/>
    <cellStyle name="Normal 7 6 5 6 3 2" xfId="20753" xr:uid="{FA60AE56-242F-41F8-94D0-21A1BEDA3DB4}"/>
    <cellStyle name="Normal 7 6 5 6 4" xfId="24940" xr:uid="{CFE09879-813F-4BF0-BF6F-92F31AC8B8AC}"/>
    <cellStyle name="Normal 7 6 5 6 5" xfId="15087" xr:uid="{5E843A23-20EA-4DBC-8888-73032B54F864}"/>
    <cellStyle name="Normal 7 6 5 7" xfId="4086" xr:uid="{B50348EB-0804-4161-A015-D162F110C8BD}"/>
    <cellStyle name="Normal 7 6 5 7 2" xfId="8863" xr:uid="{24B99DFC-2ACB-4ED6-90AC-1BBEFE0B71C7}"/>
    <cellStyle name="Normal 7 6 5 7 2 2" xfId="19243" xr:uid="{4C2B3425-55F2-43B2-9249-D780CDF9D891}"/>
    <cellStyle name="Normal 7 6 5 7 3" xfId="11696" xr:uid="{2357267F-3C24-4CB3-8332-CAA36D5BC0A7}"/>
    <cellStyle name="Normal 7 6 5 7 3 2" xfId="22076" xr:uid="{2DD6BFAA-42BC-4F91-A4AF-9EC1FA3D0BA3}"/>
    <cellStyle name="Normal 7 6 5 7 4" xfId="27365" xr:uid="{DBD02698-3E7A-4D39-940A-E12FE30B168E}"/>
    <cellStyle name="Normal 7 6 5 7 5" xfId="16410" xr:uid="{A55057EA-B0DE-44A3-86F5-D09B84CC644A}"/>
    <cellStyle name="Normal 7 6 5 8" xfId="5497" xr:uid="{C4B4A565-1729-4507-AEF3-F0F3746693D0}"/>
    <cellStyle name="Normal 7 6 5 8 2" xfId="14793" xr:uid="{39D3E485-0063-4AE3-A647-329FAC49358D}"/>
    <cellStyle name="Normal 7 6 5 9" xfId="7246" xr:uid="{FDBB60B6-CCCA-4215-9EBD-417F9A818965}"/>
    <cellStyle name="Normal 7 6 5 9 2" xfId="17626" xr:uid="{4C1C3760-73F1-4520-AA0E-3E8190282C36}"/>
    <cellStyle name="Normal 7 6 6" xfId="1504" xr:uid="{00000000-0005-0000-0000-0000B9070000}"/>
    <cellStyle name="Normal 7 6 6 10" xfId="10084" xr:uid="{9B121F16-A290-4197-B44F-6E69836089B0}"/>
    <cellStyle name="Normal 7 6 6 10 2" xfId="20464" xr:uid="{30DC266A-56CA-4C6B-A34D-80F0098443A0}"/>
    <cellStyle name="Normal 7 6 6 11" xfId="24361" xr:uid="{6410A27D-6B69-46D0-8F51-0ED5BF83BC57}"/>
    <cellStyle name="Normal 7 6 6 12" xfId="12648" xr:uid="{E9519333-2B6F-4A8D-856E-C824E5F393D6}"/>
    <cellStyle name="Normal 7 6 6 2" xfId="1505" xr:uid="{00000000-0005-0000-0000-0000BA070000}"/>
    <cellStyle name="Normal 7 6 6 2 2" xfId="1506" xr:uid="{00000000-0005-0000-0000-0000BB070000}"/>
    <cellStyle name="Normal 7 6 6 2 2 2" xfId="5504" xr:uid="{66B9D532-A4E6-42C2-84FA-23C65AFFCF31}"/>
    <cellStyle name="Normal 7 6 6 2 2 2 2" xfId="25084" xr:uid="{6B52F8F8-4313-4B80-9398-0AA11670A4A1}"/>
    <cellStyle name="Normal 7 6 6 2 2 2 3" xfId="26242" xr:uid="{84E34A4D-CE0E-4BF4-81D8-3BF44BBD6CCA}"/>
    <cellStyle name="Normal 7 6 6 2 2 2 4" xfId="14800" xr:uid="{E26BC03C-90D7-4629-8D61-133D401B09F6}"/>
    <cellStyle name="Normal 7 6 6 2 2 3" xfId="7253" xr:uid="{E8C4E03D-37ED-4BEB-8E4B-2F11686E682B}"/>
    <cellStyle name="Normal 7 6 6 2 2 3 2" xfId="27682" xr:uid="{65B0E04E-FBEA-48B1-9F0A-4B5EAF851E1F}"/>
    <cellStyle name="Normal 7 6 6 2 2 3 3" xfId="27640" xr:uid="{D0868920-65DE-48FA-BE3C-429C1847C4D3}"/>
    <cellStyle name="Normal 7 6 6 2 2 3 4" xfId="17633" xr:uid="{1605AD8E-97AD-4CF4-BDFA-4E6722E783FB}"/>
    <cellStyle name="Normal 7 6 6 2 2 4" xfId="10086" xr:uid="{D4EFA8F4-58C7-4071-B63C-6B349D4907A1}"/>
    <cellStyle name="Normal 7 6 6 2 2 4 2" xfId="29470" xr:uid="{9D218204-F3AE-4304-ACCF-308F57A75CDE}"/>
    <cellStyle name="Normal 7 6 6 2 2 4 3" xfId="20466" xr:uid="{D9DB5CF1-0839-47D2-9A8B-2EB8139606C1}"/>
    <cellStyle name="Normal 7 6 6 2 2 5" xfId="23187" xr:uid="{8F807369-CD25-4CCE-A376-550BCE61BF84}"/>
    <cellStyle name="Normal 7 6 6 2 2 6" xfId="14097" xr:uid="{A23A3A3E-B6FB-4F24-99A8-FF3721C11DFB}"/>
    <cellStyle name="Normal 7 6 6 2 3" xfId="2849" xr:uid="{00000000-0005-0000-0000-000027090000}"/>
    <cellStyle name="Normal 7 6 6 2 3 2" xfId="6062" xr:uid="{EC8937D3-ACD6-45B5-BB65-2C456B8FDA71}"/>
    <cellStyle name="Normal 7 6 6 2 3 2 2" xfId="26790" xr:uid="{3C319A9D-AB1A-4A43-AF91-B55E12066FFB}"/>
    <cellStyle name="Normal 7 6 6 2 3 2 3" xfId="15518" xr:uid="{54B92E17-B78D-4634-8730-CE48B4B24AAB}"/>
    <cellStyle name="Normal 7 6 6 2 3 3" xfId="7971" xr:uid="{AD8F4644-535B-4915-883A-88DC203AB579}"/>
    <cellStyle name="Normal 7 6 6 2 3 3 2" xfId="18351" xr:uid="{87FB52A6-6CE3-4283-BEB4-B7E4BFC29F79}"/>
    <cellStyle name="Normal 7 6 6 2 3 4" xfId="10804" xr:uid="{C3DD5877-10AA-4D2E-9371-104F91F5B5C6}"/>
    <cellStyle name="Normal 7 6 6 2 3 4 2" xfId="21184" xr:uid="{884396C8-AED6-46D9-A577-228829186CC5}"/>
    <cellStyle name="Normal 7 6 6 2 3 5" xfId="24224" xr:uid="{C9354425-C819-4EC8-8BD8-F1436EE5B4A5}"/>
    <cellStyle name="Normal 7 6 6 2 3 6" xfId="13331" xr:uid="{48A48117-C8D3-4B37-9DDF-316FB5CE0346}"/>
    <cellStyle name="Normal 7 6 6 2 4" xfId="4231" xr:uid="{96586672-87B1-4913-984A-17E53571DCBA}"/>
    <cellStyle name="Normal 7 6 6 2 4 2" xfId="9003" xr:uid="{7AE56A67-32F7-4039-AA29-2DF78912FDB0}"/>
    <cellStyle name="Normal 7 6 6 2 4 2 2" xfId="29078" xr:uid="{85A50398-B79F-4714-9769-7B93ABC37BED}"/>
    <cellStyle name="Normal 7 6 6 2 4 2 3" xfId="19383" xr:uid="{74EAF74C-BCFA-4DE5-8BD8-45CE8CE70AEB}"/>
    <cellStyle name="Normal 7 6 6 2 4 3" xfId="11836" xr:uid="{CCE31F3E-1130-444E-ACBD-CC971A255CB3}"/>
    <cellStyle name="Normal 7 6 6 2 4 3 2" xfId="22216" xr:uid="{7676A053-1EDB-4EE4-ADD5-287BA4D75F4C}"/>
    <cellStyle name="Normal 7 6 6 2 4 4" xfId="23141" xr:uid="{7DACF0CB-2FDB-41C4-AE40-507DD9740409}"/>
    <cellStyle name="Normal 7 6 6 2 4 5" xfId="16550" xr:uid="{72D1934E-2114-4BE2-80BA-195B8E688A8F}"/>
    <cellStyle name="Normal 7 6 6 2 5" xfId="5503" xr:uid="{60C0B025-1DC6-42ED-8C10-81AF1593DD4B}"/>
    <cellStyle name="Normal 7 6 6 2 5 2" xfId="28110" xr:uid="{BEA1BF45-6A94-4922-B8F9-A7D08A4CAD92}"/>
    <cellStyle name="Normal 7 6 6 2 5 3" xfId="14799" xr:uid="{8011D1AE-A096-49B3-A833-5A3211D0A05D}"/>
    <cellStyle name="Normal 7 6 6 2 6" xfId="7252" xr:uid="{7CF328A4-4908-44FA-B972-75D59A28DDA1}"/>
    <cellStyle name="Normal 7 6 6 2 6 2" xfId="17632" xr:uid="{2938AFDE-3D6F-4AFC-A431-0AFC23B4817B}"/>
    <cellStyle name="Normal 7 6 6 2 7" xfId="10085" xr:uid="{B600220D-9330-452C-85B4-091C21D3E5D2}"/>
    <cellStyle name="Normal 7 6 6 2 7 2" xfId="20465" xr:uid="{1CF45A2F-4BDD-463E-8AE8-125CAD9CE958}"/>
    <cellStyle name="Normal 7 6 6 2 8" xfId="25387" xr:uid="{5569986E-846C-48E9-B343-C5A293E1820F}"/>
    <cellStyle name="Normal 7 6 6 2 9" xfId="12806" xr:uid="{C145EB29-7EE7-41FA-8EEE-0623BCB2FF8B}"/>
    <cellStyle name="Normal 7 6 6 3" xfId="1507" xr:uid="{00000000-0005-0000-0000-0000BC070000}"/>
    <cellStyle name="Normal 7 6 6 3 2" xfId="4610" xr:uid="{F14CE967-CAE8-4480-8105-4FCB90A37042}"/>
    <cellStyle name="Normal 7 6 6 3 2 2" xfId="9382" xr:uid="{C99E997D-08CD-4908-985C-5EC8E1428681}"/>
    <cellStyle name="Normal 7 6 6 3 2 2 2" xfId="29350" xr:uid="{8727CD08-8DE0-4178-8FAB-9EEDB235D22A}"/>
    <cellStyle name="Normal 7 6 6 3 2 2 3" xfId="19762" xr:uid="{06F669DE-4B87-41B7-8C2F-116D16D00B6F}"/>
    <cellStyle name="Normal 7 6 6 3 2 3" xfId="12215" xr:uid="{D7CCF65F-3506-4683-96F9-F5E823D11A84}"/>
    <cellStyle name="Normal 7 6 6 3 2 3 2" xfId="22595" xr:uid="{AAFEA359-EC7A-4C13-808A-D5B42C63E00B}"/>
    <cellStyle name="Normal 7 6 6 3 2 4" xfId="22979" xr:uid="{C7FDCBBD-6BCC-405C-A3A9-76D67F1E25D8}"/>
    <cellStyle name="Normal 7 6 6 3 2 5" xfId="16929" xr:uid="{4DC315E7-0311-4131-B8D5-1E08462052FA}"/>
    <cellStyle name="Normal 7 6 6 3 3" xfId="5505" xr:uid="{8522F306-649E-4170-97FC-7493F82F02D9}"/>
    <cellStyle name="Normal 7 6 6 3 3 2" xfId="26885" xr:uid="{01DA18E4-630B-407C-90D8-A91D7245FB40}"/>
    <cellStyle name="Normal 7 6 6 3 3 3" xfId="28169" xr:uid="{7C2D3BB2-4CDA-4B63-808A-80FBE4F1B9CF}"/>
    <cellStyle name="Normal 7 6 6 3 3 4" xfId="14801" xr:uid="{D8150843-5B72-4389-80BE-739888821749}"/>
    <cellStyle name="Normal 7 6 6 3 4" xfId="7254" xr:uid="{F509454B-227C-426F-970A-B489BD7153BC}"/>
    <cellStyle name="Normal 7 6 6 3 4 2" xfId="25901" xr:uid="{03B433BB-282D-4668-99EA-A3DFFEF34C56}"/>
    <cellStyle name="Normal 7 6 6 3 4 3" xfId="28640" xr:uid="{2FC4DC22-583C-4AE0-B574-3F4737361CF8}"/>
    <cellStyle name="Normal 7 6 6 3 4 4" xfId="17634" xr:uid="{632C8BC2-1B4E-4244-AC82-F2BB44834442}"/>
    <cellStyle name="Normal 7 6 6 3 5" xfId="10087" xr:uid="{33884DD8-7790-4C34-9D44-87B0B9071B03}"/>
    <cellStyle name="Normal 7 6 6 3 5 2" xfId="29471" xr:uid="{D657E74B-A85A-4BE1-B0EF-D68ABA591894}"/>
    <cellStyle name="Normal 7 6 6 3 5 3" xfId="20467" xr:uid="{17476645-C583-4B81-BAB9-3D431711E7D8}"/>
    <cellStyle name="Normal 7 6 6 3 6" xfId="24551" xr:uid="{7F04EA5A-7CA8-4E0F-A5D3-9DBD12856DA2}"/>
    <cellStyle name="Normal 7 6 6 3 7" xfId="14098" xr:uid="{2083B337-D404-4396-BEBD-396F3F4FB296}"/>
    <cellStyle name="Normal 7 6 6 4" xfId="1508" xr:uid="{00000000-0005-0000-0000-0000BD070000}"/>
    <cellStyle name="Normal 7 6 6 4 2" xfId="5506" xr:uid="{B1732BA7-F99E-4741-8EAB-B210D7C053B9}"/>
    <cellStyle name="Normal 7 6 6 4 2 2" xfId="24096" xr:uid="{FA1B13A7-D167-4EA2-A350-A98617B2D303}"/>
    <cellStyle name="Normal 7 6 6 4 2 3" xfId="28267" xr:uid="{56DBB3E1-308A-4947-82A4-B10BE50C8A1B}"/>
    <cellStyle name="Normal 7 6 6 4 2 4" xfId="14802" xr:uid="{7E7F5B2D-6716-44CD-94E9-DC067523BD92}"/>
    <cellStyle name="Normal 7 6 6 4 3" xfId="7255" xr:uid="{F8A11A8C-8BFF-48F3-A1FD-EF29614361A6}"/>
    <cellStyle name="Normal 7 6 6 4 3 2" xfId="28370" xr:uid="{FEF2D7E9-A34A-4940-8224-435FEFF01F1D}"/>
    <cellStyle name="Normal 7 6 6 4 3 3" xfId="17635" xr:uid="{4ED87E50-93AE-4538-9786-4F9D0E2789A3}"/>
    <cellStyle name="Normal 7 6 6 4 4" xfId="10088" xr:uid="{FEB4022C-F1E3-4EEA-BC90-D9D14035388A}"/>
    <cellStyle name="Normal 7 6 6 4 4 2" xfId="20468" xr:uid="{FF1819DC-C74B-4760-AC62-38CC67072738}"/>
    <cellStyle name="Normal 7 6 6 4 5" xfId="25459" xr:uid="{884E5F05-DE08-4D40-BA10-0149E35848F9}"/>
    <cellStyle name="Normal 7 6 6 4 6" xfId="13504" xr:uid="{FB128930-BA0C-4BB7-850E-07204CFDD584}"/>
    <cellStyle name="Normal 7 6 6 5" xfId="2580" xr:uid="{00000000-0005-0000-0000-00002A090000}"/>
    <cellStyle name="Normal 7 6 6 5 2" xfId="5845" xr:uid="{FC07E65B-AECC-4723-8B85-42B93FFCFF2A}"/>
    <cellStyle name="Normal 7 6 6 5 2 2" xfId="27772" xr:uid="{9518A7A9-2E88-4A12-8133-4CDBCE5423B9}"/>
    <cellStyle name="Normal 7 6 6 5 2 3" xfId="15252" xr:uid="{08C635A3-EA47-4E40-9C92-EBF23F30B52F}"/>
    <cellStyle name="Normal 7 6 6 5 3" xfId="7705" xr:uid="{0318551E-54D7-4162-BC80-5B7FEAC080D4}"/>
    <cellStyle name="Normal 7 6 6 5 3 2" xfId="18085" xr:uid="{AB883187-AEFB-401B-98C3-A91990143091}"/>
    <cellStyle name="Normal 7 6 6 5 4" xfId="10538" xr:uid="{623578DD-EDBB-4CB0-B8A4-201B6942FEDD}"/>
    <cellStyle name="Normal 7 6 6 5 4 2" xfId="20918" xr:uid="{30F4F925-14E5-44E2-A19C-94BA78423C76}"/>
    <cellStyle name="Normal 7 6 6 5 5" xfId="25131" xr:uid="{0B389366-22C8-49F9-AF34-069A9E312800}"/>
    <cellStyle name="Normal 7 6 6 5 6" xfId="12968" xr:uid="{797A1FFD-B612-440A-BE6B-1FFE202CD8F2}"/>
    <cellStyle name="Normal 7 6 6 6" xfId="2414" xr:uid="{00000000-0005-0000-0000-000024090000}"/>
    <cellStyle name="Normal 7 6 6 6 2" xfId="7541" xr:uid="{4FDC4E51-6D31-4A25-8512-CBBA185C9F63}"/>
    <cellStyle name="Normal 7 6 6 6 2 2" xfId="26820" xr:uid="{A4D45A25-76E5-4F37-89C4-1606FF657ECD}"/>
    <cellStyle name="Normal 7 6 6 6 2 3" xfId="17921" xr:uid="{D7558F3D-D4B8-467E-8F01-332C6031EECD}"/>
    <cellStyle name="Normal 7 6 6 6 3" xfId="10374" xr:uid="{EFA65DA9-A015-4BE6-BEA2-4A7A7C5A90AA}"/>
    <cellStyle name="Normal 7 6 6 6 3 2" xfId="20754" xr:uid="{48359B26-D60F-4260-833C-0AC33A063146}"/>
    <cellStyle name="Normal 7 6 6 6 4" xfId="24882" xr:uid="{817D6BB7-50E5-497B-B0F2-3248DEC74781}"/>
    <cellStyle name="Normal 7 6 6 6 5" xfId="15088" xr:uid="{BA3BE017-311B-43EA-8080-8C40EA3F788B}"/>
    <cellStyle name="Normal 7 6 6 7" xfId="4087" xr:uid="{AD82AA17-F863-4080-AE76-D5694A4D0A0D}"/>
    <cellStyle name="Normal 7 6 6 7 2" xfId="8864" xr:uid="{736F0F43-2BD4-47E7-955C-8BE517273D03}"/>
    <cellStyle name="Normal 7 6 6 7 2 2" xfId="19244" xr:uid="{C64B38B8-5287-4B1A-BE40-405A749A9673}"/>
    <cellStyle name="Normal 7 6 6 7 3" xfId="11697" xr:uid="{59C47437-3B8A-4A7D-8C7C-B854A9B0C1D9}"/>
    <cellStyle name="Normal 7 6 6 7 3 2" xfId="22077" xr:uid="{BBA0E55D-6FC3-47E8-A22A-86BC5E1155B7}"/>
    <cellStyle name="Normal 7 6 6 7 4" xfId="28090" xr:uid="{64006040-061F-4846-90B0-61C074CBA756}"/>
    <cellStyle name="Normal 7 6 6 7 5" xfId="16411" xr:uid="{89E87FA3-C5C8-4FE7-9FD5-82141A46A5F7}"/>
    <cellStyle name="Normal 7 6 6 8" xfId="5502" xr:uid="{8C2001EF-CE6E-4312-9B27-D4ED056D7F73}"/>
    <cellStyle name="Normal 7 6 6 8 2" xfId="14798" xr:uid="{AC29F6D8-C066-4EB8-8AAF-790769E45F74}"/>
    <cellStyle name="Normal 7 6 6 9" xfId="7251" xr:uid="{BCFA341F-BBF9-4B76-8716-B250CFC70BA2}"/>
    <cellStyle name="Normal 7 6 6 9 2" xfId="17631" xr:uid="{4A490468-A8E8-4FE8-9B9B-7E76C4A83845}"/>
    <cellStyle name="Normal 7 6 7" xfId="1509" xr:uid="{00000000-0005-0000-0000-0000BE070000}"/>
    <cellStyle name="Normal 7 6 7 10" xfId="12649" xr:uid="{6613BBB2-E1A1-4A0A-B1C4-F1A50DD76820}"/>
    <cellStyle name="Normal 7 6 7 2" xfId="1510" xr:uid="{00000000-0005-0000-0000-0000BF070000}"/>
    <cellStyle name="Normal 7 6 7 2 2" xfId="3003" xr:uid="{00000000-0005-0000-0000-00002D090000}"/>
    <cellStyle name="Normal 7 6 7 2 2 2" xfId="6152" xr:uid="{080ABE97-B2E2-4E61-8652-1A37699BBBF3}"/>
    <cellStyle name="Normal 7 6 7 2 2 2 2" xfId="27714" xr:uid="{27DD2297-39A5-4C35-A642-8D66ED12C58C}"/>
    <cellStyle name="Normal 7 6 7 2 2 2 3" xfId="28216" xr:uid="{6F8031B1-E034-4FD5-9844-F89DC6F10E87}"/>
    <cellStyle name="Normal 7 6 7 2 2 2 4" xfId="15630" xr:uid="{EFBAB4C5-27F5-4952-8540-ABD00479F2B5}"/>
    <cellStyle name="Normal 7 6 7 2 2 3" xfId="8083" xr:uid="{F1B62941-20EB-4DE6-8854-23C934EA88B7}"/>
    <cellStyle name="Normal 7 6 7 2 2 3 2" xfId="28773" xr:uid="{C802CC61-F50C-4C41-8073-E79A2A6DE01B}"/>
    <cellStyle name="Normal 7 6 7 2 2 3 3" xfId="18463" xr:uid="{192526C5-1B6C-409F-B402-201E9EAE43F4}"/>
    <cellStyle name="Normal 7 6 7 2 2 4" xfId="10916" xr:uid="{A810FF71-D6A1-4B30-B447-46D407037906}"/>
    <cellStyle name="Normal 7 6 7 2 2 4 2" xfId="21296" xr:uid="{EF98612A-D2AC-459E-AB5E-66F8C3EB41D6}"/>
    <cellStyle name="Normal 7 6 7 2 2 5" xfId="22732" xr:uid="{BDD1352B-9AF1-4EB1-839C-479DBC5D6CF0}"/>
    <cellStyle name="Normal 7 6 7 2 2 6" xfId="13505" xr:uid="{B40B867E-575C-48C2-96E2-8087B463203C}"/>
    <cellStyle name="Normal 7 6 7 2 3" xfId="5508" xr:uid="{0D1C3F98-7444-4796-9719-7935A150882F}"/>
    <cellStyle name="Normal 7 6 7 2 3 2" xfId="23507" xr:uid="{4B0EDB46-F5A1-417D-AA76-5E18DB7A653B}"/>
    <cellStyle name="Normal 7 6 7 2 3 3" xfId="26811" xr:uid="{A7DBD1A4-A307-40D4-A554-9B49C072DE4B}"/>
    <cellStyle name="Normal 7 6 7 2 3 4" xfId="14804" xr:uid="{6D8CDFE8-C924-40F1-BF4F-87F16F5C7BAF}"/>
    <cellStyle name="Normal 7 6 7 2 4" xfId="7257" xr:uid="{7B4AD736-9165-47FF-8869-95C08FC07855}"/>
    <cellStyle name="Normal 7 6 7 2 4 2" xfId="28089" xr:uid="{272CA894-78E3-437B-854F-B62209FDCA6A}"/>
    <cellStyle name="Normal 7 6 7 2 4 3" xfId="27580" xr:uid="{9381158D-9526-44F0-A16B-A01CC9FE2035}"/>
    <cellStyle name="Normal 7 6 7 2 4 4" xfId="17637" xr:uid="{4AB6D8D8-6B86-4136-BCAD-100867AD5B06}"/>
    <cellStyle name="Normal 7 6 7 2 5" xfId="10090" xr:uid="{5D942458-53FB-4B9E-9596-47BAB7BE0CC8}"/>
    <cellStyle name="Normal 7 6 7 2 5 2" xfId="29472" xr:uid="{E10E9DCB-37C1-4BED-B673-516D0B36DA47}"/>
    <cellStyle name="Normal 7 6 7 2 5 3" xfId="20470" xr:uid="{8CF82372-2F7F-460E-8D13-DE3A3C7EE63E}"/>
    <cellStyle name="Normal 7 6 7 2 6" xfId="24366" xr:uid="{F7B5B9B8-0479-469B-B68B-99E0D8F6747A}"/>
    <cellStyle name="Normal 7 6 7 2 7" xfId="12807" xr:uid="{8E4EE383-B604-480E-BBF7-9D69D7A8B6A6}"/>
    <cellStyle name="Normal 7 6 7 3" xfId="1511" xr:uid="{00000000-0005-0000-0000-0000C0070000}"/>
    <cellStyle name="Normal 7 6 7 3 2" xfId="5509" xr:uid="{34F986F0-B558-46D8-92F7-4FB60422883D}"/>
    <cellStyle name="Normal 7 6 7 3 2 2" xfId="28509" xr:uid="{409834E1-969F-4E1F-9261-1088BCA14ED7}"/>
    <cellStyle name="Normal 7 6 7 3 2 3" xfId="26982" xr:uid="{5045E64F-960D-4A8E-BC82-D7ABA7EF7E8E}"/>
    <cellStyle name="Normal 7 6 7 3 2 4" xfId="14805" xr:uid="{739C2D90-EC90-404C-BA85-EC612F0D9090}"/>
    <cellStyle name="Normal 7 6 7 3 3" xfId="7258" xr:uid="{14C9598E-269D-4F8B-8BB0-669E07821B82}"/>
    <cellStyle name="Normal 7 6 7 3 3 2" xfId="26877" xr:uid="{4BB77D7B-DE4F-4C44-A3AE-A9B7983EA802}"/>
    <cellStyle name="Normal 7 6 7 3 3 3" xfId="27975" xr:uid="{F7BB6B8E-073F-4937-85E9-F14842BDE935}"/>
    <cellStyle name="Normal 7 6 7 3 3 4" xfId="17638" xr:uid="{9D70DA91-48F7-4CD0-9518-4D629D7B8D35}"/>
    <cellStyle name="Normal 7 6 7 3 4" xfId="10091" xr:uid="{136BE510-F66E-4D9E-AF0B-D21EEA11AD1F}"/>
    <cellStyle name="Normal 7 6 7 3 4 2" xfId="29473" xr:uid="{C620F071-D9C4-44CC-8F65-4810C8762C5A}"/>
    <cellStyle name="Normal 7 6 7 3 4 3" xfId="20471" xr:uid="{2E6C462F-8B17-467B-992A-2AFF6727BFD9}"/>
    <cellStyle name="Normal 7 6 7 3 5" xfId="22721" xr:uid="{9EADBDAF-129B-48A4-B542-9DBCA21F384E}"/>
    <cellStyle name="Normal 7 6 7 3 6" xfId="13332" xr:uid="{4C52449C-8F2A-4028-A5A3-3704AF93FD5B}"/>
    <cellStyle name="Normal 7 6 7 4" xfId="2415" xr:uid="{00000000-0005-0000-0000-00002B090000}"/>
    <cellStyle name="Normal 7 6 7 4 2" xfId="7542" xr:uid="{08EB01D6-AB8E-4775-A28B-1EAF80F723E8}"/>
    <cellStyle name="Normal 7 6 7 4 2 2" xfId="28436" xr:uid="{96CDC6F0-1E1B-4294-95F6-6B4B18CFCCA2}"/>
    <cellStyle name="Normal 7 6 7 4 2 3" xfId="17922" xr:uid="{B996FC26-B713-4B53-919A-06E3B34AA916}"/>
    <cellStyle name="Normal 7 6 7 4 3" xfId="10375" xr:uid="{C82718F1-4981-4C5B-8D4B-47DEC2D44FA2}"/>
    <cellStyle name="Normal 7 6 7 4 3 2" xfId="20755" xr:uid="{33A6C9FE-E2BB-4FE8-A69E-B999139845C0}"/>
    <cellStyle name="Normal 7 6 7 4 4" xfId="23925" xr:uid="{8962E17B-97F8-422A-A065-8D564CAC16D7}"/>
    <cellStyle name="Normal 7 6 7 4 5" xfId="15089" xr:uid="{801BA0D2-29DD-457B-A574-172CF5D56217}"/>
    <cellStyle name="Normal 7 6 7 5" xfId="4088" xr:uid="{5447E32B-0A0F-40AE-B370-2B5373924D12}"/>
    <cellStyle name="Normal 7 6 7 5 2" xfId="8865" xr:uid="{4DD92BC6-9875-4460-9CFF-95B3697BAE4B}"/>
    <cellStyle name="Normal 7 6 7 5 2 2" xfId="28999" xr:uid="{2B955F8C-32A2-49D6-BD12-923BA7BE86AD}"/>
    <cellStyle name="Normal 7 6 7 5 2 3" xfId="19245" xr:uid="{339F6D67-D6EB-4190-A170-28821FB76135}"/>
    <cellStyle name="Normal 7 6 7 5 3" xfId="11698" xr:uid="{F50B4B69-54DE-4CA3-8803-277F5240FACE}"/>
    <cellStyle name="Normal 7 6 7 5 3 2" xfId="22078" xr:uid="{4AEA814F-AA9D-4EBF-BD8A-3ADC1E179C3F}"/>
    <cellStyle name="Normal 7 6 7 5 4" xfId="24985" xr:uid="{651AFEB9-E3F7-485D-9E17-42CBD082B1A7}"/>
    <cellStyle name="Normal 7 6 7 5 5" xfId="16412" xr:uid="{5240F479-5ADC-4124-99F2-2DF6F521B8DC}"/>
    <cellStyle name="Normal 7 6 7 6" xfId="5507" xr:uid="{7D013370-A388-4364-BB0A-927C952754BD}"/>
    <cellStyle name="Normal 7 6 7 6 2" xfId="28187" xr:uid="{27220882-AE72-42F7-9892-2AA2D872B6D2}"/>
    <cellStyle name="Normal 7 6 7 6 3" xfId="26097" xr:uid="{B8C32442-4CEC-40FB-826C-CAF41DCA68B8}"/>
    <cellStyle name="Normal 7 6 7 6 4" xfId="14803" xr:uid="{F3ACB335-189C-4282-8A6E-887CA1DA89CE}"/>
    <cellStyle name="Normal 7 6 7 7" xfId="7256" xr:uid="{9A0C3AF1-1982-425A-A7D2-2271FF6BE6FC}"/>
    <cellStyle name="Normal 7 6 7 7 2" xfId="25968" xr:uid="{DB732E0C-CE5D-46CF-8221-5040249B02DE}"/>
    <cellStyle name="Normal 7 6 7 7 3" xfId="17636" xr:uid="{8BA47303-40CB-4C40-85AD-3D9AF7C28189}"/>
    <cellStyle name="Normal 7 6 7 8" xfId="10089" xr:uid="{761919A9-7EFF-4657-BDAA-1C96AFE884F4}"/>
    <cellStyle name="Normal 7 6 7 8 2" xfId="20469" xr:uid="{11FFC442-1C67-45F5-A45D-85E4A1F393F1}"/>
    <cellStyle name="Normal 7 6 7 9" xfId="23150" xr:uid="{5BF4DAFD-94AD-489C-A856-6462CEAE81AE}"/>
    <cellStyle name="Normal 7 6 8" xfId="1512" xr:uid="{00000000-0005-0000-0000-0000C1070000}"/>
    <cellStyle name="Normal 7 6 8 10" xfId="12650" xr:uid="{554EF0C8-2CAF-4171-8C8E-D3D4A4494C79}"/>
    <cellStyle name="Normal 7 6 8 2" xfId="1513" xr:uid="{00000000-0005-0000-0000-0000C2070000}"/>
    <cellStyle name="Normal 7 6 8 2 2" xfId="3004" xr:uid="{00000000-0005-0000-0000-000031090000}"/>
    <cellStyle name="Normal 7 6 8 2 2 2" xfId="6153" xr:uid="{CC140979-0A8B-4FC7-A6E0-1DA3F65E100B}"/>
    <cellStyle name="Normal 7 6 8 2 2 2 2" xfId="27239" xr:uid="{1F315FCD-6B19-4D94-8E5D-3756A45B62F6}"/>
    <cellStyle name="Normal 7 6 8 2 2 2 3" xfId="27516" xr:uid="{2DEB4296-D487-454C-93AA-17F127C0E66A}"/>
    <cellStyle name="Normal 7 6 8 2 2 2 4" xfId="15631" xr:uid="{205D61BA-E6B1-40F9-B3D7-75B50B0AAF82}"/>
    <cellStyle name="Normal 7 6 8 2 2 3" xfId="8084" xr:uid="{826BCC74-F38F-4FEC-A952-AC965578CD6B}"/>
    <cellStyle name="Normal 7 6 8 2 2 3 2" xfId="28774" xr:uid="{656A6E39-2F70-452E-9E11-6A870201D508}"/>
    <cellStyle name="Normal 7 6 8 2 2 3 3" xfId="18464" xr:uid="{17E9700F-9E8B-40A8-BDD6-D59C4AFEF4C9}"/>
    <cellStyle name="Normal 7 6 8 2 2 4" xfId="10917" xr:uid="{5784923F-C5DA-4ED9-96C9-C9E735129722}"/>
    <cellStyle name="Normal 7 6 8 2 2 4 2" xfId="21297" xr:uid="{E094762C-B45A-4663-BAA3-BF7302EC2FD6}"/>
    <cellStyle name="Normal 7 6 8 2 2 5" xfId="24590" xr:uid="{B7D3F56C-7CBC-40E0-8725-AD3257430DA5}"/>
    <cellStyle name="Normal 7 6 8 2 2 6" xfId="13506" xr:uid="{817E433A-E7F3-491F-83E8-97ED8CB429A3}"/>
    <cellStyle name="Normal 7 6 8 2 3" xfId="5511" xr:uid="{52CF00B2-7171-4170-A4FE-F6A5EE947A9D}"/>
    <cellStyle name="Normal 7 6 8 2 3 2" xfId="25044" xr:uid="{DC7F0F18-D9DC-47CB-BA79-F5EB7F822477}"/>
    <cellStyle name="Normal 7 6 8 2 3 3" xfId="27052" xr:uid="{A7714589-F090-46F3-9ABF-D91F8E2BAFD3}"/>
    <cellStyle name="Normal 7 6 8 2 3 4" xfId="14807" xr:uid="{62FC836F-55EE-49EC-A952-822D62A01DDC}"/>
    <cellStyle name="Normal 7 6 8 2 4" xfId="7260" xr:uid="{CD7CFFB2-EE8E-4FEC-B5F5-93CCF6AC1410}"/>
    <cellStyle name="Normal 7 6 8 2 4 2" xfId="27802" xr:uid="{72607EB8-5B14-491F-90F5-7C9C14E39708}"/>
    <cellStyle name="Normal 7 6 8 2 4 3" xfId="26951" xr:uid="{33E49809-0D74-482A-B4ED-F288A9708BA5}"/>
    <cellStyle name="Normal 7 6 8 2 4 4" xfId="17640" xr:uid="{9FC55906-7CB2-4561-8C40-99CC00785CB7}"/>
    <cellStyle name="Normal 7 6 8 2 5" xfId="10093" xr:uid="{789D05B8-2E3D-4ECC-A80D-2993A33489FB}"/>
    <cellStyle name="Normal 7 6 8 2 5 2" xfId="29474" xr:uid="{667EB77B-1A80-4318-AD74-42920ADC3936}"/>
    <cellStyle name="Normal 7 6 8 2 5 3" xfId="20473" xr:uid="{F5E30A7E-E2DF-4D4B-B6B6-CB117F302806}"/>
    <cellStyle name="Normal 7 6 8 2 6" xfId="25133" xr:uid="{9A77F4ED-6C9E-4E29-BFBB-3F66EA865EB2}"/>
    <cellStyle name="Normal 7 6 8 2 7" xfId="12808" xr:uid="{B7D3FC20-7E19-4C7C-84AB-95CECF16A3AC}"/>
    <cellStyle name="Normal 7 6 8 3" xfId="1514" xr:uid="{00000000-0005-0000-0000-0000C3070000}"/>
    <cellStyle name="Normal 7 6 8 3 2" xfId="5512" xr:uid="{B72048B6-0134-4663-BD71-836DDABD42ED}"/>
    <cellStyle name="Normal 7 6 8 3 2 2" xfId="26432" xr:uid="{D360AD84-AB31-47D4-9B09-6CC34916B15E}"/>
    <cellStyle name="Normal 7 6 8 3 2 3" xfId="27465" xr:uid="{966EDC14-457F-4731-9E9E-9A7D295841F5}"/>
    <cellStyle name="Normal 7 6 8 3 2 4" xfId="14808" xr:uid="{4A3FC10F-15B4-4416-90A8-97C0218A902C}"/>
    <cellStyle name="Normal 7 6 8 3 3" xfId="7261" xr:uid="{DD2F54F9-01EF-41D5-8D71-BAEA5EB97AB2}"/>
    <cellStyle name="Normal 7 6 8 3 3 2" xfId="28732" xr:uid="{61D759C3-F0AF-4F79-8D32-4CD39E251A9F}"/>
    <cellStyle name="Normal 7 6 8 3 3 3" xfId="27144" xr:uid="{6079D208-AA83-4A3C-9F0C-DA77242C1108}"/>
    <cellStyle name="Normal 7 6 8 3 3 4" xfId="17641" xr:uid="{12C583DD-6D8F-43DD-81FA-89F597737CEB}"/>
    <cellStyle name="Normal 7 6 8 3 4" xfId="10094" xr:uid="{C6049051-5F2D-4558-9F0E-33787B49DD90}"/>
    <cellStyle name="Normal 7 6 8 3 4 2" xfId="29475" xr:uid="{C3490728-ADAD-44F7-9697-9906C012B277}"/>
    <cellStyle name="Normal 7 6 8 3 4 3" xfId="20474" xr:uid="{A75AB428-9466-42F3-B9BB-2CC6E5C59975}"/>
    <cellStyle name="Normal 7 6 8 3 5" xfId="22980" xr:uid="{F6DBF923-C9F4-4D49-9494-65B04710DE73}"/>
    <cellStyle name="Normal 7 6 8 3 6" xfId="13333" xr:uid="{1369D01F-A10E-49C7-82AB-9D1E5C89697F}"/>
    <cellStyle name="Normal 7 6 8 4" xfId="2416" xr:uid="{00000000-0005-0000-0000-00002F090000}"/>
    <cellStyle name="Normal 7 6 8 4 2" xfId="7543" xr:uid="{C11B5D9B-82E1-4B2F-A1E0-57C0FAA092D5}"/>
    <cellStyle name="Normal 7 6 8 4 2 2" xfId="26462" xr:uid="{99F765B3-02EF-448A-A5DE-D643F9456262}"/>
    <cellStyle name="Normal 7 6 8 4 2 3" xfId="17923" xr:uid="{5D816BAD-016A-4946-9938-937901AC8CE7}"/>
    <cellStyle name="Normal 7 6 8 4 3" xfId="10376" xr:uid="{2F18354F-5E69-4AA1-9CAE-C436E194D724}"/>
    <cellStyle name="Normal 7 6 8 4 3 2" xfId="20756" xr:uid="{69FD87EF-4DC7-4390-B4C4-2BFBBEBCC2CF}"/>
    <cellStyle name="Normal 7 6 8 4 4" xfId="24814" xr:uid="{604949DB-AF2B-489E-ADD6-7C677EF3D0E1}"/>
    <cellStyle name="Normal 7 6 8 4 5" xfId="15090" xr:uid="{5DED99FE-B5E4-4BD5-99B2-F71871C767A3}"/>
    <cellStyle name="Normal 7 6 8 5" xfId="4089" xr:uid="{D9041D1F-885D-434D-AAE9-9E4554E7130B}"/>
    <cellStyle name="Normal 7 6 8 5 2" xfId="8866" xr:uid="{227165F0-0C24-47CF-B5D0-CBC412E44D02}"/>
    <cellStyle name="Normal 7 6 8 5 2 2" xfId="29000" xr:uid="{E80C4487-2BB7-4CB7-86BD-0A5C32B56ADA}"/>
    <cellStyle name="Normal 7 6 8 5 2 3" xfId="19246" xr:uid="{0DACE2F1-CE37-44B0-A659-77EB73846BBE}"/>
    <cellStyle name="Normal 7 6 8 5 3" xfId="11699" xr:uid="{D90B6D2A-7125-4880-909F-BEC13BECF37D}"/>
    <cellStyle name="Normal 7 6 8 5 3 2" xfId="22079" xr:uid="{B07C2314-2E84-479C-95B7-AD9FAFB85B34}"/>
    <cellStyle name="Normal 7 6 8 5 4" xfId="22813" xr:uid="{62FF5670-8968-49EF-B138-03D58E0DC197}"/>
    <cellStyle name="Normal 7 6 8 5 5" xfId="16413" xr:uid="{D25DEB90-37FF-49D3-91CF-BEBF5CF42DB4}"/>
    <cellStyle name="Normal 7 6 8 6" xfId="5510" xr:uid="{158CAD52-D7BF-4F02-8F11-03D9841D0936}"/>
    <cellStyle name="Normal 7 6 8 6 2" xfId="27231" xr:uid="{C56D41CB-4D33-4319-B9D1-37B83C6813E8}"/>
    <cellStyle name="Normal 7 6 8 6 3" xfId="28506" xr:uid="{9A3C800A-03FC-41E2-9A02-1689263DA470}"/>
    <cellStyle name="Normal 7 6 8 6 4" xfId="14806" xr:uid="{7DE166AB-36BD-4CEF-B846-4F5428411E67}"/>
    <cellStyle name="Normal 7 6 8 7" xfId="7259" xr:uid="{6D67B509-3936-48F8-B3E7-C1597928E3DF}"/>
    <cellStyle name="Normal 7 6 8 7 2" xfId="26353" xr:uid="{14C69467-F8F7-4C34-9E1B-82A31847E70A}"/>
    <cellStyle name="Normal 7 6 8 7 3" xfId="17639" xr:uid="{E57FAD4F-7EDC-4D4A-85AE-C8312005B7E4}"/>
    <cellStyle name="Normal 7 6 8 8" xfId="10092" xr:uid="{81DB28D6-C3A6-426F-97FC-0A0E81209779}"/>
    <cellStyle name="Normal 7 6 8 8 2" xfId="20472" xr:uid="{5D1CE01E-DF35-4B11-8062-5C3761B2B427}"/>
    <cellStyle name="Normal 7 6 8 9" xfId="25388" xr:uid="{B3F5AD1B-E2A5-4545-A3E7-526CFA7A2F0B}"/>
    <cellStyle name="Normal 7 6 9" xfId="1515" xr:uid="{00000000-0005-0000-0000-0000C4070000}"/>
    <cellStyle name="Normal 7 6 9 2" xfId="30417" xr:uid="{AB45C2D4-D1A5-4191-A2B5-6B3B04A57500}"/>
    <cellStyle name="Normal 7 6 9 3" xfId="30418" xr:uid="{878EED05-4C5D-4667-BCA2-DAD249232A25}"/>
    <cellStyle name="Normal 7 6 9 3 2" xfId="30571" xr:uid="{1BBA716F-322A-443F-9F1C-34B4B91E48F1}"/>
    <cellStyle name="Normal 7 6 9 3 2 2" xfId="30610" xr:uid="{4BD1B694-F951-4017-95A9-FF534FEB7058}"/>
    <cellStyle name="Normal 7 6 9 3 2 3" xfId="30629" xr:uid="{D926D891-B7C7-4693-8B9F-A282844D3DAF}"/>
    <cellStyle name="Normal 7 6 9 3 2 4" xfId="30936" xr:uid="{D974361E-AECE-4B32-BC25-92B53BFBEF24}"/>
    <cellStyle name="Normal 7 6 9 3 3" xfId="30597" xr:uid="{1CB22FE2-C93E-4B7A-9F83-F05BC42F8988}"/>
    <cellStyle name="Normal 7 6 9 3 3 2" xfId="30638" xr:uid="{0E85BEEA-8502-4FB9-9D7B-9B39FC6894C4}"/>
    <cellStyle name="Normal 7 6 9 3 3 3" xfId="30949" xr:uid="{10A0B2B1-C014-460B-B97B-1F8715293478}"/>
    <cellStyle name="Normal 7 6 9 3 4" xfId="30626" xr:uid="{D5B2EEA1-BA41-4ECF-8645-DC7FCB362E6F}"/>
    <cellStyle name="Normal 7 6 9 3 5" xfId="30924" xr:uid="{59272B79-6782-498A-A565-B27F383EE7E8}"/>
    <cellStyle name="Normal 7 6 9 4" xfId="30574" xr:uid="{AF443EFD-BF75-488F-8C96-3A07A286175C}"/>
    <cellStyle name="Normal 7 6 9 4 2" xfId="30613" xr:uid="{93E0A71D-1FCA-4C1A-8893-2D82F9B7C858}"/>
    <cellStyle name="Normal 7 6 9 4 3" xfId="30632" xr:uid="{32F1BC2F-10D3-4E71-AD07-986C280704B2}"/>
    <cellStyle name="Normal 7 6 9 4 4" xfId="30940" xr:uid="{D4C2894F-E69E-46C0-825F-9DFEC6921BF8}"/>
    <cellStyle name="Normal 7 7" xfId="1516" xr:uid="{00000000-0005-0000-0000-0000C5070000}"/>
    <cellStyle name="Normal 7 7 10" xfId="5513" xr:uid="{B65931B3-EFA4-461D-A169-E0EDDDD36F2D}"/>
    <cellStyle name="Normal 7 7 10 2" xfId="14809" xr:uid="{0644F959-A9B9-428F-B781-384083067488}"/>
    <cellStyle name="Normal 7 7 11" xfId="7262" xr:uid="{F781D481-6E98-44FC-931A-7A16F23FEF0F}"/>
    <cellStyle name="Normal 7 7 11 2" xfId="17642" xr:uid="{882EE3F5-913E-4D35-BF8A-106AC651D1DB}"/>
    <cellStyle name="Normal 7 7 12" xfId="10095" xr:uid="{0A216596-F8DE-459F-BF6E-75A6C3E8BDD6}"/>
    <cellStyle name="Normal 7 7 12 2" xfId="20475" xr:uid="{8091C60B-559A-4150-8F18-7605712FBE1A}"/>
    <cellStyle name="Normal 7 7 13" xfId="24127" xr:uid="{76ABBC37-BB4A-4EAE-8FEE-A63D322C2D72}"/>
    <cellStyle name="Normal 7 7 14" xfId="12417" xr:uid="{A1FE8148-2A66-4DAD-8241-526212D23733}"/>
    <cellStyle name="Normal 7 7 2" xfId="1517" xr:uid="{00000000-0005-0000-0000-0000C6070000}"/>
    <cellStyle name="Normal 7 7 2 10" xfId="7263" xr:uid="{5725BABE-2C86-4433-A52E-0A0E203CEAA2}"/>
    <cellStyle name="Normal 7 7 2 10 2" xfId="17643" xr:uid="{2CF5C8C6-EF94-41E7-AE84-942A241CE748}"/>
    <cellStyle name="Normal 7 7 2 11" xfId="10096" xr:uid="{503BA08A-61CD-4257-80A0-F8CED33380E4}"/>
    <cellStyle name="Normal 7 7 2 11 2" xfId="20476" xr:uid="{1CE5763B-B8A7-4049-AAB9-D0EFD31794BE}"/>
    <cellStyle name="Normal 7 7 2 12" xfId="23662" xr:uid="{203F4F39-A45F-4E4A-BC0F-0D7F44832D20}"/>
    <cellStyle name="Normal 7 7 2 13" xfId="12477" xr:uid="{FE7C9CD0-B5EC-4C63-98D6-58344E375680}"/>
    <cellStyle name="Normal 7 7 2 2" xfId="1518" xr:uid="{00000000-0005-0000-0000-0000C7070000}"/>
    <cellStyle name="Normal 7 7 2 2 10" xfId="13042" xr:uid="{68D862B1-D3A2-4966-8087-882C6E650677}"/>
    <cellStyle name="Normal 7 7 2 2 2" xfId="2852" xr:uid="{00000000-0005-0000-0000-000037090000}"/>
    <cellStyle name="Normal 7 7 2 2 2 2" xfId="3503" xr:uid="{00000000-0005-0000-0000-000038090000}"/>
    <cellStyle name="Normal 7 7 2 2 2 2 2" xfId="6555" xr:uid="{8A7F56BB-97F8-43CC-8A61-6B07154BC05C}"/>
    <cellStyle name="Normal 7 7 2 2 2 2 2 2" xfId="28595" xr:uid="{97BDA337-4F9D-4FD6-A3AC-7B1075FE8142}"/>
    <cellStyle name="Normal 7 7 2 2 2 2 2 3" xfId="16128" xr:uid="{749F2506-1275-4FE1-9B3C-CDBBA18209C4}"/>
    <cellStyle name="Normal 7 7 2 2 2 2 3" xfId="8581" xr:uid="{A27FDD61-B51F-4FF3-A34D-50C81E058EA0}"/>
    <cellStyle name="Normal 7 7 2 2 2 2 3 2" xfId="18961" xr:uid="{070E0826-5C0A-4EAC-A5D5-B9B8AE0D3F26}"/>
    <cellStyle name="Normal 7 7 2 2 2 2 4" xfId="11414" xr:uid="{AD85F889-70BF-4B6F-86E2-4CAF020A8D65}"/>
    <cellStyle name="Normal 7 7 2 2 2 2 4 2" xfId="21794" xr:uid="{666F27A8-083A-41CF-B434-33B854BF45B3}"/>
    <cellStyle name="Normal 7 7 2 2 2 2 5" xfId="23129" xr:uid="{1544CB35-C14E-4597-954C-49812D8BC5E9}"/>
    <cellStyle name="Normal 7 7 2 2 2 2 6" xfId="14101" xr:uid="{39E9F013-8260-4ABF-8905-3CF26F0B8C49}"/>
    <cellStyle name="Normal 7 7 2 2 2 3" xfId="4381" xr:uid="{85F90BBB-79EA-478E-BDB4-7E8FEF344D4D}"/>
    <cellStyle name="Normal 7 7 2 2 2 3 2" xfId="9153" xr:uid="{38B64029-21D7-4897-BA77-1B347FF4F390}"/>
    <cellStyle name="Normal 7 7 2 2 2 3 2 2" xfId="29196" xr:uid="{06DD33A1-CE5A-4EB3-BCBC-B5C0CA49173F}"/>
    <cellStyle name="Normal 7 7 2 2 2 3 2 3" xfId="19533" xr:uid="{A598D3CF-E9CF-409E-8B97-CC87BF0FF12F}"/>
    <cellStyle name="Normal 7 7 2 2 2 3 3" xfId="11986" xr:uid="{D373C97D-45CF-4BEF-A073-82DDB7413D83}"/>
    <cellStyle name="Normal 7 7 2 2 2 3 3 2" xfId="22366" xr:uid="{BEC795A3-CE18-4BE7-BBEC-62059D814D08}"/>
    <cellStyle name="Normal 7 7 2 2 2 3 4" xfId="25311" xr:uid="{1D2493A3-FDCA-495A-A00D-9054AC1C4C25}"/>
    <cellStyle name="Normal 7 7 2 2 2 3 5" xfId="16700" xr:uid="{BA564E98-3E95-425F-9FA4-5844E35C1F0A}"/>
    <cellStyle name="Normal 7 7 2 2 2 4" xfId="6065" xr:uid="{4913AD3F-20F7-4BDA-9BB3-4CE0BCC21811}"/>
    <cellStyle name="Normal 7 7 2 2 2 4 2" xfId="27103" xr:uid="{8A02BD49-AC21-4A59-ABA4-8342BADB1107}"/>
    <cellStyle name="Normal 7 7 2 2 2 4 3" xfId="15521" xr:uid="{EDB941BA-97FF-4D0B-8BF8-E415CA77F7C7}"/>
    <cellStyle name="Normal 7 7 2 2 2 5" xfId="7974" xr:uid="{83DC090E-6FEF-4203-A51F-15D01AE05D3E}"/>
    <cellStyle name="Normal 7 7 2 2 2 5 2" xfId="18354" xr:uid="{2B273C8A-00DB-48EA-81A1-692E752B9199}"/>
    <cellStyle name="Normal 7 7 2 2 2 6" xfId="10807" xr:uid="{ECE1C341-1B68-4022-8AEA-999CFBB31D2C}"/>
    <cellStyle name="Normal 7 7 2 2 2 6 2" xfId="21187" xr:uid="{2C6C8BF7-8425-4C9F-9CE3-1FD679234A8B}"/>
    <cellStyle name="Normal 7 7 2 2 2 7" xfId="22809" xr:uid="{9745E6A6-F7C5-449A-A002-2EFF8514DA9F}"/>
    <cellStyle name="Normal 7 7 2 2 2 8" xfId="13336" xr:uid="{F701AE6D-CFB1-425D-8A6E-47148B9CE4F5}"/>
    <cellStyle name="Normal 7 7 2 2 3" xfId="3504" xr:uid="{00000000-0005-0000-0000-000039090000}"/>
    <cellStyle name="Normal 7 7 2 2 3 2" xfId="4611" xr:uid="{CE2BAE83-4160-4C93-BE4F-5776AB29D064}"/>
    <cellStyle name="Normal 7 7 2 2 3 2 2" xfId="9383" xr:uid="{611FFDF8-3421-4D2D-8B18-059E921A591E}"/>
    <cellStyle name="Normal 7 7 2 2 3 2 2 2" xfId="19763" xr:uid="{60986F51-A049-4B2D-98B9-635DA865E423}"/>
    <cellStyle name="Normal 7 7 2 2 3 2 3" xfId="12216" xr:uid="{B849224E-1C69-47F9-A9C3-81F3BDC81132}"/>
    <cellStyle name="Normal 7 7 2 2 3 2 3 2" xfId="22596" xr:uid="{9A475CEB-EAD1-42D7-A212-781A1D748227}"/>
    <cellStyle name="Normal 7 7 2 2 3 2 4" xfId="27484" xr:uid="{2695481F-4E16-4567-94BC-F425171C3220}"/>
    <cellStyle name="Normal 7 7 2 2 3 2 5" xfId="16930" xr:uid="{CFFD335A-CFC9-483B-9AA9-8A636E873DAD}"/>
    <cellStyle name="Normal 7 7 2 2 3 3" xfId="6556" xr:uid="{6A997E21-21D9-4D28-BB9F-EFF44D1DEC54}"/>
    <cellStyle name="Normal 7 7 2 2 3 3 2" xfId="16129" xr:uid="{98EA32EC-176A-4F2A-A1E5-AB0855E7FDF9}"/>
    <cellStyle name="Normal 7 7 2 2 3 4" xfId="8582" xr:uid="{A94759A3-7CAD-458E-AFD5-E11467111F6E}"/>
    <cellStyle name="Normal 7 7 2 2 3 4 2" xfId="18962" xr:uid="{F67D37A4-7FAD-4B31-817F-AD4EC7DD8553}"/>
    <cellStyle name="Normal 7 7 2 2 3 5" xfId="11415" xr:uid="{4FDF9CA4-E128-44DD-9D8E-A74EA72AE15C}"/>
    <cellStyle name="Normal 7 7 2 2 3 5 2" xfId="21795" xr:uid="{2124FE84-72A1-4CA6-9CBA-212E6C07F703}"/>
    <cellStyle name="Normal 7 7 2 2 3 6" xfId="25125" xr:uid="{CA259301-9E2C-45FF-8833-2E2A107B0C1C}"/>
    <cellStyle name="Normal 7 7 2 2 3 7" xfId="14102" xr:uid="{05C014A3-96AE-4AB2-AC0C-ECF1386EEE7D}"/>
    <cellStyle name="Normal 7 7 2 2 4" xfId="3502" xr:uid="{00000000-0005-0000-0000-00003A090000}"/>
    <cellStyle name="Normal 7 7 2 2 4 2" xfId="6554" xr:uid="{B95E6696-FDC6-4E21-8239-05764AEE9548}"/>
    <cellStyle name="Normal 7 7 2 2 4 2 2" xfId="28430" xr:uid="{06B56C5B-3707-41FB-BA0C-C9CA506A321E}"/>
    <cellStyle name="Normal 7 7 2 2 4 2 3" xfId="16127" xr:uid="{EC1CB896-F84C-4D63-9AA4-FA793E838C91}"/>
    <cellStyle name="Normal 7 7 2 2 4 3" xfId="8580" xr:uid="{195E87B3-5AA1-4A48-A601-AD26DCC7C1F0}"/>
    <cellStyle name="Normal 7 7 2 2 4 3 2" xfId="18960" xr:uid="{F962E145-9005-4470-9F8D-C8C2B973C01D}"/>
    <cellStyle name="Normal 7 7 2 2 4 4" xfId="11413" xr:uid="{DA19A551-FC06-42D2-8792-781DC09997D7}"/>
    <cellStyle name="Normal 7 7 2 2 4 4 2" xfId="21793" xr:uid="{8174A278-1E41-4832-A302-CBBAE22B57A2}"/>
    <cellStyle name="Normal 7 7 2 2 4 5" xfId="22770" xr:uid="{A0C9C968-AA72-45F4-9E8F-B6D3CF0D4FC2}"/>
    <cellStyle name="Normal 7 7 2 2 4 6" xfId="14100" xr:uid="{353CAE13-8D4C-46D6-9905-B586747E12DF}"/>
    <cellStyle name="Normal 7 7 2 2 5" xfId="4243" xr:uid="{02C7555F-C4FD-492B-8F94-B1D216A041FD}"/>
    <cellStyle name="Normal 7 7 2 2 5 2" xfId="9015" xr:uid="{7DF9B4B5-E7FA-41F8-B2DB-8E3BC72C2903}"/>
    <cellStyle name="Normal 7 7 2 2 5 2 2" xfId="29086" xr:uid="{BBB082D7-D16D-4803-ABDB-876E5E068720}"/>
    <cellStyle name="Normal 7 7 2 2 5 2 3" xfId="19395" xr:uid="{F570B7DD-221F-47C6-9633-EBAF1981BB43}"/>
    <cellStyle name="Normal 7 7 2 2 5 3" xfId="11848" xr:uid="{76711169-FECD-4892-B761-A9AFAFC415D1}"/>
    <cellStyle name="Normal 7 7 2 2 5 3 2" xfId="22228" xr:uid="{4BB2516E-AEFA-4EA7-A252-4C1E062D57F0}"/>
    <cellStyle name="Normal 7 7 2 2 5 4" xfId="24416" xr:uid="{170A7A7D-C5AD-4006-AFF0-83ABD7F0A9D6}"/>
    <cellStyle name="Normal 7 7 2 2 5 5" xfId="16562" xr:uid="{25434C06-C725-4848-8B23-7CB867832F3D}"/>
    <cellStyle name="Normal 7 7 2 2 6" xfId="5515" xr:uid="{EA6BF84F-EF85-44FD-B505-0BD2CD2D6439}"/>
    <cellStyle name="Normal 7 7 2 2 6 2" xfId="26752" xr:uid="{535669B0-D7BE-4815-953A-A0E07F2ECAA3}"/>
    <cellStyle name="Normal 7 7 2 2 6 3" xfId="14811" xr:uid="{4A8885DF-14D8-480D-ABE4-644DA944A0A4}"/>
    <cellStyle name="Normal 7 7 2 2 7" xfId="7264" xr:uid="{AA3516CF-9252-4C9E-9A3F-AAC0CBFA7F80}"/>
    <cellStyle name="Normal 7 7 2 2 7 2" xfId="17644" xr:uid="{7FFE5E33-05BA-4D50-A39E-539BBC0007B4}"/>
    <cellStyle name="Normal 7 7 2 2 8" xfId="10097" xr:uid="{334158FD-A5F5-4E42-A86B-BA8B0A40062D}"/>
    <cellStyle name="Normal 7 7 2 2 8 2" xfId="20477" xr:uid="{9DE1F241-217F-4C6A-9172-1BFCA0E5912A}"/>
    <cellStyle name="Normal 7 7 2 2 9" xfId="22729" xr:uid="{BB04A600-8A16-4C3E-9E6F-DC38BB302AC7}"/>
    <cellStyle name="Normal 7 7 2 3" xfId="2851" xr:uid="{00000000-0005-0000-0000-00003B090000}"/>
    <cellStyle name="Normal 7 7 2 3 2" xfId="3505" xr:uid="{00000000-0005-0000-0000-00003C090000}"/>
    <cellStyle name="Normal 7 7 2 3 2 2" xfId="6557" xr:uid="{74C32873-4400-4FDE-BE43-EBFF4EB983DA}"/>
    <cellStyle name="Normal 7 7 2 3 2 2 2" xfId="28233" xr:uid="{CC7EF20A-BAF7-4373-81C4-99490C3B13DD}"/>
    <cellStyle name="Normal 7 7 2 3 2 2 3" xfId="16130" xr:uid="{C8D02C5F-17F1-4725-9205-7E487E442A5B}"/>
    <cellStyle name="Normal 7 7 2 3 2 3" xfId="8583" xr:uid="{75B88EDC-E732-4C87-8875-B89974FECFEF}"/>
    <cellStyle name="Normal 7 7 2 3 2 3 2" xfId="18963" xr:uid="{47FD6994-A31C-4DA0-826F-BB8704FBEB0B}"/>
    <cellStyle name="Normal 7 7 2 3 2 4" xfId="11416" xr:uid="{360655D1-6344-4F6B-BF55-EE289793D602}"/>
    <cellStyle name="Normal 7 7 2 3 2 4 2" xfId="21796" xr:uid="{2C9FEAA2-CA1A-4DDB-B8E3-59DB57CAF968}"/>
    <cellStyle name="Normal 7 7 2 3 2 5" xfId="24328" xr:uid="{E303D694-140B-447F-A192-9E37FB506793}"/>
    <cellStyle name="Normal 7 7 2 3 2 6" xfId="14103" xr:uid="{D99ABD0F-A978-4142-958A-BDD5E38D9E01}"/>
    <cellStyle name="Normal 7 7 2 3 3" xfId="4380" xr:uid="{11705BEB-5E02-4E11-AB5F-7A28B705A6EB}"/>
    <cellStyle name="Normal 7 7 2 3 3 2" xfId="9152" xr:uid="{DC88A757-CBE9-4871-98FB-470EF2AF4483}"/>
    <cellStyle name="Normal 7 7 2 3 3 2 2" xfId="29195" xr:uid="{CE364987-8BB2-408D-A423-FE4299C75767}"/>
    <cellStyle name="Normal 7 7 2 3 3 2 3" xfId="19532" xr:uid="{D6DF9143-5493-4087-869E-2B14BCB446BF}"/>
    <cellStyle name="Normal 7 7 2 3 3 3" xfId="11985" xr:uid="{441CD3BF-032E-462C-8A92-46A68399F7E4}"/>
    <cellStyle name="Normal 7 7 2 3 3 3 2" xfId="22365" xr:uid="{767C7C25-FFA2-4DD6-B662-D9ECA62A27F9}"/>
    <cellStyle name="Normal 7 7 2 3 3 4" xfId="23600" xr:uid="{6C98C5C0-C0B6-48E1-9DC3-5C7AFA9B2A2C}"/>
    <cellStyle name="Normal 7 7 2 3 3 5" xfId="16699" xr:uid="{26064FA9-A3CF-49E6-A2AE-E6CFDEF805AB}"/>
    <cellStyle name="Normal 7 7 2 3 4" xfId="6064" xr:uid="{910300EE-64A3-4AA8-9876-D5905525DDE7}"/>
    <cellStyle name="Normal 7 7 2 3 4 2" xfId="27193" xr:uid="{D6837CDE-3448-4E7A-8B46-01FF125A9F72}"/>
    <cellStyle name="Normal 7 7 2 3 4 3" xfId="15520" xr:uid="{ECF19E94-8C03-4482-B0B9-EDF99F2F95F9}"/>
    <cellStyle name="Normal 7 7 2 3 5" xfId="7973" xr:uid="{8D198D18-1126-4592-9441-15F49CA4550B}"/>
    <cellStyle name="Normal 7 7 2 3 5 2" xfId="18353" xr:uid="{4BB0996E-FB10-4A95-A636-B4C9250FCC36}"/>
    <cellStyle name="Normal 7 7 2 3 6" xfId="10806" xr:uid="{8AE028EE-40DB-4E3F-B2AC-45A6795FA071}"/>
    <cellStyle name="Normal 7 7 2 3 6 2" xfId="21186" xr:uid="{442527F8-D175-426B-8BCF-89A0BDD12D2A}"/>
    <cellStyle name="Normal 7 7 2 3 7" xfId="23250" xr:uid="{FE9FFA83-38C0-434F-9212-EDB55AC66800}"/>
    <cellStyle name="Normal 7 7 2 3 8" xfId="13335" xr:uid="{2AB79A17-E891-4166-B5A1-3B7735F0A94E}"/>
    <cellStyle name="Normal 7 7 2 4" xfId="3506" xr:uid="{00000000-0005-0000-0000-00003D090000}"/>
    <cellStyle name="Normal 7 7 2 4 2" xfId="4612" xr:uid="{18CAA640-6556-42AE-8F98-37BA36952E4C}"/>
    <cellStyle name="Normal 7 7 2 4 2 2" xfId="9384" xr:uid="{F93D302A-ABD3-47F5-ABAC-118282B8BA8D}"/>
    <cellStyle name="Normal 7 7 2 4 2 2 2" xfId="19764" xr:uid="{3BAB0E7C-A9A2-4610-B07F-49103E3E2BFF}"/>
    <cellStyle name="Normal 7 7 2 4 2 3" xfId="12217" xr:uid="{0290D4EB-95E3-4800-B034-DE84BE33121E}"/>
    <cellStyle name="Normal 7 7 2 4 2 3 2" xfId="22597" xr:uid="{63B5A958-CD44-4AA4-8665-DFA2B6927A0F}"/>
    <cellStyle name="Normal 7 7 2 4 2 4" xfId="26735" xr:uid="{83471AB3-1BEA-47B6-A89A-DC88358E0FC5}"/>
    <cellStyle name="Normal 7 7 2 4 2 5" xfId="16931" xr:uid="{01CBAAEA-9B2E-4411-A2DF-09E44DB7863D}"/>
    <cellStyle name="Normal 7 7 2 4 3" xfId="6558" xr:uid="{2C4972A3-539A-4EEF-81DF-322B26E56178}"/>
    <cellStyle name="Normal 7 7 2 4 3 2" xfId="16131" xr:uid="{7F54276A-4DED-4EE8-B380-72562D86ADE1}"/>
    <cellStyle name="Normal 7 7 2 4 4" xfId="8584" xr:uid="{02F6784B-F759-42E7-B1D2-3BF47A98356E}"/>
    <cellStyle name="Normal 7 7 2 4 4 2" xfId="18964" xr:uid="{5394B1FA-B686-44C9-AB3D-FD4E8C76B3BF}"/>
    <cellStyle name="Normal 7 7 2 4 5" xfId="11417" xr:uid="{78A4CAEC-81D6-4084-A8BB-60CCFA5D6450}"/>
    <cellStyle name="Normal 7 7 2 4 5 2" xfId="21797" xr:uid="{FB44EFB1-93E2-4525-8CD0-5B3A0590DE40}"/>
    <cellStyle name="Normal 7 7 2 4 6" xfId="25477" xr:uid="{FC04CEE0-1EF2-49D9-B678-B5E49C2DCCC7}"/>
    <cellStyle name="Normal 7 7 2 4 7" xfId="14104" xr:uid="{2DF58188-7F74-40DC-81D6-0BE8F5911262}"/>
    <cellStyle name="Normal 7 7 2 5" xfId="3501" xr:uid="{00000000-0005-0000-0000-00003E090000}"/>
    <cellStyle name="Normal 7 7 2 5 2" xfId="6553" xr:uid="{744E8FEC-BB66-403F-9219-1A9096D30CA3}"/>
    <cellStyle name="Normal 7 7 2 5 2 2" xfId="27447" xr:uid="{4318EE14-9EA5-4287-A009-C15F27EE49EF}"/>
    <cellStyle name="Normal 7 7 2 5 2 3" xfId="16126" xr:uid="{7CDE6C64-659F-4DE3-BD73-7B8A01EE1139}"/>
    <cellStyle name="Normal 7 7 2 5 3" xfId="8579" xr:uid="{4F0CB3D6-4986-472E-916C-8026CE28F1AA}"/>
    <cellStyle name="Normal 7 7 2 5 3 2" xfId="18959" xr:uid="{4A82204B-4A83-43F6-A1E7-B1AC6F7EF695}"/>
    <cellStyle name="Normal 7 7 2 5 4" xfId="11412" xr:uid="{2A46D254-9B3E-4597-946D-E560017E6407}"/>
    <cellStyle name="Normal 7 7 2 5 4 2" xfId="21792" xr:uid="{A75CC807-F6BC-48DB-9BFC-9CBCF0E393EB}"/>
    <cellStyle name="Normal 7 7 2 5 5" xfId="23077" xr:uid="{38185F1E-9A85-4922-ACD6-988073C3BE36}"/>
    <cellStyle name="Normal 7 7 2 5 6" xfId="14099" xr:uid="{AD4F087C-6797-4F8B-BC18-D91177481C8F}"/>
    <cellStyle name="Normal 7 7 2 6" xfId="2551" xr:uid="{00000000-0005-0000-0000-00003F090000}"/>
    <cellStyle name="Normal 7 7 2 6 2" xfId="5823" xr:uid="{55FDA0E5-B7A5-4C7D-A6AE-4E27236F019B}"/>
    <cellStyle name="Normal 7 7 2 6 2 2" xfId="26760" xr:uid="{FF5A90EE-9ED1-4201-8BAA-0570895F5DFD}"/>
    <cellStyle name="Normal 7 7 2 6 2 3" xfId="15223" xr:uid="{A1833B6B-45CB-4E2E-A29F-F98B210BA2AC}"/>
    <cellStyle name="Normal 7 7 2 6 3" xfId="7676" xr:uid="{0C046EB4-3079-4CF8-9250-B840841387EF}"/>
    <cellStyle name="Normal 7 7 2 6 3 2" xfId="18056" xr:uid="{A1819B08-C3E9-4709-9A61-311CE1A80C26}"/>
    <cellStyle name="Normal 7 7 2 6 4" xfId="10509" xr:uid="{E135B376-9EE0-4910-850C-9FF8DEC2F005}"/>
    <cellStyle name="Normal 7 7 2 6 4 2" xfId="20889" xr:uid="{D478F345-D789-4531-974D-0DB27AF6DCEE}"/>
    <cellStyle name="Normal 7 7 2 6 5" xfId="22829" xr:uid="{F828551F-C002-41D8-91B3-2456343F7AB8}"/>
    <cellStyle name="Normal 7 7 2 6 6" xfId="12939" xr:uid="{6466CFE4-7C87-4F70-A313-C28E5FA435CD}"/>
    <cellStyle name="Normal 7 7 2 7" xfId="2245" xr:uid="{00000000-0005-0000-0000-000035090000}"/>
    <cellStyle name="Normal 7 7 2 7 2" xfId="7372" xr:uid="{C90A7C76-9FBA-4F49-B74D-620A284E05B2}"/>
    <cellStyle name="Normal 7 7 2 7 2 2" xfId="17752" xr:uid="{214AC6BA-9E2E-4049-869A-D296B8488A81}"/>
    <cellStyle name="Normal 7 7 2 7 3" xfId="10205" xr:uid="{222B8ACB-F360-48CC-9C41-5C5F6E216311}"/>
    <cellStyle name="Normal 7 7 2 7 3 2" xfId="20585" xr:uid="{8EBA7DCE-D183-4FAA-B2B3-C3CAC029ADDA}"/>
    <cellStyle name="Normal 7 7 2 7 4" xfId="25370" xr:uid="{A2861691-64ED-4C59-A9EB-142B63F50E5A}"/>
    <cellStyle name="Normal 7 7 2 7 5" xfId="14919" xr:uid="{933DB0ED-1D3B-4955-BC4C-3152E12FEF4D}"/>
    <cellStyle name="Normal 7 7 2 8" xfId="3798" xr:uid="{E5E400FB-C358-4E4D-B459-DD38D66E6E48}"/>
    <cellStyle name="Normal 7 7 2 8 2" xfId="8634" xr:uid="{9C5CA804-3A2C-4EA5-A190-E58CF3A306D5}"/>
    <cellStyle name="Normal 7 7 2 8 2 2" xfId="19014" xr:uid="{DE7F16E4-AA72-4DC9-8C67-2B6F6F4E7487}"/>
    <cellStyle name="Normal 7 7 2 8 3" xfId="11467" xr:uid="{5F8BF3F2-0546-426E-919A-D58EB0D5EC30}"/>
    <cellStyle name="Normal 7 7 2 8 3 2" xfId="21847" xr:uid="{18DD9CC4-9F3D-449B-974E-5EA1558F48CB}"/>
    <cellStyle name="Normal 7 7 2 8 4" xfId="16181" xr:uid="{1695695F-2464-41D6-AAB1-EFDD296FE4A2}"/>
    <cellStyle name="Normal 7 7 2 9" xfId="5514" xr:uid="{67402623-62A7-484C-BBBD-29B0747A30AE}"/>
    <cellStyle name="Normal 7 7 2 9 2" xfId="14810" xr:uid="{C623544B-77DF-432D-98B2-3EFA6A5FBC1B}"/>
    <cellStyle name="Normal 7 7 3" xfId="1519" xr:uid="{00000000-0005-0000-0000-0000C8070000}"/>
    <cellStyle name="Normal 7 7 3 10" xfId="10098" xr:uid="{E889C744-B608-43B5-BB3E-ACFE2A4C50EA}"/>
    <cellStyle name="Normal 7 7 3 10 2" xfId="20478" xr:uid="{8D285B90-6549-4EE6-AB9F-079A362A9800}"/>
    <cellStyle name="Normal 7 7 3 11" xfId="22641" xr:uid="{A5951408-860D-411A-BD5F-CA66E2B35D51}"/>
    <cellStyle name="Normal 7 7 3 12" xfId="12651" xr:uid="{03EE881B-1C63-4E95-9385-147D60493E94}"/>
    <cellStyle name="Normal 7 7 3 2" xfId="2853" xr:uid="{00000000-0005-0000-0000-000041090000}"/>
    <cellStyle name="Normal 7 7 3 2 2" xfId="3508" xr:uid="{00000000-0005-0000-0000-000042090000}"/>
    <cellStyle name="Normal 7 7 3 2 2 2" xfId="6560" xr:uid="{2C71E10F-77E2-480D-992A-F093AC9F1BCE}"/>
    <cellStyle name="Normal 7 7 3 2 2 2 2" xfId="25912" xr:uid="{98416AC1-7510-4ECC-8DB9-CA572F2882A9}"/>
    <cellStyle name="Normal 7 7 3 2 2 2 3" xfId="16133" xr:uid="{D062C442-F187-4EAD-91F9-D04044821CDA}"/>
    <cellStyle name="Normal 7 7 3 2 2 3" xfId="8586" xr:uid="{B7C43149-46D8-4831-A649-740A5B6F2BDD}"/>
    <cellStyle name="Normal 7 7 3 2 2 3 2" xfId="18966" xr:uid="{E547BB34-0BE3-4C17-8AF5-1E2A567BE5AB}"/>
    <cellStyle name="Normal 7 7 3 2 2 4" xfId="11419" xr:uid="{FF2A3025-8A1F-441D-ACE8-64BDE0D1135C}"/>
    <cellStyle name="Normal 7 7 3 2 2 4 2" xfId="21799" xr:uid="{EA46ECA1-2BDF-4F03-977D-5861686BFB7C}"/>
    <cellStyle name="Normal 7 7 3 2 2 5" xfId="24043" xr:uid="{DE9FD3CB-5AE4-43AC-BED0-8D042F99DAA2}"/>
    <cellStyle name="Normal 7 7 3 2 2 6" xfId="14106" xr:uid="{759737F0-C4A8-4FBA-82DF-065AEDEA5EAA}"/>
    <cellStyle name="Normal 7 7 3 2 3" xfId="4382" xr:uid="{3C28BC18-1B7B-43C7-8BF0-93A4A445BB24}"/>
    <cellStyle name="Normal 7 7 3 2 3 2" xfId="9154" xr:uid="{2D561BC2-362F-450B-825F-BA789CCF5760}"/>
    <cellStyle name="Normal 7 7 3 2 3 2 2" xfId="29197" xr:uid="{A0E574BF-9E24-48E1-A271-0DFCAA34FABA}"/>
    <cellStyle name="Normal 7 7 3 2 3 2 3" xfId="19534" xr:uid="{ED971030-3520-4518-A462-0354BF77764C}"/>
    <cellStyle name="Normal 7 7 3 2 3 3" xfId="11987" xr:uid="{89053BC3-BE6D-4BA1-A02E-7C814AAD062A}"/>
    <cellStyle name="Normal 7 7 3 2 3 3 2" xfId="22367" xr:uid="{8FB6A495-6AAC-4A79-958E-26038FB2225B}"/>
    <cellStyle name="Normal 7 7 3 2 3 4" xfId="24519" xr:uid="{DABB4DE9-D7AF-438F-B64E-5FCAFC4C9344}"/>
    <cellStyle name="Normal 7 7 3 2 3 5" xfId="16701" xr:uid="{EC4484C3-4297-406D-8770-5C9C01B586CD}"/>
    <cellStyle name="Normal 7 7 3 2 4" xfId="6066" xr:uid="{6D51BC33-05C7-4AA0-91CE-E2E28C585877}"/>
    <cellStyle name="Normal 7 7 3 2 4 2" xfId="27251" xr:uid="{B1C0F13B-5457-42CF-BF0D-1810B67828FE}"/>
    <cellStyle name="Normal 7 7 3 2 4 3" xfId="15522" xr:uid="{3A80E960-9A1C-4E96-93ED-B76F8CFDB768}"/>
    <cellStyle name="Normal 7 7 3 2 5" xfId="7975" xr:uid="{DC3F4607-8FBF-4229-ABF0-992CE51C53E7}"/>
    <cellStyle name="Normal 7 7 3 2 5 2" xfId="18355" xr:uid="{FBCE5760-87AC-4838-A3E6-27D17E88049E}"/>
    <cellStyle name="Normal 7 7 3 2 6" xfId="10808" xr:uid="{33977F88-70FF-460E-B122-E4355F19D071}"/>
    <cellStyle name="Normal 7 7 3 2 6 2" xfId="21188" xr:uid="{CF81CA87-9367-4294-9F2C-D29238041B5A}"/>
    <cellStyle name="Normal 7 7 3 2 7" xfId="24268" xr:uid="{227AD105-8158-4CA4-8393-6C398F7799EA}"/>
    <cellStyle name="Normal 7 7 3 2 8" xfId="13337" xr:uid="{8548A3FC-6708-4D3D-8F1C-19F3CF3BD883}"/>
    <cellStyle name="Normal 7 7 3 3" xfId="3509" xr:uid="{00000000-0005-0000-0000-000043090000}"/>
    <cellStyle name="Normal 7 7 3 3 2" xfId="4613" xr:uid="{89F2C6BD-23ED-462B-BE28-A288060C0DFC}"/>
    <cellStyle name="Normal 7 7 3 3 2 2" xfId="9385" xr:uid="{6BD16B65-C7FD-4472-AF20-AED7BF8EB114}"/>
    <cellStyle name="Normal 7 7 3 3 2 2 2" xfId="29351" xr:uid="{CE945988-CE41-416F-9389-6C5A28DBEFB9}"/>
    <cellStyle name="Normal 7 7 3 3 2 2 3" xfId="19765" xr:uid="{4871CDDE-717F-4676-912F-B3C6676B08B2}"/>
    <cellStyle name="Normal 7 7 3 3 2 3" xfId="12218" xr:uid="{D5B51F42-3B77-4B7B-B20B-0F6862F78B2B}"/>
    <cellStyle name="Normal 7 7 3 3 2 3 2" xfId="22598" xr:uid="{DF955F6C-3FD3-4721-8986-CBB2F531CE8D}"/>
    <cellStyle name="Normal 7 7 3 3 2 4" xfId="22967" xr:uid="{B54F08A6-E4F0-4C15-9364-FFD55D32FD72}"/>
    <cellStyle name="Normal 7 7 3 3 2 5" xfId="16932" xr:uid="{7ED0E923-34C2-470F-8D78-EEDED3F9E55E}"/>
    <cellStyle name="Normal 7 7 3 3 3" xfId="6561" xr:uid="{C11160E3-667A-4FC9-A89C-BF99B699CA8C}"/>
    <cellStyle name="Normal 7 7 3 3 3 2" xfId="27298" xr:uid="{0C310A5A-8FD1-44F7-98A7-2D659CAC8830}"/>
    <cellStyle name="Normal 7 7 3 3 3 3" xfId="16134" xr:uid="{0AAD95AE-B8C3-43CD-AF1F-1564868FFB79}"/>
    <cellStyle name="Normal 7 7 3 3 4" xfId="8587" xr:uid="{E6D5297D-ED60-439D-AD45-2F6585040639}"/>
    <cellStyle name="Normal 7 7 3 3 4 2" xfId="18967" xr:uid="{88B25C48-3C6A-49D7-9A4F-506E5F76E153}"/>
    <cellStyle name="Normal 7 7 3 3 5" xfId="11420" xr:uid="{1429B78B-9DFC-4CD1-A4F4-38C8711203FD}"/>
    <cellStyle name="Normal 7 7 3 3 5 2" xfId="21800" xr:uid="{DD683835-E77C-4AFC-AD20-495BB7C4E235}"/>
    <cellStyle name="Normal 7 7 3 3 6" xfId="24142" xr:uid="{93DCECB9-975E-42C3-9907-5E74D5D2E8DB}"/>
    <cellStyle name="Normal 7 7 3 3 7" xfId="14107" xr:uid="{C4399ED8-7591-46FE-B310-02CB5B65204B}"/>
    <cellStyle name="Normal 7 7 3 4" xfId="3507" xr:uid="{00000000-0005-0000-0000-000044090000}"/>
    <cellStyle name="Normal 7 7 3 4 2" xfId="6559" xr:uid="{1984D6E0-282E-4076-8C31-6CB41BBB2BAF}"/>
    <cellStyle name="Normal 7 7 3 4 2 2" xfId="28593" xr:uid="{390798B3-EDAD-47F5-8E0D-7DF5B23894E0}"/>
    <cellStyle name="Normal 7 7 3 4 2 3" xfId="16132" xr:uid="{A16C6FA9-2BC2-409C-9085-BDEFC89B3A64}"/>
    <cellStyle name="Normal 7 7 3 4 3" xfId="8585" xr:uid="{F71AF641-77A0-4621-B5FD-59ADB04C380B}"/>
    <cellStyle name="Normal 7 7 3 4 3 2" xfId="18965" xr:uid="{20B68CA9-8F1E-4ABA-B033-087AE22CDEA6}"/>
    <cellStyle name="Normal 7 7 3 4 4" xfId="11418" xr:uid="{51AB0A02-1BA8-4DC5-968C-E30C5C243333}"/>
    <cellStyle name="Normal 7 7 3 4 4 2" xfId="21798" xr:uid="{C679DD6D-B400-4C98-A3D8-7480E708AAA5}"/>
    <cellStyle name="Normal 7 7 3 4 5" xfId="25215" xr:uid="{0D2936A6-6A59-4AD1-A31C-86CF60E30A99}"/>
    <cellStyle name="Normal 7 7 3 4 6" xfId="14105" xr:uid="{FB82D7A7-6D4D-4CCD-9DC5-6079FA52C303}"/>
    <cellStyle name="Normal 7 7 3 5" xfId="2594" xr:uid="{00000000-0005-0000-0000-000045090000}"/>
    <cellStyle name="Normal 7 7 3 5 2" xfId="5859" xr:uid="{65C0C5E9-B5FE-4B00-BB73-6D05B81BECA7}"/>
    <cellStyle name="Normal 7 7 3 5 2 2" xfId="27495" xr:uid="{8976DB23-6182-4E09-BB4E-85FDB6028B0E}"/>
    <cellStyle name="Normal 7 7 3 5 2 3" xfId="15266" xr:uid="{68F632A7-3E9A-4977-ACA3-0D0FB789A307}"/>
    <cellStyle name="Normal 7 7 3 5 3" xfId="7719" xr:uid="{9503F60A-FB99-424D-8528-B8769E72E29A}"/>
    <cellStyle name="Normal 7 7 3 5 3 2" xfId="18099" xr:uid="{A4130C95-0520-48FA-8FC7-9EB54D98CAC0}"/>
    <cellStyle name="Normal 7 7 3 5 4" xfId="10552" xr:uid="{CCC5433F-11C5-45BC-BBF3-AC5C8DDC16DB}"/>
    <cellStyle name="Normal 7 7 3 5 4 2" xfId="20932" xr:uid="{670411DC-1AAF-4A0F-9FCA-321B4DF9CB56}"/>
    <cellStyle name="Normal 7 7 3 5 5" xfId="23411" xr:uid="{12B9F687-3FC5-4F87-8D20-81FD6AA3783F}"/>
    <cellStyle name="Normal 7 7 3 5 6" xfId="12982" xr:uid="{1166DE3E-3C7B-42CF-B559-6D09ACE261F3}"/>
    <cellStyle name="Normal 7 7 3 6" xfId="2417" xr:uid="{00000000-0005-0000-0000-000040090000}"/>
    <cellStyle name="Normal 7 7 3 6 2" xfId="7544" xr:uid="{6B297C61-A426-42E2-BEFD-15D95033E98E}"/>
    <cellStyle name="Normal 7 7 3 6 2 2" xfId="17924" xr:uid="{2A0680CD-4EBA-46BD-9693-B834435C83CD}"/>
    <cellStyle name="Normal 7 7 3 6 3" xfId="10377" xr:uid="{AB717565-D3D4-4787-9882-274138B115C6}"/>
    <cellStyle name="Normal 7 7 3 6 3 2" xfId="20757" xr:uid="{62D5210C-DF24-409A-8CF5-423136382B68}"/>
    <cellStyle name="Normal 7 7 3 6 4" xfId="25473" xr:uid="{A8F125F6-B67B-425C-B4CD-736F07ADCDA6}"/>
    <cellStyle name="Normal 7 7 3 6 5" xfId="15091" xr:uid="{4EB859A2-46E3-428E-9E46-011564E713B6}"/>
    <cellStyle name="Normal 7 7 3 7" xfId="4110" xr:uid="{B189E86A-2154-44E9-9A33-0D9EF6B4E6B6}"/>
    <cellStyle name="Normal 7 7 3 7 2" xfId="8882" xr:uid="{43DA4BAD-E702-449B-8FA6-6CD0B1F3A39D}"/>
    <cellStyle name="Normal 7 7 3 7 2 2" xfId="19262" xr:uid="{2AEDCD54-9FC7-4366-9AB8-7514E84CF886}"/>
    <cellStyle name="Normal 7 7 3 7 3" xfId="11715" xr:uid="{C913724C-EE6F-4A03-9599-9950CD04EF4A}"/>
    <cellStyle name="Normal 7 7 3 7 3 2" xfId="22095" xr:uid="{261D23D1-D351-4F14-B881-34DEF734E131}"/>
    <cellStyle name="Normal 7 7 3 7 4" xfId="16429" xr:uid="{372E77CC-B278-4852-AA7D-CFAA1E13DB5F}"/>
    <cellStyle name="Normal 7 7 3 8" xfId="5516" xr:uid="{38CDE3D7-BD94-440F-BC4A-FFA35C9DF975}"/>
    <cellStyle name="Normal 7 7 3 8 2" xfId="14812" xr:uid="{2FD30E6F-6ED0-43C8-9631-418C3989C55B}"/>
    <cellStyle name="Normal 7 7 3 9" xfId="7265" xr:uid="{04B2EFA9-4445-41FD-8320-BF4E5323E45F}"/>
    <cellStyle name="Normal 7 7 3 9 2" xfId="17645" xr:uid="{6ACD7728-431E-47FD-8FFF-C9592A3F86FA}"/>
    <cellStyle name="Normal 7 7 4" xfId="1520" xr:uid="{00000000-0005-0000-0000-0000C9070000}"/>
    <cellStyle name="Normal 7 7 4 2" xfId="3510" xr:uid="{00000000-0005-0000-0000-000047090000}"/>
    <cellStyle name="Normal 7 7 4 2 2" xfId="6562" xr:uid="{5951E54E-719C-4037-AD11-C2C8F91FDB72}"/>
    <cellStyle name="Normal 7 7 4 2 2 2" xfId="27805" xr:uid="{DD56CBD4-AEC2-4087-8477-E394135DF909}"/>
    <cellStyle name="Normal 7 7 4 2 2 3" xfId="16135" xr:uid="{BD0338E6-F04C-4F98-B34C-AF7E98B7DEF8}"/>
    <cellStyle name="Normal 7 7 4 2 3" xfId="8588" xr:uid="{746314BD-1259-4FA7-9646-1C695E3C3E75}"/>
    <cellStyle name="Normal 7 7 4 2 3 2" xfId="18968" xr:uid="{B9FF924B-6B07-42E7-A558-E33F607CD720}"/>
    <cellStyle name="Normal 7 7 4 2 4" xfId="11421" xr:uid="{CDC3E7EF-FCED-47C5-9289-48FC29A3F926}"/>
    <cellStyle name="Normal 7 7 4 2 4 2" xfId="21801" xr:uid="{37B0ED64-278B-42A4-B264-31715841ADD8}"/>
    <cellStyle name="Normal 7 7 4 2 5" xfId="24849" xr:uid="{72FDC550-40FB-4880-A159-156CB101B6C4}"/>
    <cellStyle name="Normal 7 7 4 2 6" xfId="14108" xr:uid="{F3F1CB74-2384-47B2-9530-1C3EEAA9B51E}"/>
    <cellStyle name="Normal 7 7 4 3" xfId="2850" xr:uid="{00000000-0005-0000-0000-000048090000}"/>
    <cellStyle name="Normal 7 7 4 3 2" xfId="6063" xr:uid="{600D4439-761D-4C8F-B0E5-3E1CA5CB2EB5}"/>
    <cellStyle name="Normal 7 7 4 3 2 2" xfId="27962" xr:uid="{53570348-B679-4121-BCCE-C8F2FB6B97B7}"/>
    <cellStyle name="Normal 7 7 4 3 2 3" xfId="15519" xr:uid="{D2E905DC-110E-4CFC-A27D-AFBD9F6A5ACC}"/>
    <cellStyle name="Normal 7 7 4 3 3" xfId="7972" xr:uid="{6E0010E1-752C-4732-958B-C8C972E03978}"/>
    <cellStyle name="Normal 7 7 4 3 3 2" xfId="18352" xr:uid="{5C8CF515-945F-4F4F-A02D-D88D97E072F7}"/>
    <cellStyle name="Normal 7 7 4 3 4" xfId="10805" xr:uid="{2921DA33-5276-4965-97F6-DE9E839BA630}"/>
    <cellStyle name="Normal 7 7 4 3 4 2" xfId="21185" xr:uid="{7D8DC2DD-D5F1-4A0D-B41B-C5E71C854740}"/>
    <cellStyle name="Normal 7 7 4 3 5" xfId="24540" xr:uid="{C84E83C0-9320-4903-A72B-389578FC6790}"/>
    <cellStyle name="Normal 7 7 4 3 6" xfId="13334" xr:uid="{32DADDCA-2A3F-4968-9F75-3570127E37B7}"/>
    <cellStyle name="Normal 7 7 4 4" xfId="4232" xr:uid="{FED24733-1034-41B0-B4E3-3EAB52254506}"/>
    <cellStyle name="Normal 7 7 4 4 2" xfId="9004" xr:uid="{6DE852C9-6ECD-4166-B3D5-7D3FB8C76CB6}"/>
    <cellStyle name="Normal 7 7 4 4 2 2" xfId="19384" xr:uid="{AE2D6D5C-5F6E-4488-85D8-83AD15BFD4B8}"/>
    <cellStyle name="Normal 7 7 4 4 3" xfId="11837" xr:uid="{9D85BA2E-63D2-4AC6-9058-7570338D4AB8}"/>
    <cellStyle name="Normal 7 7 4 4 3 2" xfId="22217" xr:uid="{A11DE655-8593-432C-B1CE-9692FB6EBDE7}"/>
    <cellStyle name="Normal 7 7 4 4 4" xfId="22833" xr:uid="{3545043A-97C3-4BEB-9A86-224F9F340D6F}"/>
    <cellStyle name="Normal 7 7 4 4 5" xfId="16551" xr:uid="{A86AA6D0-CDE3-4675-9D71-9C1166E80231}"/>
    <cellStyle name="Normal 7 7 4 5" xfId="5517" xr:uid="{073EF0F5-9C31-416A-9755-CFE675F63728}"/>
    <cellStyle name="Normal 7 7 4 5 2" xfId="14813" xr:uid="{690DDAB2-3F10-4C76-8258-BAC99B58EFA9}"/>
    <cellStyle name="Normal 7 7 4 6" xfId="7266" xr:uid="{E72904BC-11DC-4089-A0A0-68665237A9C1}"/>
    <cellStyle name="Normal 7 7 4 6 2" xfId="17646" xr:uid="{5593957B-21CB-467A-A601-0DFB57B04A95}"/>
    <cellStyle name="Normal 7 7 4 7" xfId="10099" xr:uid="{6E160AC4-EE6C-4514-B4B6-94E8D49BF565}"/>
    <cellStyle name="Normal 7 7 4 7 2" xfId="20479" xr:uid="{7E63E60C-F133-4A48-A85B-351F15CEBEB1}"/>
    <cellStyle name="Normal 7 7 4 8" xfId="24255" xr:uid="{B4BBCC62-20CB-4D6D-9BA8-7EC9921C9202}"/>
    <cellStyle name="Normal 7 7 4 9" xfId="12809" xr:uid="{6248B075-03D7-4527-8BD0-355FE7F0EA73}"/>
    <cellStyle name="Normal 7 7 5" xfId="3511" xr:uid="{00000000-0005-0000-0000-000049090000}"/>
    <cellStyle name="Normal 7 7 5 2" xfId="4614" xr:uid="{AD7F6475-AC25-498F-97D9-95AEF50804B2}"/>
    <cellStyle name="Normal 7 7 5 2 2" xfId="9386" xr:uid="{8F7F0EAE-C9BE-4744-9F60-6386BF527B9E}"/>
    <cellStyle name="Normal 7 7 5 2 2 2" xfId="29352" xr:uid="{ECEBF970-57BF-4F36-B9D8-7772EBF484F1}"/>
    <cellStyle name="Normal 7 7 5 2 2 3" xfId="19766" xr:uid="{C0207E13-6EB3-430B-9E3B-7459000F30F7}"/>
    <cellStyle name="Normal 7 7 5 2 3" xfId="12219" xr:uid="{637C8A77-C2DA-41C7-B1C7-7452C0212BD0}"/>
    <cellStyle name="Normal 7 7 5 2 3 2" xfId="22599" xr:uid="{4642DD10-6988-4B16-8DC5-3B2E4EF5DFD9}"/>
    <cellStyle name="Normal 7 7 5 2 4" xfId="23409" xr:uid="{68B934D2-16B5-4574-930C-5F70319B41D6}"/>
    <cellStyle name="Normal 7 7 5 2 5" xfId="16933" xr:uid="{CD8851BF-4305-4276-A211-853AAEB2E18C}"/>
    <cellStyle name="Normal 7 7 5 3" xfId="6563" xr:uid="{D9F50B8A-EAE6-45D2-9757-96D41910DF33}"/>
    <cellStyle name="Normal 7 7 5 3 2" xfId="27705" xr:uid="{E24BC1D6-99A1-4DFF-A3D3-2E93013892F2}"/>
    <cellStyle name="Normal 7 7 5 3 3" xfId="16136" xr:uid="{982AD3F0-373E-4885-8FBF-EDF3A9C70E74}"/>
    <cellStyle name="Normal 7 7 5 4" xfId="8589" xr:uid="{1B986D95-9C6A-4E78-AC0F-DB0EAB511753}"/>
    <cellStyle name="Normal 7 7 5 4 2" xfId="18969" xr:uid="{054C9D3C-8909-4487-87C0-31393BA9DA6E}"/>
    <cellStyle name="Normal 7 7 5 5" xfId="11422" xr:uid="{37B2F39E-A31F-4EAB-87D8-22284A59451D}"/>
    <cellStyle name="Normal 7 7 5 5 2" xfId="21802" xr:uid="{90949D72-122E-4068-81F4-C737F6C36E51}"/>
    <cellStyle name="Normal 7 7 5 6" xfId="24024" xr:uid="{AC4AA60D-E46F-45B2-8D9C-0D4D1CE5B437}"/>
    <cellStyle name="Normal 7 7 5 7" xfId="14109" xr:uid="{5F579650-634B-44AB-A3C2-A2A1102691CD}"/>
    <cellStyle name="Normal 7 7 6" xfId="3005" xr:uid="{00000000-0005-0000-0000-00004A090000}"/>
    <cellStyle name="Normal 7 7 6 2" xfId="6154" xr:uid="{3F76595B-7A70-4313-AD98-64C64CE90066}"/>
    <cellStyle name="Normal 7 7 6 2 2" xfId="26632" xr:uid="{8EFD9527-C9BA-4589-9728-404461208850}"/>
    <cellStyle name="Normal 7 7 6 2 3" xfId="15632" xr:uid="{B92DC15A-9E26-41CE-9CF7-2BEEEA6C274F}"/>
    <cellStyle name="Normal 7 7 6 3" xfId="8085" xr:uid="{D3D83652-7AB7-46DC-88C3-874F8B321725}"/>
    <cellStyle name="Normal 7 7 6 3 2" xfId="18465" xr:uid="{9767A66B-EFCD-4145-A061-7C4934BCFCA5}"/>
    <cellStyle name="Normal 7 7 6 4" xfId="10918" xr:uid="{DB7ADFAE-CF2D-467F-807B-BA750E3358BE}"/>
    <cellStyle name="Normal 7 7 6 4 2" xfId="21298" xr:uid="{66578466-A08C-4AFA-B5BC-5E4E89791B6D}"/>
    <cellStyle name="Normal 7 7 6 5" xfId="22991" xr:uid="{816A3C82-EF97-4D9A-B226-C5314D42E218}"/>
    <cellStyle name="Normal 7 7 6 6" xfId="13507" xr:uid="{6E0DF169-7B30-43CB-8A82-A2C432D548E4}"/>
    <cellStyle name="Normal 7 7 7" xfId="2491" xr:uid="{00000000-0005-0000-0000-00004B090000}"/>
    <cellStyle name="Normal 7 7 7 2" xfId="5776" xr:uid="{615CF55C-5858-42D6-9029-1D0E586CDA6B}"/>
    <cellStyle name="Normal 7 7 7 2 2" xfId="28098" xr:uid="{769996D8-286A-491D-A186-0B38D0DFAC63}"/>
    <cellStyle name="Normal 7 7 7 2 3" xfId="15163" xr:uid="{C65C49A5-3E9C-4503-8446-C9AEC63DAC9E}"/>
    <cellStyle name="Normal 7 7 7 3" xfId="7616" xr:uid="{92F93284-4B3E-428B-B6C2-ED6E69337A90}"/>
    <cellStyle name="Normal 7 7 7 3 2" xfId="17996" xr:uid="{B72C03A7-4BE7-4FD8-9CD2-E00C8E50581D}"/>
    <cellStyle name="Normal 7 7 7 4" xfId="10449" xr:uid="{16A95490-056D-447E-A776-9D50F4B56E51}"/>
    <cellStyle name="Normal 7 7 7 4 2" xfId="20829" xr:uid="{885B6FAB-364E-4C48-8C9F-4A2E219AAB58}"/>
    <cellStyle name="Normal 7 7 7 5" xfId="23314" xr:uid="{D84AA36F-B8A6-41BB-B4EF-78ABA913D2CD}"/>
    <cellStyle name="Normal 7 7 7 6" xfId="12879" xr:uid="{51741595-A603-4C13-8BE4-D5040003A8A2}"/>
    <cellStyle name="Normal 7 7 8" xfId="2185" xr:uid="{00000000-0005-0000-0000-000034090000}"/>
    <cellStyle name="Normal 7 7 8 2" xfId="7312" xr:uid="{8A50AE7F-CCBF-4D2F-BFB9-C1DB2900D60F}"/>
    <cellStyle name="Normal 7 7 8 2 2" xfId="17692" xr:uid="{C0AD61CF-C327-4565-A0B7-69375C2AFFA1}"/>
    <cellStyle name="Normal 7 7 8 3" xfId="10145" xr:uid="{DA9A460A-D310-4A38-B03C-688489590AC9}"/>
    <cellStyle name="Normal 7 7 8 3 2" xfId="20525" xr:uid="{190AFA82-0FA9-45BA-8F06-D61F6BC89869}"/>
    <cellStyle name="Normal 7 7 8 4" xfId="25030" xr:uid="{92A3C3C0-6143-4185-B2A5-8EF3EAEDE877}"/>
    <cellStyle name="Normal 7 7 8 5" xfId="14859" xr:uid="{5BC75154-B7D6-411C-8490-0363E25D9F80}"/>
    <cellStyle name="Normal 7 7 9" xfId="4090" xr:uid="{E2D62470-0D7C-4BCF-8C41-AF626EEE8446}"/>
    <cellStyle name="Normal 7 7 9 2" xfId="8867" xr:uid="{CF944BA7-FF91-4800-BCE3-BDFB2D3CF169}"/>
    <cellStyle name="Normal 7 7 9 2 2" xfId="19247" xr:uid="{F6804887-5FD8-46C0-93BF-ABEB1F4B4B99}"/>
    <cellStyle name="Normal 7 7 9 3" xfId="11700" xr:uid="{DEF9A11B-AF1B-4FC1-8C44-FAF365916466}"/>
    <cellStyle name="Normal 7 7 9 3 2" xfId="22080" xr:uid="{6C9F6523-AC60-46B2-A5DC-FBC016E9FE01}"/>
    <cellStyle name="Normal 7 7 9 4" xfId="16414" xr:uid="{C660FAB7-D96F-4E6C-833A-6DA3D1214498}"/>
    <cellStyle name="Normal 7 8" xfId="1521" xr:uid="{00000000-0005-0000-0000-0000CA070000}"/>
    <cellStyle name="Normal 7 8 10" xfId="5518" xr:uid="{7981F872-048D-44EB-862C-1863490B0EF3}"/>
    <cellStyle name="Normal 7 8 10 2" xfId="14814" xr:uid="{B43B2494-97F5-4498-91B3-E36B565F3B59}"/>
    <cellStyle name="Normal 7 8 11" xfId="7267" xr:uid="{ED7C597E-FD30-4964-9838-BC946C5800E4}"/>
    <cellStyle name="Normal 7 8 11 2" xfId="17647" xr:uid="{CCE1DC93-0221-401E-AF5B-99672ED397DD}"/>
    <cellStyle name="Normal 7 8 12" xfId="10100" xr:uid="{AE0BFB9E-5501-4680-9948-5E84422DA893}"/>
    <cellStyle name="Normal 7 8 12 2" xfId="20480" xr:uid="{4A988483-51E0-412E-9E59-46CEE99C3B41}"/>
    <cellStyle name="Normal 7 8 13" xfId="23702" xr:uid="{BC4496E3-8A18-485B-A7D4-66FE424DFB75}"/>
    <cellStyle name="Normal 7 8 14" xfId="12451" xr:uid="{245E7DAD-1C66-4C24-A686-F0D68E215EC8}"/>
    <cellStyle name="Normal 7 8 2" xfId="1522" xr:uid="{00000000-0005-0000-0000-0000CB070000}"/>
    <cellStyle name="Normal 7 8 2 10" xfId="10101" xr:uid="{98E6AF7D-E713-489B-BFB7-2D85F6E3108B}"/>
    <cellStyle name="Normal 7 8 2 10 2" xfId="20481" xr:uid="{EB056CE6-575B-4DD8-9AFC-FBB7EE22E1AB}"/>
    <cellStyle name="Normal 7 8 2 11" xfId="22984" xr:uid="{45D0F1E6-4DB8-4B08-A92C-FB3701D67A71}"/>
    <cellStyle name="Normal 7 8 2 12" xfId="12652" xr:uid="{1E636B80-57F4-4836-93F8-5F92C02DB4FD}"/>
    <cellStyle name="Normal 7 8 2 2" xfId="1523" xr:uid="{00000000-0005-0000-0000-0000CC070000}"/>
    <cellStyle name="Normal 7 8 2 2 2" xfId="3513" xr:uid="{00000000-0005-0000-0000-00004F090000}"/>
    <cellStyle name="Normal 7 8 2 2 2 2" xfId="6565" xr:uid="{EB11A89A-2A16-486D-9877-94B0133CC7BB}"/>
    <cellStyle name="Normal 7 8 2 2 2 2 2" xfId="27807" xr:uid="{D4D9D707-88A0-4231-85BB-C83530677E72}"/>
    <cellStyle name="Normal 7 8 2 2 2 2 3" xfId="27972" xr:uid="{0E38C2FA-C142-40C2-AC01-E3CDFBC457DD}"/>
    <cellStyle name="Normal 7 8 2 2 2 2 4" xfId="16138" xr:uid="{775AB728-5859-44E1-B041-0F14552B37AC}"/>
    <cellStyle name="Normal 7 8 2 2 2 3" xfId="8591" xr:uid="{C295360B-1DD4-49F9-A210-3E30A3B4ADA7}"/>
    <cellStyle name="Normal 7 8 2 2 2 3 2" xfId="28956" xr:uid="{A96E8B5A-B5E3-4393-A017-1CF35E2FEC4F}"/>
    <cellStyle name="Normal 7 8 2 2 2 3 3" xfId="18971" xr:uid="{69662BF9-DE8D-4BE4-884F-6374471AD8D6}"/>
    <cellStyle name="Normal 7 8 2 2 2 4" xfId="11424" xr:uid="{A392603C-B2DC-4FBE-8CDC-44E8105A13FA}"/>
    <cellStyle name="Normal 7 8 2 2 2 4 2" xfId="21804" xr:uid="{5E996602-E6E7-481C-8178-70C4707EBA3B}"/>
    <cellStyle name="Normal 7 8 2 2 2 5" xfId="23015" xr:uid="{DCD7C034-9A83-4037-97BF-2FD1AA3ACAE2}"/>
    <cellStyle name="Normal 7 8 2 2 2 6" xfId="14111" xr:uid="{F9FEBBAB-0B1B-47DF-9D61-26E2BD920E60}"/>
    <cellStyle name="Normal 7 8 2 2 3" xfId="4384" xr:uid="{181487C5-ED9A-4A37-894D-630747EF6A82}"/>
    <cellStyle name="Normal 7 8 2 2 3 2" xfId="9156" xr:uid="{B92BA703-193B-443E-B6AF-1260F9C458B3}"/>
    <cellStyle name="Normal 7 8 2 2 3 2 2" xfId="29199" xr:uid="{FC43AD86-1E18-423C-B688-0218500738C7}"/>
    <cellStyle name="Normal 7 8 2 2 3 2 3" xfId="19536" xr:uid="{0FE7F98E-D0D4-4966-A9D9-4239B84E8749}"/>
    <cellStyle name="Normal 7 8 2 2 3 3" xfId="11989" xr:uid="{B856DF8E-EF2D-498F-84DC-D1432C8127B4}"/>
    <cellStyle name="Normal 7 8 2 2 3 3 2" xfId="22369" xr:uid="{2358B23F-1DEE-4F07-B59D-A3292C0A2663}"/>
    <cellStyle name="Normal 7 8 2 2 3 4" xfId="23074" xr:uid="{F1BD4026-BDBC-4F07-91C3-4E30BDC3DF85}"/>
    <cellStyle name="Normal 7 8 2 2 3 5" xfId="16703" xr:uid="{FD13EB93-12BC-4106-97A5-C49FF5588DA9}"/>
    <cellStyle name="Normal 7 8 2 2 4" xfId="5520" xr:uid="{EB844901-5740-434A-ABC2-996F0C577A1A}"/>
    <cellStyle name="Normal 7 8 2 2 4 2" xfId="26187" xr:uid="{7FA8E3E1-04EC-4115-A9E7-91413201C243}"/>
    <cellStyle name="Normal 7 8 2 2 4 3" xfId="14816" xr:uid="{DCF72E2C-A73D-4F52-94E9-921263AA7C3D}"/>
    <cellStyle name="Normal 7 8 2 2 5" xfId="7269" xr:uid="{1F8FFE9A-266A-4C02-A0C9-CB629DCE7BAD}"/>
    <cellStyle name="Normal 7 8 2 2 5 2" xfId="17649" xr:uid="{0801D49D-F350-43B3-85F7-61957A26FD37}"/>
    <cellStyle name="Normal 7 8 2 2 6" xfId="10102" xr:uid="{CF486B53-1EF7-4F7D-B81D-F3F7AA9623BB}"/>
    <cellStyle name="Normal 7 8 2 2 6 2" xfId="20482" xr:uid="{80E59977-4A31-44FE-85B3-9C47708D4A4C}"/>
    <cellStyle name="Normal 7 8 2 2 7" xfId="23683" xr:uid="{0F8BCB19-1DD6-48E6-9826-552942CAF682}"/>
    <cellStyle name="Normal 7 8 2 2 8" xfId="13339" xr:uid="{BE9509A6-58F3-4D8C-80F0-E71C155159CC}"/>
    <cellStyle name="Normal 7 8 2 3" xfId="3514" xr:uid="{00000000-0005-0000-0000-000050090000}"/>
    <cellStyle name="Normal 7 8 2 3 2" xfId="4615" xr:uid="{5A62E504-BFEF-479B-8457-B6A288D1F681}"/>
    <cellStyle name="Normal 7 8 2 3 2 2" xfId="9387" xr:uid="{DD36251F-A545-494E-9EB8-8B904ACA1F5C}"/>
    <cellStyle name="Normal 7 8 2 3 2 2 2" xfId="29353" xr:uid="{705B83BD-F576-4B59-AA3B-6007ABF9EC06}"/>
    <cellStyle name="Normal 7 8 2 3 2 2 3" xfId="19767" xr:uid="{A8D76510-D2B7-4243-943D-05D55F002E54}"/>
    <cellStyle name="Normal 7 8 2 3 2 3" xfId="12220" xr:uid="{DBCF99F1-5F0F-4C40-BA23-FA3AD5209E84}"/>
    <cellStyle name="Normal 7 8 2 3 2 3 2" xfId="22600" xr:uid="{FD9CC561-FB12-4D75-9BE3-1579F0A75E0E}"/>
    <cellStyle name="Normal 7 8 2 3 2 4" xfId="25439" xr:uid="{00CB64E5-E46F-41F4-BAA8-8E628BDE07F1}"/>
    <cellStyle name="Normal 7 8 2 3 2 5" xfId="16934" xr:uid="{62A17E90-746E-4F3A-8C7B-70DBF6036AF8}"/>
    <cellStyle name="Normal 7 8 2 3 3" xfId="6566" xr:uid="{27986DCB-B1DC-40F6-A174-53689B211438}"/>
    <cellStyle name="Normal 7 8 2 3 3 2" xfId="26977" xr:uid="{84F835E7-00DF-47D1-8CAE-1B42976D3EDF}"/>
    <cellStyle name="Normal 7 8 2 3 3 3" xfId="16139" xr:uid="{5206AF1D-AFCA-4ECA-BBF7-E6417F40CA01}"/>
    <cellStyle name="Normal 7 8 2 3 4" xfId="8592" xr:uid="{E3CDF305-8586-426D-9FF9-0AFA0D1F449F}"/>
    <cellStyle name="Normal 7 8 2 3 4 2" xfId="18972" xr:uid="{C0408242-D425-4401-968C-5AD5688825AE}"/>
    <cellStyle name="Normal 7 8 2 3 5" xfId="11425" xr:uid="{9E6A4A17-DB2E-4A2A-A3D6-F787EBD6A00B}"/>
    <cellStyle name="Normal 7 8 2 3 5 2" xfId="21805" xr:uid="{89D1F1E4-DBBB-482E-BFF2-27141B03EE8C}"/>
    <cellStyle name="Normal 7 8 2 3 6" xfId="23663" xr:uid="{4B1DE66C-64F1-41DA-91DC-73742ADDC37F}"/>
    <cellStyle name="Normal 7 8 2 3 7" xfId="14112" xr:uid="{17E11527-AF05-4F78-8691-C27919B2D701}"/>
    <cellStyle name="Normal 7 8 2 4" xfId="3512" xr:uid="{00000000-0005-0000-0000-000051090000}"/>
    <cellStyle name="Normal 7 8 2 4 2" xfId="6564" xr:uid="{A6D4913D-5879-467B-A280-0C48BB6872C3}"/>
    <cellStyle name="Normal 7 8 2 4 2 2" xfId="27381" xr:uid="{38B4BD07-92A6-42D7-AAD5-D9D8C7CF672E}"/>
    <cellStyle name="Normal 7 8 2 4 2 3" xfId="16137" xr:uid="{020DC34B-CADE-4C90-993B-F559A47C1798}"/>
    <cellStyle name="Normal 7 8 2 4 3" xfId="8590" xr:uid="{18B383CC-7CD2-4F2C-9F70-5A3D988943B0}"/>
    <cellStyle name="Normal 7 8 2 4 3 2" xfId="18970" xr:uid="{7949896A-5AB4-4936-8AF7-98E234A13FBA}"/>
    <cellStyle name="Normal 7 8 2 4 4" xfId="11423" xr:uid="{2760F4C4-2CCD-4E6E-ADEA-FDBBC7FFEAB8}"/>
    <cellStyle name="Normal 7 8 2 4 4 2" xfId="21803" xr:uid="{C91E5146-3111-48B7-AC29-114C970974AA}"/>
    <cellStyle name="Normal 7 8 2 4 5" xfId="24267" xr:uid="{05B3E0F6-BC97-4AC7-9F0E-E28B1BE63821}"/>
    <cellStyle name="Normal 7 8 2 4 6" xfId="14110" xr:uid="{AF3D29FE-8396-43E5-86B9-0CC7B8E94F3A}"/>
    <cellStyle name="Normal 7 8 2 5" xfId="2525" xr:uid="{00000000-0005-0000-0000-000052090000}"/>
    <cellStyle name="Normal 7 8 2 5 2" xfId="5802" xr:uid="{B5E01D43-3B65-45FA-A334-039D61490BF7}"/>
    <cellStyle name="Normal 7 8 2 5 2 2" xfId="27361" xr:uid="{860D3B7A-9709-4DE5-A844-0E7D2CDA4383}"/>
    <cellStyle name="Normal 7 8 2 5 2 3" xfId="15197" xr:uid="{92547474-EEB8-4256-AB79-31E1D271515A}"/>
    <cellStyle name="Normal 7 8 2 5 3" xfId="7650" xr:uid="{F5A21145-6AA2-46FC-B6FF-81E2D06AC58C}"/>
    <cellStyle name="Normal 7 8 2 5 3 2" xfId="18030" xr:uid="{C28AEDC6-7965-4FB7-B0D8-88E2ECAA28CF}"/>
    <cellStyle name="Normal 7 8 2 5 4" xfId="10483" xr:uid="{A3AF72E2-FBA7-47F0-B7EC-992385FAF200}"/>
    <cellStyle name="Normal 7 8 2 5 4 2" xfId="20863" xr:uid="{CAAB38BC-F8F5-4C05-A3B4-F1F3DAE5FC85}"/>
    <cellStyle name="Normal 7 8 2 5 5" xfId="23630" xr:uid="{91EAADE9-98CE-48E2-9C65-3474F363B367}"/>
    <cellStyle name="Normal 7 8 2 5 6" xfId="12913" xr:uid="{D53D1181-2B21-4600-962D-26238A4D91B1}"/>
    <cellStyle name="Normal 7 8 2 6" xfId="2418" xr:uid="{00000000-0005-0000-0000-00004D090000}"/>
    <cellStyle name="Normal 7 8 2 6 2" xfId="7545" xr:uid="{4BBDB844-567D-4F2C-918E-588DED154556}"/>
    <cellStyle name="Normal 7 8 2 6 2 2" xfId="17925" xr:uid="{1E5AD033-D5DB-41D3-AC15-3E4616AAABCD}"/>
    <cellStyle name="Normal 7 8 2 6 3" xfId="10378" xr:uid="{A80789FB-8635-4088-8FB8-1F154118F636}"/>
    <cellStyle name="Normal 7 8 2 6 3 2" xfId="20758" xr:uid="{F3D022AC-844C-4D9A-BCC4-9E246CB032AA}"/>
    <cellStyle name="Normal 7 8 2 6 4" xfId="22927" xr:uid="{72711CE9-B1EE-440C-B2C6-02F2ADAE74D3}"/>
    <cellStyle name="Normal 7 8 2 6 5" xfId="15092" xr:uid="{59E52D30-B7AF-4FE1-9D2D-00F8595557E6}"/>
    <cellStyle name="Normal 7 8 2 7" xfId="4111" xr:uid="{A481A10B-6E2C-4D73-8310-D857334E757C}"/>
    <cellStyle name="Normal 7 8 2 7 2" xfId="8883" xr:uid="{9F4FE084-34DE-42B7-880E-5C144E9AF5DE}"/>
    <cellStyle name="Normal 7 8 2 7 2 2" xfId="19263" xr:uid="{1594C506-60B3-4F43-BDCD-E05CFA137F95}"/>
    <cellStyle name="Normal 7 8 2 7 3" xfId="11716" xr:uid="{221CF922-AADE-46AC-8510-BF7EF408F268}"/>
    <cellStyle name="Normal 7 8 2 7 3 2" xfId="22096" xr:uid="{754F14C5-F2C0-4DC5-9C13-87EB84D1F0E1}"/>
    <cellStyle name="Normal 7 8 2 7 4" xfId="16430" xr:uid="{BBA87A2A-AE38-4409-81BF-80B51726EA15}"/>
    <cellStyle name="Normal 7 8 2 8" xfId="5519" xr:uid="{262D6E35-57B3-4303-BEF9-07EB06D78BCE}"/>
    <cellStyle name="Normal 7 8 2 8 2" xfId="14815" xr:uid="{BD40D288-C787-445D-8DD7-A64D12806929}"/>
    <cellStyle name="Normal 7 8 2 9" xfId="7268" xr:uid="{3AD3D8CB-D44E-45C6-BA13-F38440D6FD94}"/>
    <cellStyle name="Normal 7 8 2 9 2" xfId="17648" xr:uid="{5393AD59-4FE1-414E-AEA6-1176CD8E42A3}"/>
    <cellStyle name="Normal 7 8 3" xfId="1524" xr:uid="{00000000-0005-0000-0000-0000CD070000}"/>
    <cellStyle name="Normal 7 8 3 10" xfId="24306" xr:uid="{8C96402B-7A63-440D-9D79-E19639779125}"/>
    <cellStyle name="Normal 7 8 3 11" xfId="12810" xr:uid="{DB3E63EC-B741-4DAA-97A4-C7A717BB0536}"/>
    <cellStyle name="Normal 7 8 3 2" xfId="2854" xr:uid="{00000000-0005-0000-0000-000054090000}"/>
    <cellStyle name="Normal 7 8 3 2 2" xfId="3516" xr:uid="{00000000-0005-0000-0000-000055090000}"/>
    <cellStyle name="Normal 7 8 3 2 2 2" xfId="6568" xr:uid="{5F679275-388E-4DF5-A8C1-F368856D0BE9}"/>
    <cellStyle name="Normal 7 8 3 2 2 2 2" xfId="27418" xr:uid="{EA4A2A04-CA1C-4799-8E31-F36759F6D1EB}"/>
    <cellStyle name="Normal 7 8 3 2 2 2 3" xfId="16141" xr:uid="{AE97444A-3633-4376-9F42-1EF7704EE280}"/>
    <cellStyle name="Normal 7 8 3 2 2 3" xfId="8594" xr:uid="{D94C4494-9D51-476C-B06F-86FD219070DF}"/>
    <cellStyle name="Normal 7 8 3 2 2 3 2" xfId="18974" xr:uid="{86417FD9-8B80-42FD-8C16-BECDA3492506}"/>
    <cellStyle name="Normal 7 8 3 2 2 4" xfId="11427" xr:uid="{F321C522-BC0B-4F7F-9F94-B7DD28CE0DAA}"/>
    <cellStyle name="Normal 7 8 3 2 2 4 2" xfId="21807" xr:uid="{0491B24F-58A0-4377-91A8-0057DE8B8BA6}"/>
    <cellStyle name="Normal 7 8 3 2 2 5" xfId="23669" xr:uid="{4A3BB38C-4BD3-4D97-A6F2-6AF8C60051A1}"/>
    <cellStyle name="Normal 7 8 3 2 2 6" xfId="14114" xr:uid="{262A541D-2908-49D0-AE47-9CFEB11EA45E}"/>
    <cellStyle name="Normal 7 8 3 2 3" xfId="4385" xr:uid="{447CA688-1CB5-4488-9688-F0FC39F457E7}"/>
    <cellStyle name="Normal 7 8 3 2 3 2" xfId="9157" xr:uid="{9472ADC6-5FA7-43C5-8E8A-FC179E3C965A}"/>
    <cellStyle name="Normal 7 8 3 2 3 2 2" xfId="29200" xr:uid="{29046802-CC24-4D7A-97D1-C3E5B361E82A}"/>
    <cellStyle name="Normal 7 8 3 2 3 2 3" xfId="19537" xr:uid="{78C00EF1-E993-453F-A9DF-3151A693D284}"/>
    <cellStyle name="Normal 7 8 3 2 3 3" xfId="11990" xr:uid="{F27D3773-2AA8-43BA-B778-7D928EBDAE17}"/>
    <cellStyle name="Normal 7 8 3 2 3 3 2" xfId="22370" xr:uid="{39E55BE9-DC07-48E4-938A-830D20F99EC9}"/>
    <cellStyle name="Normal 7 8 3 2 3 4" xfId="25251" xr:uid="{72DB413B-53DF-4302-A428-E119E4495B88}"/>
    <cellStyle name="Normal 7 8 3 2 3 5" xfId="16704" xr:uid="{F6B356A3-9255-4D6C-9E61-6390C91C9D69}"/>
    <cellStyle name="Normal 7 8 3 2 4" xfId="6067" xr:uid="{F968D605-7D64-40BF-8CCB-FB2DAB6C391A}"/>
    <cellStyle name="Normal 7 8 3 2 4 2" xfId="26985" xr:uid="{01D9B581-A7A8-4BAB-A7E1-FCE3D2974942}"/>
    <cellStyle name="Normal 7 8 3 2 4 3" xfId="15523" xr:uid="{42C00365-0F2D-4BAB-842E-0E709346EBA4}"/>
    <cellStyle name="Normal 7 8 3 2 5" xfId="7976" xr:uid="{95BC407F-F74C-4E3D-9938-50C2F949768F}"/>
    <cellStyle name="Normal 7 8 3 2 5 2" xfId="18356" xr:uid="{DCE5B817-D74A-4CD3-8147-595558D089EF}"/>
    <cellStyle name="Normal 7 8 3 2 6" xfId="10809" xr:uid="{B8C225DB-6078-4482-AA5C-1C70A3895AF3}"/>
    <cellStyle name="Normal 7 8 3 2 6 2" xfId="21189" xr:uid="{7A6018B2-F374-4CED-9AAA-90AC3E99C4C4}"/>
    <cellStyle name="Normal 7 8 3 2 7" xfId="24730" xr:uid="{3DEB3E29-5202-498B-9D0F-C835644731F1}"/>
    <cellStyle name="Normal 7 8 3 2 8" xfId="13340" xr:uid="{45B8B451-7B5F-44E6-A86D-77E56F8D188B}"/>
    <cellStyle name="Normal 7 8 3 3" xfId="3517" xr:uid="{00000000-0005-0000-0000-000056090000}"/>
    <cellStyle name="Normal 7 8 3 3 2" xfId="4616" xr:uid="{545C96D4-53A4-49FE-9E61-2C15736C90CB}"/>
    <cellStyle name="Normal 7 8 3 3 2 2" xfId="9388" xr:uid="{79A5723C-07FD-4F6D-8631-A40327F1065A}"/>
    <cellStyle name="Normal 7 8 3 3 2 2 2" xfId="29354" xr:uid="{FA4ED228-F7FE-4F02-BF64-E3A775127185}"/>
    <cellStyle name="Normal 7 8 3 3 2 2 3" xfId="19768" xr:uid="{7A33493D-C470-49B0-B617-A56BDBDEA11A}"/>
    <cellStyle name="Normal 7 8 3 3 2 3" xfId="12221" xr:uid="{B4894758-74D8-4921-A4D7-B66873D171CA}"/>
    <cellStyle name="Normal 7 8 3 3 2 3 2" xfId="22601" xr:uid="{6B41FE89-1689-48EF-BE8F-8A3D18258DE4}"/>
    <cellStyle name="Normal 7 8 3 3 2 4" xfId="25784" xr:uid="{4A8C765C-CE60-4E05-BCBA-80F518920950}"/>
    <cellStyle name="Normal 7 8 3 3 2 5" xfId="16935" xr:uid="{EBEF5521-10CD-46EA-A47F-0CA96F92D68D}"/>
    <cellStyle name="Normal 7 8 3 3 3" xfId="6569" xr:uid="{8E31F363-C67B-425F-A763-46AC5E51AADC}"/>
    <cellStyle name="Normal 7 8 3 3 3 2" xfId="28445" xr:uid="{24FD860C-ACFE-4DA1-8D63-3D4E4A5ACE6D}"/>
    <cellStyle name="Normal 7 8 3 3 3 3" xfId="16142" xr:uid="{D01109C0-C637-4BA0-BF8C-67A36E087A4C}"/>
    <cellStyle name="Normal 7 8 3 3 4" xfId="8595" xr:uid="{21B59F37-7245-4146-91DC-8214B393B363}"/>
    <cellStyle name="Normal 7 8 3 3 4 2" xfId="18975" xr:uid="{D4EF6D4B-8CA2-4100-B044-8B08F70C3AA3}"/>
    <cellStyle name="Normal 7 8 3 3 5" xfId="11428" xr:uid="{6BA334D7-A339-4E1C-A101-90B4533033C5}"/>
    <cellStyle name="Normal 7 8 3 3 5 2" xfId="21808" xr:uid="{B14DC5FE-3B6E-4953-8326-7B0E87E8BE07}"/>
    <cellStyle name="Normal 7 8 3 3 6" xfId="25436" xr:uid="{F714C0B9-5AF8-4523-95D8-0AF3A974EF37}"/>
    <cellStyle name="Normal 7 8 3 3 7" xfId="14115" xr:uid="{571135B5-1290-4B03-B84F-33EE4686B6E3}"/>
    <cellStyle name="Normal 7 8 3 4" xfId="3515" xr:uid="{00000000-0005-0000-0000-000057090000}"/>
    <cellStyle name="Normal 7 8 3 4 2" xfId="6567" xr:uid="{0A120DE1-A606-42C0-B188-7FF0CEB52057}"/>
    <cellStyle name="Normal 7 8 3 4 2 2" xfId="27834" xr:uid="{CB827B41-6E34-4485-ADF1-2424F31EE4F3}"/>
    <cellStyle name="Normal 7 8 3 4 2 3" xfId="16140" xr:uid="{87A7B19C-47C8-4535-9ECA-16F61EDCFC87}"/>
    <cellStyle name="Normal 7 8 3 4 3" xfId="8593" xr:uid="{2AD1F471-9932-47D3-B35E-0B1E1456D63B}"/>
    <cellStyle name="Normal 7 8 3 4 3 2" xfId="18973" xr:uid="{17DBC5E4-D4A5-4CBF-9C48-6D8177A2F7FD}"/>
    <cellStyle name="Normal 7 8 3 4 4" xfId="11426" xr:uid="{A5A26F8D-83E1-4ED5-B907-64DBEFD8ECEC}"/>
    <cellStyle name="Normal 7 8 3 4 4 2" xfId="21806" xr:uid="{2B10B68B-EEA4-4EF7-9927-FB2122CB3644}"/>
    <cellStyle name="Normal 7 8 3 4 5" xfId="23154" xr:uid="{96A3161C-7C39-4EF4-9CBE-677777A6DA38}"/>
    <cellStyle name="Normal 7 8 3 4 6" xfId="14113" xr:uid="{F3F77F57-0BEA-4D8A-864B-0CCC9678FEBF}"/>
    <cellStyle name="Normal 7 8 3 5" xfId="2628" xr:uid="{00000000-0005-0000-0000-000058090000}"/>
    <cellStyle name="Normal 7 8 3 5 2" xfId="5890" xr:uid="{10DE449B-772F-403E-B53E-8F527E3E956C}"/>
    <cellStyle name="Normal 7 8 3 5 2 2" xfId="27199" xr:uid="{6AC8801F-B639-4F85-919C-F455858033E1}"/>
    <cellStyle name="Normal 7 8 3 5 2 3" xfId="15300" xr:uid="{6EB7D2AB-226F-4261-B766-566EE5A8D4DE}"/>
    <cellStyle name="Normal 7 8 3 5 3" xfId="7753" xr:uid="{B4427FDC-18D8-4BF0-9AA9-3DCBE6FB5CB6}"/>
    <cellStyle name="Normal 7 8 3 5 3 2" xfId="18133" xr:uid="{E05F336D-BAC6-4831-9BD5-5EF0C803FCAF}"/>
    <cellStyle name="Normal 7 8 3 5 4" xfId="10586" xr:uid="{E35B07AF-51EB-49EB-8D64-5176635FF471}"/>
    <cellStyle name="Normal 7 8 3 5 4 2" xfId="20966" xr:uid="{D9107844-D4B9-4D7C-BB1D-5797A487AD57}"/>
    <cellStyle name="Normal 7 8 3 5 5" xfId="23743" xr:uid="{9BF79791-BE4B-4383-B162-A69EE8B513CC}"/>
    <cellStyle name="Normal 7 8 3 5 6" xfId="13016" xr:uid="{ED86C5AD-79C9-48EC-B39F-81359DA56D05}"/>
    <cellStyle name="Normal 7 8 3 6" xfId="4233" xr:uid="{59BA6427-845F-4501-AB9A-91D75CDD42EA}"/>
    <cellStyle name="Normal 7 8 3 6 2" xfId="9005" xr:uid="{D698A893-5EAB-4217-B9C3-E2C0C41057C9}"/>
    <cellStyle name="Normal 7 8 3 6 2 2" xfId="19385" xr:uid="{0F0FA002-57F2-45EE-83D3-ECFD5AF5B1AF}"/>
    <cellStyle name="Normal 7 8 3 6 3" xfId="11838" xr:uid="{5F2CCC17-7C1C-4996-8E38-7FCD9236367C}"/>
    <cellStyle name="Normal 7 8 3 6 3 2" xfId="22218" xr:uid="{E03DF7B2-2269-4CD3-9101-3E3AA292BE16}"/>
    <cellStyle name="Normal 7 8 3 6 4" xfId="24182" xr:uid="{B644EC93-CDF4-401E-82A2-1272E92688F2}"/>
    <cellStyle name="Normal 7 8 3 6 5" xfId="16552" xr:uid="{26DEA9EB-1A5A-4FBB-9ADB-0ADCAAD6F035}"/>
    <cellStyle name="Normal 7 8 3 7" xfId="5521" xr:uid="{1255BA54-6F4F-4228-B965-919623B1C04F}"/>
    <cellStyle name="Normal 7 8 3 7 2" xfId="14817" xr:uid="{B74EE7AC-B2ED-4026-9452-F278D7571678}"/>
    <cellStyle name="Normal 7 8 3 8" xfId="7270" xr:uid="{9E615E01-71BB-4B3F-9E38-5297BC321302}"/>
    <cellStyle name="Normal 7 8 3 8 2" xfId="17650" xr:uid="{98EB6D51-3516-4C0D-AD2E-2AD1BC33568F}"/>
    <cellStyle name="Normal 7 8 3 9" xfId="10103" xr:uid="{A57FA0DA-9FD7-4CA6-9CB7-82C9D1601774}"/>
    <cellStyle name="Normal 7 8 3 9 2" xfId="20483" xr:uid="{0A58600F-6701-41B4-8111-EC37D917DB22}"/>
    <cellStyle name="Normal 7 8 4" xfId="1525" xr:uid="{00000000-0005-0000-0000-0000CE070000}"/>
    <cellStyle name="Normal 7 8 4 2" xfId="3518" xr:uid="{00000000-0005-0000-0000-00005A090000}"/>
    <cellStyle name="Normal 7 8 4 2 2" xfId="6570" xr:uid="{2D3B1732-C0C4-4184-9529-9D3397680CCF}"/>
    <cellStyle name="Normal 7 8 4 2 2 2" xfId="26341" xr:uid="{18BA798C-1CAB-4154-8A00-6F8B20C7677C}"/>
    <cellStyle name="Normal 7 8 4 2 2 3" xfId="16143" xr:uid="{2EC925BB-FC79-43F7-9189-F3E0AEB2AAC6}"/>
    <cellStyle name="Normal 7 8 4 2 3" xfId="8596" xr:uid="{E889EDAF-AC51-4E64-B90A-68E56389DFF1}"/>
    <cellStyle name="Normal 7 8 4 2 3 2" xfId="18976" xr:uid="{CF1ED609-EDFD-4B74-BCFC-93DB78C9BEE4}"/>
    <cellStyle name="Normal 7 8 4 2 4" xfId="11429" xr:uid="{C14DD82C-EB00-41EA-81C7-986D104E753A}"/>
    <cellStyle name="Normal 7 8 4 2 4 2" xfId="21809" xr:uid="{28EDE53E-4E23-4C8E-803B-8CF54ADE71C3}"/>
    <cellStyle name="Normal 7 8 4 2 5" xfId="23870" xr:uid="{DAF8F0C6-D633-4834-AF21-6EB4864E869F}"/>
    <cellStyle name="Normal 7 8 4 2 6" xfId="14116" xr:uid="{FC4B95CA-7630-4D5E-9F99-47E4DE000F79}"/>
    <cellStyle name="Normal 7 8 4 3" xfId="4383" xr:uid="{DDDC4B48-D8E9-4CFF-BC48-3733A2D9C0DB}"/>
    <cellStyle name="Normal 7 8 4 3 2" xfId="9155" xr:uid="{88E149B4-AEE7-4B2B-8FC2-3B3D63800B72}"/>
    <cellStyle name="Normal 7 8 4 3 2 2" xfId="29198" xr:uid="{13EE9B69-83F2-4861-9BB9-B19C3E5A5F7A}"/>
    <cellStyle name="Normal 7 8 4 3 2 3" xfId="19535" xr:uid="{146A8993-573F-4BA9-938B-F93667F4DF6B}"/>
    <cellStyle name="Normal 7 8 4 3 3" xfId="11988" xr:uid="{D8F0375E-D6EF-4256-9453-2256BA4E9CE2}"/>
    <cellStyle name="Normal 7 8 4 3 3 2" xfId="22368" xr:uid="{7BB54D95-9672-4655-A145-127DD140A5F0}"/>
    <cellStyle name="Normal 7 8 4 3 4" xfId="25004" xr:uid="{97038F17-365A-4DF1-A989-2DB0119DA142}"/>
    <cellStyle name="Normal 7 8 4 3 5" xfId="16702" xr:uid="{15D63064-F809-4432-A947-3CD3660D0709}"/>
    <cellStyle name="Normal 7 8 4 4" xfId="5522" xr:uid="{12700FF1-E859-4A50-834D-53FEE56265D2}"/>
    <cellStyle name="Normal 7 8 4 4 2" xfId="27927" xr:uid="{7C539E13-FE66-4E42-80B7-588329FD1E86}"/>
    <cellStyle name="Normal 7 8 4 4 3" xfId="14818" xr:uid="{3BC6BBA6-D823-4391-BFF5-F62FFCA43906}"/>
    <cellStyle name="Normal 7 8 4 5" xfId="7271" xr:uid="{09E4D0D4-DD47-4C28-BA61-BC050682ED6E}"/>
    <cellStyle name="Normal 7 8 4 5 2" xfId="17651" xr:uid="{3B1BE631-D436-4B36-A9FC-9578B0B4D703}"/>
    <cellStyle name="Normal 7 8 4 6" xfId="10104" xr:uid="{6EC9376E-3E00-4354-AE8C-26D2158FBB93}"/>
    <cellStyle name="Normal 7 8 4 6 2" xfId="20484" xr:uid="{4470BBFB-6868-457E-AF5E-D56EEAF443BE}"/>
    <cellStyle name="Normal 7 8 4 7" xfId="24922" xr:uid="{5C022206-BF20-4DB4-ACFA-19E9DD733230}"/>
    <cellStyle name="Normal 7 8 4 8" xfId="13338" xr:uid="{C03A58B5-F03B-40CC-8671-B10B50CF5463}"/>
    <cellStyle name="Normal 7 8 5" xfId="3519" xr:uid="{00000000-0005-0000-0000-00005B090000}"/>
    <cellStyle name="Normal 7 8 5 2" xfId="4617" xr:uid="{6FE2DECE-CF5D-4EA3-B482-2923A49B0CAE}"/>
    <cellStyle name="Normal 7 8 5 2 2" xfId="9389" xr:uid="{EB7FA5EB-7F5C-4DD4-ACB2-AEAB0F7C18F4}"/>
    <cellStyle name="Normal 7 8 5 2 2 2" xfId="29355" xr:uid="{7E7B8F39-C9D1-4B60-9B39-DF7E143DCFA4}"/>
    <cellStyle name="Normal 7 8 5 2 2 3" xfId="19769" xr:uid="{B159F4FE-C009-45E2-A5B6-8C6524487467}"/>
    <cellStyle name="Normal 7 8 5 2 3" xfId="12222" xr:uid="{C7BAC334-97E7-456D-B63A-44008174535C}"/>
    <cellStyle name="Normal 7 8 5 2 3 2" xfId="22602" xr:uid="{33603211-998B-4CBE-AD4A-461612197449}"/>
    <cellStyle name="Normal 7 8 5 2 4" xfId="24638" xr:uid="{16505472-9B54-4E8E-A907-73F926F8CEBC}"/>
    <cellStyle name="Normal 7 8 5 2 5" xfId="16936" xr:uid="{F45452EC-FE44-479B-9E32-60AB2B62D4E2}"/>
    <cellStyle name="Normal 7 8 5 3" xfId="6571" xr:uid="{5C36BBD4-913A-4277-A9D3-4A7F6C8E6197}"/>
    <cellStyle name="Normal 7 8 5 3 2" xfId="28510" xr:uid="{56C0E03D-EDAC-4478-B152-E33DFB8842C2}"/>
    <cellStyle name="Normal 7 8 5 3 3" xfId="16144" xr:uid="{7CA00030-135D-4E3B-9825-4467B971B465}"/>
    <cellStyle name="Normal 7 8 5 4" xfId="8597" xr:uid="{3EF1D7D6-C217-49AF-9C72-2054E589F6B3}"/>
    <cellStyle name="Normal 7 8 5 4 2" xfId="18977" xr:uid="{72959006-9EC3-463A-9313-2524A79B09CD}"/>
    <cellStyle name="Normal 7 8 5 5" xfId="11430" xr:uid="{685EB8FE-A462-4983-B49D-13FB883C5612}"/>
    <cellStyle name="Normal 7 8 5 5 2" xfId="21810" xr:uid="{80E81E97-8C0A-4EBE-BAF1-B83D64823B71}"/>
    <cellStyle name="Normal 7 8 5 6" xfId="24439" xr:uid="{560FF643-4B9B-4EF0-A996-EBF2BE331482}"/>
    <cellStyle name="Normal 7 8 5 7" xfId="14117" xr:uid="{889DBCD3-4D9D-4D56-AED3-0D3D13B08F28}"/>
    <cellStyle name="Normal 7 8 6" xfId="3006" xr:uid="{00000000-0005-0000-0000-00005C090000}"/>
    <cellStyle name="Normal 7 8 6 2" xfId="6155" xr:uid="{ECB7BE2F-F1BF-4158-969C-F9ECBA07135F}"/>
    <cellStyle name="Normal 7 8 6 2 2" xfId="28652" xr:uid="{80419F36-A086-4067-833D-EBD603F8F0E4}"/>
    <cellStyle name="Normal 7 8 6 2 3" xfId="15633" xr:uid="{CF2628DF-893E-4F73-A427-DA1C36416A14}"/>
    <cellStyle name="Normal 7 8 6 3" xfId="8086" xr:uid="{9B558696-2698-4280-A3BA-786C8B9EB28D}"/>
    <cellStyle name="Normal 7 8 6 3 2" xfId="18466" xr:uid="{539FCDB9-9685-4A12-88FB-F7D5E54DEA17}"/>
    <cellStyle name="Normal 7 8 6 4" xfId="10919" xr:uid="{BBA3631A-F5B5-4D2E-BC5C-476E2AEBE074}"/>
    <cellStyle name="Normal 7 8 6 4 2" xfId="21299" xr:uid="{8243ADB7-0152-45E1-BCEC-7B4C35B31788}"/>
    <cellStyle name="Normal 7 8 6 5" xfId="23926" xr:uid="{5248020E-73F8-4BD7-B357-541AFA29F228}"/>
    <cellStyle name="Normal 7 8 6 6" xfId="13508" xr:uid="{8526138E-9324-496C-AED5-8C55EE1A18A0}"/>
    <cellStyle name="Normal 7 8 7" xfId="2465" xr:uid="{00000000-0005-0000-0000-00005D090000}"/>
    <cellStyle name="Normal 7 8 7 2" xfId="5756" xr:uid="{C11A75DA-8194-440B-9B8C-0D34AA248DDB}"/>
    <cellStyle name="Normal 7 8 7 2 2" xfId="26766" xr:uid="{807FB85F-D401-4E4D-B3E3-50260B76AA88}"/>
    <cellStyle name="Normal 7 8 7 2 3" xfId="15137" xr:uid="{74DEED31-889A-4695-836C-C5D98706DCF3}"/>
    <cellStyle name="Normal 7 8 7 3" xfId="7590" xr:uid="{542CD4D7-15E3-43F7-8EAA-FCF5E44DFBDF}"/>
    <cellStyle name="Normal 7 8 7 3 2" xfId="17970" xr:uid="{F90E9161-0A68-425A-8227-C2EF28C4EE8A}"/>
    <cellStyle name="Normal 7 8 7 4" xfId="10423" xr:uid="{EC31E704-79D0-40EA-8D9C-CD2D93D13E36}"/>
    <cellStyle name="Normal 7 8 7 4 2" xfId="20803" xr:uid="{9C889ABF-4886-479A-BA81-31468C2AB18D}"/>
    <cellStyle name="Normal 7 8 7 5" xfId="23211" xr:uid="{E84ED942-BD3F-4A1B-980D-B708E4354395}"/>
    <cellStyle name="Normal 7 8 7 6" xfId="12853" xr:uid="{FA02A863-7404-4A05-B219-E910A08E343C}"/>
    <cellStyle name="Normal 7 8 8" xfId="2219" xr:uid="{00000000-0005-0000-0000-00004C090000}"/>
    <cellStyle name="Normal 7 8 8 2" xfId="7346" xr:uid="{61DDE688-2A70-4F2A-B6EE-DE4DE9B40FD2}"/>
    <cellStyle name="Normal 7 8 8 2 2" xfId="17726" xr:uid="{F547AF6E-3139-4C19-B29C-9F548C32EF0D}"/>
    <cellStyle name="Normal 7 8 8 3" xfId="10179" xr:uid="{CF8ECEF6-1BD3-423E-8735-1B48A9AC7EBF}"/>
    <cellStyle name="Normal 7 8 8 3 2" xfId="20559" xr:uid="{760FCA6F-6B42-44AB-B086-38F9E5CE5D2F}"/>
    <cellStyle name="Normal 7 8 8 4" xfId="24356" xr:uid="{59B7BEB4-E380-44D7-965B-F4AE71DC9ECA}"/>
    <cellStyle name="Normal 7 8 8 5" xfId="14893" xr:uid="{4FAD8375-0A0D-4BB1-BDA6-9363022E60FB}"/>
    <cellStyle name="Normal 7 8 9" xfId="4091" xr:uid="{FEACF0C8-3B18-49F1-89D3-9F76FFBE9C2B}"/>
    <cellStyle name="Normal 7 8 9 2" xfId="8868" xr:uid="{044108D4-921D-454F-BC77-7FEBD8D9F1BE}"/>
    <cellStyle name="Normal 7 8 9 2 2" xfId="19248" xr:uid="{3963D2D1-7D47-4D3F-8EEF-DFA1EBBFAD56}"/>
    <cellStyle name="Normal 7 8 9 3" xfId="11701" xr:uid="{7CC49168-E851-4172-8B55-2E2123A2E074}"/>
    <cellStyle name="Normal 7 8 9 3 2" xfId="22081" xr:uid="{1F00B042-48FB-473F-BBE8-03A7A9D3718B}"/>
    <cellStyle name="Normal 7 8 9 4" xfId="16415" xr:uid="{9ECAB39F-081A-4BCF-91F5-E4AF0193581E}"/>
    <cellStyle name="Normal 7 9" xfId="1526" xr:uid="{00000000-0005-0000-0000-0000CF070000}"/>
    <cellStyle name="Normal 7 9 10" xfId="7272" xr:uid="{76B76404-D632-40A0-BB9A-59637784038A}"/>
    <cellStyle name="Normal 7 9 10 2" xfId="17652" xr:uid="{9FC1061D-EC27-4D99-933D-B09A5D9C7F27}"/>
    <cellStyle name="Normal 7 9 11" xfId="10105" xr:uid="{D870EB85-AD4D-4FEB-92BD-E2F68463C43F}"/>
    <cellStyle name="Normal 7 9 11 2" xfId="20485" xr:uid="{B025CEB8-359C-41A1-95E0-E003A49FD9C1}"/>
    <cellStyle name="Normal 7 9 12" xfId="24207" xr:uid="{69CE26CE-3A4C-454E-8F2D-CB9244761167}"/>
    <cellStyle name="Normal 7 9 13" xfId="12434" xr:uid="{AC04919D-675B-4B08-8270-6BD19B73D1B5}"/>
    <cellStyle name="Normal 7 9 2" xfId="1527" xr:uid="{00000000-0005-0000-0000-0000D0070000}"/>
    <cellStyle name="Normal 7 9 2 10" xfId="10106" xr:uid="{E8C46142-E8B2-4D5F-8EE2-1212BE095953}"/>
    <cellStyle name="Normal 7 9 2 10 2" xfId="20486" xr:uid="{3961B3AA-27FD-4F2D-81A3-D6F4042000D3}"/>
    <cellStyle name="Normal 7 9 2 11" xfId="24031" xr:uid="{47681A00-42C3-4ED8-88C1-F08154E55A54}"/>
    <cellStyle name="Normal 7 9 2 12" xfId="12653" xr:uid="{8C56996B-E01D-467A-82C7-7D82C4130E86}"/>
    <cellStyle name="Normal 7 9 2 2" xfId="1528" xr:uid="{00000000-0005-0000-0000-0000D1070000}"/>
    <cellStyle name="Normal 7 9 2 2 2" xfId="3521" xr:uid="{00000000-0005-0000-0000-000061090000}"/>
    <cellStyle name="Normal 7 9 2 2 2 2" xfId="6573" xr:uid="{08851B5F-A0C6-4173-92C6-3E7000C8619F}"/>
    <cellStyle name="Normal 7 9 2 2 2 2 2" xfId="27105" xr:uid="{CEE07C7C-3E03-42D2-943B-38879DADD3F3}"/>
    <cellStyle name="Normal 7 9 2 2 2 2 3" xfId="26806" xr:uid="{D5E4D8DD-3FA5-4219-8507-710DA5DB159F}"/>
    <cellStyle name="Normal 7 9 2 2 2 2 4" xfId="16146" xr:uid="{F0204F73-FBE0-4809-A492-AAEF4FFB1D37}"/>
    <cellStyle name="Normal 7 9 2 2 2 3" xfId="8599" xr:uid="{89A1D3EC-64C2-4849-B353-0D2924A8D8FC}"/>
    <cellStyle name="Normal 7 9 2 2 2 3 2" xfId="28957" xr:uid="{5F917D48-4F1B-4B93-A25D-AD1D9110EBB6}"/>
    <cellStyle name="Normal 7 9 2 2 2 3 3" xfId="18979" xr:uid="{5F01B0CE-0AEF-40AE-8AF6-6394A42860FE}"/>
    <cellStyle name="Normal 7 9 2 2 2 4" xfId="11432" xr:uid="{5B92965B-4502-425D-8343-5002168817EF}"/>
    <cellStyle name="Normal 7 9 2 2 2 4 2" xfId="21812" xr:uid="{EC4382FD-FB15-4D27-8555-27EFDA1B470C}"/>
    <cellStyle name="Normal 7 9 2 2 2 5" xfId="25293" xr:uid="{99CC8E3D-D4B8-4B8A-BCE4-EDCA6176E377}"/>
    <cellStyle name="Normal 7 9 2 2 2 6" xfId="14119" xr:uid="{57595528-7EB4-4445-8F59-1E354DAFFCE0}"/>
    <cellStyle name="Normal 7 9 2 2 3" xfId="4386" xr:uid="{EB528A48-2B64-4BDC-8BAB-0FE57D1C1D8E}"/>
    <cellStyle name="Normal 7 9 2 2 3 2" xfId="9158" xr:uid="{E8D964A0-F164-4946-80DB-AB8D069D5C9F}"/>
    <cellStyle name="Normal 7 9 2 2 3 2 2" xfId="29201" xr:uid="{D58B8F9A-5BDF-468E-8C95-FE715D3C18B6}"/>
    <cellStyle name="Normal 7 9 2 2 3 2 3" xfId="19538" xr:uid="{C3ACBE5E-39B4-4333-B2B5-F5429CC797E6}"/>
    <cellStyle name="Normal 7 9 2 2 3 3" xfId="11991" xr:uid="{0D94B800-EF91-4226-824B-57DB58AA52C0}"/>
    <cellStyle name="Normal 7 9 2 2 3 3 2" xfId="22371" xr:uid="{A565410B-6B4B-47B2-A417-B3C674410799}"/>
    <cellStyle name="Normal 7 9 2 2 3 4" xfId="25317" xr:uid="{EA531831-9B22-4B41-ACD8-704165E0FA10}"/>
    <cellStyle name="Normal 7 9 2 2 3 5" xfId="16705" xr:uid="{9C4EFBA3-6C6E-49BD-AC85-870512FC7371}"/>
    <cellStyle name="Normal 7 9 2 2 4" xfId="5525" xr:uid="{18BC8DA5-668A-4E08-B837-D6E5D5825294}"/>
    <cellStyle name="Normal 7 9 2 2 4 2" xfId="28167" xr:uid="{389B0291-07E3-4E2E-9500-1F54470578F6}"/>
    <cellStyle name="Normal 7 9 2 2 4 3" xfId="14821" xr:uid="{4A15D896-DA51-48D9-8AAD-A328E02E30F3}"/>
    <cellStyle name="Normal 7 9 2 2 5" xfId="7274" xr:uid="{02FE9ED2-AE5C-4F82-AC53-CE84C785F709}"/>
    <cellStyle name="Normal 7 9 2 2 5 2" xfId="17654" xr:uid="{E1DCDE85-C82F-40FA-9E8E-32D8F09DF505}"/>
    <cellStyle name="Normal 7 9 2 2 6" xfId="10107" xr:uid="{9A763DA3-65C7-470B-B90A-0B57D73D284E}"/>
    <cellStyle name="Normal 7 9 2 2 6 2" xfId="20487" xr:uid="{491B9786-B64D-46A4-9AB6-CF8D6286570A}"/>
    <cellStyle name="Normal 7 9 2 2 7" xfId="25342" xr:uid="{E73C036E-A05A-4DA2-9D76-D70653EB3182}"/>
    <cellStyle name="Normal 7 9 2 2 8" xfId="13342" xr:uid="{E35BAE62-FA84-42DC-B6E0-509D12519BE2}"/>
    <cellStyle name="Normal 7 9 2 3" xfId="3522" xr:uid="{00000000-0005-0000-0000-000062090000}"/>
    <cellStyle name="Normal 7 9 2 3 2" xfId="4618" xr:uid="{3CBC5E3B-62D7-4DB8-815F-3B4712A8F13D}"/>
    <cellStyle name="Normal 7 9 2 3 2 2" xfId="9390" xr:uid="{7AABAB45-D7FE-46BE-9046-290BB631FB24}"/>
    <cellStyle name="Normal 7 9 2 3 2 2 2" xfId="29356" xr:uid="{324F7A9F-FE78-4615-8C4D-FF47E462CCC9}"/>
    <cellStyle name="Normal 7 9 2 3 2 2 3" xfId="19770" xr:uid="{F5587A6F-B2B0-4149-839D-414E408BA8D0}"/>
    <cellStyle name="Normal 7 9 2 3 2 3" xfId="12223" xr:uid="{B475D31E-70F6-438B-8C9E-ECB57843A29A}"/>
    <cellStyle name="Normal 7 9 2 3 2 3 2" xfId="22603" xr:uid="{BADAC9A4-43D9-4F92-BD81-0DADED5F81E3}"/>
    <cellStyle name="Normal 7 9 2 3 2 4" xfId="22801" xr:uid="{FCC204BA-D332-4134-B6DB-AEF25B42614C}"/>
    <cellStyle name="Normal 7 9 2 3 2 5" xfId="16937" xr:uid="{CCB1FEA2-2B68-4F1C-9FD9-C4B2B1D7B967}"/>
    <cellStyle name="Normal 7 9 2 3 3" xfId="6574" xr:uid="{71E69CFC-40E7-4104-BFBA-4DBE33C2F82D}"/>
    <cellStyle name="Normal 7 9 2 3 3 2" xfId="26624" xr:uid="{F58E0E78-8ECE-42E0-96CB-0D7D2E1A5464}"/>
    <cellStyle name="Normal 7 9 2 3 3 3" xfId="16147" xr:uid="{8D530DF0-F5EF-41BD-A2D4-B3FC36911876}"/>
    <cellStyle name="Normal 7 9 2 3 4" xfId="8600" xr:uid="{CDA5547D-2F80-4A49-B0B1-AB2FA1B1084B}"/>
    <cellStyle name="Normal 7 9 2 3 4 2" xfId="18980" xr:uid="{2236DDA7-9D03-4C60-B54C-5924CE083B3C}"/>
    <cellStyle name="Normal 7 9 2 3 5" xfId="11433" xr:uid="{9791950E-AE78-4758-9E42-C1AECEDCC64D}"/>
    <cellStyle name="Normal 7 9 2 3 5 2" xfId="21813" xr:uid="{83B9B04D-4243-406B-ABFC-78F92A017694}"/>
    <cellStyle name="Normal 7 9 2 3 6" xfId="23914" xr:uid="{E58699ED-2530-462B-88C0-F1DA833FB6D3}"/>
    <cellStyle name="Normal 7 9 2 3 7" xfId="14120" xr:uid="{2D4AAA1A-2B8B-40C1-9A1E-00B7BC6FC7D8}"/>
    <cellStyle name="Normal 7 9 2 4" xfId="3520" xr:uid="{00000000-0005-0000-0000-000063090000}"/>
    <cellStyle name="Normal 7 9 2 4 2" xfId="6572" xr:uid="{0678E052-A05D-47FC-9CF2-7856977E5B03}"/>
    <cellStyle name="Normal 7 9 2 4 2 2" xfId="27945" xr:uid="{3A9EC0DA-80EC-450F-9518-A60478D3153D}"/>
    <cellStyle name="Normal 7 9 2 4 2 3" xfId="16145" xr:uid="{35D206DD-1A1E-4F56-BB7A-53C0916F54B3}"/>
    <cellStyle name="Normal 7 9 2 4 3" xfId="8598" xr:uid="{CDC1C0DC-7ED4-43F3-A6D6-B09549999CB6}"/>
    <cellStyle name="Normal 7 9 2 4 3 2" xfId="18978" xr:uid="{CC7E147F-2D79-4243-B86F-0A56D99A4F7D}"/>
    <cellStyle name="Normal 7 9 2 4 4" xfId="11431" xr:uid="{780E7390-0FB8-4182-9798-6692B3F5C71A}"/>
    <cellStyle name="Normal 7 9 2 4 4 2" xfId="21811" xr:uid="{B7712B30-F3F0-4E71-95FB-C62553CC3BDF}"/>
    <cellStyle name="Normal 7 9 2 4 5" xfId="24357" xr:uid="{8A7F2BD6-0CA8-4A18-9356-1337DE2860AA}"/>
    <cellStyle name="Normal 7 9 2 4 6" xfId="14118" xr:uid="{0AE5AA18-0D24-4CE0-A9B1-8E4BFA177CD5}"/>
    <cellStyle name="Normal 7 9 2 5" xfId="2611" xr:uid="{00000000-0005-0000-0000-000064090000}"/>
    <cellStyle name="Normal 7 9 2 5 2" xfId="5875" xr:uid="{02EC3617-103E-479F-BD91-557718149D0F}"/>
    <cellStyle name="Normal 7 9 2 5 2 2" xfId="27174" xr:uid="{B13239FD-9AD8-4D87-BD9B-30459B012047}"/>
    <cellStyle name="Normal 7 9 2 5 2 3" xfId="15283" xr:uid="{525DCEDE-148E-4FA1-9F80-FA1DD04D1FD9}"/>
    <cellStyle name="Normal 7 9 2 5 3" xfId="7736" xr:uid="{205D57FB-2FDB-4E35-995D-6CAC7E85399C}"/>
    <cellStyle name="Normal 7 9 2 5 3 2" xfId="18116" xr:uid="{5EB5B4F1-ADC4-4B88-A39E-84C73F0E9D54}"/>
    <cellStyle name="Normal 7 9 2 5 4" xfId="10569" xr:uid="{4D04A9D9-B538-4A30-9770-CDF7E0117AE7}"/>
    <cellStyle name="Normal 7 9 2 5 4 2" xfId="20949" xr:uid="{18912B82-CF5D-4537-98C1-8DAAB5D0F50B}"/>
    <cellStyle name="Normal 7 9 2 5 5" xfId="24968" xr:uid="{2F0DDD04-8A76-43E6-BA13-A08E98458436}"/>
    <cellStyle name="Normal 7 9 2 5 6" xfId="12999" xr:uid="{C487D90F-46AF-4631-AB02-F6BE425059FA}"/>
    <cellStyle name="Normal 7 9 2 6" xfId="2419" xr:uid="{00000000-0005-0000-0000-00005F090000}"/>
    <cellStyle name="Normal 7 9 2 6 2" xfId="7546" xr:uid="{F30F222B-9441-437C-A6E0-AB2324CAF431}"/>
    <cellStyle name="Normal 7 9 2 6 2 2" xfId="17926" xr:uid="{D512FE79-C220-4CDE-BC43-6B9FBDDEB87F}"/>
    <cellStyle name="Normal 7 9 2 6 3" xfId="10379" xr:uid="{D89C89ED-B3E0-4384-BC77-325D7C4FD9B0}"/>
    <cellStyle name="Normal 7 9 2 6 3 2" xfId="20759" xr:uid="{2474CED3-A43B-4BE4-8430-346C113529AC}"/>
    <cellStyle name="Normal 7 9 2 6 4" xfId="24961" xr:uid="{550406FD-A150-47E6-9976-E76297CE33A1}"/>
    <cellStyle name="Normal 7 9 2 6 5" xfId="15093" xr:uid="{C83A44F1-13EB-40E5-8915-4667757BAC52}"/>
    <cellStyle name="Normal 7 9 2 7" xfId="4112" xr:uid="{36B8797F-B026-4C66-AFCC-B9C1561C0C3E}"/>
    <cellStyle name="Normal 7 9 2 7 2" xfId="8884" xr:uid="{43CDC3D9-BA1E-48A2-A621-662AA63CF995}"/>
    <cellStyle name="Normal 7 9 2 7 2 2" xfId="19264" xr:uid="{E3962313-9FA7-4DD6-996F-E16BB0636A3E}"/>
    <cellStyle name="Normal 7 9 2 7 3" xfId="11717" xr:uid="{4161F892-B5CC-433F-905F-6E4810BBB2DC}"/>
    <cellStyle name="Normal 7 9 2 7 3 2" xfId="22097" xr:uid="{90F7AEA4-E403-4901-A36D-A8A0F46E7D5C}"/>
    <cellStyle name="Normal 7 9 2 7 4" xfId="16431" xr:uid="{E259559B-E094-468A-B09B-CD3885E79875}"/>
    <cellStyle name="Normal 7 9 2 8" xfId="5524" xr:uid="{98E0A974-EB5B-4BF5-B155-2665B9E0977B}"/>
    <cellStyle name="Normal 7 9 2 8 2" xfId="14820" xr:uid="{6E89D7F4-0805-46B7-9E60-9A344E5140B1}"/>
    <cellStyle name="Normal 7 9 2 9" xfId="7273" xr:uid="{D2DBE619-47FE-4865-9554-1EE6952CBB47}"/>
    <cellStyle name="Normal 7 9 2 9 2" xfId="17653" xr:uid="{F78EBC94-14F7-4DF1-8ADE-C5E769662C9F}"/>
    <cellStyle name="Normal 7 9 3" xfId="1529" xr:uid="{00000000-0005-0000-0000-0000D2070000}"/>
    <cellStyle name="Normal 7 9 3 2" xfId="3523" xr:uid="{00000000-0005-0000-0000-000066090000}"/>
    <cellStyle name="Normal 7 9 3 2 2" xfId="6575" xr:uid="{9F0A2FA7-3928-4EB9-A863-E47676CD7690}"/>
    <cellStyle name="Normal 7 9 3 2 2 2" xfId="25687" xr:uid="{7C940A72-1C14-4D0A-B528-F3F82AED5172}"/>
    <cellStyle name="Normal 7 9 3 2 2 3" xfId="26416" xr:uid="{0CC7C559-802F-4B94-AA77-4C0A16656359}"/>
    <cellStyle name="Normal 7 9 3 2 2 4" xfId="16148" xr:uid="{49D0CC1E-D9B2-48D9-8085-08641E1A7354}"/>
    <cellStyle name="Normal 7 9 3 2 3" xfId="8601" xr:uid="{5D1E7105-FCF4-4747-80CD-AAF0B5E4D8EC}"/>
    <cellStyle name="Normal 7 9 3 2 3 2" xfId="28958" xr:uid="{32FBB707-5394-4C92-83F9-7C9EF9C45FD5}"/>
    <cellStyle name="Normal 7 9 3 2 3 3" xfId="18981" xr:uid="{E4638DAA-1718-4007-9964-207D65BA3D50}"/>
    <cellStyle name="Normal 7 9 3 2 4" xfId="11434" xr:uid="{8F06EF70-C52F-4EE6-A142-976E630723EC}"/>
    <cellStyle name="Normal 7 9 3 2 4 2" xfId="21814" xr:uid="{5E25D8AD-D880-4A1C-A626-6B9B0DB887FF}"/>
    <cellStyle name="Normal 7 9 3 2 5" xfId="24038" xr:uid="{B900FF44-0CD6-47EE-BE3E-92F621776826}"/>
    <cellStyle name="Normal 7 9 3 2 6" xfId="14121" xr:uid="{92C9E29A-A929-4803-9480-90B080FCCAA0}"/>
    <cellStyle name="Normal 7 9 3 3" xfId="2855" xr:uid="{00000000-0005-0000-0000-000067090000}"/>
    <cellStyle name="Normal 7 9 3 3 2" xfId="6068" xr:uid="{552C9DB8-F2FE-4DB7-87DD-2637543458B4}"/>
    <cellStyle name="Normal 7 9 3 3 2 2" xfId="27100" xr:uid="{C305AF17-1FC2-42EB-9385-6EB7FB692611}"/>
    <cellStyle name="Normal 7 9 3 3 2 3" xfId="15524" xr:uid="{00B05003-6DAD-46AB-8D7A-3081755121F7}"/>
    <cellStyle name="Normal 7 9 3 3 3" xfId="7977" xr:uid="{96CEEA5A-E54D-4FE3-8D32-B1F5FE07FF7E}"/>
    <cellStyle name="Normal 7 9 3 3 3 2" xfId="18357" xr:uid="{C2185AB7-E1D9-4136-A3D8-3FE27D6DAC9A}"/>
    <cellStyle name="Normal 7 9 3 3 4" xfId="10810" xr:uid="{56A3599A-7953-459B-A1A3-4A71B18D1E50}"/>
    <cellStyle name="Normal 7 9 3 3 4 2" xfId="21190" xr:uid="{04356900-E566-4A9B-AB64-9298087B8874}"/>
    <cellStyle name="Normal 7 9 3 3 5" xfId="22978" xr:uid="{80DE1E42-C673-47AD-B52E-CA9A21F5EB24}"/>
    <cellStyle name="Normal 7 9 3 3 6" xfId="13341" xr:uid="{2EBF2D73-5A9B-4896-A377-105375220801}"/>
    <cellStyle name="Normal 7 9 3 4" xfId="4234" xr:uid="{009F3A9E-D472-4C57-A8C3-6EC8071C48E8}"/>
    <cellStyle name="Normal 7 9 3 4 2" xfId="9006" xr:uid="{89A1C875-00DB-4A28-BCFE-966AC653E27C}"/>
    <cellStyle name="Normal 7 9 3 4 2 2" xfId="29079" xr:uid="{3407352C-E7D0-44FC-BE36-DC3434CC1F7E}"/>
    <cellStyle name="Normal 7 9 3 4 2 3" xfId="19386" xr:uid="{6A467CD1-AD66-4DE1-A7EC-FE546128C4B6}"/>
    <cellStyle name="Normal 7 9 3 4 3" xfId="11839" xr:uid="{94A68735-F083-4BB4-A6F2-891A9D3076A4}"/>
    <cellStyle name="Normal 7 9 3 4 3 2" xfId="22219" xr:uid="{DF5D69F8-067E-4B5B-9C60-25DFF1B221CF}"/>
    <cellStyle name="Normal 7 9 3 4 4" xfId="25302" xr:uid="{A333E4D4-8266-4CAC-9652-DF09A9050DE2}"/>
    <cellStyle name="Normal 7 9 3 4 5" xfId="16553" xr:uid="{BA17A702-172F-4B25-A816-765D2D3BF28F}"/>
    <cellStyle name="Normal 7 9 3 5" xfId="5526" xr:uid="{E23AF0C2-CA43-438E-8DB3-48A5553C1FFF}"/>
    <cellStyle name="Normal 7 9 3 5 2" xfId="26742" xr:uid="{9A010853-80A8-43CE-9504-53BB5BD6511A}"/>
    <cellStyle name="Normal 7 9 3 5 3" xfId="14822" xr:uid="{EBC047F0-F2C2-4A19-B843-85B9C3176CDD}"/>
    <cellStyle name="Normal 7 9 3 6" xfId="7275" xr:uid="{270FBFB5-488C-4813-B979-BE8050EF08E5}"/>
    <cellStyle name="Normal 7 9 3 6 2" xfId="17655" xr:uid="{380EE030-134D-4F2D-B8F3-937D0548DDD5}"/>
    <cellStyle name="Normal 7 9 3 7" xfId="10108" xr:uid="{AACECB7E-D3E8-45EC-9BA8-3B9034382EBF}"/>
    <cellStyle name="Normal 7 9 3 7 2" xfId="20488" xr:uid="{FF0948E6-3860-47FA-8C35-5FB7EBF99BE8}"/>
    <cellStyle name="Normal 7 9 3 8" xfId="25237" xr:uid="{2B26FE36-D5EB-49E0-8D5B-041DA3CE7730}"/>
    <cellStyle name="Normal 7 9 3 9" xfId="12811" xr:uid="{1E100D0D-8A53-490A-AD82-5F618450BFD0}"/>
    <cellStyle name="Normal 7 9 4" xfId="1530" xr:uid="{00000000-0005-0000-0000-0000D3070000}"/>
    <cellStyle name="Normal 7 9 4 2" xfId="4619" xr:uid="{D8ADD1F9-5E09-4A26-B899-6466160604EE}"/>
    <cellStyle name="Normal 7 9 4 2 2" xfId="9391" xr:uid="{AC745180-8B0D-4883-BD43-41C6A6499E9B}"/>
    <cellStyle name="Normal 7 9 4 2 2 2" xfId="29357" xr:uid="{BDA279B8-AB6C-4947-86E1-AE57EF99F92E}"/>
    <cellStyle name="Normal 7 9 4 2 2 3" xfId="19771" xr:uid="{7EB3FA25-948C-443D-B0D2-DD14CCA3A367}"/>
    <cellStyle name="Normal 7 9 4 2 3" xfId="12224" xr:uid="{538A9DFF-DB48-4A6F-A5FB-46A052E34D48}"/>
    <cellStyle name="Normal 7 9 4 2 3 2" xfId="22604" xr:uid="{47F9D50A-E47B-4A77-9DE0-3A0EF4481ACF}"/>
    <cellStyle name="Normal 7 9 4 2 4" xfId="23200" xr:uid="{93A2BE3E-37AB-4CCA-9D02-CC359A5B0EFC}"/>
    <cellStyle name="Normal 7 9 4 2 5" xfId="16938" xr:uid="{F6F170E3-636C-4A4C-B98C-D8444EF2B468}"/>
    <cellStyle name="Normal 7 9 4 3" xfId="5527" xr:uid="{A396F996-239A-445A-A6F4-F14DAC58772C}"/>
    <cellStyle name="Normal 7 9 4 3 2" xfId="26860" xr:uid="{5FCF35A9-5BF2-4855-B4E3-941F78CE0889}"/>
    <cellStyle name="Normal 7 9 4 3 3" xfId="14823" xr:uid="{E3A07064-7A3C-4C6B-9FE2-6C6913CA03C8}"/>
    <cellStyle name="Normal 7 9 4 4" xfId="7276" xr:uid="{99717AD7-F2BA-465A-A409-687E2EDF3698}"/>
    <cellStyle name="Normal 7 9 4 4 2" xfId="17656" xr:uid="{89BFB8D1-6EF1-45D4-AEBC-6E948CAC5C3F}"/>
    <cellStyle name="Normal 7 9 4 5" xfId="10109" xr:uid="{9C473F4B-F41A-4FED-8117-317196EB172E}"/>
    <cellStyle name="Normal 7 9 4 5 2" xfId="20489" xr:uid="{548150CA-1959-42AD-A8A0-4CD85AEC1CF9}"/>
    <cellStyle name="Normal 7 9 4 6" xfId="23318" xr:uid="{90438584-0BBD-4922-A6AD-5FA93D3E3B84}"/>
    <cellStyle name="Normal 7 9 4 7" xfId="14122" xr:uid="{8BCF2BE3-836B-4051-A553-2CD533FD4E0B}"/>
    <cellStyle name="Normal 7 9 5" xfId="3007" xr:uid="{00000000-0005-0000-0000-000069090000}"/>
    <cellStyle name="Normal 7 9 5 2" xfId="6156" xr:uid="{B6FA53FF-BD14-4883-9FCA-C451B43DC22F}"/>
    <cellStyle name="Normal 7 9 5 2 2" xfId="23782" xr:uid="{AB3A175D-8D8C-4590-9045-6040641ADC6E}"/>
    <cellStyle name="Normal 7 9 5 2 3" xfId="26294" xr:uid="{86D19EBE-A986-4E9E-846A-05B5E7E4364F}"/>
    <cellStyle name="Normal 7 9 5 2 4" xfId="15634" xr:uid="{C77432AA-AAAE-413F-A7F0-44CCC9BE276F}"/>
    <cellStyle name="Normal 7 9 5 3" xfId="8087" xr:uid="{E12B3A7A-1B5F-471C-BAD1-6D27964F06D5}"/>
    <cellStyle name="Normal 7 9 5 3 2" xfId="28775" xr:uid="{4F86F4A4-BA89-4E1F-88FD-EB8406010FEF}"/>
    <cellStyle name="Normal 7 9 5 3 3" xfId="18467" xr:uid="{BAD2C3DC-50E5-46F3-9397-9944D636B453}"/>
    <cellStyle name="Normal 7 9 5 4" xfId="10920" xr:uid="{03CEEDD0-8ED3-4A45-AB13-ECADDFE2B3DF}"/>
    <cellStyle name="Normal 7 9 5 4 2" xfId="21300" xr:uid="{72734BA9-5ED0-4982-AA4B-8F25F03ECF4B}"/>
    <cellStyle name="Normal 7 9 5 5" xfId="25231" xr:uid="{90B76BFE-3D6B-4351-9FA1-CED203962F0C}"/>
    <cellStyle name="Normal 7 9 5 6" xfId="13509" xr:uid="{DED0737A-E3B6-4662-88E6-FA3B4431B0EB}"/>
    <cellStyle name="Normal 7 9 6" xfId="2448" xr:uid="{00000000-0005-0000-0000-00006A090000}"/>
    <cellStyle name="Normal 7 9 6 2" xfId="5742" xr:uid="{A21802D7-3AEA-4613-B0DA-95F88FA7F82F}"/>
    <cellStyle name="Normal 7 9 6 2 2" xfId="27499" xr:uid="{5D6EAF00-91E5-4FB9-8357-3EC29A50CE84}"/>
    <cellStyle name="Normal 7 9 6 2 3" xfId="15120" xr:uid="{99DD2ACB-D84D-48D7-812C-0B64F51EBC04}"/>
    <cellStyle name="Normal 7 9 6 3" xfId="7573" xr:uid="{3B84B987-E9BD-47E8-8E0B-76567E116218}"/>
    <cellStyle name="Normal 7 9 6 3 2" xfId="17953" xr:uid="{6450F13B-32CA-46A3-876C-9C17F54CA193}"/>
    <cellStyle name="Normal 7 9 6 4" xfId="10406" xr:uid="{111254B1-4478-47D7-BFD6-1CC71E53BAB8}"/>
    <cellStyle name="Normal 7 9 6 4 2" xfId="20786" xr:uid="{BE947B0F-D3ED-4B4B-A0F9-7A3F338B9393}"/>
    <cellStyle name="Normal 7 9 6 5" xfId="25509" xr:uid="{EC12210C-C328-4352-AEFD-0D3884467429}"/>
    <cellStyle name="Normal 7 9 6 6" xfId="12836" xr:uid="{141FE04E-C5AC-4063-B82F-950C701F3659}"/>
    <cellStyle name="Normal 7 9 7" xfId="2202" xr:uid="{00000000-0005-0000-0000-00005E090000}"/>
    <cellStyle name="Normal 7 9 7 2" xfId="7329" xr:uid="{8B458AC3-BF4E-4537-BF0E-72146AA9668A}"/>
    <cellStyle name="Normal 7 9 7 2 2" xfId="17709" xr:uid="{43837D5F-C8CE-4C8C-86D5-A7E1C7E81EFA}"/>
    <cellStyle name="Normal 7 9 7 3" xfId="10162" xr:uid="{E2615F79-4C90-46EC-895F-F2469CD45BB7}"/>
    <cellStyle name="Normal 7 9 7 3 2" xfId="20542" xr:uid="{0B6BD076-43E3-4F2B-BF44-4B8152ACA325}"/>
    <cellStyle name="Normal 7 9 7 4" xfId="25162" xr:uid="{5C574672-E70C-4BCA-AD6E-EB39F0C3BE09}"/>
    <cellStyle name="Normal 7 9 7 5" xfId="14876" xr:uid="{E7A8736D-B587-49E7-8DDE-5C8B07073C9C}"/>
    <cellStyle name="Normal 7 9 8" xfId="4092" xr:uid="{48F81BFA-E56C-457E-B821-421005CE6B7E}"/>
    <cellStyle name="Normal 7 9 8 2" xfId="8869" xr:uid="{59624F85-188A-4DC5-A973-CF535F1C3006}"/>
    <cellStyle name="Normal 7 9 8 2 2" xfId="19249" xr:uid="{CDB4CDA9-5A88-4F7A-8E89-E6070286E791}"/>
    <cellStyle name="Normal 7 9 8 3" xfId="11702" xr:uid="{40C1D1E6-17D1-4C02-B55F-22DC85EC4E61}"/>
    <cellStyle name="Normal 7 9 8 3 2" xfId="22082" xr:uid="{3EE5F332-23BB-4E00-9F4E-A0451E045FBC}"/>
    <cellStyle name="Normal 7 9 8 4" xfId="16416" xr:uid="{EF23CB9C-EB5D-4D45-A085-DAB83BF58FDF}"/>
    <cellStyle name="Normal 7 9 9" xfId="5523" xr:uid="{F22B49DA-465D-43F1-B44D-B8C43A47CDDB}"/>
    <cellStyle name="Normal 7 9 9 2" xfId="14819" xr:uid="{91B81AB7-D6D7-4DD6-8F25-8A293600F6FB}"/>
    <cellStyle name="Normal 8" xfId="1531" xr:uid="{00000000-0005-0000-0000-0000D4070000}"/>
    <cellStyle name="Normal 8 2" xfId="29582" xr:uid="{642610B3-64E9-42AF-815C-4FE869EEE9E0}"/>
    <cellStyle name="Normal 8 3" xfId="29581" xr:uid="{7A2785FC-6644-4AB3-8E5A-F1804DD2459D}"/>
    <cellStyle name="Normal 9" xfId="1532" xr:uid="{00000000-0005-0000-0000-0000D5070000}"/>
    <cellStyle name="Normal 9 2" xfId="1533" xr:uid="{00000000-0005-0000-0000-0000D6070000}"/>
    <cellStyle name="Normal 9 3" xfId="1534" xr:uid="{00000000-0005-0000-0000-0000D7070000}"/>
    <cellStyle name="Normal 9 3 10" xfId="5528" xr:uid="{4AB69308-8C32-4387-B887-18F04195A9A2}"/>
    <cellStyle name="Normal 9 3 10 2" xfId="14824" xr:uid="{A568E98C-0400-4732-81B2-5DA889B4ECC9}"/>
    <cellStyle name="Normal 9 3 11" xfId="7277" xr:uid="{9C31A94E-E47B-4C4E-AA50-31C830FC9793}"/>
    <cellStyle name="Normal 9 3 11 2" xfId="17657" xr:uid="{67475792-A064-4C8D-8F2B-D3C95F0869EB}"/>
    <cellStyle name="Normal 9 3 12" xfId="10110" xr:uid="{DF1350DD-95C6-4B0B-A47F-46C905C02413}"/>
    <cellStyle name="Normal 9 3 12 2" xfId="20490" xr:uid="{9E81BCD6-4B82-4560-9838-C4DA59AE953D}"/>
    <cellStyle name="Normal 9 3 13" xfId="23746" xr:uid="{EFC3CC01-DF8D-4E46-A1DC-29C2FC1E6D88}"/>
    <cellStyle name="Normal 9 3 14" xfId="12453" xr:uid="{7C092815-7879-4DBB-9138-F2CA8A4D8BC0}"/>
    <cellStyle name="Normal 9 3 2" xfId="1535" xr:uid="{00000000-0005-0000-0000-0000D8070000}"/>
    <cellStyle name="Normal 9 3 2 10" xfId="10111" xr:uid="{1BC54D58-FAE8-4CA5-A215-072C3D163546}"/>
    <cellStyle name="Normal 9 3 2 10 2" xfId="20491" xr:uid="{500DC43B-85D7-41C4-B7B1-5C329AD74604}"/>
    <cellStyle name="Normal 9 3 2 11" xfId="24688" xr:uid="{5DEB5EAF-D9A4-4538-8400-0E86CE3B6390}"/>
    <cellStyle name="Normal 9 3 2 12" xfId="12654" xr:uid="{AF7FA52A-556F-406A-9630-C99BE17F1F57}"/>
    <cellStyle name="Normal 9 3 2 2" xfId="1536" xr:uid="{00000000-0005-0000-0000-0000D9070000}"/>
    <cellStyle name="Normal 9 3 2 2 2" xfId="3525" xr:uid="{00000000-0005-0000-0000-000071090000}"/>
    <cellStyle name="Normal 9 3 2 2 2 2" xfId="6577" xr:uid="{61E38F25-4671-45E7-BD26-CC1FC625D228}"/>
    <cellStyle name="Normal 9 3 2 2 2 2 2" xfId="26592" xr:uid="{F0803882-E7BA-4ACA-BBDF-86736E543627}"/>
    <cellStyle name="Normal 9 3 2 2 2 2 3" xfId="26570" xr:uid="{0351A92C-BD2E-4958-9C3A-F12228850566}"/>
    <cellStyle name="Normal 9 3 2 2 2 2 4" xfId="16150" xr:uid="{9C18D614-3BE3-4ED2-B560-BC5AE95B75E3}"/>
    <cellStyle name="Normal 9 3 2 2 2 3" xfId="8603" xr:uid="{BE65C509-C0C6-4A1F-A374-1EE3062AE055}"/>
    <cellStyle name="Normal 9 3 2 2 2 3 2" xfId="28959" xr:uid="{F5C6AB54-623F-423B-8FEB-05CC38DA7056}"/>
    <cellStyle name="Normal 9 3 2 2 2 3 3" xfId="18983" xr:uid="{58225118-F29B-45F9-AD0C-8AC1797B9542}"/>
    <cellStyle name="Normal 9 3 2 2 2 4" xfId="11436" xr:uid="{0754E3CA-D1D0-46A2-922E-A5798C8C4CDC}"/>
    <cellStyle name="Normal 9 3 2 2 2 4 2" xfId="21816" xr:uid="{8A7075DA-2E26-4DA4-AD72-161C96E19338}"/>
    <cellStyle name="Normal 9 3 2 2 2 5" xfId="22768" xr:uid="{473C9031-F318-43FC-8658-85A28AA83484}"/>
    <cellStyle name="Normal 9 3 2 2 2 6" xfId="14124" xr:uid="{36C99B2C-4255-4078-A427-390C0CBB97A7}"/>
    <cellStyle name="Normal 9 3 2 2 3" xfId="4388" xr:uid="{E27B2987-F417-471D-AC9A-5B85DC1F6FAF}"/>
    <cellStyle name="Normal 9 3 2 2 3 2" xfId="9160" xr:uid="{C9B63629-3B96-4B96-B02A-E368C9D52F0A}"/>
    <cellStyle name="Normal 9 3 2 2 3 2 2" xfId="29203" xr:uid="{C689CD34-05DE-485A-9208-CBE8032D66E4}"/>
    <cellStyle name="Normal 9 3 2 2 3 2 3" xfId="19540" xr:uid="{69A4B702-2460-4A63-A202-6E5DC53D42CC}"/>
    <cellStyle name="Normal 9 3 2 2 3 3" xfId="11993" xr:uid="{A64A7DEC-A52B-478E-A0CF-B335B93A1206}"/>
    <cellStyle name="Normal 9 3 2 2 3 3 2" xfId="22373" xr:uid="{BE7DD643-6BFB-4834-8244-F58057CE6FFB}"/>
    <cellStyle name="Normal 9 3 2 2 3 4" xfId="25577" xr:uid="{885E0AA7-5309-4C8F-8AFC-41E170CCFB76}"/>
    <cellStyle name="Normal 9 3 2 2 3 5" xfId="16707" xr:uid="{B11F47EB-650E-41F7-8C7F-DC0E51B318B7}"/>
    <cellStyle name="Normal 9 3 2 2 4" xfId="5530" xr:uid="{CEE07FD4-DFF8-429E-A5B3-76FBAA538174}"/>
    <cellStyle name="Normal 9 3 2 2 4 2" xfId="25911" xr:uid="{A8A7DD7F-D3B1-452D-9F03-130165BDB4E3}"/>
    <cellStyle name="Normal 9 3 2 2 4 3" xfId="14826" xr:uid="{96E8603D-D717-4175-B56A-2F95F56301C6}"/>
    <cellStyle name="Normal 9 3 2 2 5" xfId="7279" xr:uid="{6B92E09E-A16F-4BB5-B821-2619DD7E833B}"/>
    <cellStyle name="Normal 9 3 2 2 5 2" xfId="17659" xr:uid="{40A4B931-8544-4AA6-B9D8-6EC501CF4EFF}"/>
    <cellStyle name="Normal 9 3 2 2 6" xfId="10112" xr:uid="{EF10A58C-DD50-4A43-9814-8E6A895118D0}"/>
    <cellStyle name="Normal 9 3 2 2 6 2" xfId="20492" xr:uid="{4B3C97CB-024F-4C41-913F-4A34ED604898}"/>
    <cellStyle name="Normal 9 3 2 2 7" xfId="23431" xr:uid="{FEBA0127-C05C-429D-AF95-30B2175C1BAB}"/>
    <cellStyle name="Normal 9 3 2 2 8" xfId="13344" xr:uid="{35E799C1-7A84-46DF-95C6-B6E06589CD95}"/>
    <cellStyle name="Normal 9 3 2 3" xfId="3526" xr:uid="{00000000-0005-0000-0000-000072090000}"/>
    <cellStyle name="Normal 9 3 2 3 2" xfId="4620" xr:uid="{6FF08757-DE2A-4275-8283-E148E5712689}"/>
    <cellStyle name="Normal 9 3 2 3 2 2" xfId="9392" xr:uid="{6E7266DC-E246-460E-B844-E5ADFCFCE88E}"/>
    <cellStyle name="Normal 9 3 2 3 2 2 2" xfId="29358" xr:uid="{5546639A-11D4-45FA-8D46-304C4BA7C982}"/>
    <cellStyle name="Normal 9 3 2 3 2 2 3" xfId="19772" xr:uid="{83DCD948-8322-471E-96D6-2BE36C0E0B8B}"/>
    <cellStyle name="Normal 9 3 2 3 2 3" xfId="12225" xr:uid="{77152B59-0C8D-4D29-819F-1C430B6F5E84}"/>
    <cellStyle name="Normal 9 3 2 3 2 3 2" xfId="22605" xr:uid="{859336DA-A2E4-4CC5-94C0-330CB1E77B4A}"/>
    <cellStyle name="Normal 9 3 2 3 2 4" xfId="25153" xr:uid="{95F16352-F41C-487A-A8FE-E650FFA413CA}"/>
    <cellStyle name="Normal 9 3 2 3 2 5" xfId="16939" xr:uid="{FD0F13F0-0D44-4D21-AD6D-D0F8848807FB}"/>
    <cellStyle name="Normal 9 3 2 3 3" xfId="6578" xr:uid="{6FB8331A-94A3-4B8A-A948-FAF3E56A6F2D}"/>
    <cellStyle name="Normal 9 3 2 3 3 2" xfId="27115" xr:uid="{59108EC7-E465-4179-9BF7-F9579AE7F628}"/>
    <cellStyle name="Normal 9 3 2 3 3 3" xfId="16151" xr:uid="{B93DD648-8961-4474-98DC-0C4F16FFF4F4}"/>
    <cellStyle name="Normal 9 3 2 3 4" xfId="8604" xr:uid="{AFAEEE0F-E538-4F57-B2EA-299EB1BD6D4B}"/>
    <cellStyle name="Normal 9 3 2 3 4 2" xfId="18984" xr:uid="{033BDA48-367F-4178-97F8-450D1D9264C1}"/>
    <cellStyle name="Normal 9 3 2 3 5" xfId="11437" xr:uid="{5DE2EA4C-89F2-457B-B198-E2D1412814EB}"/>
    <cellStyle name="Normal 9 3 2 3 5 2" xfId="21817" xr:uid="{F4386B4F-BCED-4175-8B61-A3CB71AA11DC}"/>
    <cellStyle name="Normal 9 3 2 3 6" xfId="25319" xr:uid="{3B006FC9-8001-4A77-A9E7-4CB5D00079BA}"/>
    <cellStyle name="Normal 9 3 2 3 7" xfId="14125" xr:uid="{903689EE-9658-42CF-8D49-606DEBCAB0F4}"/>
    <cellStyle name="Normal 9 3 2 4" xfId="3524" xr:uid="{00000000-0005-0000-0000-000073090000}"/>
    <cellStyle name="Normal 9 3 2 4 2" xfId="6576" xr:uid="{5283ABC6-868A-4872-8CDA-0E032B3FEECC}"/>
    <cellStyle name="Normal 9 3 2 4 2 2" xfId="27314" xr:uid="{E759B78A-09C9-4956-A608-A54D9F15E544}"/>
    <cellStyle name="Normal 9 3 2 4 2 3" xfId="16149" xr:uid="{BAD269DF-945F-48A2-BC0C-885B2C589E9B}"/>
    <cellStyle name="Normal 9 3 2 4 3" xfId="8602" xr:uid="{A128BC4B-7B2D-4134-BAC5-8B8F05D5B6C9}"/>
    <cellStyle name="Normal 9 3 2 4 3 2" xfId="18982" xr:uid="{1B2054EF-017C-4DB4-8B36-266285B1A17F}"/>
    <cellStyle name="Normal 9 3 2 4 4" xfId="11435" xr:uid="{1392F5DF-4C3A-43B1-867F-D9F3C38BC9C7}"/>
    <cellStyle name="Normal 9 3 2 4 4 2" xfId="21815" xr:uid="{46AB251A-BBC9-4859-9035-7B6C9672AB9D}"/>
    <cellStyle name="Normal 9 3 2 4 5" xfId="24522" xr:uid="{3293725D-68A0-49DF-AB13-9B5C3649138B}"/>
    <cellStyle name="Normal 9 3 2 4 6" xfId="14123" xr:uid="{3C7EE531-5917-4876-A99E-9E763E08FA1E}"/>
    <cellStyle name="Normal 9 3 2 5" xfId="2527" xr:uid="{00000000-0005-0000-0000-000074090000}"/>
    <cellStyle name="Normal 9 3 2 5 2" xfId="5804" xr:uid="{BA1FC189-CC32-4908-A6F3-449251551132}"/>
    <cellStyle name="Normal 9 3 2 5 2 2" xfId="26281" xr:uid="{746CC66A-430C-40AA-B33E-C96387308F6A}"/>
    <cellStyle name="Normal 9 3 2 5 2 3" xfId="15199" xr:uid="{4FBAA3F0-9E8D-4249-BAF6-0A3B738BE1A0}"/>
    <cellStyle name="Normal 9 3 2 5 3" xfId="7652" xr:uid="{723FC09F-28D5-4033-B6C5-1ED5C325B9E9}"/>
    <cellStyle name="Normal 9 3 2 5 3 2" xfId="18032" xr:uid="{6EC2B81E-B5EB-49D3-B1B1-55455B5CEDED}"/>
    <cellStyle name="Normal 9 3 2 5 4" xfId="10485" xr:uid="{8F39D43A-086C-4288-82CB-BD83698E7AE9}"/>
    <cellStyle name="Normal 9 3 2 5 4 2" xfId="20865" xr:uid="{C0432212-6FE0-47AA-B2CE-E034E93B3709}"/>
    <cellStyle name="Normal 9 3 2 5 5" xfId="24004" xr:uid="{E0BC0D57-DAEB-4749-9ABE-7C74061882A6}"/>
    <cellStyle name="Normal 9 3 2 5 6" xfId="12915" xr:uid="{64F7EB20-D3DD-4F99-A29B-F99DA7E032F6}"/>
    <cellStyle name="Normal 9 3 2 6" xfId="2420" xr:uid="{00000000-0005-0000-0000-00006F090000}"/>
    <cellStyle name="Normal 9 3 2 6 2" xfId="7547" xr:uid="{18E3346C-DEEB-42CA-B8E8-FCF6F9B5D706}"/>
    <cellStyle name="Normal 9 3 2 6 2 2" xfId="17927" xr:uid="{7B14F1E8-5CB3-4D04-88DC-62867B25823F}"/>
    <cellStyle name="Normal 9 3 2 6 3" xfId="10380" xr:uid="{984BA9BD-FA5A-4052-8DEC-195A1F1B88F9}"/>
    <cellStyle name="Normal 9 3 2 6 3 2" xfId="20760" xr:uid="{11D5DB19-4C6B-4B78-8B41-7C409A0D3D62}"/>
    <cellStyle name="Normal 9 3 2 6 4" xfId="24072" xr:uid="{7366DBB6-5278-4923-BE64-761B236DD20F}"/>
    <cellStyle name="Normal 9 3 2 6 5" xfId="15094" xr:uid="{E7F115EA-2FDE-49DD-BF05-7ADE10036302}"/>
    <cellStyle name="Normal 9 3 2 7" xfId="4113" xr:uid="{9374BC6B-CD1E-475B-9BAB-2BFD3E7E9320}"/>
    <cellStyle name="Normal 9 3 2 7 2" xfId="8885" xr:uid="{A61FC122-8D78-4D4A-A33E-86158FD08CBC}"/>
    <cellStyle name="Normal 9 3 2 7 2 2" xfId="19265" xr:uid="{1095D0D4-4003-49DA-BD17-D1D71DD9D6E1}"/>
    <cellStyle name="Normal 9 3 2 7 3" xfId="11718" xr:uid="{B616AC3F-9AD3-40AF-B637-9B5A4397BAC2}"/>
    <cellStyle name="Normal 9 3 2 7 3 2" xfId="22098" xr:uid="{5405AB12-6C71-49A2-B6DB-AC19F94DA733}"/>
    <cellStyle name="Normal 9 3 2 7 4" xfId="16432" xr:uid="{AFD7D77D-6E71-4609-A560-60461BEFFA16}"/>
    <cellStyle name="Normal 9 3 2 8" xfId="5529" xr:uid="{0786BECE-6A31-42EE-9331-D7C14B15827F}"/>
    <cellStyle name="Normal 9 3 2 8 2" xfId="14825" xr:uid="{E8AC801E-8E0D-4CA7-87D8-B60EB549F231}"/>
    <cellStyle name="Normal 9 3 2 9" xfId="7278" xr:uid="{1517974F-697C-4760-A4F0-3C47F1C94A8B}"/>
    <cellStyle name="Normal 9 3 2 9 2" xfId="17658" xr:uid="{DE31666C-6B51-4798-B538-A1ABF840A24C}"/>
    <cellStyle name="Normal 9 3 3" xfId="1537" xr:uid="{00000000-0005-0000-0000-0000DA070000}"/>
    <cellStyle name="Normal 9 3 3 10" xfId="23616" xr:uid="{3BCD0679-C73A-4CA7-8DE7-B52FB445084D}"/>
    <cellStyle name="Normal 9 3 3 11" xfId="12812" xr:uid="{91C452CE-9E4D-4EF8-A993-3020E53F17F0}"/>
    <cellStyle name="Normal 9 3 3 2" xfId="2856" xr:uid="{00000000-0005-0000-0000-000076090000}"/>
    <cellStyle name="Normal 9 3 3 2 2" xfId="3528" xr:uid="{00000000-0005-0000-0000-000077090000}"/>
    <cellStyle name="Normal 9 3 3 2 2 2" xfId="6580" xr:uid="{6A7723EB-2EE4-437A-8B50-4F26B4D25813}"/>
    <cellStyle name="Normal 9 3 3 2 2 2 2" xfId="28289" xr:uid="{C4EC20E2-D990-42AC-B93B-D209FF6FEB0F}"/>
    <cellStyle name="Normal 9 3 3 2 2 2 3" xfId="16153" xr:uid="{401485D3-4685-42AC-835E-069DAD9B283F}"/>
    <cellStyle name="Normal 9 3 3 2 2 3" xfId="8606" xr:uid="{0C64DCB0-EE00-4330-BBAE-C4CE09C45F48}"/>
    <cellStyle name="Normal 9 3 3 2 2 3 2" xfId="18986" xr:uid="{A28F260C-89A8-4BBE-8768-F7AE6E940DD9}"/>
    <cellStyle name="Normal 9 3 3 2 2 4" xfId="11439" xr:uid="{97552286-2148-433B-9FBC-0665C2AECA65}"/>
    <cellStyle name="Normal 9 3 3 2 2 4 2" xfId="21819" xr:uid="{B2C393DF-8126-4368-8AF7-6BAB65457DA5}"/>
    <cellStyle name="Normal 9 3 3 2 2 5" xfId="24589" xr:uid="{5D40A031-63C9-4338-852D-AF4630FDA4FF}"/>
    <cellStyle name="Normal 9 3 3 2 2 6" xfId="14127" xr:uid="{07C518C0-D482-4303-96F0-A414A911B97B}"/>
    <cellStyle name="Normal 9 3 3 2 3" xfId="4389" xr:uid="{7079911C-0C35-4207-B5B1-461F08CE444F}"/>
    <cellStyle name="Normal 9 3 3 2 3 2" xfId="9161" xr:uid="{8C61F030-3F54-425F-A2A5-C40BE4F638EE}"/>
    <cellStyle name="Normal 9 3 3 2 3 2 2" xfId="29204" xr:uid="{DCFE6330-5348-45C4-B582-53E0DB2D0B19}"/>
    <cellStyle name="Normal 9 3 3 2 3 2 3" xfId="19541" xr:uid="{FE6B35BA-54CE-4622-8426-109FA0FA5207}"/>
    <cellStyle name="Normal 9 3 3 2 3 3" xfId="11994" xr:uid="{ED1873BC-6981-4881-89FB-BD30409C6329}"/>
    <cellStyle name="Normal 9 3 3 2 3 3 2" xfId="22374" xr:uid="{162DB640-D77F-4109-AF1E-262506AA9E85}"/>
    <cellStyle name="Normal 9 3 3 2 3 4" xfId="25061" xr:uid="{66680072-9919-429B-ACF2-AF257A99BC67}"/>
    <cellStyle name="Normal 9 3 3 2 3 5" xfId="16708" xr:uid="{C9C36FF6-9680-46A2-AA4D-72745ECFA321}"/>
    <cellStyle name="Normal 9 3 3 2 4" xfId="6069" xr:uid="{C7D4C911-8DBF-4141-A340-0094E99D177D}"/>
    <cellStyle name="Normal 9 3 3 2 4 2" xfId="27296" xr:uid="{072A35AE-ABC6-4E9A-9C1B-874A8ADCBB4C}"/>
    <cellStyle name="Normal 9 3 3 2 4 3" xfId="15525" xr:uid="{37A679C5-8311-4444-AD4B-839E1F2D428B}"/>
    <cellStyle name="Normal 9 3 3 2 5" xfId="7978" xr:uid="{E4E488D4-1900-442E-AFBB-C17D9C705538}"/>
    <cellStyle name="Normal 9 3 3 2 5 2" xfId="18358" xr:uid="{D806CCE6-CF6D-4315-A9BB-79F329C2469C}"/>
    <cellStyle name="Normal 9 3 3 2 6" xfId="10811" xr:uid="{631596A9-0A5E-4D26-BCE7-24E9DA7E79A5}"/>
    <cellStyle name="Normal 9 3 3 2 6 2" xfId="21191" xr:uid="{F54E663C-D6B0-4EF9-AA89-265B5A63BF3B}"/>
    <cellStyle name="Normal 9 3 3 2 7" xfId="23446" xr:uid="{E60959EF-B8BB-45A7-95F4-1FB49FFDAA73}"/>
    <cellStyle name="Normal 9 3 3 2 8" xfId="13345" xr:uid="{39DA5A5E-22FB-4B11-ACBA-4E41FDC0A999}"/>
    <cellStyle name="Normal 9 3 3 3" xfId="3529" xr:uid="{00000000-0005-0000-0000-000078090000}"/>
    <cellStyle name="Normal 9 3 3 3 2" xfId="4621" xr:uid="{A374713D-A901-4599-B10D-CC13D0931DCA}"/>
    <cellStyle name="Normal 9 3 3 3 2 2" xfId="9393" xr:uid="{E8D76548-7D73-46DB-A5A0-6DC7BA80E6E2}"/>
    <cellStyle name="Normal 9 3 3 3 2 2 2" xfId="29359" xr:uid="{F0A4D047-D002-44BB-82E4-05B84B3C58C8}"/>
    <cellStyle name="Normal 9 3 3 3 2 2 3" xfId="19773" xr:uid="{BC25623B-F10B-4611-B5CF-A3E12B2FBA57}"/>
    <cellStyle name="Normal 9 3 3 3 2 3" xfId="12226" xr:uid="{21171A98-E1A8-42D9-8F95-452F268B3DE5}"/>
    <cellStyle name="Normal 9 3 3 3 2 3 2" xfId="22606" xr:uid="{761E940A-93EF-4AEE-83CB-2887B5D13FC0}"/>
    <cellStyle name="Normal 9 3 3 3 2 4" xfId="25731" xr:uid="{B3DB446E-A3A6-46D2-93D1-79729B4EBD9F}"/>
    <cellStyle name="Normal 9 3 3 3 2 5" xfId="16940" xr:uid="{3BAA9BC5-FBD5-4756-B541-8C68EC70EE18}"/>
    <cellStyle name="Normal 9 3 3 3 3" xfId="6581" xr:uid="{3E7C5B49-26A9-48A0-B1EB-16F952ADCD21}"/>
    <cellStyle name="Normal 9 3 3 3 3 2" xfId="25830" xr:uid="{E0F86C41-413C-4405-922C-2D186646B34A}"/>
    <cellStyle name="Normal 9 3 3 3 3 3" xfId="16154" xr:uid="{2EDC2F1D-8FA1-4642-A8EE-6DAC4CCBF49E}"/>
    <cellStyle name="Normal 9 3 3 3 4" xfId="8607" xr:uid="{F937617A-9866-491A-B80D-DB7D52A01824}"/>
    <cellStyle name="Normal 9 3 3 3 4 2" xfId="18987" xr:uid="{B8F9D273-24C4-42BD-8DBA-C9018E0BEE6C}"/>
    <cellStyle name="Normal 9 3 3 3 5" xfId="11440" xr:uid="{9CA05CAF-3CD2-48F9-B804-794FAF97446E}"/>
    <cellStyle name="Normal 9 3 3 3 5 2" xfId="21820" xr:uid="{2E2C7C76-5401-45E5-A16C-D2728241448A}"/>
    <cellStyle name="Normal 9 3 3 3 6" xfId="23585" xr:uid="{BB0FC48A-7D4A-4E9B-8CE6-1551AE6EB1FC}"/>
    <cellStyle name="Normal 9 3 3 3 7" xfId="14128" xr:uid="{4B0D0024-DEEB-48B1-B208-10492BB7113C}"/>
    <cellStyle name="Normal 9 3 3 4" xfId="3527" xr:uid="{00000000-0005-0000-0000-000079090000}"/>
    <cellStyle name="Normal 9 3 3 4 2" xfId="6579" xr:uid="{B99FA865-11BE-4BF6-BBC8-756C3A205319}"/>
    <cellStyle name="Normal 9 3 3 4 2 2" xfId="28344" xr:uid="{255980EA-8183-4AB3-B002-61989B34E296}"/>
    <cellStyle name="Normal 9 3 3 4 2 3" xfId="16152" xr:uid="{825A0061-CBCC-474E-B12E-DA3C9AB8FBF2}"/>
    <cellStyle name="Normal 9 3 3 4 3" xfId="8605" xr:uid="{EDDD3162-4000-4AE7-973B-6E814B25B586}"/>
    <cellStyle name="Normal 9 3 3 4 3 2" xfId="18985" xr:uid="{C81C4BA2-C32B-4BDD-9579-A162C733A1ED}"/>
    <cellStyle name="Normal 9 3 3 4 4" xfId="11438" xr:uid="{59CDEEBF-B28F-4680-AA15-E4B8A46F1528}"/>
    <cellStyle name="Normal 9 3 3 4 4 2" xfId="21818" xr:uid="{5D778F1D-331E-4609-B2CB-01422938D893}"/>
    <cellStyle name="Normal 9 3 3 4 5" xfId="25561" xr:uid="{C4D7C70A-92D1-4DEE-85EB-A1D347E35E09}"/>
    <cellStyle name="Normal 9 3 3 4 6" xfId="14126" xr:uid="{D0A22D98-2F19-4B82-AAF8-8359C1431143}"/>
    <cellStyle name="Normal 9 3 3 5" xfId="2630" xr:uid="{00000000-0005-0000-0000-00007A090000}"/>
    <cellStyle name="Normal 9 3 3 5 2" xfId="5892" xr:uid="{88BF2432-3F36-40FA-B829-CF5311DE77F1}"/>
    <cellStyle name="Normal 9 3 3 5 2 2" xfId="26856" xr:uid="{65B3474F-6278-4006-986D-74975B630A93}"/>
    <cellStyle name="Normal 9 3 3 5 2 3" xfId="15302" xr:uid="{0A366597-C1E7-4064-87CC-260111B3960F}"/>
    <cellStyle name="Normal 9 3 3 5 3" xfId="7755" xr:uid="{22F62663-0F23-4A14-91C2-BFBBD697CB34}"/>
    <cellStyle name="Normal 9 3 3 5 3 2" xfId="18135" xr:uid="{455D1F9B-F69D-4F20-9E78-421711729582}"/>
    <cellStyle name="Normal 9 3 3 5 4" xfId="10588" xr:uid="{BFC508BD-8161-43A4-8CD8-B80A7CEA27E2}"/>
    <cellStyle name="Normal 9 3 3 5 4 2" xfId="20968" xr:uid="{11BD6D2A-ED19-4EB5-B3C4-F1E1A93EEDDE}"/>
    <cellStyle name="Normal 9 3 3 5 5" xfId="23964" xr:uid="{66C40D62-EBD9-453C-A9DF-FB0F8B1F16A3}"/>
    <cellStyle name="Normal 9 3 3 5 6" xfId="13018" xr:uid="{C00C63F8-2BB6-4530-9D62-B489A284E5D0}"/>
    <cellStyle name="Normal 9 3 3 6" xfId="4235" xr:uid="{6130F00F-D701-47E5-9461-A7C38D95DFA6}"/>
    <cellStyle name="Normal 9 3 3 6 2" xfId="9007" xr:uid="{326D6A19-844C-489C-A912-5995F1D3F882}"/>
    <cellStyle name="Normal 9 3 3 6 2 2" xfId="19387" xr:uid="{0FB3103F-2348-46D2-B545-2D7F78A74AF5}"/>
    <cellStyle name="Normal 9 3 3 6 3" xfId="11840" xr:uid="{D0C765B0-48B7-42CB-A26F-BABDE2B59E11}"/>
    <cellStyle name="Normal 9 3 3 6 3 2" xfId="22220" xr:uid="{A64476FE-4E13-49DE-8F6E-7D4162D156D4}"/>
    <cellStyle name="Normal 9 3 3 6 4" xfId="23586" xr:uid="{B7A254AC-A05C-4494-B184-D878765317A4}"/>
    <cellStyle name="Normal 9 3 3 6 5" xfId="16554" xr:uid="{038AEEBE-F885-47B6-A792-E217C67B6AEA}"/>
    <cellStyle name="Normal 9 3 3 7" xfId="5531" xr:uid="{5B1B14C9-728F-47BA-BD19-6F296FF658F2}"/>
    <cellStyle name="Normal 9 3 3 7 2" xfId="14827" xr:uid="{0A3CCF14-7F2C-41A5-AB8F-21D6E5C1D48B}"/>
    <cellStyle name="Normal 9 3 3 8" xfId="7280" xr:uid="{A1DF4FDA-E667-42CF-991A-0A657BDCEB46}"/>
    <cellStyle name="Normal 9 3 3 8 2" xfId="17660" xr:uid="{75F396C0-A791-40C5-A302-1571062B9FC2}"/>
    <cellStyle name="Normal 9 3 3 9" xfId="10113" xr:uid="{364D286D-7AB8-4007-B051-3D51C398A02C}"/>
    <cellStyle name="Normal 9 3 3 9 2" xfId="20493" xr:uid="{66761F25-9FCD-4048-B0B9-B2827AD20A95}"/>
    <cellStyle name="Normal 9 3 4" xfId="1538" xr:uid="{00000000-0005-0000-0000-0000DB070000}"/>
    <cellStyle name="Normal 9 3 4 2" xfId="3530" xr:uid="{00000000-0005-0000-0000-00007C090000}"/>
    <cellStyle name="Normal 9 3 4 2 2" xfId="6582" xr:uid="{6618A356-247C-4E38-9B22-E35761120F33}"/>
    <cellStyle name="Normal 9 3 4 2 2 2" xfId="27410" xr:uid="{78283C58-4337-4F5E-907A-0C476131C0BF}"/>
    <cellStyle name="Normal 9 3 4 2 2 3" xfId="16155" xr:uid="{2736BC23-EBD6-494B-BC06-DC7599348600}"/>
    <cellStyle name="Normal 9 3 4 2 3" xfId="8608" xr:uid="{70E87402-024E-4EC9-A648-4CFA0ED01C13}"/>
    <cellStyle name="Normal 9 3 4 2 3 2" xfId="18988" xr:uid="{507C455B-7F40-4F63-81C1-077921D7A82C}"/>
    <cellStyle name="Normal 9 3 4 2 4" xfId="11441" xr:uid="{63D1F73F-52EC-4844-8785-319593B8E85F}"/>
    <cellStyle name="Normal 9 3 4 2 4 2" xfId="21821" xr:uid="{46D59E82-2D72-480A-A5AD-36E85DD9249E}"/>
    <cellStyle name="Normal 9 3 4 2 5" xfId="25191" xr:uid="{C6729B1C-FC30-45DA-A21B-A0D61000CEB8}"/>
    <cellStyle name="Normal 9 3 4 2 6" xfId="14129" xr:uid="{C2699CD7-6B3E-4A9F-8538-CB1683DF136C}"/>
    <cellStyle name="Normal 9 3 4 3" xfId="4387" xr:uid="{E6133B2D-CC91-48B6-BB07-FC4ACA204A72}"/>
    <cellStyle name="Normal 9 3 4 3 2" xfId="9159" xr:uid="{DE2B3788-700E-4C20-94EF-E7D0047DE05E}"/>
    <cellStyle name="Normal 9 3 4 3 2 2" xfId="29202" xr:uid="{2EA7EC9F-15F6-4560-AE9E-92AC68F3E8C4}"/>
    <cellStyle name="Normal 9 3 4 3 2 3" xfId="19539" xr:uid="{6EF1E229-03CC-40CE-BC98-C572DE27BE5E}"/>
    <cellStyle name="Normal 9 3 4 3 3" xfId="11992" xr:uid="{6D9DF767-2519-46C5-A8B7-009C6DDC4BEE}"/>
    <cellStyle name="Normal 9 3 4 3 3 2" xfId="22372" xr:uid="{A793C49A-AB2D-4151-9A2F-5E8F4F2622A3}"/>
    <cellStyle name="Normal 9 3 4 3 4" xfId="24330" xr:uid="{05EE09B5-D67A-468D-BD24-8274E3F53B07}"/>
    <cellStyle name="Normal 9 3 4 3 5" xfId="16706" xr:uid="{C7A8FF0B-26B8-49E9-906D-A257E258E1AE}"/>
    <cellStyle name="Normal 9 3 4 4" xfId="5532" xr:uid="{0541E45C-8FA8-4DDC-AE4A-41D7FFE6877C}"/>
    <cellStyle name="Normal 9 3 4 4 2" xfId="27431" xr:uid="{84F37593-CBFE-4E8E-B4F1-411DCAD0099F}"/>
    <cellStyle name="Normal 9 3 4 4 3" xfId="14828" xr:uid="{987CC3D6-F372-40DF-A5F3-F1E86B3E8B00}"/>
    <cellStyle name="Normal 9 3 4 5" xfId="7281" xr:uid="{32543468-66E4-471F-AE4B-E7E193DBEB6F}"/>
    <cellStyle name="Normal 9 3 4 5 2" xfId="17661" xr:uid="{A022FE02-CBFE-458D-9750-6AC33CDBDB46}"/>
    <cellStyle name="Normal 9 3 4 6" xfId="10114" xr:uid="{AF1CF284-68BC-4F89-BE24-6E00240B38C1}"/>
    <cellStyle name="Normal 9 3 4 6 2" xfId="20494" xr:uid="{A0814FDF-3321-4CD0-9762-8390657455AC}"/>
    <cellStyle name="Normal 9 3 4 7" xfId="25420" xr:uid="{53DD34F4-6E1E-4BAD-A36D-8B7DB8B0E752}"/>
    <cellStyle name="Normal 9 3 4 8" xfId="13343" xr:uid="{54E7A648-BD0A-4B30-993A-CDA43B2594E3}"/>
    <cellStyle name="Normal 9 3 5" xfId="3531" xr:uid="{00000000-0005-0000-0000-00007D090000}"/>
    <cellStyle name="Normal 9 3 5 2" xfId="4622" xr:uid="{77812157-224D-45F5-93B2-E96BD36A1BA0}"/>
    <cellStyle name="Normal 9 3 5 2 2" xfId="9394" xr:uid="{10B53018-6FBC-432D-8766-9B422C21813C}"/>
    <cellStyle name="Normal 9 3 5 2 2 2" xfId="29360" xr:uid="{F055EF98-3209-46D1-AE84-48E8181D908B}"/>
    <cellStyle name="Normal 9 3 5 2 2 3" xfId="19774" xr:uid="{8A20CDC1-FB1F-4637-BACB-B97C86074575}"/>
    <cellStyle name="Normal 9 3 5 2 3" xfId="12227" xr:uid="{C2ED2A5B-91C3-4DAF-9974-55BB288E53A6}"/>
    <cellStyle name="Normal 9 3 5 2 3 2" xfId="22607" xr:uid="{4C031065-FB13-4C84-AD3A-1B27143EB162}"/>
    <cellStyle name="Normal 9 3 5 2 4" xfId="24339" xr:uid="{12F339D8-5AD8-487E-B250-98D8D91C16C9}"/>
    <cellStyle name="Normal 9 3 5 2 5" xfId="16941" xr:uid="{3A761E34-DAF9-4CED-83FC-4540602E74DE}"/>
    <cellStyle name="Normal 9 3 5 3" xfId="6583" xr:uid="{DECD6082-9101-4607-A2E7-14D2E794CBA9}"/>
    <cellStyle name="Normal 9 3 5 3 2" xfId="26282" xr:uid="{2993EB5D-11BC-49F0-8510-C414E8F6ECE9}"/>
    <cellStyle name="Normal 9 3 5 3 3" xfId="16156" xr:uid="{C2337744-4461-4ED3-B6AA-FC0C1A4E1915}"/>
    <cellStyle name="Normal 9 3 5 4" xfId="8609" xr:uid="{62BBD5CF-7534-4D9A-9840-8F76C126DB91}"/>
    <cellStyle name="Normal 9 3 5 4 2" xfId="18989" xr:uid="{02DB4911-7863-4885-9B08-853F465CA199}"/>
    <cellStyle name="Normal 9 3 5 5" xfId="11442" xr:uid="{428BA9B7-F100-4B4E-B08E-96470F79D5BA}"/>
    <cellStyle name="Normal 9 3 5 5 2" xfId="21822" xr:uid="{57264222-481F-4F5C-AB3D-0E06FAD98777}"/>
    <cellStyle name="Normal 9 3 5 6" xfId="24373" xr:uid="{6D4ADB58-0721-42B1-99CD-86F58DAD93B1}"/>
    <cellStyle name="Normal 9 3 5 7" xfId="14130" xr:uid="{C8F30E62-F610-4007-A2DA-B3480F141DB2}"/>
    <cellStyle name="Normal 9 3 6" xfId="3008" xr:uid="{00000000-0005-0000-0000-00007E090000}"/>
    <cellStyle name="Normal 9 3 6 2" xfId="6157" xr:uid="{9C45F147-66EA-4E13-94CB-38655C13975F}"/>
    <cellStyle name="Normal 9 3 6 2 2" xfId="28126" xr:uid="{23CFD813-EE69-42B4-886F-DFABA93A796B}"/>
    <cellStyle name="Normal 9 3 6 2 3" xfId="15635" xr:uid="{FF4C76BB-6578-4299-BB68-6B46DD022FD6}"/>
    <cellStyle name="Normal 9 3 6 3" xfId="8088" xr:uid="{E4AAC665-37B2-497C-80B5-C23BC286C7CD}"/>
    <cellStyle name="Normal 9 3 6 3 2" xfId="18468" xr:uid="{94C97AE5-BB0B-4EC7-A03E-4D8D2DF6FC05}"/>
    <cellStyle name="Normal 9 3 6 4" xfId="10921" xr:uid="{1037EB35-D0C9-42D9-B72A-2F803B1A017A}"/>
    <cellStyle name="Normal 9 3 6 4 2" xfId="21301" xr:uid="{3CFE98F6-067C-4A66-91A1-728AA89A1B71}"/>
    <cellStyle name="Normal 9 3 6 5" xfId="23699" xr:uid="{7FB9F765-203E-4736-826D-44E4730F78DD}"/>
    <cellStyle name="Normal 9 3 6 6" xfId="13510" xr:uid="{B57CFD8E-4187-4A8C-B2CF-DF71A32E6823}"/>
    <cellStyle name="Normal 9 3 7" xfId="2467" xr:uid="{00000000-0005-0000-0000-00007F090000}"/>
    <cellStyle name="Normal 9 3 7 2" xfId="5758" xr:uid="{569E96DD-23FD-481A-908C-50469D669620}"/>
    <cellStyle name="Normal 9 3 7 2 2" xfId="28183" xr:uid="{52F279E6-152A-44BE-B450-9847EC2309EC}"/>
    <cellStyle name="Normal 9 3 7 2 3" xfId="15139" xr:uid="{E3699AD2-E742-48D2-8485-D72C90EBFEAB}"/>
    <cellStyle name="Normal 9 3 7 3" xfId="7592" xr:uid="{939704D8-5B53-4363-B96A-1DA334751AAB}"/>
    <cellStyle name="Normal 9 3 7 3 2" xfId="17972" xr:uid="{FC42FABC-9E0F-410E-BA3D-0DA334F1C74D}"/>
    <cellStyle name="Normal 9 3 7 4" xfId="10425" xr:uid="{6C3B0F93-4814-4F9B-8837-F31D6CE056B3}"/>
    <cellStyle name="Normal 9 3 7 4 2" xfId="20805" xr:uid="{F493829E-B27F-44E4-BDBF-D66BC7A523DB}"/>
    <cellStyle name="Normal 9 3 7 5" xfId="23329" xr:uid="{B5630A65-5BA8-46C9-A5DF-849BB1290C7C}"/>
    <cellStyle name="Normal 9 3 7 6" xfId="12855" xr:uid="{F1ACAA21-BC64-430B-ACC4-4D0028349B68}"/>
    <cellStyle name="Normal 9 3 8" xfId="2221" xr:uid="{00000000-0005-0000-0000-00006E090000}"/>
    <cellStyle name="Normal 9 3 8 2" xfId="7348" xr:uid="{4776B0CF-F1CC-4D89-9B9B-C508F402A5C3}"/>
    <cellStyle name="Normal 9 3 8 2 2" xfId="17728" xr:uid="{7FD9AC9E-A715-4E52-8EB3-5C2C40F4751E}"/>
    <cellStyle name="Normal 9 3 8 3" xfId="10181" xr:uid="{4CC6BF7A-1BE1-47BE-8AAF-62DEB16BCB7A}"/>
    <cellStyle name="Normal 9 3 8 3 2" xfId="20561" xr:uid="{080DD240-E808-4722-983E-3AB8D009BDD6}"/>
    <cellStyle name="Normal 9 3 8 4" xfId="23892" xr:uid="{171F2FA1-5D4C-406B-833D-DFB00D65D768}"/>
    <cellStyle name="Normal 9 3 8 5" xfId="14895" xr:uid="{7356630E-D98B-4216-B074-DEC366CBA58A}"/>
    <cellStyle name="Normal 9 3 9" xfId="4094" xr:uid="{076910DF-66FE-4541-83E0-1A0956D1291F}"/>
    <cellStyle name="Normal 9 3 9 2" xfId="8870" xr:uid="{C2ACD1ED-B023-42D5-AF41-0C96372140AE}"/>
    <cellStyle name="Normal 9 3 9 2 2" xfId="19250" xr:uid="{13DEB002-6083-4612-9E49-28F9B7EB2AE0}"/>
    <cellStyle name="Normal 9 3 9 3" xfId="11703" xr:uid="{8F58AB11-B0E1-4BB2-87AA-B4E2343A2256}"/>
    <cellStyle name="Normal 9 3 9 3 2" xfId="22083" xr:uid="{CB52BA86-C3D5-4CA1-8F40-0F09AB796200}"/>
    <cellStyle name="Normal 9 3 9 4" xfId="16417" xr:uid="{F437114A-E6D1-4130-B857-2CE3D3FDCB68}"/>
    <cellStyle name="Normal 9 4" xfId="1539" xr:uid="{00000000-0005-0000-0000-0000DC070000}"/>
    <cellStyle name="Normal 9 4 2" xfId="2857" xr:uid="{00000000-0005-0000-0000-000081090000}"/>
    <cellStyle name="Normal 9 4 2 2" xfId="3533" xr:uid="{00000000-0005-0000-0000-000082090000}"/>
    <cellStyle name="Normal 9 4 2 2 2" xfId="6585" xr:uid="{E29B9B1D-1AD6-42A2-86E7-830394F8818E}"/>
    <cellStyle name="Normal 9 4 2 2 2 2" xfId="28550" xr:uid="{7E8091FA-6537-4814-BB50-815C53B35F3E}"/>
    <cellStyle name="Normal 9 4 2 2 2 3" xfId="16158" xr:uid="{68EAE550-2833-4B1B-9561-27A74019172E}"/>
    <cellStyle name="Normal 9 4 2 2 3" xfId="8611" xr:uid="{D4D5D2DB-A568-4677-8500-323E9E76F7E7}"/>
    <cellStyle name="Normal 9 4 2 2 3 2" xfId="18991" xr:uid="{CF544657-DB90-4EC1-A633-658F6188756B}"/>
    <cellStyle name="Normal 9 4 2 2 4" xfId="11444" xr:uid="{E90DFABB-EB7F-4463-95A3-5082A18775C7}"/>
    <cellStyle name="Normal 9 4 2 2 4 2" xfId="21824" xr:uid="{E3F0DDC7-7141-40CF-A664-EE78E4B143C8}"/>
    <cellStyle name="Normal 9 4 2 2 5" xfId="25183" xr:uid="{90A3BB10-2CBE-468F-80E1-6D316882A40B}"/>
    <cellStyle name="Normal 9 4 2 2 6" xfId="14132" xr:uid="{DEA28F99-AEAA-4092-8E98-5C414B0A7DD3}"/>
    <cellStyle name="Normal 9 4 2 3" xfId="4390" xr:uid="{07075F1E-01E6-4D0C-B391-9162DCDDF969}"/>
    <cellStyle name="Normal 9 4 2 3 2" xfId="9162" xr:uid="{61C44C21-F9C7-4592-8DE1-28ACF0AD7970}"/>
    <cellStyle name="Normal 9 4 2 3 2 2" xfId="29205" xr:uid="{20157DB5-E4FD-460F-8D9C-3C66C356EBAB}"/>
    <cellStyle name="Normal 9 4 2 3 2 3" xfId="19542" xr:uid="{BEDB3A65-284C-4FCC-8DD7-711F7D69AAC3}"/>
    <cellStyle name="Normal 9 4 2 3 3" xfId="11995" xr:uid="{49FBB677-3959-4801-9455-58A2D2992D3E}"/>
    <cellStyle name="Normal 9 4 2 3 3 2" xfId="22375" xr:uid="{A4F36E1C-51CA-4E51-9FCD-B388BDBDFEEA}"/>
    <cellStyle name="Normal 9 4 2 3 4" xfId="23397" xr:uid="{EE8C1EAD-7862-4C19-A73C-98F1DE6D3216}"/>
    <cellStyle name="Normal 9 4 2 3 5" xfId="16709" xr:uid="{1BEFCD68-25D3-4729-A79F-22F731E8623F}"/>
    <cellStyle name="Normal 9 4 2 4" xfId="6070" xr:uid="{23A6C24C-7435-4415-BDC0-9CACA59FFAD6}"/>
    <cellStyle name="Normal 9 4 2 4 2" xfId="26202" xr:uid="{9A77DDE7-0937-4318-94E7-91B7D3CD1DF3}"/>
    <cellStyle name="Normal 9 4 2 4 3" xfId="15526" xr:uid="{B7B84202-B49A-4A59-B8E8-820B2C6013AC}"/>
    <cellStyle name="Normal 9 4 2 5" xfId="7979" xr:uid="{6CABEF68-FF64-4814-9C4F-D93616B5818F}"/>
    <cellStyle name="Normal 9 4 2 5 2" xfId="18359" xr:uid="{EEAC1F81-E8DE-4CD8-A142-1E5B0FCF912B}"/>
    <cellStyle name="Normal 9 4 2 6" xfId="10812" xr:uid="{66E2AE31-DC49-401E-862E-EF55F2D57FD5}"/>
    <cellStyle name="Normal 9 4 2 6 2" xfId="21192" xr:uid="{ACB740FB-80D5-43B8-AA7E-81335ACBBFB8}"/>
    <cellStyle name="Normal 9 4 2 7" xfId="25329" xr:uid="{80166A66-FA97-4A93-B534-A81FBC2CBC28}"/>
    <cellStyle name="Normal 9 4 2 8" xfId="13346" xr:uid="{DEC932F2-654D-480C-9DED-25B8C8C5EDC1}"/>
    <cellStyle name="Normal 9 4 3" xfId="3534" xr:uid="{00000000-0005-0000-0000-000083090000}"/>
    <cellStyle name="Normal 9 4 3 2" xfId="4623" xr:uid="{0F182935-658F-4F03-8638-E4AE160D2422}"/>
    <cellStyle name="Normal 9 4 3 2 2" xfId="9395" xr:uid="{A23C8947-DC44-4783-901A-1B726957A919}"/>
    <cellStyle name="Normal 9 4 3 2 2 2" xfId="29361" xr:uid="{72AF473C-70E8-41E2-B7C2-BF736021ABF5}"/>
    <cellStyle name="Normal 9 4 3 2 2 3" xfId="19775" xr:uid="{7AE12526-BB9F-43B4-817E-E725FEA740FB}"/>
    <cellStyle name="Normal 9 4 3 2 3" xfId="12228" xr:uid="{F9831BBB-A824-4598-9C55-0495E94FAF97}"/>
    <cellStyle name="Normal 9 4 3 2 3 2" xfId="22608" xr:uid="{C9B6B6FA-8C30-4523-A241-ADB70A96337F}"/>
    <cellStyle name="Normal 9 4 3 2 4" xfId="26259" xr:uid="{D7C51A85-EB7B-4A9C-AC0A-4D85AC1FC5DC}"/>
    <cellStyle name="Normal 9 4 3 2 5" xfId="16942" xr:uid="{62A1CEC6-12B5-4A67-98AB-A960BF8D525A}"/>
    <cellStyle name="Normal 9 4 3 3" xfId="6586" xr:uid="{709A4854-25AE-4DE8-92A4-7CDF8CA896BA}"/>
    <cellStyle name="Normal 9 4 3 3 2" xfId="28750" xr:uid="{DEAB3929-7210-4AAD-AB6C-72A5C3E8B772}"/>
    <cellStyle name="Normal 9 4 3 3 3" xfId="16159" xr:uid="{41D23587-A1CD-42E3-8D10-541F28A4120E}"/>
    <cellStyle name="Normal 9 4 3 4" xfId="8612" xr:uid="{EF433E80-920F-475E-9879-EBBBA3AFB382}"/>
    <cellStyle name="Normal 9 4 3 4 2" xfId="18992" xr:uid="{8DA7551E-BC45-4076-88A8-EADD931B634A}"/>
    <cellStyle name="Normal 9 4 3 5" xfId="11445" xr:uid="{3C7C2363-AF15-4A02-B5AC-FCE10678717B}"/>
    <cellStyle name="Normal 9 4 3 5 2" xfId="21825" xr:uid="{D563CF46-009F-498D-AD28-F52900BD44D6}"/>
    <cellStyle name="Normal 9 4 3 6" xfId="24828" xr:uid="{55EB0F15-01F9-49BA-99A2-5F2C73CA7093}"/>
    <cellStyle name="Normal 9 4 3 7" xfId="14133" xr:uid="{FCB1673D-2BA0-4D6E-A953-52829FDA7918}"/>
    <cellStyle name="Normal 9 4 4" xfId="3532" xr:uid="{00000000-0005-0000-0000-000084090000}"/>
    <cellStyle name="Normal 9 4 4 2" xfId="6584" xr:uid="{BD004F5F-C7C6-40CC-A6AE-7410E5D1A824}"/>
    <cellStyle name="Normal 9 4 4 2 2" xfId="26565" xr:uid="{445DCF4F-D88D-420F-AE39-77F1659F1003}"/>
    <cellStyle name="Normal 9 4 4 2 3" xfId="16157" xr:uid="{F00361A1-2E19-4EE4-B64E-6C311B0B4E5D}"/>
    <cellStyle name="Normal 9 4 4 3" xfId="8610" xr:uid="{EEB1AF0B-4B36-47EE-ACA1-CA21E2921727}"/>
    <cellStyle name="Normal 9 4 4 3 2" xfId="18990" xr:uid="{CF05D4AB-D75A-434F-B8CB-23591E79271E}"/>
    <cellStyle name="Normal 9 4 4 4" xfId="11443" xr:uid="{17DE6266-DB80-4203-9B2E-3E7A583B49CC}"/>
    <cellStyle name="Normal 9 4 4 4 2" xfId="21823" xr:uid="{17782EB0-D8ED-4B60-A071-E6371DA60D49}"/>
    <cellStyle name="Normal 9 4 4 5" xfId="23697" xr:uid="{977B99C4-6963-49D3-88DE-5E769C99F825}"/>
    <cellStyle name="Normal 9 4 4 6" xfId="14131" xr:uid="{9575704D-7B07-42B9-97F4-5DC8C68AC4C3}"/>
    <cellStyle name="Normal 9 4 5" xfId="2570" xr:uid="{00000000-0005-0000-0000-000080090000}"/>
    <cellStyle name="Normal 9 4 5 2" xfId="7695" xr:uid="{D3AB3A06-0A8D-4FE5-8592-ACFC5D61747F}"/>
    <cellStyle name="Normal 9 4 5 2 2" xfId="26223" xr:uid="{3DFDD03D-6021-4EFC-9A07-AF272C31E3D5}"/>
    <cellStyle name="Normal 9 4 5 2 3" xfId="18075" xr:uid="{8424DDCB-D3D6-4610-84D0-4AB218E6028A}"/>
    <cellStyle name="Normal 9 4 5 3" xfId="10528" xr:uid="{59D689A0-63B1-4B27-8D36-A398DF463194}"/>
    <cellStyle name="Normal 9 4 5 3 2" xfId="20908" xr:uid="{CC1D84D3-2ADD-4ACB-806D-5A2C8AB189D3}"/>
    <cellStyle name="Normal 9 4 5 4" xfId="22723" xr:uid="{A8FA1EA3-74A6-44A7-B153-321F80FAF260}"/>
    <cellStyle name="Normal 9 4 5 5" xfId="15242" xr:uid="{6923A4FE-DFFE-42DE-BCFB-95F4205F91B0}"/>
    <cellStyle name="Normal 9 4 6" xfId="4093" xr:uid="{4C828E4D-4894-4E57-99BB-5A30CE109BA9}"/>
    <cellStyle name="Normal 9 4 7" xfId="5533" xr:uid="{046B55AD-73C4-4E32-BA01-C1D2261765B1}"/>
    <cellStyle name="Normal 9 4 7 2" xfId="30088" xr:uid="{2F6732B9-22B1-4277-B1A7-B0F33EDFCAEE}"/>
    <cellStyle name="Normal 9 4 7 2 2" xfId="30954" xr:uid="{A8188D3E-D4CD-4378-91D8-1EB48A3EF6B0}"/>
    <cellStyle name="Normal 9 4 8" xfId="24875" xr:uid="{01617755-5A5A-4FF4-9CDD-9B8F02E162F4}"/>
    <cellStyle name="Normal 9 4 9" xfId="12958" xr:uid="{56E10DEF-E986-4612-85AD-C89FCA2318C8}"/>
    <cellStyle name="Normal 9 5" xfId="2161" xr:uid="{00000000-0005-0000-0000-00006C090000}"/>
    <cellStyle name="Normal 9 5 2" xfId="7288" xr:uid="{48B1AB87-07EC-4708-A87F-BFEE6D70400C}"/>
    <cellStyle name="Normal 9 5 2 2" xfId="17668" xr:uid="{99750353-F84F-41CC-9D12-E9DF9791E743}"/>
    <cellStyle name="Normal 9 5 3" xfId="10121" xr:uid="{7B1C32B0-D64A-48CC-AB10-9CBEFF18AC64}"/>
    <cellStyle name="Normal 9 5 3 2" xfId="20501" xr:uid="{E2A9CE1F-D70C-49E0-92BC-8C975A13128A}"/>
    <cellStyle name="Normal 9 5 4" xfId="22654" xr:uid="{FAD6C661-6B02-49D5-B470-1B52C90F26FA}"/>
    <cellStyle name="Normal 9 5 5" xfId="14835" xr:uid="{A9414641-2CAD-449B-8E34-2988A3AFB52A}"/>
    <cellStyle name="Normal 9 6" xfId="3786" xr:uid="{7F99DCEA-5481-4BF7-BFA1-F0B9667711FC}"/>
    <cellStyle name="Normal 9 6 2" xfId="8625" xr:uid="{04644E91-D4F2-4E90-802A-D4BE1DA78842}"/>
    <cellStyle name="Normal 9 6 2 2" xfId="19005" xr:uid="{98C3F4B8-94E7-4ECF-8817-1842479D7328}"/>
    <cellStyle name="Normal 9 6 3" xfId="11458" xr:uid="{50C24F86-DFBA-48D7-B0FD-CC68BF9E68F3}"/>
    <cellStyle name="Normal 9 6 3 2" xfId="21838" xr:uid="{2BE6A829-53DF-4DAA-B27E-D543C2800171}"/>
    <cellStyle name="Normal 9 6 4" xfId="16172" xr:uid="{62E24887-F48C-495C-93BD-ED141F1E8F38}"/>
    <cellStyle name="Normal 9 7" xfId="25343" xr:uid="{A5091A5E-C58C-46C0-B0F2-F1E868FE7B1F}"/>
    <cellStyle name="Normal 9 8" xfId="12393" xr:uid="{2F324892-497B-4106-B928-7477EEF26617}"/>
    <cellStyle name="Normal_98AFRCOU" xfId="1540" xr:uid="{00000000-0005-0000-0000-0000DD070000}"/>
    <cellStyle name="Note" xfId="29485" builtinId="10" customBuiltin="1"/>
    <cellStyle name="Note 2" xfId="1541" xr:uid="{00000000-0005-0000-0000-0000DE070000}"/>
    <cellStyle name="Note 3" xfId="1542" xr:uid="{00000000-0005-0000-0000-0000DF070000}"/>
    <cellStyle name="Note 4" xfId="1543" xr:uid="{00000000-0005-0000-0000-0000E0070000}"/>
    <cellStyle name="Note 4 2" xfId="1544" xr:uid="{00000000-0005-0000-0000-0000E1070000}"/>
    <cellStyle name="Note 4 2 2" xfId="3536" xr:uid="{00000000-0005-0000-0000-00008A090000}"/>
    <cellStyle name="Note 4 2 3" xfId="3535" xr:uid="{00000000-0005-0000-0000-00008B090000}"/>
    <cellStyle name="Note 4 2 3 2" xfId="31302" xr:uid="{09740B15-9ABE-40E6-8871-06691DDF618A}"/>
    <cellStyle name="Note 4 2 4" xfId="3769" xr:uid="{00000000-0005-0000-0000-0000E60E0000}"/>
    <cellStyle name="Note 4 2 4 2" xfId="4802" xr:uid="{E4762291-6E3E-40C0-B2A3-FBA7791D5340}"/>
    <cellStyle name="Note 4 2 4 3" xfId="30294" xr:uid="{F6CC97B8-D329-47AB-B30B-38088FA4AA4F}"/>
    <cellStyle name="Note 4 2 4 3 2" xfId="31437" xr:uid="{8DF259B6-D8D6-4B9D-B39D-3D52A6097811}"/>
    <cellStyle name="Note 4 2 4 4" xfId="31634" xr:uid="{E29E150E-84A6-4520-A31C-C74B5C1F5214}"/>
    <cellStyle name="Note 4 3" xfId="1545" xr:uid="{00000000-0005-0000-0000-0000E2070000}"/>
    <cellStyle name="Note 4 3 2" xfId="30097" xr:uid="{9537CA53-C3FD-4E87-AC66-BA3C054C1009}"/>
    <cellStyle name="Note 4 4" xfId="2073" xr:uid="{00000000-0005-0000-0000-000049030000}"/>
    <cellStyle name="Note 4 4 2" xfId="4791" xr:uid="{EAC7EE03-6B36-4A5D-889D-B815EC9F9048}"/>
    <cellStyle name="Note 4 4 3" xfId="30173" xr:uid="{F6441C75-DAA1-4486-B072-CAFC56088476}"/>
    <cellStyle name="Note 4 4 3 2" xfId="31317" xr:uid="{A51A4A51-59A9-4DA4-BAC6-6B498B98295B}"/>
    <cellStyle name="Note 4 4 4" xfId="31513" xr:uid="{46BB7552-C9F7-4992-BB91-1408BCB3217B}"/>
    <cellStyle name="Note 4 5" xfId="29583" xr:uid="{24FEBD0B-5ABA-49D8-AC25-4DA966B23BF8}"/>
    <cellStyle name="Note 4 5 2" xfId="31248" xr:uid="{179223E0-4C3A-4691-A628-3421C1D9764F}"/>
    <cellStyle name="Note 4 5 3" xfId="30548" xr:uid="{6CEC5488-D223-4DCD-BE4A-44A97B40BB66}"/>
    <cellStyle name="Note 5" xfId="12255" xr:uid="{E1364BB4-A0A2-46F5-BB38-05901CCE3206}"/>
    <cellStyle name="Note 5 2" xfId="22634" xr:uid="{E297CF68-B359-40C9-8CC6-73BC50F6502C}"/>
    <cellStyle name="Note 6" xfId="30917" xr:uid="{568266BE-1B4B-4D3A-B271-E6A359140DD3}"/>
    <cellStyle name="Note 6 2" xfId="30951" xr:uid="{BC9386E2-C514-49C7-8749-71E76C1309BC}"/>
    <cellStyle name="Output" xfId="4834" builtinId="21" customBuiltin="1"/>
    <cellStyle name="Output 2" xfId="1546" xr:uid="{00000000-0005-0000-0000-0000E3070000}"/>
    <cellStyle name="Output 3" xfId="1547" xr:uid="{00000000-0005-0000-0000-0000E4070000}"/>
    <cellStyle name="Output 4" xfId="29584" xr:uid="{21477E6D-748E-44EB-8B95-20ACDB027665}"/>
    <cellStyle name="Percent" xfId="4688" builtinId="5"/>
    <cellStyle name="Percent 2" xfId="1548" xr:uid="{00000000-0005-0000-0000-0000E5070000}"/>
    <cellStyle name="Percent 2 2" xfId="1549" xr:uid="{00000000-0005-0000-0000-0000E6070000}"/>
    <cellStyle name="Percent 2 3" xfId="29585" xr:uid="{8FB87725-886D-4A62-BBA8-4FA9FB880D61}"/>
    <cellStyle name="Percent 3" xfId="1550" xr:uid="{00000000-0005-0000-0000-0000E7070000}"/>
    <cellStyle name="Percent 3 2" xfId="2034" xr:uid="{00000000-0005-0000-0000-0000E8070000}"/>
    <cellStyle name="Percent 3 2 2" xfId="24401" xr:uid="{D0B85497-BCB7-44B3-90B9-F34C3207B46F}"/>
    <cellStyle name="Percent 3 2 2 2" xfId="29826" xr:uid="{75C23271-7EC3-43D0-8BA4-69F636E29421}"/>
    <cellStyle name="Percent 3 2 3" xfId="24242" xr:uid="{2ACE85BF-3B3C-4EA3-8A82-C46C5C94E5DC}"/>
    <cellStyle name="Percent 3 3" xfId="2035" xr:uid="{00000000-0005-0000-0000-0000E9070000}"/>
    <cellStyle name="Percent 3 3 2" xfId="31314" xr:uid="{BBC1F203-4A2A-48B7-9BD9-1716E25CC9AC}"/>
    <cellStyle name="Percent 3 3 3" xfId="31266" xr:uid="{8085B9E8-E0F4-4AC1-ADD7-5A40211A939D}"/>
    <cellStyle name="Percent 3 4" xfId="2033" xr:uid="{00000000-0005-0000-0000-0000EA070000}"/>
    <cellStyle name="Percent 3 5" xfId="30405" xr:uid="{0945A6B3-A411-4FFC-8192-180DB5988AA0}"/>
    <cellStyle name="Percent 3 5 2" xfId="30464" xr:uid="{63EB7186-FCEB-4D7E-9110-B36DEB064572}"/>
    <cellStyle name="Percent 4" xfId="1551" xr:uid="{00000000-0005-0000-0000-0000EB070000}"/>
    <cellStyle name="Percent 4 2" xfId="2037" xr:uid="{00000000-0005-0000-0000-0000EC070000}"/>
    <cellStyle name="Percent 4 2 2" xfId="23974" xr:uid="{3D5953F1-0414-4A51-AC1F-E6AE4C07AB66}"/>
    <cellStyle name="Percent 4 2 3" xfId="24013" xr:uid="{9AB4939D-81EC-45A0-9E96-F84B5E767B13}"/>
    <cellStyle name="Percent 4 2 3 2" xfId="26254" xr:uid="{612B2D42-1583-4D21-9F42-EDA025DC0AD4}"/>
    <cellStyle name="Percent 4 2 4" xfId="26987" xr:uid="{DFB60D8F-26B9-473A-B2A8-273B02C7C121}"/>
    <cellStyle name="Percent 4 2 4 2" xfId="29999" xr:uid="{DBA75EBB-88DC-4000-A3DE-7A773AC8CB6F}"/>
    <cellStyle name="Percent 4 2 5" xfId="29655" xr:uid="{C102B639-DE72-4927-A796-0F496C3DDD1A}"/>
    <cellStyle name="Percent 4 3" xfId="2038" xr:uid="{00000000-0005-0000-0000-0000ED070000}"/>
    <cellStyle name="Percent 4 3 2" xfId="29736" xr:uid="{2BDC7087-3D0C-4FA8-ACBA-F106235DF4E2}"/>
    <cellStyle name="Percent 4 3 3" xfId="29668" xr:uid="{6A17D060-249E-4F71-900C-08F938E35D8F}"/>
    <cellStyle name="Percent 4 4" xfId="2036" xr:uid="{00000000-0005-0000-0000-0000EE070000}"/>
    <cellStyle name="Percent 4 5" xfId="7282" xr:uid="{8AFD0532-DAAC-4CC5-8537-37606C82DB78}"/>
    <cellStyle name="Percent 4 5 2" xfId="25891" xr:uid="{1A8E5282-CE1D-4D4E-85FD-913D5186C1AC}"/>
    <cellStyle name="Percent 4 5 3" xfId="25884" xr:uid="{AA898F48-4AB1-40ED-BED1-55205C40C2A5}"/>
    <cellStyle name="Percent 4 5 4" xfId="17662" xr:uid="{0AADF521-5DF8-4311-9F60-1E2176D34492}"/>
    <cellStyle name="Percent 4 6" xfId="10115" xr:uid="{4A3FF93C-FD9D-4025-A9D7-7CEA5C104B48}"/>
    <cellStyle name="Percent 4 6 2" xfId="20495" xr:uid="{6790D28D-0042-4B4F-9DF6-8B322E2586BC}"/>
    <cellStyle name="Percent 4 7" xfId="24050" xr:uid="{7CECC7AA-AA51-4FB3-B6EC-E3317F803511}"/>
    <cellStyle name="Percent 4 8" xfId="14829" xr:uid="{1951CFB1-FCD7-40D5-B863-4C9853147FBB}"/>
    <cellStyle name="Percent 5" xfId="28299" xr:uid="{72E839A7-A148-448C-A765-AC2E6CA59B2F}"/>
    <cellStyle name="Percent 5 2" xfId="26976" xr:uid="{2C5C650A-5D15-4675-9FCC-99B898ECCC9D}"/>
    <cellStyle name="Percent 5 3" xfId="28139" xr:uid="{D1DC45A5-B040-4E5C-A556-A2D33FF6D90B}"/>
    <cellStyle name="Percent 6" xfId="25979" xr:uid="{A1FF1390-0FA3-4008-B473-9B82672BD5AC}"/>
    <cellStyle name="Percent 7" xfId="30409" xr:uid="{BD67580D-48EC-4ABF-B2EE-570D90A532C8}"/>
    <cellStyle name="ReportHeaderRowCol.*" xfId="12347" xr:uid="{C5553A5B-9BB7-4BBD-A560-40C47E9C3BBD}"/>
    <cellStyle name="ReportHeaderRowCol.1" xfId="12348" xr:uid="{D08F8B86-DD1D-4AE6-BFA1-285E019C4777}"/>
    <cellStyle name="ReportHeaderRowCol.2" xfId="12349" xr:uid="{245F5C6F-625E-4B32-AA42-D06EFDBE8C8D}"/>
    <cellStyle name="ReportHeaderRowCol.Date" xfId="12350" xr:uid="{2F4FB8EC-EED6-4387-9B41-152B112A05DC}"/>
    <cellStyle name="Sheet Title" xfId="1552" xr:uid="{00000000-0005-0000-0000-0000EF070000}"/>
    <cellStyle name="Style 1" xfId="1553" xr:uid="{00000000-0005-0000-0000-0000F0070000}"/>
    <cellStyle name="Style 1 2" xfId="1554" xr:uid="{00000000-0005-0000-0000-0000F1070000}"/>
    <cellStyle name="Style 1 2 2" xfId="2040" xr:uid="{00000000-0005-0000-0000-0000F2070000}"/>
    <cellStyle name="Style 1 2 2 2" xfId="25790" xr:uid="{A12F3BA5-19BE-4578-A78D-C3AD0942838D}"/>
    <cellStyle name="Style 1 2 2 2 2" xfId="29810" xr:uid="{D4E7F262-7E61-4687-B06C-E107D8296DF9}"/>
    <cellStyle name="Style 1 2 2 3" xfId="25778" xr:uid="{C9F19B91-F5E5-4CD7-BE8E-78C05D2BCD6F}"/>
    <cellStyle name="Style 1 2 3" xfId="2041" xr:uid="{00000000-0005-0000-0000-0000F3070000}"/>
    <cellStyle name="Style 1 2 3 2" xfId="31315" xr:uid="{5D03057C-9A71-4F1B-9674-72DE10B21C86}"/>
    <cellStyle name="Style 1 2 3 3" xfId="31269" xr:uid="{FAC42ECE-AC01-4F74-8A11-03C4263CADAB}"/>
    <cellStyle name="Style 1 2 4" xfId="2039" xr:uid="{00000000-0005-0000-0000-0000F4070000}"/>
    <cellStyle name="Style 1 2 5" xfId="30407" xr:uid="{2E6C0663-EF3E-4DBA-8EED-2A1EA035CBE7}"/>
    <cellStyle name="Style 1 2 5 2" xfId="30465" xr:uid="{F706DBF5-298E-4FDD-8401-13A891456247}"/>
    <cellStyle name="Style 1 3" xfId="1555" xr:uid="{00000000-0005-0000-0000-0000F5070000}"/>
    <cellStyle name="Style 1 4" xfId="2042" xr:uid="{00000000-0005-0000-0000-0000F6070000}"/>
    <cellStyle name="Style 1 4 2" xfId="24410" xr:uid="{ED030EBF-D663-412E-B3DF-AF45BED2AFE5}"/>
    <cellStyle name="Style 1 4 2 2" xfId="29831" xr:uid="{12EB135A-16A2-48C8-957C-56C95D4F0B94}"/>
    <cellStyle name="Style 1 4 3" xfId="25651" xr:uid="{8568525C-B3AA-4170-9749-B4F90608AC98}"/>
    <cellStyle name="Style 1 5" xfId="30406" xr:uid="{91B5FAB8-CE8E-4A1E-A86E-BA45CA647BF5}"/>
    <cellStyle name="SubgroupSectionHeaderRowBalanceCol" xfId="12351" xr:uid="{2486F5B8-EF2C-4F49-B7A9-6FE34665450E}"/>
    <cellStyle name="SubgroupSectionHeaderRowDescCol" xfId="12352" xr:uid="{EB63FB77-6717-4B2A-8483-32BC8EF761CB}"/>
    <cellStyle name="SubgroupSectionHeaderRowNameCol" xfId="12353" xr:uid="{133E4BCF-AEFE-4D67-8FAE-84F36222B17A}"/>
    <cellStyle name="SubGroupSelectionHeaderRowJERefCol" xfId="12354" xr:uid="{023FCD31-332C-4B91-B5C7-3A04E2EC629E}"/>
    <cellStyle name="SubgroupSubtotalRowBalanceCol" xfId="12355" xr:uid="{FC50FD76-B8D2-41F3-9A56-186D7D35B0DB}"/>
    <cellStyle name="SubgroupSubtotalRowDescCol" xfId="12356" xr:uid="{51DA7A1D-81F0-484C-85DF-0B8D98A0C317}"/>
    <cellStyle name="SubgroupSubtotalRowJERefCol" xfId="12357" xr:uid="{A22CF7F1-55DA-4319-BF62-5115CCBDE54C}"/>
    <cellStyle name="SubgroupSubtotalRowNameCol" xfId="12358" xr:uid="{4BA6961C-F727-43FD-B8E8-D5977B74A43F}"/>
    <cellStyle name="SubgroupSubtotalRowVarPectCol" xfId="12359" xr:uid="{C4DA33E5-1A1C-4237-9C31-25A90021DA8F}"/>
    <cellStyle name="SubgroupSubtotalRowWPRefCol" xfId="12360" xr:uid="{7D6FD639-BAA3-434B-86C1-FD6A5966D36C}"/>
    <cellStyle name="SumAccountGroupsRowBalanceCol" xfId="12361" xr:uid="{D309FDF4-9D10-423F-B0C9-B787392FEB2C}"/>
    <cellStyle name="SumAccountGroupsRowDescCol" xfId="12362" xr:uid="{A455F51D-B791-4F0C-84FB-C6EB4385F2F6}"/>
    <cellStyle name="SumAccountGroupsRowJERefCol" xfId="12363" xr:uid="{9E0B1F97-5F81-4AC9-A03F-E58A52D8DEAB}"/>
    <cellStyle name="SumAccountGroupsRowNameCol" xfId="12364" xr:uid="{ECFB7BB2-DE4A-49ED-A01B-E4EC23C3AEEA}"/>
    <cellStyle name="SumAccountGroupsRowVarPectCol" xfId="12365" xr:uid="{2CB09599-6046-4A6D-AD9A-5879A6ECD17F}"/>
    <cellStyle name="SumAccountGroupsRowWPRefCol" xfId="12366" xr:uid="{E9832BA7-7D80-4557-8BF2-BA3E154AEFBA}"/>
    <cellStyle name="Title 2" xfId="29586" xr:uid="{520977F4-FB37-4751-810D-2DC604BEDA25}"/>
    <cellStyle name="Total" xfId="4839" builtinId="25" customBuiltin="1"/>
    <cellStyle name="Total 2" xfId="1556" xr:uid="{00000000-0005-0000-0000-0000F7070000}"/>
    <cellStyle name="Total 2 2" xfId="28407" xr:uid="{C9725059-9506-467C-9DA8-A5570A6EB449}"/>
    <cellStyle name="Total 3" xfId="1557" xr:uid="{00000000-0005-0000-0000-0000F8070000}"/>
    <cellStyle name="Total 3 2" xfId="28515" xr:uid="{E0842ADF-D23F-4EB4-A4B0-ABA700B8C9AA}"/>
    <cellStyle name="Total 4" xfId="29587" xr:uid="{04D27A19-760A-42F6-B7D4-EDC80EAEB7D4}"/>
    <cellStyle name="TotalRow" xfId="12367" xr:uid="{368DF3C5-E2E3-458E-8DC0-01E474DBC9D4}"/>
    <cellStyle name="TotalRowCreditCol" xfId="12368" xr:uid="{354CA086-73FA-40BD-B53D-F97A90D9F4C8}"/>
    <cellStyle name="TotalRowDebitCol" xfId="12369" xr:uid="{B9DDDD89-057C-46A7-A1DA-948D864BD18F}"/>
    <cellStyle name="TransactionRowAcctDescCol" xfId="12370" xr:uid="{B23A5ACB-5A6A-4F40-A185-FA9DBCC6D402}"/>
    <cellStyle name="TransactionRowAcctNumCol" xfId="12371" xr:uid="{D046DBB7-B681-4901-804F-F53E917D0FFB}"/>
    <cellStyle name="TransactionRowCreditCol" xfId="12372" xr:uid="{1C803F8A-FF28-47CD-B0D6-39C8B54BE3DE}"/>
    <cellStyle name="TransactionRowDateCol" xfId="12373" xr:uid="{B31CE901-7BEE-41DB-B77F-E4CB513C6E1B}"/>
    <cellStyle name="TransactionRowDebitCol" xfId="12374" xr:uid="{3BF7116B-D56D-4029-99D4-28960EA3D0C6}"/>
    <cellStyle name="TransactionRowRefCol" xfId="12375" xr:uid="{BB2D8ADD-87CF-4830-91B2-E70C82C8EAB2}"/>
    <cellStyle name="TransactionRowTransactionCol" xfId="12376" xr:uid="{4C57D201-3FD2-4DD9-9771-9A294954D155}"/>
    <cellStyle name="UnclassifiedTotalRowBalanceCol" xfId="12377" xr:uid="{87BFD706-C80F-429A-8641-626203E9372F}"/>
    <cellStyle name="UnclassifiedTotalRowDescCol" xfId="12378" xr:uid="{77546543-8240-44AD-890C-EA95558E2181}"/>
    <cellStyle name="UnclassifiedTotalRowJERefCol" xfId="12379" xr:uid="{4D713AA6-1BB7-453F-94AA-9E3900AB6601}"/>
    <cellStyle name="UnclassifiedTotalRowNameCol" xfId="12380" xr:uid="{B7782CED-7BF6-41F9-A4DC-98F8F8371F3B}"/>
    <cellStyle name="UnclassifiedTotalRowVarPectCol" xfId="12381" xr:uid="{7679CCCA-11A6-43F8-BF3E-0EE82B70C712}"/>
    <cellStyle name="UnclassifiedTotalRowWPRefCol" xfId="12382" xr:uid="{C305EFCB-FF5E-4A3A-AE0E-14DFF20EC04A}"/>
    <cellStyle name="Warning Text" xfId="4838" builtinId="11" customBuiltin="1"/>
    <cellStyle name="Warning Text 2" xfId="1558" xr:uid="{00000000-0005-0000-0000-0000F9070000}"/>
    <cellStyle name="Warning Text 2 2" xfId="28175" xr:uid="{9077D266-AF6F-45FE-8FA8-56E0DF6405C7}"/>
    <cellStyle name="Warning Text 3" xfId="1559" xr:uid="{00000000-0005-0000-0000-0000FA070000}"/>
    <cellStyle name="Warning Text 3 2" xfId="26321" xr:uid="{863219B2-3F6B-42C2-9293-5ECE21D108FD}"/>
    <cellStyle name="Warning Text 4" xfId="29588" xr:uid="{FACD3194-E29A-43C7-BDFC-8831BAA9308A}"/>
  </cellStyles>
  <dxfs count="12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color rgb="FFFF0000"/>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color rgb="FFFF0000"/>
      </font>
      <fill>
        <patternFill>
          <bgColor rgb="FFFFC7CE"/>
        </patternFill>
      </fill>
    </dxf>
    <dxf>
      <font>
        <color rgb="FF9C0006"/>
      </font>
      <fill>
        <patternFill>
          <bgColor rgb="FFFFC7CE"/>
        </patternFill>
      </fill>
    </dxf>
    <dxf>
      <font>
        <color rgb="FF9C0006"/>
      </font>
      <fill>
        <patternFill>
          <bgColor rgb="FFFFC7CE"/>
        </patternFill>
      </fill>
    </dxf>
    <dxf>
      <font>
        <b/>
        <i val="0"/>
        <color rgb="FFFF0000"/>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color rgb="FFFF0000"/>
      </font>
      <fill>
        <patternFill>
          <bgColor rgb="FFFFC7CE"/>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numFmt numFmtId="185" formatCode=";;;"/>
    </dxf>
    <dxf>
      <numFmt numFmtId="185" formatCode=";;;"/>
    </dxf>
    <dxf>
      <numFmt numFmtId="185" formatCode=";;;"/>
    </dxf>
    <dxf>
      <numFmt numFmtId="185" formatCode=";;;"/>
    </dxf>
    <dxf>
      <numFmt numFmtId="185" formatCode=";;;"/>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patternType="mediumGray">
          <bgColor theme="0" tint="-0.34998626667073579"/>
        </patternFill>
      </fill>
    </dxf>
    <dxf>
      <fill>
        <patternFill>
          <bgColor rgb="FFFF5050"/>
        </patternFill>
      </fill>
    </dxf>
    <dxf>
      <fill>
        <patternFill>
          <bgColor rgb="FFFF5050"/>
        </patternFill>
      </fill>
    </dxf>
    <dxf>
      <fill>
        <patternFill>
          <bgColor rgb="FFFF5050"/>
        </patternFill>
      </fill>
    </dxf>
    <dxf>
      <fill>
        <patternFill patternType="mediumGray">
          <bgColor theme="0" tint="-0.499984740745262"/>
        </patternFill>
      </fill>
    </dxf>
    <dxf>
      <fill>
        <patternFill patternType="mediumGray">
          <bgColor theme="0" tint="-0.34998626667073579"/>
        </patternFill>
      </fill>
    </dxf>
    <dxf>
      <fill>
        <patternFill>
          <bgColor rgb="FFFF5050"/>
        </patternFill>
      </fill>
    </dxf>
    <dxf>
      <fill>
        <patternFill patternType="mediumGray">
          <bgColor theme="0" tint="-0.499984740745262"/>
        </patternFill>
      </fill>
    </dxf>
    <dxf>
      <fill>
        <patternFill patternType="mediumGray">
          <bgColor theme="0" tint="-0.34998626667073579"/>
        </patternFill>
      </fill>
    </dxf>
    <dxf>
      <fill>
        <patternFill>
          <bgColor rgb="FFFF5050"/>
        </patternFill>
      </fill>
    </dxf>
    <dxf>
      <fill>
        <patternFill patternType="mediumGray">
          <bgColor theme="0" tint="-0.499984740745262"/>
        </patternFill>
      </fill>
    </dxf>
    <dxf>
      <fill>
        <patternFill patternType="mediumGray">
          <bgColor theme="0" tint="-0.34998626667073579"/>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patternType="mediumGray">
          <bgColor theme="0" tint="-0.34998626667073579"/>
        </patternFill>
      </fill>
    </dxf>
    <dxf>
      <fill>
        <patternFill>
          <bgColor rgb="FFFF5050"/>
        </patternFill>
      </fill>
    </dxf>
    <dxf>
      <fill>
        <patternFill>
          <bgColor rgb="FFFF5050"/>
        </patternFill>
      </fill>
    </dxf>
    <dxf>
      <fill>
        <patternFill patternType="mediumGray">
          <bgColor theme="0" tint="-0.34998626667073579"/>
        </patternFill>
      </fill>
    </dxf>
    <dxf>
      <fill>
        <patternFill>
          <bgColor rgb="FFFF5050"/>
        </patternFill>
      </fill>
    </dxf>
    <dxf>
      <fill>
        <patternFill patternType="mediumGray">
          <bgColor theme="0" tint="-0.34998626667073579"/>
        </patternFill>
      </fill>
    </dxf>
    <dxf>
      <fill>
        <patternFill patternType="mediumGray">
          <bgColor theme="0" tint="-0.34998626667073579"/>
        </patternFill>
      </fill>
    </dxf>
    <dxf>
      <fill>
        <patternFill>
          <bgColor rgb="FFFF5050"/>
        </patternFill>
      </fill>
    </dxf>
    <dxf>
      <fill>
        <patternFill patternType="mediumGray">
          <bgColor theme="0" tint="-0.34998626667073579"/>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patternType="mediumGray">
          <bgColor theme="0" tint="-0.34998626667073579"/>
        </patternFill>
      </fill>
    </dxf>
    <dxf>
      <fill>
        <patternFill>
          <bgColor rgb="FFFF5050"/>
        </patternFill>
      </fill>
    </dxf>
    <dxf>
      <fill>
        <patternFill>
          <bgColor rgb="FFFF5050"/>
        </patternFill>
      </fill>
    </dxf>
    <dxf>
      <numFmt numFmtId="185" formatCode=";;;"/>
    </dxf>
    <dxf>
      <numFmt numFmtId="185" formatCode=";;;"/>
    </dxf>
    <dxf>
      <numFmt numFmtId="185" formatCode=";;;"/>
    </dxf>
    <dxf>
      <numFmt numFmtId="185" formatCode=";;;"/>
    </dxf>
    <dxf>
      <numFmt numFmtId="185" formatCode=";;;"/>
    </dxf>
    <dxf>
      <numFmt numFmtId="185" formatCode=";;;"/>
    </dxf>
    <dxf>
      <numFmt numFmtId="185" formatCode=";;;"/>
    </dxf>
    <dxf>
      <numFmt numFmtId="185" formatCode=";;;"/>
    </dxf>
    <dxf>
      <numFmt numFmtId="185" formatCode=";;;"/>
    </dxf>
    <dxf>
      <numFmt numFmtId="185" formatCode=";;;"/>
    </dxf>
    <dxf>
      <numFmt numFmtId="185" formatCode=";;;"/>
    </dxf>
    <dxf>
      <numFmt numFmtId="185" formatCode=";;;"/>
    </dxf>
    <dxf>
      <numFmt numFmtId="185" formatCode=";;;"/>
    </dxf>
    <dxf>
      <numFmt numFmtId="185" formatCode=";;;"/>
    </dxf>
    <dxf>
      <numFmt numFmtId="185" formatCode=";;;"/>
    </dxf>
    <dxf>
      <numFmt numFmtId="185" formatCode=";;;"/>
    </dxf>
    <dxf>
      <numFmt numFmtId="185" formatCode=";;;"/>
    </dxf>
    <dxf>
      <numFmt numFmtId="185" formatCode=";;;"/>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rgb="FFFFFF99"/>
        </patternFill>
      </fill>
    </dxf>
    <dxf>
      <fill>
        <patternFill>
          <bgColor theme="7" tint="0.79998168889431442"/>
        </patternFill>
      </fill>
    </dxf>
    <dxf>
      <fill>
        <patternFill>
          <bgColor theme="7" tint="0.79998168889431442"/>
        </patternFill>
      </fill>
    </dxf>
    <dxf>
      <fill>
        <patternFill>
          <bgColor rgb="FFE2EFDA"/>
        </patternFill>
      </fill>
    </dxf>
    <dxf>
      <font>
        <b/>
        <i val="0"/>
        <color rgb="FFFFFFFF"/>
      </font>
      <fill>
        <patternFill>
          <bgColor rgb="FF70AD47"/>
        </patternFill>
      </fill>
    </dxf>
    <dxf>
      <border>
        <left style="thin">
          <color rgb="FFA9D08E"/>
        </left>
        <right style="thin">
          <color rgb="FFA9D08E"/>
        </right>
        <top style="thin">
          <color rgb="FFA9D08E"/>
        </top>
        <bottom style="thin">
          <color rgb="FFA9D08E"/>
        </bottom>
        <horizontal style="thin">
          <color rgb="FFA9D08E"/>
        </horizontal>
      </border>
    </dxf>
  </dxfs>
  <tableStyles count="3" defaultTableStyle="TableStyleMedium2" defaultPivotStyle="PivotStyleLight16">
    <tableStyle name="Table Style 1" pivot="0" count="0" xr9:uid="{00000000-0011-0000-FFFF-FFFF00000000}"/>
    <tableStyle name="Table Style 2" pivot="0" count="0" xr9:uid="{00000000-0011-0000-FFFF-FFFF01000000}"/>
    <tableStyle name="TableStyleQueryResult" pivot="0" count="3" xr9:uid="{686B541E-69C4-45C7-B38E-B9996BEB3203}">
      <tableStyleElement type="wholeTable" dxfId="125"/>
      <tableStyleElement type="headerRow" dxfId="124"/>
      <tableStyleElement type="firstRowStripe" dxfId="123"/>
    </tableStyle>
  </tableStyles>
  <colors>
    <mruColors>
      <color rgb="FFCCFFFF"/>
      <color rgb="FFFFFFCC"/>
      <color rgb="FFCCFF66"/>
      <color rgb="FFFFCCCC"/>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solidFill>
                <a:latin typeface="+mn-lt"/>
                <a:ea typeface="+mn-ea"/>
                <a:cs typeface="+mn-cs"/>
              </a:defRPr>
            </a:pPr>
            <a:r>
              <a:rPr lang="en-US" baseline="0">
                <a:solidFill>
                  <a:schemeClr val="tx1"/>
                </a:solidFill>
              </a:rPr>
              <a:t>Fund Balance Available</a:t>
            </a:r>
          </a:p>
        </c:rich>
      </c:tx>
      <c:layout>
        <c:manualLayout>
          <c:xMode val="edge"/>
          <c:yMode val="edge"/>
          <c:x val="0.35724332319877294"/>
          <c:y val="6.9500963071711663E-2"/>
        </c:manualLayout>
      </c:layout>
      <c:overlay val="0"/>
      <c:spPr>
        <a:noFill/>
        <a:ln>
          <a:noFill/>
        </a:ln>
        <a:effectLst/>
      </c:spPr>
      <c:txPr>
        <a:bodyPr rot="0" spcFirstLastPara="1" vertOverflow="ellipsis" vert="horz" wrap="square" anchor="ctr" anchorCtr="1"/>
        <a:lstStyle/>
        <a:p>
          <a:pPr>
            <a:defRPr sz="1600" b="1" i="0" u="none" strike="noStrike" kern="1200" baseline="0">
              <a:solidFill>
                <a:schemeClr val="tx1"/>
              </a:solidFill>
              <a:latin typeface="+mn-lt"/>
              <a:ea typeface="+mn-ea"/>
              <a:cs typeface="+mn-cs"/>
            </a:defRPr>
          </a:pPr>
          <a:endParaRPr lang="en-US"/>
        </a:p>
      </c:txPr>
    </c:title>
    <c:autoTitleDeleted val="0"/>
    <c:plotArea>
      <c:layout/>
      <c:barChart>
        <c:barDir val="col"/>
        <c:grouping val="clustered"/>
        <c:varyColors val="0"/>
        <c:ser>
          <c:idx val="0"/>
          <c:order val="0"/>
          <c:tx>
            <c:strRef>
              <c:f>'PI series #'!$B$4</c:f>
              <c:strCache>
                <c:ptCount val="1"/>
                <c:pt idx="0">
                  <c:v>2019</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'PI series #'!$B$6</c:f>
              <c:numCache>
                <c:formatCode>0.00%</c:formatCode>
                <c:ptCount val="1"/>
                <c:pt idx="0">
                  <c:v>#N/A</c:v>
                </c:pt>
              </c:numCache>
            </c:numRef>
          </c:val>
          <c:extLst>
            <c:ext xmlns:c16="http://schemas.microsoft.com/office/drawing/2014/chart" uri="{C3380CC4-5D6E-409C-BE32-E72D297353CC}">
              <c16:uniqueId val="{00000000-0FB8-451E-A31F-8106E5059BFB}"/>
            </c:ext>
          </c:extLst>
        </c:ser>
        <c:ser>
          <c:idx val="1"/>
          <c:order val="1"/>
          <c:tx>
            <c:strRef>
              <c:f>'PI series #'!$C$4</c:f>
              <c:strCache>
                <c:ptCount val="1"/>
                <c:pt idx="0">
                  <c:v>2020</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'PI series #'!$C$6</c:f>
              <c:numCache>
                <c:formatCode>0.00%</c:formatCode>
                <c:ptCount val="1"/>
                <c:pt idx="0">
                  <c:v>#N/A</c:v>
                </c:pt>
              </c:numCache>
            </c:numRef>
          </c:val>
          <c:extLst>
            <c:ext xmlns:c16="http://schemas.microsoft.com/office/drawing/2014/chart" uri="{C3380CC4-5D6E-409C-BE32-E72D297353CC}">
              <c16:uniqueId val="{00000001-0FB8-451E-A31F-8106E5059BFB}"/>
            </c:ext>
          </c:extLst>
        </c:ser>
        <c:ser>
          <c:idx val="2"/>
          <c:order val="2"/>
          <c:tx>
            <c:strRef>
              <c:f>'PI series #'!$D$4</c:f>
              <c:strCache>
                <c:ptCount val="1"/>
                <c:pt idx="0">
                  <c:v>2021</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'PI series #'!$D$6</c:f>
              <c:numCache>
                <c:formatCode>0.00%</c:formatCode>
                <c:ptCount val="1"/>
                <c:pt idx="0">
                  <c:v>0</c:v>
                </c:pt>
              </c:numCache>
            </c:numRef>
          </c:val>
          <c:extLst>
            <c:ext xmlns:c16="http://schemas.microsoft.com/office/drawing/2014/chart" uri="{C3380CC4-5D6E-409C-BE32-E72D297353CC}">
              <c16:uniqueId val="{00000002-0FB8-451E-A31F-8106E5059BFB}"/>
            </c:ext>
          </c:extLst>
        </c:ser>
        <c:dLbls>
          <c:dLblPos val="inEnd"/>
          <c:showLegendKey val="0"/>
          <c:showVal val="1"/>
          <c:showCatName val="0"/>
          <c:showSerName val="0"/>
          <c:showPercent val="0"/>
          <c:showBubbleSize val="0"/>
        </c:dLbls>
        <c:gapWidth val="100"/>
        <c:overlap val="-24"/>
        <c:axId val="75334896"/>
        <c:axId val="216599104"/>
      </c:barChart>
      <c:catAx>
        <c:axId val="75334896"/>
        <c:scaling>
          <c:orientation val="minMax"/>
        </c:scaling>
        <c:delete val="1"/>
        <c:axPos val="b"/>
        <c:numFmt formatCode="General" sourceLinked="1"/>
        <c:majorTickMark val="none"/>
        <c:minorTickMark val="none"/>
        <c:tickLblPos val="nextTo"/>
        <c:crossAx val="216599104"/>
        <c:crosses val="autoZero"/>
        <c:auto val="1"/>
        <c:lblAlgn val="ctr"/>
        <c:lblOffset val="100"/>
        <c:noMultiLvlLbl val="0"/>
      </c:catAx>
      <c:valAx>
        <c:axId val="216599104"/>
        <c:scaling>
          <c:orientation val="minMax"/>
        </c:scaling>
        <c:delete val="0"/>
        <c:axPos val="l"/>
        <c:majorGridlines>
          <c:spPr>
            <a:ln w="9525" cap="flat" cmpd="sng" algn="ctr">
              <a:solidFill>
                <a:schemeClr val="tx1"/>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50" b="0" i="0" u="none" strike="noStrike" kern="1200" baseline="0">
                <a:solidFill>
                  <a:schemeClr val="tx1"/>
                </a:solidFill>
                <a:latin typeface="+mn-lt"/>
                <a:ea typeface="+mn-ea"/>
                <a:cs typeface="+mn-cs"/>
              </a:defRPr>
            </a:pPr>
            <a:endParaRPr lang="en-US"/>
          </a:p>
        </c:txPr>
        <c:crossAx val="7533489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50" b="0" i="0" u="none" strike="noStrike" kern="1200" baseline="0">
              <a:solidFill>
                <a:schemeClr val="tx1"/>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solidFill>
                <a:latin typeface="+mn-lt"/>
                <a:ea typeface="+mn-ea"/>
                <a:cs typeface="+mn-cs"/>
              </a:defRPr>
            </a:pPr>
            <a:r>
              <a:rPr lang="en-US" baseline="0">
                <a:solidFill>
                  <a:schemeClr val="tx1"/>
                </a:solidFill>
              </a:rPr>
              <a:t>Fund Balance Available</a:t>
            </a:r>
          </a:p>
        </c:rich>
      </c:tx>
      <c:layout>
        <c:manualLayout>
          <c:xMode val="edge"/>
          <c:yMode val="edge"/>
          <c:x val="0.35724332319877294"/>
          <c:y val="6.9500963071711663E-2"/>
        </c:manualLayout>
      </c:layout>
      <c:overlay val="0"/>
      <c:spPr>
        <a:noFill/>
        <a:ln>
          <a:noFill/>
        </a:ln>
        <a:effectLst/>
      </c:spPr>
      <c:txPr>
        <a:bodyPr rot="0" spcFirstLastPara="1" vertOverflow="ellipsis" vert="horz" wrap="square" anchor="ctr" anchorCtr="1"/>
        <a:lstStyle/>
        <a:p>
          <a:pPr>
            <a:defRPr sz="1600" b="1" i="0" u="none" strike="noStrike" kern="1200" baseline="0">
              <a:solidFill>
                <a:schemeClr val="tx1"/>
              </a:solidFill>
              <a:latin typeface="+mn-lt"/>
              <a:ea typeface="+mn-ea"/>
              <a:cs typeface="+mn-cs"/>
            </a:defRPr>
          </a:pPr>
          <a:endParaRPr lang="en-US"/>
        </a:p>
      </c:txPr>
    </c:title>
    <c:autoTitleDeleted val="0"/>
    <c:plotArea>
      <c:layout/>
      <c:barChart>
        <c:barDir val="col"/>
        <c:grouping val="clustered"/>
        <c:varyColors val="0"/>
        <c:ser>
          <c:idx val="0"/>
          <c:order val="0"/>
          <c:tx>
            <c:strRef>
              <c:f>'PI series #'!$B$4</c:f>
              <c:strCache>
                <c:ptCount val="1"/>
                <c:pt idx="0">
                  <c:v>2019</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'PI series #'!$B$6</c:f>
              <c:numCache>
                <c:formatCode>0.00%</c:formatCode>
                <c:ptCount val="1"/>
                <c:pt idx="0">
                  <c:v>#N/A</c:v>
                </c:pt>
              </c:numCache>
            </c:numRef>
          </c:val>
          <c:extLst>
            <c:ext xmlns:c16="http://schemas.microsoft.com/office/drawing/2014/chart" uri="{C3380CC4-5D6E-409C-BE32-E72D297353CC}">
              <c16:uniqueId val="{00000000-D9E9-4F09-B4AB-5AEBE682FC95}"/>
            </c:ext>
          </c:extLst>
        </c:ser>
        <c:ser>
          <c:idx val="1"/>
          <c:order val="1"/>
          <c:tx>
            <c:strRef>
              <c:f>'PI series #'!$C$4</c:f>
              <c:strCache>
                <c:ptCount val="1"/>
                <c:pt idx="0">
                  <c:v>2020</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'PI series #'!$C$6</c:f>
              <c:numCache>
                <c:formatCode>0.00%</c:formatCode>
                <c:ptCount val="1"/>
                <c:pt idx="0">
                  <c:v>#N/A</c:v>
                </c:pt>
              </c:numCache>
            </c:numRef>
          </c:val>
          <c:extLst>
            <c:ext xmlns:c16="http://schemas.microsoft.com/office/drawing/2014/chart" uri="{C3380CC4-5D6E-409C-BE32-E72D297353CC}">
              <c16:uniqueId val="{00000001-D9E9-4F09-B4AB-5AEBE682FC95}"/>
            </c:ext>
          </c:extLst>
        </c:ser>
        <c:ser>
          <c:idx val="2"/>
          <c:order val="2"/>
          <c:tx>
            <c:strRef>
              <c:f>'PI series #'!$D$4</c:f>
              <c:strCache>
                <c:ptCount val="1"/>
                <c:pt idx="0">
                  <c:v>2021</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'PI series #'!$D$6</c:f>
              <c:numCache>
                <c:formatCode>0.00%</c:formatCode>
                <c:ptCount val="1"/>
                <c:pt idx="0">
                  <c:v>0</c:v>
                </c:pt>
              </c:numCache>
            </c:numRef>
          </c:val>
          <c:extLst>
            <c:ext xmlns:c16="http://schemas.microsoft.com/office/drawing/2014/chart" uri="{C3380CC4-5D6E-409C-BE32-E72D297353CC}">
              <c16:uniqueId val="{00000002-D9E9-4F09-B4AB-5AEBE682FC95}"/>
            </c:ext>
          </c:extLst>
        </c:ser>
        <c:dLbls>
          <c:dLblPos val="inEnd"/>
          <c:showLegendKey val="0"/>
          <c:showVal val="1"/>
          <c:showCatName val="0"/>
          <c:showSerName val="0"/>
          <c:showPercent val="0"/>
          <c:showBubbleSize val="0"/>
        </c:dLbls>
        <c:gapWidth val="100"/>
        <c:overlap val="-24"/>
        <c:axId val="75334896"/>
        <c:axId val="216599104"/>
      </c:barChart>
      <c:catAx>
        <c:axId val="75334896"/>
        <c:scaling>
          <c:orientation val="minMax"/>
        </c:scaling>
        <c:delete val="1"/>
        <c:axPos val="b"/>
        <c:numFmt formatCode="General" sourceLinked="1"/>
        <c:majorTickMark val="none"/>
        <c:minorTickMark val="none"/>
        <c:tickLblPos val="nextTo"/>
        <c:crossAx val="216599104"/>
        <c:crosses val="autoZero"/>
        <c:auto val="1"/>
        <c:lblAlgn val="ctr"/>
        <c:lblOffset val="100"/>
        <c:noMultiLvlLbl val="0"/>
      </c:catAx>
      <c:valAx>
        <c:axId val="216599104"/>
        <c:scaling>
          <c:orientation val="minMax"/>
        </c:scaling>
        <c:delete val="0"/>
        <c:axPos val="l"/>
        <c:majorGridlines>
          <c:spPr>
            <a:ln w="9525" cap="flat" cmpd="sng" algn="ctr">
              <a:solidFill>
                <a:schemeClr val="tx1"/>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50" b="0" i="0" u="none" strike="noStrike" kern="1200" baseline="0">
                <a:solidFill>
                  <a:schemeClr val="tx1"/>
                </a:solidFill>
                <a:latin typeface="+mn-lt"/>
                <a:ea typeface="+mn-ea"/>
                <a:cs typeface="+mn-cs"/>
              </a:defRPr>
            </a:pPr>
            <a:endParaRPr lang="en-US"/>
          </a:p>
        </c:txPr>
        <c:crossAx val="7533489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50" b="0" i="0" u="none" strike="noStrike" kern="1200" baseline="0">
              <a:solidFill>
                <a:schemeClr val="tx1"/>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solidFill>
                <a:latin typeface="+mn-lt"/>
                <a:ea typeface="+mn-ea"/>
                <a:cs typeface="+mn-cs"/>
              </a:defRPr>
            </a:pPr>
            <a:r>
              <a:rPr lang="en-US" baseline="0">
                <a:solidFill>
                  <a:schemeClr val="tx1"/>
                </a:solidFill>
              </a:rPr>
              <a:t>Fund Balance Available</a:t>
            </a:r>
          </a:p>
        </c:rich>
      </c:tx>
      <c:layout>
        <c:manualLayout>
          <c:xMode val="edge"/>
          <c:yMode val="edge"/>
          <c:x val="0.35724332319877294"/>
          <c:y val="6.9500963071711663E-2"/>
        </c:manualLayout>
      </c:layout>
      <c:overlay val="0"/>
      <c:spPr>
        <a:noFill/>
        <a:ln>
          <a:noFill/>
        </a:ln>
        <a:effectLst/>
      </c:spPr>
      <c:txPr>
        <a:bodyPr rot="0" spcFirstLastPara="1" vertOverflow="ellipsis" vert="horz" wrap="square" anchor="ctr" anchorCtr="1"/>
        <a:lstStyle/>
        <a:p>
          <a:pPr>
            <a:defRPr sz="1600" b="1" i="0" u="none" strike="noStrike" kern="1200" baseline="0">
              <a:solidFill>
                <a:schemeClr val="tx1"/>
              </a:solidFill>
              <a:latin typeface="+mn-lt"/>
              <a:ea typeface="+mn-ea"/>
              <a:cs typeface="+mn-cs"/>
            </a:defRPr>
          </a:pPr>
          <a:endParaRPr lang="en-US"/>
        </a:p>
      </c:txPr>
    </c:title>
    <c:autoTitleDeleted val="0"/>
    <c:plotArea>
      <c:layout/>
      <c:barChart>
        <c:barDir val="col"/>
        <c:grouping val="clustered"/>
        <c:varyColors val="0"/>
        <c:ser>
          <c:idx val="0"/>
          <c:order val="0"/>
          <c:tx>
            <c:strRef>
              <c:f>'PI series #'!$B$4</c:f>
              <c:strCache>
                <c:ptCount val="1"/>
                <c:pt idx="0">
                  <c:v>2019</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'PI series #'!$B$6</c:f>
              <c:numCache>
                <c:formatCode>0.00%</c:formatCode>
                <c:ptCount val="1"/>
                <c:pt idx="0">
                  <c:v>#N/A</c:v>
                </c:pt>
              </c:numCache>
            </c:numRef>
          </c:val>
          <c:extLst>
            <c:ext xmlns:c16="http://schemas.microsoft.com/office/drawing/2014/chart" uri="{C3380CC4-5D6E-409C-BE32-E72D297353CC}">
              <c16:uniqueId val="{00000000-DCD8-4BD2-BB91-ABDB6BD1EDAF}"/>
            </c:ext>
          </c:extLst>
        </c:ser>
        <c:ser>
          <c:idx val="1"/>
          <c:order val="1"/>
          <c:tx>
            <c:strRef>
              <c:f>'PI series #'!$C$4</c:f>
              <c:strCache>
                <c:ptCount val="1"/>
                <c:pt idx="0">
                  <c:v>2020</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'PI series #'!$C$6</c:f>
              <c:numCache>
                <c:formatCode>0.00%</c:formatCode>
                <c:ptCount val="1"/>
                <c:pt idx="0">
                  <c:v>#N/A</c:v>
                </c:pt>
              </c:numCache>
            </c:numRef>
          </c:val>
          <c:extLst>
            <c:ext xmlns:c16="http://schemas.microsoft.com/office/drawing/2014/chart" uri="{C3380CC4-5D6E-409C-BE32-E72D297353CC}">
              <c16:uniqueId val="{00000001-DCD8-4BD2-BB91-ABDB6BD1EDAF}"/>
            </c:ext>
          </c:extLst>
        </c:ser>
        <c:ser>
          <c:idx val="2"/>
          <c:order val="2"/>
          <c:tx>
            <c:strRef>
              <c:f>'PI series #'!$D$4</c:f>
              <c:strCache>
                <c:ptCount val="1"/>
                <c:pt idx="0">
                  <c:v>2021</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'PI series #'!$D$6</c:f>
              <c:numCache>
                <c:formatCode>0.00%</c:formatCode>
                <c:ptCount val="1"/>
                <c:pt idx="0">
                  <c:v>0</c:v>
                </c:pt>
              </c:numCache>
            </c:numRef>
          </c:val>
          <c:extLst>
            <c:ext xmlns:c16="http://schemas.microsoft.com/office/drawing/2014/chart" uri="{C3380CC4-5D6E-409C-BE32-E72D297353CC}">
              <c16:uniqueId val="{00000002-DCD8-4BD2-BB91-ABDB6BD1EDAF}"/>
            </c:ext>
          </c:extLst>
        </c:ser>
        <c:dLbls>
          <c:dLblPos val="inEnd"/>
          <c:showLegendKey val="0"/>
          <c:showVal val="1"/>
          <c:showCatName val="0"/>
          <c:showSerName val="0"/>
          <c:showPercent val="0"/>
          <c:showBubbleSize val="0"/>
        </c:dLbls>
        <c:gapWidth val="100"/>
        <c:overlap val="-24"/>
        <c:axId val="75334896"/>
        <c:axId val="216599104"/>
      </c:barChart>
      <c:catAx>
        <c:axId val="75334896"/>
        <c:scaling>
          <c:orientation val="minMax"/>
        </c:scaling>
        <c:delete val="1"/>
        <c:axPos val="b"/>
        <c:numFmt formatCode="General" sourceLinked="1"/>
        <c:majorTickMark val="none"/>
        <c:minorTickMark val="none"/>
        <c:tickLblPos val="nextTo"/>
        <c:crossAx val="216599104"/>
        <c:crosses val="autoZero"/>
        <c:auto val="1"/>
        <c:lblAlgn val="ctr"/>
        <c:lblOffset val="100"/>
        <c:noMultiLvlLbl val="0"/>
      </c:catAx>
      <c:valAx>
        <c:axId val="216599104"/>
        <c:scaling>
          <c:orientation val="minMax"/>
        </c:scaling>
        <c:delete val="0"/>
        <c:axPos val="l"/>
        <c:majorGridlines>
          <c:spPr>
            <a:ln w="9525" cap="flat" cmpd="sng" algn="ctr">
              <a:solidFill>
                <a:schemeClr val="tx1"/>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50" b="0" i="0" u="none" strike="noStrike" kern="1200" baseline="0">
                <a:solidFill>
                  <a:schemeClr val="tx1"/>
                </a:solidFill>
                <a:latin typeface="+mn-lt"/>
                <a:ea typeface="+mn-ea"/>
                <a:cs typeface="+mn-cs"/>
              </a:defRPr>
            </a:pPr>
            <a:endParaRPr lang="en-US"/>
          </a:p>
        </c:txPr>
        <c:crossAx val="7533489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50" b="0" i="0" u="none" strike="noStrike" kern="1200" baseline="0">
              <a:solidFill>
                <a:schemeClr val="tx1"/>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orientation="portrait"/>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2.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3.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5</xdr:col>
      <xdr:colOff>1952621</xdr:colOff>
      <xdr:row>46</xdr:row>
      <xdr:rowOff>276225</xdr:rowOff>
    </xdr:from>
    <xdr:to>
      <xdr:col>5</xdr:col>
      <xdr:colOff>3507101</xdr:colOff>
      <xdr:row>52</xdr:row>
      <xdr:rowOff>19050</xdr:rowOff>
    </xdr:to>
    <xdr:sp macro="" textlink="">
      <xdr:nvSpPr>
        <xdr:cNvPr id="2" name="Arrow: Right 1">
          <a:extLst>
            <a:ext uri="{FF2B5EF4-FFF2-40B4-BE49-F238E27FC236}">
              <a16:creationId xmlns:a16="http://schemas.microsoft.com/office/drawing/2014/main" id="{00000000-0008-0000-0200-000002000000}"/>
            </a:ext>
          </a:extLst>
        </xdr:cNvPr>
        <xdr:cNvSpPr/>
      </xdr:nvSpPr>
      <xdr:spPr>
        <a:xfrm>
          <a:off x="5848346" y="4800600"/>
          <a:ext cx="1554480" cy="1371600"/>
        </a:xfrm>
        <a:prstGeom prst="rightArrow">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rtl="0" eaLnBrk="1" fontAlgn="auto" latinLnBrk="0" hangingPunct="1">
            <a:lnSpc>
              <a:spcPct val="100000"/>
            </a:lnSpc>
            <a:spcBef>
              <a:spcPts val="0"/>
            </a:spcBef>
            <a:spcAft>
              <a:spcPts val="0"/>
            </a:spcAft>
            <a:buClrTx/>
            <a:buSzTx/>
            <a:buFontTx/>
            <a:buNone/>
            <a:tabLst/>
            <a:defRPr/>
          </a:pPr>
          <a:r>
            <a:rPr lang="en-US" sz="950" b="1" i="1" baseline="0">
              <a:solidFill>
                <a:schemeClr val="tx1"/>
              </a:solidFill>
              <a:effectLst/>
              <a:latin typeface="+mn-lt"/>
              <a:ea typeface="+mn-ea"/>
              <a:cs typeface="+mn-cs"/>
            </a:rPr>
            <a:t>Q 955 &amp; 957 Exclude Federal and State compliance findings from this number</a:t>
          </a:r>
          <a:endParaRPr lang="en-US" sz="950" b="1" i="1">
            <a:solidFill>
              <a:schemeClr val="tx1"/>
            </a:solidFill>
            <a:effectLst/>
          </a:endParaRPr>
        </a:p>
        <a:p>
          <a:pPr algn="l"/>
          <a:endParaRPr 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353784</xdr:colOff>
      <xdr:row>8</xdr:row>
      <xdr:rowOff>176893</xdr:rowOff>
    </xdr:from>
    <xdr:to>
      <xdr:col>3</xdr:col>
      <xdr:colOff>1170214</xdr:colOff>
      <xdr:row>8</xdr:row>
      <xdr:rowOff>2286000</xdr:rowOff>
    </xdr:to>
    <xdr:graphicFrame macro="">
      <xdr:nvGraphicFramePr>
        <xdr:cNvPr id="2" name="Chart 1">
          <a:extLst>
            <a:ext uri="{FF2B5EF4-FFF2-40B4-BE49-F238E27FC236}">
              <a16:creationId xmlns:a16="http://schemas.microsoft.com/office/drawing/2014/main" id="{00000000-0008-0000-04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353784</xdr:colOff>
      <xdr:row>9</xdr:row>
      <xdr:rowOff>176893</xdr:rowOff>
    </xdr:from>
    <xdr:to>
      <xdr:col>3</xdr:col>
      <xdr:colOff>1170214</xdr:colOff>
      <xdr:row>9</xdr:row>
      <xdr:rowOff>2286000</xdr:rowOff>
    </xdr:to>
    <xdr:graphicFrame macro="">
      <xdr:nvGraphicFramePr>
        <xdr:cNvPr id="6" name="Chart 5">
          <a:extLst>
            <a:ext uri="{FF2B5EF4-FFF2-40B4-BE49-F238E27FC236}">
              <a16:creationId xmlns:a16="http://schemas.microsoft.com/office/drawing/2014/main" id="{00000000-0008-0000-04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353784</xdr:colOff>
      <xdr:row>10</xdr:row>
      <xdr:rowOff>176893</xdr:rowOff>
    </xdr:from>
    <xdr:to>
      <xdr:col>3</xdr:col>
      <xdr:colOff>1170214</xdr:colOff>
      <xdr:row>10</xdr:row>
      <xdr:rowOff>2286000</xdr:rowOff>
    </xdr:to>
    <xdr:graphicFrame macro="">
      <xdr:nvGraphicFramePr>
        <xdr:cNvPr id="7" name="Chart 6">
          <a:extLst>
            <a:ext uri="{FF2B5EF4-FFF2-40B4-BE49-F238E27FC236}">
              <a16:creationId xmlns:a16="http://schemas.microsoft.com/office/drawing/2014/main" id="{00000000-0008-0000-04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Szalaj\LoGics%20project\Copy%20of%20newaudit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view Sheet"/>
      <sheetName val="Database"/>
    </sheetNames>
    <sheetDataSet>
      <sheetData sheetId="0"/>
      <sheetData sheetId="1">
        <row r="3">
          <cell r="AC3">
            <v>4</v>
          </cell>
          <cell r="AD3">
            <v>28</v>
          </cell>
          <cell r="AE3" t="str">
            <v>GF</v>
          </cell>
          <cell r="AF3" t="str">
            <v>2</v>
          </cell>
          <cell r="AH3" t="str">
            <v>+2314345-851911</v>
          </cell>
          <cell r="AI3">
            <v>1462434</v>
          </cell>
          <cell r="AN3">
            <v>1462434</v>
          </cell>
          <cell r="AO3" t="str">
            <v>+2314345-851911</v>
          </cell>
          <cell r="BF3" t="str">
            <v>N</v>
          </cell>
          <cell r="BG3" t="str">
            <v>Alexander County</v>
          </cell>
          <cell r="BH3" t="str">
            <v>MARTIN STARNES &amp; ASSOCIATES CPAs  730 13TH AVE DRIVE SOUTHEAST  , HICKORY, NC 28602</v>
          </cell>
          <cell r="BI3" t="str">
            <v>22-Oct-10</v>
          </cell>
          <cell r="BJ3" t="str">
            <v>U</v>
          </cell>
          <cell r="BM3" t="str">
            <v>5444484</v>
          </cell>
          <cell r="BW3" t="str">
            <v>19.07</v>
          </cell>
          <cell r="BX3" t="str">
            <v>19.07</v>
          </cell>
          <cell r="CF3" t="str">
            <v>.76</v>
          </cell>
          <cell r="CG3" t="str">
            <v>-722391</v>
          </cell>
          <cell r="CT3" t="str">
            <v>2.66</v>
          </cell>
          <cell r="CU3" t="str">
            <v>1249377</v>
          </cell>
          <cell r="CY3" t="str">
            <v>0</v>
          </cell>
          <cell r="CZ3" t="str">
            <v>0</v>
          </cell>
          <cell r="DE3" t="str">
            <v xml:space="preserve"> SOLID WASTE WATER/SEWER</v>
          </cell>
          <cell r="DI3" t="str">
            <v xml:space="preserve"> 911- CAPITAL OUTLAY-</v>
          </cell>
          <cell r="DX3" t="str">
            <v>CANADY</v>
          </cell>
          <cell r="DY3" t="str">
            <v>02-NOV-10</v>
          </cell>
          <cell r="DZ3" t="str">
            <v>BURKE2</v>
          </cell>
          <cell r="EA3" t="str">
            <v>02-NOV-10</v>
          </cell>
          <cell r="EB3" t="str">
            <v>BURKE2</v>
          </cell>
          <cell r="EC3" t="str">
            <v>05-NOV-10</v>
          </cell>
          <cell r="ED3" t="str">
            <v>2010</v>
          </cell>
          <cell r="EE3" t="str">
            <v>30-Jun-10</v>
          </cell>
          <cell r="EF3" t="str">
            <v>01</v>
          </cell>
          <cell r="EG3" t="str">
            <v>SZALAJ</v>
          </cell>
        </row>
        <row r="4">
          <cell r="AC4">
            <v>5</v>
          </cell>
          <cell r="AD4">
            <v>29</v>
          </cell>
          <cell r="AE4" t="str">
            <v>GF</v>
          </cell>
          <cell r="AF4" t="str">
            <v>2</v>
          </cell>
          <cell r="AH4" t="str">
            <v>+116754+10100</v>
          </cell>
          <cell r="AI4">
            <v>126854</v>
          </cell>
          <cell r="AN4">
            <v>126854</v>
          </cell>
          <cell r="AO4" t="str">
            <v>+116754+10100</v>
          </cell>
        </row>
        <row r="5">
          <cell r="AC5">
            <v>6</v>
          </cell>
          <cell r="AD5">
            <v>34</v>
          </cell>
          <cell r="AE5" t="str">
            <v>GF</v>
          </cell>
          <cell r="AF5" t="str">
            <v>2</v>
          </cell>
        </row>
        <row r="6">
          <cell r="AC6">
            <v>7</v>
          </cell>
          <cell r="AD6">
            <v>35</v>
          </cell>
          <cell r="AE6" t="str">
            <v>GF</v>
          </cell>
          <cell r="AF6" t="str">
            <v>2</v>
          </cell>
        </row>
        <row r="7">
          <cell r="AC7">
            <v>8</v>
          </cell>
          <cell r="AD7">
            <v>46</v>
          </cell>
          <cell r="AE7" t="str">
            <v>GF</v>
          </cell>
          <cell r="AF7" t="str">
            <v>1</v>
          </cell>
          <cell r="AH7" t="str">
            <v>n</v>
          </cell>
          <cell r="AO7" t="str">
            <v>n</v>
          </cell>
        </row>
        <row r="8">
          <cell r="AC8">
            <v>9</v>
          </cell>
          <cell r="AD8">
            <v>32</v>
          </cell>
          <cell r="AE8" t="str">
            <v>GF</v>
          </cell>
          <cell r="AF8" t="str">
            <v>2</v>
          </cell>
          <cell r="AH8" t="str">
            <v>+7576459</v>
          </cell>
          <cell r="AI8">
            <v>7576459</v>
          </cell>
          <cell r="AN8">
            <v>7576459</v>
          </cell>
          <cell r="AO8" t="str">
            <v>+7576459</v>
          </cell>
        </row>
        <row r="9">
          <cell r="AC9">
            <v>10</v>
          </cell>
          <cell r="AD9">
            <v>33</v>
          </cell>
          <cell r="AE9" t="str">
            <v>GF</v>
          </cell>
          <cell r="AF9" t="str">
            <v>2</v>
          </cell>
          <cell r="AH9" t="str">
            <v>+2131976</v>
          </cell>
          <cell r="AI9">
            <v>2131976</v>
          </cell>
          <cell r="AN9">
            <v>2131976</v>
          </cell>
          <cell r="AO9" t="str">
            <v>+2131976</v>
          </cell>
        </row>
        <row r="10">
          <cell r="AC10">
            <v>12</v>
          </cell>
          <cell r="AD10">
            <v>49</v>
          </cell>
          <cell r="AE10" t="str">
            <v>EFO</v>
          </cell>
          <cell r="AF10" t="str">
            <v>2</v>
          </cell>
          <cell r="AH10" t="str">
            <v>+2252598</v>
          </cell>
          <cell r="AI10">
            <v>2252598</v>
          </cell>
          <cell r="AN10">
            <v>2252598</v>
          </cell>
          <cell r="AO10" t="str">
            <v>+2252598</v>
          </cell>
        </row>
        <row r="11">
          <cell r="AC11">
            <v>13</v>
          </cell>
          <cell r="AD11">
            <v>50</v>
          </cell>
          <cell r="AE11" t="str">
            <v>EFO</v>
          </cell>
          <cell r="AF11" t="str">
            <v>2</v>
          </cell>
          <cell r="AH11" t="str">
            <v>+2252598</v>
          </cell>
          <cell r="AI11">
            <v>2252598</v>
          </cell>
          <cell r="AN11">
            <v>2252598</v>
          </cell>
          <cell r="AO11" t="str">
            <v>+2252598</v>
          </cell>
        </row>
        <row r="12">
          <cell r="AC12">
            <v>14</v>
          </cell>
          <cell r="AD12">
            <v>51</v>
          </cell>
          <cell r="AE12" t="str">
            <v>EFO</v>
          </cell>
          <cell r="AF12" t="str">
            <v>2</v>
          </cell>
          <cell r="AH12" t="str">
            <v>+2981389-6400</v>
          </cell>
          <cell r="AI12">
            <v>2974989</v>
          </cell>
          <cell r="AN12">
            <v>2974989</v>
          </cell>
          <cell r="AO12" t="str">
            <v>+2981389-6400</v>
          </cell>
        </row>
        <row r="13">
          <cell r="AC13">
            <v>16</v>
          </cell>
          <cell r="AD13">
            <v>36</v>
          </cell>
          <cell r="AE13" t="str">
            <v>GF</v>
          </cell>
          <cell r="AF13" t="str">
            <v>2</v>
          </cell>
          <cell r="AH13" t="str">
            <v>+28657168</v>
          </cell>
          <cell r="AI13">
            <v>28657168</v>
          </cell>
          <cell r="AN13">
            <v>28657168</v>
          </cell>
          <cell r="AO13" t="str">
            <v>+28657168</v>
          </cell>
        </row>
        <row r="14">
          <cell r="AC14">
            <v>17</v>
          </cell>
          <cell r="AD14">
            <v>40</v>
          </cell>
          <cell r="AE14" t="str">
            <v>GF</v>
          </cell>
          <cell r="AF14" t="str">
            <v>2</v>
          </cell>
          <cell r="AH14" t="str">
            <v>+1422967</v>
          </cell>
          <cell r="AI14">
            <v>1422967</v>
          </cell>
          <cell r="AN14">
            <v>1422967</v>
          </cell>
          <cell r="AO14" t="str">
            <v>+1422967</v>
          </cell>
        </row>
        <row r="15">
          <cell r="AC15">
            <v>19</v>
          </cell>
          <cell r="AD15">
            <v>38</v>
          </cell>
          <cell r="AE15" t="str">
            <v>GF</v>
          </cell>
          <cell r="AF15" t="str">
            <v>2</v>
          </cell>
          <cell r="AH15" t="str">
            <v>+28022648</v>
          </cell>
          <cell r="AI15">
            <v>28022648</v>
          </cell>
          <cell r="AN15">
            <v>28022648</v>
          </cell>
          <cell r="AO15" t="str">
            <v>+28022648</v>
          </cell>
        </row>
        <row r="16">
          <cell r="AC16">
            <v>20</v>
          </cell>
          <cell r="AD16">
            <v>41</v>
          </cell>
          <cell r="AE16" t="str">
            <v>GF</v>
          </cell>
          <cell r="AF16" t="str">
            <v>2</v>
          </cell>
          <cell r="AH16" t="str">
            <v>+525429</v>
          </cell>
          <cell r="AI16">
            <v>525429</v>
          </cell>
          <cell r="AN16">
            <v>525429</v>
          </cell>
          <cell r="AO16" t="str">
            <v>+525429</v>
          </cell>
        </row>
        <row r="17">
          <cell r="AC17">
            <v>21</v>
          </cell>
          <cell r="AD17">
            <v>43</v>
          </cell>
          <cell r="AE17" t="str">
            <v>GF</v>
          </cell>
          <cell r="AF17" t="str">
            <v>2</v>
          </cell>
          <cell r="AH17" t="str">
            <v>+0</v>
          </cell>
          <cell r="AI17">
            <v>0</v>
          </cell>
          <cell r="AN17">
            <v>0</v>
          </cell>
          <cell r="AO17" t="str">
            <v>+0</v>
          </cell>
        </row>
        <row r="18">
          <cell r="AC18">
            <v>22</v>
          </cell>
          <cell r="AD18">
            <v>42</v>
          </cell>
          <cell r="AE18" t="str">
            <v>GF</v>
          </cell>
          <cell r="AF18" t="str">
            <v>2</v>
          </cell>
        </row>
        <row r="19">
          <cell r="AC19">
            <v>23</v>
          </cell>
          <cell r="AD19">
            <v>44</v>
          </cell>
          <cell r="AE19" t="str">
            <v>GF</v>
          </cell>
          <cell r="AF19" t="str">
            <v>2</v>
          </cell>
          <cell r="AH19" t="str">
            <v>+1532058</v>
          </cell>
          <cell r="AI19">
            <v>1532058</v>
          </cell>
          <cell r="AN19">
            <v>1532058</v>
          </cell>
          <cell r="AO19" t="str">
            <v>+1532058</v>
          </cell>
        </row>
        <row r="20">
          <cell r="AC20">
            <v>31</v>
          </cell>
          <cell r="AD20">
            <v>67</v>
          </cell>
          <cell r="AE20" t="str">
            <v>EFO</v>
          </cell>
          <cell r="AF20" t="str">
            <v>2</v>
          </cell>
          <cell r="AH20" t="str">
            <v>+924370</v>
          </cell>
          <cell r="AI20">
            <v>924370</v>
          </cell>
          <cell r="AN20">
            <v>924370</v>
          </cell>
          <cell r="AO20" t="str">
            <v>+924370</v>
          </cell>
        </row>
        <row r="21">
          <cell r="AC21">
            <v>42</v>
          </cell>
          <cell r="AD21">
            <v>127</v>
          </cell>
          <cell r="AE21" t="str">
            <v>NF</v>
          </cell>
          <cell r="AF21" t="str">
            <v>1</v>
          </cell>
          <cell r="AH21" t="str">
            <v>n</v>
          </cell>
          <cell r="AO21" t="str">
            <v>n</v>
          </cell>
        </row>
        <row r="22">
          <cell r="AC22">
            <v>43</v>
          </cell>
          <cell r="AD22">
            <v>54</v>
          </cell>
          <cell r="AE22" t="str">
            <v>EFWS</v>
          </cell>
          <cell r="AF22" t="str">
            <v>2</v>
          </cell>
          <cell r="AH22" t="str">
            <v>+1440246+562153</v>
          </cell>
          <cell r="AI22">
            <v>2002399</v>
          </cell>
          <cell r="AN22">
            <v>2002399</v>
          </cell>
          <cell r="AO22" t="str">
            <v>+1440246+562153</v>
          </cell>
        </row>
        <row r="23">
          <cell r="AC23">
            <v>44</v>
          </cell>
          <cell r="AD23">
            <v>55</v>
          </cell>
          <cell r="AE23" t="str">
            <v>EFWS</v>
          </cell>
          <cell r="AF23" t="str">
            <v>2</v>
          </cell>
          <cell r="AH23" t="str">
            <v>+562153+1440246</v>
          </cell>
          <cell r="AI23">
            <v>2002399</v>
          </cell>
          <cell r="AN23">
            <v>2002399</v>
          </cell>
          <cell r="AO23" t="str">
            <v>+562153+1440246</v>
          </cell>
        </row>
        <row r="24">
          <cell r="AC24">
            <v>45</v>
          </cell>
          <cell r="AD24">
            <v>57</v>
          </cell>
          <cell r="AE24" t="str">
            <v>EFWS</v>
          </cell>
          <cell r="AF24" t="str">
            <v>2</v>
          </cell>
          <cell r="AH24" t="str">
            <v>+563977+189354-309</v>
          </cell>
          <cell r="AI24">
            <v>753022</v>
          </cell>
          <cell r="AN24">
            <v>753022</v>
          </cell>
          <cell r="AO24" t="str">
            <v>+563977+189354-309</v>
          </cell>
        </row>
        <row r="25">
          <cell r="AC25">
            <v>49</v>
          </cell>
          <cell r="AD25">
            <v>70</v>
          </cell>
          <cell r="AE25" t="str">
            <v>EFWS</v>
          </cell>
          <cell r="AF25" t="str">
            <v>2</v>
          </cell>
          <cell r="AH25" t="str">
            <v>+250464+93188</v>
          </cell>
          <cell r="AI25">
            <v>343652</v>
          </cell>
          <cell r="AN25">
            <v>343652</v>
          </cell>
          <cell r="AO25" t="str">
            <v>+250464+93188</v>
          </cell>
        </row>
        <row r="26">
          <cell r="AC26">
            <v>50</v>
          </cell>
          <cell r="AD26">
            <v>78</v>
          </cell>
          <cell r="AE26" t="str">
            <v>EFWS</v>
          </cell>
          <cell r="AF26" t="str">
            <v>2</v>
          </cell>
          <cell r="AH26" t="str">
            <v>+7451707+192125</v>
          </cell>
          <cell r="AI26">
            <v>7643832</v>
          </cell>
          <cell r="AN26">
            <v>7643832</v>
          </cell>
          <cell r="AO26" t="str">
            <v>+7451707+192125</v>
          </cell>
        </row>
        <row r="27">
          <cell r="AC27">
            <v>51</v>
          </cell>
          <cell r="AD27">
            <v>86</v>
          </cell>
          <cell r="AE27" t="str">
            <v>EFWS</v>
          </cell>
          <cell r="AF27" t="str">
            <v>2</v>
          </cell>
          <cell r="AH27" t="str">
            <v>+229612+334956</v>
          </cell>
          <cell r="AI27">
            <v>564568</v>
          </cell>
          <cell r="AN27">
            <v>564568</v>
          </cell>
          <cell r="AO27" t="str">
            <v>+229612+334956</v>
          </cell>
        </row>
        <row r="28">
          <cell r="AC28">
            <v>56</v>
          </cell>
          <cell r="AD28">
            <v>125</v>
          </cell>
          <cell r="AE28" t="str">
            <v>NF</v>
          </cell>
          <cell r="AF28" t="str">
            <v>1</v>
          </cell>
          <cell r="AH28" t="str">
            <v>n</v>
          </cell>
          <cell r="AO28" t="str">
            <v>n</v>
          </cell>
        </row>
        <row r="29">
          <cell r="AC29">
            <v>57</v>
          </cell>
          <cell r="AD29">
            <v>124</v>
          </cell>
          <cell r="AE29" t="str">
            <v>NF</v>
          </cell>
          <cell r="AF29" t="str">
            <v>1</v>
          </cell>
          <cell r="AH29" t="str">
            <v>Y</v>
          </cell>
          <cell r="AJ29" t="str">
            <v>very concerned about solid waste and landfill closure - landfill sceduled to cl</v>
          </cell>
          <cell r="AO29" t="str">
            <v>Y</v>
          </cell>
        </row>
        <row r="30">
          <cell r="AC30">
            <v>58</v>
          </cell>
          <cell r="AD30">
            <v>123</v>
          </cell>
          <cell r="AE30" t="str">
            <v>GF</v>
          </cell>
          <cell r="AF30" t="str">
            <v>1</v>
          </cell>
          <cell r="AH30" t="str">
            <v>n</v>
          </cell>
          <cell r="AO30" t="str">
            <v>n</v>
          </cell>
        </row>
        <row r="31">
          <cell r="AC31">
            <v>59</v>
          </cell>
          <cell r="AD31">
            <v>122</v>
          </cell>
          <cell r="AE31" t="str">
            <v>GF</v>
          </cell>
          <cell r="AF31" t="str">
            <v>1</v>
          </cell>
          <cell r="AH31" t="str">
            <v>n</v>
          </cell>
          <cell r="AJ31" t="str">
            <v>Agency BS should be before notes</v>
          </cell>
          <cell r="AO31" t="str">
            <v>n</v>
          </cell>
        </row>
        <row r="32">
          <cell r="AC32">
            <v>61</v>
          </cell>
          <cell r="AD32">
            <v>115</v>
          </cell>
          <cell r="AE32" t="str">
            <v>NF</v>
          </cell>
          <cell r="AF32" t="str">
            <v>2</v>
          </cell>
          <cell r="AH32" t="str">
            <v>+96.02</v>
          </cell>
          <cell r="AI32">
            <v>96.02</v>
          </cell>
          <cell r="AN32">
            <v>96.02</v>
          </cell>
          <cell r="AO32" t="str">
            <v>+96.02</v>
          </cell>
        </row>
        <row r="33">
          <cell r="AC33">
            <v>63</v>
          </cell>
          <cell r="AD33">
            <v>119</v>
          </cell>
          <cell r="AE33" t="str">
            <v>NF</v>
          </cell>
          <cell r="AF33" t="str">
            <v>1</v>
          </cell>
          <cell r="AH33" t="str">
            <v>n</v>
          </cell>
          <cell r="AO33" t="str">
            <v>n</v>
          </cell>
        </row>
        <row r="34">
          <cell r="AC34">
            <v>64</v>
          </cell>
          <cell r="AD34">
            <v>120</v>
          </cell>
          <cell r="AE34" t="str">
            <v>NF</v>
          </cell>
          <cell r="AF34" t="str">
            <v>1</v>
          </cell>
          <cell r="AH34" t="str">
            <v>n</v>
          </cell>
          <cell r="AO34" t="str">
            <v>n</v>
          </cell>
        </row>
        <row r="35">
          <cell r="AC35">
            <v>65</v>
          </cell>
          <cell r="AD35">
            <v>121</v>
          </cell>
          <cell r="AE35" t="str">
            <v>NF</v>
          </cell>
          <cell r="AF35" t="str">
            <v>1</v>
          </cell>
          <cell r="AH35" t="str">
            <v>n</v>
          </cell>
          <cell r="AO35" t="str">
            <v>n</v>
          </cell>
        </row>
        <row r="36">
          <cell r="AC36">
            <v>66</v>
          </cell>
          <cell r="AD36">
            <v>118</v>
          </cell>
          <cell r="AE36" t="str">
            <v>NF</v>
          </cell>
          <cell r="AF36" t="str">
            <v>1</v>
          </cell>
          <cell r="AH36" t="str">
            <v>0</v>
          </cell>
          <cell r="AO36" t="str">
            <v>0</v>
          </cell>
        </row>
        <row r="37">
          <cell r="AC37">
            <v>67</v>
          </cell>
          <cell r="AD37">
            <v>129</v>
          </cell>
          <cell r="AE37" t="str">
            <v>NF</v>
          </cell>
          <cell r="AF37" t="str">
            <v>1</v>
          </cell>
          <cell r="AH37" t="str">
            <v>n</v>
          </cell>
          <cell r="AJ37" t="str">
            <v>Agency BS and landfill</v>
          </cell>
          <cell r="AO37" t="str">
            <v>n</v>
          </cell>
        </row>
        <row r="38">
          <cell r="AC38">
            <v>68</v>
          </cell>
          <cell r="AD38">
            <v>128</v>
          </cell>
          <cell r="AE38" t="str">
            <v>NF</v>
          </cell>
          <cell r="AF38" t="str">
            <v>1</v>
          </cell>
          <cell r="AH38" t="str">
            <v>y</v>
          </cell>
          <cell r="AO38" t="str">
            <v>y</v>
          </cell>
        </row>
        <row r="39">
          <cell r="AC39">
            <v>71</v>
          </cell>
          <cell r="AD39">
            <v>130</v>
          </cell>
          <cell r="AE39" t="str">
            <v>NF</v>
          </cell>
          <cell r="AF39" t="str">
            <v>1</v>
          </cell>
          <cell r="AH39" t="str">
            <v>N</v>
          </cell>
          <cell r="AO39" t="str">
            <v>N</v>
          </cell>
        </row>
        <row r="40">
          <cell r="AC40">
            <v>79</v>
          </cell>
          <cell r="AD40">
            <v>62</v>
          </cell>
          <cell r="AE40" t="str">
            <v>EFWS</v>
          </cell>
          <cell r="AF40" t="str">
            <v>1</v>
          </cell>
          <cell r="AH40" t="str">
            <v>n</v>
          </cell>
          <cell r="AO40" t="str">
            <v>n</v>
          </cell>
        </row>
        <row r="41">
          <cell r="AC41">
            <v>80</v>
          </cell>
          <cell r="AD41">
            <v>52</v>
          </cell>
          <cell r="AE41" t="str">
            <v>EFWS</v>
          </cell>
          <cell r="AF41" t="str">
            <v>2</v>
          </cell>
          <cell r="AH41" t="str">
            <v>+1161540+463875</v>
          </cell>
          <cell r="AI41">
            <v>1625415</v>
          </cell>
          <cell r="AN41">
            <v>1625415</v>
          </cell>
          <cell r="AO41" t="str">
            <v>+1161540+463875</v>
          </cell>
        </row>
        <row r="42">
          <cell r="AC42">
            <v>81</v>
          </cell>
          <cell r="AD42">
            <v>53</v>
          </cell>
          <cell r="AE42" t="str">
            <v>EFWS</v>
          </cell>
          <cell r="AF42" t="str">
            <v>2</v>
          </cell>
          <cell r="AH42" t="str">
            <v>+142450+98278</v>
          </cell>
          <cell r="AI42">
            <v>240728</v>
          </cell>
          <cell r="AN42">
            <v>240728</v>
          </cell>
          <cell r="AO42" t="str">
            <v>+142450+98278</v>
          </cell>
        </row>
        <row r="43">
          <cell r="AC43">
            <v>82</v>
          </cell>
          <cell r="AD43">
            <v>103</v>
          </cell>
          <cell r="AE43" t="str">
            <v>EFWS</v>
          </cell>
          <cell r="AF43" t="str">
            <v>2</v>
          </cell>
          <cell r="AH43" t="str">
            <v>+1305696+3519615</v>
          </cell>
          <cell r="AI43">
            <v>4825311</v>
          </cell>
          <cell r="AN43">
            <v>4825311</v>
          </cell>
          <cell r="AO43" t="str">
            <v>+1305696+3519615</v>
          </cell>
        </row>
        <row r="44">
          <cell r="AC44">
            <v>83</v>
          </cell>
          <cell r="AD44">
            <v>61</v>
          </cell>
          <cell r="AE44" t="str">
            <v>EFWS</v>
          </cell>
          <cell r="AF44" t="str">
            <v>2</v>
          </cell>
          <cell r="AH44" t="str">
            <v>+8492177+1055841</v>
          </cell>
          <cell r="AI44">
            <v>9548018</v>
          </cell>
          <cell r="AN44">
            <v>9548018</v>
          </cell>
          <cell r="AO44" t="str">
            <v>+8492177+1055841</v>
          </cell>
        </row>
        <row r="45">
          <cell r="AC45">
            <v>84</v>
          </cell>
          <cell r="AD45">
            <v>69</v>
          </cell>
          <cell r="AE45" t="str">
            <v>EFWS</v>
          </cell>
          <cell r="AF45" t="str">
            <v>2</v>
          </cell>
          <cell r="AH45" t="str">
            <v>+2144006</v>
          </cell>
          <cell r="AI45">
            <v>2144006</v>
          </cell>
          <cell r="AN45">
            <v>2144006</v>
          </cell>
          <cell r="AO45" t="str">
            <v>+2144006</v>
          </cell>
        </row>
        <row r="46">
          <cell r="AC46">
            <v>85</v>
          </cell>
          <cell r="AD46">
            <v>71</v>
          </cell>
          <cell r="AE46" t="str">
            <v>EFWS</v>
          </cell>
          <cell r="AF46" t="str">
            <v>2</v>
          </cell>
          <cell r="AH46" t="str">
            <v>+951793+864576</v>
          </cell>
          <cell r="AI46">
            <v>1816369</v>
          </cell>
          <cell r="AN46">
            <v>1816369</v>
          </cell>
          <cell r="AO46" t="str">
            <v>+951793+864576</v>
          </cell>
        </row>
        <row r="47">
          <cell r="AC47">
            <v>88</v>
          </cell>
          <cell r="AD47">
            <v>68</v>
          </cell>
          <cell r="AE47" t="str">
            <v>EFWS</v>
          </cell>
          <cell r="AF47" t="str">
            <v>2</v>
          </cell>
          <cell r="AH47" t="str">
            <v>+1031335+1112671</v>
          </cell>
          <cell r="AI47">
            <v>2144006</v>
          </cell>
          <cell r="AN47">
            <v>2144006</v>
          </cell>
          <cell r="AO47" t="str">
            <v>+1031335+1112671</v>
          </cell>
        </row>
        <row r="48">
          <cell r="AC48">
            <v>89</v>
          </cell>
          <cell r="AD48">
            <v>72</v>
          </cell>
          <cell r="AE48" t="str">
            <v>EFWS</v>
          </cell>
          <cell r="AF48" t="str">
            <v>2</v>
          </cell>
          <cell r="AH48" t="str">
            <v>+56725</v>
          </cell>
          <cell r="AI48">
            <v>56725</v>
          </cell>
          <cell r="AN48">
            <v>56725</v>
          </cell>
          <cell r="AO48" t="str">
            <v>+56725</v>
          </cell>
        </row>
        <row r="49">
          <cell r="AC49">
            <v>102</v>
          </cell>
          <cell r="AD49">
            <v>116</v>
          </cell>
          <cell r="AE49" t="str">
            <v>NF</v>
          </cell>
          <cell r="AF49" t="str">
            <v>2</v>
          </cell>
          <cell r="AH49" t="str">
            <v>+96.69</v>
          </cell>
          <cell r="AI49">
            <v>96.69</v>
          </cell>
          <cell r="AN49">
            <v>96.69</v>
          </cell>
          <cell r="AO49" t="str">
            <v>+96.69</v>
          </cell>
        </row>
        <row r="50">
          <cell r="AC50">
            <v>103</v>
          </cell>
          <cell r="AD50">
            <v>117</v>
          </cell>
          <cell r="AE50" t="str">
            <v>NF</v>
          </cell>
          <cell r="AF50" t="str">
            <v>2</v>
          </cell>
          <cell r="AH50" t="str">
            <v>+89.37</v>
          </cell>
          <cell r="AI50">
            <v>89.37</v>
          </cell>
          <cell r="AN50">
            <v>89.37</v>
          </cell>
          <cell r="AO50" t="str">
            <v>+89.37</v>
          </cell>
        </row>
        <row r="51">
          <cell r="AC51">
            <v>147</v>
          </cell>
          <cell r="AD51">
            <v>111</v>
          </cell>
          <cell r="AE51" t="str">
            <v>GF</v>
          </cell>
          <cell r="AF51" t="str">
            <v>2</v>
          </cell>
          <cell r="AH51" t="str">
            <v>+5000000</v>
          </cell>
          <cell r="AI51">
            <v>5000000</v>
          </cell>
          <cell r="AN51">
            <v>5000000</v>
          </cell>
          <cell r="AO51" t="str">
            <v>+5000000</v>
          </cell>
        </row>
        <row r="52">
          <cell r="AC52">
            <v>148</v>
          </cell>
          <cell r="AD52">
            <v>112</v>
          </cell>
          <cell r="AE52" t="str">
            <v>GF</v>
          </cell>
          <cell r="AF52" t="str">
            <v>2</v>
          </cell>
          <cell r="AH52" t="str">
            <v>+150000</v>
          </cell>
          <cell r="AI52">
            <v>150000</v>
          </cell>
          <cell r="AN52">
            <v>150000</v>
          </cell>
          <cell r="AO52" t="str">
            <v>+150000</v>
          </cell>
        </row>
        <row r="53">
          <cell r="AC53">
            <v>171</v>
          </cell>
          <cell r="AD53">
            <v>45</v>
          </cell>
          <cell r="AE53" t="str">
            <v>GF</v>
          </cell>
          <cell r="AF53" t="str">
            <v>2</v>
          </cell>
          <cell r="AH53" t="str">
            <v>+1379392+435435</v>
          </cell>
          <cell r="AI53">
            <v>1814827</v>
          </cell>
          <cell r="AN53">
            <v>1814827</v>
          </cell>
          <cell r="AO53" t="str">
            <v>+1379392+435435</v>
          </cell>
        </row>
        <row r="54">
          <cell r="AC54">
            <v>191</v>
          </cell>
          <cell r="AD54">
            <v>75</v>
          </cell>
          <cell r="AE54" t="str">
            <v>EFWS</v>
          </cell>
          <cell r="AF54" t="str">
            <v>2</v>
          </cell>
          <cell r="AH54" t="str">
            <v>+866550</v>
          </cell>
          <cell r="AI54">
            <v>866550</v>
          </cell>
          <cell r="AN54">
            <v>866550</v>
          </cell>
          <cell r="AO54" t="str">
            <v>+866550</v>
          </cell>
        </row>
        <row r="55">
          <cell r="AC55">
            <v>231</v>
          </cell>
          <cell r="AD55">
            <v>25</v>
          </cell>
          <cell r="AE55" t="str">
            <v>GF</v>
          </cell>
          <cell r="AF55" t="str">
            <v>2</v>
          </cell>
          <cell r="AH55" t="str">
            <v>+7033772</v>
          </cell>
          <cell r="AI55">
            <v>7033772</v>
          </cell>
          <cell r="AN55">
            <v>7033772</v>
          </cell>
          <cell r="AO55" t="str">
            <v>+7033772</v>
          </cell>
        </row>
        <row r="56">
          <cell r="AC56">
            <v>251</v>
          </cell>
          <cell r="AD56">
            <v>1</v>
          </cell>
          <cell r="AE56" t="str">
            <v>NF</v>
          </cell>
          <cell r="AF56" t="str">
            <v>2</v>
          </cell>
          <cell r="AH56" t="str">
            <v>+11695331</v>
          </cell>
          <cell r="AI56">
            <v>11695331</v>
          </cell>
          <cell r="AJ56" t="str">
            <v>no Agency funds in statements but notes indicate they exist</v>
          </cell>
          <cell r="AN56">
            <v>11695331</v>
          </cell>
          <cell r="AO56" t="str">
            <v>+11695331</v>
          </cell>
        </row>
        <row r="57">
          <cell r="AC57">
            <v>252</v>
          </cell>
          <cell r="AD57">
            <v>7</v>
          </cell>
          <cell r="AE57" t="str">
            <v>GF</v>
          </cell>
          <cell r="AF57" t="str">
            <v>2</v>
          </cell>
          <cell r="AH57" t="str">
            <v>+7724295</v>
          </cell>
          <cell r="AI57">
            <v>7724295</v>
          </cell>
          <cell r="AN57">
            <v>7724295</v>
          </cell>
          <cell r="AO57" t="str">
            <v>+7724295</v>
          </cell>
        </row>
        <row r="58">
          <cell r="AC58">
            <v>253</v>
          </cell>
          <cell r="AD58">
            <v>8</v>
          </cell>
          <cell r="AE58" t="str">
            <v>GF</v>
          </cell>
          <cell r="AF58" t="str">
            <v>2</v>
          </cell>
          <cell r="AH58" t="str">
            <v>+1653914+9454+26522</v>
          </cell>
          <cell r="AI58">
            <v>1689890</v>
          </cell>
          <cell r="AN58">
            <v>1689890</v>
          </cell>
          <cell r="AO58" t="str">
            <v>+1653914+9454+26522</v>
          </cell>
        </row>
        <row r="59">
          <cell r="AC59">
            <v>254</v>
          </cell>
          <cell r="AD59">
            <v>9</v>
          </cell>
          <cell r="AE59" t="str">
            <v>GF</v>
          </cell>
          <cell r="AF59" t="str">
            <v>2</v>
          </cell>
          <cell r="AH59" t="str">
            <v>-1815315</v>
          </cell>
          <cell r="AI59">
            <v>-1815315</v>
          </cell>
          <cell r="AN59">
            <v>-1815315</v>
          </cell>
          <cell r="AO59" t="str">
            <v>-1815315</v>
          </cell>
        </row>
        <row r="60">
          <cell r="AC60">
            <v>255</v>
          </cell>
          <cell r="AD60">
            <v>20</v>
          </cell>
          <cell r="AE60" t="str">
            <v>GF</v>
          </cell>
          <cell r="AF60" t="str">
            <v>2</v>
          </cell>
          <cell r="AH60" t="str">
            <v>+2231384</v>
          </cell>
          <cell r="AI60">
            <v>2231384</v>
          </cell>
          <cell r="AN60">
            <v>2231384</v>
          </cell>
          <cell r="AO60" t="str">
            <v>+2231384</v>
          </cell>
        </row>
        <row r="61">
          <cell r="AC61">
            <v>258</v>
          </cell>
          <cell r="AD61">
            <v>10</v>
          </cell>
          <cell r="AE61" t="str">
            <v>NF</v>
          </cell>
          <cell r="AF61" t="str">
            <v>2</v>
          </cell>
          <cell r="AH61" t="str">
            <v>+9576154</v>
          </cell>
          <cell r="AI61">
            <v>9576154</v>
          </cell>
          <cell r="AN61">
            <v>9576154</v>
          </cell>
          <cell r="AO61" t="str">
            <v>+9576154</v>
          </cell>
        </row>
        <row r="62">
          <cell r="AC62">
            <v>259</v>
          </cell>
          <cell r="AD62">
            <v>11</v>
          </cell>
          <cell r="AE62" t="str">
            <v>NF</v>
          </cell>
          <cell r="AF62" t="str">
            <v>2</v>
          </cell>
          <cell r="AH62" t="str">
            <v>+0</v>
          </cell>
          <cell r="AI62">
            <v>0</v>
          </cell>
          <cell r="AN62">
            <v>0</v>
          </cell>
          <cell r="AO62" t="str">
            <v>+0</v>
          </cell>
        </row>
        <row r="63">
          <cell r="AC63">
            <v>260</v>
          </cell>
          <cell r="AD63">
            <v>12</v>
          </cell>
          <cell r="AE63" t="str">
            <v>NF</v>
          </cell>
          <cell r="AF63" t="str">
            <v>2</v>
          </cell>
          <cell r="AH63" t="str">
            <v>-432885</v>
          </cell>
          <cell r="AI63">
            <v>-432885</v>
          </cell>
          <cell r="AN63">
            <v>-432885</v>
          </cell>
          <cell r="AO63" t="str">
            <v>-432885</v>
          </cell>
        </row>
        <row r="64">
          <cell r="AC64">
            <v>261</v>
          </cell>
          <cell r="AD64">
            <v>23</v>
          </cell>
          <cell r="AE64" t="str">
            <v>NF</v>
          </cell>
          <cell r="AF64" t="str">
            <v>2</v>
          </cell>
          <cell r="AH64" t="str">
            <v>+924370</v>
          </cell>
          <cell r="AI64">
            <v>924370</v>
          </cell>
          <cell r="AN64">
            <v>924370</v>
          </cell>
          <cell r="AO64" t="str">
            <v>+924370</v>
          </cell>
        </row>
        <row r="65">
          <cell r="AC65">
            <v>264</v>
          </cell>
          <cell r="AD65">
            <v>47</v>
          </cell>
          <cell r="AE65" t="str">
            <v>GF</v>
          </cell>
          <cell r="AF65" t="str">
            <v>1</v>
          </cell>
          <cell r="AH65" t="str">
            <v>n</v>
          </cell>
          <cell r="AO65" t="str">
            <v>n</v>
          </cell>
        </row>
        <row r="66">
          <cell r="AC66">
            <v>273</v>
          </cell>
          <cell r="AD66">
            <v>48</v>
          </cell>
          <cell r="AE66" t="str">
            <v>GF</v>
          </cell>
          <cell r="AF66" t="str">
            <v>1</v>
          </cell>
          <cell r="AH66" t="str">
            <v>n</v>
          </cell>
          <cell r="AO66" t="str">
            <v>n</v>
          </cell>
        </row>
        <row r="67">
          <cell r="AC67">
            <v>318</v>
          </cell>
          <cell r="AD67">
            <v>126</v>
          </cell>
          <cell r="AE67" t="str">
            <v>NF</v>
          </cell>
          <cell r="AF67" t="str">
            <v>1</v>
          </cell>
          <cell r="AH67" t="str">
            <v>n</v>
          </cell>
          <cell r="AO67" t="str">
            <v>n</v>
          </cell>
        </row>
        <row r="68">
          <cell r="AC68">
            <v>320</v>
          </cell>
          <cell r="AD68">
            <v>106</v>
          </cell>
          <cell r="AE68" t="str">
            <v>NF</v>
          </cell>
          <cell r="AF68" t="str">
            <v>2</v>
          </cell>
          <cell r="AH68" t="str">
            <v>+2156883</v>
          </cell>
          <cell r="AI68">
            <v>2156883</v>
          </cell>
          <cell r="AN68">
            <v>2156883</v>
          </cell>
          <cell r="AO68" t="str">
            <v>+2156883</v>
          </cell>
        </row>
        <row r="69">
          <cell r="AC69">
            <v>321</v>
          </cell>
          <cell r="AD69">
            <v>105</v>
          </cell>
          <cell r="AE69" t="str">
            <v>NF</v>
          </cell>
          <cell r="AF69" t="str">
            <v>2</v>
          </cell>
          <cell r="AH69" t="str">
            <v>+1144567</v>
          </cell>
          <cell r="AI69">
            <v>1144567</v>
          </cell>
          <cell r="AN69">
            <v>1144567</v>
          </cell>
          <cell r="AO69" t="str">
            <v>+1144567</v>
          </cell>
        </row>
        <row r="70">
          <cell r="AC70">
            <v>322</v>
          </cell>
          <cell r="AD70">
            <v>108</v>
          </cell>
          <cell r="AE70" t="str">
            <v>NF</v>
          </cell>
          <cell r="AF70" t="str">
            <v>2</v>
          </cell>
          <cell r="AH70" t="str">
            <v>+9133405</v>
          </cell>
          <cell r="AI70">
            <v>9133405</v>
          </cell>
          <cell r="AN70">
            <v>9133405</v>
          </cell>
          <cell r="AO70" t="str">
            <v>+9133405</v>
          </cell>
        </row>
        <row r="71">
          <cell r="AC71">
            <v>323</v>
          </cell>
          <cell r="AD71">
            <v>107</v>
          </cell>
          <cell r="AE71" t="str">
            <v>NF</v>
          </cell>
          <cell r="AF71" t="str">
            <v>2</v>
          </cell>
          <cell r="AH71" t="str">
            <v>+0</v>
          </cell>
          <cell r="AI71">
            <v>0</v>
          </cell>
          <cell r="AN71">
            <v>0</v>
          </cell>
          <cell r="AO71" t="str">
            <v>+0</v>
          </cell>
        </row>
        <row r="72">
          <cell r="AC72">
            <v>324</v>
          </cell>
          <cell r="AD72">
            <v>104</v>
          </cell>
          <cell r="AE72" t="str">
            <v>NF</v>
          </cell>
          <cell r="AF72" t="str">
            <v>2</v>
          </cell>
          <cell r="AH72" t="str">
            <v>+1144567</v>
          </cell>
          <cell r="AI72">
            <v>1144567</v>
          </cell>
          <cell r="AN72">
            <v>1144567</v>
          </cell>
          <cell r="AO72" t="str">
            <v>+1144567</v>
          </cell>
        </row>
        <row r="73">
          <cell r="AC73">
            <v>325</v>
          </cell>
          <cell r="AD73">
            <v>109</v>
          </cell>
          <cell r="AE73" t="str">
            <v>NF</v>
          </cell>
          <cell r="AF73" t="str">
            <v>2</v>
          </cell>
          <cell r="AH73" t="str">
            <v>+98.9</v>
          </cell>
          <cell r="AI73">
            <v>98.9</v>
          </cell>
          <cell r="AN73">
            <v>98.9</v>
          </cell>
          <cell r="AO73" t="str">
            <v>+98.9</v>
          </cell>
        </row>
        <row r="74">
          <cell r="AC74">
            <v>326</v>
          </cell>
          <cell r="AD74">
            <v>96</v>
          </cell>
          <cell r="AE74" t="str">
            <v>EFWS</v>
          </cell>
          <cell r="AF74" t="str">
            <v>2</v>
          </cell>
          <cell r="AH74" t="str">
            <v>+5398356+13327987-5010186</v>
          </cell>
          <cell r="AI74">
            <v>13716157</v>
          </cell>
          <cell r="AN74">
            <v>13716157</v>
          </cell>
          <cell r="AO74" t="str">
            <v>+5398356+13327987-5010186</v>
          </cell>
        </row>
        <row r="75">
          <cell r="AC75">
            <v>327</v>
          </cell>
          <cell r="AD75">
            <v>94</v>
          </cell>
          <cell r="AE75" t="str">
            <v>EFWS</v>
          </cell>
          <cell r="AF75" t="str">
            <v>2</v>
          </cell>
        </row>
        <row r="76">
          <cell r="AC76">
            <v>328</v>
          </cell>
          <cell r="AD76">
            <v>93</v>
          </cell>
          <cell r="AE76" t="str">
            <v>EFWS</v>
          </cell>
          <cell r="AF76" t="str">
            <v>2</v>
          </cell>
          <cell r="AH76" t="str">
            <v>+5398356</v>
          </cell>
          <cell r="AI76">
            <v>5398356</v>
          </cell>
          <cell r="AN76">
            <v>5398356</v>
          </cell>
          <cell r="AO76" t="str">
            <v>+5398356</v>
          </cell>
        </row>
        <row r="77">
          <cell r="AC77">
            <v>329</v>
          </cell>
          <cell r="AD77">
            <v>97</v>
          </cell>
          <cell r="AE77" t="str">
            <v>EFWS</v>
          </cell>
          <cell r="AF77" t="str">
            <v>2</v>
          </cell>
          <cell r="AH77" t="str">
            <v>+377608</v>
          </cell>
          <cell r="AI77">
            <v>377608</v>
          </cell>
          <cell r="AN77">
            <v>377608</v>
          </cell>
          <cell r="AO77" t="str">
            <v>+377608</v>
          </cell>
        </row>
        <row r="78">
          <cell r="AC78">
            <v>330</v>
          </cell>
          <cell r="AD78">
            <v>98</v>
          </cell>
          <cell r="AE78" t="str">
            <v>EFWS</v>
          </cell>
          <cell r="AF78" t="str">
            <v>2</v>
          </cell>
          <cell r="AH78" t="str">
            <v>+5010186</v>
          </cell>
          <cell r="AI78">
            <v>5010186</v>
          </cell>
          <cell r="AN78">
            <v>5010186</v>
          </cell>
          <cell r="AO78" t="str">
            <v>+5010186</v>
          </cell>
        </row>
        <row r="79">
          <cell r="AC79">
            <v>331</v>
          </cell>
          <cell r="AD79">
            <v>88</v>
          </cell>
          <cell r="AE79" t="str">
            <v>EFWS</v>
          </cell>
          <cell r="AF79" t="str">
            <v>2</v>
          </cell>
          <cell r="AH79" t="str">
            <v>+166196</v>
          </cell>
          <cell r="AI79">
            <v>166196</v>
          </cell>
          <cell r="AN79">
            <v>166196</v>
          </cell>
          <cell r="AO79" t="str">
            <v>+166196</v>
          </cell>
        </row>
        <row r="80">
          <cell r="AC80">
            <v>332</v>
          </cell>
          <cell r="AD80">
            <v>87</v>
          </cell>
          <cell r="AE80" t="str">
            <v>EFWS</v>
          </cell>
          <cell r="AF80" t="str">
            <v>2</v>
          </cell>
          <cell r="AH80" t="str">
            <v>+970926</v>
          </cell>
          <cell r="AI80">
            <v>970926</v>
          </cell>
          <cell r="AN80">
            <v>970926</v>
          </cell>
          <cell r="AO80" t="str">
            <v>+970926</v>
          </cell>
        </row>
        <row r="81">
          <cell r="AC81">
            <v>333</v>
          </cell>
          <cell r="AD81">
            <v>2</v>
          </cell>
          <cell r="AE81" t="str">
            <v>GF</v>
          </cell>
          <cell r="AF81" t="str">
            <v>2</v>
          </cell>
          <cell r="AH81" t="str">
            <v>+9924515</v>
          </cell>
          <cell r="AI81">
            <v>9924515</v>
          </cell>
          <cell r="AN81">
            <v>9924515</v>
          </cell>
          <cell r="AO81" t="str">
            <v>+9924515</v>
          </cell>
        </row>
        <row r="82">
          <cell r="AC82">
            <v>334</v>
          </cell>
          <cell r="AD82">
            <v>91</v>
          </cell>
          <cell r="AE82" t="str">
            <v>GF</v>
          </cell>
          <cell r="AF82" t="str">
            <v>2</v>
          </cell>
          <cell r="AH82" t="str">
            <v>+17006136</v>
          </cell>
          <cell r="AI82">
            <v>17006136</v>
          </cell>
          <cell r="AN82">
            <v>17006136</v>
          </cell>
          <cell r="AO82" t="str">
            <v>+17006136</v>
          </cell>
        </row>
        <row r="83">
          <cell r="AC83">
            <v>335</v>
          </cell>
          <cell r="AD83">
            <v>6</v>
          </cell>
          <cell r="AE83" t="str">
            <v>GF</v>
          </cell>
          <cell r="AF83" t="str">
            <v>2</v>
          </cell>
          <cell r="AH83" t="str">
            <v>+126854</v>
          </cell>
          <cell r="AI83">
            <v>126854</v>
          </cell>
          <cell r="AN83">
            <v>126854</v>
          </cell>
          <cell r="AO83" t="str">
            <v>+126854</v>
          </cell>
        </row>
        <row r="84">
          <cell r="AC84">
            <v>336</v>
          </cell>
          <cell r="AD84">
            <v>5</v>
          </cell>
          <cell r="AE84" t="str">
            <v>GF</v>
          </cell>
          <cell r="AF84" t="str">
            <v>2</v>
          </cell>
          <cell r="AH84" t="str">
            <v>+902188+552196+126854+1082033</v>
          </cell>
          <cell r="AI84">
            <v>2663271</v>
          </cell>
          <cell r="AN84">
            <v>2663271</v>
          </cell>
          <cell r="AO84" t="str">
            <v>+902188+552196+126854+1082033</v>
          </cell>
        </row>
        <row r="85">
          <cell r="AC85">
            <v>337</v>
          </cell>
          <cell r="AD85">
            <v>101</v>
          </cell>
          <cell r="AE85" t="str">
            <v>GF</v>
          </cell>
          <cell r="AF85" t="str">
            <v>2</v>
          </cell>
          <cell r="AH85" t="str">
            <v>+9440484</v>
          </cell>
          <cell r="AI85">
            <v>9440484</v>
          </cell>
          <cell r="AN85">
            <v>9440484</v>
          </cell>
          <cell r="AO85" t="str">
            <v>+9440484</v>
          </cell>
        </row>
        <row r="86">
          <cell r="AC86">
            <v>338</v>
          </cell>
          <cell r="AD86">
            <v>4</v>
          </cell>
          <cell r="AE86" t="str">
            <v>GF</v>
          </cell>
          <cell r="AF86" t="str">
            <v>2</v>
          </cell>
          <cell r="AH86" t="str">
            <v>+14160156</v>
          </cell>
          <cell r="AI86">
            <v>14160156</v>
          </cell>
          <cell r="AN86">
            <v>14160156</v>
          </cell>
          <cell r="AO86" t="str">
            <v>+14160156</v>
          </cell>
        </row>
        <row r="87">
          <cell r="AC87">
            <v>339</v>
          </cell>
          <cell r="AD87">
            <v>14</v>
          </cell>
          <cell r="AE87" t="str">
            <v>GF</v>
          </cell>
          <cell r="AF87" t="str">
            <v>2</v>
          </cell>
          <cell r="AH87" t="str">
            <v>+4233711</v>
          </cell>
          <cell r="AI87">
            <v>4233711</v>
          </cell>
          <cell r="AN87">
            <v>4233711</v>
          </cell>
          <cell r="AO87" t="str">
            <v>+4233711</v>
          </cell>
        </row>
        <row r="88">
          <cell r="AC88">
            <v>340</v>
          </cell>
          <cell r="AD88">
            <v>15</v>
          </cell>
          <cell r="AE88" t="str">
            <v>GF</v>
          </cell>
          <cell r="AF88" t="str">
            <v>2</v>
          </cell>
          <cell r="AH88" t="str">
            <v>+4233711+6103404</v>
          </cell>
          <cell r="AI88">
            <v>10337115</v>
          </cell>
          <cell r="AN88">
            <v>10337115</v>
          </cell>
          <cell r="AO88" t="str">
            <v>+4233711+6103404</v>
          </cell>
        </row>
        <row r="89">
          <cell r="AC89">
            <v>341</v>
          </cell>
          <cell r="AD89">
            <v>16</v>
          </cell>
          <cell r="AE89" t="str">
            <v>GF</v>
          </cell>
          <cell r="AF89" t="str">
            <v>2</v>
          </cell>
          <cell r="AH89" t="str">
            <v>+21918131+25003</v>
          </cell>
          <cell r="AI89">
            <v>21943134</v>
          </cell>
          <cell r="AN89">
            <v>21943134</v>
          </cell>
          <cell r="AO89" t="str">
            <v>+21918131+25003</v>
          </cell>
        </row>
        <row r="90">
          <cell r="AC90">
            <v>343</v>
          </cell>
          <cell r="AD90">
            <v>102</v>
          </cell>
          <cell r="AE90" t="str">
            <v>GF</v>
          </cell>
          <cell r="AF90" t="str">
            <v>2</v>
          </cell>
          <cell r="AH90" t="str">
            <v>+1379392</v>
          </cell>
          <cell r="AI90">
            <v>1379392</v>
          </cell>
          <cell r="AN90">
            <v>1379392</v>
          </cell>
          <cell r="AO90" t="str">
            <v>+1379392</v>
          </cell>
        </row>
        <row r="91">
          <cell r="AC91">
            <v>344</v>
          </cell>
          <cell r="AD91">
            <v>13</v>
          </cell>
          <cell r="AE91" t="str">
            <v>GF</v>
          </cell>
          <cell r="AF91" t="str">
            <v>2</v>
          </cell>
          <cell r="AH91" t="str">
            <v>+435435</v>
          </cell>
          <cell r="AI91">
            <v>435435</v>
          </cell>
          <cell r="AN91">
            <v>435435</v>
          </cell>
          <cell r="AO91" t="str">
            <v>+435435</v>
          </cell>
        </row>
        <row r="92">
          <cell r="AC92">
            <v>346</v>
          </cell>
          <cell r="AD92">
            <v>95</v>
          </cell>
          <cell r="AE92" t="str">
            <v>EFWS</v>
          </cell>
          <cell r="AF92" t="str">
            <v>2</v>
          </cell>
          <cell r="AH92" t="str">
            <v>+13327987</v>
          </cell>
          <cell r="AI92">
            <v>13327987</v>
          </cell>
          <cell r="AN92">
            <v>13327987</v>
          </cell>
          <cell r="AO92" t="str">
            <v>+13327987</v>
          </cell>
        </row>
        <row r="93">
          <cell r="AC93">
            <v>347</v>
          </cell>
          <cell r="AD93">
            <v>99</v>
          </cell>
          <cell r="AE93" t="str">
            <v>EFWS</v>
          </cell>
          <cell r="AF93" t="str">
            <v>2</v>
          </cell>
          <cell r="AH93" t="str">
            <v>+5010186</v>
          </cell>
          <cell r="AI93">
            <v>5010186</v>
          </cell>
          <cell r="AN93">
            <v>5010186</v>
          </cell>
          <cell r="AO93" t="str">
            <v>+5010186</v>
          </cell>
        </row>
        <row r="94">
          <cell r="AC94">
            <v>349</v>
          </cell>
          <cell r="AD94">
            <v>59</v>
          </cell>
          <cell r="AE94" t="str">
            <v>EFWS</v>
          </cell>
          <cell r="AF94" t="str">
            <v>2</v>
          </cell>
          <cell r="AH94" t="str">
            <v>+3864199+1353393</v>
          </cell>
          <cell r="AI94">
            <v>5217592</v>
          </cell>
          <cell r="AN94">
            <v>5217592</v>
          </cell>
          <cell r="AO94" t="str">
            <v>+3864199+1353393</v>
          </cell>
        </row>
        <row r="95">
          <cell r="AC95">
            <v>350</v>
          </cell>
          <cell r="AD95">
            <v>73</v>
          </cell>
          <cell r="AE95" t="str">
            <v>EFWS</v>
          </cell>
          <cell r="AF95" t="str">
            <v>2</v>
          </cell>
          <cell r="AH95" t="str">
            <v>+758+755</v>
          </cell>
          <cell r="AI95">
            <v>1513</v>
          </cell>
          <cell r="AN95">
            <v>1513</v>
          </cell>
          <cell r="AO95" t="str">
            <v>+758+755</v>
          </cell>
        </row>
        <row r="96">
          <cell r="AC96">
            <v>351</v>
          </cell>
          <cell r="AD96">
            <v>74</v>
          </cell>
          <cell r="AE96" t="str">
            <v>EFWS</v>
          </cell>
          <cell r="AF96" t="str">
            <v>2</v>
          </cell>
          <cell r="AH96" t="str">
            <v>+56725</v>
          </cell>
          <cell r="AI96">
            <v>56725</v>
          </cell>
          <cell r="AN96">
            <v>56725</v>
          </cell>
          <cell r="AO96" t="str">
            <v>+56725</v>
          </cell>
        </row>
        <row r="97">
          <cell r="AC97">
            <v>352</v>
          </cell>
          <cell r="AD97">
            <v>76</v>
          </cell>
          <cell r="AE97" t="str">
            <v>EFWS</v>
          </cell>
          <cell r="AF97" t="str">
            <v>2</v>
          </cell>
          <cell r="AH97" t="str">
            <v>+6504857</v>
          </cell>
          <cell r="AI97">
            <v>6504857</v>
          </cell>
          <cell r="AN97">
            <v>6504857</v>
          </cell>
          <cell r="AO97" t="str">
            <v>+6504857</v>
          </cell>
        </row>
        <row r="98">
          <cell r="AC98">
            <v>353</v>
          </cell>
          <cell r="AD98">
            <v>77</v>
          </cell>
          <cell r="AE98" t="str">
            <v>EFWS</v>
          </cell>
          <cell r="AF98" t="str">
            <v>2</v>
          </cell>
        </row>
        <row r="99">
          <cell r="AC99">
            <v>367</v>
          </cell>
          <cell r="AD99">
            <v>26</v>
          </cell>
          <cell r="AE99" t="str">
            <v>GF</v>
          </cell>
          <cell r="AF99" t="str">
            <v>2</v>
          </cell>
        </row>
        <row r="100">
          <cell r="AC100">
            <v>368</v>
          </cell>
          <cell r="AD100">
            <v>31</v>
          </cell>
          <cell r="AE100" t="str">
            <v>GF</v>
          </cell>
          <cell r="AF100" t="str">
            <v>2</v>
          </cell>
        </row>
        <row r="101">
          <cell r="AC101">
            <v>369</v>
          </cell>
          <cell r="AD101">
            <v>37</v>
          </cell>
          <cell r="AE101" t="str">
            <v>GF</v>
          </cell>
          <cell r="AF101" t="str">
            <v>2</v>
          </cell>
          <cell r="AH101" t="str">
            <v>+3219+5238716</v>
          </cell>
          <cell r="AI101">
            <v>5241935</v>
          </cell>
          <cell r="AN101">
            <v>5241935</v>
          </cell>
          <cell r="AO101" t="str">
            <v>+3219+5238716</v>
          </cell>
        </row>
        <row r="102">
          <cell r="AC102">
            <v>370</v>
          </cell>
          <cell r="AD102">
            <v>39</v>
          </cell>
          <cell r="AE102" t="str">
            <v>GF</v>
          </cell>
          <cell r="AF102" t="str">
            <v>2</v>
          </cell>
          <cell r="AH102" t="str">
            <v>+1379392+435435</v>
          </cell>
          <cell r="AI102">
            <v>1814827</v>
          </cell>
          <cell r="AN102">
            <v>1814827</v>
          </cell>
          <cell r="AO102" t="str">
            <v>+1379392+435435</v>
          </cell>
        </row>
        <row r="103">
          <cell r="AC103">
            <v>371</v>
          </cell>
          <cell r="AD103">
            <v>110</v>
          </cell>
          <cell r="AE103" t="str">
            <v>GF</v>
          </cell>
          <cell r="AF103" t="str">
            <v>2</v>
          </cell>
        </row>
        <row r="104">
          <cell r="AC104">
            <v>373</v>
          </cell>
          <cell r="AD104">
            <v>92</v>
          </cell>
          <cell r="AE104" t="str">
            <v>GF</v>
          </cell>
          <cell r="AF104" t="str">
            <v>2</v>
          </cell>
          <cell r="AH104" t="str">
            <v>+8218296</v>
          </cell>
          <cell r="AI104">
            <v>8218296</v>
          </cell>
          <cell r="AN104">
            <v>8218296</v>
          </cell>
          <cell r="AO104" t="str">
            <v>+8218296</v>
          </cell>
        </row>
        <row r="105">
          <cell r="AC105">
            <v>375</v>
          </cell>
          <cell r="AD105">
            <v>60</v>
          </cell>
          <cell r="AE105" t="str">
            <v>EFWS</v>
          </cell>
          <cell r="AF105" t="str">
            <v>2</v>
          </cell>
          <cell r="AH105" t="str">
            <v>+1065662+557105</v>
          </cell>
          <cell r="AI105">
            <v>1622767</v>
          </cell>
          <cell r="AN105">
            <v>1622767</v>
          </cell>
          <cell r="AO105" t="str">
            <v>+1065662+557105</v>
          </cell>
        </row>
        <row r="106">
          <cell r="AC106">
            <v>376</v>
          </cell>
          <cell r="AD106">
            <v>22</v>
          </cell>
          <cell r="AE106" t="str">
            <v>GF</v>
          </cell>
          <cell r="AF106" t="str">
            <v>2</v>
          </cell>
        </row>
        <row r="107">
          <cell r="AC107">
            <v>377</v>
          </cell>
          <cell r="AD107">
            <v>79</v>
          </cell>
          <cell r="AE107" t="str">
            <v>EFWS</v>
          </cell>
          <cell r="AF107" t="str">
            <v>2</v>
          </cell>
        </row>
        <row r="108">
          <cell r="AC108">
            <v>379</v>
          </cell>
          <cell r="AD108">
            <v>27</v>
          </cell>
          <cell r="AE108" t="str">
            <v>GF</v>
          </cell>
          <cell r="AF108" t="str">
            <v>2</v>
          </cell>
          <cell r="AH108" t="str">
            <v>+9890804</v>
          </cell>
          <cell r="AI108">
            <v>9890804</v>
          </cell>
          <cell r="AN108">
            <v>9890804</v>
          </cell>
          <cell r="AO108" t="str">
            <v>+9890804</v>
          </cell>
        </row>
        <row r="109">
          <cell r="AC109">
            <v>380</v>
          </cell>
          <cell r="AD109">
            <v>30</v>
          </cell>
          <cell r="AE109" t="str">
            <v>GF</v>
          </cell>
          <cell r="AF109" t="str">
            <v>2</v>
          </cell>
          <cell r="AH109" t="str">
            <v>+664323+60734</v>
          </cell>
          <cell r="AI109">
            <v>725057</v>
          </cell>
          <cell r="AN109">
            <v>725057</v>
          </cell>
          <cell r="AO109" t="str">
            <v>+664323+60734</v>
          </cell>
        </row>
        <row r="110">
          <cell r="AC110">
            <v>381</v>
          </cell>
          <cell r="AD110">
            <v>56</v>
          </cell>
          <cell r="AE110" t="str">
            <v>EFWS</v>
          </cell>
          <cell r="AF110" t="str">
            <v>2</v>
          </cell>
          <cell r="AH110" t="str">
            <v>+12356376+2409234</v>
          </cell>
          <cell r="AI110">
            <v>14765610</v>
          </cell>
          <cell r="AN110">
            <v>14765610</v>
          </cell>
          <cell r="AO110" t="str">
            <v>+12356376+2409234</v>
          </cell>
        </row>
        <row r="111">
          <cell r="AC111">
            <v>383</v>
          </cell>
          <cell r="AD111">
            <v>58</v>
          </cell>
          <cell r="AE111" t="str">
            <v>EFWS</v>
          </cell>
          <cell r="AF111" t="str">
            <v>2</v>
          </cell>
        </row>
        <row r="112">
          <cell r="AC112">
            <v>385</v>
          </cell>
          <cell r="AD112">
            <v>3</v>
          </cell>
          <cell r="AE112" t="str">
            <v>GF</v>
          </cell>
          <cell r="AF112" t="str">
            <v>2</v>
          </cell>
          <cell r="AH112" t="str">
            <v>+21759026</v>
          </cell>
          <cell r="AI112">
            <v>21759026</v>
          </cell>
          <cell r="AN112">
            <v>21759026</v>
          </cell>
          <cell r="AO112" t="str">
            <v>+21759026</v>
          </cell>
        </row>
        <row r="113">
          <cell r="AC113">
            <v>386</v>
          </cell>
          <cell r="AD113">
            <v>18</v>
          </cell>
          <cell r="AE113" t="str">
            <v>GF</v>
          </cell>
          <cell r="AF113" t="str">
            <v>2</v>
          </cell>
        </row>
        <row r="114">
          <cell r="AC114">
            <v>387</v>
          </cell>
          <cell r="AD114">
            <v>19</v>
          </cell>
          <cell r="AE114" t="str">
            <v>GF</v>
          </cell>
          <cell r="AF114" t="str">
            <v>2</v>
          </cell>
          <cell r="AH114" t="str">
            <v>+25003</v>
          </cell>
          <cell r="AI114">
            <v>25003</v>
          </cell>
          <cell r="AN114">
            <v>25003</v>
          </cell>
          <cell r="AO114" t="str">
            <v>+25003</v>
          </cell>
        </row>
        <row r="115">
          <cell r="AC115">
            <v>388</v>
          </cell>
          <cell r="AD115">
            <v>17</v>
          </cell>
          <cell r="AE115" t="str">
            <v>GF</v>
          </cell>
          <cell r="AF115" t="str">
            <v>2</v>
          </cell>
          <cell r="AH115" t="str">
            <v>+30023862</v>
          </cell>
          <cell r="AI115">
            <v>30023862</v>
          </cell>
          <cell r="AN115">
            <v>30023862</v>
          </cell>
          <cell r="AO115" t="str">
            <v>+30023862</v>
          </cell>
        </row>
        <row r="116">
          <cell r="AC116">
            <v>389</v>
          </cell>
          <cell r="AD116">
            <v>21</v>
          </cell>
          <cell r="AE116" t="str">
            <v>GF</v>
          </cell>
          <cell r="AF116" t="str">
            <v>2</v>
          </cell>
        </row>
        <row r="117">
          <cell r="AC117">
            <v>390</v>
          </cell>
          <cell r="AD117">
            <v>24</v>
          </cell>
          <cell r="AE117" t="str">
            <v>NF</v>
          </cell>
          <cell r="AF117" t="str">
            <v>2</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nctreasurer.com/links/state-and-local-government-finance/lgc/local-fiscal-management/annual-audit/submitting-your-0" TargetMode="External"/><Relationship Id="rId2" Type="http://schemas.openxmlformats.org/officeDocument/2006/relationships/hyperlink" Target="https://www.nctreasurer.com/slg/lfm/financial-analysis/Pages/Analysis-by-Population.aspx" TargetMode="External"/><Relationship Id="rId1" Type="http://schemas.openxmlformats.org/officeDocument/2006/relationships/hyperlink" Target="https://efc.sog.unc.edu/resource/north-carolina-water-and-wastewater-rates-dashboard/" TargetMode="External"/><Relationship Id="rId5" Type="http://schemas.openxmlformats.org/officeDocument/2006/relationships/printerSettings" Target="../printerSettings/printerSettings1.bin"/><Relationship Id="rId4" Type="http://schemas.openxmlformats.org/officeDocument/2006/relationships/hyperlink" Target="https://www.nctreasurer.com/links/state-and-local-government-finance/lgc/local-fiscal-management/annual-audit/submitting-your-0"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AACBB7-1E59-4F70-A059-F1B18ACBDBB6}">
  <sheetPr codeName="Sheet1">
    <tabColor theme="4" tint="0.79998168889431442"/>
  </sheetPr>
  <dimension ref="B1:N58"/>
  <sheetViews>
    <sheetView tabSelected="1" zoomScaleNormal="100" workbookViewId="0">
      <selection activeCell="B2" sqref="B2"/>
    </sheetView>
  </sheetViews>
  <sheetFormatPr defaultColWidth="9.109375" defaultRowHeight="14.4" x14ac:dyDescent="0.3"/>
  <cols>
    <col min="1" max="1" width="1.6640625" style="1004" customWidth="1"/>
    <col min="2" max="2" width="187.109375" style="1004" customWidth="1"/>
    <col min="3" max="4" width="9.109375" style="1004" hidden="1" customWidth="1"/>
    <col min="5" max="5" width="2.33203125" style="1004" customWidth="1"/>
    <col min="6" max="6" width="8.109375" style="1004" customWidth="1"/>
    <col min="7" max="16384" width="9.109375" style="1004"/>
  </cols>
  <sheetData>
    <row r="1" spans="2:14" ht="9.6" customHeight="1" thickBot="1" x14ac:dyDescent="0.35">
      <c r="B1" s="1012"/>
    </row>
    <row r="2" spans="2:14" ht="91.8" customHeight="1" thickBot="1" x14ac:dyDescent="0.35">
      <c r="B2" s="1105" t="s">
        <v>1444</v>
      </c>
    </row>
    <row r="3" spans="2:14" ht="61.2" customHeight="1" x14ac:dyDescent="0.3">
      <c r="B3" s="184" t="s">
        <v>1445</v>
      </c>
    </row>
    <row r="4" spans="2:14" ht="83.4" customHeight="1" x14ac:dyDescent="0.4">
      <c r="B4" s="184" t="s">
        <v>1470</v>
      </c>
      <c r="F4" s="1106"/>
      <c r="G4" s="1106"/>
      <c r="H4" s="1106"/>
      <c r="I4" s="1106"/>
      <c r="J4" s="1106"/>
      <c r="K4" s="1106"/>
      <c r="L4" s="1106"/>
      <c r="M4" s="1106"/>
      <c r="N4" s="1106"/>
    </row>
    <row r="5" spans="2:14" ht="58.2" customHeight="1" x14ac:dyDescent="0.3">
      <c r="B5" s="184" t="s">
        <v>1446</v>
      </c>
    </row>
    <row r="6" spans="2:14" ht="117.6" customHeight="1" x14ac:dyDescent="0.3">
      <c r="B6" s="174" t="s">
        <v>1447</v>
      </c>
    </row>
    <row r="7" spans="2:14" ht="25.95" customHeight="1" x14ac:dyDescent="0.3">
      <c r="B7" s="186" t="s">
        <v>544</v>
      </c>
    </row>
    <row r="8" spans="2:14" ht="49.2" customHeight="1" x14ac:dyDescent="0.3">
      <c r="B8" s="1107" t="s">
        <v>1448</v>
      </c>
    </row>
    <row r="9" spans="2:14" ht="42.6" customHeight="1" x14ac:dyDescent="0.3">
      <c r="B9" s="1107" t="s">
        <v>545</v>
      </c>
    </row>
    <row r="10" spans="2:14" s="1130" customFormat="1" ht="34.200000000000003" customHeight="1" x14ac:dyDescent="0.3">
      <c r="B10" s="1108" t="s">
        <v>546</v>
      </c>
    </row>
    <row r="11" spans="2:14" s="1130" customFormat="1" ht="55.8" customHeight="1" x14ac:dyDescent="0.3">
      <c r="B11" s="1109" t="s">
        <v>1449</v>
      </c>
    </row>
    <row r="12" spans="2:14" ht="36" customHeight="1" x14ac:dyDescent="0.3">
      <c r="B12" s="1109" t="s">
        <v>1450</v>
      </c>
    </row>
    <row r="13" spans="2:14" ht="39" customHeight="1" x14ac:dyDescent="0.3">
      <c r="B13" s="1110" t="s">
        <v>1451</v>
      </c>
    </row>
    <row r="14" spans="2:14" ht="25.95" customHeight="1" x14ac:dyDescent="0.3">
      <c r="B14" s="186" t="s">
        <v>547</v>
      </c>
    </row>
    <row r="15" spans="2:14" x14ac:dyDescent="0.3">
      <c r="B15" s="1012"/>
    </row>
    <row r="16" spans="2:14" x14ac:dyDescent="0.3">
      <c r="B16" s="1111" t="s">
        <v>37</v>
      </c>
    </row>
    <row r="17" spans="2:2" ht="15.6" customHeight="1" x14ac:dyDescent="0.3">
      <c r="B17" s="1112" t="s">
        <v>1452</v>
      </c>
    </row>
    <row r="18" spans="2:2" x14ac:dyDescent="0.3">
      <c r="B18" s="1113"/>
    </row>
    <row r="19" spans="2:2" x14ac:dyDescent="0.3">
      <c r="B19" s="1111" t="s">
        <v>38</v>
      </c>
    </row>
    <row r="20" spans="2:2" ht="15.6" customHeight="1" x14ac:dyDescent="0.3">
      <c r="B20" s="1114" t="s">
        <v>371</v>
      </c>
    </row>
    <row r="21" spans="2:2" ht="13.2" customHeight="1" x14ac:dyDescent="0.3">
      <c r="B21" s="1012"/>
    </row>
    <row r="22" spans="2:2" ht="25.95" customHeight="1" x14ac:dyDescent="0.3">
      <c r="B22" s="186" t="s">
        <v>548</v>
      </c>
    </row>
    <row r="23" spans="2:2" s="1130" customFormat="1" ht="72.599999999999994" customHeight="1" x14ac:dyDescent="0.3">
      <c r="B23" s="1107" t="s">
        <v>1453</v>
      </c>
    </row>
    <row r="24" spans="2:2" s="1130" customFormat="1" ht="84.6" customHeight="1" x14ac:dyDescent="0.3">
      <c r="B24" s="1107" t="s">
        <v>1454</v>
      </c>
    </row>
    <row r="25" spans="2:2" s="1130" customFormat="1" ht="78.599999999999994" customHeight="1" x14ac:dyDescent="0.3">
      <c r="B25" s="1107" t="s">
        <v>549</v>
      </c>
    </row>
    <row r="26" spans="2:2" ht="15" x14ac:dyDescent="0.3">
      <c r="B26" s="176" t="s">
        <v>1455</v>
      </c>
    </row>
    <row r="27" spans="2:2" ht="8.4" customHeight="1" x14ac:dyDescent="0.3">
      <c r="B27" s="175"/>
    </row>
    <row r="28" spans="2:2" ht="25.95" customHeight="1" x14ac:dyDescent="0.3">
      <c r="B28" s="186" t="s">
        <v>1456</v>
      </c>
    </row>
    <row r="29" spans="2:2" ht="28.8" customHeight="1" x14ac:dyDescent="0.3">
      <c r="B29" s="187" t="s">
        <v>1457</v>
      </c>
    </row>
    <row r="30" spans="2:2" ht="31.8" customHeight="1" x14ac:dyDescent="0.3">
      <c r="B30" s="187" t="s">
        <v>1458</v>
      </c>
    </row>
    <row r="31" spans="2:2" ht="30.6" customHeight="1" x14ac:dyDescent="0.3">
      <c r="B31" s="1115" t="s">
        <v>1459</v>
      </c>
    </row>
    <row r="32" spans="2:2" ht="25.2" customHeight="1" x14ac:dyDescent="0.3">
      <c r="B32" s="1115" t="s">
        <v>1460</v>
      </c>
    </row>
    <row r="33" spans="2:7" ht="27.6" customHeight="1" x14ac:dyDescent="0.3">
      <c r="B33" s="1116" t="s">
        <v>1461</v>
      </c>
    </row>
    <row r="34" spans="2:7" ht="31.8" customHeight="1" x14ac:dyDescent="0.3">
      <c r="B34" s="1117" t="s">
        <v>1462</v>
      </c>
    </row>
    <row r="35" spans="2:7" ht="60" customHeight="1" x14ac:dyDescent="0.3">
      <c r="B35" s="187" t="s">
        <v>1463</v>
      </c>
    </row>
    <row r="36" spans="2:7" ht="25.95" customHeight="1" x14ac:dyDescent="0.3">
      <c r="B36" s="187" t="s">
        <v>1464</v>
      </c>
    </row>
    <row r="37" spans="2:7" ht="12" customHeight="1" x14ac:dyDescent="0.3">
      <c r="B37" s="187"/>
    </row>
    <row r="38" spans="2:7" ht="25.95" customHeight="1" x14ac:dyDescent="0.3">
      <c r="B38" s="186" t="s">
        <v>804</v>
      </c>
    </row>
    <row r="39" spans="2:7" x14ac:dyDescent="0.3">
      <c r="B39" s="185"/>
      <c r="G39" s="1131"/>
    </row>
    <row r="40" spans="2:7" ht="43.2" customHeight="1" x14ac:dyDescent="0.3">
      <c r="B40" s="1118" t="s">
        <v>1465</v>
      </c>
    </row>
    <row r="41" spans="2:7" ht="19.95" customHeight="1" x14ac:dyDescent="0.3">
      <c r="B41" s="1119" t="s">
        <v>1451</v>
      </c>
    </row>
    <row r="42" spans="2:7" ht="11.4" customHeight="1" x14ac:dyDescent="0.3">
      <c r="B42" s="188"/>
    </row>
    <row r="43" spans="2:7" ht="15" x14ac:dyDescent="0.3">
      <c r="B43" s="189"/>
    </row>
    <row r="44" spans="2:7" ht="7.2" customHeight="1" x14ac:dyDescent="0.3">
      <c r="B44" s="187"/>
    </row>
    <row r="45" spans="2:7" ht="25.95" customHeight="1" x14ac:dyDescent="0.3">
      <c r="B45" s="186" t="s">
        <v>805</v>
      </c>
    </row>
    <row r="46" spans="2:7" ht="35.4" customHeight="1" x14ac:dyDescent="0.3">
      <c r="B46" s="1118" t="s">
        <v>1466</v>
      </c>
    </row>
    <row r="47" spans="2:7" ht="15" x14ac:dyDescent="0.3">
      <c r="B47" s="189"/>
    </row>
    <row r="58" ht="44.25" customHeight="1" x14ac:dyDescent="0.3"/>
  </sheetData>
  <sheetProtection algorithmName="SHA-512" hashValue="2Xg+E0mxTrxpzFaSKLI4gaMXY/L6Ekj/d36vG0pcqiV4e+H9x/ftjG/x3L20zmpe58Y9eDV9a5pwejdzYUt9xw==" saltValue="zSg1lgJufOB2ZATSpfjMAg==" spinCount="100000" sheet="1" formatCells="0" formatColumns="0" formatRows="0"/>
  <hyperlinks>
    <hyperlink ref="B17" r:id="rId1" xr:uid="{78840D35-3355-408B-85B4-B8EA4D27EC81}"/>
    <hyperlink ref="B20" r:id="rId2" xr:uid="{D107EFC5-601B-411D-9190-2777C714E5DB}"/>
    <hyperlink ref="B41" r:id="rId3" xr:uid="{402552D2-4371-4659-AFCD-98151A145166}"/>
    <hyperlink ref="B13" r:id="rId4" xr:uid="{1ECDBCC7-DB48-4D2C-B491-F0556AFBDBB0}"/>
  </hyperlinks>
  <pageMargins left="0.7" right="0.7" top="0.75" bottom="0.75" header="0.3" footer="0.3"/>
  <pageSetup orientation="landscape" r:id="rId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638B78-A2B6-4661-B34D-EE63136445DC}">
  <sheetPr codeName="Sheet11">
    <pageSetUpPr fitToPage="1"/>
  </sheetPr>
  <dimension ref="A1:K505"/>
  <sheetViews>
    <sheetView zoomScaleNormal="100" workbookViewId="0">
      <selection activeCell="A2" sqref="A2:H2"/>
    </sheetView>
  </sheetViews>
  <sheetFormatPr defaultColWidth="9.109375" defaultRowHeight="14.4" x14ac:dyDescent="0.3"/>
  <cols>
    <col min="1" max="1" width="10.109375" style="97" customWidth="1"/>
    <col min="2" max="2" width="8.5546875" style="304" customWidth="1"/>
    <col min="3" max="3" width="8.5546875" style="97" customWidth="1"/>
    <col min="4" max="4" width="51" style="97" customWidth="1"/>
    <col min="5" max="5" width="14.44140625" style="97" bestFit="1" customWidth="1"/>
    <col min="6" max="6" width="18.5546875" style="97" customWidth="1"/>
    <col min="7" max="7" width="17.44140625" style="97" customWidth="1"/>
    <col min="8" max="8" width="17" style="97" bestFit="1" customWidth="1"/>
    <col min="9" max="9" width="15.5546875" style="97" bestFit="1" customWidth="1"/>
    <col min="10" max="10" width="14.44140625" style="97" bestFit="1" customWidth="1"/>
    <col min="11" max="11" width="15.44140625" style="97" bestFit="1" customWidth="1"/>
    <col min="12" max="16384" width="9.109375" style="97"/>
  </cols>
  <sheetData>
    <row r="1" spans="1:11" s="393" customFormat="1" ht="43.2" x14ac:dyDescent="0.3">
      <c r="A1" s="1005" t="s">
        <v>340</v>
      </c>
      <c r="B1" s="1006"/>
      <c r="C1" s="1007" t="s">
        <v>1280</v>
      </c>
      <c r="D1" s="1008" t="s">
        <v>42</v>
      </c>
      <c r="E1" s="1009" t="s">
        <v>1281</v>
      </c>
      <c r="F1" s="1009" t="s">
        <v>1282</v>
      </c>
      <c r="G1" s="1009" t="s">
        <v>1283</v>
      </c>
      <c r="H1" s="1009" t="s">
        <v>1284</v>
      </c>
      <c r="I1" s="1009" t="s">
        <v>1285</v>
      </c>
      <c r="J1" s="1009" t="s">
        <v>1362</v>
      </c>
      <c r="K1" s="1009" t="s">
        <v>1287</v>
      </c>
    </row>
    <row r="2" spans="1:11" s="393" customFormat="1" x14ac:dyDescent="0.3">
      <c r="A2" s="1004"/>
      <c r="B2" s="1006"/>
      <c r="C2" s="1004"/>
      <c r="D2" s="1004"/>
      <c r="E2" s="1010">
        <v>561205</v>
      </c>
      <c r="F2" s="1010">
        <v>561200</v>
      </c>
      <c r="G2" s="1010">
        <v>561208</v>
      </c>
      <c r="H2" s="1010">
        <v>561202</v>
      </c>
      <c r="I2" s="1010">
        <v>561204</v>
      </c>
      <c r="J2" s="1010">
        <v>561206</v>
      </c>
      <c r="K2" s="1010">
        <v>561207</v>
      </c>
    </row>
    <row r="3" spans="1:11" s="393" customFormat="1" ht="28.8" x14ac:dyDescent="0.3">
      <c r="A3" s="1004">
        <v>4</v>
      </c>
      <c r="B3" s="1004">
        <v>4</v>
      </c>
      <c r="C3" s="1004">
        <v>4</v>
      </c>
      <c r="D3" s="1006" t="s">
        <v>1345</v>
      </c>
      <c r="E3" s="1011">
        <v>471646</v>
      </c>
      <c r="F3" s="1011">
        <v>88463</v>
      </c>
      <c r="G3" s="1011">
        <v>1691849</v>
      </c>
      <c r="H3" s="1011">
        <v>372304</v>
      </c>
      <c r="I3" s="1011">
        <v>514903</v>
      </c>
      <c r="J3" s="1011">
        <v>284508</v>
      </c>
      <c r="K3" s="1011">
        <v>552540</v>
      </c>
    </row>
    <row r="4" spans="1:11" s="393" customFormat="1" ht="28.8" x14ac:dyDescent="0.3">
      <c r="A4" s="1004">
        <v>5</v>
      </c>
      <c r="B4" s="1004">
        <v>5</v>
      </c>
      <c r="C4" s="1004">
        <v>5</v>
      </c>
      <c r="D4" s="1006" t="s">
        <v>1346</v>
      </c>
      <c r="E4" s="1011">
        <v>143703</v>
      </c>
      <c r="F4" s="1011">
        <v>0</v>
      </c>
      <c r="G4" s="1011">
        <v>0</v>
      </c>
      <c r="H4" s="1011">
        <v>0</v>
      </c>
      <c r="I4" s="1011">
        <v>0</v>
      </c>
      <c r="J4" s="1011">
        <v>0</v>
      </c>
      <c r="K4" s="1011">
        <v>323276</v>
      </c>
    </row>
    <row r="5" spans="1:11" s="393" customFormat="1" x14ac:dyDescent="0.3">
      <c r="A5" s="1004">
        <v>6</v>
      </c>
      <c r="B5" s="1004">
        <v>6</v>
      </c>
      <c r="C5" s="1004">
        <v>6</v>
      </c>
      <c r="D5" s="1006" t="s">
        <v>1353</v>
      </c>
      <c r="E5" s="1011">
        <v>0</v>
      </c>
      <c r="F5" s="1011">
        <v>0</v>
      </c>
      <c r="G5" s="1011">
        <v>0</v>
      </c>
      <c r="H5" s="1011">
        <v>0</v>
      </c>
      <c r="I5" s="1011">
        <v>0</v>
      </c>
      <c r="J5" s="1011">
        <v>0</v>
      </c>
      <c r="K5" s="1011">
        <v>0</v>
      </c>
    </row>
    <row r="6" spans="1:11" s="393" customFormat="1" x14ac:dyDescent="0.3">
      <c r="A6" s="1004">
        <v>7</v>
      </c>
      <c r="B6" s="1004">
        <v>7</v>
      </c>
      <c r="C6" s="1004">
        <v>7</v>
      </c>
      <c r="D6" s="1006" t="s">
        <v>1354</v>
      </c>
      <c r="E6" s="1011">
        <v>0</v>
      </c>
      <c r="F6" s="1011">
        <v>35854</v>
      </c>
      <c r="G6" s="1011">
        <v>0</v>
      </c>
      <c r="H6" s="1011">
        <v>0</v>
      </c>
      <c r="I6" s="1011">
        <v>0</v>
      </c>
      <c r="J6" s="1011">
        <v>0</v>
      </c>
      <c r="K6" s="1011">
        <v>0</v>
      </c>
    </row>
    <row r="7" spans="1:11" s="393" customFormat="1" x14ac:dyDescent="0.3">
      <c r="A7" s="1004">
        <v>9</v>
      </c>
      <c r="B7" s="1004">
        <v>9</v>
      </c>
      <c r="C7" s="1004">
        <v>9</v>
      </c>
      <c r="D7" s="1006" t="s">
        <v>1355</v>
      </c>
      <c r="E7" s="1011">
        <v>7570278</v>
      </c>
      <c r="F7" s="1011">
        <v>4067508</v>
      </c>
      <c r="G7" s="1011">
        <v>8363561</v>
      </c>
      <c r="H7" s="1011">
        <v>3116654</v>
      </c>
      <c r="I7" s="1011">
        <v>1586003</v>
      </c>
      <c r="J7" s="1011">
        <v>954375</v>
      </c>
      <c r="K7" s="1011">
        <v>4054776</v>
      </c>
    </row>
    <row r="8" spans="1:11" s="393" customFormat="1" x14ac:dyDescent="0.3">
      <c r="A8" s="1004">
        <v>11</v>
      </c>
      <c r="B8" s="1004"/>
      <c r="C8" s="1004"/>
      <c r="D8" s="1004"/>
      <c r="E8" s="1011"/>
      <c r="F8" s="1011"/>
      <c r="G8" s="1011"/>
      <c r="H8" s="1011"/>
      <c r="I8" s="1011"/>
      <c r="J8" s="1011"/>
      <c r="K8" s="1011"/>
    </row>
    <row r="9" spans="1:11" s="393" customFormat="1" ht="28.8" x14ac:dyDescent="0.3">
      <c r="A9" s="1004">
        <v>12</v>
      </c>
      <c r="B9" s="1004"/>
      <c r="C9" s="1004">
        <v>12</v>
      </c>
      <c r="D9" s="1006" t="s">
        <v>359</v>
      </c>
      <c r="E9" s="1011">
        <v>0</v>
      </c>
      <c r="F9" s="1011">
        <v>0</v>
      </c>
      <c r="G9" s="1011">
        <v>0</v>
      </c>
      <c r="H9" s="1011">
        <v>0</v>
      </c>
      <c r="I9" s="1011">
        <v>0</v>
      </c>
      <c r="J9" s="1011">
        <v>0</v>
      </c>
      <c r="K9" s="1011">
        <v>0</v>
      </c>
    </row>
    <row r="10" spans="1:11" s="393" customFormat="1" ht="28.8" x14ac:dyDescent="0.3">
      <c r="A10" s="1004">
        <v>13</v>
      </c>
      <c r="B10" s="1004"/>
      <c r="C10" s="1004">
        <v>13</v>
      </c>
      <c r="D10" s="1006" t="s">
        <v>360</v>
      </c>
      <c r="E10" s="1011">
        <v>0</v>
      </c>
      <c r="F10" s="1011">
        <v>0</v>
      </c>
      <c r="G10" s="1011">
        <v>0</v>
      </c>
      <c r="H10" s="1011">
        <v>0</v>
      </c>
      <c r="I10" s="1011">
        <v>0</v>
      </c>
      <c r="J10" s="1011">
        <v>0</v>
      </c>
      <c r="K10" s="1011">
        <v>0</v>
      </c>
    </row>
    <row r="11" spans="1:11" s="393" customFormat="1" ht="28.8" x14ac:dyDescent="0.3">
      <c r="A11" s="1004">
        <v>14</v>
      </c>
      <c r="B11" s="1004"/>
      <c r="C11" s="1004">
        <v>14</v>
      </c>
      <c r="D11" s="1006" t="s">
        <v>1289</v>
      </c>
      <c r="E11" s="1011">
        <v>0</v>
      </c>
      <c r="F11" s="1011">
        <v>0</v>
      </c>
      <c r="G11" s="1011">
        <v>0</v>
      </c>
      <c r="H11" s="1011">
        <v>0</v>
      </c>
      <c r="I11" s="1011">
        <v>0</v>
      </c>
      <c r="J11" s="1011">
        <v>0</v>
      </c>
      <c r="K11" s="1011">
        <v>0</v>
      </c>
    </row>
    <row r="12" spans="1:11" s="393" customFormat="1" x14ac:dyDescent="0.3">
      <c r="A12" s="1004">
        <v>16</v>
      </c>
      <c r="B12" s="1004">
        <v>16</v>
      </c>
      <c r="C12" s="1004">
        <v>16</v>
      </c>
      <c r="D12" s="1006" t="s">
        <v>1290</v>
      </c>
      <c r="E12" s="1011">
        <v>13089287</v>
      </c>
      <c r="F12" s="1011">
        <v>9670839</v>
      </c>
      <c r="G12" s="1011">
        <v>21651130</v>
      </c>
      <c r="H12" s="1011">
        <v>7735473</v>
      </c>
      <c r="I12" s="1011">
        <v>6489710</v>
      </c>
      <c r="J12" s="1011">
        <v>6183786</v>
      </c>
      <c r="K12" s="1011">
        <v>3876654</v>
      </c>
    </row>
    <row r="13" spans="1:11" s="393" customFormat="1" x14ac:dyDescent="0.3">
      <c r="A13" s="1004">
        <v>17</v>
      </c>
      <c r="B13" s="1004">
        <v>17</v>
      </c>
      <c r="C13" s="1004">
        <v>17</v>
      </c>
      <c r="D13" s="1006" t="s">
        <v>1291</v>
      </c>
      <c r="E13" s="1011">
        <v>63221</v>
      </c>
      <c r="F13" s="1011">
        <v>0</v>
      </c>
      <c r="G13" s="1011">
        <v>0</v>
      </c>
      <c r="H13" s="1011">
        <v>0</v>
      </c>
      <c r="I13" s="1011">
        <v>0</v>
      </c>
      <c r="J13" s="1011">
        <v>0</v>
      </c>
      <c r="K13" s="1011">
        <v>0</v>
      </c>
    </row>
    <row r="14" spans="1:11" s="393" customFormat="1" x14ac:dyDescent="0.3">
      <c r="A14" s="1004">
        <v>19</v>
      </c>
      <c r="B14" s="1004"/>
      <c r="C14" s="1004">
        <v>19</v>
      </c>
      <c r="D14" s="1006" t="s">
        <v>1292</v>
      </c>
      <c r="E14" s="1011">
        <v>0</v>
      </c>
      <c r="F14" s="1011">
        <v>0</v>
      </c>
      <c r="G14" s="1011">
        <v>0</v>
      </c>
      <c r="H14" s="1011">
        <v>0</v>
      </c>
      <c r="I14" s="1011">
        <v>0</v>
      </c>
      <c r="J14" s="1011">
        <v>0</v>
      </c>
      <c r="K14" s="1011">
        <v>0</v>
      </c>
    </row>
    <row r="15" spans="1:11" s="393" customFormat="1" x14ac:dyDescent="0.3">
      <c r="A15" s="1004">
        <v>20</v>
      </c>
      <c r="B15" s="1004">
        <v>20</v>
      </c>
      <c r="C15" s="1004">
        <v>20</v>
      </c>
      <c r="D15" s="1006" t="s">
        <v>1294</v>
      </c>
      <c r="E15" s="1011">
        <v>27774</v>
      </c>
      <c r="F15" s="1011">
        <v>0</v>
      </c>
      <c r="G15" s="1011">
        <v>0</v>
      </c>
      <c r="H15" s="1011">
        <v>0</v>
      </c>
      <c r="I15" s="1011">
        <v>0</v>
      </c>
      <c r="J15" s="1011">
        <v>0</v>
      </c>
      <c r="K15" s="1011">
        <v>0</v>
      </c>
    </row>
    <row r="16" spans="1:11" s="393" customFormat="1" ht="28.8" x14ac:dyDescent="0.3">
      <c r="A16" s="1004">
        <v>21</v>
      </c>
      <c r="B16" s="1004">
        <v>22</v>
      </c>
      <c r="C16" s="1004">
        <v>21</v>
      </c>
      <c r="D16" s="1006" t="s">
        <v>361</v>
      </c>
      <c r="E16" s="1011">
        <v>0</v>
      </c>
      <c r="F16" s="1011">
        <v>0</v>
      </c>
      <c r="G16" s="1011">
        <v>0</v>
      </c>
      <c r="H16" s="1011">
        <v>0</v>
      </c>
      <c r="I16" s="1011">
        <v>0</v>
      </c>
      <c r="J16" s="1011">
        <v>0</v>
      </c>
      <c r="K16" s="1011">
        <v>0</v>
      </c>
    </row>
    <row r="17" spans="1:11" s="393" customFormat="1" ht="28.8" x14ac:dyDescent="0.3">
      <c r="A17" s="1004">
        <v>22</v>
      </c>
      <c r="B17" s="1004">
        <v>23</v>
      </c>
      <c r="C17" s="1004">
        <v>22</v>
      </c>
      <c r="D17" s="1006" t="s">
        <v>1295</v>
      </c>
      <c r="E17" s="1011">
        <v>141432</v>
      </c>
      <c r="F17" s="1011">
        <v>0</v>
      </c>
      <c r="G17" s="1011">
        <v>200000</v>
      </c>
      <c r="H17" s="1011">
        <v>0</v>
      </c>
      <c r="I17" s="1011">
        <v>0</v>
      </c>
      <c r="J17" s="1011">
        <v>0</v>
      </c>
      <c r="K17" s="1011">
        <v>0</v>
      </c>
    </row>
    <row r="18" spans="1:11" s="393" customFormat="1" x14ac:dyDescent="0.3">
      <c r="A18" s="1004">
        <v>23</v>
      </c>
      <c r="B18" s="1004"/>
      <c r="C18" s="1004">
        <v>23</v>
      </c>
      <c r="D18" s="1006" t="s">
        <v>1296</v>
      </c>
      <c r="E18" s="1011">
        <v>247835</v>
      </c>
      <c r="F18" s="1011">
        <v>1183430</v>
      </c>
      <c r="G18" s="1011">
        <v>-705579</v>
      </c>
      <c r="H18" s="1011">
        <v>503422</v>
      </c>
      <c r="I18" s="1011">
        <v>-533952</v>
      </c>
      <c r="J18" s="1011">
        <v>-543428</v>
      </c>
      <c r="K18" s="1011">
        <v>-247031</v>
      </c>
    </row>
    <row r="19" spans="1:11" s="393" customFormat="1" x14ac:dyDescent="0.3">
      <c r="A19" s="1004">
        <v>31</v>
      </c>
      <c r="B19" s="1004"/>
      <c r="C19" s="1004">
        <v>31</v>
      </c>
      <c r="D19" s="1006" t="s">
        <v>1309</v>
      </c>
      <c r="E19" s="1011">
        <v>0</v>
      </c>
      <c r="F19" s="1011">
        <v>0</v>
      </c>
      <c r="G19" s="1011">
        <v>0</v>
      </c>
      <c r="H19" s="1011">
        <v>0</v>
      </c>
      <c r="I19" s="1011">
        <v>0</v>
      </c>
      <c r="J19" s="1011">
        <v>0</v>
      </c>
      <c r="K19" s="1011">
        <v>0</v>
      </c>
    </row>
    <row r="20" spans="1:11" s="393" customFormat="1" x14ac:dyDescent="0.3">
      <c r="A20" s="1004">
        <v>32</v>
      </c>
      <c r="B20" s="1004"/>
      <c r="C20" s="1004">
        <v>32</v>
      </c>
      <c r="D20" s="1006" t="s">
        <v>1311</v>
      </c>
      <c r="E20" s="1011">
        <v>0</v>
      </c>
      <c r="F20" s="1011">
        <v>0</v>
      </c>
      <c r="G20" s="1011">
        <v>0</v>
      </c>
      <c r="H20" s="1011">
        <v>0</v>
      </c>
      <c r="I20" s="1011">
        <v>0</v>
      </c>
      <c r="J20" s="1011">
        <v>0</v>
      </c>
      <c r="K20" s="1011">
        <v>0</v>
      </c>
    </row>
    <row r="21" spans="1:11" s="393" customFormat="1" x14ac:dyDescent="0.3">
      <c r="A21" s="1004">
        <v>33</v>
      </c>
      <c r="B21" s="1004"/>
      <c r="C21" s="1004">
        <v>33</v>
      </c>
      <c r="D21" s="1006" t="s">
        <v>1317</v>
      </c>
      <c r="E21" s="1011">
        <v>0</v>
      </c>
      <c r="F21" s="1011">
        <v>0</v>
      </c>
      <c r="G21" s="1011">
        <v>0</v>
      </c>
      <c r="H21" s="1011">
        <v>0</v>
      </c>
      <c r="I21" s="1011">
        <v>0</v>
      </c>
      <c r="J21" s="1011">
        <v>0</v>
      </c>
      <c r="K21" s="1011">
        <v>0</v>
      </c>
    </row>
    <row r="22" spans="1:11" s="393" customFormat="1" x14ac:dyDescent="0.3">
      <c r="A22" s="1004">
        <v>34</v>
      </c>
      <c r="B22" s="1004"/>
      <c r="C22" s="1004"/>
      <c r="D22" s="1004"/>
      <c r="E22" s="1011"/>
      <c r="F22" s="1011"/>
      <c r="G22" s="1011"/>
      <c r="H22" s="1011"/>
      <c r="I22" s="1011"/>
      <c r="J22" s="1011"/>
      <c r="K22" s="1011"/>
    </row>
    <row r="23" spans="1:11" s="393" customFormat="1" x14ac:dyDescent="0.3">
      <c r="A23" s="1004">
        <v>35</v>
      </c>
      <c r="B23" s="1004"/>
      <c r="C23" s="1004"/>
      <c r="D23" s="1004"/>
      <c r="E23" s="1011"/>
      <c r="F23" s="1011"/>
      <c r="G23" s="1011"/>
      <c r="H23" s="1011"/>
      <c r="I23" s="1011"/>
      <c r="J23" s="1011"/>
      <c r="K23" s="1011"/>
    </row>
    <row r="24" spans="1:11" s="393" customFormat="1" x14ac:dyDescent="0.3">
      <c r="A24" s="1004">
        <v>36</v>
      </c>
      <c r="B24" s="1004"/>
      <c r="C24" s="1004"/>
      <c r="D24" s="1004"/>
      <c r="E24" s="1011"/>
      <c r="F24" s="1011"/>
      <c r="G24" s="1011"/>
      <c r="H24" s="1011"/>
      <c r="I24" s="1011"/>
      <c r="J24" s="1011"/>
      <c r="K24" s="1011"/>
    </row>
    <row r="25" spans="1:11" s="393" customFormat="1" x14ac:dyDescent="0.3">
      <c r="A25" s="1004">
        <v>37</v>
      </c>
      <c r="B25" s="1004"/>
      <c r="C25" s="1004"/>
      <c r="D25" s="1004"/>
      <c r="E25" s="1011"/>
      <c r="F25" s="1011"/>
      <c r="G25" s="1011"/>
      <c r="H25" s="1011"/>
      <c r="I25" s="1011"/>
      <c r="J25" s="1011"/>
      <c r="K25" s="1011"/>
    </row>
    <row r="26" spans="1:11" s="393" customFormat="1" x14ac:dyDescent="0.3">
      <c r="A26" s="1004">
        <v>38</v>
      </c>
      <c r="B26" s="1004"/>
      <c r="C26" s="1004"/>
      <c r="D26" s="1004"/>
      <c r="E26" s="1011"/>
      <c r="F26" s="1011"/>
      <c r="G26" s="1011"/>
      <c r="H26" s="1011"/>
      <c r="I26" s="1011"/>
      <c r="J26" s="1011"/>
      <c r="K26" s="1011"/>
    </row>
    <row r="27" spans="1:11" s="393" customFormat="1" x14ac:dyDescent="0.3">
      <c r="A27" s="1004">
        <v>39</v>
      </c>
      <c r="B27" s="1004"/>
      <c r="C27" s="1004"/>
      <c r="D27" s="1004"/>
      <c r="E27" s="1011"/>
      <c r="F27" s="1011"/>
      <c r="G27" s="1011"/>
      <c r="H27" s="1011"/>
      <c r="I27" s="1011"/>
      <c r="J27" s="1011"/>
      <c r="K27" s="1011"/>
    </row>
    <row r="28" spans="1:11" s="393" customFormat="1" x14ac:dyDescent="0.3">
      <c r="A28" s="1004">
        <v>40</v>
      </c>
      <c r="B28" s="1004"/>
      <c r="C28" s="1004"/>
      <c r="D28" s="1004"/>
      <c r="E28" s="1011"/>
      <c r="F28" s="1011"/>
      <c r="G28" s="1011"/>
      <c r="H28" s="1011"/>
      <c r="I28" s="1011"/>
      <c r="J28" s="1011"/>
      <c r="K28" s="1011"/>
    </row>
    <row r="29" spans="1:11" s="393" customFormat="1" x14ac:dyDescent="0.3">
      <c r="A29" s="1004">
        <v>41</v>
      </c>
      <c r="B29" s="1004"/>
      <c r="C29" s="1004"/>
      <c r="D29" s="1004"/>
      <c r="E29" s="1011"/>
      <c r="F29" s="1011"/>
      <c r="G29" s="1011"/>
      <c r="H29" s="1011"/>
      <c r="I29" s="1011"/>
      <c r="J29" s="1011"/>
      <c r="K29" s="1011"/>
    </row>
    <row r="30" spans="1:11" s="393" customFormat="1" x14ac:dyDescent="0.3">
      <c r="A30" s="1004">
        <v>43</v>
      </c>
      <c r="B30" s="1004"/>
      <c r="C30" s="1004"/>
      <c r="D30" s="1004"/>
      <c r="E30" s="1011"/>
      <c r="F30" s="1011"/>
      <c r="G30" s="1011"/>
      <c r="H30" s="1011"/>
      <c r="I30" s="1011"/>
      <c r="J30" s="1011"/>
      <c r="K30" s="1011"/>
    </row>
    <row r="31" spans="1:11" s="393" customFormat="1" x14ac:dyDescent="0.3">
      <c r="A31" s="1004">
        <v>44</v>
      </c>
      <c r="B31" s="1004"/>
      <c r="C31" s="1004"/>
      <c r="D31" s="1004"/>
      <c r="E31" s="1011"/>
      <c r="F31" s="1011"/>
      <c r="G31" s="1011"/>
      <c r="H31" s="1011"/>
      <c r="I31" s="1011"/>
      <c r="J31" s="1011"/>
      <c r="K31" s="1011"/>
    </row>
    <row r="32" spans="1:11" s="393" customFormat="1" x14ac:dyDescent="0.3">
      <c r="A32" s="1012">
        <v>45</v>
      </c>
      <c r="B32" s="1004"/>
      <c r="C32" s="1004"/>
      <c r="D32" s="1006"/>
      <c r="E32" s="1011"/>
      <c r="F32" s="1011"/>
      <c r="G32" s="1011"/>
      <c r="H32" s="1011"/>
      <c r="I32" s="1011"/>
      <c r="J32" s="1011"/>
      <c r="K32" s="1011"/>
    </row>
    <row r="33" spans="1:11" s="393" customFormat="1" x14ac:dyDescent="0.3">
      <c r="A33" s="1012">
        <v>46</v>
      </c>
      <c r="B33" s="1004"/>
      <c r="C33" s="1004"/>
      <c r="D33" s="1006"/>
      <c r="E33" s="1011"/>
      <c r="F33" s="1011"/>
      <c r="G33" s="1011"/>
      <c r="H33" s="1011"/>
      <c r="I33" s="1011"/>
      <c r="J33" s="1011"/>
      <c r="K33" s="1011"/>
    </row>
    <row r="34" spans="1:11" s="393" customFormat="1" x14ac:dyDescent="0.3">
      <c r="A34" s="1012">
        <v>47</v>
      </c>
      <c r="B34" s="1004"/>
      <c r="C34" s="1004"/>
      <c r="D34" s="1006"/>
      <c r="E34" s="1011"/>
      <c r="F34" s="1011"/>
      <c r="G34" s="1011"/>
      <c r="H34" s="1011"/>
      <c r="I34" s="1011"/>
      <c r="J34" s="1011"/>
      <c r="K34" s="1011"/>
    </row>
    <row r="35" spans="1:11" s="393" customFormat="1" x14ac:dyDescent="0.3">
      <c r="A35" s="1012">
        <v>48</v>
      </c>
      <c r="B35" s="1004"/>
      <c r="C35" s="1004"/>
      <c r="D35" s="1006"/>
      <c r="E35" s="1011"/>
      <c r="F35" s="1011"/>
      <c r="G35" s="1011"/>
      <c r="H35" s="1011"/>
      <c r="I35" s="1011"/>
      <c r="J35" s="1011"/>
      <c r="K35" s="1011"/>
    </row>
    <row r="36" spans="1:11" s="393" customFormat="1" x14ac:dyDescent="0.3">
      <c r="A36" s="1012">
        <v>49</v>
      </c>
      <c r="B36" s="1004"/>
      <c r="C36" s="1004"/>
      <c r="D36" s="1006"/>
      <c r="E36" s="1011"/>
      <c r="F36" s="1011"/>
      <c r="G36" s="1011"/>
      <c r="H36" s="1011"/>
      <c r="I36" s="1011"/>
      <c r="J36" s="1011"/>
      <c r="K36" s="1011"/>
    </row>
    <row r="37" spans="1:11" s="393" customFormat="1" x14ac:dyDescent="0.3">
      <c r="A37" s="1012">
        <v>50</v>
      </c>
      <c r="B37" s="1004"/>
      <c r="C37" s="1004"/>
      <c r="D37" s="1006"/>
      <c r="E37" s="1011"/>
      <c r="F37" s="1011"/>
      <c r="G37" s="1011"/>
      <c r="H37" s="1011"/>
      <c r="I37" s="1011"/>
      <c r="J37" s="1011"/>
      <c r="K37" s="1011"/>
    </row>
    <row r="38" spans="1:11" s="393" customFormat="1" x14ac:dyDescent="0.3">
      <c r="A38" s="1004">
        <v>51</v>
      </c>
      <c r="B38" s="1004"/>
      <c r="C38" s="1004"/>
      <c r="D38" s="1004"/>
      <c r="E38" s="1011"/>
      <c r="F38" s="1011"/>
      <c r="G38" s="1011"/>
      <c r="H38" s="1011"/>
      <c r="I38" s="1011"/>
      <c r="J38" s="1011"/>
      <c r="K38" s="1011"/>
    </row>
    <row r="39" spans="1:11" s="393" customFormat="1" x14ac:dyDescent="0.3">
      <c r="A39" s="1004">
        <v>52</v>
      </c>
      <c r="B39" s="1004"/>
      <c r="C39" s="1004"/>
      <c r="D39" s="1013" t="s">
        <v>215</v>
      </c>
      <c r="E39" s="1011"/>
      <c r="F39" s="1011"/>
      <c r="G39" s="1011"/>
      <c r="H39" s="1011"/>
      <c r="I39" s="1011"/>
      <c r="J39" s="1011"/>
      <c r="K39" s="1011"/>
    </row>
    <row r="40" spans="1:11" s="393" customFormat="1" x14ac:dyDescent="0.3">
      <c r="A40" s="1004">
        <v>53</v>
      </c>
      <c r="B40" s="1004"/>
      <c r="C40" s="1004"/>
      <c r="D40" s="1004"/>
      <c r="E40" s="1011"/>
      <c r="F40" s="1011"/>
      <c r="G40" s="1011"/>
      <c r="H40" s="1011"/>
      <c r="I40" s="1011"/>
      <c r="J40" s="1011"/>
      <c r="K40" s="1011"/>
    </row>
    <row r="41" spans="1:11" s="393" customFormat="1" x14ac:dyDescent="0.3">
      <c r="A41" s="1004">
        <v>54</v>
      </c>
      <c r="B41" s="1004"/>
      <c r="C41" s="1004"/>
      <c r="D41" s="1004"/>
      <c r="E41" s="1011"/>
      <c r="F41" s="1011"/>
      <c r="G41" s="1011"/>
      <c r="H41" s="1011"/>
      <c r="I41" s="1011"/>
      <c r="J41" s="1011"/>
      <c r="K41" s="1011"/>
    </row>
    <row r="42" spans="1:11" s="393" customFormat="1" x14ac:dyDescent="0.3">
      <c r="A42" s="1004">
        <v>55</v>
      </c>
      <c r="B42" s="1004"/>
      <c r="C42" s="1004"/>
      <c r="D42" s="1004"/>
      <c r="E42" s="1011"/>
      <c r="F42" s="1011"/>
      <c r="G42" s="1011"/>
      <c r="H42" s="1011"/>
      <c r="I42" s="1011"/>
      <c r="J42" s="1011"/>
      <c r="K42" s="1011"/>
    </row>
    <row r="43" spans="1:11" s="394" customFormat="1" x14ac:dyDescent="0.3">
      <c r="A43" s="1004">
        <v>61</v>
      </c>
      <c r="B43" s="1004"/>
      <c r="C43" s="1004"/>
      <c r="D43" s="1004"/>
      <c r="E43" s="1011"/>
      <c r="F43" s="1011"/>
      <c r="G43" s="1011"/>
      <c r="H43" s="1011"/>
      <c r="I43" s="1011"/>
      <c r="J43" s="1011"/>
      <c r="K43" s="1011"/>
    </row>
    <row r="44" spans="1:11" s="393" customFormat="1" x14ac:dyDescent="0.3">
      <c r="A44" s="1004">
        <v>80</v>
      </c>
      <c r="B44" s="1004"/>
      <c r="C44" s="1004"/>
      <c r="D44" s="1004"/>
      <c r="E44" s="1011"/>
      <c r="F44" s="1011"/>
      <c r="G44" s="1011"/>
      <c r="H44" s="1011"/>
      <c r="I44" s="1011"/>
      <c r="J44" s="1011"/>
      <c r="K44" s="1011"/>
    </row>
    <row r="45" spans="1:11" s="393" customFormat="1" x14ac:dyDescent="0.3">
      <c r="A45" s="1004">
        <v>81</v>
      </c>
      <c r="B45" s="1004"/>
      <c r="C45" s="1004"/>
      <c r="D45" s="1004"/>
      <c r="E45" s="1011"/>
      <c r="F45" s="1011"/>
      <c r="G45" s="1011"/>
      <c r="H45" s="1011"/>
      <c r="I45" s="1011"/>
      <c r="J45" s="1011"/>
      <c r="K45" s="1011"/>
    </row>
    <row r="46" spans="1:11" s="393" customFormat="1" x14ac:dyDescent="0.3">
      <c r="A46" s="1004">
        <v>82</v>
      </c>
      <c r="B46" s="1004"/>
      <c r="C46" s="1004"/>
      <c r="D46" s="1004"/>
      <c r="E46" s="1011"/>
      <c r="F46" s="1011"/>
      <c r="G46" s="1011"/>
      <c r="H46" s="1011"/>
      <c r="I46" s="1011"/>
      <c r="J46" s="1011"/>
      <c r="K46" s="1011"/>
    </row>
    <row r="47" spans="1:11" s="393" customFormat="1" x14ac:dyDescent="0.3">
      <c r="A47" s="1004">
        <v>83</v>
      </c>
      <c r="B47" s="1004"/>
      <c r="C47" s="1004"/>
      <c r="D47" s="1004"/>
      <c r="E47" s="1011"/>
      <c r="F47" s="1011"/>
      <c r="G47" s="1011"/>
      <c r="H47" s="1011"/>
      <c r="I47" s="1011"/>
      <c r="J47" s="1011"/>
      <c r="K47" s="1011"/>
    </row>
    <row r="48" spans="1:11" s="393" customFormat="1" x14ac:dyDescent="0.3">
      <c r="A48" s="1004">
        <v>84</v>
      </c>
      <c r="B48" s="1004"/>
      <c r="C48" s="1004"/>
      <c r="D48" s="1004"/>
      <c r="E48" s="1011"/>
      <c r="F48" s="1011"/>
      <c r="G48" s="1011"/>
      <c r="H48" s="1011"/>
      <c r="I48" s="1011"/>
      <c r="J48" s="1011"/>
      <c r="K48" s="1011"/>
    </row>
    <row r="49" spans="1:11" s="393" customFormat="1" x14ac:dyDescent="0.3">
      <c r="A49" s="1004">
        <v>85</v>
      </c>
      <c r="B49" s="1004"/>
      <c r="C49" s="1004"/>
      <c r="D49" s="1004"/>
      <c r="E49" s="1011"/>
      <c r="F49" s="1011"/>
      <c r="G49" s="1011"/>
      <c r="H49" s="1011"/>
      <c r="I49" s="1011"/>
      <c r="J49" s="1011"/>
      <c r="K49" s="1011"/>
    </row>
    <row r="50" spans="1:11" s="393" customFormat="1" x14ac:dyDescent="0.3">
      <c r="A50" s="1004">
        <v>88</v>
      </c>
      <c r="B50" s="1004"/>
      <c r="C50" s="1004"/>
      <c r="D50" s="1004"/>
      <c r="E50" s="1011"/>
      <c r="F50" s="1011"/>
      <c r="G50" s="1011"/>
      <c r="H50" s="1011"/>
      <c r="I50" s="1011"/>
      <c r="J50" s="1011"/>
      <c r="K50" s="1011"/>
    </row>
    <row r="51" spans="1:11" s="393" customFormat="1" x14ac:dyDescent="0.3">
      <c r="A51" s="1004">
        <v>89</v>
      </c>
      <c r="B51" s="1004"/>
      <c r="C51" s="1004"/>
      <c r="D51" s="1004"/>
      <c r="E51" s="1011"/>
      <c r="F51" s="1011"/>
      <c r="G51" s="1011"/>
      <c r="H51" s="1011"/>
      <c r="I51" s="1011"/>
      <c r="J51" s="1011"/>
      <c r="K51" s="1011"/>
    </row>
    <row r="52" spans="1:11" s="393" customFormat="1" x14ac:dyDescent="0.3">
      <c r="A52" s="1004">
        <v>90</v>
      </c>
      <c r="B52" s="1004"/>
      <c r="C52" s="1004"/>
      <c r="D52" s="1004"/>
      <c r="E52" s="1011"/>
      <c r="F52" s="1011"/>
      <c r="G52" s="1011"/>
      <c r="H52" s="1011"/>
      <c r="I52" s="1011"/>
      <c r="J52" s="1011"/>
      <c r="K52" s="1011"/>
    </row>
    <row r="53" spans="1:11" s="393" customFormat="1" x14ac:dyDescent="0.3">
      <c r="A53" s="1004">
        <v>91</v>
      </c>
      <c r="B53" s="1004"/>
      <c r="C53" s="1004"/>
      <c r="D53" s="1004"/>
      <c r="E53" s="1011"/>
      <c r="F53" s="1011"/>
      <c r="G53" s="1011"/>
      <c r="H53" s="1011"/>
      <c r="I53" s="1011"/>
      <c r="J53" s="1011"/>
      <c r="K53" s="1011"/>
    </row>
    <row r="54" spans="1:11" s="393" customFormat="1" x14ac:dyDescent="0.3">
      <c r="A54" s="1004">
        <v>92</v>
      </c>
      <c r="B54" s="1004"/>
      <c r="C54" s="1004"/>
      <c r="D54" s="1004"/>
      <c r="E54" s="1011"/>
      <c r="F54" s="1011"/>
      <c r="G54" s="1011"/>
      <c r="H54" s="1011"/>
      <c r="I54" s="1011"/>
      <c r="J54" s="1011"/>
      <c r="K54" s="1011"/>
    </row>
    <row r="55" spans="1:11" s="393" customFormat="1" x14ac:dyDescent="0.3">
      <c r="A55" s="1004">
        <v>93</v>
      </c>
      <c r="B55" s="1004"/>
      <c r="C55" s="1004"/>
      <c r="D55" s="1004"/>
      <c r="E55" s="1011"/>
      <c r="F55" s="1011"/>
      <c r="G55" s="1011"/>
      <c r="H55" s="1011"/>
      <c r="I55" s="1011"/>
      <c r="J55" s="1011"/>
      <c r="K55" s="1011"/>
    </row>
    <row r="56" spans="1:11" s="393" customFormat="1" x14ac:dyDescent="0.3">
      <c r="A56" s="1004">
        <v>94</v>
      </c>
      <c r="B56" s="1004"/>
      <c r="C56" s="1004"/>
      <c r="D56" s="1004"/>
      <c r="E56" s="1011"/>
      <c r="F56" s="1011"/>
      <c r="G56" s="1011"/>
      <c r="H56" s="1011"/>
      <c r="I56" s="1011"/>
      <c r="J56" s="1011"/>
      <c r="K56" s="1011"/>
    </row>
    <row r="57" spans="1:11" s="393" customFormat="1" x14ac:dyDescent="0.3">
      <c r="A57" s="1004">
        <v>97</v>
      </c>
      <c r="B57" s="1004"/>
      <c r="C57" s="1004"/>
      <c r="D57" s="1004"/>
      <c r="E57" s="1011"/>
      <c r="F57" s="1011"/>
      <c r="G57" s="1011"/>
      <c r="H57" s="1011"/>
      <c r="I57" s="1011"/>
      <c r="J57" s="1011"/>
      <c r="K57" s="1011"/>
    </row>
    <row r="58" spans="1:11" s="393" customFormat="1" x14ac:dyDescent="0.3">
      <c r="A58" s="1004">
        <v>98</v>
      </c>
      <c r="B58" s="1004"/>
      <c r="C58" s="1004"/>
      <c r="D58" s="1004"/>
      <c r="E58" s="1011"/>
      <c r="F58" s="1011"/>
      <c r="G58" s="1011"/>
      <c r="H58" s="1011"/>
      <c r="I58" s="1011"/>
      <c r="J58" s="1011"/>
      <c r="K58" s="1011"/>
    </row>
    <row r="59" spans="1:11" s="393" customFormat="1" x14ac:dyDescent="0.3">
      <c r="A59" s="1004">
        <v>99</v>
      </c>
      <c r="B59" s="1004"/>
      <c r="C59" s="1004"/>
      <c r="D59" s="1004"/>
      <c r="E59" s="1011"/>
      <c r="F59" s="1011"/>
      <c r="G59" s="1011"/>
      <c r="H59" s="1011"/>
      <c r="I59" s="1011"/>
      <c r="J59" s="1011"/>
      <c r="K59" s="1011"/>
    </row>
    <row r="60" spans="1:11" s="393" customFormat="1" x14ac:dyDescent="0.3">
      <c r="A60" s="1004">
        <v>100</v>
      </c>
      <c r="B60" s="1004"/>
      <c r="C60" s="1004"/>
      <c r="D60" s="1004"/>
      <c r="E60" s="1011"/>
      <c r="F60" s="1011"/>
      <c r="G60" s="1011"/>
      <c r="H60" s="1011"/>
      <c r="I60" s="1011"/>
      <c r="J60" s="1011"/>
      <c r="K60" s="1011"/>
    </row>
    <row r="61" spans="1:11" s="393" customFormat="1" x14ac:dyDescent="0.3">
      <c r="A61" s="1004">
        <v>101</v>
      </c>
      <c r="B61" s="1004"/>
      <c r="C61" s="1004"/>
      <c r="D61" s="1004"/>
      <c r="E61" s="1011"/>
      <c r="F61" s="1011"/>
      <c r="G61" s="1011"/>
      <c r="H61" s="1011"/>
      <c r="I61" s="1011"/>
      <c r="J61" s="1011"/>
      <c r="K61" s="1011"/>
    </row>
    <row r="62" spans="1:11" s="395" customFormat="1" x14ac:dyDescent="0.3">
      <c r="A62" s="1004">
        <v>102</v>
      </c>
      <c r="B62" s="1004"/>
      <c r="C62" s="1004"/>
      <c r="D62" s="1004"/>
      <c r="E62" s="1011"/>
      <c r="F62" s="1011"/>
      <c r="G62" s="1011"/>
      <c r="H62" s="1011"/>
      <c r="I62" s="1011"/>
      <c r="J62" s="1011"/>
      <c r="K62" s="1011"/>
    </row>
    <row r="63" spans="1:11" s="395" customFormat="1" x14ac:dyDescent="0.3">
      <c r="A63" s="1004">
        <v>103</v>
      </c>
      <c r="B63" s="1004"/>
      <c r="C63" s="1004"/>
      <c r="D63" s="1004"/>
      <c r="E63" s="1011"/>
      <c r="F63" s="1011"/>
      <c r="G63" s="1011"/>
      <c r="H63" s="1011"/>
      <c r="I63" s="1011"/>
      <c r="J63" s="1011"/>
      <c r="K63" s="1011"/>
    </row>
    <row r="64" spans="1:11" s="393" customFormat="1" x14ac:dyDescent="0.3">
      <c r="A64" s="1004">
        <v>104</v>
      </c>
      <c r="B64" s="1004"/>
      <c r="C64" s="1004"/>
      <c r="D64" s="1004"/>
      <c r="E64" s="1011"/>
      <c r="F64" s="1011"/>
      <c r="G64" s="1011"/>
      <c r="H64" s="1011"/>
      <c r="I64" s="1011"/>
      <c r="J64" s="1011"/>
      <c r="K64" s="1011"/>
    </row>
    <row r="65" spans="1:11" s="393" customFormat="1" x14ac:dyDescent="0.3">
      <c r="A65" s="1004">
        <v>107</v>
      </c>
      <c r="B65" s="1004"/>
      <c r="C65" s="1004"/>
      <c r="D65" s="1004"/>
      <c r="E65" s="1011"/>
      <c r="F65" s="1011"/>
      <c r="G65" s="1011"/>
      <c r="H65" s="1011"/>
      <c r="I65" s="1011"/>
      <c r="J65" s="1011"/>
      <c r="K65" s="1011"/>
    </row>
    <row r="66" spans="1:11" s="393" customFormat="1" x14ac:dyDescent="0.3">
      <c r="A66" s="1004">
        <v>108</v>
      </c>
      <c r="B66" s="1004"/>
      <c r="C66" s="1004"/>
      <c r="D66" s="1004"/>
      <c r="E66" s="1011"/>
      <c r="F66" s="1011"/>
      <c r="G66" s="1011"/>
      <c r="H66" s="1011"/>
      <c r="I66" s="1011"/>
      <c r="J66" s="1011"/>
      <c r="K66" s="1011"/>
    </row>
    <row r="67" spans="1:11" s="393" customFormat="1" x14ac:dyDescent="0.3">
      <c r="A67" s="1004">
        <v>147</v>
      </c>
      <c r="B67" s="1004"/>
      <c r="C67" s="1004"/>
      <c r="D67" s="1004"/>
      <c r="E67" s="1011"/>
      <c r="F67" s="1011"/>
      <c r="G67" s="1011"/>
      <c r="H67" s="1011"/>
      <c r="I67" s="1011"/>
      <c r="J67" s="1011"/>
      <c r="K67" s="1011"/>
    </row>
    <row r="68" spans="1:11" s="393" customFormat="1" x14ac:dyDescent="0.3">
      <c r="A68" s="1004">
        <v>148</v>
      </c>
      <c r="B68" s="1004"/>
      <c r="C68" s="1004"/>
      <c r="D68" s="1004"/>
      <c r="E68" s="1011"/>
      <c r="F68" s="1011"/>
      <c r="G68" s="1011"/>
      <c r="H68" s="1011"/>
      <c r="I68" s="1011"/>
      <c r="J68" s="1011"/>
      <c r="K68" s="1011"/>
    </row>
    <row r="69" spans="1:11" s="393" customFormat="1" x14ac:dyDescent="0.3">
      <c r="A69" s="1004">
        <v>149</v>
      </c>
      <c r="B69" s="1004"/>
      <c r="C69" s="1004"/>
      <c r="D69" s="1004"/>
      <c r="E69" s="1011"/>
      <c r="F69" s="1011"/>
      <c r="G69" s="1011"/>
      <c r="H69" s="1011"/>
      <c r="I69" s="1011"/>
      <c r="J69" s="1011"/>
      <c r="K69" s="1011"/>
    </row>
    <row r="70" spans="1:11" s="393" customFormat="1" x14ac:dyDescent="0.3">
      <c r="A70" s="1004">
        <v>150</v>
      </c>
      <c r="B70" s="1004"/>
      <c r="C70" s="1004"/>
      <c r="D70" s="1004"/>
      <c r="E70" s="1011"/>
      <c r="F70" s="1011"/>
      <c r="G70" s="1011"/>
      <c r="H70" s="1011"/>
      <c r="I70" s="1011"/>
      <c r="J70" s="1011"/>
      <c r="K70" s="1011"/>
    </row>
    <row r="71" spans="1:11" s="393" customFormat="1" x14ac:dyDescent="0.3">
      <c r="A71" s="1004">
        <v>171</v>
      </c>
      <c r="B71" s="1004"/>
      <c r="C71" s="1004"/>
      <c r="D71" s="1004"/>
      <c r="E71" s="1011"/>
      <c r="F71" s="1011"/>
      <c r="G71" s="1011"/>
      <c r="H71" s="1011"/>
      <c r="I71" s="1011"/>
      <c r="J71" s="1011"/>
      <c r="K71" s="1011"/>
    </row>
    <row r="72" spans="1:11" s="393" customFormat="1" x14ac:dyDescent="0.3">
      <c r="A72" s="1004">
        <v>191</v>
      </c>
      <c r="B72" s="1004"/>
      <c r="C72" s="1004"/>
      <c r="D72" s="1004"/>
      <c r="E72" s="1011"/>
      <c r="F72" s="1011"/>
      <c r="G72" s="1011"/>
      <c r="H72" s="1011"/>
      <c r="I72" s="1011"/>
      <c r="J72" s="1011"/>
      <c r="K72" s="1011"/>
    </row>
    <row r="73" spans="1:11" s="393" customFormat="1" x14ac:dyDescent="0.3">
      <c r="A73" s="1004">
        <v>192</v>
      </c>
      <c r="B73" s="1004"/>
      <c r="C73" s="1004"/>
      <c r="D73" s="1004"/>
      <c r="E73" s="1011"/>
      <c r="F73" s="1011"/>
      <c r="G73" s="1011"/>
      <c r="H73" s="1011"/>
      <c r="I73" s="1011"/>
      <c r="J73" s="1011"/>
      <c r="K73" s="1011"/>
    </row>
    <row r="74" spans="1:11" s="393" customFormat="1" x14ac:dyDescent="0.3">
      <c r="A74" s="1004">
        <v>193</v>
      </c>
      <c r="B74" s="1004"/>
      <c r="C74" s="1004">
        <v>193</v>
      </c>
      <c r="D74" s="1006" t="s">
        <v>1293</v>
      </c>
      <c r="E74" s="1011">
        <v>0</v>
      </c>
      <c r="F74" s="1011">
        <v>0</v>
      </c>
      <c r="G74" s="1011">
        <v>0</v>
      </c>
      <c r="H74" s="1011">
        <v>0</v>
      </c>
      <c r="I74" s="1011">
        <v>0</v>
      </c>
      <c r="J74" s="1011">
        <v>0</v>
      </c>
      <c r="K74" s="1011">
        <v>0</v>
      </c>
    </row>
    <row r="75" spans="1:11" s="393" customFormat="1" x14ac:dyDescent="0.3">
      <c r="A75" s="1004">
        <v>194</v>
      </c>
      <c r="B75" s="1004"/>
      <c r="C75" s="1004"/>
      <c r="D75" s="1004"/>
      <c r="E75" s="1011"/>
      <c r="F75" s="1011"/>
      <c r="G75" s="1011"/>
      <c r="H75" s="1011"/>
      <c r="I75" s="1011"/>
      <c r="J75" s="1011"/>
      <c r="K75" s="1011"/>
    </row>
    <row r="76" spans="1:11" s="393" customFormat="1" x14ac:dyDescent="0.3">
      <c r="A76" s="1004">
        <v>231</v>
      </c>
      <c r="B76" s="1004"/>
      <c r="C76" s="1004">
        <v>231</v>
      </c>
      <c r="D76" s="1006" t="s">
        <v>298</v>
      </c>
      <c r="E76" s="1011">
        <v>0</v>
      </c>
      <c r="F76" s="1011">
        <v>0</v>
      </c>
      <c r="G76" s="1011">
        <v>0</v>
      </c>
      <c r="H76" s="1011">
        <v>0</v>
      </c>
      <c r="I76" s="1011">
        <v>0</v>
      </c>
      <c r="J76" s="1011">
        <v>0</v>
      </c>
      <c r="K76" s="1011">
        <v>0</v>
      </c>
    </row>
    <row r="77" spans="1:11" s="393" customFormat="1" ht="28.8" x14ac:dyDescent="0.3">
      <c r="A77" s="1004">
        <v>251</v>
      </c>
      <c r="B77" s="1004"/>
      <c r="C77" s="1004">
        <v>251</v>
      </c>
      <c r="D77" s="1006" t="s">
        <v>299</v>
      </c>
      <c r="E77" s="1011">
        <v>0</v>
      </c>
      <c r="F77" s="1011">
        <v>0</v>
      </c>
      <c r="G77" s="1011">
        <v>0</v>
      </c>
      <c r="H77" s="1011">
        <v>0</v>
      </c>
      <c r="I77" s="1011">
        <v>0</v>
      </c>
      <c r="J77" s="1011">
        <v>0</v>
      </c>
      <c r="K77" s="1011">
        <v>0</v>
      </c>
    </row>
    <row r="78" spans="1:11" s="393" customFormat="1" x14ac:dyDescent="0.3">
      <c r="A78" s="1004">
        <v>252</v>
      </c>
      <c r="B78" s="1004">
        <v>252</v>
      </c>
      <c r="C78" s="1004">
        <v>252</v>
      </c>
      <c r="D78" s="1006" t="s">
        <v>1297</v>
      </c>
      <c r="E78" s="1011">
        <v>3227826</v>
      </c>
      <c r="F78" s="1011">
        <v>530030</v>
      </c>
      <c r="G78" s="1011">
        <v>621966</v>
      </c>
      <c r="H78" s="1011">
        <v>356429</v>
      </c>
      <c r="I78" s="1011">
        <v>606892</v>
      </c>
      <c r="J78" s="1011">
        <v>977858</v>
      </c>
      <c r="K78" s="1011">
        <v>54356</v>
      </c>
    </row>
    <row r="79" spans="1:11" s="393" customFormat="1" x14ac:dyDescent="0.3">
      <c r="A79" s="1004">
        <v>253</v>
      </c>
      <c r="B79" s="1004">
        <v>253</v>
      </c>
      <c r="C79" s="1004">
        <v>253</v>
      </c>
      <c r="D79" s="1006" t="s">
        <v>1298</v>
      </c>
      <c r="E79" s="1011">
        <v>1178362</v>
      </c>
      <c r="F79" s="1011">
        <v>986612</v>
      </c>
      <c r="G79" s="1011">
        <v>1175395</v>
      </c>
      <c r="H79" s="1011">
        <v>1716869</v>
      </c>
      <c r="I79" s="1011">
        <v>328063</v>
      </c>
      <c r="J79" s="1011">
        <v>575965</v>
      </c>
      <c r="K79" s="1011">
        <v>198352</v>
      </c>
    </row>
    <row r="80" spans="1:11" s="393" customFormat="1" x14ac:dyDescent="0.3">
      <c r="A80" s="1004">
        <v>254</v>
      </c>
      <c r="B80" s="1004">
        <v>254</v>
      </c>
      <c r="C80" s="1004">
        <v>254</v>
      </c>
      <c r="D80" s="1006" t="s">
        <v>1299</v>
      </c>
      <c r="E80" s="1011">
        <v>-11463775</v>
      </c>
      <c r="F80" s="1011">
        <v>1365930</v>
      </c>
      <c r="G80" s="1011">
        <v>3860514</v>
      </c>
      <c r="H80" s="1011">
        <v>-6156603</v>
      </c>
      <c r="I80" s="1011">
        <v>-1195660</v>
      </c>
      <c r="J80" s="1011">
        <v>-7828497</v>
      </c>
      <c r="K80" s="1011">
        <v>3382737</v>
      </c>
    </row>
    <row r="81" spans="1:11" s="393" customFormat="1" x14ac:dyDescent="0.3">
      <c r="A81" s="1004">
        <v>255</v>
      </c>
      <c r="B81" s="1004">
        <v>255</v>
      </c>
      <c r="C81" s="1004">
        <v>255</v>
      </c>
      <c r="D81" s="1006" t="s">
        <v>1300</v>
      </c>
      <c r="E81" s="1011">
        <v>-1579752</v>
      </c>
      <c r="F81" s="1011">
        <v>575013</v>
      </c>
      <c r="G81" s="1011">
        <v>-1281796</v>
      </c>
      <c r="H81" s="1011">
        <v>-2184096</v>
      </c>
      <c r="I81" s="1011">
        <v>-733389</v>
      </c>
      <c r="J81" s="1011">
        <v>-957248</v>
      </c>
      <c r="K81" s="1011">
        <v>-331070</v>
      </c>
    </row>
    <row r="82" spans="1:11" s="393" customFormat="1" x14ac:dyDescent="0.3">
      <c r="A82" s="1004">
        <v>274</v>
      </c>
      <c r="B82" s="1004"/>
      <c r="C82" s="1004"/>
      <c r="D82" s="1004"/>
      <c r="E82" s="1004"/>
      <c r="F82" s="1004"/>
      <c r="G82" s="1004"/>
      <c r="H82" s="1004"/>
      <c r="I82" s="1004"/>
      <c r="J82" s="1004"/>
      <c r="K82" s="1004"/>
    </row>
    <row r="83" spans="1:11" s="393" customFormat="1" x14ac:dyDescent="0.3">
      <c r="A83" s="1004">
        <v>294</v>
      </c>
      <c r="B83" s="1004"/>
      <c r="C83" s="1004"/>
      <c r="D83" s="1004"/>
      <c r="E83" s="1004"/>
      <c r="F83" s="1004"/>
      <c r="G83" s="1004"/>
      <c r="H83" s="1004"/>
      <c r="I83" s="1004"/>
      <c r="J83" s="1004"/>
      <c r="K83" s="1004"/>
    </row>
    <row r="84" spans="1:11" s="393" customFormat="1" x14ac:dyDescent="0.3">
      <c r="A84" s="1004">
        <v>314</v>
      </c>
      <c r="B84" s="1004"/>
      <c r="C84" s="1004"/>
      <c r="D84" s="1004"/>
      <c r="E84" s="1004"/>
      <c r="F84" s="1004"/>
      <c r="G84" s="1004"/>
      <c r="H84" s="1004"/>
      <c r="I84" s="1004"/>
      <c r="J84" s="1004"/>
      <c r="K84" s="1004"/>
    </row>
    <row r="85" spans="1:11" s="393" customFormat="1" x14ac:dyDescent="0.3">
      <c r="A85" s="1004">
        <v>315</v>
      </c>
      <c r="B85" s="1004"/>
      <c r="C85" s="1004"/>
      <c r="D85" s="1004"/>
      <c r="E85" s="1004"/>
      <c r="F85" s="1004"/>
      <c r="G85" s="1004"/>
      <c r="H85" s="1004"/>
      <c r="I85" s="1004"/>
      <c r="J85" s="1004"/>
      <c r="K85" s="1004"/>
    </row>
    <row r="86" spans="1:11" s="393" customFormat="1" x14ac:dyDescent="0.3">
      <c r="A86" s="1004">
        <v>316</v>
      </c>
      <c r="B86" s="1004"/>
      <c r="C86" s="1004"/>
      <c r="D86" s="1004"/>
      <c r="E86" s="1004"/>
      <c r="F86" s="1004"/>
      <c r="G86" s="1004"/>
      <c r="H86" s="1004"/>
      <c r="I86" s="1004"/>
      <c r="J86" s="1004"/>
      <c r="K86" s="1004"/>
    </row>
    <row r="87" spans="1:11" s="393" customFormat="1" x14ac:dyDescent="0.3">
      <c r="A87" s="1004">
        <v>320</v>
      </c>
      <c r="B87" s="1004"/>
      <c r="C87" s="1012">
        <v>320</v>
      </c>
      <c r="D87" s="1014" t="s">
        <v>1312</v>
      </c>
      <c r="E87" s="1015">
        <v>0</v>
      </c>
      <c r="F87" s="1015">
        <v>0</v>
      </c>
      <c r="G87" s="1015">
        <v>0</v>
      </c>
      <c r="H87" s="1015">
        <v>0</v>
      </c>
      <c r="I87" s="1015">
        <v>0</v>
      </c>
      <c r="J87" s="1015">
        <v>0</v>
      </c>
      <c r="K87" s="1015">
        <v>0</v>
      </c>
    </row>
    <row r="88" spans="1:11" s="393" customFormat="1" x14ac:dyDescent="0.3">
      <c r="A88" s="1004">
        <v>321</v>
      </c>
      <c r="B88" s="1004"/>
      <c r="C88" s="1012">
        <v>321</v>
      </c>
      <c r="D88" s="1014" t="s">
        <v>1313</v>
      </c>
      <c r="E88" s="1015">
        <v>0</v>
      </c>
      <c r="F88" s="1015">
        <v>0</v>
      </c>
      <c r="G88" s="1015">
        <v>0</v>
      </c>
      <c r="H88" s="1015">
        <v>0</v>
      </c>
      <c r="I88" s="1015">
        <v>0</v>
      </c>
      <c r="J88" s="1015">
        <v>0</v>
      </c>
      <c r="K88" s="1015">
        <v>0</v>
      </c>
    </row>
    <row r="89" spans="1:11" s="393" customFormat="1" x14ac:dyDescent="0.3">
      <c r="A89" s="1004">
        <v>322</v>
      </c>
      <c r="B89" s="1004"/>
      <c r="C89" s="1012">
        <v>322</v>
      </c>
      <c r="D89" s="1014" t="s">
        <v>1314</v>
      </c>
      <c r="E89" s="1015">
        <v>0</v>
      </c>
      <c r="F89" s="1015">
        <v>0</v>
      </c>
      <c r="G89" s="1015">
        <v>0</v>
      </c>
      <c r="H89" s="1015">
        <v>0</v>
      </c>
      <c r="I89" s="1015">
        <v>0</v>
      </c>
      <c r="J89" s="1015">
        <v>0</v>
      </c>
      <c r="K89" s="1015">
        <v>0</v>
      </c>
    </row>
    <row r="90" spans="1:11" s="393" customFormat="1" x14ac:dyDescent="0.3">
      <c r="A90" s="1004">
        <v>323</v>
      </c>
      <c r="B90" s="1004"/>
      <c r="C90" s="1012">
        <v>323</v>
      </c>
      <c r="D90" s="1014" t="s">
        <v>257</v>
      </c>
      <c r="E90" s="1015">
        <v>0</v>
      </c>
      <c r="F90" s="1015">
        <v>0</v>
      </c>
      <c r="G90" s="1015">
        <v>0</v>
      </c>
      <c r="H90" s="1015">
        <v>0</v>
      </c>
      <c r="I90" s="1015">
        <v>0</v>
      </c>
      <c r="J90" s="1015">
        <v>0</v>
      </c>
      <c r="K90" s="1015">
        <v>0</v>
      </c>
    </row>
    <row r="91" spans="1:11" s="393" customFormat="1" x14ac:dyDescent="0.3">
      <c r="A91" s="1004">
        <v>324</v>
      </c>
      <c r="B91" s="1004"/>
      <c r="C91" s="1012">
        <v>324</v>
      </c>
      <c r="D91" s="1014" t="s">
        <v>1315</v>
      </c>
      <c r="E91" s="1015">
        <v>0</v>
      </c>
      <c r="F91" s="1015">
        <v>0</v>
      </c>
      <c r="G91" s="1015">
        <v>0</v>
      </c>
      <c r="H91" s="1015">
        <v>0</v>
      </c>
      <c r="I91" s="1015">
        <v>0</v>
      </c>
      <c r="J91" s="1015">
        <v>0</v>
      </c>
      <c r="K91" s="1015">
        <v>0</v>
      </c>
    </row>
    <row r="92" spans="1:11" s="393" customFormat="1" x14ac:dyDescent="0.3">
      <c r="A92" s="1004">
        <v>325</v>
      </c>
      <c r="B92" s="1004"/>
      <c r="C92" s="1012">
        <v>325</v>
      </c>
      <c r="D92" s="1014" t="s">
        <v>1316</v>
      </c>
      <c r="E92" s="1015">
        <v>0</v>
      </c>
      <c r="F92" s="1015">
        <v>0</v>
      </c>
      <c r="G92" s="1015">
        <v>0</v>
      </c>
      <c r="H92" s="1015">
        <v>0</v>
      </c>
      <c r="I92" s="1015">
        <v>0</v>
      </c>
      <c r="J92" s="1015">
        <v>0</v>
      </c>
      <c r="K92" s="1015">
        <v>0</v>
      </c>
    </row>
    <row r="93" spans="1:11" s="393" customFormat="1" x14ac:dyDescent="0.3">
      <c r="A93" s="1004">
        <v>326</v>
      </c>
      <c r="B93" s="1004"/>
      <c r="C93" s="1012"/>
      <c r="D93" s="1014"/>
      <c r="E93" s="1015"/>
      <c r="F93" s="1015"/>
      <c r="G93" s="1015"/>
      <c r="H93" s="1015"/>
      <c r="I93" s="1015"/>
      <c r="J93" s="1015"/>
      <c r="K93" s="1015"/>
    </row>
    <row r="94" spans="1:11" s="393" customFormat="1" x14ac:dyDescent="0.3">
      <c r="A94" s="1004">
        <v>327</v>
      </c>
      <c r="B94" s="1004"/>
      <c r="C94" s="1012"/>
      <c r="D94" s="1014"/>
      <c r="E94" s="1015"/>
      <c r="F94" s="1015"/>
      <c r="G94" s="1015"/>
      <c r="H94" s="1015"/>
      <c r="I94" s="1015"/>
      <c r="J94" s="1015"/>
      <c r="K94" s="1015"/>
    </row>
    <row r="95" spans="1:11" s="393" customFormat="1" x14ac:dyDescent="0.3">
      <c r="A95" s="1004">
        <v>328</v>
      </c>
      <c r="B95" s="1004"/>
      <c r="C95" s="1012"/>
      <c r="D95" s="1014"/>
      <c r="E95" s="1015"/>
      <c r="F95" s="1015"/>
      <c r="G95" s="1015"/>
      <c r="H95" s="1015"/>
      <c r="I95" s="1015"/>
      <c r="J95" s="1015"/>
      <c r="K95" s="1015"/>
    </row>
    <row r="96" spans="1:11" s="393" customFormat="1" x14ac:dyDescent="0.3">
      <c r="A96" s="1004">
        <v>330</v>
      </c>
      <c r="B96" s="1004"/>
      <c r="C96" s="1012"/>
      <c r="D96" s="1014"/>
      <c r="E96" s="1015"/>
      <c r="F96" s="1015"/>
      <c r="G96" s="1015"/>
      <c r="H96" s="1015"/>
      <c r="I96" s="1015"/>
      <c r="J96" s="1015"/>
      <c r="K96" s="1015"/>
    </row>
    <row r="97" spans="1:11" s="393" customFormat="1" x14ac:dyDescent="0.3">
      <c r="A97" s="1004">
        <v>331</v>
      </c>
      <c r="B97" s="1004"/>
      <c r="C97" s="1012"/>
      <c r="D97" s="1014"/>
      <c r="E97" s="1015"/>
      <c r="F97" s="1015"/>
      <c r="G97" s="1015"/>
      <c r="H97" s="1015"/>
      <c r="I97" s="1015"/>
      <c r="J97" s="1015"/>
      <c r="K97" s="1015"/>
    </row>
    <row r="98" spans="1:11" s="393" customFormat="1" x14ac:dyDescent="0.3">
      <c r="A98" s="1004">
        <v>332</v>
      </c>
      <c r="B98" s="1004"/>
      <c r="C98" s="1012"/>
      <c r="D98" s="1014"/>
      <c r="E98" s="1015"/>
      <c r="F98" s="1015"/>
      <c r="G98" s="1015"/>
      <c r="H98" s="1015"/>
      <c r="I98" s="1015"/>
      <c r="J98" s="1015"/>
      <c r="K98" s="1015"/>
    </row>
    <row r="99" spans="1:11" s="393" customFormat="1" x14ac:dyDescent="0.3">
      <c r="A99" s="1004">
        <v>333</v>
      </c>
      <c r="B99" s="1004">
        <v>333</v>
      </c>
      <c r="C99" s="1004">
        <v>333</v>
      </c>
      <c r="D99" s="1006" t="s">
        <v>1318</v>
      </c>
      <c r="E99" s="1011">
        <v>8398373</v>
      </c>
      <c r="F99" s="1011">
        <v>3133505</v>
      </c>
      <c r="G99" s="1011">
        <v>7937333</v>
      </c>
      <c r="H99" s="1011">
        <v>1425907</v>
      </c>
      <c r="I99" s="1011">
        <v>1772843</v>
      </c>
      <c r="J99" s="1011">
        <v>650935</v>
      </c>
      <c r="K99" s="1011">
        <v>4704764</v>
      </c>
    </row>
    <row r="100" spans="1:11" s="393" customFormat="1" ht="28.8" x14ac:dyDescent="0.3">
      <c r="A100" s="1004">
        <v>334</v>
      </c>
      <c r="B100" s="1004">
        <v>335</v>
      </c>
      <c r="C100" s="1004">
        <v>334</v>
      </c>
      <c r="D100" s="1006" t="s">
        <v>1319</v>
      </c>
      <c r="E100" s="1011">
        <v>0</v>
      </c>
      <c r="F100" s="1011">
        <v>0</v>
      </c>
      <c r="G100" s="1011">
        <v>0</v>
      </c>
      <c r="H100" s="1011">
        <v>0</v>
      </c>
      <c r="I100" s="1011">
        <v>0</v>
      </c>
      <c r="J100" s="1011">
        <v>0</v>
      </c>
      <c r="K100" s="1011">
        <v>0</v>
      </c>
    </row>
    <row r="101" spans="1:11" s="393" customFormat="1" ht="28.8" x14ac:dyDescent="0.3">
      <c r="A101" s="1004">
        <v>335</v>
      </c>
      <c r="B101" s="1004">
        <v>338</v>
      </c>
      <c r="C101" s="1004">
        <v>335</v>
      </c>
      <c r="D101" s="1006" t="s">
        <v>1320</v>
      </c>
      <c r="E101" s="1011">
        <v>0</v>
      </c>
      <c r="F101" s="1011">
        <v>0</v>
      </c>
      <c r="G101" s="1011">
        <v>0</v>
      </c>
      <c r="H101" s="1011">
        <v>0</v>
      </c>
      <c r="I101" s="1011">
        <v>208462</v>
      </c>
      <c r="J101" s="1011">
        <v>58229</v>
      </c>
      <c r="K101" s="1011">
        <v>323276</v>
      </c>
    </row>
    <row r="102" spans="1:11" s="393" customFormat="1" ht="86.4" x14ac:dyDescent="0.3">
      <c r="A102" s="1004">
        <v>336</v>
      </c>
      <c r="B102" s="1006" t="s">
        <v>1363</v>
      </c>
      <c r="C102" s="1004">
        <v>336</v>
      </c>
      <c r="D102" s="1006" t="s">
        <v>1321</v>
      </c>
      <c r="E102" s="1011">
        <v>0</v>
      </c>
      <c r="F102" s="1011">
        <v>0</v>
      </c>
      <c r="G102" s="1011">
        <v>749167</v>
      </c>
      <c r="H102" s="1011">
        <v>314753</v>
      </c>
      <c r="I102" s="1011">
        <v>526147</v>
      </c>
      <c r="J102" s="1011">
        <v>0</v>
      </c>
      <c r="K102" s="1011">
        <v>875816</v>
      </c>
    </row>
    <row r="103" spans="1:11" s="393" customFormat="1" ht="28.8" x14ac:dyDescent="0.3">
      <c r="A103" s="1004">
        <v>337</v>
      </c>
      <c r="B103" s="1004"/>
      <c r="C103" s="1004">
        <v>337</v>
      </c>
      <c r="D103" s="1006" t="s">
        <v>1322</v>
      </c>
      <c r="E103" s="1011">
        <v>0</v>
      </c>
      <c r="F103" s="1011">
        <v>0</v>
      </c>
      <c r="G103" s="1011">
        <v>0</v>
      </c>
      <c r="H103" s="1011">
        <v>0</v>
      </c>
      <c r="I103" s="1011">
        <v>0</v>
      </c>
      <c r="J103" s="1011">
        <v>0</v>
      </c>
      <c r="K103" s="1011">
        <v>0</v>
      </c>
    </row>
    <row r="104" spans="1:11" s="393" customFormat="1" x14ac:dyDescent="0.3">
      <c r="A104" s="1004">
        <v>338</v>
      </c>
      <c r="B104" s="1004"/>
      <c r="C104" s="1004">
        <v>338</v>
      </c>
      <c r="D104" s="1006" t="s">
        <v>1323</v>
      </c>
      <c r="E104" s="1011">
        <v>27477434</v>
      </c>
      <c r="F104" s="1011">
        <v>3824800</v>
      </c>
      <c r="G104" s="1011">
        <v>9500457</v>
      </c>
      <c r="H104" s="1011">
        <v>9358816</v>
      </c>
      <c r="I104" s="1011">
        <v>4370209</v>
      </c>
      <c r="J104" s="1011">
        <v>10166462</v>
      </c>
      <c r="K104" s="1011">
        <v>1783254</v>
      </c>
    </row>
    <row r="105" spans="1:11" s="393" customFormat="1" x14ac:dyDescent="0.3">
      <c r="A105" s="1004">
        <v>339</v>
      </c>
      <c r="B105" s="1004">
        <v>339</v>
      </c>
      <c r="C105" s="1004">
        <v>339</v>
      </c>
      <c r="D105" s="1006" t="s">
        <v>1324</v>
      </c>
      <c r="E105" s="1011">
        <v>8849639</v>
      </c>
      <c r="F105" s="1011">
        <v>4275119</v>
      </c>
      <c r="G105" s="1011">
        <v>8458809</v>
      </c>
      <c r="H105" s="1011">
        <v>1839489</v>
      </c>
      <c r="I105" s="1011">
        <v>3376731</v>
      </c>
      <c r="J105" s="1011">
        <v>1693938</v>
      </c>
      <c r="K105" s="1011">
        <v>742204</v>
      </c>
    </row>
    <row r="106" spans="1:11" s="393" customFormat="1" x14ac:dyDescent="0.3">
      <c r="A106" s="1004">
        <v>340</v>
      </c>
      <c r="B106" s="1004"/>
      <c r="C106" s="1004">
        <v>340</v>
      </c>
      <c r="D106" s="1006" t="s">
        <v>1325</v>
      </c>
      <c r="E106" s="1011">
        <v>0</v>
      </c>
      <c r="F106" s="1011">
        <v>0</v>
      </c>
      <c r="G106" s="1011">
        <v>0</v>
      </c>
      <c r="H106" s="1011">
        <v>0</v>
      </c>
      <c r="I106" s="1011">
        <v>0</v>
      </c>
      <c r="J106" s="1011">
        <v>0</v>
      </c>
      <c r="K106" s="1011">
        <v>0</v>
      </c>
    </row>
    <row r="107" spans="1:11" s="393" customFormat="1" ht="28.8" x14ac:dyDescent="0.3">
      <c r="A107" s="1004">
        <v>341</v>
      </c>
      <c r="B107" s="1004">
        <v>341</v>
      </c>
      <c r="C107" s="1004">
        <v>341</v>
      </c>
      <c r="D107" s="1006" t="s">
        <v>1326</v>
      </c>
      <c r="E107" s="1011">
        <v>1123624</v>
      </c>
      <c r="F107" s="1011">
        <v>30296</v>
      </c>
      <c r="G107" s="1011">
        <v>1094311</v>
      </c>
      <c r="H107" s="1011">
        <v>1491495</v>
      </c>
      <c r="I107" s="1011">
        <v>1041989</v>
      </c>
      <c r="J107" s="1011">
        <v>15137</v>
      </c>
      <c r="K107" s="1011">
        <v>18645</v>
      </c>
    </row>
    <row r="108" spans="1:11" s="393" customFormat="1" x14ac:dyDescent="0.3">
      <c r="A108" s="1004">
        <v>342</v>
      </c>
      <c r="B108" s="1004"/>
      <c r="C108" s="1004">
        <v>342</v>
      </c>
      <c r="D108" s="1006" t="s">
        <v>362</v>
      </c>
      <c r="E108" s="1011">
        <v>0</v>
      </c>
      <c r="F108" s="1011">
        <v>0</v>
      </c>
      <c r="G108" s="1011">
        <v>0</v>
      </c>
      <c r="H108" s="1011">
        <v>0</v>
      </c>
      <c r="I108" s="1011">
        <v>0</v>
      </c>
      <c r="J108" s="1011">
        <v>0</v>
      </c>
      <c r="K108" s="1011">
        <v>0</v>
      </c>
    </row>
    <row r="109" spans="1:11" s="393" customFormat="1" x14ac:dyDescent="0.3">
      <c r="A109" s="1004">
        <v>343</v>
      </c>
      <c r="B109" s="1004"/>
      <c r="C109" s="1004">
        <v>343</v>
      </c>
      <c r="D109" s="1006" t="s">
        <v>1327</v>
      </c>
      <c r="E109" s="1011">
        <v>0</v>
      </c>
      <c r="F109" s="1011">
        <v>0</v>
      </c>
      <c r="G109" s="1011">
        <v>0</v>
      </c>
      <c r="H109" s="1011">
        <v>0</v>
      </c>
      <c r="I109" s="1011">
        <v>0</v>
      </c>
      <c r="J109" s="1011">
        <v>0</v>
      </c>
      <c r="K109" s="1011">
        <v>0</v>
      </c>
    </row>
    <row r="110" spans="1:11" s="393" customFormat="1" x14ac:dyDescent="0.3">
      <c r="A110" s="1004">
        <v>344</v>
      </c>
      <c r="B110" s="1004"/>
      <c r="C110" s="1004">
        <v>344</v>
      </c>
      <c r="D110" s="1006" t="s">
        <v>1328</v>
      </c>
      <c r="E110" s="1011">
        <v>0</v>
      </c>
      <c r="F110" s="1011">
        <v>0</v>
      </c>
      <c r="G110" s="1011">
        <v>0</v>
      </c>
      <c r="H110" s="1011">
        <v>0</v>
      </c>
      <c r="I110" s="1011">
        <v>0</v>
      </c>
      <c r="J110" s="1011">
        <v>0</v>
      </c>
      <c r="K110" s="1011">
        <v>0</v>
      </c>
    </row>
    <row r="111" spans="1:11" s="393" customFormat="1" x14ac:dyDescent="0.3">
      <c r="A111" s="1012">
        <v>346</v>
      </c>
      <c r="B111" s="1004"/>
      <c r="C111" s="1004"/>
      <c r="D111" s="1006"/>
      <c r="E111" s="1011"/>
      <c r="F111" s="1011"/>
      <c r="G111" s="1011"/>
      <c r="H111" s="1011"/>
      <c r="I111" s="1011"/>
      <c r="J111" s="1011"/>
      <c r="K111" s="1011"/>
    </row>
    <row r="112" spans="1:11" s="393" customFormat="1" x14ac:dyDescent="0.3">
      <c r="A112" s="1012">
        <v>347</v>
      </c>
      <c r="B112" s="1004"/>
      <c r="C112" s="1004"/>
      <c r="D112" s="1006"/>
      <c r="E112" s="1011"/>
      <c r="F112" s="1011"/>
      <c r="G112" s="1011"/>
      <c r="H112" s="1011"/>
      <c r="I112" s="1011"/>
      <c r="J112" s="1011"/>
      <c r="K112" s="1011"/>
    </row>
    <row r="113" spans="1:11" s="393" customFormat="1" x14ac:dyDescent="0.3">
      <c r="A113" s="1012">
        <v>349</v>
      </c>
      <c r="B113" s="1004"/>
      <c r="C113" s="1004"/>
      <c r="D113" s="1006"/>
      <c r="E113" s="1011"/>
      <c r="F113" s="1011"/>
      <c r="G113" s="1011"/>
      <c r="H113" s="1011"/>
      <c r="I113" s="1011"/>
      <c r="J113" s="1011"/>
      <c r="K113" s="1011"/>
    </row>
    <row r="114" spans="1:11" s="393" customFormat="1" x14ac:dyDescent="0.3">
      <c r="A114" s="1012">
        <v>350</v>
      </c>
      <c r="B114" s="1004"/>
      <c r="C114" s="1004"/>
      <c r="D114" s="1006"/>
      <c r="E114" s="1011"/>
      <c r="F114" s="1011"/>
      <c r="G114" s="1011"/>
      <c r="H114" s="1011"/>
      <c r="I114" s="1011"/>
      <c r="J114" s="1011"/>
      <c r="K114" s="1011"/>
    </row>
    <row r="115" spans="1:11" s="393" customFormat="1" x14ac:dyDescent="0.3">
      <c r="A115" s="1004">
        <v>351</v>
      </c>
      <c r="B115" s="1004"/>
      <c r="C115" s="1004"/>
      <c r="D115" s="1004"/>
      <c r="E115" s="1011"/>
      <c r="F115" s="1011"/>
      <c r="G115" s="1011"/>
      <c r="H115" s="1011"/>
      <c r="I115" s="1011"/>
      <c r="J115" s="1011"/>
      <c r="K115" s="1011"/>
    </row>
    <row r="116" spans="1:11" s="393" customFormat="1" x14ac:dyDescent="0.3">
      <c r="A116" s="1004">
        <v>352</v>
      </c>
      <c r="B116" s="1004"/>
      <c r="C116" s="1004"/>
      <c r="D116" s="1004"/>
      <c r="E116" s="1011"/>
      <c r="F116" s="1011"/>
      <c r="G116" s="1011"/>
      <c r="H116" s="1011"/>
      <c r="I116" s="1011"/>
      <c r="J116" s="1011"/>
      <c r="K116" s="1011"/>
    </row>
    <row r="117" spans="1:11" s="393" customFormat="1" x14ac:dyDescent="0.3">
      <c r="A117" s="1004">
        <v>353</v>
      </c>
      <c r="B117" s="1004"/>
      <c r="C117" s="1004"/>
      <c r="D117" s="1004"/>
      <c r="E117" s="1011"/>
      <c r="F117" s="1011"/>
      <c r="G117" s="1011"/>
      <c r="H117" s="1011"/>
      <c r="I117" s="1011"/>
      <c r="J117" s="1011"/>
      <c r="K117" s="1011"/>
    </row>
    <row r="118" spans="1:11" s="393" customFormat="1" x14ac:dyDescent="0.3">
      <c r="A118" s="1012">
        <v>356</v>
      </c>
      <c r="B118" s="1004"/>
      <c r="C118" s="1004"/>
      <c r="D118" s="1006"/>
      <c r="E118" s="1011"/>
      <c r="F118" s="1011"/>
      <c r="G118" s="1011"/>
      <c r="H118" s="1011"/>
      <c r="I118" s="1011"/>
      <c r="J118" s="1011"/>
      <c r="K118" s="1011"/>
    </row>
    <row r="119" spans="1:11" s="393" customFormat="1" x14ac:dyDescent="0.3">
      <c r="A119" s="1012">
        <v>357</v>
      </c>
      <c r="B119" s="1004"/>
      <c r="C119" s="1004"/>
      <c r="D119" s="1006"/>
      <c r="E119" s="1011"/>
      <c r="F119" s="1011"/>
      <c r="G119" s="1011"/>
      <c r="H119" s="1011"/>
      <c r="I119" s="1011"/>
      <c r="J119" s="1011"/>
      <c r="K119" s="1011"/>
    </row>
    <row r="120" spans="1:11" s="393" customFormat="1" x14ac:dyDescent="0.3">
      <c r="A120" s="1004">
        <v>359</v>
      </c>
      <c r="B120" s="1004"/>
      <c r="C120" s="1004"/>
      <c r="D120" s="1004"/>
      <c r="E120" s="1011"/>
      <c r="F120" s="1011"/>
      <c r="G120" s="1011"/>
      <c r="H120" s="1011"/>
      <c r="I120" s="1011"/>
      <c r="J120" s="1011"/>
      <c r="K120" s="1011"/>
    </row>
    <row r="121" spans="1:11" s="393" customFormat="1" x14ac:dyDescent="0.3">
      <c r="A121" s="1004">
        <v>360</v>
      </c>
      <c r="B121" s="1004"/>
      <c r="C121" s="1004"/>
      <c r="D121" s="1004"/>
      <c r="E121" s="1011"/>
      <c r="F121" s="1011"/>
      <c r="G121" s="1011"/>
      <c r="H121" s="1011"/>
      <c r="I121" s="1011"/>
      <c r="J121" s="1011"/>
      <c r="K121" s="1011"/>
    </row>
    <row r="122" spans="1:11" s="393" customFormat="1" x14ac:dyDescent="0.3">
      <c r="A122" s="1004">
        <v>361</v>
      </c>
      <c r="B122" s="1004"/>
      <c r="C122" s="1004"/>
      <c r="D122" s="1004"/>
      <c r="E122" s="1011"/>
      <c r="F122" s="1011"/>
      <c r="G122" s="1011"/>
      <c r="H122" s="1011"/>
      <c r="I122" s="1011"/>
      <c r="J122" s="1011"/>
      <c r="K122" s="1011"/>
    </row>
    <row r="123" spans="1:11" s="393" customFormat="1" x14ac:dyDescent="0.3">
      <c r="A123" s="1004">
        <v>362</v>
      </c>
      <c r="B123" s="1004"/>
      <c r="C123" s="1004"/>
      <c r="D123" s="1004"/>
      <c r="E123" s="1011"/>
      <c r="F123" s="1011"/>
      <c r="G123" s="1011"/>
      <c r="H123" s="1011"/>
      <c r="I123" s="1011"/>
      <c r="J123" s="1011"/>
      <c r="K123" s="1011"/>
    </row>
    <row r="124" spans="1:11" s="393" customFormat="1" x14ac:dyDescent="0.3">
      <c r="A124" s="1004">
        <v>363</v>
      </c>
      <c r="B124" s="1004"/>
      <c r="C124" s="1004"/>
      <c r="D124" s="1004"/>
      <c r="E124" s="1011"/>
      <c r="F124" s="1011"/>
      <c r="G124" s="1011"/>
      <c r="H124" s="1011"/>
      <c r="I124" s="1011"/>
      <c r="J124" s="1011"/>
      <c r="K124" s="1011"/>
    </row>
    <row r="125" spans="1:11" s="393" customFormat="1" x14ac:dyDescent="0.3">
      <c r="A125" s="1004">
        <v>364</v>
      </c>
      <c r="B125" s="1004"/>
      <c r="C125" s="1004"/>
      <c r="D125" s="1004"/>
      <c r="E125" s="1011"/>
      <c r="F125" s="1011"/>
      <c r="G125" s="1011"/>
      <c r="H125" s="1011"/>
      <c r="I125" s="1011"/>
      <c r="J125" s="1011"/>
      <c r="K125" s="1011"/>
    </row>
    <row r="126" spans="1:11" s="393" customFormat="1" x14ac:dyDescent="0.3">
      <c r="A126" s="1004">
        <v>365</v>
      </c>
      <c r="B126" s="1004"/>
      <c r="C126" s="1004"/>
      <c r="D126" s="1004"/>
      <c r="E126" s="1011"/>
      <c r="F126" s="1011"/>
      <c r="G126" s="1011"/>
      <c r="H126" s="1011"/>
      <c r="I126" s="1011"/>
      <c r="J126" s="1011"/>
      <c r="K126" s="1011"/>
    </row>
    <row r="127" spans="1:11" s="393" customFormat="1" x14ac:dyDescent="0.3">
      <c r="A127" s="1004">
        <v>366</v>
      </c>
      <c r="B127" s="1004"/>
      <c r="C127" s="1004"/>
      <c r="D127" s="1004"/>
      <c r="E127" s="1011"/>
      <c r="F127" s="1011"/>
      <c r="G127" s="1011"/>
      <c r="H127" s="1011"/>
      <c r="I127" s="1011"/>
      <c r="J127" s="1011"/>
      <c r="K127" s="1011"/>
    </row>
    <row r="128" spans="1:11" s="393" customFormat="1" x14ac:dyDescent="0.3">
      <c r="A128" s="1004">
        <v>367</v>
      </c>
      <c r="B128" s="1004"/>
      <c r="C128" s="1004">
        <v>367</v>
      </c>
      <c r="D128" s="1006" t="s">
        <v>363</v>
      </c>
      <c r="E128" s="1011">
        <v>0</v>
      </c>
      <c r="F128" s="1011">
        <v>0</v>
      </c>
      <c r="G128" s="1011">
        <v>0</v>
      </c>
      <c r="H128" s="1011">
        <v>0</v>
      </c>
      <c r="I128" s="1011">
        <v>0</v>
      </c>
      <c r="J128" s="1011">
        <v>0</v>
      </c>
      <c r="K128" s="1011">
        <v>0</v>
      </c>
    </row>
    <row r="129" spans="1:11" s="393" customFormat="1" ht="28.8" x14ac:dyDescent="0.3">
      <c r="A129" s="1004">
        <v>368</v>
      </c>
      <c r="B129" s="1004"/>
      <c r="C129" s="1004">
        <v>368</v>
      </c>
      <c r="D129" s="1006" t="s">
        <v>1329</v>
      </c>
      <c r="E129" s="1011">
        <v>0</v>
      </c>
      <c r="F129" s="1011">
        <v>0</v>
      </c>
      <c r="G129" s="1011">
        <v>0</v>
      </c>
      <c r="H129" s="1011">
        <v>0</v>
      </c>
      <c r="I129" s="1011">
        <v>0</v>
      </c>
      <c r="J129" s="1011">
        <v>0</v>
      </c>
      <c r="K129" s="1011">
        <v>0</v>
      </c>
    </row>
    <row r="130" spans="1:11" s="393" customFormat="1" x14ac:dyDescent="0.3">
      <c r="A130" s="1004">
        <v>369</v>
      </c>
      <c r="B130" s="1004"/>
      <c r="C130" s="1004">
        <v>369</v>
      </c>
      <c r="D130" s="1006" t="s">
        <v>1330</v>
      </c>
      <c r="E130" s="1011">
        <v>0</v>
      </c>
      <c r="F130" s="1011">
        <v>0</v>
      </c>
      <c r="G130" s="1011">
        <v>0</v>
      </c>
      <c r="H130" s="1011">
        <v>0</v>
      </c>
      <c r="I130" s="1011">
        <v>0</v>
      </c>
      <c r="J130" s="1011">
        <v>0</v>
      </c>
      <c r="K130" s="1011">
        <v>0</v>
      </c>
    </row>
    <row r="131" spans="1:11" s="393" customFormat="1" ht="28.8" x14ac:dyDescent="0.3">
      <c r="A131" s="1004">
        <v>370</v>
      </c>
      <c r="B131" s="1004"/>
      <c r="C131" s="1004">
        <v>370</v>
      </c>
      <c r="D131" s="1006" t="s">
        <v>1331</v>
      </c>
      <c r="E131" s="1011">
        <v>0</v>
      </c>
      <c r="F131" s="1011">
        <v>0</v>
      </c>
      <c r="G131" s="1011">
        <v>0</v>
      </c>
      <c r="H131" s="1011">
        <v>0</v>
      </c>
      <c r="I131" s="1011">
        <v>0</v>
      </c>
      <c r="J131" s="1011">
        <v>0</v>
      </c>
      <c r="K131" s="1011">
        <v>0</v>
      </c>
    </row>
    <row r="132" spans="1:11" s="393" customFormat="1" x14ac:dyDescent="0.3">
      <c r="A132" s="1004">
        <v>371</v>
      </c>
      <c r="B132" s="1004"/>
      <c r="C132" s="1004">
        <v>371</v>
      </c>
      <c r="D132" s="1006" t="s">
        <v>1332</v>
      </c>
      <c r="E132" s="1011">
        <v>0</v>
      </c>
      <c r="F132" s="1011">
        <v>0</v>
      </c>
      <c r="G132" s="1011">
        <v>0</v>
      </c>
      <c r="H132" s="1011">
        <v>0</v>
      </c>
      <c r="I132" s="1011">
        <v>0</v>
      </c>
      <c r="J132" s="1011">
        <v>0</v>
      </c>
      <c r="K132" s="1011">
        <v>0</v>
      </c>
    </row>
    <row r="133" spans="1:11" s="393" customFormat="1" x14ac:dyDescent="0.3">
      <c r="A133" s="1004">
        <v>373</v>
      </c>
      <c r="B133" s="1004"/>
      <c r="C133" s="1004">
        <v>373</v>
      </c>
      <c r="D133" s="1006" t="s">
        <v>1334</v>
      </c>
      <c r="E133" s="1011">
        <v>0</v>
      </c>
      <c r="F133" s="1011">
        <v>0</v>
      </c>
      <c r="G133" s="1011">
        <v>0</v>
      </c>
      <c r="H133" s="1011">
        <v>0</v>
      </c>
      <c r="I133" s="1011">
        <v>0</v>
      </c>
      <c r="J133" s="1011">
        <v>0</v>
      </c>
      <c r="K133" s="1011">
        <v>0</v>
      </c>
    </row>
    <row r="134" spans="1:11" s="393" customFormat="1" x14ac:dyDescent="0.3">
      <c r="A134" s="1004">
        <v>375</v>
      </c>
      <c r="B134" s="1004"/>
      <c r="C134" s="1004"/>
      <c r="D134" s="1004"/>
      <c r="E134" s="1011"/>
      <c r="F134" s="1011"/>
      <c r="G134" s="1011"/>
      <c r="H134" s="1011"/>
      <c r="I134" s="1011"/>
      <c r="J134" s="1011"/>
      <c r="K134" s="1011"/>
    </row>
    <row r="135" spans="1:11" s="393" customFormat="1" x14ac:dyDescent="0.3">
      <c r="A135" s="1004">
        <v>376</v>
      </c>
      <c r="B135" s="1004">
        <v>376</v>
      </c>
      <c r="C135" s="1004">
        <v>376</v>
      </c>
      <c r="D135" s="1006" t="s">
        <v>1335</v>
      </c>
      <c r="E135" s="1011">
        <v>0</v>
      </c>
      <c r="F135" s="1011">
        <v>0</v>
      </c>
      <c r="G135" s="1011">
        <v>0</v>
      </c>
      <c r="H135" s="1011">
        <v>-1187</v>
      </c>
      <c r="I135" s="1011">
        <v>0</v>
      </c>
      <c r="J135" s="1011">
        <v>-11424</v>
      </c>
      <c r="K135" s="1011">
        <v>0</v>
      </c>
    </row>
    <row r="136" spans="1:11" s="393" customFormat="1" x14ac:dyDescent="0.3">
      <c r="A136" s="1004">
        <v>377</v>
      </c>
      <c r="B136" s="1004"/>
      <c r="C136" s="1004"/>
      <c r="D136" s="1004"/>
      <c r="E136" s="1011"/>
      <c r="F136" s="1011"/>
      <c r="G136" s="1011"/>
      <c r="H136" s="1011"/>
      <c r="I136" s="1011"/>
      <c r="J136" s="1011"/>
      <c r="K136" s="1011"/>
    </row>
    <row r="137" spans="1:11" s="393" customFormat="1" x14ac:dyDescent="0.3">
      <c r="A137" s="1004">
        <v>378</v>
      </c>
      <c r="B137" s="1004"/>
      <c r="C137" s="1004"/>
      <c r="D137" s="1004"/>
      <c r="E137" s="1011"/>
      <c r="F137" s="1011"/>
      <c r="G137" s="1011"/>
      <c r="H137" s="1011"/>
      <c r="I137" s="1011"/>
      <c r="J137" s="1011"/>
      <c r="K137" s="1011"/>
    </row>
    <row r="138" spans="1:11" s="393" customFormat="1" x14ac:dyDescent="0.3">
      <c r="A138" s="1004">
        <v>379</v>
      </c>
      <c r="B138" s="1004">
        <v>379</v>
      </c>
      <c r="C138" s="1004">
        <v>379</v>
      </c>
      <c r="D138" s="1006" t="s">
        <v>1336</v>
      </c>
      <c r="E138" s="1011">
        <v>9405124</v>
      </c>
      <c r="F138" s="1011">
        <v>4569371</v>
      </c>
      <c r="G138" s="1011">
        <v>10427054</v>
      </c>
      <c r="H138" s="1011">
        <v>3622626</v>
      </c>
      <c r="I138" s="1011">
        <v>2100906</v>
      </c>
      <c r="J138" s="1011">
        <v>1238883</v>
      </c>
      <c r="K138" s="1011">
        <v>4930592</v>
      </c>
    </row>
    <row r="139" spans="1:11" s="393" customFormat="1" x14ac:dyDescent="0.3">
      <c r="A139" s="1004">
        <v>380</v>
      </c>
      <c r="B139" s="1004">
        <v>380</v>
      </c>
      <c r="C139" s="1004">
        <v>380</v>
      </c>
      <c r="D139" s="1006" t="s">
        <v>1337</v>
      </c>
      <c r="E139" s="1011">
        <v>1219497</v>
      </c>
      <c r="F139" s="1011">
        <v>413400</v>
      </c>
      <c r="G139" s="1011">
        <v>371644</v>
      </c>
      <c r="H139" s="1011">
        <v>133668</v>
      </c>
      <c r="I139" s="1011">
        <v>0</v>
      </c>
      <c r="J139" s="1011">
        <v>0</v>
      </c>
      <c r="K139" s="1011">
        <v>0</v>
      </c>
    </row>
    <row r="140" spans="1:11" s="393" customFormat="1" x14ac:dyDescent="0.3">
      <c r="A140" s="1004">
        <v>381</v>
      </c>
      <c r="B140" s="1004"/>
      <c r="C140" s="1004"/>
      <c r="D140" s="1004"/>
      <c r="E140" s="1011"/>
      <c r="F140" s="1011"/>
      <c r="G140" s="1011"/>
      <c r="H140" s="1011"/>
      <c r="I140" s="1011"/>
      <c r="J140" s="1011"/>
      <c r="K140" s="1011"/>
    </row>
    <row r="141" spans="1:11" s="393" customFormat="1" x14ac:dyDescent="0.3">
      <c r="A141" s="1004">
        <v>382</v>
      </c>
      <c r="B141" s="1004"/>
      <c r="C141" s="1004"/>
      <c r="D141" s="1004"/>
      <c r="E141" s="1011"/>
      <c r="F141" s="1011"/>
      <c r="G141" s="1011"/>
      <c r="H141" s="1011"/>
      <c r="I141" s="1011"/>
      <c r="J141" s="1011"/>
      <c r="K141" s="1011"/>
    </row>
    <row r="142" spans="1:11" s="393" customFormat="1" x14ac:dyDescent="0.3">
      <c r="A142" s="1004">
        <v>383</v>
      </c>
      <c r="B142" s="1004"/>
      <c r="C142" s="1004"/>
      <c r="D142" s="1004"/>
      <c r="E142" s="1011"/>
      <c r="F142" s="1011"/>
      <c r="G142" s="1011"/>
      <c r="H142" s="1011"/>
      <c r="I142" s="1011"/>
      <c r="J142" s="1011"/>
      <c r="K142" s="1011"/>
    </row>
    <row r="143" spans="1:11" s="393" customFormat="1" x14ac:dyDescent="0.3">
      <c r="A143" s="1004">
        <v>384</v>
      </c>
      <c r="B143" s="1004"/>
      <c r="C143" s="1004"/>
      <c r="D143" s="1004"/>
      <c r="E143" s="1011"/>
      <c r="F143" s="1011"/>
      <c r="G143" s="1011"/>
      <c r="H143" s="1011"/>
      <c r="I143" s="1011"/>
      <c r="J143" s="1011"/>
      <c r="K143" s="1011"/>
    </row>
    <row r="144" spans="1:11" s="393" customFormat="1" x14ac:dyDescent="0.3">
      <c r="A144" s="1004">
        <v>385</v>
      </c>
      <c r="B144" s="1004">
        <v>385</v>
      </c>
      <c r="C144" s="1004">
        <v>385</v>
      </c>
      <c r="D144" s="1006" t="s">
        <v>1338</v>
      </c>
      <c r="E144" s="1011">
        <v>20419847</v>
      </c>
      <c r="F144" s="1011">
        <v>6707372</v>
      </c>
      <c r="G144" s="1011">
        <v>15158332</v>
      </c>
      <c r="H144" s="1011">
        <v>5275511</v>
      </c>
      <c r="I144" s="1011">
        <v>4109504</v>
      </c>
      <c r="J144" s="1011">
        <v>3891788</v>
      </c>
      <c r="K144" s="1011">
        <v>5418699</v>
      </c>
    </row>
    <row r="145" spans="1:11" s="393" customFormat="1" x14ac:dyDescent="0.3">
      <c r="A145" s="1004">
        <v>386</v>
      </c>
      <c r="B145" s="1004">
        <v>386</v>
      </c>
      <c r="C145" s="1004">
        <v>386</v>
      </c>
      <c r="D145" s="1006" t="s">
        <v>1339</v>
      </c>
      <c r="E145" s="1011">
        <v>0</v>
      </c>
      <c r="F145" s="1011">
        <v>0</v>
      </c>
      <c r="G145" s="1011">
        <v>0</v>
      </c>
      <c r="H145" s="1011">
        <v>0</v>
      </c>
      <c r="I145" s="1011">
        <v>0</v>
      </c>
      <c r="J145" s="1011">
        <v>0</v>
      </c>
      <c r="K145" s="1011">
        <v>0</v>
      </c>
    </row>
    <row r="146" spans="1:11" s="393" customFormat="1" x14ac:dyDescent="0.3">
      <c r="A146" s="1004">
        <v>387</v>
      </c>
      <c r="B146" s="1004">
        <v>387</v>
      </c>
      <c r="C146" s="1004">
        <v>387</v>
      </c>
      <c r="D146" s="1006" t="s">
        <v>1340</v>
      </c>
      <c r="E146" s="1011">
        <v>0</v>
      </c>
      <c r="F146" s="1011">
        <v>0</v>
      </c>
      <c r="G146" s="1011">
        <v>0</v>
      </c>
      <c r="H146" s="1011">
        <v>0</v>
      </c>
      <c r="I146" s="1011">
        <v>0</v>
      </c>
      <c r="J146" s="1011">
        <v>0</v>
      </c>
      <c r="K146" s="1011">
        <v>0</v>
      </c>
    </row>
    <row r="147" spans="1:11" s="393" customFormat="1" x14ac:dyDescent="0.3">
      <c r="A147" s="1004">
        <v>388</v>
      </c>
      <c r="B147" s="1004">
        <v>388</v>
      </c>
      <c r="C147" s="1004">
        <v>388</v>
      </c>
      <c r="D147" s="1006" t="s">
        <v>1341</v>
      </c>
      <c r="E147" s="1011">
        <v>20722050</v>
      </c>
      <c r="F147" s="1011">
        <v>9167497</v>
      </c>
      <c r="G147" s="1011">
        <v>23702637</v>
      </c>
      <c r="H147" s="1011">
        <v>9916470</v>
      </c>
      <c r="I147" s="1011">
        <v>7223100</v>
      </c>
      <c r="J147" s="1011">
        <v>7141034</v>
      </c>
      <c r="K147" s="1011">
        <v>4207726</v>
      </c>
    </row>
    <row r="148" spans="1:11" s="393" customFormat="1" x14ac:dyDescent="0.3">
      <c r="A148" s="1004">
        <v>389</v>
      </c>
      <c r="B148" s="1004">
        <v>389</v>
      </c>
      <c r="C148" s="1004">
        <v>389</v>
      </c>
      <c r="D148" s="1006" t="s">
        <v>1342</v>
      </c>
      <c r="E148" s="1011">
        <v>141432</v>
      </c>
      <c r="F148" s="1011">
        <v>0</v>
      </c>
      <c r="G148" s="1011">
        <v>0</v>
      </c>
      <c r="H148" s="1011">
        <v>0</v>
      </c>
      <c r="I148" s="1011">
        <v>0</v>
      </c>
      <c r="J148" s="1011">
        <v>0</v>
      </c>
      <c r="K148" s="1011">
        <v>0</v>
      </c>
    </row>
    <row r="149" spans="1:11" s="393" customFormat="1" x14ac:dyDescent="0.3">
      <c r="A149" s="1004">
        <v>391</v>
      </c>
      <c r="B149" s="1004">
        <v>391</v>
      </c>
      <c r="C149" s="1004">
        <v>391</v>
      </c>
      <c r="D149" s="1006" t="s">
        <v>1344</v>
      </c>
      <c r="E149" s="1011">
        <v>1178362</v>
      </c>
      <c r="F149" s="1011">
        <v>986612</v>
      </c>
      <c r="G149" s="1011">
        <v>1175395</v>
      </c>
      <c r="H149" s="1011">
        <v>903921</v>
      </c>
      <c r="I149" s="1011">
        <v>300294</v>
      </c>
      <c r="J149" s="1011">
        <v>579699</v>
      </c>
      <c r="K149" s="1011">
        <v>225828</v>
      </c>
    </row>
    <row r="150" spans="1:11" s="393" customFormat="1" x14ac:dyDescent="0.3">
      <c r="A150" s="1004">
        <v>500</v>
      </c>
      <c r="B150" s="1004">
        <v>500</v>
      </c>
      <c r="C150" s="1004">
        <v>500</v>
      </c>
      <c r="D150" s="1006" t="s">
        <v>183</v>
      </c>
      <c r="E150" s="1011">
        <v>0</v>
      </c>
      <c r="F150" s="1011">
        <v>0</v>
      </c>
      <c r="G150" s="1011">
        <v>942682</v>
      </c>
      <c r="H150" s="1011">
        <v>1159130</v>
      </c>
      <c r="I150" s="1011">
        <v>0</v>
      </c>
      <c r="J150" s="1011">
        <v>0</v>
      </c>
      <c r="K150" s="1011">
        <v>0</v>
      </c>
    </row>
    <row r="151" spans="1:11" s="393" customFormat="1" x14ac:dyDescent="0.3">
      <c r="A151" s="1004">
        <v>501</v>
      </c>
      <c r="B151" s="1004"/>
      <c r="C151" s="1004">
        <v>501</v>
      </c>
      <c r="D151" s="1006" t="s">
        <v>185</v>
      </c>
      <c r="E151" s="1011">
        <v>0</v>
      </c>
      <c r="F151" s="1011">
        <v>0</v>
      </c>
      <c r="G151" s="1011">
        <v>0</v>
      </c>
      <c r="H151" s="1011">
        <v>0</v>
      </c>
      <c r="I151" s="1011">
        <v>0</v>
      </c>
      <c r="J151" s="1011">
        <v>0</v>
      </c>
      <c r="K151" s="1011">
        <v>0</v>
      </c>
    </row>
    <row r="152" spans="1:11" s="393" customFormat="1" x14ac:dyDescent="0.3">
      <c r="A152" s="1004">
        <v>502</v>
      </c>
      <c r="B152" s="1004">
        <v>502</v>
      </c>
      <c r="C152" s="1004">
        <v>502</v>
      </c>
      <c r="D152" s="1006" t="s">
        <v>186</v>
      </c>
      <c r="E152" s="1011">
        <v>0</v>
      </c>
      <c r="F152" s="1011">
        <v>0</v>
      </c>
      <c r="G152" s="1011">
        <v>0</v>
      </c>
      <c r="H152" s="1011">
        <v>0</v>
      </c>
      <c r="I152" s="1011">
        <v>0</v>
      </c>
      <c r="J152" s="1011">
        <v>0</v>
      </c>
      <c r="K152" s="1011">
        <v>0</v>
      </c>
    </row>
    <row r="153" spans="1:11" s="393" customFormat="1" x14ac:dyDescent="0.3">
      <c r="A153" s="1004">
        <v>503</v>
      </c>
      <c r="B153" s="1004">
        <v>503</v>
      </c>
      <c r="C153" s="1004">
        <v>503</v>
      </c>
      <c r="D153" s="1006" t="s">
        <v>187</v>
      </c>
      <c r="E153" s="1011">
        <v>0</v>
      </c>
      <c r="F153" s="1011">
        <v>0</v>
      </c>
      <c r="G153" s="1011">
        <v>0</v>
      </c>
      <c r="H153" s="1011">
        <v>0</v>
      </c>
      <c r="I153" s="1011">
        <v>0</v>
      </c>
      <c r="J153" s="1011">
        <v>0</v>
      </c>
      <c r="K153" s="1011">
        <v>0</v>
      </c>
    </row>
    <row r="154" spans="1:11" s="393" customFormat="1" x14ac:dyDescent="0.3">
      <c r="A154" s="1004">
        <v>504</v>
      </c>
      <c r="B154" s="1004">
        <v>504</v>
      </c>
      <c r="C154" s="1004">
        <v>504</v>
      </c>
      <c r="D154" s="1006" t="s">
        <v>191</v>
      </c>
      <c r="E154" s="1011">
        <v>8729296</v>
      </c>
      <c r="F154" s="1011">
        <v>5412095</v>
      </c>
      <c r="G154" s="1011">
        <v>12867721</v>
      </c>
      <c r="H154" s="1011">
        <v>4401390</v>
      </c>
      <c r="I154" s="1011">
        <v>1997991</v>
      </c>
      <c r="J154" s="1011">
        <v>4474711</v>
      </c>
      <c r="K154" s="1011">
        <v>3075295</v>
      </c>
    </row>
    <row r="155" spans="1:11" s="393" customFormat="1" x14ac:dyDescent="0.3">
      <c r="A155" s="1004">
        <v>505</v>
      </c>
      <c r="B155" s="1004">
        <v>505</v>
      </c>
      <c r="C155" s="1004">
        <v>505</v>
      </c>
      <c r="D155" s="1006" t="s">
        <v>192</v>
      </c>
      <c r="E155" s="1011">
        <v>298307</v>
      </c>
      <c r="F155" s="1011">
        <v>25000</v>
      </c>
      <c r="G155" s="1011">
        <v>0</v>
      </c>
      <c r="H155" s="1011">
        <v>0</v>
      </c>
      <c r="I155" s="1011">
        <v>73000</v>
      </c>
      <c r="J155" s="1011">
        <v>0</v>
      </c>
      <c r="K155" s="1011">
        <v>40512</v>
      </c>
    </row>
    <row r="156" spans="1:11" s="393" customFormat="1" x14ac:dyDescent="0.3">
      <c r="A156" s="1004">
        <v>506</v>
      </c>
      <c r="B156" s="1004">
        <v>506</v>
      </c>
      <c r="C156" s="1004">
        <v>506</v>
      </c>
      <c r="D156" s="1006" t="s">
        <v>198</v>
      </c>
      <c r="E156" s="1011">
        <v>7007265</v>
      </c>
      <c r="F156" s="1011">
        <v>3133505</v>
      </c>
      <c r="G156" s="1011">
        <v>7937333</v>
      </c>
      <c r="H156" s="1011">
        <v>1425907</v>
      </c>
      <c r="I156" s="1011">
        <v>1772843</v>
      </c>
      <c r="J156" s="1011">
        <v>650935</v>
      </c>
      <c r="K156" s="1011">
        <v>4704764</v>
      </c>
    </row>
    <row r="157" spans="1:11" s="393" customFormat="1" x14ac:dyDescent="0.3">
      <c r="A157" s="1004">
        <v>507</v>
      </c>
      <c r="B157" s="1004">
        <v>507</v>
      </c>
      <c r="C157" s="1004">
        <v>507</v>
      </c>
      <c r="D157" s="1006" t="s">
        <v>216</v>
      </c>
      <c r="E157" s="1011">
        <v>0</v>
      </c>
      <c r="F157" s="1011">
        <v>0</v>
      </c>
      <c r="G157" s="1011">
        <v>0</v>
      </c>
      <c r="H157" s="1011">
        <v>-1187</v>
      </c>
      <c r="I157" s="1011">
        <v>0</v>
      </c>
      <c r="J157" s="1011">
        <v>-11424</v>
      </c>
      <c r="K157" s="1011">
        <v>5</v>
      </c>
    </row>
    <row r="158" spans="1:11" s="393" customFormat="1" x14ac:dyDescent="0.3">
      <c r="A158" s="1004">
        <v>508</v>
      </c>
      <c r="B158" s="1004"/>
      <c r="C158" s="1004">
        <v>508</v>
      </c>
      <c r="D158" s="1006" t="s">
        <v>213</v>
      </c>
      <c r="E158" s="1011">
        <v>0</v>
      </c>
      <c r="F158" s="1011">
        <v>0</v>
      </c>
      <c r="G158" s="1011">
        <v>0</v>
      </c>
      <c r="H158" s="1011">
        <v>0</v>
      </c>
      <c r="I158" s="1011">
        <v>0</v>
      </c>
      <c r="J158" s="1011">
        <v>0</v>
      </c>
      <c r="K158" s="1011">
        <v>0</v>
      </c>
    </row>
    <row r="159" spans="1:11" s="393" customFormat="1" x14ac:dyDescent="0.3">
      <c r="A159" s="1004">
        <v>509</v>
      </c>
      <c r="B159" s="1004"/>
      <c r="C159" s="1004">
        <v>509</v>
      </c>
      <c r="D159" s="1006" t="s">
        <v>214</v>
      </c>
      <c r="E159" s="1011">
        <v>0</v>
      </c>
      <c r="F159" s="1011">
        <v>0</v>
      </c>
      <c r="G159" s="1011">
        <v>0</v>
      </c>
      <c r="H159" s="1011">
        <v>0</v>
      </c>
      <c r="I159" s="1011">
        <v>0</v>
      </c>
      <c r="J159" s="1011">
        <v>0</v>
      </c>
      <c r="K159" s="1011">
        <v>0</v>
      </c>
    </row>
    <row r="160" spans="1:11" s="393" customFormat="1" x14ac:dyDescent="0.3">
      <c r="A160" s="1004">
        <v>510</v>
      </c>
      <c r="B160" s="1004"/>
      <c r="C160" s="1004">
        <v>510</v>
      </c>
      <c r="D160" s="1006" t="s">
        <v>220</v>
      </c>
      <c r="E160" s="1011">
        <v>0</v>
      </c>
      <c r="F160" s="1011">
        <v>0</v>
      </c>
      <c r="G160" s="1011">
        <v>0</v>
      </c>
      <c r="H160" s="1011">
        <v>0</v>
      </c>
      <c r="I160" s="1011">
        <v>0</v>
      </c>
      <c r="J160" s="1011">
        <v>0</v>
      </c>
      <c r="K160" s="1011">
        <v>0</v>
      </c>
    </row>
    <row r="161" spans="1:11" s="393" customFormat="1" x14ac:dyDescent="0.3">
      <c r="A161" s="1004">
        <v>511</v>
      </c>
      <c r="B161" s="1004"/>
      <c r="C161" s="1004">
        <v>511</v>
      </c>
      <c r="D161" s="1006" t="s">
        <v>225</v>
      </c>
      <c r="E161" s="1011">
        <v>0</v>
      </c>
      <c r="F161" s="1011">
        <v>0</v>
      </c>
      <c r="G161" s="1011">
        <v>0</v>
      </c>
      <c r="H161" s="1011">
        <v>0</v>
      </c>
      <c r="I161" s="1011">
        <v>0</v>
      </c>
      <c r="J161" s="1011">
        <v>0</v>
      </c>
      <c r="K161" s="1011">
        <v>0</v>
      </c>
    </row>
    <row r="162" spans="1:11" s="393" customFormat="1" x14ac:dyDescent="0.3">
      <c r="A162" s="1004">
        <v>512</v>
      </c>
      <c r="B162" s="1004">
        <v>512</v>
      </c>
      <c r="C162" s="1004">
        <v>512</v>
      </c>
      <c r="D162" s="1006" t="s">
        <v>252</v>
      </c>
      <c r="E162" s="1011">
        <v>3977052</v>
      </c>
      <c r="F162" s="1011">
        <v>226537</v>
      </c>
      <c r="G162" s="1011">
        <v>0</v>
      </c>
      <c r="H162" s="1011">
        <v>0</v>
      </c>
      <c r="I162" s="1011">
        <v>0</v>
      </c>
      <c r="J162" s="1011">
        <v>0</v>
      </c>
      <c r="K162" s="1011">
        <v>711006</v>
      </c>
    </row>
    <row r="163" spans="1:11" s="393" customFormat="1" x14ac:dyDescent="0.3">
      <c r="A163" s="1004">
        <v>513</v>
      </c>
      <c r="B163" s="1004"/>
      <c r="C163" s="1004">
        <v>513</v>
      </c>
      <c r="D163" s="1006" t="s">
        <v>259</v>
      </c>
      <c r="E163" s="1011">
        <v>0</v>
      </c>
      <c r="F163" s="1011">
        <v>0</v>
      </c>
      <c r="G163" s="1011">
        <v>0</v>
      </c>
      <c r="H163" s="1011">
        <v>0</v>
      </c>
      <c r="I163" s="1011">
        <v>0</v>
      </c>
      <c r="J163" s="1011">
        <v>0</v>
      </c>
      <c r="K163" s="1011">
        <v>0</v>
      </c>
    </row>
    <row r="164" spans="1:11" s="393" customFormat="1" x14ac:dyDescent="0.3">
      <c r="A164" s="1004">
        <v>514</v>
      </c>
      <c r="B164" s="1004"/>
      <c r="C164" s="1004">
        <v>514</v>
      </c>
      <c r="D164" s="1006" t="s">
        <v>260</v>
      </c>
      <c r="E164" s="1011">
        <v>0</v>
      </c>
      <c r="F164" s="1011">
        <v>0</v>
      </c>
      <c r="G164" s="1011">
        <v>0</v>
      </c>
      <c r="H164" s="1011">
        <v>0</v>
      </c>
      <c r="I164" s="1011">
        <v>0</v>
      </c>
      <c r="J164" s="1011">
        <v>0</v>
      </c>
      <c r="K164" s="1011">
        <v>0</v>
      </c>
    </row>
    <row r="165" spans="1:11" s="393" customFormat="1" x14ac:dyDescent="0.3">
      <c r="A165" s="1004">
        <v>515</v>
      </c>
      <c r="B165" s="1004"/>
      <c r="C165" s="1004">
        <v>515</v>
      </c>
      <c r="D165" s="1006" t="s">
        <v>273</v>
      </c>
      <c r="E165" s="1011">
        <v>0</v>
      </c>
      <c r="F165" s="1011">
        <v>0</v>
      </c>
      <c r="G165" s="1011">
        <v>0</v>
      </c>
      <c r="H165" s="1011">
        <v>0</v>
      </c>
      <c r="I165" s="1011">
        <v>0</v>
      </c>
      <c r="J165" s="1011">
        <v>0</v>
      </c>
      <c r="K165" s="1011">
        <v>0</v>
      </c>
    </row>
    <row r="166" spans="1:11" s="393" customFormat="1" x14ac:dyDescent="0.3">
      <c r="A166" s="1004">
        <v>516</v>
      </c>
      <c r="B166" s="1004"/>
      <c r="C166" s="1004">
        <v>516</v>
      </c>
      <c r="D166" s="1006" t="s">
        <v>274</v>
      </c>
      <c r="E166" s="1011">
        <v>0</v>
      </c>
      <c r="F166" s="1011">
        <v>0</v>
      </c>
      <c r="G166" s="1011">
        <v>0</v>
      </c>
      <c r="H166" s="1011">
        <v>0</v>
      </c>
      <c r="I166" s="1011">
        <v>0</v>
      </c>
      <c r="J166" s="1011">
        <v>0</v>
      </c>
      <c r="K166" s="1011">
        <v>0</v>
      </c>
    </row>
    <row r="167" spans="1:11" s="393" customFormat="1" x14ac:dyDescent="0.3">
      <c r="A167" s="1004">
        <v>517</v>
      </c>
      <c r="B167" s="1004"/>
      <c r="C167" s="1004">
        <v>517</v>
      </c>
      <c r="D167" s="1006" t="s">
        <v>275</v>
      </c>
      <c r="E167" s="1011">
        <v>0</v>
      </c>
      <c r="F167" s="1011">
        <v>0</v>
      </c>
      <c r="G167" s="1011">
        <v>0</v>
      </c>
      <c r="H167" s="1011">
        <v>0</v>
      </c>
      <c r="I167" s="1011">
        <v>0</v>
      </c>
      <c r="J167" s="1011">
        <v>0</v>
      </c>
      <c r="K167" s="1011">
        <v>0</v>
      </c>
    </row>
    <row r="168" spans="1:11" s="393" customFormat="1" x14ac:dyDescent="0.3">
      <c r="A168" s="1004">
        <v>518</v>
      </c>
      <c r="B168" s="1004"/>
      <c r="C168" s="1004">
        <v>518</v>
      </c>
      <c r="D168" s="1006" t="s">
        <v>276</v>
      </c>
      <c r="E168" s="1011">
        <v>0</v>
      </c>
      <c r="F168" s="1011">
        <v>0</v>
      </c>
      <c r="G168" s="1011">
        <v>0</v>
      </c>
      <c r="H168" s="1011">
        <v>0</v>
      </c>
      <c r="I168" s="1011">
        <v>0</v>
      </c>
      <c r="J168" s="1011">
        <v>0</v>
      </c>
      <c r="K168" s="1011">
        <v>0</v>
      </c>
    </row>
    <row r="169" spans="1:11" s="393" customFormat="1" x14ac:dyDescent="0.3">
      <c r="A169" s="1004">
        <v>519</v>
      </c>
      <c r="B169" s="1004"/>
      <c r="C169" s="1004">
        <v>519</v>
      </c>
      <c r="D169" s="1006" t="s">
        <v>277</v>
      </c>
      <c r="E169" s="1011">
        <v>0</v>
      </c>
      <c r="F169" s="1011">
        <v>0</v>
      </c>
      <c r="G169" s="1011">
        <v>0</v>
      </c>
      <c r="H169" s="1011">
        <v>0</v>
      </c>
      <c r="I169" s="1011">
        <v>0</v>
      </c>
      <c r="J169" s="1011">
        <v>0</v>
      </c>
      <c r="K169" s="1011">
        <v>0</v>
      </c>
    </row>
    <row r="170" spans="1:11" s="393" customFormat="1" x14ac:dyDescent="0.3">
      <c r="A170" s="1004">
        <v>520</v>
      </c>
      <c r="B170" s="1004"/>
      <c r="C170" s="1004">
        <v>520</v>
      </c>
      <c r="D170" s="1006" t="s">
        <v>278</v>
      </c>
      <c r="E170" s="1011">
        <v>0</v>
      </c>
      <c r="F170" s="1011">
        <v>0</v>
      </c>
      <c r="G170" s="1011">
        <v>0</v>
      </c>
      <c r="H170" s="1011">
        <v>0</v>
      </c>
      <c r="I170" s="1011">
        <v>0</v>
      </c>
      <c r="J170" s="1011">
        <v>0</v>
      </c>
      <c r="K170" s="1011">
        <v>0</v>
      </c>
    </row>
    <row r="171" spans="1:11" s="393" customFormat="1" x14ac:dyDescent="0.3">
      <c r="A171" s="1004">
        <v>521</v>
      </c>
      <c r="B171" s="1004"/>
      <c r="C171" s="1004">
        <v>521</v>
      </c>
      <c r="D171" s="1006" t="s">
        <v>279</v>
      </c>
      <c r="E171" s="1011">
        <v>0</v>
      </c>
      <c r="F171" s="1011">
        <v>0</v>
      </c>
      <c r="G171" s="1011">
        <v>0</v>
      </c>
      <c r="H171" s="1011">
        <v>0</v>
      </c>
      <c r="I171" s="1011">
        <v>0</v>
      </c>
      <c r="J171" s="1011">
        <v>0</v>
      </c>
      <c r="K171" s="1011">
        <v>0</v>
      </c>
    </row>
    <row r="172" spans="1:11" s="393" customFormat="1" x14ac:dyDescent="0.3">
      <c r="A172" s="1004">
        <v>522</v>
      </c>
      <c r="B172" s="1004"/>
      <c r="C172" s="1004">
        <v>522</v>
      </c>
      <c r="D172" s="1006" t="s">
        <v>280</v>
      </c>
      <c r="E172" s="1011">
        <v>0</v>
      </c>
      <c r="F172" s="1011">
        <v>0</v>
      </c>
      <c r="G172" s="1011">
        <v>0</v>
      </c>
      <c r="H172" s="1011">
        <v>0</v>
      </c>
      <c r="I172" s="1011">
        <v>0</v>
      </c>
      <c r="J172" s="1011">
        <v>0</v>
      </c>
      <c r="K172" s="1011">
        <v>0</v>
      </c>
    </row>
    <row r="173" spans="1:11" s="393" customFormat="1" x14ac:dyDescent="0.3">
      <c r="A173" s="1004">
        <v>523</v>
      </c>
      <c r="B173" s="1004"/>
      <c r="C173" s="1004">
        <v>523</v>
      </c>
      <c r="D173" s="1006" t="s">
        <v>281</v>
      </c>
      <c r="E173" s="1011">
        <v>0</v>
      </c>
      <c r="F173" s="1011">
        <v>0</v>
      </c>
      <c r="G173" s="1011">
        <v>0</v>
      </c>
      <c r="H173" s="1011">
        <v>0</v>
      </c>
      <c r="I173" s="1011">
        <v>0</v>
      </c>
      <c r="J173" s="1011">
        <v>0</v>
      </c>
      <c r="K173" s="1011">
        <v>0</v>
      </c>
    </row>
    <row r="174" spans="1:11" s="393" customFormat="1" x14ac:dyDescent="0.3">
      <c r="A174" s="1004">
        <v>524</v>
      </c>
      <c r="B174" s="1004"/>
      <c r="C174" s="1004">
        <v>524</v>
      </c>
      <c r="D174" s="1006" t="s">
        <v>282</v>
      </c>
      <c r="E174" s="1011">
        <v>0</v>
      </c>
      <c r="F174" s="1011">
        <v>0</v>
      </c>
      <c r="G174" s="1011">
        <v>0</v>
      </c>
      <c r="H174" s="1011">
        <v>0</v>
      </c>
      <c r="I174" s="1011">
        <v>0</v>
      </c>
      <c r="J174" s="1011">
        <v>0</v>
      </c>
      <c r="K174" s="1011">
        <v>0</v>
      </c>
    </row>
    <row r="175" spans="1:11" s="393" customFormat="1" x14ac:dyDescent="0.3">
      <c r="A175" s="1004">
        <v>525</v>
      </c>
      <c r="B175" s="1004"/>
      <c r="C175" s="1004">
        <v>525</v>
      </c>
      <c r="D175" s="1006" t="s">
        <v>283</v>
      </c>
      <c r="E175" s="1011">
        <v>0</v>
      </c>
      <c r="F175" s="1011">
        <v>0</v>
      </c>
      <c r="G175" s="1011">
        <v>0</v>
      </c>
      <c r="H175" s="1011">
        <v>0</v>
      </c>
      <c r="I175" s="1011">
        <v>0</v>
      </c>
      <c r="J175" s="1011">
        <v>0</v>
      </c>
      <c r="K175" s="1011">
        <v>0</v>
      </c>
    </row>
    <row r="176" spans="1:11" s="393" customFormat="1" x14ac:dyDescent="0.3">
      <c r="A176" s="1004">
        <v>526</v>
      </c>
      <c r="B176" s="1004"/>
      <c r="C176" s="1004">
        <v>526</v>
      </c>
      <c r="D176" s="1006" t="s">
        <v>284</v>
      </c>
      <c r="E176" s="1011">
        <v>0</v>
      </c>
      <c r="F176" s="1011">
        <v>0</v>
      </c>
      <c r="G176" s="1011">
        <v>0</v>
      </c>
      <c r="H176" s="1011">
        <v>0</v>
      </c>
      <c r="I176" s="1011">
        <v>0</v>
      </c>
      <c r="J176" s="1011">
        <v>0</v>
      </c>
      <c r="K176" s="1011">
        <v>0</v>
      </c>
    </row>
    <row r="177" spans="1:11" s="393" customFormat="1" x14ac:dyDescent="0.3">
      <c r="A177" s="1004">
        <v>527</v>
      </c>
      <c r="B177" s="1004"/>
      <c r="C177" s="1004">
        <v>527</v>
      </c>
      <c r="D177" s="1006" t="s">
        <v>285</v>
      </c>
      <c r="E177" s="1011">
        <v>0</v>
      </c>
      <c r="F177" s="1011">
        <v>0</v>
      </c>
      <c r="G177" s="1011">
        <v>0</v>
      </c>
      <c r="H177" s="1011">
        <v>0</v>
      </c>
      <c r="I177" s="1011">
        <v>0</v>
      </c>
      <c r="J177" s="1011">
        <v>0</v>
      </c>
      <c r="K177" s="1011">
        <v>0</v>
      </c>
    </row>
    <row r="178" spans="1:11" s="393" customFormat="1" x14ac:dyDescent="0.3">
      <c r="A178" s="1004">
        <v>528</v>
      </c>
      <c r="B178" s="1004"/>
      <c r="C178" s="1004">
        <v>528</v>
      </c>
      <c r="D178" s="1006" t="s">
        <v>267</v>
      </c>
      <c r="E178" s="1011">
        <v>0</v>
      </c>
      <c r="F178" s="1011">
        <v>0</v>
      </c>
      <c r="G178" s="1011">
        <v>0</v>
      </c>
      <c r="H178" s="1011">
        <v>0</v>
      </c>
      <c r="I178" s="1011">
        <v>0</v>
      </c>
      <c r="J178" s="1011">
        <v>0</v>
      </c>
      <c r="K178" s="1011">
        <v>0</v>
      </c>
    </row>
    <row r="179" spans="1:11" s="393" customFormat="1" x14ac:dyDescent="0.3">
      <c r="A179" s="1004">
        <v>529</v>
      </c>
      <c r="B179" s="1004"/>
      <c r="C179" s="1004">
        <v>529</v>
      </c>
      <c r="D179" s="1006" t="s">
        <v>268</v>
      </c>
      <c r="E179" s="1011">
        <v>0</v>
      </c>
      <c r="F179" s="1011">
        <v>0</v>
      </c>
      <c r="G179" s="1011">
        <v>0</v>
      </c>
      <c r="H179" s="1011">
        <v>0</v>
      </c>
      <c r="I179" s="1011">
        <v>0</v>
      </c>
      <c r="J179" s="1011">
        <v>0</v>
      </c>
      <c r="K179" s="1011">
        <v>0</v>
      </c>
    </row>
    <row r="180" spans="1:11" s="393" customFormat="1" x14ac:dyDescent="0.3">
      <c r="A180" s="1004">
        <v>530</v>
      </c>
      <c r="B180" s="1004"/>
      <c r="C180" s="1004">
        <v>530</v>
      </c>
      <c r="D180" s="1006" t="s">
        <v>269</v>
      </c>
      <c r="E180" s="1011">
        <v>0</v>
      </c>
      <c r="F180" s="1011">
        <v>0</v>
      </c>
      <c r="G180" s="1011">
        <v>0</v>
      </c>
      <c r="H180" s="1011">
        <v>0</v>
      </c>
      <c r="I180" s="1011">
        <v>0</v>
      </c>
      <c r="J180" s="1011">
        <v>0</v>
      </c>
      <c r="K180" s="1011">
        <v>0</v>
      </c>
    </row>
    <row r="181" spans="1:11" s="393" customFormat="1" x14ac:dyDescent="0.3">
      <c r="A181" s="1004">
        <v>531</v>
      </c>
      <c r="B181" s="1004"/>
      <c r="C181" s="1004">
        <v>531</v>
      </c>
      <c r="D181" s="1006" t="s">
        <v>270</v>
      </c>
      <c r="E181" s="1011">
        <v>0</v>
      </c>
      <c r="F181" s="1011">
        <v>0</v>
      </c>
      <c r="G181" s="1011">
        <v>0</v>
      </c>
      <c r="H181" s="1011">
        <v>0</v>
      </c>
      <c r="I181" s="1011">
        <v>0</v>
      </c>
      <c r="J181" s="1011">
        <v>0</v>
      </c>
      <c r="K181" s="1011">
        <v>0</v>
      </c>
    </row>
    <row r="182" spans="1:11" s="393" customFormat="1" x14ac:dyDescent="0.3">
      <c r="A182" s="1004">
        <v>532</v>
      </c>
      <c r="B182" s="1004">
        <v>532</v>
      </c>
      <c r="C182" s="1004">
        <v>532</v>
      </c>
      <c r="D182" s="1006" t="s">
        <v>1347</v>
      </c>
      <c r="E182" s="1011">
        <v>13018331</v>
      </c>
      <c r="F182" s="1011">
        <v>8487409</v>
      </c>
      <c r="G182" s="1011">
        <v>22556709</v>
      </c>
      <c r="H182" s="1011">
        <v>7232051</v>
      </c>
      <c r="I182" s="1011">
        <v>7059207</v>
      </c>
      <c r="J182" s="1011">
        <v>6727214</v>
      </c>
      <c r="K182" s="1011">
        <v>4123685</v>
      </c>
    </row>
    <row r="183" spans="1:11" s="393" customFormat="1" x14ac:dyDescent="0.3">
      <c r="A183" s="1004">
        <v>533</v>
      </c>
      <c r="B183" s="1004">
        <v>533</v>
      </c>
      <c r="C183" s="1004">
        <v>533</v>
      </c>
      <c r="D183" s="1006" t="s">
        <v>1348</v>
      </c>
      <c r="E183" s="1011">
        <v>0</v>
      </c>
      <c r="F183" s="1011">
        <v>0</v>
      </c>
      <c r="G183" s="1011">
        <v>0</v>
      </c>
      <c r="H183" s="1011">
        <v>0</v>
      </c>
      <c r="I183" s="1011">
        <v>35545</v>
      </c>
      <c r="J183" s="1011">
        <v>0</v>
      </c>
      <c r="K183" s="1011">
        <v>0</v>
      </c>
    </row>
    <row r="184" spans="1:11" s="393" customFormat="1" ht="28.8" x14ac:dyDescent="0.3">
      <c r="A184" s="1004">
        <v>534</v>
      </c>
      <c r="B184" s="1004"/>
      <c r="C184" s="1004">
        <v>534</v>
      </c>
      <c r="D184" s="1006" t="s">
        <v>271</v>
      </c>
      <c r="E184" s="1011">
        <v>0</v>
      </c>
      <c r="F184" s="1011">
        <v>0</v>
      </c>
      <c r="G184" s="1011">
        <v>0</v>
      </c>
      <c r="H184" s="1011">
        <v>0</v>
      </c>
      <c r="I184" s="1011">
        <v>0</v>
      </c>
      <c r="J184" s="1011">
        <v>0</v>
      </c>
      <c r="K184" s="1011">
        <v>0</v>
      </c>
    </row>
    <row r="185" spans="1:11" s="393" customFormat="1" x14ac:dyDescent="0.3">
      <c r="A185" s="1004">
        <v>535</v>
      </c>
      <c r="B185" s="1004"/>
      <c r="C185" s="1004">
        <v>535</v>
      </c>
      <c r="D185" s="1006" t="s">
        <v>253</v>
      </c>
      <c r="E185" s="1011">
        <v>0</v>
      </c>
      <c r="F185" s="1011">
        <v>0</v>
      </c>
      <c r="G185" s="1011">
        <v>0</v>
      </c>
      <c r="H185" s="1011">
        <v>0</v>
      </c>
      <c r="I185" s="1011">
        <v>0</v>
      </c>
      <c r="J185" s="1011">
        <v>0</v>
      </c>
      <c r="K185" s="1011">
        <v>0</v>
      </c>
    </row>
    <row r="186" spans="1:11" s="393" customFormat="1" x14ac:dyDescent="0.3">
      <c r="A186" s="1004">
        <v>536</v>
      </c>
      <c r="B186" s="1004">
        <v>536</v>
      </c>
      <c r="C186" s="1004">
        <v>536</v>
      </c>
      <c r="D186" s="1006" t="s">
        <v>199</v>
      </c>
      <c r="E186" s="1011">
        <v>0</v>
      </c>
      <c r="F186" s="1011">
        <v>0</v>
      </c>
      <c r="G186" s="1011">
        <v>942682</v>
      </c>
      <c r="H186" s="1011">
        <v>1159130</v>
      </c>
      <c r="I186" s="1011">
        <v>0</v>
      </c>
      <c r="J186" s="1011">
        <v>0</v>
      </c>
      <c r="K186" s="1011">
        <v>0</v>
      </c>
    </row>
    <row r="187" spans="1:11" s="393" customFormat="1" x14ac:dyDescent="0.3">
      <c r="A187" s="1004">
        <v>537</v>
      </c>
      <c r="B187" s="1004"/>
      <c r="C187" s="1004"/>
      <c r="D187" s="1004"/>
      <c r="E187" s="1011"/>
      <c r="F187" s="1011"/>
      <c r="G187" s="1011"/>
      <c r="H187" s="1011"/>
      <c r="I187" s="1011"/>
      <c r="J187" s="1011"/>
      <c r="K187" s="1011"/>
    </row>
    <row r="188" spans="1:11" s="393" customFormat="1" x14ac:dyDescent="0.3">
      <c r="A188" s="1004">
        <v>538</v>
      </c>
      <c r="B188" s="1004"/>
      <c r="C188" s="1004"/>
      <c r="D188" s="1004"/>
      <c r="E188" s="1011"/>
      <c r="F188" s="1011"/>
      <c r="G188" s="1011"/>
      <c r="H188" s="1011"/>
      <c r="I188" s="1011"/>
      <c r="J188" s="1011"/>
      <c r="K188" s="1011"/>
    </row>
    <row r="189" spans="1:11" s="393" customFormat="1" x14ac:dyDescent="0.3">
      <c r="A189" s="1004">
        <v>539</v>
      </c>
      <c r="B189" s="1004"/>
      <c r="C189" s="1016">
        <v>539</v>
      </c>
      <c r="D189" s="1017" t="s">
        <v>1349</v>
      </c>
      <c r="E189" s="1011"/>
      <c r="F189" s="1011"/>
      <c r="G189" s="1011"/>
      <c r="H189" s="1011"/>
      <c r="I189" s="1011"/>
      <c r="J189" s="1011"/>
      <c r="K189" s="1011"/>
    </row>
    <row r="190" spans="1:11" s="393" customFormat="1" x14ac:dyDescent="0.3">
      <c r="A190" s="1004">
        <v>540</v>
      </c>
      <c r="B190" s="1004"/>
      <c r="C190" s="1016"/>
      <c r="D190" s="1017"/>
      <c r="E190" s="1011"/>
      <c r="F190" s="1011"/>
      <c r="G190" s="1011"/>
      <c r="H190" s="1011"/>
      <c r="I190" s="1011"/>
      <c r="J190" s="1011"/>
      <c r="K190" s="1011"/>
    </row>
    <row r="191" spans="1:11" s="393" customFormat="1" x14ac:dyDescent="0.3">
      <c r="A191" s="1004">
        <v>541</v>
      </c>
      <c r="B191" s="1004"/>
      <c r="C191" s="1016"/>
      <c r="D191" s="1017"/>
      <c r="E191" s="1011"/>
      <c r="F191" s="1011"/>
      <c r="G191" s="1011"/>
      <c r="H191" s="1011"/>
      <c r="I191" s="1011"/>
      <c r="J191" s="1011"/>
      <c r="K191" s="1011"/>
    </row>
    <row r="192" spans="1:11" s="393" customFormat="1" x14ac:dyDescent="0.3">
      <c r="A192" s="1004">
        <v>542</v>
      </c>
      <c r="B192" s="1004"/>
      <c r="C192" s="1016"/>
      <c r="D192" s="1017"/>
      <c r="E192" s="1011"/>
      <c r="F192" s="1011"/>
      <c r="G192" s="1011"/>
      <c r="H192" s="1011"/>
      <c r="I192" s="1011"/>
      <c r="J192" s="1011"/>
      <c r="K192" s="1011"/>
    </row>
    <row r="193" spans="1:11" s="393" customFormat="1" x14ac:dyDescent="0.3">
      <c r="A193" s="1004">
        <v>543</v>
      </c>
      <c r="B193" s="1004"/>
      <c r="C193" s="1016"/>
      <c r="D193" s="1017"/>
      <c r="E193" s="1011"/>
      <c r="F193" s="1011"/>
      <c r="G193" s="1011"/>
      <c r="H193" s="1011"/>
      <c r="I193" s="1011"/>
      <c r="J193" s="1011"/>
      <c r="K193" s="1011"/>
    </row>
    <row r="194" spans="1:11" s="393" customFormat="1" x14ac:dyDescent="0.3">
      <c r="A194" s="1004">
        <v>544</v>
      </c>
      <c r="B194" s="1004"/>
      <c r="C194" s="1016"/>
      <c r="D194" s="1017"/>
      <c r="E194" s="1011"/>
      <c r="F194" s="1011"/>
      <c r="G194" s="1011"/>
      <c r="H194" s="1011"/>
      <c r="I194" s="1011"/>
      <c r="J194" s="1011"/>
      <c r="K194" s="1011"/>
    </row>
    <row r="195" spans="1:11" s="393" customFormat="1" x14ac:dyDescent="0.3">
      <c r="A195" s="1004">
        <v>545</v>
      </c>
      <c r="B195" s="1004"/>
      <c r="C195" s="1016"/>
      <c r="D195" s="1017"/>
      <c r="E195" s="1011"/>
      <c r="F195" s="1011"/>
      <c r="G195" s="1011"/>
      <c r="H195" s="1011"/>
      <c r="I195" s="1011"/>
      <c r="J195" s="1011"/>
      <c r="K195" s="1011"/>
    </row>
    <row r="196" spans="1:11" s="393" customFormat="1" x14ac:dyDescent="0.3">
      <c r="A196" s="1004">
        <v>546</v>
      </c>
      <c r="B196" s="1004"/>
      <c r="C196" s="1016"/>
      <c r="D196" s="1017"/>
      <c r="E196" s="1011"/>
      <c r="F196" s="1011"/>
      <c r="G196" s="1011"/>
      <c r="H196" s="1011"/>
      <c r="I196" s="1011"/>
      <c r="J196" s="1011"/>
      <c r="K196" s="1011"/>
    </row>
    <row r="197" spans="1:11" s="393" customFormat="1" ht="66.599999999999994" x14ac:dyDescent="0.3">
      <c r="A197" s="1004">
        <v>547</v>
      </c>
      <c r="B197" s="1004">
        <v>547</v>
      </c>
      <c r="C197" s="1016">
        <v>547</v>
      </c>
      <c r="D197" s="1018" t="s">
        <v>1350</v>
      </c>
      <c r="E197" s="1011">
        <v>3</v>
      </c>
      <c r="F197" s="1011">
        <v>3</v>
      </c>
      <c r="G197" s="1011">
        <v>3</v>
      </c>
      <c r="H197" s="1011">
        <v>3</v>
      </c>
      <c r="I197" s="1011">
        <v>3</v>
      </c>
      <c r="J197" s="1011">
        <v>4</v>
      </c>
      <c r="K197" s="1011">
        <v>2</v>
      </c>
    </row>
    <row r="198" spans="1:11" s="393" customFormat="1" x14ac:dyDescent="0.3">
      <c r="A198" s="1004">
        <v>548</v>
      </c>
      <c r="B198" s="1004"/>
      <c r="C198" s="1016"/>
      <c r="D198" s="1018"/>
      <c r="E198" s="1011"/>
      <c r="F198" s="1011"/>
      <c r="G198" s="1011"/>
      <c r="H198" s="1011"/>
      <c r="I198" s="1011"/>
      <c r="J198" s="1011"/>
      <c r="K198" s="1011"/>
    </row>
    <row r="199" spans="1:11" s="393" customFormat="1" x14ac:dyDescent="0.3">
      <c r="A199" s="1004">
        <v>549</v>
      </c>
      <c r="B199" s="1004"/>
      <c r="C199" s="1016">
        <v>549</v>
      </c>
      <c r="D199" s="1017" t="s">
        <v>1351</v>
      </c>
      <c r="E199" s="1011">
        <v>0</v>
      </c>
      <c r="F199" s="1011">
        <v>0</v>
      </c>
      <c r="G199" s="1011">
        <v>0</v>
      </c>
      <c r="H199" s="1011">
        <v>0</v>
      </c>
      <c r="I199" s="1011">
        <v>0</v>
      </c>
      <c r="J199" s="1011">
        <v>0</v>
      </c>
      <c r="K199" s="1011">
        <v>0</v>
      </c>
    </row>
    <row r="200" spans="1:11" s="393" customFormat="1" x14ac:dyDescent="0.3">
      <c r="A200" s="1004">
        <v>550</v>
      </c>
      <c r="B200" s="1004"/>
      <c r="C200" s="1016"/>
      <c r="D200" s="1017"/>
      <c r="E200" s="1011"/>
      <c r="F200" s="1011"/>
      <c r="G200" s="1011"/>
      <c r="H200" s="1011"/>
      <c r="I200" s="1011"/>
      <c r="J200" s="1011"/>
      <c r="K200" s="1011"/>
    </row>
    <row r="201" spans="1:11" s="393" customFormat="1" ht="66.599999999999994" x14ac:dyDescent="0.3">
      <c r="A201" s="1004">
        <v>551</v>
      </c>
      <c r="B201" s="1004"/>
      <c r="C201" s="1016">
        <v>551</v>
      </c>
      <c r="D201" s="1018" t="s">
        <v>1352</v>
      </c>
      <c r="E201" s="1011">
        <v>0</v>
      </c>
      <c r="F201" s="1011">
        <v>0</v>
      </c>
      <c r="G201" s="1011">
        <v>0</v>
      </c>
      <c r="H201" s="1011">
        <v>0</v>
      </c>
      <c r="I201" s="1011">
        <v>0</v>
      </c>
      <c r="J201" s="1011">
        <v>0</v>
      </c>
      <c r="K201" s="1011">
        <v>0</v>
      </c>
    </row>
    <row r="202" spans="1:11" s="393" customFormat="1" x14ac:dyDescent="0.3">
      <c r="A202" s="1004">
        <v>552</v>
      </c>
      <c r="B202" s="1004"/>
      <c r="C202" s="1016"/>
      <c r="D202" s="1018"/>
      <c r="E202" s="1011"/>
      <c r="F202" s="1011"/>
      <c r="G202" s="1011"/>
      <c r="H202" s="1011"/>
      <c r="I202" s="1011"/>
      <c r="J202" s="1011"/>
      <c r="K202" s="1011"/>
    </row>
    <row r="203" spans="1:11" s="393" customFormat="1" x14ac:dyDescent="0.3">
      <c r="A203" s="1004">
        <v>553</v>
      </c>
      <c r="B203" s="1004"/>
      <c r="C203" s="1016"/>
      <c r="D203" s="1018"/>
      <c r="E203" s="1011"/>
      <c r="F203" s="1011"/>
      <c r="G203" s="1011"/>
      <c r="H203" s="1011"/>
      <c r="I203" s="1011"/>
      <c r="J203" s="1011"/>
      <c r="K203" s="1011"/>
    </row>
    <row r="204" spans="1:11" s="393" customFormat="1" x14ac:dyDescent="0.3">
      <c r="A204" s="1004">
        <v>554</v>
      </c>
      <c r="B204" s="1004">
        <v>554</v>
      </c>
      <c r="C204" s="1019">
        <v>554</v>
      </c>
      <c r="D204" s="1020" t="s">
        <v>341</v>
      </c>
      <c r="E204" s="1015">
        <v>4372643</v>
      </c>
      <c r="F204" s="1015">
        <v>3158442</v>
      </c>
      <c r="G204" s="1015">
        <v>2182093</v>
      </c>
      <c r="H204" s="1015">
        <v>0</v>
      </c>
      <c r="I204" s="1015">
        <v>924767</v>
      </c>
      <c r="J204" s="1015">
        <v>1674706</v>
      </c>
      <c r="K204" s="1015">
        <v>997546</v>
      </c>
    </row>
    <row r="205" spans="1:11" s="393" customFormat="1" x14ac:dyDescent="0.3">
      <c r="A205" s="1004">
        <v>555</v>
      </c>
      <c r="B205" s="1004">
        <v>555</v>
      </c>
      <c r="C205" s="1019">
        <v>555</v>
      </c>
      <c r="D205" s="1020" t="s">
        <v>342</v>
      </c>
      <c r="E205" s="1015">
        <v>1079960</v>
      </c>
      <c r="F205" s="1015">
        <v>1711973</v>
      </c>
      <c r="G205" s="1015">
        <v>986121</v>
      </c>
      <c r="H205" s="1015">
        <v>0</v>
      </c>
      <c r="I205" s="1015">
        <v>375669</v>
      </c>
      <c r="J205" s="1015">
        <v>719998</v>
      </c>
      <c r="K205" s="1015">
        <v>212981</v>
      </c>
    </row>
    <row r="206" spans="1:11" s="393" customFormat="1" x14ac:dyDescent="0.3">
      <c r="A206" s="1004">
        <v>556</v>
      </c>
      <c r="B206" s="1004">
        <v>556</v>
      </c>
      <c r="C206" s="1019">
        <v>556</v>
      </c>
      <c r="D206" s="1020" t="s">
        <v>343</v>
      </c>
      <c r="E206" s="1015">
        <v>4405780</v>
      </c>
      <c r="F206" s="1015">
        <v>1724830</v>
      </c>
      <c r="G206" s="1015">
        <v>841512</v>
      </c>
      <c r="H206" s="1015">
        <v>0</v>
      </c>
      <c r="I206" s="1015">
        <v>1290738</v>
      </c>
      <c r="J206" s="1015">
        <v>1122298</v>
      </c>
      <c r="K206" s="1015">
        <v>791378</v>
      </c>
    </row>
    <row r="207" spans="1:11" s="393" customFormat="1" x14ac:dyDescent="0.3">
      <c r="A207" s="1004">
        <v>557</v>
      </c>
      <c r="B207" s="1004">
        <v>557</v>
      </c>
      <c r="C207" s="1019">
        <v>557</v>
      </c>
      <c r="D207" s="1020" t="s">
        <v>344</v>
      </c>
      <c r="E207" s="1015">
        <v>2128867</v>
      </c>
      <c r="F207" s="1015">
        <v>1077082</v>
      </c>
      <c r="G207" s="1015">
        <v>355896</v>
      </c>
      <c r="H207" s="1015">
        <v>0</v>
      </c>
      <c r="I207" s="1015">
        <v>633435</v>
      </c>
      <c r="J207" s="1015">
        <v>667683</v>
      </c>
      <c r="K207" s="1015">
        <v>551387</v>
      </c>
    </row>
    <row r="208" spans="1:11" s="393" customFormat="1" x14ac:dyDescent="0.3">
      <c r="A208" s="1004">
        <v>558</v>
      </c>
      <c r="B208" s="1004"/>
      <c r="C208" s="1019"/>
      <c r="D208" s="1020"/>
      <c r="E208" s="1015"/>
      <c r="F208" s="1015"/>
      <c r="G208" s="1015"/>
      <c r="H208" s="1015"/>
      <c r="I208" s="1015"/>
      <c r="J208" s="1015"/>
      <c r="K208" s="1015"/>
    </row>
    <row r="209" spans="1:11" s="393" customFormat="1" x14ac:dyDescent="0.3">
      <c r="A209" s="1004">
        <v>559</v>
      </c>
      <c r="B209" s="1004"/>
      <c r="C209" s="1019"/>
      <c r="D209" s="1020"/>
      <c r="E209" s="1015"/>
      <c r="F209" s="1015"/>
      <c r="G209" s="1015"/>
      <c r="H209" s="1015"/>
      <c r="I209" s="1015"/>
      <c r="J209" s="1015"/>
      <c r="K209" s="1015"/>
    </row>
    <row r="210" spans="1:11" s="393" customFormat="1" x14ac:dyDescent="0.3">
      <c r="A210" s="1004">
        <v>560</v>
      </c>
      <c r="B210" s="1004"/>
      <c r="C210" s="1019"/>
      <c r="D210" s="1020"/>
      <c r="E210" s="1015"/>
      <c r="F210" s="1015"/>
      <c r="G210" s="1015"/>
      <c r="H210" s="1015"/>
      <c r="I210" s="1015"/>
      <c r="J210" s="1015"/>
      <c r="K210" s="1015"/>
    </row>
    <row r="211" spans="1:11" s="393" customFormat="1" x14ac:dyDescent="0.3">
      <c r="A211" s="1004">
        <v>561</v>
      </c>
      <c r="B211" s="1004"/>
      <c r="C211" s="1019"/>
      <c r="D211" s="1020"/>
      <c r="E211" s="1015"/>
      <c r="F211" s="1015"/>
      <c r="G211" s="1015"/>
      <c r="H211" s="1015"/>
      <c r="I211" s="1015"/>
      <c r="J211" s="1015"/>
      <c r="K211" s="1015"/>
    </row>
    <row r="212" spans="1:11" s="393" customFormat="1" x14ac:dyDescent="0.3">
      <c r="A212" s="1004">
        <v>562</v>
      </c>
      <c r="B212" s="1004"/>
      <c r="C212" s="1019"/>
      <c r="D212" s="1020"/>
      <c r="E212" s="1015"/>
      <c r="F212" s="1015"/>
      <c r="G212" s="1015"/>
      <c r="H212" s="1015"/>
      <c r="I212" s="1015"/>
      <c r="J212" s="1015"/>
      <c r="K212" s="1015"/>
    </row>
    <row r="213" spans="1:11" s="393" customFormat="1" x14ac:dyDescent="0.3">
      <c r="A213" s="1004">
        <v>563</v>
      </c>
      <c r="B213" s="1004"/>
      <c r="C213" s="1019"/>
      <c r="D213" s="1020"/>
      <c r="E213" s="1015"/>
      <c r="F213" s="1015"/>
      <c r="G213" s="1015"/>
      <c r="H213" s="1015"/>
      <c r="I213" s="1015"/>
      <c r="J213" s="1015"/>
      <c r="K213" s="1015"/>
    </row>
    <row r="214" spans="1:11" s="393" customFormat="1" x14ac:dyDescent="0.3">
      <c r="A214" s="1004">
        <v>564</v>
      </c>
      <c r="B214" s="1004"/>
      <c r="C214" s="1019"/>
      <c r="D214" s="1020"/>
      <c r="E214" s="1015"/>
      <c r="F214" s="1015"/>
      <c r="G214" s="1015"/>
      <c r="H214" s="1015"/>
      <c r="I214" s="1015"/>
      <c r="J214" s="1015"/>
      <c r="K214" s="1015"/>
    </row>
    <row r="215" spans="1:11" s="393" customFormat="1" x14ac:dyDescent="0.3">
      <c r="A215" s="1004">
        <v>565</v>
      </c>
      <c r="B215" s="1004"/>
      <c r="C215" s="1019"/>
      <c r="D215" s="1020"/>
      <c r="E215" s="1015"/>
      <c r="F215" s="1015"/>
      <c r="G215" s="1015"/>
      <c r="H215" s="1015"/>
      <c r="I215" s="1015"/>
      <c r="J215" s="1015"/>
      <c r="K215" s="1015"/>
    </row>
    <row r="216" spans="1:11" s="393" customFormat="1" x14ac:dyDescent="0.3">
      <c r="A216" s="1004">
        <v>566</v>
      </c>
      <c r="B216" s="1004"/>
      <c r="C216" s="1019"/>
      <c r="D216" s="1020"/>
      <c r="E216" s="1015"/>
      <c r="F216" s="1015"/>
      <c r="G216" s="1015"/>
      <c r="H216" s="1015"/>
      <c r="I216" s="1015"/>
      <c r="J216" s="1015"/>
      <c r="K216" s="1015"/>
    </row>
    <row r="217" spans="1:11" s="393" customFormat="1" x14ac:dyDescent="0.3">
      <c r="A217" s="1004">
        <v>567</v>
      </c>
      <c r="B217" s="1004"/>
      <c r="C217" s="1019"/>
      <c r="D217" s="1020"/>
      <c r="E217" s="1015"/>
      <c r="F217" s="1015"/>
      <c r="G217" s="1015"/>
      <c r="H217" s="1015"/>
      <c r="I217" s="1015"/>
      <c r="J217" s="1015"/>
      <c r="K217" s="1015"/>
    </row>
    <row r="218" spans="1:11" s="393" customFormat="1" x14ac:dyDescent="0.3">
      <c r="A218" s="1004">
        <v>568</v>
      </c>
      <c r="B218" s="1004"/>
      <c r="C218" s="1019"/>
      <c r="D218" s="1020"/>
      <c r="E218" s="1015"/>
      <c r="F218" s="1015"/>
      <c r="G218" s="1015"/>
      <c r="H218" s="1015"/>
      <c r="I218" s="1015"/>
      <c r="J218" s="1015"/>
      <c r="K218" s="1015"/>
    </row>
    <row r="219" spans="1:11" s="393" customFormat="1" x14ac:dyDescent="0.3">
      <c r="A219" s="1004">
        <v>569</v>
      </c>
      <c r="B219" s="1004"/>
      <c r="C219" s="1019"/>
      <c r="D219" s="1020"/>
      <c r="E219" s="1015"/>
      <c r="F219" s="1015"/>
      <c r="G219" s="1015"/>
      <c r="H219" s="1015"/>
      <c r="I219" s="1015"/>
      <c r="J219" s="1015"/>
      <c r="K219" s="1015"/>
    </row>
    <row r="220" spans="1:11" s="393" customFormat="1" x14ac:dyDescent="0.3">
      <c r="A220" s="1004">
        <v>570</v>
      </c>
      <c r="B220" s="1004"/>
      <c r="C220" s="1019"/>
      <c r="D220" s="1020"/>
      <c r="E220" s="1015"/>
      <c r="F220" s="1015"/>
      <c r="G220" s="1015"/>
      <c r="H220" s="1015"/>
      <c r="I220" s="1015"/>
      <c r="J220" s="1015"/>
      <c r="K220" s="1015"/>
    </row>
    <row r="221" spans="1:11" s="393" customFormat="1" x14ac:dyDescent="0.3">
      <c r="A221" s="1004">
        <v>571</v>
      </c>
      <c r="B221" s="1004"/>
      <c r="C221" s="1019"/>
      <c r="D221" s="1020"/>
      <c r="E221" s="1015"/>
      <c r="F221" s="1015"/>
      <c r="G221" s="1015"/>
      <c r="H221" s="1015"/>
      <c r="I221" s="1015"/>
      <c r="J221" s="1015"/>
      <c r="K221" s="1015"/>
    </row>
    <row r="222" spans="1:11" s="393" customFormat="1" x14ac:dyDescent="0.3">
      <c r="A222" s="1004">
        <v>572</v>
      </c>
      <c r="B222" s="1004"/>
      <c r="C222" s="1019"/>
      <c r="D222" s="1020"/>
      <c r="E222" s="1015"/>
      <c r="F222" s="1015"/>
      <c r="G222" s="1015"/>
      <c r="H222" s="1015"/>
      <c r="I222" s="1015"/>
      <c r="J222" s="1015"/>
      <c r="K222" s="1015"/>
    </row>
    <row r="223" spans="1:11" s="393" customFormat="1" x14ac:dyDescent="0.3">
      <c r="A223" s="1004">
        <v>573</v>
      </c>
      <c r="B223" s="1004"/>
      <c r="C223" s="1019"/>
      <c r="D223" s="1020"/>
      <c r="E223" s="1015"/>
      <c r="F223" s="1015"/>
      <c r="G223" s="1015"/>
      <c r="H223" s="1015"/>
      <c r="I223" s="1015"/>
      <c r="J223" s="1015"/>
      <c r="K223" s="1015"/>
    </row>
    <row r="224" spans="1:11" s="393" customFormat="1" x14ac:dyDescent="0.3">
      <c r="A224" s="1004">
        <v>574</v>
      </c>
      <c r="B224" s="1004"/>
      <c r="C224" s="1019"/>
      <c r="D224" s="1020"/>
      <c r="E224" s="1015"/>
      <c r="F224" s="1015"/>
      <c r="G224" s="1015"/>
      <c r="H224" s="1015"/>
      <c r="I224" s="1015"/>
      <c r="J224" s="1015"/>
      <c r="K224" s="1015"/>
    </row>
    <row r="225" spans="1:11" s="393" customFormat="1" x14ac:dyDescent="0.3">
      <c r="A225" s="1004">
        <v>575</v>
      </c>
      <c r="B225" s="1004">
        <v>575</v>
      </c>
      <c r="C225" s="1004">
        <v>575</v>
      </c>
      <c r="D225" s="1004" t="s">
        <v>320</v>
      </c>
      <c r="E225" s="1011">
        <v>0</v>
      </c>
      <c r="F225" s="1011">
        <v>0</v>
      </c>
      <c r="G225" s="1011">
        <v>0</v>
      </c>
      <c r="H225" s="1011">
        <v>0</v>
      </c>
      <c r="I225" s="1011">
        <v>0</v>
      </c>
      <c r="J225" s="1011">
        <v>0</v>
      </c>
      <c r="K225" s="1011">
        <v>0</v>
      </c>
    </row>
    <row r="226" spans="1:11" s="393" customFormat="1" x14ac:dyDescent="0.3">
      <c r="A226" s="1004">
        <v>576</v>
      </c>
      <c r="B226" s="1004">
        <v>576</v>
      </c>
      <c r="C226" s="1004">
        <v>576</v>
      </c>
      <c r="D226" s="1004" t="s">
        <v>321</v>
      </c>
      <c r="E226" s="1011">
        <v>0</v>
      </c>
      <c r="F226" s="1011">
        <v>0</v>
      </c>
      <c r="G226" s="1011">
        <v>0</v>
      </c>
      <c r="H226" s="1011">
        <v>0</v>
      </c>
      <c r="I226" s="1011">
        <v>0</v>
      </c>
      <c r="J226" s="1011">
        <v>0</v>
      </c>
      <c r="K226" s="1011">
        <v>0</v>
      </c>
    </row>
    <row r="227" spans="1:11" s="393" customFormat="1" ht="28.8" x14ac:dyDescent="0.3">
      <c r="A227" s="1004">
        <v>577</v>
      </c>
      <c r="B227" s="1004">
        <v>577</v>
      </c>
      <c r="C227" s="1004">
        <v>577</v>
      </c>
      <c r="D227" s="1006" t="s">
        <v>364</v>
      </c>
      <c r="E227" s="1011">
        <v>2</v>
      </c>
      <c r="F227" s="1011">
        <v>0</v>
      </c>
      <c r="G227" s="1011">
        <v>2</v>
      </c>
      <c r="H227" s="1011">
        <v>2</v>
      </c>
      <c r="I227" s="1011">
        <v>2</v>
      </c>
      <c r="J227" s="1011">
        <v>0</v>
      </c>
      <c r="K227" s="1011">
        <v>2</v>
      </c>
    </row>
    <row r="228" spans="1:11" s="393" customFormat="1" x14ac:dyDescent="0.3">
      <c r="A228" s="1004">
        <v>578</v>
      </c>
      <c r="B228" s="1004"/>
      <c r="C228" s="1004"/>
      <c r="D228" s="1004"/>
      <c r="E228" s="1011"/>
      <c r="F228" s="1011"/>
      <c r="G228" s="1011"/>
      <c r="H228" s="1011"/>
      <c r="I228" s="1011"/>
      <c r="J228" s="1011"/>
      <c r="K228" s="1011"/>
    </row>
    <row r="229" spans="1:11" s="393" customFormat="1" x14ac:dyDescent="0.3">
      <c r="A229" s="1004">
        <v>579</v>
      </c>
      <c r="B229" s="1004"/>
      <c r="C229" s="1004"/>
      <c r="D229" s="1004"/>
      <c r="E229" s="1011"/>
      <c r="F229" s="1011"/>
      <c r="G229" s="1011"/>
      <c r="H229" s="1011"/>
      <c r="I229" s="1011"/>
      <c r="J229" s="1011"/>
      <c r="K229" s="1011"/>
    </row>
    <row r="230" spans="1:11" s="393" customFormat="1" x14ac:dyDescent="0.3">
      <c r="A230" s="1004">
        <v>580</v>
      </c>
      <c r="B230" s="1004"/>
      <c r="C230" s="1004"/>
      <c r="D230" s="1004"/>
      <c r="E230" s="1011"/>
      <c r="F230" s="1011"/>
      <c r="G230" s="1011"/>
      <c r="H230" s="1011"/>
      <c r="I230" s="1011"/>
      <c r="J230" s="1011"/>
      <c r="K230" s="1011"/>
    </row>
    <row r="231" spans="1:11" s="393" customFormat="1" x14ac:dyDescent="0.3">
      <c r="A231" s="1004">
        <v>581</v>
      </c>
      <c r="B231" s="1004"/>
      <c r="C231" s="1004"/>
      <c r="D231" s="1004"/>
      <c r="E231" s="1011"/>
      <c r="F231" s="1011"/>
      <c r="G231" s="1011"/>
      <c r="H231" s="1011"/>
      <c r="I231" s="1011"/>
      <c r="J231" s="1011"/>
      <c r="K231" s="1011"/>
    </row>
    <row r="232" spans="1:11" s="393" customFormat="1" x14ac:dyDescent="0.3">
      <c r="A232" s="1004">
        <v>582</v>
      </c>
      <c r="B232" s="1004"/>
      <c r="C232" s="1004"/>
      <c r="D232" s="1004"/>
      <c r="E232" s="1011"/>
      <c r="F232" s="1011"/>
      <c r="G232" s="1011"/>
      <c r="H232" s="1011"/>
      <c r="I232" s="1011"/>
      <c r="J232" s="1011"/>
      <c r="K232" s="1011"/>
    </row>
    <row r="233" spans="1:11" s="393" customFormat="1" x14ac:dyDescent="0.3">
      <c r="A233" s="1004">
        <v>583</v>
      </c>
      <c r="B233" s="1004"/>
      <c r="C233" s="1004"/>
      <c r="D233" s="1004"/>
      <c r="E233" s="1011"/>
      <c r="F233" s="1011"/>
      <c r="G233" s="1011"/>
      <c r="H233" s="1011"/>
      <c r="I233" s="1011"/>
      <c r="J233" s="1011"/>
      <c r="K233" s="1011"/>
    </row>
    <row r="234" spans="1:11" s="393" customFormat="1" x14ac:dyDescent="0.3">
      <c r="A234" s="1004">
        <v>584</v>
      </c>
      <c r="B234" s="1004"/>
      <c r="C234" s="1004"/>
      <c r="D234" s="1004"/>
      <c r="E234" s="1011"/>
      <c r="F234" s="1011"/>
      <c r="G234" s="1011"/>
      <c r="H234" s="1011"/>
      <c r="I234" s="1011"/>
      <c r="J234" s="1011"/>
      <c r="K234" s="1011"/>
    </row>
    <row r="235" spans="1:11" s="393" customFormat="1" x14ac:dyDescent="0.3">
      <c r="A235" s="1004">
        <v>585</v>
      </c>
      <c r="B235" s="1004"/>
      <c r="C235" s="1004"/>
      <c r="D235" s="1004"/>
      <c r="E235" s="1011"/>
      <c r="F235" s="1011"/>
      <c r="G235" s="1011"/>
      <c r="H235" s="1011"/>
      <c r="I235" s="1011"/>
      <c r="J235" s="1011"/>
      <c r="K235" s="1011"/>
    </row>
    <row r="236" spans="1:11" s="393" customFormat="1" x14ac:dyDescent="0.3">
      <c r="A236" s="1004">
        <v>586</v>
      </c>
      <c r="B236" s="1004">
        <v>586</v>
      </c>
      <c r="C236" s="1004">
        <v>586</v>
      </c>
      <c r="D236" s="1004" t="s">
        <v>366</v>
      </c>
      <c r="E236" s="1011">
        <v>0</v>
      </c>
      <c r="F236" s="1011">
        <v>0</v>
      </c>
      <c r="G236" s="1011">
        <v>0</v>
      </c>
      <c r="H236" s="1011">
        <v>0</v>
      </c>
      <c r="I236" s="1011">
        <v>0</v>
      </c>
      <c r="J236" s="1011">
        <v>0</v>
      </c>
      <c r="K236" s="1011">
        <v>0</v>
      </c>
    </row>
    <row r="237" spans="1:11" s="393" customFormat="1" x14ac:dyDescent="0.3">
      <c r="A237" s="1004">
        <v>587</v>
      </c>
      <c r="B237" s="1004"/>
      <c r="C237" s="1004"/>
      <c r="D237" s="1004"/>
      <c r="E237" s="1004"/>
      <c r="F237" s="1004"/>
      <c r="G237" s="1004"/>
      <c r="H237" s="1004"/>
      <c r="I237" s="1004"/>
      <c r="J237" s="1004"/>
      <c r="K237" s="1004"/>
    </row>
    <row r="238" spans="1:11" s="393" customFormat="1" x14ac:dyDescent="0.3">
      <c r="A238" s="1004">
        <v>588</v>
      </c>
      <c r="B238" s="1004"/>
      <c r="C238" s="1004"/>
      <c r="D238" s="1004"/>
      <c r="E238" s="1004"/>
      <c r="F238" s="1004"/>
      <c r="G238" s="1004"/>
      <c r="H238" s="1004"/>
      <c r="I238" s="1004"/>
      <c r="J238" s="1004"/>
      <c r="K238" s="1004"/>
    </row>
    <row r="239" spans="1:11" s="393" customFormat="1" x14ac:dyDescent="0.3">
      <c r="A239" s="1004">
        <v>589</v>
      </c>
      <c r="B239" s="1004"/>
      <c r="C239" s="1021"/>
      <c r="D239" s="1022"/>
      <c r="E239" s="1011"/>
      <c r="F239" s="1011"/>
      <c r="G239" s="1011"/>
      <c r="H239" s="1011"/>
      <c r="I239" s="1011"/>
      <c r="J239" s="1011"/>
      <c r="K239" s="1011"/>
    </row>
    <row r="240" spans="1:11" s="393" customFormat="1" x14ac:dyDescent="0.3">
      <c r="A240" s="1004">
        <v>590</v>
      </c>
      <c r="B240" s="1004"/>
      <c r="C240" s="1021"/>
      <c r="D240" s="1022"/>
      <c r="E240" s="1011"/>
      <c r="F240" s="1011"/>
      <c r="G240" s="1011"/>
      <c r="H240" s="1011"/>
      <c r="I240" s="1011"/>
      <c r="J240" s="1011"/>
      <c r="K240" s="1011"/>
    </row>
    <row r="241" spans="1:11" s="393" customFormat="1" x14ac:dyDescent="0.3">
      <c r="A241" s="1004">
        <v>992</v>
      </c>
      <c r="B241" s="1004"/>
      <c r="C241" s="1021"/>
      <c r="D241" s="1022"/>
      <c r="E241" s="1011"/>
      <c r="F241" s="1011"/>
      <c r="G241" s="1011"/>
      <c r="H241" s="1011"/>
      <c r="I241" s="1011"/>
      <c r="J241" s="1011"/>
      <c r="K241" s="1011"/>
    </row>
    <row r="242" spans="1:11" s="396" customFormat="1" x14ac:dyDescent="0.3">
      <c r="A242" s="1004">
        <v>993</v>
      </c>
      <c r="B242" s="1004"/>
      <c r="C242" s="1021"/>
      <c r="D242" s="1022"/>
      <c r="E242" s="1011"/>
      <c r="F242" s="1011"/>
      <c r="G242" s="1011"/>
      <c r="H242" s="1011"/>
      <c r="I242" s="1011"/>
      <c r="J242" s="1011"/>
      <c r="K242" s="1011"/>
    </row>
    <row r="243" spans="1:11" s="396" customFormat="1" x14ac:dyDescent="0.3">
      <c r="A243" s="1004">
        <v>994</v>
      </c>
      <c r="B243" s="1004"/>
      <c r="C243" s="1021"/>
      <c r="D243" s="1022"/>
      <c r="E243" s="1011"/>
      <c r="F243" s="1011"/>
      <c r="G243" s="1011"/>
      <c r="H243" s="1011"/>
      <c r="I243" s="1011"/>
      <c r="J243" s="1011"/>
      <c r="K243" s="1011"/>
    </row>
    <row r="244" spans="1:11" s="396" customFormat="1" x14ac:dyDescent="0.3">
      <c r="A244" s="1004">
        <v>995</v>
      </c>
      <c r="B244" s="1004"/>
      <c r="C244" s="1021"/>
      <c r="D244" s="1022"/>
      <c r="E244" s="1011"/>
      <c r="F244" s="1011"/>
      <c r="G244" s="1011"/>
      <c r="H244" s="1011"/>
      <c r="I244" s="1011"/>
      <c r="J244" s="1011"/>
      <c r="K244" s="1011"/>
    </row>
    <row r="245" spans="1:11" s="396" customFormat="1" x14ac:dyDescent="0.3">
      <c r="A245" s="1004">
        <v>996</v>
      </c>
      <c r="B245" s="1004"/>
      <c r="C245" s="1021"/>
      <c r="D245" s="1022"/>
      <c r="E245" s="1011"/>
      <c r="F245" s="1011"/>
      <c r="G245" s="1011"/>
      <c r="H245" s="1011"/>
      <c r="I245" s="1011"/>
      <c r="J245" s="1011"/>
      <c r="K245" s="1011"/>
    </row>
    <row r="246" spans="1:11" s="393" customFormat="1" x14ac:dyDescent="0.3">
      <c r="A246" s="1004">
        <v>997</v>
      </c>
      <c r="B246" s="1004"/>
      <c r="C246" s="1021"/>
      <c r="D246" s="1022"/>
      <c r="E246" s="1011"/>
      <c r="F246" s="1011"/>
      <c r="G246" s="1011"/>
      <c r="H246" s="1011"/>
      <c r="I246" s="1011"/>
      <c r="J246" s="1011"/>
      <c r="K246" s="1011"/>
    </row>
    <row r="247" spans="1:11" s="393" customFormat="1" x14ac:dyDescent="0.3">
      <c r="A247" s="1004">
        <v>998</v>
      </c>
      <c r="B247" s="1004">
        <v>998</v>
      </c>
      <c r="C247" s="1012">
        <v>998</v>
      </c>
      <c r="D247" s="1014" t="s">
        <v>288</v>
      </c>
      <c r="E247" s="1015">
        <v>56</v>
      </c>
      <c r="F247" s="1015">
        <v>56</v>
      </c>
      <c r="G247" s="1015">
        <v>56</v>
      </c>
      <c r="H247" s="1015">
        <v>56</v>
      </c>
      <c r="I247" s="1015">
        <v>56</v>
      </c>
      <c r="J247" s="1015">
        <v>56</v>
      </c>
      <c r="K247" s="1015">
        <v>56</v>
      </c>
    </row>
    <row r="248" spans="1:11" s="393" customFormat="1" x14ac:dyDescent="0.3">
      <c r="A248" s="1004">
        <v>999</v>
      </c>
      <c r="B248" s="1004">
        <v>999</v>
      </c>
      <c r="C248" s="1012">
        <v>999</v>
      </c>
      <c r="D248" s="1014" t="s">
        <v>289</v>
      </c>
      <c r="E248" s="1015">
        <v>561205</v>
      </c>
      <c r="F248" s="1015">
        <v>561200</v>
      </c>
      <c r="G248" s="1015">
        <v>561208</v>
      </c>
      <c r="H248" s="1015">
        <v>561202</v>
      </c>
      <c r="I248" s="1015">
        <v>561204</v>
      </c>
      <c r="J248" s="1015">
        <v>561206</v>
      </c>
      <c r="K248" s="1015">
        <v>561207</v>
      </c>
    </row>
    <row r="249" spans="1:11" x14ac:dyDescent="0.3">
      <c r="A249" s="1004">
        <v>1000</v>
      </c>
      <c r="B249" s="1004"/>
      <c r="C249" s="1021"/>
      <c r="D249" s="1022"/>
      <c r="E249" s="1011"/>
      <c r="F249" s="1011"/>
      <c r="G249" s="1011"/>
      <c r="H249" s="1011"/>
      <c r="I249" s="1011"/>
      <c r="J249" s="1011"/>
      <c r="K249" s="1011"/>
    </row>
    <row r="250" spans="1:11" x14ac:dyDescent="0.3">
      <c r="A250" s="1004">
        <v>537</v>
      </c>
      <c r="B250" s="1004"/>
      <c r="C250" s="1021"/>
      <c r="D250" s="1022"/>
      <c r="E250" s="1011"/>
      <c r="F250" s="1011"/>
      <c r="G250" s="1011"/>
      <c r="H250" s="1011"/>
      <c r="I250" s="1011"/>
      <c r="J250" s="1011"/>
      <c r="K250" s="1011"/>
    </row>
    <row r="251" spans="1:11" x14ac:dyDescent="0.3">
      <c r="A251" s="1004">
        <v>538</v>
      </c>
      <c r="B251" s="1004"/>
      <c r="C251" s="1021"/>
      <c r="D251" s="1022"/>
      <c r="E251" s="1011"/>
      <c r="F251" s="1011"/>
      <c r="G251" s="1011"/>
      <c r="H251" s="1011"/>
      <c r="I251" s="1011"/>
      <c r="J251" s="1011"/>
      <c r="K251" s="1011"/>
    </row>
    <row r="252" spans="1:11" s="393" customFormat="1" x14ac:dyDescent="0.3">
      <c r="A252" s="1004">
        <v>591</v>
      </c>
      <c r="B252" s="1004">
        <v>591</v>
      </c>
      <c r="C252" s="1021">
        <v>591</v>
      </c>
      <c r="D252" s="1022" t="s">
        <v>351</v>
      </c>
      <c r="E252" s="1011">
        <v>0</v>
      </c>
      <c r="F252" s="1011">
        <v>0</v>
      </c>
      <c r="G252" s="1011">
        <v>0</v>
      </c>
      <c r="H252" s="1011">
        <v>0</v>
      </c>
      <c r="I252" s="1011">
        <v>0</v>
      </c>
      <c r="J252" s="1011">
        <v>0</v>
      </c>
      <c r="K252" s="1011">
        <v>0</v>
      </c>
    </row>
    <row r="253" spans="1:11" s="393" customFormat="1" x14ac:dyDescent="0.3">
      <c r="A253" s="1004">
        <v>592</v>
      </c>
      <c r="B253" s="1004">
        <v>592</v>
      </c>
      <c r="C253" s="1021">
        <v>592</v>
      </c>
      <c r="D253" s="1022" t="s">
        <v>352</v>
      </c>
      <c r="E253" s="1011">
        <v>0</v>
      </c>
      <c r="F253" s="1011">
        <v>0</v>
      </c>
      <c r="G253" s="1011">
        <v>0</v>
      </c>
      <c r="H253" s="1011">
        <v>0</v>
      </c>
      <c r="I253" s="1011">
        <v>0</v>
      </c>
      <c r="J253" s="1011">
        <v>0</v>
      </c>
      <c r="K253" s="1011">
        <v>0</v>
      </c>
    </row>
    <row r="254" spans="1:11" s="393" customFormat="1" x14ac:dyDescent="0.3">
      <c r="A254" s="1004">
        <v>595</v>
      </c>
      <c r="B254" s="1004"/>
      <c r="C254" s="1023">
        <v>595</v>
      </c>
      <c r="D254" s="1024" t="s">
        <v>1356</v>
      </c>
      <c r="E254" s="1011"/>
      <c r="F254" s="1011"/>
      <c r="G254" s="1011"/>
      <c r="H254" s="1011"/>
      <c r="I254" s="1011"/>
      <c r="J254" s="1011"/>
      <c r="K254" s="1011"/>
    </row>
    <row r="255" spans="1:11" s="393" customFormat="1" x14ac:dyDescent="0.3">
      <c r="A255" s="1004">
        <v>596</v>
      </c>
      <c r="B255" s="1004"/>
      <c r="C255" s="1021"/>
      <c r="D255" s="1024"/>
      <c r="E255" s="1011"/>
      <c r="F255" s="1011"/>
      <c r="G255" s="1011"/>
      <c r="H255" s="1011"/>
      <c r="I255" s="1011"/>
      <c r="J255" s="1011"/>
      <c r="K255" s="1011"/>
    </row>
    <row r="256" spans="1:11" s="393" customFormat="1" x14ac:dyDescent="0.3">
      <c r="A256" s="1004">
        <v>597</v>
      </c>
      <c r="B256" s="1004"/>
      <c r="C256" s="1021"/>
      <c r="D256" s="1024"/>
      <c r="E256" s="1011"/>
      <c r="F256" s="1011"/>
      <c r="G256" s="1011"/>
      <c r="H256" s="1011"/>
      <c r="I256" s="1011"/>
      <c r="J256" s="1011"/>
      <c r="K256" s="1011"/>
    </row>
    <row r="257" spans="1:11" s="393" customFormat="1" x14ac:dyDescent="0.3">
      <c r="A257" s="1004" t="s">
        <v>1364</v>
      </c>
      <c r="B257" s="1004"/>
      <c r="C257" s="1021"/>
      <c r="D257" s="1024"/>
      <c r="E257" s="1011"/>
      <c r="F257" s="1011"/>
      <c r="G257" s="1011"/>
      <c r="H257" s="1011"/>
      <c r="I257" s="1011"/>
      <c r="J257" s="1011"/>
      <c r="K257" s="1011"/>
    </row>
    <row r="258" spans="1:11" s="393" customFormat="1" x14ac:dyDescent="0.3">
      <c r="A258" s="1004">
        <v>598</v>
      </c>
      <c r="B258" s="1004"/>
      <c r="C258" s="1021"/>
      <c r="D258" s="1024"/>
      <c r="E258" s="1011"/>
      <c r="F258" s="1011"/>
      <c r="G258" s="1011"/>
      <c r="H258" s="1011"/>
      <c r="I258" s="1011"/>
      <c r="J258" s="1011"/>
      <c r="K258" s="1011"/>
    </row>
    <row r="259" spans="1:11" s="393" customFormat="1" x14ac:dyDescent="0.3">
      <c r="A259" s="1004">
        <v>599</v>
      </c>
      <c r="B259" s="1004"/>
      <c r="C259" s="1021"/>
      <c r="D259" s="1024"/>
      <c r="E259" s="1011"/>
      <c r="F259" s="1011"/>
      <c r="G259" s="1011"/>
      <c r="H259" s="1011"/>
      <c r="I259" s="1011"/>
      <c r="J259" s="1011"/>
      <c r="K259" s="1011"/>
    </row>
    <row r="260" spans="1:11" s="393" customFormat="1" ht="86.4" x14ac:dyDescent="0.3">
      <c r="A260" s="1004">
        <v>600</v>
      </c>
      <c r="B260" s="1004"/>
      <c r="C260" s="1021">
        <v>600</v>
      </c>
      <c r="D260" s="1025" t="s">
        <v>530</v>
      </c>
      <c r="E260" s="1011"/>
      <c r="F260" s="1011"/>
      <c r="G260" s="1011"/>
      <c r="H260" s="1011"/>
      <c r="I260" s="1011"/>
      <c r="J260" s="1011"/>
      <c r="K260" s="1011"/>
    </row>
    <row r="261" spans="1:11" s="393" customFormat="1" ht="158.4" x14ac:dyDescent="0.3">
      <c r="A261" s="1004">
        <v>601</v>
      </c>
      <c r="B261" s="1004"/>
      <c r="C261" s="1021">
        <v>601</v>
      </c>
      <c r="D261" s="1022" t="s">
        <v>531</v>
      </c>
      <c r="E261" s="1011"/>
      <c r="F261" s="1011"/>
      <c r="G261" s="1011"/>
      <c r="H261" s="1011"/>
      <c r="I261" s="1011"/>
      <c r="J261" s="1011"/>
      <c r="K261" s="1011"/>
    </row>
    <row r="262" spans="1:11" s="393" customFormat="1" x14ac:dyDescent="0.3">
      <c r="A262" s="1004">
        <v>602</v>
      </c>
      <c r="B262" s="1004"/>
      <c r="C262" s="1021"/>
      <c r="D262" s="1022"/>
      <c r="E262" s="1011"/>
      <c r="F262" s="1011"/>
      <c r="G262" s="1011"/>
      <c r="H262" s="1011"/>
      <c r="I262" s="1011"/>
      <c r="J262" s="1011"/>
      <c r="K262" s="1011"/>
    </row>
    <row r="263" spans="1:11" s="393" customFormat="1" ht="144" x14ac:dyDescent="0.3">
      <c r="A263" s="1004">
        <v>603</v>
      </c>
      <c r="B263" s="1006" t="s">
        <v>1365</v>
      </c>
      <c r="C263" s="1026">
        <v>603</v>
      </c>
      <c r="D263" s="1027" t="s">
        <v>387</v>
      </c>
      <c r="E263" s="1011"/>
      <c r="F263" s="1011"/>
      <c r="G263" s="1011"/>
      <c r="H263" s="1011"/>
      <c r="I263" s="1011"/>
      <c r="J263" s="1011"/>
      <c r="K263" s="1011"/>
    </row>
    <row r="264" spans="1:11" s="393" customFormat="1" ht="115.2" x14ac:dyDescent="0.3">
      <c r="A264" s="1004">
        <v>604</v>
      </c>
      <c r="B264" s="1004"/>
      <c r="C264" s="1026">
        <v>604</v>
      </c>
      <c r="D264" s="1027" t="s">
        <v>388</v>
      </c>
      <c r="E264" s="1011"/>
      <c r="F264" s="1011"/>
      <c r="G264" s="1011"/>
      <c r="H264" s="1011"/>
      <c r="I264" s="1011"/>
      <c r="J264" s="1011"/>
      <c r="K264" s="1011"/>
    </row>
    <row r="265" spans="1:11" s="393" customFormat="1" ht="28.8" x14ac:dyDescent="0.3">
      <c r="A265" s="1004">
        <v>605</v>
      </c>
      <c r="B265" s="1004"/>
      <c r="C265" s="1021">
        <v>605</v>
      </c>
      <c r="D265" s="1022" t="s">
        <v>390</v>
      </c>
      <c r="E265" s="1011">
        <v>0</v>
      </c>
      <c r="F265" s="1011">
        <v>0</v>
      </c>
      <c r="G265" s="1011">
        <v>0</v>
      </c>
      <c r="H265" s="1011">
        <v>0</v>
      </c>
      <c r="I265" s="1011">
        <v>0</v>
      </c>
      <c r="J265" s="1011">
        <v>0</v>
      </c>
      <c r="K265" s="1011">
        <v>0</v>
      </c>
    </row>
    <row r="266" spans="1:11" s="393" customFormat="1" ht="28.8" x14ac:dyDescent="0.3">
      <c r="A266" s="1004">
        <v>606</v>
      </c>
      <c r="B266" s="1004">
        <v>606</v>
      </c>
      <c r="C266" s="1021">
        <v>606</v>
      </c>
      <c r="D266" s="1022" t="s">
        <v>401</v>
      </c>
      <c r="E266" s="1011">
        <v>1</v>
      </c>
      <c r="F266" s="1011">
        <v>1</v>
      </c>
      <c r="G266" s="1011">
        <v>1</v>
      </c>
      <c r="H266" s="1011">
        <v>0</v>
      </c>
      <c r="I266" s="1011">
        <v>1</v>
      </c>
      <c r="J266" s="1011">
        <v>1</v>
      </c>
      <c r="K266" s="1011">
        <v>1</v>
      </c>
    </row>
    <row r="267" spans="1:11" s="393" customFormat="1" x14ac:dyDescent="0.3">
      <c r="A267" s="1004">
        <v>607</v>
      </c>
      <c r="B267" s="1004"/>
      <c r="C267" s="1021">
        <v>607</v>
      </c>
      <c r="D267" s="1022" t="s">
        <v>380</v>
      </c>
      <c r="E267" s="1011">
        <v>0</v>
      </c>
      <c r="F267" s="1011">
        <v>0</v>
      </c>
      <c r="G267" s="1011">
        <v>0</v>
      </c>
      <c r="H267" s="1011">
        <v>0</v>
      </c>
      <c r="I267" s="1011">
        <v>0</v>
      </c>
      <c r="J267" s="1011">
        <v>0</v>
      </c>
      <c r="K267" s="1011">
        <v>0</v>
      </c>
    </row>
    <row r="268" spans="1:11" s="393" customFormat="1" x14ac:dyDescent="0.3">
      <c r="A268" s="1004">
        <v>608</v>
      </c>
      <c r="B268" s="1004"/>
      <c r="C268" s="1021">
        <v>608</v>
      </c>
      <c r="D268" s="1022" t="s">
        <v>381</v>
      </c>
      <c r="E268" s="1011">
        <v>0</v>
      </c>
      <c r="F268" s="1011">
        <v>0</v>
      </c>
      <c r="G268" s="1011">
        <v>0</v>
      </c>
      <c r="H268" s="1011">
        <v>0</v>
      </c>
      <c r="I268" s="1011">
        <v>0</v>
      </c>
      <c r="J268" s="1011">
        <v>0</v>
      </c>
      <c r="K268" s="1011">
        <v>0</v>
      </c>
    </row>
    <row r="269" spans="1:11" s="393" customFormat="1" ht="28.8" x14ac:dyDescent="0.3">
      <c r="A269" s="1004">
        <v>609</v>
      </c>
      <c r="B269" s="1004"/>
      <c r="C269" s="1021">
        <v>609</v>
      </c>
      <c r="D269" s="1022" t="s">
        <v>1357</v>
      </c>
      <c r="E269" s="1028">
        <v>0</v>
      </c>
      <c r="F269" s="1028">
        <v>0</v>
      </c>
      <c r="G269" s="1028">
        <v>0</v>
      </c>
      <c r="H269" s="1028">
        <v>0</v>
      </c>
      <c r="I269" s="1028">
        <v>0</v>
      </c>
      <c r="J269" s="1028">
        <v>0</v>
      </c>
      <c r="K269" s="1028">
        <v>0</v>
      </c>
    </row>
    <row r="270" spans="1:11" s="393" customFormat="1" x14ac:dyDescent="0.3">
      <c r="A270" s="1004">
        <v>610</v>
      </c>
      <c r="B270" s="1004"/>
      <c r="C270" s="1021">
        <v>610</v>
      </c>
      <c r="D270" s="1022" t="s">
        <v>382</v>
      </c>
      <c r="E270" s="1011">
        <v>0</v>
      </c>
      <c r="F270" s="1011">
        <v>0</v>
      </c>
      <c r="G270" s="1011">
        <v>0</v>
      </c>
      <c r="H270" s="1011">
        <v>0</v>
      </c>
      <c r="I270" s="1011">
        <v>0</v>
      </c>
      <c r="J270" s="1011">
        <v>0</v>
      </c>
      <c r="K270" s="1011">
        <v>0</v>
      </c>
    </row>
    <row r="271" spans="1:11" s="393" customFormat="1" x14ac:dyDescent="0.3">
      <c r="A271" s="1004">
        <v>611</v>
      </c>
      <c r="B271" s="1004"/>
      <c r="C271" s="1021">
        <v>611</v>
      </c>
      <c r="D271" s="1022" t="s">
        <v>383</v>
      </c>
      <c r="E271" s="1011">
        <v>0</v>
      </c>
      <c r="F271" s="1011">
        <v>0</v>
      </c>
      <c r="G271" s="1011">
        <v>0</v>
      </c>
      <c r="H271" s="1011">
        <v>0</v>
      </c>
      <c r="I271" s="1011">
        <v>0</v>
      </c>
      <c r="J271" s="1011">
        <v>0</v>
      </c>
      <c r="K271" s="1011">
        <v>0</v>
      </c>
    </row>
    <row r="272" spans="1:11" s="393" customFormat="1" ht="28.8" x14ac:dyDescent="0.3">
      <c r="A272" s="1004">
        <v>612</v>
      </c>
      <c r="B272" s="1004"/>
      <c r="C272" s="1021">
        <v>612</v>
      </c>
      <c r="D272" s="1022" t="s">
        <v>1358</v>
      </c>
      <c r="E272" s="1028">
        <v>0</v>
      </c>
      <c r="F272" s="1028">
        <v>0</v>
      </c>
      <c r="G272" s="1028">
        <v>0</v>
      </c>
      <c r="H272" s="1028">
        <v>0</v>
      </c>
      <c r="I272" s="1028">
        <v>0</v>
      </c>
      <c r="J272" s="1028">
        <v>0</v>
      </c>
      <c r="K272" s="1028">
        <v>0</v>
      </c>
    </row>
    <row r="273" spans="1:11" s="393" customFormat="1" x14ac:dyDescent="0.3">
      <c r="A273" s="1004">
        <v>613</v>
      </c>
      <c r="B273" s="1004"/>
      <c r="C273" s="1021">
        <v>613</v>
      </c>
      <c r="D273" s="1022" t="s">
        <v>391</v>
      </c>
      <c r="E273" s="1011">
        <v>0</v>
      </c>
      <c r="F273" s="1011">
        <v>0</v>
      </c>
      <c r="G273" s="1011">
        <v>0</v>
      </c>
      <c r="H273" s="1011">
        <v>0</v>
      </c>
      <c r="I273" s="1011">
        <v>0</v>
      </c>
      <c r="J273" s="1011">
        <v>0</v>
      </c>
      <c r="K273" s="1011">
        <v>0</v>
      </c>
    </row>
    <row r="274" spans="1:11" s="393" customFormat="1" x14ac:dyDescent="0.3">
      <c r="A274" s="1004">
        <v>614</v>
      </c>
      <c r="B274" s="1004"/>
      <c r="C274" s="1021">
        <v>614</v>
      </c>
      <c r="D274" s="1022" t="s">
        <v>384</v>
      </c>
      <c r="E274" s="1011">
        <v>0</v>
      </c>
      <c r="F274" s="1011">
        <v>0</v>
      </c>
      <c r="G274" s="1011">
        <v>0</v>
      </c>
      <c r="H274" s="1011">
        <v>0</v>
      </c>
      <c r="I274" s="1011">
        <v>0</v>
      </c>
      <c r="J274" s="1011">
        <v>0</v>
      </c>
      <c r="K274" s="1011">
        <v>0</v>
      </c>
    </row>
    <row r="275" spans="1:11" s="393" customFormat="1" ht="28.8" x14ac:dyDescent="0.3">
      <c r="A275" s="1004">
        <v>615</v>
      </c>
      <c r="B275" s="1004"/>
      <c r="C275" s="1021">
        <v>615</v>
      </c>
      <c r="D275" s="1022" t="s">
        <v>1359</v>
      </c>
      <c r="E275" s="1028">
        <v>0</v>
      </c>
      <c r="F275" s="1028">
        <v>0</v>
      </c>
      <c r="G275" s="1028">
        <v>0</v>
      </c>
      <c r="H275" s="1028">
        <v>0</v>
      </c>
      <c r="I275" s="1028">
        <v>0</v>
      </c>
      <c r="J275" s="1028">
        <v>0</v>
      </c>
      <c r="K275" s="1028">
        <v>0</v>
      </c>
    </row>
    <row r="276" spans="1:11" s="393" customFormat="1" x14ac:dyDescent="0.3">
      <c r="A276" s="1004">
        <v>616</v>
      </c>
      <c r="B276" s="1004"/>
      <c r="C276" s="1021">
        <v>616</v>
      </c>
      <c r="D276" s="1022" t="s">
        <v>385</v>
      </c>
      <c r="E276" s="1011">
        <v>0</v>
      </c>
      <c r="F276" s="1011">
        <v>0</v>
      </c>
      <c r="G276" s="1011">
        <v>0</v>
      </c>
      <c r="H276" s="1011">
        <v>0</v>
      </c>
      <c r="I276" s="1011">
        <v>0</v>
      </c>
      <c r="J276" s="1011">
        <v>0</v>
      </c>
      <c r="K276" s="1011">
        <v>0</v>
      </c>
    </row>
    <row r="277" spans="1:11" s="393" customFormat="1" x14ac:dyDescent="0.3">
      <c r="A277" s="1004">
        <v>617</v>
      </c>
      <c r="B277" s="1004"/>
      <c r="C277" s="1021">
        <v>617</v>
      </c>
      <c r="D277" s="1022" t="s">
        <v>386</v>
      </c>
      <c r="E277" s="1011">
        <v>0</v>
      </c>
      <c r="F277" s="1011">
        <v>0</v>
      </c>
      <c r="G277" s="1011">
        <v>0</v>
      </c>
      <c r="H277" s="1011">
        <v>0</v>
      </c>
      <c r="I277" s="1011">
        <v>0</v>
      </c>
      <c r="J277" s="1011">
        <v>0</v>
      </c>
      <c r="K277" s="1011">
        <v>0</v>
      </c>
    </row>
    <row r="278" spans="1:11" s="393" customFormat="1" ht="28.8" x14ac:dyDescent="0.3">
      <c r="A278" s="1004">
        <v>618</v>
      </c>
      <c r="B278" s="1004"/>
      <c r="C278" s="1021">
        <v>618</v>
      </c>
      <c r="D278" s="1022" t="s">
        <v>398</v>
      </c>
      <c r="E278" s="1028">
        <v>0</v>
      </c>
      <c r="F278" s="1028">
        <v>0</v>
      </c>
      <c r="G278" s="1028">
        <v>0</v>
      </c>
      <c r="H278" s="1028">
        <v>0</v>
      </c>
      <c r="I278" s="1028">
        <v>0</v>
      </c>
      <c r="J278" s="1028">
        <v>0</v>
      </c>
      <c r="K278" s="1028">
        <v>0</v>
      </c>
    </row>
    <row r="279" spans="1:11" s="393" customFormat="1" x14ac:dyDescent="0.3">
      <c r="A279" s="1004">
        <v>619</v>
      </c>
      <c r="B279" s="1004"/>
      <c r="C279" s="1021"/>
      <c r="D279" s="1022"/>
      <c r="E279" s="1028"/>
      <c r="F279" s="1028"/>
      <c r="G279" s="1028"/>
      <c r="H279" s="1028"/>
      <c r="I279" s="1028"/>
      <c r="J279" s="1028"/>
      <c r="K279" s="1028"/>
    </row>
    <row r="280" spans="1:11" s="393" customFormat="1" x14ac:dyDescent="0.3">
      <c r="A280" s="1004">
        <v>620</v>
      </c>
      <c r="B280" s="1004"/>
      <c r="C280" s="1021"/>
      <c r="D280" s="1022"/>
      <c r="E280" s="1028"/>
      <c r="F280" s="1028"/>
      <c r="G280" s="1028"/>
      <c r="H280" s="1028"/>
      <c r="I280" s="1028"/>
      <c r="J280" s="1028"/>
      <c r="K280" s="1028"/>
    </row>
    <row r="281" spans="1:11" s="393" customFormat="1" x14ac:dyDescent="0.3">
      <c r="A281" s="1004">
        <v>621</v>
      </c>
      <c r="B281" s="1004">
        <v>621</v>
      </c>
      <c r="C281" s="1029">
        <v>621</v>
      </c>
      <c r="D281" s="1030" t="s">
        <v>1360</v>
      </c>
      <c r="E281" s="1028">
        <v>0</v>
      </c>
      <c r="F281" s="1028">
        <v>0</v>
      </c>
      <c r="G281" s="1028">
        <v>0</v>
      </c>
      <c r="H281" s="1028">
        <v>0</v>
      </c>
      <c r="I281" s="1028">
        <v>0</v>
      </c>
      <c r="J281" s="1028">
        <v>5784690</v>
      </c>
      <c r="K281" s="1028">
        <v>0</v>
      </c>
    </row>
    <row r="282" spans="1:11" s="393" customFormat="1" x14ac:dyDescent="0.3">
      <c r="A282" s="1004">
        <v>622</v>
      </c>
      <c r="B282" s="1004">
        <v>622</v>
      </c>
      <c r="C282" s="1031">
        <v>622</v>
      </c>
      <c r="D282" s="1032" t="s">
        <v>408</v>
      </c>
      <c r="E282" s="1028">
        <v>2655002</v>
      </c>
      <c r="F282" s="1028">
        <v>1840368</v>
      </c>
      <c r="G282" s="1028">
        <v>4982567</v>
      </c>
      <c r="H282" s="1028">
        <v>1352899</v>
      </c>
      <c r="I282" s="1028">
        <v>841470</v>
      </c>
      <c r="J282" s="1028">
        <v>1376385</v>
      </c>
      <c r="K282" s="1028">
        <v>688465</v>
      </c>
    </row>
    <row r="283" spans="1:11" s="393" customFormat="1" x14ac:dyDescent="0.3">
      <c r="A283" s="1004">
        <v>624</v>
      </c>
      <c r="B283" s="1004"/>
      <c r="C283" s="1031"/>
      <c r="D283" s="1032"/>
      <c r="E283" s="1028"/>
      <c r="F283" s="1028"/>
      <c r="G283" s="1028"/>
      <c r="H283" s="1028"/>
      <c r="I283" s="1028"/>
      <c r="J283" s="1028"/>
      <c r="K283" s="1028"/>
    </row>
    <row r="284" spans="1:11" s="393" customFormat="1" ht="100.8" x14ac:dyDescent="0.3">
      <c r="A284" s="1004">
        <v>625</v>
      </c>
      <c r="B284" s="1004"/>
      <c r="C284" s="1033">
        <v>625</v>
      </c>
      <c r="D284" s="1034" t="s">
        <v>499</v>
      </c>
      <c r="E284" s="1028">
        <v>0</v>
      </c>
      <c r="F284" s="1028">
        <v>0</v>
      </c>
      <c r="G284" s="1028">
        <v>0</v>
      </c>
      <c r="H284" s="1028">
        <v>0</v>
      </c>
      <c r="I284" s="1028">
        <v>0</v>
      </c>
      <c r="J284" s="1028">
        <v>0</v>
      </c>
      <c r="K284" s="1028">
        <v>0</v>
      </c>
    </row>
    <row r="285" spans="1:11" s="393" customFormat="1" x14ac:dyDescent="0.3">
      <c r="A285" s="1004">
        <v>626</v>
      </c>
      <c r="B285" s="1004">
        <v>626</v>
      </c>
      <c r="C285" s="1031"/>
      <c r="D285" s="1032"/>
      <c r="E285" s="1028">
        <v>0</v>
      </c>
      <c r="F285" s="1028">
        <v>124374</v>
      </c>
      <c r="G285" s="1028">
        <v>9445051</v>
      </c>
      <c r="H285" s="1028">
        <v>990305</v>
      </c>
      <c r="I285" s="1028">
        <v>691774</v>
      </c>
      <c r="J285" s="1028">
        <v>265238</v>
      </c>
      <c r="K285" s="1028">
        <v>875816</v>
      </c>
    </row>
    <row r="286" spans="1:11" s="393" customFormat="1" x14ac:dyDescent="0.3">
      <c r="A286" s="1004">
        <v>627</v>
      </c>
      <c r="B286" s="1004">
        <v>627</v>
      </c>
      <c r="C286" s="1031"/>
      <c r="D286" s="1032"/>
      <c r="E286" s="1028">
        <v>0</v>
      </c>
      <c r="F286" s="1028">
        <v>0</v>
      </c>
      <c r="G286" s="1028">
        <v>0</v>
      </c>
      <c r="H286" s="1028">
        <v>0</v>
      </c>
      <c r="I286" s="1028">
        <v>0</v>
      </c>
      <c r="J286" s="1028">
        <v>0</v>
      </c>
      <c r="K286" s="1028">
        <v>0</v>
      </c>
    </row>
    <row r="287" spans="1:11" s="393" customFormat="1" x14ac:dyDescent="0.3">
      <c r="A287" s="1004">
        <v>628</v>
      </c>
      <c r="B287" s="1004">
        <v>628</v>
      </c>
      <c r="C287" s="1031"/>
      <c r="D287" s="1032"/>
      <c r="E287" s="1028">
        <v>0</v>
      </c>
      <c r="F287" s="1028">
        <v>35911</v>
      </c>
      <c r="G287" s="1028">
        <v>858864</v>
      </c>
      <c r="H287" s="1028">
        <v>329371</v>
      </c>
      <c r="I287" s="1028">
        <v>165627</v>
      </c>
      <c r="J287" s="1028">
        <v>38959</v>
      </c>
      <c r="K287" s="1028">
        <v>0</v>
      </c>
    </row>
    <row r="288" spans="1:11" s="393" customFormat="1" x14ac:dyDescent="0.3">
      <c r="A288" s="1004">
        <v>629</v>
      </c>
      <c r="B288" s="1004">
        <v>629</v>
      </c>
      <c r="C288" s="1031"/>
      <c r="D288" s="1032"/>
      <c r="E288" s="1028">
        <v>0</v>
      </c>
      <c r="F288" s="1028">
        <v>0</v>
      </c>
      <c r="G288" s="1028">
        <v>4982567</v>
      </c>
      <c r="H288" s="1028">
        <v>0</v>
      </c>
      <c r="I288" s="1028">
        <v>0</v>
      </c>
      <c r="J288" s="1028">
        <v>0</v>
      </c>
      <c r="K288" s="1028">
        <v>0</v>
      </c>
    </row>
    <row r="289" spans="1:11" s="393" customFormat="1" x14ac:dyDescent="0.3">
      <c r="A289" s="1004">
        <v>630</v>
      </c>
      <c r="B289" s="1004">
        <v>630</v>
      </c>
      <c r="C289" s="1031"/>
      <c r="D289" s="1032"/>
      <c r="E289" s="1028">
        <v>0</v>
      </c>
      <c r="F289" s="1028">
        <v>0</v>
      </c>
      <c r="G289" s="1028">
        <v>942682</v>
      </c>
      <c r="H289" s="1028">
        <v>346181</v>
      </c>
      <c r="I289" s="1028">
        <v>0</v>
      </c>
      <c r="J289" s="1028">
        <v>0</v>
      </c>
      <c r="K289" s="1028">
        <v>0</v>
      </c>
    </row>
    <row r="290" spans="1:11" s="393" customFormat="1" x14ac:dyDescent="0.3">
      <c r="A290" s="1004">
        <v>631</v>
      </c>
      <c r="B290" s="1004">
        <v>631</v>
      </c>
      <c r="C290" s="1031"/>
      <c r="D290" s="1032"/>
      <c r="E290" s="1028">
        <v>0</v>
      </c>
      <c r="F290" s="1028">
        <v>0</v>
      </c>
      <c r="G290" s="1028">
        <v>1911771</v>
      </c>
      <c r="H290" s="1028">
        <v>0</v>
      </c>
      <c r="I290" s="1028">
        <v>0</v>
      </c>
      <c r="J290" s="1028">
        <v>0</v>
      </c>
      <c r="K290" s="1028">
        <v>0</v>
      </c>
    </row>
    <row r="291" spans="1:11" s="393" customFormat="1" x14ac:dyDescent="0.3">
      <c r="A291" s="1004">
        <v>632</v>
      </c>
      <c r="B291" s="1004"/>
      <c r="C291" s="1031"/>
      <c r="D291" s="1032"/>
      <c r="E291" s="1028"/>
      <c r="F291" s="1028"/>
      <c r="G291" s="1028"/>
      <c r="H291" s="1028"/>
      <c r="I291" s="1028"/>
      <c r="J291" s="1028"/>
      <c r="K291" s="1028"/>
    </row>
    <row r="292" spans="1:11" s="393" customFormat="1" x14ac:dyDescent="0.3">
      <c r="A292" s="1004">
        <v>633</v>
      </c>
      <c r="B292" s="1004"/>
      <c r="C292" s="1031"/>
      <c r="D292" s="1032"/>
      <c r="E292" s="1028"/>
      <c r="F292" s="1028"/>
      <c r="G292" s="1028"/>
      <c r="H292" s="1028"/>
      <c r="I292" s="1028"/>
      <c r="J292" s="1028"/>
      <c r="K292" s="1028"/>
    </row>
    <row r="293" spans="1:11" s="393" customFormat="1" x14ac:dyDescent="0.3">
      <c r="A293" s="1004">
        <v>634</v>
      </c>
      <c r="B293" s="1004"/>
      <c r="C293" s="1031"/>
      <c r="D293" s="1032"/>
      <c r="E293" s="1028"/>
      <c r="F293" s="1028"/>
      <c r="G293" s="1028"/>
      <c r="H293" s="1028"/>
      <c r="I293" s="1028"/>
      <c r="J293" s="1028"/>
      <c r="K293" s="1028"/>
    </row>
    <row r="294" spans="1:11" s="393" customFormat="1" x14ac:dyDescent="0.3">
      <c r="A294" s="1004">
        <v>635</v>
      </c>
      <c r="B294" s="1004"/>
      <c r="C294" s="1031"/>
      <c r="D294" s="1032"/>
      <c r="E294" s="1028"/>
      <c r="F294" s="1028"/>
      <c r="G294" s="1028"/>
      <c r="H294" s="1028"/>
      <c r="I294" s="1028"/>
      <c r="J294" s="1028"/>
      <c r="K294" s="1028"/>
    </row>
    <row r="295" spans="1:11" s="393" customFormat="1" x14ac:dyDescent="0.3">
      <c r="A295" s="1004">
        <v>636</v>
      </c>
      <c r="B295" s="1004"/>
      <c r="C295" s="1031"/>
      <c r="D295" s="1032"/>
      <c r="E295" s="1028"/>
      <c r="F295" s="1028"/>
      <c r="G295" s="1028"/>
      <c r="H295" s="1028"/>
      <c r="I295" s="1028"/>
      <c r="J295" s="1028"/>
      <c r="K295" s="1028"/>
    </row>
    <row r="296" spans="1:11" s="393" customFormat="1" x14ac:dyDescent="0.3">
      <c r="A296" s="1004">
        <v>637</v>
      </c>
      <c r="B296" s="1004"/>
      <c r="C296" s="1031"/>
      <c r="D296" s="1032"/>
      <c r="E296" s="1028"/>
      <c r="F296" s="1028"/>
      <c r="G296" s="1028"/>
      <c r="H296" s="1028"/>
      <c r="I296" s="1028"/>
      <c r="J296" s="1028"/>
      <c r="K296" s="1028"/>
    </row>
    <row r="297" spans="1:11" s="393" customFormat="1" x14ac:dyDescent="0.3">
      <c r="A297" s="1004">
        <v>638</v>
      </c>
      <c r="B297" s="1004"/>
      <c r="C297" s="1031"/>
      <c r="D297" s="1032"/>
      <c r="E297" s="1028"/>
      <c r="F297" s="1028"/>
      <c r="G297" s="1028"/>
      <c r="H297" s="1028"/>
      <c r="I297" s="1028"/>
      <c r="J297" s="1028"/>
      <c r="K297" s="1028"/>
    </row>
    <row r="298" spans="1:11" s="393" customFormat="1" x14ac:dyDescent="0.3">
      <c r="A298" s="1004">
        <v>639</v>
      </c>
      <c r="B298" s="1004"/>
      <c r="C298" s="1004"/>
      <c r="D298" s="1004"/>
      <c r="E298" s="1028"/>
      <c r="F298" s="1028"/>
      <c r="G298" s="1028"/>
      <c r="H298" s="1028"/>
      <c r="I298" s="1028"/>
      <c r="J298" s="1028"/>
      <c r="K298" s="1028"/>
    </row>
    <row r="299" spans="1:11" s="393" customFormat="1" x14ac:dyDescent="0.3">
      <c r="A299" s="1004">
        <v>640</v>
      </c>
      <c r="B299" s="1004"/>
      <c r="C299" s="1004"/>
      <c r="D299" s="1004"/>
      <c r="E299" s="1028"/>
      <c r="F299" s="1028"/>
      <c r="G299" s="1028"/>
      <c r="H299" s="1028"/>
      <c r="I299" s="1028"/>
      <c r="J299" s="1028"/>
      <c r="K299" s="1028"/>
    </row>
    <row r="300" spans="1:11" s="393" customFormat="1" x14ac:dyDescent="0.3">
      <c r="A300" s="1004">
        <v>641</v>
      </c>
      <c r="B300" s="1004"/>
      <c r="C300" s="1004"/>
      <c r="D300" s="1004"/>
      <c r="E300" s="1028"/>
      <c r="F300" s="1028"/>
      <c r="G300" s="1028"/>
      <c r="H300" s="1028"/>
      <c r="I300" s="1028"/>
      <c r="J300" s="1028"/>
      <c r="K300" s="1028"/>
    </row>
    <row r="301" spans="1:11" s="393" customFormat="1" x14ac:dyDescent="0.3">
      <c r="A301" s="1004">
        <v>642</v>
      </c>
      <c r="B301" s="1004"/>
      <c r="C301" s="1004"/>
      <c r="D301" s="1004"/>
      <c r="E301" s="1028"/>
      <c r="F301" s="1028"/>
      <c r="G301" s="1028"/>
      <c r="H301" s="1028"/>
      <c r="I301" s="1028"/>
      <c r="J301" s="1028"/>
      <c r="K301" s="1028"/>
    </row>
    <row r="302" spans="1:11" s="393" customFormat="1" x14ac:dyDescent="0.3">
      <c r="A302" s="1004">
        <v>643</v>
      </c>
      <c r="B302" s="1004"/>
      <c r="C302" s="1004"/>
      <c r="D302" s="1004"/>
      <c r="E302" s="1028"/>
      <c r="F302" s="1028"/>
      <c r="G302" s="1028"/>
      <c r="H302" s="1028"/>
      <c r="I302" s="1028"/>
      <c r="J302" s="1028"/>
      <c r="K302" s="1028"/>
    </row>
    <row r="303" spans="1:11" s="393" customFormat="1" x14ac:dyDescent="0.3">
      <c r="A303" s="1004">
        <v>644</v>
      </c>
      <c r="B303" s="1004"/>
      <c r="C303" s="1004"/>
      <c r="D303" s="1004"/>
      <c r="E303" s="1028"/>
      <c r="F303" s="1028"/>
      <c r="G303" s="1028"/>
      <c r="H303" s="1028"/>
      <c r="I303" s="1028"/>
      <c r="J303" s="1028"/>
      <c r="K303" s="1028"/>
    </row>
    <row r="304" spans="1:11" s="393" customFormat="1" x14ac:dyDescent="0.3">
      <c r="A304" s="1004">
        <v>645</v>
      </c>
      <c r="B304" s="1004">
        <v>645</v>
      </c>
      <c r="C304" s="1004"/>
      <c r="D304" s="1004"/>
      <c r="E304" s="1028">
        <v>1954365</v>
      </c>
      <c r="F304" s="1028">
        <v>406960</v>
      </c>
      <c r="G304" s="1028">
        <v>901167</v>
      </c>
      <c r="H304" s="1028">
        <v>1156688</v>
      </c>
      <c r="I304" s="1028">
        <v>593372</v>
      </c>
      <c r="J304" s="1028">
        <v>0</v>
      </c>
      <c r="K304" s="1028">
        <v>0</v>
      </c>
    </row>
    <row r="305" spans="1:11" s="393" customFormat="1" x14ac:dyDescent="0.3">
      <c r="A305" s="1004">
        <v>646</v>
      </c>
      <c r="B305" s="1004">
        <v>646</v>
      </c>
      <c r="C305" s="1004"/>
      <c r="D305" s="1004"/>
      <c r="E305" s="1028">
        <v>4437551</v>
      </c>
      <c r="F305" s="1028">
        <v>2638082</v>
      </c>
      <c r="G305" s="1028">
        <v>6286999</v>
      </c>
      <c r="H305" s="1028">
        <v>243097</v>
      </c>
      <c r="I305" s="1028">
        <v>692337</v>
      </c>
      <c r="J305" s="1028">
        <v>374676</v>
      </c>
      <c r="K305" s="1028">
        <v>3828948</v>
      </c>
    </row>
    <row r="306" spans="1:11" s="393" customFormat="1" x14ac:dyDescent="0.3">
      <c r="A306" s="1004">
        <v>647</v>
      </c>
      <c r="B306" s="1004"/>
      <c r="C306" s="1004"/>
      <c r="D306" s="1004"/>
      <c r="E306" s="1028"/>
      <c r="F306" s="1028"/>
      <c r="G306" s="1028"/>
      <c r="H306" s="1028"/>
      <c r="I306" s="1028"/>
      <c r="J306" s="1028"/>
      <c r="K306" s="1028"/>
    </row>
    <row r="307" spans="1:11" s="393" customFormat="1" x14ac:dyDescent="0.3">
      <c r="A307" s="1004">
        <v>654</v>
      </c>
      <c r="B307" s="1004"/>
      <c r="C307" s="1004"/>
      <c r="D307" s="1004"/>
      <c r="E307" s="1028"/>
      <c r="F307" s="1028"/>
      <c r="G307" s="1028"/>
      <c r="H307" s="1028"/>
      <c r="I307" s="1028"/>
      <c r="J307" s="1028"/>
      <c r="K307" s="1028"/>
    </row>
    <row r="308" spans="1:11" s="393" customFormat="1" x14ac:dyDescent="0.3">
      <c r="A308" s="1004">
        <v>655</v>
      </c>
      <c r="B308" s="1004"/>
      <c r="C308" s="1004"/>
      <c r="D308" s="1004"/>
      <c r="E308" s="1028"/>
      <c r="F308" s="1028"/>
      <c r="G308" s="1028"/>
      <c r="H308" s="1028"/>
      <c r="I308" s="1028"/>
      <c r="J308" s="1028"/>
      <c r="K308" s="1028"/>
    </row>
    <row r="309" spans="1:11" s="393" customFormat="1" x14ac:dyDescent="0.3">
      <c r="A309" s="1004">
        <v>656</v>
      </c>
      <c r="B309" s="1004"/>
      <c r="C309" s="1004"/>
      <c r="D309" s="1004"/>
      <c r="E309" s="1028"/>
      <c r="F309" s="1028"/>
      <c r="G309" s="1028"/>
      <c r="H309" s="1028"/>
      <c r="I309" s="1028"/>
      <c r="J309" s="1028"/>
      <c r="K309" s="1028"/>
    </row>
    <row r="310" spans="1:11" s="393" customFormat="1" x14ac:dyDescent="0.3">
      <c r="A310" s="1004">
        <v>657</v>
      </c>
      <c r="B310" s="1004"/>
      <c r="C310" s="1004"/>
      <c r="D310" s="1004"/>
      <c r="E310" s="1028"/>
      <c r="F310" s="1028"/>
      <c r="G310" s="1028"/>
      <c r="H310" s="1028"/>
      <c r="I310" s="1028"/>
      <c r="J310" s="1028"/>
      <c r="K310" s="1028"/>
    </row>
    <row r="311" spans="1:11" s="393" customFormat="1" x14ac:dyDescent="0.3">
      <c r="A311" s="1004">
        <v>658</v>
      </c>
      <c r="B311" s="1004"/>
      <c r="C311" s="1004"/>
      <c r="D311" s="1004"/>
      <c r="E311" s="1028"/>
      <c r="F311" s="1028"/>
      <c r="G311" s="1028"/>
      <c r="H311" s="1028"/>
      <c r="I311" s="1028"/>
      <c r="J311" s="1028"/>
      <c r="K311" s="1028"/>
    </row>
    <row r="312" spans="1:11" s="393" customFormat="1" x14ac:dyDescent="0.3">
      <c r="A312" s="1004">
        <v>659</v>
      </c>
      <c r="B312" s="1004">
        <v>659</v>
      </c>
      <c r="C312" s="1004"/>
      <c r="D312" s="1004"/>
      <c r="E312" s="1028">
        <v>23781487</v>
      </c>
      <c r="F312" s="1028">
        <v>1687480</v>
      </c>
      <c r="G312" s="1028">
        <v>1911771</v>
      </c>
      <c r="H312" s="1028">
        <v>7000271</v>
      </c>
      <c r="I312" s="1028">
        <v>1845785</v>
      </c>
      <c r="J312" s="1028">
        <v>0</v>
      </c>
      <c r="K312" s="1028">
        <v>0</v>
      </c>
    </row>
    <row r="313" spans="1:11" s="393" customFormat="1" x14ac:dyDescent="0.3">
      <c r="A313" s="1004">
        <v>660</v>
      </c>
      <c r="B313" s="1004">
        <v>660</v>
      </c>
      <c r="C313" s="1004"/>
      <c r="D313" s="1004"/>
      <c r="E313" s="1028">
        <v>2326047</v>
      </c>
      <c r="F313" s="1028">
        <v>226537</v>
      </c>
      <c r="G313" s="1028">
        <v>0</v>
      </c>
      <c r="H313" s="1028">
        <v>0</v>
      </c>
      <c r="I313" s="1028">
        <v>0</v>
      </c>
      <c r="J313" s="1028">
        <v>0</v>
      </c>
      <c r="K313" s="1028">
        <v>0</v>
      </c>
    </row>
    <row r="314" spans="1:11" s="393" customFormat="1" x14ac:dyDescent="0.3">
      <c r="A314" s="1004">
        <v>661</v>
      </c>
      <c r="B314" s="1004">
        <v>661</v>
      </c>
      <c r="C314" s="1004"/>
      <c r="D314" s="1004"/>
      <c r="E314" s="1028">
        <v>9.8000000000000007</v>
      </c>
      <c r="F314" s="1028">
        <v>13.4</v>
      </c>
      <c r="G314" s="1028">
        <v>0</v>
      </c>
      <c r="H314" s="1028">
        <v>0</v>
      </c>
      <c r="I314" s="1028">
        <v>0</v>
      </c>
      <c r="J314" s="1028">
        <v>0</v>
      </c>
      <c r="K314" s="1028">
        <v>0</v>
      </c>
    </row>
    <row r="315" spans="1:11" s="393" customFormat="1" x14ac:dyDescent="0.3">
      <c r="A315" s="1004">
        <v>662</v>
      </c>
      <c r="B315" s="1004">
        <v>662</v>
      </c>
      <c r="C315" s="1004"/>
      <c r="D315" s="1004"/>
      <c r="E315" s="1028">
        <v>0</v>
      </c>
      <c r="F315" s="1028">
        <v>0</v>
      </c>
      <c r="G315" s="1028">
        <v>443429</v>
      </c>
      <c r="H315" s="1028">
        <v>0</v>
      </c>
      <c r="I315" s="1028">
        <v>0</v>
      </c>
      <c r="J315" s="1028">
        <v>0</v>
      </c>
      <c r="K315" s="1028">
        <v>0</v>
      </c>
    </row>
    <row r="316" spans="1:11" s="393" customFormat="1" x14ac:dyDescent="0.3">
      <c r="A316" s="1004">
        <v>663</v>
      </c>
      <c r="B316" s="1004">
        <v>663</v>
      </c>
      <c r="C316" s="1004"/>
      <c r="D316" s="1004"/>
      <c r="E316" s="1028">
        <v>187623</v>
      </c>
      <c r="F316" s="1028">
        <v>490249</v>
      </c>
      <c r="G316" s="1028">
        <v>148104</v>
      </c>
      <c r="H316" s="1028">
        <v>0</v>
      </c>
      <c r="I316" s="1028">
        <v>0</v>
      </c>
      <c r="J316" s="1028">
        <v>0</v>
      </c>
      <c r="K316" s="1028">
        <v>74267</v>
      </c>
    </row>
    <row r="317" spans="1:11" s="393" customFormat="1" x14ac:dyDescent="0.3">
      <c r="A317" s="1004">
        <v>906</v>
      </c>
      <c r="B317" s="1004">
        <v>906</v>
      </c>
      <c r="C317" s="1004"/>
      <c r="D317" s="1006" t="s">
        <v>590</v>
      </c>
      <c r="E317" s="1028">
        <v>1</v>
      </c>
      <c r="F317" s="1028">
        <v>1</v>
      </c>
      <c r="G317" s="1028">
        <v>1</v>
      </c>
      <c r="H317" s="1028">
        <v>1</v>
      </c>
      <c r="I317" s="1028">
        <v>1</v>
      </c>
      <c r="J317" s="1028">
        <v>1</v>
      </c>
      <c r="K317" s="1028">
        <v>1</v>
      </c>
    </row>
    <row r="318" spans="1:11" s="393" customFormat="1" x14ac:dyDescent="0.3">
      <c r="A318" s="1004">
        <v>907</v>
      </c>
      <c r="B318" s="1004">
        <v>907</v>
      </c>
      <c r="C318" s="1004"/>
      <c r="D318" s="1006" t="s">
        <v>591</v>
      </c>
      <c r="E318" s="1028">
        <v>2</v>
      </c>
      <c r="F318" s="1028">
        <v>2</v>
      </c>
      <c r="G318" s="1028">
        <v>2</v>
      </c>
      <c r="H318" s="1028">
        <v>2</v>
      </c>
      <c r="I318" s="1028">
        <v>2</v>
      </c>
      <c r="J318" s="1028">
        <v>2</v>
      </c>
      <c r="K318" s="1028">
        <v>2</v>
      </c>
    </row>
    <row r="319" spans="1:11" s="393" customFormat="1" ht="28.8" x14ac:dyDescent="0.3">
      <c r="A319" s="1004">
        <v>951</v>
      </c>
      <c r="B319" s="1004">
        <v>951</v>
      </c>
      <c r="C319" s="1004"/>
      <c r="D319" s="1006" t="s">
        <v>592</v>
      </c>
      <c r="E319" s="1028">
        <v>2</v>
      </c>
      <c r="F319" s="1028">
        <v>2</v>
      </c>
      <c r="G319" s="1028">
        <v>2</v>
      </c>
      <c r="H319" s="1028">
        <v>2</v>
      </c>
      <c r="I319" s="1028">
        <v>2</v>
      </c>
      <c r="J319" s="1028">
        <v>2</v>
      </c>
      <c r="K319" s="1028">
        <v>2</v>
      </c>
    </row>
    <row r="320" spans="1:11" s="393" customFormat="1" x14ac:dyDescent="0.3">
      <c r="A320" s="1004">
        <v>953</v>
      </c>
      <c r="B320" s="1004">
        <v>953</v>
      </c>
      <c r="C320" s="1004"/>
      <c r="D320" s="1006" t="s">
        <v>593</v>
      </c>
      <c r="E320" s="1028">
        <v>2</v>
      </c>
      <c r="F320" s="1028">
        <v>2</v>
      </c>
      <c r="G320" s="1028">
        <v>2</v>
      </c>
      <c r="H320" s="1028">
        <v>2</v>
      </c>
      <c r="I320" s="1028">
        <v>2</v>
      </c>
      <c r="J320" s="1028">
        <v>2</v>
      </c>
      <c r="K320" s="1028">
        <v>2</v>
      </c>
    </row>
    <row r="321" spans="1:11" s="393" customFormat="1" ht="28.8" x14ac:dyDescent="0.3">
      <c r="A321" s="1004">
        <v>955</v>
      </c>
      <c r="B321" s="1004">
        <v>955</v>
      </c>
      <c r="C321" s="1004"/>
      <c r="D321" s="1006" t="s">
        <v>603</v>
      </c>
      <c r="E321" s="1028">
        <v>0</v>
      </c>
      <c r="F321" s="1028">
        <v>0</v>
      </c>
      <c r="G321" s="1028">
        <v>0</v>
      </c>
      <c r="H321" s="1028">
        <v>0</v>
      </c>
      <c r="I321" s="1028">
        <v>0</v>
      </c>
      <c r="J321" s="1028">
        <v>0</v>
      </c>
      <c r="K321" s="1028">
        <v>0</v>
      </c>
    </row>
    <row r="322" spans="1:11" s="393" customFormat="1" ht="28.8" x14ac:dyDescent="0.3">
      <c r="A322" s="1004">
        <v>957</v>
      </c>
      <c r="B322" s="1004">
        <v>957</v>
      </c>
      <c r="C322" s="1004"/>
      <c r="D322" s="1006" t="s">
        <v>604</v>
      </c>
      <c r="E322" s="1028">
        <v>0</v>
      </c>
      <c r="F322" s="1028">
        <v>0</v>
      </c>
      <c r="G322" s="1028">
        <v>0</v>
      </c>
      <c r="H322" s="1028">
        <v>0</v>
      </c>
      <c r="I322" s="1028">
        <v>0</v>
      </c>
      <c r="J322" s="1028">
        <v>1</v>
      </c>
      <c r="K322" s="1028">
        <v>0</v>
      </c>
    </row>
    <row r="323" spans="1:11" s="393" customFormat="1" ht="43.2" x14ac:dyDescent="0.3">
      <c r="A323" s="1004">
        <v>959</v>
      </c>
      <c r="B323" s="1004">
        <v>959</v>
      </c>
      <c r="C323" s="1004"/>
      <c r="D323" s="1006" t="s">
        <v>594</v>
      </c>
      <c r="E323" s="1028">
        <v>2</v>
      </c>
      <c r="F323" s="1028">
        <v>2</v>
      </c>
      <c r="G323" s="1028">
        <v>3</v>
      </c>
      <c r="H323" s="1028">
        <v>2</v>
      </c>
      <c r="I323" s="1028">
        <v>2</v>
      </c>
      <c r="J323" s="1028">
        <v>2</v>
      </c>
      <c r="K323" s="1028">
        <v>3</v>
      </c>
    </row>
    <row r="324" spans="1:11" s="393" customFormat="1" ht="43.2" x14ac:dyDescent="0.3">
      <c r="A324" s="1004">
        <v>961</v>
      </c>
      <c r="B324" s="1004">
        <v>961</v>
      </c>
      <c r="C324" s="1004"/>
      <c r="D324" s="1006" t="s">
        <v>595</v>
      </c>
      <c r="E324" s="1028">
        <v>3</v>
      </c>
      <c r="F324" s="1028">
        <v>2</v>
      </c>
      <c r="G324" s="1028">
        <v>3</v>
      </c>
      <c r="H324" s="1028">
        <v>2</v>
      </c>
      <c r="I324" s="1028">
        <v>2</v>
      </c>
      <c r="J324" s="1028">
        <v>2</v>
      </c>
      <c r="K324" s="1028">
        <v>3</v>
      </c>
    </row>
    <row r="325" spans="1:11" s="393" customFormat="1" x14ac:dyDescent="0.3">
      <c r="A325" s="1004">
        <v>963</v>
      </c>
      <c r="B325" s="1004">
        <v>963</v>
      </c>
      <c r="C325" s="1004"/>
      <c r="D325" s="1006" t="s">
        <v>596</v>
      </c>
      <c r="E325" s="1028">
        <v>3</v>
      </c>
      <c r="F325" s="1028">
        <v>3</v>
      </c>
      <c r="G325" s="1028">
        <v>3</v>
      </c>
      <c r="H325" s="1028">
        <v>3</v>
      </c>
      <c r="I325" s="1028">
        <v>3</v>
      </c>
      <c r="J325" s="1028">
        <v>2</v>
      </c>
      <c r="K325" s="1028">
        <v>3</v>
      </c>
    </row>
    <row r="326" spans="1:11" s="393" customFormat="1" ht="28.8" x14ac:dyDescent="0.3">
      <c r="A326" s="1004">
        <v>965</v>
      </c>
      <c r="B326" s="1004">
        <v>965</v>
      </c>
      <c r="C326" s="1004"/>
      <c r="D326" s="1006" t="s">
        <v>597</v>
      </c>
      <c r="E326" s="1028">
        <v>1</v>
      </c>
      <c r="F326" s="1028">
        <v>1</v>
      </c>
      <c r="G326" s="1028">
        <v>1</v>
      </c>
      <c r="H326" s="1028">
        <v>1</v>
      </c>
      <c r="I326" s="1028">
        <v>1</v>
      </c>
      <c r="J326" s="1028">
        <v>1</v>
      </c>
      <c r="K326" s="1028">
        <v>1</v>
      </c>
    </row>
    <row r="327" spans="1:11" s="393" customFormat="1" ht="28.8" x14ac:dyDescent="0.3">
      <c r="A327" s="1004">
        <v>603</v>
      </c>
      <c r="B327" s="1004">
        <v>603</v>
      </c>
      <c r="C327" s="1004"/>
      <c r="D327" s="1006" t="s">
        <v>602</v>
      </c>
      <c r="E327" s="1028">
        <v>1</v>
      </c>
      <c r="F327" s="1028">
        <v>0</v>
      </c>
      <c r="G327" s="1028">
        <v>0</v>
      </c>
      <c r="H327" s="1028">
        <v>0</v>
      </c>
      <c r="I327" s="1028">
        <v>0</v>
      </c>
      <c r="J327" s="1028">
        <v>4</v>
      </c>
      <c r="K327" s="1028">
        <v>1</v>
      </c>
    </row>
    <row r="328" spans="1:11" s="393" customFormat="1" x14ac:dyDescent="0.3">
      <c r="A328" s="1004">
        <v>929</v>
      </c>
      <c r="B328" s="1004">
        <v>929</v>
      </c>
      <c r="C328" s="1004"/>
      <c r="D328" s="1006" t="s">
        <v>598</v>
      </c>
      <c r="E328" s="1028">
        <v>0</v>
      </c>
      <c r="F328" s="1028">
        <v>0</v>
      </c>
      <c r="G328" s="1028">
        <v>0</v>
      </c>
      <c r="H328" s="1028">
        <v>0</v>
      </c>
      <c r="I328" s="1028">
        <v>0</v>
      </c>
      <c r="J328" s="1028">
        <v>2</v>
      </c>
      <c r="K328" s="1028">
        <v>2</v>
      </c>
    </row>
    <row r="329" spans="1:11" s="393" customFormat="1" x14ac:dyDescent="0.3">
      <c r="A329" s="1004">
        <v>930</v>
      </c>
      <c r="B329" s="1004">
        <v>930</v>
      </c>
      <c r="C329" s="1004"/>
      <c r="D329" s="1006" t="s">
        <v>599</v>
      </c>
      <c r="E329" s="1028">
        <v>1</v>
      </c>
      <c r="F329" s="1028">
        <v>0</v>
      </c>
      <c r="G329" s="1028">
        <v>0</v>
      </c>
      <c r="H329" s="1028">
        <v>0</v>
      </c>
      <c r="I329" s="1028">
        <v>0</v>
      </c>
      <c r="J329" s="1028">
        <v>1</v>
      </c>
      <c r="K329" s="1028">
        <v>2</v>
      </c>
    </row>
    <row r="330" spans="1:11" s="393" customFormat="1" x14ac:dyDescent="0.3">
      <c r="A330" s="1004">
        <v>931</v>
      </c>
      <c r="B330" s="1004">
        <v>931</v>
      </c>
      <c r="C330" s="1004"/>
      <c r="D330" s="1006" t="s">
        <v>600</v>
      </c>
      <c r="E330" s="1028">
        <v>0</v>
      </c>
      <c r="F330" s="1028">
        <v>0</v>
      </c>
      <c r="G330" s="1028">
        <v>0</v>
      </c>
      <c r="H330" s="1028">
        <v>0</v>
      </c>
      <c r="I330" s="1028">
        <v>0</v>
      </c>
      <c r="J330" s="1028">
        <v>2</v>
      </c>
      <c r="K330" s="1028">
        <v>2</v>
      </c>
    </row>
    <row r="331" spans="1:11" s="393" customFormat="1" x14ac:dyDescent="0.3">
      <c r="A331" s="1004">
        <v>932</v>
      </c>
      <c r="B331" s="1004">
        <v>932</v>
      </c>
      <c r="C331" s="1004"/>
      <c r="D331" s="1006" t="s">
        <v>601</v>
      </c>
      <c r="E331" s="1028">
        <v>0</v>
      </c>
      <c r="F331" s="1028">
        <v>0</v>
      </c>
      <c r="G331" s="1028">
        <v>0</v>
      </c>
      <c r="H331" s="1028">
        <v>0</v>
      </c>
      <c r="I331" s="1028">
        <v>0</v>
      </c>
      <c r="J331" s="1028">
        <v>2</v>
      </c>
      <c r="K331" s="1028">
        <v>2</v>
      </c>
    </row>
    <row r="332" spans="1:11" s="393" customFormat="1" x14ac:dyDescent="0.3">
      <c r="A332" s="1004" t="s">
        <v>1366</v>
      </c>
      <c r="B332" s="1004"/>
      <c r="C332" s="1004"/>
      <c r="D332" s="1004"/>
      <c r="E332" s="1035"/>
      <c r="F332" s="1035"/>
      <c r="G332" s="1035"/>
      <c r="H332" s="1035"/>
      <c r="I332" s="1035"/>
      <c r="J332" s="1035"/>
      <c r="K332" s="1035"/>
    </row>
    <row r="333" spans="1:11" s="393" customFormat="1" x14ac:dyDescent="0.3">
      <c r="A333" s="1004" t="s">
        <v>1366</v>
      </c>
      <c r="B333" s="1004"/>
      <c r="C333" s="1004"/>
      <c r="D333" s="1004"/>
      <c r="E333" s="1004"/>
      <c r="F333" s="1004"/>
      <c r="G333" s="1004"/>
      <c r="H333" s="1004"/>
      <c r="I333" s="1004"/>
      <c r="J333" s="1004"/>
      <c r="K333" s="1004"/>
    </row>
    <row r="334" spans="1:11" s="393" customFormat="1" x14ac:dyDescent="0.3">
      <c r="A334" s="1004" t="s">
        <v>1367</v>
      </c>
      <c r="B334" s="1004"/>
      <c r="C334" s="1004"/>
      <c r="D334" s="1006" t="s">
        <v>771</v>
      </c>
      <c r="E334" s="1036">
        <v>13046105</v>
      </c>
      <c r="F334" s="1036">
        <v>8487409</v>
      </c>
      <c r="G334" s="1036">
        <v>22556709</v>
      </c>
      <c r="H334" s="1036">
        <v>7232051</v>
      </c>
      <c r="I334" s="1036">
        <v>7023662</v>
      </c>
      <c r="J334" s="1036">
        <v>6727214</v>
      </c>
      <c r="K334" s="1036">
        <v>4123685</v>
      </c>
    </row>
    <row r="335" spans="1:11" s="393" customFormat="1" ht="43.2" x14ac:dyDescent="0.3">
      <c r="A335" s="1004"/>
      <c r="B335" s="1004"/>
      <c r="C335" s="1004"/>
      <c r="D335" s="1004"/>
      <c r="E335" s="1037" t="s">
        <v>938</v>
      </c>
      <c r="F335" s="1037" t="s">
        <v>937</v>
      </c>
      <c r="G335" s="1037" t="s">
        <v>938</v>
      </c>
      <c r="H335" s="1037" t="s">
        <v>937</v>
      </c>
      <c r="I335" s="1037" t="s">
        <v>937</v>
      </c>
      <c r="J335" s="1037" t="s">
        <v>937</v>
      </c>
      <c r="K335" s="1037" t="s">
        <v>937</v>
      </c>
    </row>
    <row r="336" spans="1:11" s="396" customFormat="1" x14ac:dyDescent="0.3">
      <c r="A336" s="1004"/>
      <c r="B336" s="1004"/>
      <c r="C336" s="1004"/>
      <c r="D336" s="1004"/>
      <c r="E336" s="1038" t="s">
        <v>1368</v>
      </c>
      <c r="F336" s="1038" t="s">
        <v>1369</v>
      </c>
      <c r="G336" s="1038" t="s">
        <v>1368</v>
      </c>
      <c r="H336" s="1038" t="s">
        <v>1369</v>
      </c>
      <c r="I336" s="1038" t="s">
        <v>1369</v>
      </c>
      <c r="J336" s="1038" t="s">
        <v>1369</v>
      </c>
      <c r="K336" s="1038" t="s">
        <v>1369</v>
      </c>
    </row>
    <row r="337" spans="1:11" s="393" customFormat="1" x14ac:dyDescent="0.3">
      <c r="A337" s="1004" t="s">
        <v>772</v>
      </c>
      <c r="B337" s="1004"/>
      <c r="C337" s="1004"/>
      <c r="D337" s="1006" t="s">
        <v>557</v>
      </c>
      <c r="E337" s="1035">
        <v>6391916</v>
      </c>
      <c r="F337" s="1035">
        <v>3045042</v>
      </c>
      <c r="G337" s="1035">
        <v>7188166</v>
      </c>
      <c r="H337" s="1035">
        <v>2212733</v>
      </c>
      <c r="I337" s="1035">
        <v>1257940</v>
      </c>
      <c r="J337" s="1035">
        <v>366427</v>
      </c>
      <c r="K337" s="1035">
        <v>3828948</v>
      </c>
    </row>
    <row r="338" spans="1:11" s="393" customFormat="1" x14ac:dyDescent="0.3">
      <c r="A338" s="1004" t="s">
        <v>475</v>
      </c>
      <c r="B338" s="1004"/>
      <c r="C338" s="1004"/>
      <c r="D338" s="1006" t="s">
        <v>480</v>
      </c>
      <c r="E338" s="1036">
        <v>13046105</v>
      </c>
      <c r="F338" s="1036">
        <v>8487409</v>
      </c>
      <c r="G338" s="1036">
        <v>22556709</v>
      </c>
      <c r="H338" s="1036">
        <v>7232051</v>
      </c>
      <c r="I338" s="1036">
        <v>7023662</v>
      </c>
      <c r="J338" s="1036">
        <v>6727214</v>
      </c>
      <c r="K338" s="1036">
        <v>4123685</v>
      </c>
    </row>
    <row r="339" spans="1:11" s="396" customFormat="1" x14ac:dyDescent="0.3">
      <c r="A339" s="1004" t="s">
        <v>773</v>
      </c>
      <c r="B339" s="1004"/>
      <c r="C339" s="1004"/>
      <c r="D339" s="1006" t="s">
        <v>556</v>
      </c>
      <c r="E339" s="1039">
        <v>0.4899482259264355</v>
      </c>
      <c r="F339" s="1039">
        <v>0.35877168167576229</v>
      </c>
      <c r="G339" s="1039">
        <v>0.31867086639278808</v>
      </c>
      <c r="H339" s="1039">
        <v>0.30596202930537963</v>
      </c>
      <c r="I339" s="1039">
        <v>0.17910030408638686</v>
      </c>
      <c r="J339" s="1039">
        <v>5.4469353881116317E-2</v>
      </c>
      <c r="K339" s="1039">
        <v>0.92852582095868141</v>
      </c>
    </row>
    <row r="340" spans="1:11" s="393" customFormat="1" x14ac:dyDescent="0.3">
      <c r="A340" s="1004" t="s">
        <v>476</v>
      </c>
      <c r="B340" s="1004"/>
      <c r="C340" s="1004"/>
      <c r="D340" s="1006" t="s">
        <v>1370</v>
      </c>
      <c r="E340" s="1036">
        <v>0</v>
      </c>
      <c r="F340" s="1036">
        <v>0</v>
      </c>
      <c r="G340" s="1036">
        <v>0</v>
      </c>
      <c r="H340" s="1036">
        <v>0</v>
      </c>
      <c r="I340" s="1036">
        <v>0</v>
      </c>
      <c r="J340" s="1036">
        <v>0</v>
      </c>
      <c r="K340" s="1036">
        <v>0</v>
      </c>
    </row>
    <row r="341" spans="1:11" s="393" customFormat="1" x14ac:dyDescent="0.3">
      <c r="A341" s="1004" t="s">
        <v>532</v>
      </c>
      <c r="B341" s="1004"/>
      <c r="C341" s="1004"/>
      <c r="D341" s="1006" t="s">
        <v>477</v>
      </c>
      <c r="E341" s="1004"/>
      <c r="F341" s="1004"/>
      <c r="G341" s="1004"/>
      <c r="H341" s="1004"/>
      <c r="I341" s="1004"/>
      <c r="J341" s="1004"/>
      <c r="K341" s="1004"/>
    </row>
    <row r="342" spans="1:11" s="393" customFormat="1" x14ac:dyDescent="0.3">
      <c r="A342" s="1004" t="s">
        <v>479</v>
      </c>
      <c r="B342" s="1004"/>
      <c r="C342" s="1004"/>
      <c r="D342" s="1006" t="s">
        <v>478</v>
      </c>
      <c r="E342" s="1004"/>
      <c r="F342" s="1004"/>
      <c r="G342" s="1004"/>
      <c r="H342" s="1004"/>
      <c r="I342" s="1004"/>
      <c r="J342" s="1004"/>
      <c r="K342" s="1004"/>
    </row>
    <row r="343" spans="1:11" s="393" customFormat="1" x14ac:dyDescent="0.3">
      <c r="A343" s="1004" t="s">
        <v>481</v>
      </c>
      <c r="B343" s="1004"/>
      <c r="C343" s="1004"/>
      <c r="D343" s="1006" t="s">
        <v>483</v>
      </c>
      <c r="E343" s="1004"/>
      <c r="F343" s="1004"/>
      <c r="G343" s="1004"/>
      <c r="H343" s="1004"/>
      <c r="I343" s="1004"/>
      <c r="J343" s="1004"/>
      <c r="K343" s="1004"/>
    </row>
    <row r="344" spans="1:11" s="393" customFormat="1" x14ac:dyDescent="0.3">
      <c r="A344" s="1004" t="s">
        <v>482</v>
      </c>
      <c r="B344" s="1004"/>
      <c r="C344" s="1004"/>
      <c r="D344" s="1006" t="s">
        <v>484</v>
      </c>
      <c r="E344" s="1004"/>
      <c r="F344" s="1004"/>
      <c r="G344" s="1004"/>
      <c r="H344" s="1004"/>
      <c r="I344" s="1004"/>
      <c r="J344" s="1004"/>
      <c r="K344" s="1004"/>
    </row>
    <row r="345" spans="1:11" s="393" customFormat="1" x14ac:dyDescent="0.3">
      <c r="A345" s="1004" t="s">
        <v>554</v>
      </c>
      <c r="B345" s="1004"/>
      <c r="C345" s="1004"/>
      <c r="D345" s="1006" t="s">
        <v>557</v>
      </c>
      <c r="E345" s="1004"/>
      <c r="F345" s="1004"/>
      <c r="G345" s="1004"/>
      <c r="H345" s="1004"/>
      <c r="I345" s="1004"/>
      <c r="J345" s="1004"/>
      <c r="K345" s="1004"/>
    </row>
    <row r="346" spans="1:11" s="393" customFormat="1" x14ac:dyDescent="0.3">
      <c r="A346" s="1004" t="s">
        <v>555</v>
      </c>
      <c r="B346" s="1004"/>
      <c r="C346" s="1004"/>
      <c r="D346" s="1006" t="s">
        <v>556</v>
      </c>
      <c r="E346" s="1004"/>
      <c r="F346" s="1004"/>
      <c r="G346" s="1004"/>
      <c r="H346" s="1004"/>
      <c r="I346" s="1004"/>
      <c r="J346" s="1004"/>
      <c r="K346" s="1004"/>
    </row>
    <row r="347" spans="1:11" s="393" customFormat="1" x14ac:dyDescent="0.3">
      <c r="A347" s="1004" t="s">
        <v>774</v>
      </c>
      <c r="B347" s="1004"/>
      <c r="C347" s="1004"/>
      <c r="D347" s="1006" t="s">
        <v>502</v>
      </c>
      <c r="E347" s="1004" t="e">
        <v>#DIV/0!</v>
      </c>
      <c r="F347" s="1004" t="e">
        <v>#DIV/0!</v>
      </c>
      <c r="G347" s="1004" t="e">
        <v>#DIV/0!</v>
      </c>
      <c r="H347" s="1004" t="e">
        <v>#DIV/0!</v>
      </c>
      <c r="I347" s="1004" t="e">
        <v>#DIV/0!</v>
      </c>
      <c r="J347" s="1004" t="e">
        <v>#DIV/0!</v>
      </c>
      <c r="K347" s="1004" t="e">
        <v>#DIV/0!</v>
      </c>
    </row>
    <row r="348" spans="1:11" s="393" customFormat="1" x14ac:dyDescent="0.3">
      <c r="A348" s="1004" t="s">
        <v>781</v>
      </c>
      <c r="B348" s="1004"/>
      <c r="C348" s="1004"/>
      <c r="D348" s="1006" t="s">
        <v>940</v>
      </c>
      <c r="E348" s="1036">
        <v>0</v>
      </c>
      <c r="F348" s="1036">
        <v>0</v>
      </c>
      <c r="G348" s="1036">
        <v>0</v>
      </c>
      <c r="H348" s="1036">
        <v>0</v>
      </c>
      <c r="I348" s="1036">
        <v>0</v>
      </c>
      <c r="J348" s="1036">
        <v>0</v>
      </c>
      <c r="K348" s="1036">
        <v>0</v>
      </c>
    </row>
    <row r="349" spans="1:11" s="393" customFormat="1" x14ac:dyDescent="0.3">
      <c r="A349" s="1004" t="s">
        <v>780</v>
      </c>
      <c r="B349" s="1004"/>
      <c r="C349" s="1004"/>
      <c r="D349" s="1006" t="s">
        <v>782</v>
      </c>
      <c r="E349" s="1004" t="e">
        <v>#DIV/0!</v>
      </c>
      <c r="F349" s="1004" t="e">
        <v>#DIV/0!</v>
      </c>
      <c r="G349" s="1004" t="e">
        <v>#DIV/0!</v>
      </c>
      <c r="H349" s="1004" t="e">
        <v>#DIV/0!</v>
      </c>
      <c r="I349" s="1004" t="e">
        <v>#DIV/0!</v>
      </c>
      <c r="J349" s="1004" t="e">
        <v>#DIV/0!</v>
      </c>
      <c r="K349" s="1004" t="e">
        <v>#DIV/0!</v>
      </c>
    </row>
    <row r="350" spans="1:11" s="393" customFormat="1" x14ac:dyDescent="0.3">
      <c r="A350" s="1004" t="s">
        <v>779</v>
      </c>
      <c r="B350" s="1004"/>
      <c r="C350" s="1004"/>
      <c r="D350" s="1006" t="s">
        <v>783</v>
      </c>
      <c r="E350" s="1004" t="e">
        <v>#DIV/0!</v>
      </c>
      <c r="F350" s="1004" t="e">
        <v>#DIV/0!</v>
      </c>
      <c r="G350" s="1004" t="e">
        <v>#DIV/0!</v>
      </c>
      <c r="H350" s="1004" t="e">
        <v>#DIV/0!</v>
      </c>
      <c r="I350" s="1004" t="e">
        <v>#DIV/0!</v>
      </c>
      <c r="J350" s="1004" t="e">
        <v>#DIV/0!</v>
      </c>
      <c r="K350" s="1004" t="e">
        <v>#DIV/0!</v>
      </c>
    </row>
    <row r="351" spans="1:11" s="393" customFormat="1" x14ac:dyDescent="0.3">
      <c r="A351" s="1004" t="s">
        <v>785</v>
      </c>
      <c r="B351" s="1004"/>
      <c r="C351" s="1004"/>
      <c r="D351" s="1006" t="s">
        <v>941</v>
      </c>
      <c r="E351" s="1036">
        <v>0</v>
      </c>
      <c r="F351" s="1036">
        <v>0</v>
      </c>
      <c r="G351" s="1036">
        <v>0</v>
      </c>
      <c r="H351" s="1036">
        <v>0</v>
      </c>
      <c r="I351" s="1036">
        <v>0</v>
      </c>
      <c r="J351" s="1036">
        <v>0</v>
      </c>
      <c r="K351" s="1036">
        <v>0</v>
      </c>
    </row>
    <row r="352" spans="1:11" s="393" customFormat="1" x14ac:dyDescent="0.3">
      <c r="A352" s="1004" t="s">
        <v>786</v>
      </c>
      <c r="B352" s="1004"/>
      <c r="C352" s="1004"/>
      <c r="D352" s="1006" t="s">
        <v>787</v>
      </c>
      <c r="E352" s="1004" t="e">
        <v>#DIV/0!</v>
      </c>
      <c r="F352" s="1004" t="e">
        <v>#DIV/0!</v>
      </c>
      <c r="G352" s="1004" t="e">
        <v>#DIV/0!</v>
      </c>
      <c r="H352" s="1004" t="e">
        <v>#DIV/0!</v>
      </c>
      <c r="I352" s="1004" t="e">
        <v>#DIV/0!</v>
      </c>
      <c r="J352" s="1004" t="e">
        <v>#DIV/0!</v>
      </c>
      <c r="K352" s="1004" t="e">
        <v>#DIV/0!</v>
      </c>
    </row>
    <row r="353" spans="1:11" s="393" customFormat="1" x14ac:dyDescent="0.3">
      <c r="A353" s="1004" t="s">
        <v>1371</v>
      </c>
      <c r="B353" s="1004"/>
      <c r="C353" s="1004"/>
      <c r="D353" s="1006" t="s">
        <v>801</v>
      </c>
      <c r="E353" s="1036">
        <v>0</v>
      </c>
      <c r="F353" s="1036">
        <v>0</v>
      </c>
      <c r="G353" s="1036">
        <v>0</v>
      </c>
      <c r="H353" s="1036">
        <v>0</v>
      </c>
      <c r="I353" s="1036">
        <v>0</v>
      </c>
      <c r="J353" s="1036">
        <v>0</v>
      </c>
      <c r="K353" s="1036">
        <v>0</v>
      </c>
    </row>
    <row r="354" spans="1:11" s="393" customFormat="1" x14ac:dyDescent="0.3">
      <c r="A354" s="1004" t="s">
        <v>800</v>
      </c>
      <c r="B354" s="1004"/>
      <c r="C354" s="1004"/>
      <c r="D354" s="1004"/>
      <c r="E354" s="1004"/>
      <c r="F354" s="1004"/>
      <c r="G354" s="1004"/>
      <c r="H354" s="1004"/>
      <c r="I354" s="1004"/>
      <c r="J354" s="1004"/>
      <c r="K354" s="1004"/>
    </row>
    <row r="355" spans="1:11" s="393" customFormat="1" x14ac:dyDescent="0.3">
      <c r="A355" s="1004" t="s">
        <v>1372</v>
      </c>
      <c r="B355" s="1004"/>
      <c r="C355" s="1004"/>
      <c r="D355" s="1004"/>
      <c r="E355" s="1004"/>
      <c r="F355" s="1004"/>
      <c r="G355" s="1004"/>
      <c r="H355" s="1004"/>
      <c r="I355" s="1004"/>
      <c r="J355" s="1004"/>
      <c r="K355" s="1004"/>
    </row>
    <row r="356" spans="1:11" s="393" customFormat="1" x14ac:dyDescent="0.3">
      <c r="A356" s="1004" t="s">
        <v>1372</v>
      </c>
      <c r="B356" s="1004"/>
      <c r="C356" s="1004"/>
      <c r="D356" s="1004"/>
      <c r="E356" s="1004"/>
      <c r="F356" s="1004"/>
      <c r="G356" s="1004"/>
      <c r="H356" s="1004"/>
      <c r="I356" s="1004"/>
      <c r="J356" s="1004"/>
      <c r="K356" s="1004"/>
    </row>
    <row r="359" spans="1:11" x14ac:dyDescent="0.3">
      <c r="A359" s="1004"/>
      <c r="B359" s="1004"/>
      <c r="C359" s="1004"/>
      <c r="D359" s="1004"/>
      <c r="E359" s="1035">
        <v>192974089.80000001</v>
      </c>
      <c r="F359" s="1035">
        <v>84579773.400000006</v>
      </c>
      <c r="G359" s="1035">
        <v>197141187</v>
      </c>
      <c r="H359" s="1035">
        <v>67098432</v>
      </c>
      <c r="I359" s="1035">
        <v>51647596</v>
      </c>
      <c r="J359" s="1035">
        <v>49499362</v>
      </c>
      <c r="K359" s="1035">
        <v>56332743</v>
      </c>
    </row>
    <row r="360" spans="1:11" x14ac:dyDescent="0.3">
      <c r="A360" s="1004"/>
      <c r="B360" s="1004"/>
      <c r="C360" s="1004"/>
      <c r="D360" s="1004"/>
      <c r="E360" s="1040">
        <v>192974089.80000001</v>
      </c>
      <c r="F360" s="1004"/>
      <c r="G360" s="1040">
        <v>196392020</v>
      </c>
      <c r="H360" s="1004"/>
      <c r="I360" s="1004"/>
      <c r="J360" s="1004"/>
      <c r="K360" s="1041">
        <v>55456927</v>
      </c>
    </row>
    <row r="361" spans="1:11" x14ac:dyDescent="0.3">
      <c r="A361" s="1004"/>
      <c r="B361" s="1004"/>
      <c r="C361" s="1004"/>
      <c r="D361" s="1004"/>
      <c r="E361" s="1035">
        <v>0</v>
      </c>
      <c r="F361" s="1004"/>
      <c r="G361" s="1035">
        <v>749167</v>
      </c>
      <c r="H361" s="1004"/>
      <c r="I361" s="1004"/>
      <c r="J361" s="1004"/>
      <c r="K361" s="1035">
        <v>875816</v>
      </c>
    </row>
    <row r="365" spans="1:11" ht="86.4" x14ac:dyDescent="0.3">
      <c r="A365" s="1004">
        <v>336</v>
      </c>
      <c r="B365" s="1006" t="s">
        <v>1363</v>
      </c>
      <c r="C365" s="1004">
        <v>336</v>
      </c>
      <c r="D365" s="1006" t="s">
        <v>1321</v>
      </c>
      <c r="E365" s="1011">
        <v>0</v>
      </c>
      <c r="F365" s="1011">
        <v>0</v>
      </c>
      <c r="G365" s="1011">
        <v>749167</v>
      </c>
      <c r="H365" s="1011">
        <v>314753</v>
      </c>
      <c r="I365" s="1011">
        <v>526147</v>
      </c>
      <c r="J365" s="1011">
        <v>0</v>
      </c>
      <c r="K365" s="1011">
        <v>875816</v>
      </c>
    </row>
    <row r="366" spans="1:11" x14ac:dyDescent="0.3">
      <c r="A366" s="1004">
        <v>537</v>
      </c>
      <c r="B366" s="1004"/>
      <c r="C366" s="1004"/>
      <c r="D366" s="1004"/>
      <c r="E366" s="1011"/>
      <c r="F366" s="1011"/>
      <c r="G366" s="1011"/>
      <c r="H366" s="1011"/>
      <c r="I366" s="1011"/>
      <c r="J366" s="1011"/>
      <c r="K366" s="1011"/>
    </row>
    <row r="367" spans="1:11" x14ac:dyDescent="0.3">
      <c r="A367" s="1004">
        <v>538</v>
      </c>
      <c r="B367" s="1004"/>
      <c r="C367" s="1004"/>
      <c r="D367" s="1004"/>
      <c r="E367" s="1011"/>
      <c r="F367" s="1011"/>
      <c r="G367" s="1011"/>
      <c r="H367" s="1011"/>
      <c r="I367" s="1011"/>
      <c r="J367" s="1011"/>
      <c r="K367" s="1011"/>
    </row>
    <row r="368" spans="1:11" ht="28.8" x14ac:dyDescent="0.3">
      <c r="A368" s="1004">
        <v>577</v>
      </c>
      <c r="B368" s="1004">
        <v>577</v>
      </c>
      <c r="C368" s="1004">
        <v>577</v>
      </c>
      <c r="D368" s="1006" t="s">
        <v>364</v>
      </c>
      <c r="E368" s="1011">
        <v>2</v>
      </c>
      <c r="F368" s="1011">
        <v>0</v>
      </c>
      <c r="G368" s="1011">
        <v>2</v>
      </c>
      <c r="H368" s="1011">
        <v>2</v>
      </c>
      <c r="I368" s="1011">
        <v>2</v>
      </c>
      <c r="J368" s="1011">
        <v>0</v>
      </c>
      <c r="K368" s="1011">
        <v>2</v>
      </c>
    </row>
    <row r="369" spans="1:11" x14ac:dyDescent="0.3">
      <c r="A369" s="1004">
        <v>554</v>
      </c>
      <c r="B369" s="1004">
        <v>554</v>
      </c>
      <c r="C369" s="1019">
        <v>554</v>
      </c>
      <c r="D369" s="1020" t="s">
        <v>341</v>
      </c>
      <c r="E369" s="1015">
        <v>4372643</v>
      </c>
      <c r="F369" s="1015">
        <v>3158442</v>
      </c>
      <c r="G369" s="1015">
        <v>2182093</v>
      </c>
      <c r="H369" s="1015">
        <v>0</v>
      </c>
      <c r="I369" s="1015">
        <v>924767</v>
      </c>
      <c r="J369" s="1015">
        <v>1674706</v>
      </c>
      <c r="K369" s="1015">
        <v>997546</v>
      </c>
    </row>
    <row r="370" spans="1:11" x14ac:dyDescent="0.3">
      <c r="A370" s="1004">
        <v>555</v>
      </c>
      <c r="B370" s="1004">
        <v>555</v>
      </c>
      <c r="C370" s="1019">
        <v>555</v>
      </c>
      <c r="D370" s="1020" t="s">
        <v>342</v>
      </c>
      <c r="E370" s="1015">
        <v>1079960</v>
      </c>
      <c r="F370" s="1015">
        <v>1711973</v>
      </c>
      <c r="G370" s="1015">
        <v>986121</v>
      </c>
      <c r="H370" s="1015">
        <v>0</v>
      </c>
      <c r="I370" s="1015">
        <v>375669</v>
      </c>
      <c r="J370" s="1015">
        <v>719998</v>
      </c>
      <c r="K370" s="1015">
        <v>212981</v>
      </c>
    </row>
    <row r="371" spans="1:11" x14ac:dyDescent="0.3">
      <c r="A371" s="1004">
        <v>556</v>
      </c>
      <c r="B371" s="1004">
        <v>556</v>
      </c>
      <c r="C371" s="1019">
        <v>556</v>
      </c>
      <c r="D371" s="1020" t="s">
        <v>343</v>
      </c>
      <c r="E371" s="1015">
        <v>4405780</v>
      </c>
      <c r="F371" s="1015">
        <v>1724830</v>
      </c>
      <c r="G371" s="1015">
        <v>841512</v>
      </c>
      <c r="H371" s="1015">
        <v>0</v>
      </c>
      <c r="I371" s="1015">
        <v>1290738</v>
      </c>
      <c r="J371" s="1015">
        <v>1122298</v>
      </c>
      <c r="K371" s="1015">
        <v>791378</v>
      </c>
    </row>
    <row r="372" spans="1:11" x14ac:dyDescent="0.3">
      <c r="A372" s="1004">
        <v>557</v>
      </c>
      <c r="B372" s="1004">
        <v>557</v>
      </c>
      <c r="C372" s="1019">
        <v>557</v>
      </c>
      <c r="D372" s="1020" t="s">
        <v>344</v>
      </c>
      <c r="E372" s="1015">
        <v>2128867</v>
      </c>
      <c r="F372" s="1015">
        <v>1077082</v>
      </c>
      <c r="G372" s="1015">
        <v>355896</v>
      </c>
      <c r="H372" s="1015">
        <v>0</v>
      </c>
      <c r="I372" s="1015">
        <v>633435</v>
      </c>
      <c r="J372" s="1015">
        <v>667683</v>
      </c>
      <c r="K372" s="1015">
        <v>551387</v>
      </c>
    </row>
    <row r="373" spans="1:11" ht="28.8" x14ac:dyDescent="0.3">
      <c r="A373" s="1004">
        <v>606</v>
      </c>
      <c r="B373" s="1004">
        <v>606</v>
      </c>
      <c r="C373" s="1021">
        <v>606</v>
      </c>
      <c r="D373" s="1022" t="s">
        <v>401</v>
      </c>
      <c r="E373" s="1011">
        <v>1</v>
      </c>
      <c r="F373" s="1011">
        <v>1</v>
      </c>
      <c r="G373" s="1011">
        <v>1</v>
      </c>
      <c r="H373" s="1011">
        <v>0</v>
      </c>
      <c r="I373" s="1011">
        <v>1</v>
      </c>
      <c r="J373" s="1011">
        <v>1</v>
      </c>
      <c r="K373" s="1011">
        <v>1</v>
      </c>
    </row>
    <row r="374" spans="1:11" ht="28.8" x14ac:dyDescent="0.3">
      <c r="A374" s="1004">
        <v>662</v>
      </c>
      <c r="B374" s="1004">
        <v>662</v>
      </c>
      <c r="C374" s="1004"/>
      <c r="D374" s="1042" t="s">
        <v>539</v>
      </c>
      <c r="E374" s="1028">
        <v>0</v>
      </c>
      <c r="F374" s="1028">
        <v>0</v>
      </c>
      <c r="G374" s="1028">
        <v>443429</v>
      </c>
      <c r="H374" s="1028">
        <v>0</v>
      </c>
      <c r="I374" s="1028">
        <v>0</v>
      </c>
      <c r="J374" s="1028">
        <v>0</v>
      </c>
      <c r="K374" s="1028">
        <v>0</v>
      </c>
    </row>
    <row r="375" spans="1:11" ht="27.6" x14ac:dyDescent="0.3">
      <c r="A375" s="1004">
        <v>663</v>
      </c>
      <c r="B375" s="1004">
        <v>663</v>
      </c>
      <c r="C375" s="1004"/>
      <c r="D375" s="1043" t="s">
        <v>540</v>
      </c>
      <c r="E375" s="1028">
        <v>187623</v>
      </c>
      <c r="F375" s="1028">
        <v>490249</v>
      </c>
      <c r="G375" s="1028">
        <v>148104</v>
      </c>
      <c r="H375" s="1028">
        <v>0</v>
      </c>
      <c r="I375" s="1028">
        <v>0</v>
      </c>
      <c r="J375" s="1028">
        <v>0</v>
      </c>
      <c r="K375" s="1028">
        <v>74267</v>
      </c>
    </row>
    <row r="376" spans="1:11" x14ac:dyDescent="0.3">
      <c r="A376" s="1004">
        <v>998</v>
      </c>
      <c r="B376" s="1004">
        <v>998</v>
      </c>
      <c r="C376" s="1012">
        <v>998</v>
      </c>
      <c r="D376" s="1014" t="s">
        <v>288</v>
      </c>
      <c r="E376" s="1015">
        <v>56</v>
      </c>
      <c r="F376" s="1015">
        <v>56</v>
      </c>
      <c r="G376" s="1015">
        <v>56</v>
      </c>
      <c r="H376" s="1015">
        <v>56</v>
      </c>
      <c r="I376" s="1015">
        <v>56</v>
      </c>
      <c r="J376" s="1015">
        <v>56</v>
      </c>
      <c r="K376" s="1015">
        <v>56</v>
      </c>
    </row>
    <row r="377" spans="1:11" x14ac:dyDescent="0.3">
      <c r="A377" s="1004">
        <v>999</v>
      </c>
      <c r="B377" s="1004">
        <v>999</v>
      </c>
      <c r="C377" s="1012">
        <v>999</v>
      </c>
      <c r="D377" s="1014" t="s">
        <v>289</v>
      </c>
      <c r="E377" s="1015">
        <v>561205</v>
      </c>
      <c r="F377" s="1015">
        <v>561200</v>
      </c>
      <c r="G377" s="1015">
        <v>561208</v>
      </c>
      <c r="H377" s="1015">
        <v>561202</v>
      </c>
      <c r="I377" s="1015">
        <v>561204</v>
      </c>
      <c r="J377" s="1015">
        <v>561206</v>
      </c>
      <c r="K377" s="1015">
        <v>561207</v>
      </c>
    </row>
    <row r="378" spans="1:11" x14ac:dyDescent="0.3">
      <c r="A378" s="1004">
        <v>906</v>
      </c>
      <c r="B378" s="1004">
        <v>906</v>
      </c>
      <c r="C378" s="1004"/>
      <c r="D378" s="1006" t="s">
        <v>590</v>
      </c>
      <c r="E378" s="1028">
        <v>1</v>
      </c>
      <c r="F378" s="1028">
        <v>1</v>
      </c>
      <c r="G378" s="1028">
        <v>1</v>
      </c>
      <c r="H378" s="1028">
        <v>1</v>
      </c>
      <c r="I378" s="1028">
        <v>1</v>
      </c>
      <c r="J378" s="1028">
        <v>1</v>
      </c>
      <c r="K378" s="1028">
        <v>1</v>
      </c>
    </row>
    <row r="379" spans="1:11" x14ac:dyDescent="0.3">
      <c r="A379" s="1004">
        <v>907</v>
      </c>
      <c r="B379" s="1004">
        <v>907</v>
      </c>
      <c r="C379" s="1004"/>
      <c r="D379" s="1006" t="s">
        <v>591</v>
      </c>
      <c r="E379" s="1028">
        <v>2</v>
      </c>
      <c r="F379" s="1028">
        <v>2</v>
      </c>
      <c r="G379" s="1028">
        <v>2</v>
      </c>
      <c r="H379" s="1028">
        <v>2</v>
      </c>
      <c r="I379" s="1028">
        <v>2</v>
      </c>
      <c r="J379" s="1028">
        <v>2</v>
      </c>
      <c r="K379" s="1028">
        <v>2</v>
      </c>
    </row>
    <row r="380" spans="1:11" ht="28.8" x14ac:dyDescent="0.3">
      <c r="A380" s="1004">
        <v>951</v>
      </c>
      <c r="B380" s="1004">
        <v>951</v>
      </c>
      <c r="C380" s="1004"/>
      <c r="D380" s="1006" t="s">
        <v>592</v>
      </c>
      <c r="E380" s="1028">
        <v>2</v>
      </c>
      <c r="F380" s="1028">
        <v>2</v>
      </c>
      <c r="G380" s="1028">
        <v>2</v>
      </c>
      <c r="H380" s="1028">
        <v>2</v>
      </c>
      <c r="I380" s="1028">
        <v>2</v>
      </c>
      <c r="J380" s="1028">
        <v>2</v>
      </c>
      <c r="K380" s="1028">
        <v>2</v>
      </c>
    </row>
    <row r="381" spans="1:11" x14ac:dyDescent="0.3">
      <c r="A381" s="1004">
        <v>953</v>
      </c>
      <c r="B381" s="1004">
        <v>953</v>
      </c>
      <c r="C381" s="1004"/>
      <c r="D381" s="1006" t="s">
        <v>593</v>
      </c>
      <c r="E381" s="1028">
        <v>2</v>
      </c>
      <c r="F381" s="1028">
        <v>2</v>
      </c>
      <c r="G381" s="1028">
        <v>2</v>
      </c>
      <c r="H381" s="1028">
        <v>2</v>
      </c>
      <c r="I381" s="1028">
        <v>2</v>
      </c>
      <c r="J381" s="1028">
        <v>2</v>
      </c>
      <c r="K381" s="1028">
        <v>2</v>
      </c>
    </row>
    <row r="382" spans="1:11" ht="28.8" x14ac:dyDescent="0.3">
      <c r="A382" s="1004">
        <v>955</v>
      </c>
      <c r="B382" s="1004">
        <v>955</v>
      </c>
      <c r="C382" s="1004"/>
      <c r="D382" s="1006" t="s">
        <v>603</v>
      </c>
      <c r="E382" s="1028">
        <v>0</v>
      </c>
      <c r="F382" s="1028">
        <v>0</v>
      </c>
      <c r="G382" s="1028">
        <v>0</v>
      </c>
      <c r="H382" s="1028">
        <v>0</v>
      </c>
      <c r="I382" s="1028">
        <v>0</v>
      </c>
      <c r="J382" s="1028">
        <v>0</v>
      </c>
      <c r="K382" s="1028">
        <v>0</v>
      </c>
    </row>
    <row r="383" spans="1:11" ht="28.8" x14ac:dyDescent="0.3">
      <c r="A383" s="1004">
        <v>957</v>
      </c>
      <c r="B383" s="1004">
        <v>957</v>
      </c>
      <c r="C383" s="1004"/>
      <c r="D383" s="1006" t="s">
        <v>604</v>
      </c>
      <c r="E383" s="1028">
        <v>0</v>
      </c>
      <c r="F383" s="1028">
        <v>0</v>
      </c>
      <c r="G383" s="1028">
        <v>0</v>
      </c>
      <c r="H383" s="1028">
        <v>0</v>
      </c>
      <c r="I383" s="1028">
        <v>0</v>
      </c>
      <c r="J383" s="1028">
        <v>1</v>
      </c>
      <c r="K383" s="1028">
        <v>0</v>
      </c>
    </row>
    <row r="384" spans="1:11" ht="43.2" x14ac:dyDescent="0.3">
      <c r="A384" s="1004">
        <v>959</v>
      </c>
      <c r="B384" s="1004">
        <v>959</v>
      </c>
      <c r="C384" s="1004"/>
      <c r="D384" s="1006" t="s">
        <v>594</v>
      </c>
      <c r="E384" s="1028">
        <v>2</v>
      </c>
      <c r="F384" s="1028">
        <v>2</v>
      </c>
      <c r="G384" s="1028">
        <v>3</v>
      </c>
      <c r="H384" s="1028">
        <v>2</v>
      </c>
      <c r="I384" s="1028">
        <v>2</v>
      </c>
      <c r="J384" s="1028">
        <v>2</v>
      </c>
      <c r="K384" s="1028">
        <v>3</v>
      </c>
    </row>
    <row r="385" spans="1:11" ht="43.2" x14ac:dyDescent="0.3">
      <c r="A385" s="1004">
        <v>961</v>
      </c>
      <c r="B385" s="1004">
        <v>961</v>
      </c>
      <c r="C385" s="1004"/>
      <c r="D385" s="1006" t="s">
        <v>595</v>
      </c>
      <c r="E385" s="1028">
        <v>3</v>
      </c>
      <c r="F385" s="1028">
        <v>2</v>
      </c>
      <c r="G385" s="1028">
        <v>3</v>
      </c>
      <c r="H385" s="1028">
        <v>2</v>
      </c>
      <c r="I385" s="1028">
        <v>2</v>
      </c>
      <c r="J385" s="1028">
        <v>2</v>
      </c>
      <c r="K385" s="1028">
        <v>3</v>
      </c>
    </row>
    <row r="386" spans="1:11" x14ac:dyDescent="0.3">
      <c r="A386" s="1004">
        <v>963</v>
      </c>
      <c r="B386" s="1004">
        <v>963</v>
      </c>
      <c r="C386" s="1004"/>
      <c r="D386" s="1006" t="s">
        <v>596</v>
      </c>
      <c r="E386" s="1028">
        <v>3</v>
      </c>
      <c r="F386" s="1028">
        <v>3</v>
      </c>
      <c r="G386" s="1028">
        <v>3</v>
      </c>
      <c r="H386" s="1028">
        <v>3</v>
      </c>
      <c r="I386" s="1028">
        <v>3</v>
      </c>
      <c r="J386" s="1028">
        <v>2</v>
      </c>
      <c r="K386" s="1028">
        <v>3</v>
      </c>
    </row>
    <row r="387" spans="1:11" ht="28.8" x14ac:dyDescent="0.3">
      <c r="A387" s="1004">
        <v>965</v>
      </c>
      <c r="B387" s="1004">
        <v>965</v>
      </c>
      <c r="C387" s="1004"/>
      <c r="D387" s="1006" t="s">
        <v>597</v>
      </c>
      <c r="E387" s="1028">
        <v>1</v>
      </c>
      <c r="F387" s="1028">
        <v>1</v>
      </c>
      <c r="G387" s="1028">
        <v>1</v>
      </c>
      <c r="H387" s="1028">
        <v>1</v>
      </c>
      <c r="I387" s="1028">
        <v>1</v>
      </c>
      <c r="J387" s="1028">
        <v>1</v>
      </c>
      <c r="K387" s="1028">
        <v>1</v>
      </c>
    </row>
    <row r="388" spans="1:11" ht="28.8" x14ac:dyDescent="0.3">
      <c r="A388" s="1004">
        <v>603</v>
      </c>
      <c r="B388" s="1004">
        <v>603</v>
      </c>
      <c r="C388" s="1004"/>
      <c r="D388" s="1006" t="s">
        <v>602</v>
      </c>
      <c r="E388" s="1028">
        <v>1</v>
      </c>
      <c r="F388" s="1028">
        <v>0</v>
      </c>
      <c r="G388" s="1028">
        <v>0</v>
      </c>
      <c r="H388" s="1028">
        <v>0</v>
      </c>
      <c r="I388" s="1028">
        <v>0</v>
      </c>
      <c r="J388" s="1028">
        <v>4</v>
      </c>
      <c r="K388" s="1028">
        <v>1</v>
      </c>
    </row>
    <row r="389" spans="1:11" x14ac:dyDescent="0.3">
      <c r="A389" s="1004">
        <v>929</v>
      </c>
      <c r="B389" s="1004">
        <v>929</v>
      </c>
      <c r="C389" s="1004"/>
      <c r="D389" s="1006" t="s">
        <v>598</v>
      </c>
      <c r="E389" s="1028">
        <v>0</v>
      </c>
      <c r="F389" s="1028">
        <v>0</v>
      </c>
      <c r="G389" s="1028">
        <v>0</v>
      </c>
      <c r="H389" s="1028">
        <v>0</v>
      </c>
      <c r="I389" s="1028">
        <v>0</v>
      </c>
      <c r="J389" s="1028">
        <v>2</v>
      </c>
      <c r="K389" s="1028">
        <v>2</v>
      </c>
    </row>
    <row r="390" spans="1:11" x14ac:dyDescent="0.3">
      <c r="A390" s="1004">
        <v>930</v>
      </c>
      <c r="B390" s="1004">
        <v>930</v>
      </c>
      <c r="C390" s="1004"/>
      <c r="D390" s="1006" t="s">
        <v>599</v>
      </c>
      <c r="E390" s="1028">
        <v>1</v>
      </c>
      <c r="F390" s="1028">
        <v>0</v>
      </c>
      <c r="G390" s="1028">
        <v>0</v>
      </c>
      <c r="H390" s="1028">
        <v>0</v>
      </c>
      <c r="I390" s="1028">
        <v>0</v>
      </c>
      <c r="J390" s="1028">
        <v>1</v>
      </c>
      <c r="K390" s="1028">
        <v>2</v>
      </c>
    </row>
    <row r="391" spans="1:11" x14ac:dyDescent="0.3">
      <c r="A391" s="1004">
        <v>931</v>
      </c>
      <c r="B391" s="1004">
        <v>931</v>
      </c>
      <c r="C391" s="1004"/>
      <c r="D391" s="1006" t="s">
        <v>600</v>
      </c>
      <c r="E391" s="1028">
        <v>0</v>
      </c>
      <c r="F391" s="1028">
        <v>0</v>
      </c>
      <c r="G391" s="1028">
        <v>0</v>
      </c>
      <c r="H391" s="1028">
        <v>0</v>
      </c>
      <c r="I391" s="1028">
        <v>0</v>
      </c>
      <c r="J391" s="1028">
        <v>2</v>
      </c>
      <c r="K391" s="1028">
        <v>2</v>
      </c>
    </row>
    <row r="392" spans="1:11" x14ac:dyDescent="0.3">
      <c r="A392" s="1004">
        <v>932</v>
      </c>
      <c r="B392" s="1004">
        <v>932</v>
      </c>
      <c r="C392" s="1004"/>
      <c r="D392" s="1006" t="s">
        <v>601</v>
      </c>
      <c r="E392" s="1028">
        <v>0</v>
      </c>
      <c r="F392" s="1028">
        <v>0</v>
      </c>
      <c r="G392" s="1028">
        <v>0</v>
      </c>
      <c r="H392" s="1028">
        <v>0</v>
      </c>
      <c r="I392" s="1028">
        <v>0</v>
      </c>
      <c r="J392" s="1028">
        <v>2</v>
      </c>
      <c r="K392" s="1028">
        <v>2</v>
      </c>
    </row>
    <row r="393" spans="1:11" x14ac:dyDescent="0.3">
      <c r="A393" s="1004"/>
      <c r="B393" s="1004"/>
      <c r="C393" s="1004"/>
      <c r="D393" s="1004"/>
      <c r="E393" s="1036">
        <v>12736155</v>
      </c>
      <c r="F393" s="1036">
        <v>8723848</v>
      </c>
      <c r="G393" s="1036">
        <v>6267606</v>
      </c>
      <c r="H393" s="1036">
        <v>876028</v>
      </c>
      <c r="I393" s="1036">
        <v>4312034</v>
      </c>
      <c r="J393" s="1036">
        <v>4745974</v>
      </c>
      <c r="K393" s="1036">
        <v>4064667</v>
      </c>
    </row>
    <row r="395" spans="1:11" ht="28.8" x14ac:dyDescent="0.3">
      <c r="A395" s="1004"/>
      <c r="B395" s="1004"/>
      <c r="C395" s="1004"/>
      <c r="D395" s="1006" t="s">
        <v>1373</v>
      </c>
      <c r="E395" s="1035">
        <v>180237934.80000001</v>
      </c>
      <c r="F395" s="1035">
        <v>75855925.400000006</v>
      </c>
      <c r="G395" s="1035">
        <v>190873581</v>
      </c>
      <c r="H395" s="1035">
        <v>66222404</v>
      </c>
      <c r="I395" s="1035">
        <v>47335562</v>
      </c>
      <c r="J395" s="1035">
        <v>44753388</v>
      </c>
      <c r="K395" s="1035">
        <v>52268076</v>
      </c>
    </row>
    <row r="396" spans="1:11" x14ac:dyDescent="0.3">
      <c r="E396" s="392"/>
      <c r="F396" s="392"/>
      <c r="G396" s="392"/>
      <c r="H396" s="392"/>
      <c r="I396" s="392"/>
      <c r="J396" s="392"/>
      <c r="K396" s="392"/>
    </row>
    <row r="397" spans="1:11" x14ac:dyDescent="0.3">
      <c r="E397" s="392"/>
      <c r="F397" s="392"/>
      <c r="G397" s="392"/>
      <c r="H397" s="392"/>
      <c r="I397" s="392"/>
      <c r="J397" s="392"/>
      <c r="K397" s="392"/>
    </row>
    <row r="398" spans="1:11" x14ac:dyDescent="0.3">
      <c r="E398" s="392"/>
      <c r="F398" s="392"/>
      <c r="G398" s="392"/>
      <c r="H398" s="392"/>
      <c r="I398" s="392"/>
      <c r="J398" s="392"/>
      <c r="K398" s="392"/>
    </row>
    <row r="399" spans="1:11" x14ac:dyDescent="0.3">
      <c r="A399" s="1004"/>
      <c r="B399" s="1004" t="s">
        <v>1374</v>
      </c>
      <c r="C399" s="1004"/>
      <c r="D399" s="1004"/>
      <c r="E399" s="1004"/>
      <c r="F399" s="1004"/>
      <c r="G399" s="1004"/>
      <c r="H399" s="1004"/>
      <c r="I399" s="1004"/>
      <c r="J399" s="1004"/>
      <c r="K399" s="1004"/>
    </row>
    <row r="400" spans="1:11" x14ac:dyDescent="0.3">
      <c r="A400" s="1004"/>
      <c r="B400" s="1004">
        <v>947</v>
      </c>
      <c r="C400" s="1004"/>
      <c r="D400" s="1004" t="s">
        <v>485</v>
      </c>
      <c r="E400" s="1004"/>
      <c r="F400" s="1004"/>
      <c r="G400" s="1004"/>
      <c r="H400" s="1004"/>
      <c r="I400" s="1004"/>
      <c r="J400" s="1004"/>
      <c r="K400" s="1004"/>
    </row>
    <row r="401" spans="2:4" x14ac:dyDescent="0.3">
      <c r="B401" s="1004">
        <v>948</v>
      </c>
      <c r="C401" s="1004"/>
      <c r="D401" s="1004" t="s">
        <v>486</v>
      </c>
    </row>
    <row r="402" spans="2:4" x14ac:dyDescent="0.3">
      <c r="B402" s="1004">
        <v>949</v>
      </c>
      <c r="C402" s="1004"/>
      <c r="D402" s="1004" t="s">
        <v>514</v>
      </c>
    </row>
    <row r="403" spans="2:4" x14ac:dyDescent="0.3">
      <c r="B403" s="1004">
        <v>950</v>
      </c>
      <c r="C403" s="1004"/>
      <c r="D403" s="1004" t="s">
        <v>515</v>
      </c>
    </row>
    <row r="404" spans="2:4" x14ac:dyDescent="0.3">
      <c r="B404" s="1004">
        <v>952</v>
      </c>
      <c r="C404" s="1004"/>
      <c r="D404" s="1004" t="s">
        <v>516</v>
      </c>
    </row>
    <row r="405" spans="2:4" x14ac:dyDescent="0.3">
      <c r="B405" s="1004">
        <v>954</v>
      </c>
      <c r="C405" s="1004"/>
      <c r="D405" s="1004" t="s">
        <v>517</v>
      </c>
    </row>
    <row r="406" spans="2:4" x14ac:dyDescent="0.3">
      <c r="B406" s="1004">
        <v>956</v>
      </c>
      <c r="C406" s="1004"/>
      <c r="D406" s="1004" t="s">
        <v>518</v>
      </c>
    </row>
    <row r="407" spans="2:4" ht="129.6" x14ac:dyDescent="0.3">
      <c r="B407" s="1004">
        <v>958</v>
      </c>
      <c r="C407" s="1004"/>
      <c r="D407" s="1006" t="s">
        <v>519</v>
      </c>
    </row>
    <row r="408" spans="2:4" x14ac:dyDescent="0.3">
      <c r="B408" s="1004">
        <v>960</v>
      </c>
      <c r="C408" s="1004"/>
      <c r="D408" s="1004" t="s">
        <v>510</v>
      </c>
    </row>
    <row r="409" spans="2:4" x14ac:dyDescent="0.3">
      <c r="B409" s="1004">
        <v>962</v>
      </c>
      <c r="C409" s="1004"/>
      <c r="D409" s="1004" t="s">
        <v>471</v>
      </c>
    </row>
    <row r="410" spans="2:4" x14ac:dyDescent="0.3">
      <c r="B410" s="1004">
        <v>964</v>
      </c>
      <c r="C410" s="1004"/>
      <c r="D410" s="1004" t="s">
        <v>1375</v>
      </c>
    </row>
    <row r="411" spans="2:4" x14ac:dyDescent="0.3">
      <c r="B411" s="1004">
        <v>966</v>
      </c>
      <c r="C411" s="1004"/>
      <c r="D411" s="1004" t="s">
        <v>473</v>
      </c>
    </row>
    <row r="412" spans="2:4" x14ac:dyDescent="0.3">
      <c r="B412" s="1004">
        <v>968</v>
      </c>
      <c r="C412" s="1004"/>
      <c r="D412" s="1004" t="s">
        <v>474</v>
      </c>
    </row>
    <row r="486" spans="3:3" x14ac:dyDescent="0.3">
      <c r="C486" s="1004" t="s">
        <v>771</v>
      </c>
    </row>
    <row r="489" spans="3:3" x14ac:dyDescent="0.3">
      <c r="C489" s="1004" t="s">
        <v>557</v>
      </c>
    </row>
    <row r="490" spans="3:3" x14ac:dyDescent="0.3">
      <c r="C490" s="1004" t="s">
        <v>480</v>
      </c>
    </row>
    <row r="491" spans="3:3" x14ac:dyDescent="0.3">
      <c r="C491" s="1004" t="s">
        <v>556</v>
      </c>
    </row>
    <row r="492" spans="3:3" x14ac:dyDescent="0.3">
      <c r="C492" s="1004" t="s">
        <v>1370</v>
      </c>
    </row>
    <row r="493" spans="3:3" x14ac:dyDescent="0.3">
      <c r="C493" s="1004" t="s">
        <v>477</v>
      </c>
    </row>
    <row r="494" spans="3:3" x14ac:dyDescent="0.3">
      <c r="C494" s="1004" t="s">
        <v>478</v>
      </c>
    </row>
    <row r="495" spans="3:3" x14ac:dyDescent="0.3">
      <c r="C495" s="1004" t="s">
        <v>483</v>
      </c>
    </row>
    <row r="496" spans="3:3" x14ac:dyDescent="0.3">
      <c r="C496" s="1004" t="s">
        <v>484</v>
      </c>
    </row>
    <row r="497" spans="3:3" x14ac:dyDescent="0.3">
      <c r="C497" s="1004" t="s">
        <v>557</v>
      </c>
    </row>
    <row r="498" spans="3:3" x14ac:dyDescent="0.3">
      <c r="C498" s="1004" t="s">
        <v>556</v>
      </c>
    </row>
    <row r="499" spans="3:3" x14ac:dyDescent="0.3">
      <c r="C499" s="1004" t="s">
        <v>502</v>
      </c>
    </row>
    <row r="500" spans="3:3" x14ac:dyDescent="0.3">
      <c r="C500" s="1004" t="s">
        <v>940</v>
      </c>
    </row>
    <row r="501" spans="3:3" x14ac:dyDescent="0.3">
      <c r="C501" s="1004" t="s">
        <v>782</v>
      </c>
    </row>
    <row r="502" spans="3:3" x14ac:dyDescent="0.3">
      <c r="C502" s="1004" t="s">
        <v>783</v>
      </c>
    </row>
    <row r="503" spans="3:3" x14ac:dyDescent="0.3">
      <c r="C503" s="1004" t="s">
        <v>941</v>
      </c>
    </row>
    <row r="504" spans="3:3" x14ac:dyDescent="0.3">
      <c r="C504" s="1004" t="s">
        <v>787</v>
      </c>
    </row>
    <row r="505" spans="3:3" x14ac:dyDescent="0.3">
      <c r="C505" s="1004" t="s">
        <v>801</v>
      </c>
    </row>
  </sheetData>
  <sheetProtection algorithmName="SHA-512" hashValue="HRFCqQocDMtpU8nz+y/MbBZ35+/g3mU5a5hPog7oYtqzphMDygsUOUFbANebOU1LkYDTtd0KUFlfuYFb5y1qPA==" saltValue="qpqO5h2A7guYDIjjqVzV8A==" spinCount="100000" sheet="1" objects="1" scenarios="1"/>
  <printOptions headings="1" gridLines="1"/>
  <pageMargins left="0.25" right="0.25"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D17550-04E5-49D9-B446-DDF9728A8EC8}">
  <sheetPr codeName="Sheet12"/>
  <dimension ref="A1:K291"/>
  <sheetViews>
    <sheetView topLeftCell="B1" zoomScale="120" zoomScaleNormal="120" workbookViewId="0">
      <selection activeCell="A2" sqref="A2:H2"/>
    </sheetView>
  </sheetViews>
  <sheetFormatPr defaultColWidth="9.109375" defaultRowHeight="14.4" x14ac:dyDescent="0.3"/>
  <cols>
    <col min="1" max="2" width="9.109375" style="262"/>
    <col min="3" max="3" width="33.88671875" style="262" customWidth="1"/>
    <col min="4" max="4" width="33.88671875" style="1004" customWidth="1"/>
    <col min="5" max="11" width="19" style="262" customWidth="1"/>
    <col min="12" max="16384" width="9.109375" style="262"/>
  </cols>
  <sheetData>
    <row r="1" spans="1:11" x14ac:dyDescent="0.3">
      <c r="A1" s="262" t="s">
        <v>1279</v>
      </c>
      <c r="B1" s="262" t="s">
        <v>1280</v>
      </c>
      <c r="C1" s="262" t="s">
        <v>42</v>
      </c>
      <c r="E1" s="262" t="s">
        <v>1281</v>
      </c>
      <c r="F1" s="262" t="s">
        <v>1282</v>
      </c>
      <c r="G1" s="262" t="s">
        <v>1283</v>
      </c>
      <c r="H1" s="262" t="s">
        <v>1284</v>
      </c>
      <c r="I1" s="262" t="s">
        <v>1285</v>
      </c>
      <c r="J1" s="262" t="s">
        <v>1286</v>
      </c>
      <c r="K1" s="262" t="s">
        <v>1287</v>
      </c>
    </row>
    <row r="2" spans="1:11" x14ac:dyDescent="0.3">
      <c r="E2" s="262">
        <v>561205</v>
      </c>
      <c r="F2" s="262">
        <v>561200</v>
      </c>
      <c r="G2" s="262">
        <v>561208</v>
      </c>
      <c r="H2" s="262">
        <v>561202</v>
      </c>
      <c r="I2" s="262">
        <v>561204</v>
      </c>
      <c r="J2" s="262">
        <v>561206</v>
      </c>
      <c r="K2" s="262">
        <v>561207</v>
      </c>
    </row>
    <row r="3" spans="1:11" x14ac:dyDescent="0.3">
      <c r="B3" s="262">
        <v>10</v>
      </c>
      <c r="C3" s="262" t="s">
        <v>1288</v>
      </c>
      <c r="E3" s="262">
        <v>0</v>
      </c>
      <c r="F3" s="262">
        <v>0</v>
      </c>
      <c r="G3" s="262">
        <v>0</v>
      </c>
      <c r="H3" s="262">
        <v>0</v>
      </c>
      <c r="I3" s="262">
        <v>0</v>
      </c>
      <c r="J3" s="262">
        <v>0</v>
      </c>
      <c r="K3" s="262">
        <v>0</v>
      </c>
    </row>
    <row r="4" spans="1:11" x14ac:dyDescent="0.3">
      <c r="B4" s="262">
        <v>12</v>
      </c>
      <c r="C4" s="262" t="s">
        <v>359</v>
      </c>
      <c r="E4" s="262">
        <v>0</v>
      </c>
      <c r="F4" s="262">
        <v>0</v>
      </c>
      <c r="G4" s="262">
        <v>0</v>
      </c>
      <c r="H4" s="262">
        <v>0</v>
      </c>
      <c r="I4" s="262">
        <v>0</v>
      </c>
      <c r="J4" s="262">
        <v>0</v>
      </c>
      <c r="K4" s="262">
        <v>0</v>
      </c>
    </row>
    <row r="5" spans="1:11" x14ac:dyDescent="0.3">
      <c r="B5" s="262">
        <v>13</v>
      </c>
      <c r="C5" s="262" t="s">
        <v>360</v>
      </c>
      <c r="E5" s="262">
        <v>0</v>
      </c>
      <c r="F5" s="262">
        <v>0</v>
      </c>
      <c r="G5" s="262">
        <v>0</v>
      </c>
      <c r="H5" s="262">
        <v>0</v>
      </c>
      <c r="I5" s="262">
        <v>0</v>
      </c>
      <c r="J5" s="262">
        <v>0</v>
      </c>
      <c r="K5" s="262">
        <v>0</v>
      </c>
    </row>
    <row r="6" spans="1:11" x14ac:dyDescent="0.3">
      <c r="B6" s="262">
        <v>14</v>
      </c>
      <c r="C6" s="262" t="s">
        <v>1289</v>
      </c>
      <c r="E6" s="262">
        <v>0</v>
      </c>
      <c r="F6" s="262">
        <v>0</v>
      </c>
      <c r="G6" s="262">
        <v>0</v>
      </c>
      <c r="H6" s="262">
        <v>0</v>
      </c>
      <c r="I6" s="262">
        <v>0</v>
      </c>
      <c r="J6" s="262">
        <v>0</v>
      </c>
      <c r="K6" s="262">
        <v>0</v>
      </c>
    </row>
    <row r="7" spans="1:11" x14ac:dyDescent="0.3">
      <c r="A7" s="262">
        <v>16</v>
      </c>
      <c r="B7" s="262">
        <v>16</v>
      </c>
      <c r="C7" s="262" t="s">
        <v>1290</v>
      </c>
      <c r="E7" s="997">
        <v>12765040</v>
      </c>
      <c r="F7" s="997">
        <v>8187730</v>
      </c>
      <c r="G7" s="997">
        <v>23902025</v>
      </c>
      <c r="H7" s="997">
        <v>7232904</v>
      </c>
      <c r="I7" s="997">
        <v>6804842</v>
      </c>
      <c r="J7" s="997">
        <v>7083736</v>
      </c>
      <c r="K7" s="997">
        <v>3735287</v>
      </c>
    </row>
    <row r="8" spans="1:11" x14ac:dyDescent="0.3">
      <c r="A8" s="262">
        <v>17</v>
      </c>
      <c r="B8" s="262">
        <v>17</v>
      </c>
      <c r="C8" s="262" t="s">
        <v>1291</v>
      </c>
      <c r="E8" s="997">
        <v>85899</v>
      </c>
      <c r="F8" s="262">
        <v>0</v>
      </c>
      <c r="G8" s="262">
        <v>0</v>
      </c>
      <c r="H8" s="262">
        <v>0</v>
      </c>
      <c r="I8" s="262">
        <v>0</v>
      </c>
      <c r="J8" s="262">
        <v>0</v>
      </c>
      <c r="K8" s="262">
        <v>0</v>
      </c>
    </row>
    <row r="9" spans="1:11" x14ac:dyDescent="0.3">
      <c r="B9" s="262">
        <v>19</v>
      </c>
      <c r="C9" s="262" t="s">
        <v>1292</v>
      </c>
      <c r="E9" s="262">
        <v>0</v>
      </c>
      <c r="F9" s="262">
        <v>0</v>
      </c>
      <c r="G9" s="262">
        <v>0</v>
      </c>
      <c r="H9" s="262">
        <v>0</v>
      </c>
      <c r="I9" s="262">
        <v>0</v>
      </c>
      <c r="J9" s="262">
        <v>0</v>
      </c>
      <c r="K9" s="262">
        <v>0</v>
      </c>
    </row>
    <row r="10" spans="1:11" x14ac:dyDescent="0.3">
      <c r="B10" s="262">
        <v>193</v>
      </c>
      <c r="C10" s="262" t="s">
        <v>1293</v>
      </c>
      <c r="E10" s="262">
        <v>0</v>
      </c>
      <c r="F10" s="262">
        <v>0</v>
      </c>
      <c r="G10" s="262">
        <v>0</v>
      </c>
      <c r="H10" s="262">
        <v>0</v>
      </c>
      <c r="I10" s="262">
        <v>0</v>
      </c>
      <c r="J10" s="262">
        <v>0</v>
      </c>
      <c r="K10" s="262">
        <v>0</v>
      </c>
    </row>
    <row r="11" spans="1:11" x14ac:dyDescent="0.3">
      <c r="A11" s="262">
        <v>20</v>
      </c>
      <c r="B11" s="262">
        <v>20</v>
      </c>
      <c r="C11" s="262" t="s">
        <v>1294</v>
      </c>
      <c r="E11" s="997">
        <v>28941</v>
      </c>
      <c r="F11" s="262">
        <v>0</v>
      </c>
      <c r="G11" s="262">
        <v>0</v>
      </c>
      <c r="H11" s="262">
        <v>0</v>
      </c>
      <c r="I11" s="262">
        <v>0</v>
      </c>
      <c r="J11" s="262">
        <v>0</v>
      </c>
      <c r="K11" s="262">
        <v>0</v>
      </c>
    </row>
    <row r="12" spans="1:11" x14ac:dyDescent="0.3">
      <c r="A12" s="262">
        <v>22</v>
      </c>
      <c r="B12" s="262">
        <v>21</v>
      </c>
      <c r="C12" s="262" t="s">
        <v>361</v>
      </c>
      <c r="E12" s="262">
        <v>0</v>
      </c>
      <c r="F12" s="262">
        <v>0</v>
      </c>
      <c r="G12" s="262">
        <v>0</v>
      </c>
      <c r="H12" s="262">
        <v>0</v>
      </c>
      <c r="I12" s="262">
        <v>0</v>
      </c>
      <c r="J12" s="262">
        <v>0</v>
      </c>
      <c r="K12" s="262">
        <v>0</v>
      </c>
    </row>
    <row r="13" spans="1:11" x14ac:dyDescent="0.3">
      <c r="A13" s="262">
        <v>23</v>
      </c>
      <c r="B13" s="262">
        <v>22</v>
      </c>
      <c r="C13" s="262" t="s">
        <v>1295</v>
      </c>
      <c r="E13" s="997">
        <v>347690</v>
      </c>
      <c r="F13" s="262">
        <v>0</v>
      </c>
      <c r="G13" s="262">
        <v>0</v>
      </c>
      <c r="H13" s="997">
        <v>-344434</v>
      </c>
      <c r="I13" s="262">
        <v>0</v>
      </c>
      <c r="J13" s="262">
        <v>0</v>
      </c>
      <c r="K13" s="262">
        <v>0</v>
      </c>
    </row>
    <row r="14" spans="1:11" x14ac:dyDescent="0.3">
      <c r="B14" s="262">
        <v>23</v>
      </c>
      <c r="C14" s="262" t="s">
        <v>1296</v>
      </c>
      <c r="E14" s="997">
        <v>203933</v>
      </c>
      <c r="F14" s="997">
        <v>-171371</v>
      </c>
      <c r="G14" s="997">
        <v>12104</v>
      </c>
      <c r="H14" s="997">
        <v>214880</v>
      </c>
      <c r="I14" s="997">
        <v>243908</v>
      </c>
      <c r="J14" s="997">
        <v>-603798</v>
      </c>
      <c r="K14" s="997">
        <v>-60510</v>
      </c>
    </row>
    <row r="15" spans="1:11" x14ac:dyDescent="0.3">
      <c r="B15" s="262">
        <v>231</v>
      </c>
      <c r="C15" s="262" t="s">
        <v>298</v>
      </c>
      <c r="E15" s="262">
        <v>0</v>
      </c>
      <c r="F15" s="262">
        <v>0</v>
      </c>
      <c r="G15" s="262">
        <v>0</v>
      </c>
      <c r="H15" s="262">
        <v>0</v>
      </c>
      <c r="I15" s="262">
        <v>0</v>
      </c>
      <c r="J15" s="262">
        <v>0</v>
      </c>
      <c r="K15" s="262">
        <v>0</v>
      </c>
    </row>
    <row r="16" spans="1:11" x14ac:dyDescent="0.3">
      <c r="B16" s="262">
        <v>251</v>
      </c>
      <c r="C16" s="262" t="s">
        <v>299</v>
      </c>
      <c r="E16" s="262">
        <v>0</v>
      </c>
      <c r="F16" s="262">
        <v>0</v>
      </c>
      <c r="G16" s="262">
        <v>0</v>
      </c>
      <c r="H16" s="262">
        <v>0</v>
      </c>
      <c r="I16" s="262">
        <v>0</v>
      </c>
      <c r="J16" s="262">
        <v>0</v>
      </c>
      <c r="K16" s="262">
        <v>0</v>
      </c>
    </row>
    <row r="17" spans="1:11" x14ac:dyDescent="0.3">
      <c r="A17" s="262">
        <v>252</v>
      </c>
      <c r="B17" s="262">
        <v>252</v>
      </c>
      <c r="C17" s="262" t="s">
        <v>1297</v>
      </c>
      <c r="E17" s="997">
        <v>3345287</v>
      </c>
      <c r="F17" s="997">
        <v>321067</v>
      </c>
      <c r="G17" s="997">
        <v>332666</v>
      </c>
      <c r="H17" s="997">
        <v>261732</v>
      </c>
      <c r="I17" s="997">
        <v>452979</v>
      </c>
      <c r="J17" s="997">
        <v>1410217</v>
      </c>
      <c r="K17" s="997">
        <v>30207</v>
      </c>
    </row>
    <row r="18" spans="1:11" x14ac:dyDescent="0.3">
      <c r="A18" s="262">
        <v>253</v>
      </c>
      <c r="B18" s="262">
        <v>253</v>
      </c>
      <c r="C18" s="262" t="s">
        <v>1298</v>
      </c>
      <c r="E18" s="997">
        <v>270609</v>
      </c>
      <c r="F18" s="997">
        <v>422407</v>
      </c>
      <c r="G18" s="997">
        <v>3097700</v>
      </c>
      <c r="H18" s="997">
        <v>987573</v>
      </c>
      <c r="I18" s="997">
        <v>381225</v>
      </c>
      <c r="J18" s="997">
        <v>284684</v>
      </c>
      <c r="K18" s="997">
        <v>66114</v>
      </c>
    </row>
    <row r="19" spans="1:11" x14ac:dyDescent="0.3">
      <c r="A19" s="262">
        <v>254</v>
      </c>
      <c r="B19" s="262">
        <v>254</v>
      </c>
      <c r="C19" s="262" t="s">
        <v>1299</v>
      </c>
      <c r="E19" s="997">
        <v>-9093731</v>
      </c>
      <c r="F19" s="997">
        <v>1564085</v>
      </c>
      <c r="G19" s="997">
        <v>3509305</v>
      </c>
      <c r="H19" s="997">
        <v>-3147327</v>
      </c>
      <c r="I19" s="997">
        <v>-361520</v>
      </c>
      <c r="J19" s="997">
        <v>-7000903</v>
      </c>
      <c r="K19" s="997">
        <v>3870194</v>
      </c>
    </row>
    <row r="20" spans="1:11" x14ac:dyDescent="0.3">
      <c r="A20" s="262">
        <v>255</v>
      </c>
      <c r="B20" s="262">
        <v>255</v>
      </c>
      <c r="C20" s="262" t="s">
        <v>1300</v>
      </c>
      <c r="E20" s="997">
        <v>49698</v>
      </c>
      <c r="F20" s="997">
        <v>-838951</v>
      </c>
      <c r="G20" s="997">
        <v>-308845</v>
      </c>
      <c r="H20" s="997">
        <v>778432</v>
      </c>
      <c r="I20" s="997">
        <v>507445</v>
      </c>
      <c r="J20" s="997">
        <v>-64875</v>
      </c>
      <c r="K20" s="997">
        <v>-104179</v>
      </c>
    </row>
    <row r="21" spans="1:11" x14ac:dyDescent="0.3">
      <c r="B21" s="262">
        <v>256</v>
      </c>
      <c r="C21" s="262" t="s">
        <v>1301</v>
      </c>
      <c r="E21" s="262">
        <v>0</v>
      </c>
      <c r="F21" s="262">
        <v>0</v>
      </c>
      <c r="G21" s="262">
        <v>0</v>
      </c>
      <c r="H21" s="262">
        <v>0</v>
      </c>
      <c r="I21" s="262">
        <v>0</v>
      </c>
      <c r="J21" s="262">
        <v>0</v>
      </c>
      <c r="K21" s="262">
        <v>0</v>
      </c>
    </row>
    <row r="22" spans="1:11" x14ac:dyDescent="0.3">
      <c r="B22" s="262">
        <v>257</v>
      </c>
      <c r="C22" s="262" t="s">
        <v>1302</v>
      </c>
      <c r="E22" s="262">
        <v>0</v>
      </c>
      <c r="F22" s="262">
        <v>0</v>
      </c>
      <c r="G22" s="262">
        <v>0</v>
      </c>
      <c r="H22" s="262">
        <v>0</v>
      </c>
      <c r="I22" s="262">
        <v>0</v>
      </c>
      <c r="J22" s="262">
        <v>0</v>
      </c>
      <c r="K22" s="262">
        <v>0</v>
      </c>
    </row>
    <row r="23" spans="1:11" x14ac:dyDescent="0.3">
      <c r="B23" s="262">
        <v>258</v>
      </c>
      <c r="C23" s="262" t="s">
        <v>1303</v>
      </c>
      <c r="E23" s="262">
        <v>0</v>
      </c>
      <c r="F23" s="262">
        <v>0</v>
      </c>
      <c r="G23" s="262">
        <v>0</v>
      </c>
      <c r="H23" s="262">
        <v>0</v>
      </c>
      <c r="I23" s="262">
        <v>0</v>
      </c>
      <c r="J23" s="262">
        <v>0</v>
      </c>
      <c r="K23" s="262">
        <v>0</v>
      </c>
    </row>
    <row r="24" spans="1:11" x14ac:dyDescent="0.3">
      <c r="B24" s="262">
        <v>259</v>
      </c>
      <c r="C24" s="262" t="s">
        <v>1304</v>
      </c>
      <c r="E24" s="262">
        <v>0</v>
      </c>
      <c r="F24" s="262">
        <v>0</v>
      </c>
      <c r="G24" s="262">
        <v>0</v>
      </c>
      <c r="H24" s="262">
        <v>0</v>
      </c>
      <c r="I24" s="262">
        <v>0</v>
      </c>
      <c r="J24" s="262">
        <v>0</v>
      </c>
      <c r="K24" s="262">
        <v>0</v>
      </c>
    </row>
    <row r="25" spans="1:11" x14ac:dyDescent="0.3">
      <c r="B25" s="262">
        <v>260</v>
      </c>
      <c r="C25" s="262" t="s">
        <v>1305</v>
      </c>
      <c r="E25" s="262">
        <v>0</v>
      </c>
      <c r="F25" s="262">
        <v>0</v>
      </c>
      <c r="G25" s="262">
        <v>0</v>
      </c>
      <c r="H25" s="262">
        <v>0</v>
      </c>
      <c r="I25" s="262">
        <v>0</v>
      </c>
      <c r="J25" s="262">
        <v>0</v>
      </c>
      <c r="K25" s="262">
        <v>0</v>
      </c>
    </row>
    <row r="26" spans="1:11" x14ac:dyDescent="0.3">
      <c r="B26" s="262">
        <v>261</v>
      </c>
      <c r="C26" s="262" t="s">
        <v>1306</v>
      </c>
      <c r="E26" s="262">
        <v>0</v>
      </c>
      <c r="F26" s="262">
        <v>0</v>
      </c>
      <c r="G26" s="262">
        <v>0</v>
      </c>
      <c r="H26" s="262">
        <v>0</v>
      </c>
      <c r="I26" s="262">
        <v>0</v>
      </c>
      <c r="J26" s="262">
        <v>0</v>
      </c>
      <c r="K26" s="262">
        <v>0</v>
      </c>
    </row>
    <row r="27" spans="1:11" x14ac:dyDescent="0.3">
      <c r="B27" s="262">
        <v>262</v>
      </c>
      <c r="C27" s="262" t="s">
        <v>1307</v>
      </c>
      <c r="E27" s="262">
        <v>0</v>
      </c>
      <c r="F27" s="262">
        <v>0</v>
      </c>
      <c r="G27" s="262">
        <v>0</v>
      </c>
      <c r="H27" s="262">
        <v>0</v>
      </c>
      <c r="I27" s="262">
        <v>0</v>
      </c>
      <c r="J27" s="262">
        <v>0</v>
      </c>
      <c r="K27" s="262">
        <v>0</v>
      </c>
    </row>
    <row r="28" spans="1:11" x14ac:dyDescent="0.3">
      <c r="B28" s="262">
        <v>263</v>
      </c>
      <c r="C28" s="262" t="s">
        <v>1308</v>
      </c>
      <c r="E28" s="262">
        <v>0</v>
      </c>
      <c r="F28" s="262">
        <v>0</v>
      </c>
      <c r="G28" s="262">
        <v>0</v>
      </c>
      <c r="H28" s="262">
        <v>0</v>
      </c>
      <c r="I28" s="262">
        <v>0</v>
      </c>
      <c r="J28" s="262">
        <v>0</v>
      </c>
      <c r="K28" s="262">
        <v>0</v>
      </c>
    </row>
    <row r="29" spans="1:11" x14ac:dyDescent="0.3">
      <c r="B29" s="262">
        <v>31</v>
      </c>
      <c r="C29" s="262" t="s">
        <v>1309</v>
      </c>
      <c r="E29" s="262">
        <v>0</v>
      </c>
      <c r="F29" s="262">
        <v>0</v>
      </c>
      <c r="G29" s="262">
        <v>0</v>
      </c>
      <c r="H29" s="262">
        <v>0</v>
      </c>
      <c r="I29" s="262">
        <v>0</v>
      </c>
      <c r="J29" s="262">
        <v>0</v>
      </c>
      <c r="K29" s="262">
        <v>0</v>
      </c>
    </row>
    <row r="30" spans="1:11" x14ac:dyDescent="0.3">
      <c r="B30" s="262">
        <v>317</v>
      </c>
      <c r="C30" s="262" t="s">
        <v>1310</v>
      </c>
      <c r="E30" s="262">
        <v>0</v>
      </c>
      <c r="F30" s="262">
        <v>0</v>
      </c>
      <c r="G30" s="262">
        <v>0</v>
      </c>
      <c r="H30" s="262">
        <v>0</v>
      </c>
      <c r="I30" s="262">
        <v>0</v>
      </c>
      <c r="J30" s="262">
        <v>0</v>
      </c>
      <c r="K30" s="262">
        <v>0</v>
      </c>
    </row>
    <row r="31" spans="1:11" x14ac:dyDescent="0.3">
      <c r="B31" s="262">
        <v>32</v>
      </c>
      <c r="C31" s="262" t="s">
        <v>1311</v>
      </c>
      <c r="E31" s="262">
        <v>0</v>
      </c>
      <c r="F31" s="262">
        <v>0</v>
      </c>
      <c r="G31" s="262">
        <v>0</v>
      </c>
      <c r="H31" s="262">
        <v>0</v>
      </c>
      <c r="I31" s="262">
        <v>0</v>
      </c>
      <c r="J31" s="262">
        <v>0</v>
      </c>
      <c r="K31" s="262">
        <v>0</v>
      </c>
    </row>
    <row r="32" spans="1:11" x14ac:dyDescent="0.3">
      <c r="B32" s="262">
        <v>320</v>
      </c>
      <c r="C32" s="262" t="s">
        <v>1312</v>
      </c>
      <c r="E32" s="262">
        <v>0</v>
      </c>
      <c r="F32" s="262">
        <v>0</v>
      </c>
      <c r="G32" s="262">
        <v>0</v>
      </c>
      <c r="H32" s="262">
        <v>0</v>
      </c>
      <c r="I32" s="262">
        <v>0</v>
      </c>
      <c r="J32" s="262">
        <v>0</v>
      </c>
      <c r="K32" s="262">
        <v>0</v>
      </c>
    </row>
    <row r="33" spans="1:11" x14ac:dyDescent="0.3">
      <c r="B33" s="262">
        <v>321</v>
      </c>
      <c r="C33" s="262" t="s">
        <v>1313</v>
      </c>
      <c r="E33" s="262">
        <v>0</v>
      </c>
      <c r="F33" s="262">
        <v>0</v>
      </c>
      <c r="G33" s="262">
        <v>0</v>
      </c>
      <c r="H33" s="262">
        <v>0</v>
      </c>
      <c r="I33" s="262">
        <v>0</v>
      </c>
      <c r="J33" s="262">
        <v>0</v>
      </c>
      <c r="K33" s="262">
        <v>0</v>
      </c>
    </row>
    <row r="34" spans="1:11" x14ac:dyDescent="0.3">
      <c r="B34" s="262">
        <v>322</v>
      </c>
      <c r="C34" s="262" t="s">
        <v>1314</v>
      </c>
      <c r="E34" s="262">
        <v>0</v>
      </c>
      <c r="F34" s="262">
        <v>0</v>
      </c>
      <c r="G34" s="262">
        <v>0</v>
      </c>
      <c r="H34" s="262">
        <v>0</v>
      </c>
      <c r="I34" s="262">
        <v>0</v>
      </c>
      <c r="J34" s="262">
        <v>0</v>
      </c>
      <c r="K34" s="262">
        <v>0</v>
      </c>
    </row>
    <row r="35" spans="1:11" x14ac:dyDescent="0.3">
      <c r="B35" s="262">
        <v>323</v>
      </c>
      <c r="C35" s="262" t="s">
        <v>257</v>
      </c>
      <c r="E35" s="262">
        <v>0</v>
      </c>
      <c r="F35" s="262">
        <v>0</v>
      </c>
      <c r="G35" s="262">
        <v>0</v>
      </c>
      <c r="H35" s="262">
        <v>0</v>
      </c>
      <c r="I35" s="262">
        <v>0</v>
      </c>
      <c r="J35" s="262">
        <v>0</v>
      </c>
      <c r="K35" s="262">
        <v>0</v>
      </c>
    </row>
    <row r="36" spans="1:11" x14ac:dyDescent="0.3">
      <c r="B36" s="262">
        <v>324</v>
      </c>
      <c r="C36" s="262" t="s">
        <v>1315</v>
      </c>
      <c r="E36" s="262">
        <v>0</v>
      </c>
      <c r="F36" s="262">
        <v>0</v>
      </c>
      <c r="G36" s="262">
        <v>0</v>
      </c>
      <c r="H36" s="262">
        <v>0</v>
      </c>
      <c r="I36" s="262">
        <v>0</v>
      </c>
      <c r="J36" s="262">
        <v>0</v>
      </c>
      <c r="K36" s="262">
        <v>0</v>
      </c>
    </row>
    <row r="37" spans="1:11" x14ac:dyDescent="0.3">
      <c r="B37" s="262">
        <v>325</v>
      </c>
      <c r="C37" s="262" t="s">
        <v>1316</v>
      </c>
      <c r="E37" s="262">
        <v>0</v>
      </c>
      <c r="F37" s="262">
        <v>0</v>
      </c>
      <c r="G37" s="262">
        <v>0</v>
      </c>
      <c r="H37" s="262">
        <v>0</v>
      </c>
      <c r="I37" s="262">
        <v>0</v>
      </c>
      <c r="J37" s="262">
        <v>0</v>
      </c>
      <c r="K37" s="262">
        <v>0</v>
      </c>
    </row>
    <row r="38" spans="1:11" x14ac:dyDescent="0.3">
      <c r="B38" s="262">
        <v>33</v>
      </c>
      <c r="C38" s="262" t="s">
        <v>1317</v>
      </c>
      <c r="E38" s="262">
        <v>0</v>
      </c>
      <c r="F38" s="262">
        <v>0</v>
      </c>
      <c r="G38" s="262">
        <v>0</v>
      </c>
      <c r="H38" s="262">
        <v>0</v>
      </c>
      <c r="I38" s="262">
        <v>0</v>
      </c>
      <c r="J38" s="262">
        <v>0</v>
      </c>
      <c r="K38" s="262">
        <v>0</v>
      </c>
    </row>
    <row r="39" spans="1:11" x14ac:dyDescent="0.3">
      <c r="A39" s="262">
        <v>333</v>
      </c>
      <c r="B39" s="262">
        <v>333</v>
      </c>
      <c r="C39" s="262" t="s">
        <v>1318</v>
      </c>
      <c r="E39" s="997">
        <v>8722303</v>
      </c>
      <c r="F39" s="997">
        <v>2513299</v>
      </c>
      <c r="G39" s="997">
        <v>7312473</v>
      </c>
      <c r="H39" s="997">
        <v>1645283</v>
      </c>
      <c r="I39" s="997">
        <v>2013486</v>
      </c>
      <c r="J39" s="997">
        <v>1373080</v>
      </c>
      <c r="K39" s="997">
        <v>4736860</v>
      </c>
    </row>
    <row r="40" spans="1:11" x14ac:dyDescent="0.3">
      <c r="B40" s="262">
        <v>334</v>
      </c>
      <c r="C40" s="262" t="s">
        <v>1319</v>
      </c>
      <c r="E40" s="262">
        <v>0</v>
      </c>
      <c r="F40" s="262">
        <v>0</v>
      </c>
      <c r="G40" s="262">
        <v>0</v>
      </c>
      <c r="H40" s="262">
        <v>0</v>
      </c>
      <c r="I40" s="262">
        <v>0</v>
      </c>
      <c r="J40" s="262">
        <v>0</v>
      </c>
      <c r="K40" s="262">
        <v>0</v>
      </c>
    </row>
    <row r="41" spans="1:11" x14ac:dyDescent="0.3">
      <c r="A41" s="262">
        <v>335</v>
      </c>
      <c r="B41" s="262">
        <v>335</v>
      </c>
      <c r="C41" s="262" t="s">
        <v>1320</v>
      </c>
      <c r="E41" s="262">
        <v>0</v>
      </c>
      <c r="F41" s="262">
        <v>0</v>
      </c>
      <c r="G41" s="262">
        <v>0</v>
      </c>
      <c r="H41" s="262">
        <v>0</v>
      </c>
      <c r="I41" s="262">
        <v>0</v>
      </c>
      <c r="J41" s="262">
        <v>0</v>
      </c>
      <c r="K41" s="997">
        <v>146904</v>
      </c>
    </row>
    <row r="42" spans="1:11" x14ac:dyDescent="0.3">
      <c r="A42" s="262">
        <v>336</v>
      </c>
      <c r="B42" s="262">
        <v>336</v>
      </c>
      <c r="C42" s="262" t="s">
        <v>1321</v>
      </c>
      <c r="E42" s="997">
        <v>715745</v>
      </c>
      <c r="F42" s="997">
        <v>92190</v>
      </c>
      <c r="G42" s="997">
        <v>1341033</v>
      </c>
      <c r="H42" s="997">
        <v>307066</v>
      </c>
      <c r="I42" s="997">
        <v>274756</v>
      </c>
      <c r="J42" s="997">
        <v>148537</v>
      </c>
      <c r="K42" s="997">
        <v>531078</v>
      </c>
    </row>
    <row r="43" spans="1:11" x14ac:dyDescent="0.3">
      <c r="B43" s="262">
        <v>337</v>
      </c>
      <c r="C43" s="262" t="s">
        <v>1322</v>
      </c>
      <c r="E43" s="262">
        <v>0</v>
      </c>
      <c r="F43" s="262">
        <v>0</v>
      </c>
      <c r="G43" s="262">
        <v>0</v>
      </c>
      <c r="H43" s="262">
        <v>0</v>
      </c>
      <c r="I43" s="262">
        <v>0</v>
      </c>
      <c r="J43" s="262">
        <v>0</v>
      </c>
      <c r="K43" s="262">
        <v>0</v>
      </c>
    </row>
    <row r="44" spans="1:11" x14ac:dyDescent="0.3">
      <c r="A44" s="262">
        <v>338</v>
      </c>
      <c r="B44" s="262">
        <v>338</v>
      </c>
      <c r="C44" s="262" t="s">
        <v>1323</v>
      </c>
      <c r="E44" s="997">
        <v>23191281</v>
      </c>
      <c r="F44" s="997">
        <v>3347335</v>
      </c>
      <c r="G44" s="997">
        <v>9362666</v>
      </c>
      <c r="H44" s="997">
        <v>6703200</v>
      </c>
      <c r="I44" s="997">
        <v>3335547</v>
      </c>
      <c r="J44" s="997">
        <v>9699734</v>
      </c>
      <c r="K44" s="997">
        <v>1477469</v>
      </c>
    </row>
    <row r="45" spans="1:11" x14ac:dyDescent="0.3">
      <c r="A45" s="262">
        <v>339</v>
      </c>
      <c r="B45" s="262">
        <v>339</v>
      </c>
      <c r="C45" s="262" t="s">
        <v>1324</v>
      </c>
      <c r="E45" s="997">
        <v>8647952</v>
      </c>
      <c r="F45" s="997">
        <v>3661362</v>
      </c>
      <c r="G45" s="997">
        <v>11637379</v>
      </c>
      <c r="H45" s="997">
        <v>1793265</v>
      </c>
      <c r="I45" s="997">
        <v>3782534</v>
      </c>
      <c r="J45" s="997">
        <v>2472971</v>
      </c>
      <c r="K45" s="997">
        <v>860411</v>
      </c>
    </row>
    <row r="46" spans="1:11" x14ac:dyDescent="0.3">
      <c r="B46" s="262">
        <v>340</v>
      </c>
      <c r="C46" s="262" t="s">
        <v>1325</v>
      </c>
      <c r="E46" s="262">
        <v>0</v>
      </c>
      <c r="F46" s="262">
        <v>0</v>
      </c>
      <c r="G46" s="262">
        <v>0</v>
      </c>
      <c r="H46" s="262">
        <v>0</v>
      </c>
      <c r="I46" s="262">
        <v>0</v>
      </c>
      <c r="J46" s="262">
        <v>0</v>
      </c>
      <c r="K46" s="262">
        <v>0</v>
      </c>
    </row>
    <row r="47" spans="1:11" x14ac:dyDescent="0.3">
      <c r="A47" s="262">
        <v>341</v>
      </c>
      <c r="B47" s="262">
        <v>341</v>
      </c>
      <c r="C47" s="262" t="s">
        <v>1326</v>
      </c>
      <c r="E47" s="997">
        <v>1220339</v>
      </c>
      <c r="F47" s="997">
        <v>49149</v>
      </c>
      <c r="G47" s="997">
        <v>226460</v>
      </c>
      <c r="H47" s="997">
        <v>1353602</v>
      </c>
      <c r="I47" s="997">
        <v>1118570</v>
      </c>
      <c r="J47" s="997">
        <v>77390</v>
      </c>
      <c r="K47" s="997">
        <v>26150</v>
      </c>
    </row>
    <row r="48" spans="1:11" x14ac:dyDescent="0.3">
      <c r="B48" s="262">
        <v>342</v>
      </c>
      <c r="C48" s="262" t="s">
        <v>362</v>
      </c>
      <c r="E48" s="262">
        <v>0</v>
      </c>
      <c r="F48" s="262">
        <v>0</v>
      </c>
      <c r="G48" s="262">
        <v>0</v>
      </c>
      <c r="H48" s="262">
        <v>0</v>
      </c>
      <c r="I48" s="262">
        <v>0</v>
      </c>
      <c r="J48" s="262">
        <v>0</v>
      </c>
      <c r="K48" s="262">
        <v>0</v>
      </c>
    </row>
    <row r="49" spans="1:11" x14ac:dyDescent="0.3">
      <c r="B49" s="262">
        <v>343</v>
      </c>
      <c r="C49" s="262" t="s">
        <v>1327</v>
      </c>
      <c r="E49" s="262">
        <v>0</v>
      </c>
      <c r="F49" s="262">
        <v>0</v>
      </c>
      <c r="G49" s="262">
        <v>0</v>
      </c>
      <c r="H49" s="262">
        <v>0</v>
      </c>
      <c r="I49" s="262">
        <v>0</v>
      </c>
      <c r="J49" s="262">
        <v>0</v>
      </c>
      <c r="K49" s="262">
        <v>0</v>
      </c>
    </row>
    <row r="50" spans="1:11" x14ac:dyDescent="0.3">
      <c r="B50" s="262">
        <v>344</v>
      </c>
      <c r="C50" s="262" t="s">
        <v>1328</v>
      </c>
      <c r="E50" s="262">
        <v>0</v>
      </c>
      <c r="F50" s="262">
        <v>0</v>
      </c>
      <c r="G50" s="262">
        <v>0</v>
      </c>
      <c r="H50" s="262">
        <v>0</v>
      </c>
      <c r="I50" s="262">
        <v>0</v>
      </c>
      <c r="J50" s="262">
        <v>0</v>
      </c>
      <c r="K50" s="262">
        <v>0</v>
      </c>
    </row>
    <row r="51" spans="1:11" x14ac:dyDescent="0.3">
      <c r="B51" s="262">
        <v>367</v>
      </c>
      <c r="C51" s="262" t="s">
        <v>363</v>
      </c>
      <c r="E51" s="262">
        <v>0</v>
      </c>
      <c r="F51" s="262">
        <v>0</v>
      </c>
      <c r="G51" s="262">
        <v>0</v>
      </c>
      <c r="H51" s="262">
        <v>0</v>
      </c>
      <c r="I51" s="262">
        <v>0</v>
      </c>
      <c r="J51" s="262">
        <v>0</v>
      </c>
      <c r="K51" s="262">
        <v>0</v>
      </c>
    </row>
    <row r="52" spans="1:11" x14ac:dyDescent="0.3">
      <c r="B52" s="262">
        <v>368</v>
      </c>
      <c r="C52" s="262" t="s">
        <v>1329</v>
      </c>
      <c r="E52" s="262">
        <v>0</v>
      </c>
      <c r="F52" s="262">
        <v>0</v>
      </c>
      <c r="G52" s="262">
        <v>0</v>
      </c>
      <c r="H52" s="262">
        <v>0</v>
      </c>
      <c r="I52" s="262">
        <v>0</v>
      </c>
      <c r="J52" s="262">
        <v>0</v>
      </c>
      <c r="K52" s="262">
        <v>0</v>
      </c>
    </row>
    <row r="53" spans="1:11" x14ac:dyDescent="0.3">
      <c r="B53" s="262">
        <v>369</v>
      </c>
      <c r="C53" s="262" t="s">
        <v>1330</v>
      </c>
      <c r="E53" s="262">
        <v>0</v>
      </c>
      <c r="F53" s="262">
        <v>0</v>
      </c>
      <c r="G53" s="262">
        <v>0</v>
      </c>
      <c r="H53" s="262">
        <v>0</v>
      </c>
      <c r="I53" s="262">
        <v>0</v>
      </c>
      <c r="J53" s="262">
        <v>0</v>
      </c>
      <c r="K53" s="262">
        <v>0</v>
      </c>
    </row>
    <row r="54" spans="1:11" x14ac:dyDescent="0.3">
      <c r="B54" s="262">
        <v>370</v>
      </c>
      <c r="C54" s="262" t="s">
        <v>1331</v>
      </c>
      <c r="E54" s="262">
        <v>0</v>
      </c>
      <c r="F54" s="262">
        <v>0</v>
      </c>
      <c r="G54" s="262">
        <v>0</v>
      </c>
      <c r="H54" s="262">
        <v>0</v>
      </c>
      <c r="I54" s="262">
        <v>0</v>
      </c>
      <c r="J54" s="262">
        <v>0</v>
      </c>
      <c r="K54" s="262">
        <v>0</v>
      </c>
    </row>
    <row r="55" spans="1:11" x14ac:dyDescent="0.3">
      <c r="B55" s="262">
        <v>371</v>
      </c>
      <c r="C55" s="262" t="s">
        <v>1332</v>
      </c>
      <c r="E55" s="262">
        <v>0</v>
      </c>
      <c r="F55" s="262">
        <v>0</v>
      </c>
      <c r="G55" s="262">
        <v>0</v>
      </c>
      <c r="H55" s="262">
        <v>0</v>
      </c>
      <c r="I55" s="262">
        <v>0</v>
      </c>
      <c r="J55" s="262">
        <v>0</v>
      </c>
      <c r="K55" s="262">
        <v>0</v>
      </c>
    </row>
    <row r="56" spans="1:11" x14ac:dyDescent="0.3">
      <c r="B56" s="262">
        <v>372</v>
      </c>
      <c r="C56" s="262" t="s">
        <v>1333</v>
      </c>
      <c r="E56" s="262">
        <v>0</v>
      </c>
      <c r="F56" s="262">
        <v>0</v>
      </c>
      <c r="G56" s="262">
        <v>0</v>
      </c>
      <c r="H56" s="262">
        <v>0</v>
      </c>
      <c r="I56" s="262">
        <v>0</v>
      </c>
      <c r="J56" s="262">
        <v>0</v>
      </c>
      <c r="K56" s="262">
        <v>0</v>
      </c>
    </row>
    <row r="57" spans="1:11" x14ac:dyDescent="0.3">
      <c r="B57" s="262">
        <v>373</v>
      </c>
      <c r="C57" s="262" t="s">
        <v>1334</v>
      </c>
      <c r="E57" s="262">
        <v>0</v>
      </c>
      <c r="F57" s="262">
        <v>0</v>
      </c>
      <c r="G57" s="262">
        <v>0</v>
      </c>
      <c r="H57" s="262">
        <v>0</v>
      </c>
      <c r="I57" s="262">
        <v>0</v>
      </c>
      <c r="J57" s="262">
        <v>0</v>
      </c>
      <c r="K57" s="262">
        <v>0</v>
      </c>
    </row>
    <row r="58" spans="1:11" x14ac:dyDescent="0.3">
      <c r="A58" s="262">
        <v>376</v>
      </c>
      <c r="B58" s="262">
        <v>376</v>
      </c>
      <c r="C58" s="262" t="s">
        <v>1335</v>
      </c>
      <c r="E58" s="262">
        <v>0</v>
      </c>
      <c r="F58" s="997">
        <v>34500</v>
      </c>
      <c r="G58" s="262">
        <v>0</v>
      </c>
      <c r="H58" s="262">
        <v>0</v>
      </c>
      <c r="I58" s="262">
        <v>0</v>
      </c>
      <c r="J58" s="997">
        <v>-12090</v>
      </c>
      <c r="K58" s="262">
        <v>0</v>
      </c>
    </row>
    <row r="59" spans="1:11" x14ac:dyDescent="0.3">
      <c r="A59" s="262">
        <v>379</v>
      </c>
      <c r="B59" s="262">
        <v>379</v>
      </c>
      <c r="C59" s="262" t="s">
        <v>1336</v>
      </c>
      <c r="E59" s="997">
        <v>9343724</v>
      </c>
      <c r="F59" s="997">
        <v>3342995</v>
      </c>
      <c r="G59" s="997">
        <v>12255940</v>
      </c>
      <c r="H59" s="997">
        <v>3107581</v>
      </c>
      <c r="I59" s="997">
        <v>2394711</v>
      </c>
      <c r="J59" s="997">
        <v>1657764</v>
      </c>
      <c r="K59" s="997">
        <v>4832880</v>
      </c>
    </row>
    <row r="60" spans="1:11" x14ac:dyDescent="0.3">
      <c r="A60" s="262">
        <v>380</v>
      </c>
      <c r="B60" s="262">
        <v>380</v>
      </c>
      <c r="C60" s="262" t="s">
        <v>1337</v>
      </c>
      <c r="E60" s="997">
        <v>1377996</v>
      </c>
      <c r="F60" s="997">
        <v>366727</v>
      </c>
      <c r="G60" s="997">
        <v>567602</v>
      </c>
      <c r="H60" s="997">
        <v>129491</v>
      </c>
      <c r="I60" s="262">
        <v>0</v>
      </c>
      <c r="J60" s="262">
        <v>0</v>
      </c>
      <c r="K60" s="262">
        <v>0</v>
      </c>
    </row>
    <row r="61" spans="1:11" x14ac:dyDescent="0.3">
      <c r="A61" s="262">
        <v>385</v>
      </c>
      <c r="B61" s="262">
        <v>385</v>
      </c>
      <c r="C61" s="262" t="s">
        <v>1338</v>
      </c>
      <c r="E61" s="997">
        <v>17713446</v>
      </c>
      <c r="F61" s="997">
        <v>5654894</v>
      </c>
      <c r="G61" s="997">
        <v>16302337</v>
      </c>
      <c r="H61" s="997">
        <v>4805178</v>
      </c>
      <c r="I61" s="997">
        <v>3808231</v>
      </c>
      <c r="J61" s="997">
        <v>4393732</v>
      </c>
      <c r="K61" s="997">
        <v>5443984</v>
      </c>
    </row>
    <row r="62" spans="1:11" x14ac:dyDescent="0.3">
      <c r="A62" s="262">
        <v>386</v>
      </c>
      <c r="B62" s="262">
        <v>386</v>
      </c>
      <c r="C62" s="262" t="s">
        <v>1339</v>
      </c>
      <c r="E62" s="262">
        <v>0</v>
      </c>
      <c r="F62" s="262">
        <v>0</v>
      </c>
      <c r="G62" s="262">
        <v>0</v>
      </c>
      <c r="H62" s="262">
        <v>0</v>
      </c>
      <c r="I62" s="262">
        <v>0</v>
      </c>
      <c r="J62" s="262">
        <v>0</v>
      </c>
      <c r="K62" s="262">
        <v>0</v>
      </c>
    </row>
    <row r="63" spans="1:11" x14ac:dyDescent="0.3">
      <c r="A63" s="262">
        <v>387</v>
      </c>
      <c r="B63" s="262">
        <v>387</v>
      </c>
      <c r="C63" s="262" t="s">
        <v>1340</v>
      </c>
      <c r="E63" s="262">
        <v>0</v>
      </c>
      <c r="F63" s="262">
        <v>0</v>
      </c>
      <c r="G63" s="262">
        <v>0</v>
      </c>
      <c r="H63" s="262">
        <v>0</v>
      </c>
      <c r="I63" s="262">
        <v>0</v>
      </c>
      <c r="J63" s="262">
        <v>0</v>
      </c>
      <c r="K63" s="262">
        <v>0</v>
      </c>
    </row>
    <row r="64" spans="1:11" x14ac:dyDescent="0.3">
      <c r="A64" s="262">
        <v>388</v>
      </c>
      <c r="B64" s="262">
        <v>388</v>
      </c>
      <c r="C64" s="262" t="s">
        <v>1341</v>
      </c>
      <c r="E64" s="997">
        <v>19660678</v>
      </c>
      <c r="F64" s="997">
        <v>9070838</v>
      </c>
      <c r="G64" s="997">
        <v>24187548</v>
      </c>
      <c r="H64" s="997">
        <v>6225515</v>
      </c>
      <c r="I64" s="997">
        <v>6297397</v>
      </c>
      <c r="J64" s="997">
        <v>7148611</v>
      </c>
      <c r="K64" s="997">
        <v>3839466</v>
      </c>
    </row>
    <row r="65" spans="1:11" x14ac:dyDescent="0.3">
      <c r="A65" s="262">
        <v>389</v>
      </c>
      <c r="B65" s="262">
        <v>389</v>
      </c>
      <c r="C65" s="262" t="s">
        <v>1342</v>
      </c>
      <c r="E65" s="997">
        <v>347690</v>
      </c>
      <c r="F65" s="262">
        <v>0</v>
      </c>
      <c r="G65" s="262">
        <v>0</v>
      </c>
      <c r="H65" s="997">
        <v>-344434</v>
      </c>
      <c r="I65" s="262">
        <v>0</v>
      </c>
      <c r="J65" s="262">
        <v>0</v>
      </c>
      <c r="K65" s="262">
        <v>0</v>
      </c>
    </row>
    <row r="66" spans="1:11" x14ac:dyDescent="0.3">
      <c r="B66" s="262">
        <v>390</v>
      </c>
      <c r="C66" s="262" t="s">
        <v>1343</v>
      </c>
      <c r="E66" s="262">
        <v>0</v>
      </c>
      <c r="F66" s="262">
        <v>0</v>
      </c>
      <c r="G66" s="262">
        <v>0</v>
      </c>
      <c r="H66" s="262">
        <v>0</v>
      </c>
      <c r="I66" s="262">
        <v>0</v>
      </c>
      <c r="J66" s="262">
        <v>0</v>
      </c>
      <c r="K66" s="262">
        <v>0</v>
      </c>
    </row>
    <row r="67" spans="1:11" x14ac:dyDescent="0.3">
      <c r="A67" s="262">
        <v>391</v>
      </c>
      <c r="B67" s="262">
        <v>391</v>
      </c>
      <c r="C67" s="262" t="s">
        <v>1344</v>
      </c>
      <c r="E67" s="997">
        <v>270609</v>
      </c>
      <c r="F67" s="997">
        <v>422407</v>
      </c>
      <c r="G67" s="997">
        <v>3097700</v>
      </c>
      <c r="H67" s="997">
        <v>178655</v>
      </c>
      <c r="I67" s="997">
        <v>381225</v>
      </c>
      <c r="J67" s="997">
        <v>284684</v>
      </c>
      <c r="K67" s="997">
        <v>96020</v>
      </c>
    </row>
    <row r="68" spans="1:11" x14ac:dyDescent="0.3">
      <c r="A68" s="262">
        <v>4</v>
      </c>
      <c r="B68" s="262">
        <v>4</v>
      </c>
      <c r="C68" s="262" t="s">
        <v>1345</v>
      </c>
      <c r="E68" s="997">
        <v>456809</v>
      </c>
      <c r="F68" s="997">
        <v>92190</v>
      </c>
      <c r="G68" s="997">
        <v>2619198</v>
      </c>
      <c r="H68" s="997">
        <v>363671</v>
      </c>
      <c r="I68" s="997">
        <v>274756</v>
      </c>
      <c r="J68" s="997">
        <v>148537</v>
      </c>
      <c r="K68" s="997">
        <v>384174</v>
      </c>
    </row>
    <row r="69" spans="1:11" x14ac:dyDescent="0.3">
      <c r="A69" s="262">
        <v>5</v>
      </c>
      <c r="B69" s="262">
        <v>5</v>
      </c>
      <c r="C69" s="262" t="s">
        <v>1346</v>
      </c>
      <c r="E69" s="997">
        <v>186476</v>
      </c>
      <c r="F69" s="262">
        <v>0</v>
      </c>
      <c r="G69" s="262">
        <v>0</v>
      </c>
      <c r="H69" s="262">
        <v>0</v>
      </c>
      <c r="I69" s="262">
        <v>0</v>
      </c>
      <c r="J69" s="262">
        <v>0</v>
      </c>
      <c r="K69" s="997">
        <v>146904</v>
      </c>
    </row>
    <row r="70" spans="1:11" x14ac:dyDescent="0.3">
      <c r="A70" s="262">
        <v>500</v>
      </c>
      <c r="B70" s="262">
        <v>500</v>
      </c>
      <c r="C70" s="262" t="s">
        <v>183</v>
      </c>
      <c r="E70" s="262">
        <v>0</v>
      </c>
      <c r="F70" s="262">
        <v>0</v>
      </c>
      <c r="G70" s="997">
        <v>1278165</v>
      </c>
      <c r="H70" s="997">
        <v>1154152</v>
      </c>
      <c r="I70" s="262">
        <v>0</v>
      </c>
      <c r="J70" s="262">
        <v>0</v>
      </c>
      <c r="K70" s="262">
        <v>0</v>
      </c>
    </row>
    <row r="71" spans="1:11" x14ac:dyDescent="0.3">
      <c r="B71" s="262">
        <v>501</v>
      </c>
      <c r="C71" s="262" t="s">
        <v>185</v>
      </c>
      <c r="E71" s="262">
        <v>0</v>
      </c>
      <c r="F71" s="262">
        <v>0</v>
      </c>
      <c r="G71" s="262">
        <v>0</v>
      </c>
      <c r="H71" s="262">
        <v>0</v>
      </c>
      <c r="I71" s="262">
        <v>0</v>
      </c>
      <c r="J71" s="262">
        <v>0</v>
      </c>
      <c r="K71" s="262">
        <v>0</v>
      </c>
    </row>
    <row r="72" spans="1:11" x14ac:dyDescent="0.3">
      <c r="A72" s="262">
        <v>502</v>
      </c>
      <c r="B72" s="262">
        <v>502</v>
      </c>
      <c r="C72" s="262" t="s">
        <v>186</v>
      </c>
      <c r="E72" s="262">
        <v>0</v>
      </c>
      <c r="F72" s="262">
        <v>0</v>
      </c>
      <c r="G72" s="262">
        <v>0</v>
      </c>
      <c r="H72" s="262">
        <v>0</v>
      </c>
      <c r="I72" s="262">
        <v>0</v>
      </c>
      <c r="J72" s="262">
        <v>0</v>
      </c>
      <c r="K72" s="262">
        <v>0</v>
      </c>
    </row>
    <row r="73" spans="1:11" x14ac:dyDescent="0.3">
      <c r="A73" s="262">
        <v>503</v>
      </c>
      <c r="B73" s="262">
        <v>503</v>
      </c>
      <c r="C73" s="262" t="s">
        <v>187</v>
      </c>
      <c r="E73" s="262">
        <v>0</v>
      </c>
      <c r="F73" s="262">
        <v>0</v>
      </c>
      <c r="G73" s="262">
        <v>0</v>
      </c>
      <c r="H73" s="262">
        <v>0</v>
      </c>
      <c r="I73" s="262">
        <v>0</v>
      </c>
      <c r="J73" s="262">
        <v>0</v>
      </c>
      <c r="K73" s="262">
        <v>0</v>
      </c>
    </row>
    <row r="74" spans="1:11" x14ac:dyDescent="0.3">
      <c r="A74" s="262">
        <v>504</v>
      </c>
      <c r="B74" s="262">
        <v>504</v>
      </c>
      <c r="C74" s="262" t="s">
        <v>191</v>
      </c>
      <c r="E74" s="997">
        <v>8675462</v>
      </c>
      <c r="F74" s="997">
        <v>4521376</v>
      </c>
      <c r="G74" s="997">
        <v>12014864</v>
      </c>
      <c r="H74" s="997">
        <v>4156514</v>
      </c>
      <c r="I74" s="997">
        <v>1903738</v>
      </c>
      <c r="J74" s="997">
        <v>4533375</v>
      </c>
      <c r="K74" s="997">
        <v>2848726</v>
      </c>
    </row>
    <row r="75" spans="1:11" x14ac:dyDescent="0.3">
      <c r="A75" s="262">
        <v>505</v>
      </c>
      <c r="B75" s="262">
        <v>505</v>
      </c>
      <c r="C75" s="262" t="s">
        <v>192</v>
      </c>
      <c r="E75" s="997">
        <v>818933</v>
      </c>
      <c r="F75" s="262">
        <v>0</v>
      </c>
      <c r="G75" s="262">
        <v>0</v>
      </c>
      <c r="H75" s="997">
        <v>45000</v>
      </c>
      <c r="I75" s="262">
        <v>0</v>
      </c>
      <c r="J75" s="262">
        <v>0</v>
      </c>
      <c r="K75" s="262">
        <v>0</v>
      </c>
    </row>
    <row r="76" spans="1:11" x14ac:dyDescent="0.3">
      <c r="A76" s="262">
        <v>506</v>
      </c>
      <c r="B76" s="262">
        <v>506</v>
      </c>
      <c r="C76" s="262" t="s">
        <v>198</v>
      </c>
      <c r="E76" s="997">
        <v>7695119</v>
      </c>
      <c r="F76" s="997">
        <v>2513299</v>
      </c>
      <c r="G76" s="997">
        <v>7312473</v>
      </c>
      <c r="H76" s="997">
        <v>1645283</v>
      </c>
      <c r="I76" s="997">
        <v>2013486</v>
      </c>
      <c r="J76" s="997">
        <v>1373080</v>
      </c>
      <c r="K76" s="997">
        <v>4736860</v>
      </c>
    </row>
    <row r="77" spans="1:11" x14ac:dyDescent="0.3">
      <c r="A77" s="262">
        <v>507</v>
      </c>
      <c r="B77" s="262">
        <v>507</v>
      </c>
      <c r="C77" s="262" t="s">
        <v>216</v>
      </c>
      <c r="E77" s="262">
        <v>0</v>
      </c>
      <c r="F77" s="997">
        <v>34500</v>
      </c>
      <c r="G77" s="262">
        <v>0</v>
      </c>
      <c r="H77" s="262">
        <v>0</v>
      </c>
      <c r="I77" s="262">
        <v>0</v>
      </c>
      <c r="J77" s="997">
        <v>9828</v>
      </c>
      <c r="K77" s="262">
        <v>0</v>
      </c>
    </row>
    <row r="78" spans="1:11" x14ac:dyDescent="0.3">
      <c r="B78" s="262">
        <v>508</v>
      </c>
      <c r="C78" s="262" t="s">
        <v>213</v>
      </c>
      <c r="E78" s="262">
        <v>0</v>
      </c>
      <c r="F78" s="262">
        <v>0</v>
      </c>
      <c r="G78" s="262">
        <v>0</v>
      </c>
      <c r="H78" s="262">
        <v>0</v>
      </c>
      <c r="I78" s="262">
        <v>0</v>
      </c>
      <c r="J78" s="262">
        <v>0</v>
      </c>
      <c r="K78" s="262">
        <v>0</v>
      </c>
    </row>
    <row r="79" spans="1:11" x14ac:dyDescent="0.3">
      <c r="B79" s="262">
        <v>509</v>
      </c>
      <c r="C79" s="262" t="s">
        <v>214</v>
      </c>
      <c r="E79" s="262">
        <v>0</v>
      </c>
      <c r="F79" s="262">
        <v>0</v>
      </c>
      <c r="G79" s="262">
        <v>0</v>
      </c>
      <c r="H79" s="262">
        <v>0</v>
      </c>
      <c r="I79" s="262">
        <v>0</v>
      </c>
      <c r="J79" s="262">
        <v>0</v>
      </c>
      <c r="K79" s="262">
        <v>0</v>
      </c>
    </row>
    <row r="80" spans="1:11" x14ac:dyDescent="0.3">
      <c r="B80" s="262">
        <v>510</v>
      </c>
      <c r="C80" s="262" t="s">
        <v>220</v>
      </c>
      <c r="E80" s="262">
        <v>0</v>
      </c>
      <c r="F80" s="262">
        <v>0</v>
      </c>
      <c r="G80" s="262">
        <v>0</v>
      </c>
      <c r="H80" s="262">
        <v>0</v>
      </c>
      <c r="I80" s="262">
        <v>0</v>
      </c>
      <c r="J80" s="262">
        <v>0</v>
      </c>
      <c r="K80" s="262">
        <v>0</v>
      </c>
    </row>
    <row r="81" spans="1:11" x14ac:dyDescent="0.3">
      <c r="B81" s="262">
        <v>511</v>
      </c>
      <c r="C81" s="262" t="s">
        <v>225</v>
      </c>
      <c r="E81" s="262">
        <v>0</v>
      </c>
      <c r="F81" s="262">
        <v>0</v>
      </c>
      <c r="G81" s="262">
        <v>0</v>
      </c>
      <c r="H81" s="262">
        <v>0</v>
      </c>
      <c r="I81" s="262">
        <v>0</v>
      </c>
      <c r="J81" s="262">
        <v>0</v>
      </c>
      <c r="K81" s="262">
        <v>0</v>
      </c>
    </row>
    <row r="82" spans="1:11" x14ac:dyDescent="0.3">
      <c r="A82" s="262">
        <v>512</v>
      </c>
      <c r="B82" s="262">
        <v>512</v>
      </c>
      <c r="C82" s="262" t="s">
        <v>252</v>
      </c>
      <c r="E82" s="997">
        <v>3801001</v>
      </c>
      <c r="F82" s="997">
        <v>437030</v>
      </c>
      <c r="G82" s="262">
        <v>0</v>
      </c>
      <c r="H82" s="262">
        <v>0</v>
      </c>
      <c r="I82" s="262">
        <v>0</v>
      </c>
      <c r="J82" s="262">
        <v>0</v>
      </c>
      <c r="K82" s="997">
        <v>666322</v>
      </c>
    </row>
    <row r="83" spans="1:11" x14ac:dyDescent="0.3">
      <c r="B83" s="262">
        <v>513</v>
      </c>
      <c r="C83" s="262" t="s">
        <v>259</v>
      </c>
      <c r="E83" s="262">
        <v>0</v>
      </c>
      <c r="F83" s="262">
        <v>0</v>
      </c>
      <c r="G83" s="262">
        <v>0</v>
      </c>
      <c r="H83" s="262">
        <v>0</v>
      </c>
      <c r="I83" s="262">
        <v>0</v>
      </c>
      <c r="J83" s="262">
        <v>0</v>
      </c>
      <c r="K83" s="262">
        <v>0</v>
      </c>
    </row>
    <row r="84" spans="1:11" x14ac:dyDescent="0.3">
      <c r="B84" s="262">
        <v>514</v>
      </c>
      <c r="C84" s="262" t="s">
        <v>260</v>
      </c>
      <c r="E84" s="262">
        <v>0</v>
      </c>
      <c r="F84" s="262">
        <v>0</v>
      </c>
      <c r="G84" s="262">
        <v>0</v>
      </c>
      <c r="H84" s="262">
        <v>0</v>
      </c>
      <c r="I84" s="262">
        <v>0</v>
      </c>
      <c r="J84" s="262">
        <v>0</v>
      </c>
      <c r="K84" s="262">
        <v>0</v>
      </c>
    </row>
    <row r="85" spans="1:11" x14ac:dyDescent="0.3">
      <c r="B85" s="262">
        <v>515</v>
      </c>
      <c r="C85" s="262" t="s">
        <v>273</v>
      </c>
      <c r="E85" s="262">
        <v>0</v>
      </c>
      <c r="F85" s="262">
        <v>0</v>
      </c>
      <c r="G85" s="262">
        <v>0</v>
      </c>
      <c r="H85" s="262">
        <v>0</v>
      </c>
      <c r="I85" s="262">
        <v>0</v>
      </c>
      <c r="J85" s="262">
        <v>0</v>
      </c>
      <c r="K85" s="262">
        <v>0</v>
      </c>
    </row>
    <row r="86" spans="1:11" x14ac:dyDescent="0.3">
      <c r="B86" s="262">
        <v>516</v>
      </c>
      <c r="C86" s="262" t="s">
        <v>274</v>
      </c>
      <c r="E86" s="262">
        <v>0</v>
      </c>
      <c r="F86" s="262">
        <v>0</v>
      </c>
      <c r="G86" s="262">
        <v>0</v>
      </c>
      <c r="H86" s="262">
        <v>0</v>
      </c>
      <c r="I86" s="262">
        <v>0</v>
      </c>
      <c r="J86" s="262">
        <v>0</v>
      </c>
      <c r="K86" s="262">
        <v>0</v>
      </c>
    </row>
    <row r="87" spans="1:11" x14ac:dyDescent="0.3">
      <c r="B87" s="262">
        <v>517</v>
      </c>
      <c r="C87" s="262" t="s">
        <v>275</v>
      </c>
      <c r="E87" s="262">
        <v>0</v>
      </c>
      <c r="F87" s="262">
        <v>0</v>
      </c>
      <c r="G87" s="262">
        <v>0</v>
      </c>
      <c r="H87" s="262">
        <v>0</v>
      </c>
      <c r="I87" s="262">
        <v>0</v>
      </c>
      <c r="J87" s="262">
        <v>0</v>
      </c>
      <c r="K87" s="262">
        <v>0</v>
      </c>
    </row>
    <row r="88" spans="1:11" x14ac:dyDescent="0.3">
      <c r="B88" s="262">
        <v>518</v>
      </c>
      <c r="C88" s="262" t="s">
        <v>276</v>
      </c>
      <c r="E88" s="262">
        <v>0</v>
      </c>
      <c r="F88" s="262">
        <v>0</v>
      </c>
      <c r="G88" s="262">
        <v>0</v>
      </c>
      <c r="H88" s="262">
        <v>0</v>
      </c>
      <c r="I88" s="262">
        <v>0</v>
      </c>
      <c r="J88" s="262">
        <v>0</v>
      </c>
      <c r="K88" s="262">
        <v>0</v>
      </c>
    </row>
    <row r="89" spans="1:11" x14ac:dyDescent="0.3">
      <c r="B89" s="262">
        <v>519</v>
      </c>
      <c r="C89" s="262" t="s">
        <v>277</v>
      </c>
      <c r="E89" s="262">
        <v>0</v>
      </c>
      <c r="F89" s="262">
        <v>0</v>
      </c>
      <c r="G89" s="262">
        <v>0</v>
      </c>
      <c r="H89" s="262">
        <v>0</v>
      </c>
      <c r="I89" s="262">
        <v>0</v>
      </c>
      <c r="J89" s="262">
        <v>0</v>
      </c>
      <c r="K89" s="262">
        <v>0</v>
      </c>
    </row>
    <row r="90" spans="1:11" x14ac:dyDescent="0.3">
      <c r="B90" s="262">
        <v>520</v>
      </c>
      <c r="C90" s="262" t="s">
        <v>278</v>
      </c>
      <c r="E90" s="262">
        <v>0</v>
      </c>
      <c r="F90" s="262">
        <v>0</v>
      </c>
      <c r="G90" s="262">
        <v>0</v>
      </c>
      <c r="H90" s="262">
        <v>0</v>
      </c>
      <c r="I90" s="262">
        <v>0</v>
      </c>
      <c r="J90" s="262">
        <v>0</v>
      </c>
      <c r="K90" s="262">
        <v>0</v>
      </c>
    </row>
    <row r="91" spans="1:11" x14ac:dyDescent="0.3">
      <c r="B91" s="262">
        <v>521</v>
      </c>
      <c r="C91" s="262" t="s">
        <v>279</v>
      </c>
      <c r="E91" s="262">
        <v>0</v>
      </c>
      <c r="F91" s="262">
        <v>0</v>
      </c>
      <c r="G91" s="262">
        <v>0</v>
      </c>
      <c r="H91" s="262">
        <v>0</v>
      </c>
      <c r="I91" s="262">
        <v>0</v>
      </c>
      <c r="J91" s="262">
        <v>0</v>
      </c>
      <c r="K91" s="262">
        <v>0</v>
      </c>
    </row>
    <row r="92" spans="1:11" x14ac:dyDescent="0.3">
      <c r="B92" s="262">
        <v>522</v>
      </c>
      <c r="C92" s="262" t="s">
        <v>280</v>
      </c>
      <c r="E92" s="262">
        <v>0</v>
      </c>
      <c r="F92" s="262">
        <v>0</v>
      </c>
      <c r="G92" s="262">
        <v>0</v>
      </c>
      <c r="H92" s="262">
        <v>0</v>
      </c>
      <c r="I92" s="262">
        <v>0</v>
      </c>
      <c r="J92" s="262">
        <v>0</v>
      </c>
      <c r="K92" s="262">
        <v>0</v>
      </c>
    </row>
    <row r="93" spans="1:11" x14ac:dyDescent="0.3">
      <c r="B93" s="262">
        <v>523</v>
      </c>
      <c r="C93" s="262" t="s">
        <v>281</v>
      </c>
      <c r="E93" s="262">
        <v>0</v>
      </c>
      <c r="F93" s="262">
        <v>0</v>
      </c>
      <c r="G93" s="262">
        <v>0</v>
      </c>
      <c r="H93" s="262">
        <v>0</v>
      </c>
      <c r="I93" s="262">
        <v>0</v>
      </c>
      <c r="J93" s="262">
        <v>0</v>
      </c>
      <c r="K93" s="262">
        <v>0</v>
      </c>
    </row>
    <row r="94" spans="1:11" x14ac:dyDescent="0.3">
      <c r="B94" s="262">
        <v>524</v>
      </c>
      <c r="C94" s="262" t="s">
        <v>282</v>
      </c>
      <c r="E94" s="262">
        <v>0</v>
      </c>
      <c r="F94" s="262">
        <v>0</v>
      </c>
      <c r="G94" s="262">
        <v>0</v>
      </c>
      <c r="H94" s="262">
        <v>0</v>
      </c>
      <c r="I94" s="262">
        <v>0</v>
      </c>
      <c r="J94" s="262">
        <v>0</v>
      </c>
      <c r="K94" s="262">
        <v>0</v>
      </c>
    </row>
    <row r="95" spans="1:11" x14ac:dyDescent="0.3">
      <c r="B95" s="262">
        <v>525</v>
      </c>
      <c r="C95" s="262" t="s">
        <v>283</v>
      </c>
      <c r="E95" s="262">
        <v>0</v>
      </c>
      <c r="F95" s="262">
        <v>0</v>
      </c>
      <c r="G95" s="262">
        <v>0</v>
      </c>
      <c r="H95" s="262">
        <v>0</v>
      </c>
      <c r="I95" s="262">
        <v>0</v>
      </c>
      <c r="J95" s="262">
        <v>0</v>
      </c>
      <c r="K95" s="262">
        <v>0</v>
      </c>
    </row>
    <row r="96" spans="1:11" x14ac:dyDescent="0.3">
      <c r="B96" s="262">
        <v>526</v>
      </c>
      <c r="C96" s="262" t="s">
        <v>284</v>
      </c>
      <c r="E96" s="262">
        <v>0</v>
      </c>
      <c r="F96" s="262">
        <v>0</v>
      </c>
      <c r="G96" s="262">
        <v>0</v>
      </c>
      <c r="H96" s="262">
        <v>0</v>
      </c>
      <c r="I96" s="262">
        <v>0</v>
      </c>
      <c r="J96" s="262">
        <v>0</v>
      </c>
      <c r="K96" s="262">
        <v>0</v>
      </c>
    </row>
    <row r="97" spans="1:11" x14ac:dyDescent="0.3">
      <c r="B97" s="262">
        <v>527</v>
      </c>
      <c r="C97" s="262" t="s">
        <v>285</v>
      </c>
      <c r="E97" s="262">
        <v>0</v>
      </c>
      <c r="F97" s="262">
        <v>0</v>
      </c>
      <c r="G97" s="262">
        <v>0</v>
      </c>
      <c r="H97" s="262">
        <v>0</v>
      </c>
      <c r="I97" s="262">
        <v>0</v>
      </c>
      <c r="J97" s="262">
        <v>0</v>
      </c>
      <c r="K97" s="262">
        <v>0</v>
      </c>
    </row>
    <row r="98" spans="1:11" x14ac:dyDescent="0.3">
      <c r="B98" s="262">
        <v>528</v>
      </c>
      <c r="C98" s="262" t="s">
        <v>267</v>
      </c>
      <c r="E98" s="262">
        <v>0</v>
      </c>
      <c r="F98" s="262">
        <v>0</v>
      </c>
      <c r="G98" s="262">
        <v>0</v>
      </c>
      <c r="H98" s="262">
        <v>0</v>
      </c>
      <c r="I98" s="262">
        <v>0</v>
      </c>
      <c r="J98" s="262">
        <v>0</v>
      </c>
      <c r="K98" s="262">
        <v>0</v>
      </c>
    </row>
    <row r="99" spans="1:11" x14ac:dyDescent="0.3">
      <c r="B99" s="262">
        <v>529</v>
      </c>
      <c r="C99" s="262" t="s">
        <v>268</v>
      </c>
      <c r="E99" s="262">
        <v>0</v>
      </c>
      <c r="F99" s="262">
        <v>0</v>
      </c>
      <c r="G99" s="262">
        <v>0</v>
      </c>
      <c r="H99" s="262">
        <v>0</v>
      </c>
      <c r="I99" s="262">
        <v>0</v>
      </c>
      <c r="J99" s="262">
        <v>0</v>
      </c>
      <c r="K99" s="262">
        <v>0</v>
      </c>
    </row>
    <row r="100" spans="1:11" x14ac:dyDescent="0.3">
      <c r="B100" s="262">
        <v>530</v>
      </c>
      <c r="C100" s="262" t="s">
        <v>269</v>
      </c>
      <c r="E100" s="262">
        <v>0</v>
      </c>
      <c r="F100" s="262">
        <v>0</v>
      </c>
      <c r="G100" s="262">
        <v>0</v>
      </c>
      <c r="H100" s="262">
        <v>0</v>
      </c>
      <c r="I100" s="262">
        <v>0</v>
      </c>
      <c r="J100" s="262">
        <v>0</v>
      </c>
      <c r="K100" s="262">
        <v>0</v>
      </c>
    </row>
    <row r="101" spans="1:11" x14ac:dyDescent="0.3">
      <c r="B101" s="262">
        <v>531</v>
      </c>
      <c r="C101" s="262" t="s">
        <v>270</v>
      </c>
      <c r="E101" s="262">
        <v>0</v>
      </c>
      <c r="F101" s="262">
        <v>0</v>
      </c>
      <c r="G101" s="262">
        <v>0</v>
      </c>
      <c r="H101" s="262">
        <v>0</v>
      </c>
      <c r="I101" s="262">
        <v>0</v>
      </c>
      <c r="J101" s="262">
        <v>0</v>
      </c>
      <c r="K101" s="262">
        <v>0</v>
      </c>
    </row>
    <row r="102" spans="1:11" x14ac:dyDescent="0.3">
      <c r="A102" s="262">
        <v>532</v>
      </c>
      <c r="B102" s="262">
        <v>532</v>
      </c>
      <c r="C102" s="262" t="s">
        <v>1347</v>
      </c>
      <c r="E102" s="997">
        <v>12965755</v>
      </c>
      <c r="F102" s="997">
        <v>8359101</v>
      </c>
      <c r="G102" s="997">
        <v>23889921</v>
      </c>
      <c r="H102" s="997">
        <v>6673590</v>
      </c>
      <c r="I102" s="997">
        <v>6560934</v>
      </c>
      <c r="J102" s="997">
        <v>7687534</v>
      </c>
      <c r="K102" s="997">
        <v>3795797</v>
      </c>
    </row>
    <row r="103" spans="1:11" x14ac:dyDescent="0.3">
      <c r="A103" s="262">
        <v>533</v>
      </c>
      <c r="B103" s="262">
        <v>533</v>
      </c>
      <c r="C103" s="262" t="s">
        <v>1348</v>
      </c>
      <c r="E103" s="262">
        <v>0</v>
      </c>
      <c r="F103" s="262">
        <v>0</v>
      </c>
      <c r="G103" s="262">
        <v>0</v>
      </c>
      <c r="H103" s="262">
        <v>0</v>
      </c>
      <c r="I103" s="262">
        <v>0</v>
      </c>
      <c r="J103" s="262">
        <v>0</v>
      </c>
      <c r="K103" s="262">
        <v>0</v>
      </c>
    </row>
    <row r="104" spans="1:11" x14ac:dyDescent="0.3">
      <c r="B104" s="262">
        <v>534</v>
      </c>
      <c r="C104" s="262" t="s">
        <v>271</v>
      </c>
      <c r="E104" s="262">
        <v>0</v>
      </c>
      <c r="F104" s="262">
        <v>0</v>
      </c>
      <c r="G104" s="262">
        <v>0</v>
      </c>
      <c r="H104" s="262">
        <v>0</v>
      </c>
      <c r="I104" s="262">
        <v>0</v>
      </c>
      <c r="J104" s="262">
        <v>0</v>
      </c>
      <c r="K104" s="262">
        <v>0</v>
      </c>
    </row>
    <row r="105" spans="1:11" x14ac:dyDescent="0.3">
      <c r="B105" s="262">
        <v>535</v>
      </c>
      <c r="C105" s="262" t="s">
        <v>253</v>
      </c>
      <c r="E105" s="262">
        <v>0</v>
      </c>
      <c r="F105" s="262">
        <v>0</v>
      </c>
      <c r="G105" s="262">
        <v>0</v>
      </c>
      <c r="H105" s="262">
        <v>0</v>
      </c>
      <c r="I105" s="262">
        <v>0</v>
      </c>
      <c r="J105" s="262">
        <v>0</v>
      </c>
      <c r="K105" s="262">
        <v>0</v>
      </c>
    </row>
    <row r="106" spans="1:11" x14ac:dyDescent="0.3">
      <c r="A106" s="262">
        <v>536</v>
      </c>
      <c r="B106" s="262">
        <v>536</v>
      </c>
      <c r="C106" s="262" t="s">
        <v>199</v>
      </c>
      <c r="E106" s="262">
        <v>0</v>
      </c>
      <c r="F106" s="262">
        <v>0</v>
      </c>
      <c r="G106" s="997">
        <v>1278165</v>
      </c>
      <c r="H106" s="997">
        <v>1154152</v>
      </c>
      <c r="I106" s="262">
        <v>0</v>
      </c>
      <c r="J106" s="262">
        <v>0</v>
      </c>
      <c r="K106" s="262">
        <v>0</v>
      </c>
    </row>
    <row r="107" spans="1:11" x14ac:dyDescent="0.3">
      <c r="B107" s="262">
        <v>539</v>
      </c>
      <c r="C107" s="262" t="s">
        <v>1349</v>
      </c>
    </row>
    <row r="108" spans="1:11" ht="72" x14ac:dyDescent="0.3">
      <c r="A108" s="262">
        <v>547</v>
      </c>
      <c r="B108" s="262">
        <v>547</v>
      </c>
      <c r="C108" s="924" t="s">
        <v>1350</v>
      </c>
      <c r="D108" s="1006"/>
      <c r="E108" s="262">
        <v>3</v>
      </c>
      <c r="F108" s="262">
        <v>3</v>
      </c>
      <c r="G108" s="262">
        <v>3</v>
      </c>
      <c r="H108" s="262">
        <v>3</v>
      </c>
      <c r="I108" s="262">
        <v>3</v>
      </c>
      <c r="J108" s="262">
        <v>4</v>
      </c>
      <c r="K108" s="262">
        <v>2</v>
      </c>
    </row>
    <row r="109" spans="1:11" x14ac:dyDescent="0.3">
      <c r="B109" s="262">
        <v>549</v>
      </c>
      <c r="C109" s="262" t="s">
        <v>1351</v>
      </c>
      <c r="E109" s="262">
        <v>0</v>
      </c>
      <c r="F109" s="262">
        <v>0</v>
      </c>
      <c r="G109" s="262">
        <v>0</v>
      </c>
      <c r="H109" s="262">
        <v>0</v>
      </c>
      <c r="I109" s="262">
        <v>0</v>
      </c>
      <c r="J109" s="262">
        <v>0</v>
      </c>
      <c r="K109" s="262">
        <v>0</v>
      </c>
    </row>
    <row r="110" spans="1:11" ht="72" x14ac:dyDescent="0.3">
      <c r="B110" s="262">
        <v>551</v>
      </c>
      <c r="C110" s="924" t="s">
        <v>1352</v>
      </c>
      <c r="D110" s="1006"/>
      <c r="E110" s="262">
        <v>0</v>
      </c>
      <c r="F110" s="262">
        <v>0</v>
      </c>
      <c r="G110" s="262">
        <v>0</v>
      </c>
      <c r="H110" s="262">
        <v>0</v>
      </c>
      <c r="I110" s="262">
        <v>0</v>
      </c>
      <c r="J110" s="262">
        <v>0</v>
      </c>
      <c r="K110" s="262">
        <v>0</v>
      </c>
    </row>
    <row r="111" spans="1:11" x14ac:dyDescent="0.3">
      <c r="A111" s="262">
        <v>554</v>
      </c>
      <c r="B111" s="262">
        <v>554</v>
      </c>
      <c r="C111" s="262" t="s">
        <v>341</v>
      </c>
      <c r="E111" s="997">
        <v>4600713</v>
      </c>
      <c r="F111" s="997">
        <v>2423724</v>
      </c>
      <c r="G111" s="997">
        <v>2395719</v>
      </c>
      <c r="H111" s="997">
        <v>1421867</v>
      </c>
      <c r="I111" s="997">
        <v>790876</v>
      </c>
      <c r="J111" s="997">
        <v>1300325</v>
      </c>
      <c r="K111" s="997">
        <v>872932</v>
      </c>
    </row>
    <row r="112" spans="1:11" x14ac:dyDescent="0.3">
      <c r="A112" s="262">
        <v>555</v>
      </c>
      <c r="B112" s="262">
        <v>555</v>
      </c>
      <c r="C112" s="262" t="s">
        <v>342</v>
      </c>
      <c r="E112" s="997">
        <v>1120698</v>
      </c>
      <c r="F112" s="997">
        <v>1717100</v>
      </c>
      <c r="G112" s="997">
        <v>595903</v>
      </c>
      <c r="H112" s="997">
        <v>541456</v>
      </c>
      <c r="I112" s="997">
        <v>362202</v>
      </c>
      <c r="J112" s="997">
        <v>351925</v>
      </c>
      <c r="K112" s="997">
        <v>298333</v>
      </c>
    </row>
    <row r="113" spans="1:11" x14ac:dyDescent="0.3">
      <c r="A113" s="262">
        <v>556</v>
      </c>
      <c r="B113" s="262">
        <v>556</v>
      </c>
      <c r="C113" s="262" t="s">
        <v>343</v>
      </c>
      <c r="E113" s="997">
        <v>4457559</v>
      </c>
      <c r="F113" s="997">
        <v>2135355</v>
      </c>
      <c r="G113" s="997">
        <v>938662</v>
      </c>
      <c r="H113" s="997">
        <v>1315624</v>
      </c>
      <c r="I113" s="997">
        <v>1421154</v>
      </c>
      <c r="J113" s="997">
        <v>1336884</v>
      </c>
      <c r="K113" s="997">
        <v>838921</v>
      </c>
    </row>
    <row r="114" spans="1:11" x14ac:dyDescent="0.3">
      <c r="A114" s="262">
        <v>557</v>
      </c>
      <c r="B114" s="262">
        <v>557</v>
      </c>
      <c r="C114" s="262" t="s">
        <v>344</v>
      </c>
      <c r="E114" s="997">
        <v>2122706</v>
      </c>
      <c r="F114" s="997">
        <v>833012</v>
      </c>
      <c r="G114" s="997">
        <v>379290</v>
      </c>
      <c r="H114" s="997">
        <v>554584</v>
      </c>
      <c r="I114" s="997">
        <v>569145</v>
      </c>
      <c r="J114" s="997">
        <v>600134</v>
      </c>
      <c r="K114" s="997">
        <v>338880</v>
      </c>
    </row>
    <row r="115" spans="1:11" x14ac:dyDescent="0.3">
      <c r="A115" s="262">
        <v>6</v>
      </c>
      <c r="B115" s="262">
        <v>6</v>
      </c>
      <c r="C115" s="262" t="s">
        <v>1353</v>
      </c>
      <c r="E115" s="262">
        <v>0</v>
      </c>
      <c r="F115" s="262">
        <v>0</v>
      </c>
      <c r="G115" s="262">
        <v>0</v>
      </c>
      <c r="H115" s="262">
        <v>0</v>
      </c>
      <c r="I115" s="262">
        <v>0</v>
      </c>
      <c r="J115" s="262">
        <v>0</v>
      </c>
      <c r="K115" s="262">
        <v>0</v>
      </c>
    </row>
    <row r="116" spans="1:11" x14ac:dyDescent="0.3">
      <c r="A116" s="262">
        <v>7</v>
      </c>
      <c r="B116" s="262">
        <v>7</v>
      </c>
      <c r="C116" s="262" t="s">
        <v>1354</v>
      </c>
      <c r="E116" s="262">
        <v>0</v>
      </c>
      <c r="F116" s="997">
        <v>35854</v>
      </c>
      <c r="G116" s="262">
        <v>0</v>
      </c>
      <c r="H116" s="262">
        <v>0</v>
      </c>
      <c r="I116" s="262">
        <v>0</v>
      </c>
      <c r="J116" s="262">
        <v>0</v>
      </c>
      <c r="K116" s="262">
        <v>0</v>
      </c>
    </row>
    <row r="117" spans="1:11" x14ac:dyDescent="0.3">
      <c r="A117" s="262">
        <v>9</v>
      </c>
      <c r="B117" s="262">
        <v>9</v>
      </c>
      <c r="C117" s="262" t="s">
        <v>1355</v>
      </c>
      <c r="E117" s="997">
        <v>7322443</v>
      </c>
      <c r="F117" s="997">
        <v>2884078</v>
      </c>
      <c r="G117" s="997">
        <v>9069140</v>
      </c>
      <c r="H117" s="997">
        <v>2614419</v>
      </c>
      <c r="I117" s="997">
        <v>2119955</v>
      </c>
      <c r="J117" s="997">
        <v>1509227</v>
      </c>
      <c r="K117" s="997">
        <v>4301802</v>
      </c>
    </row>
    <row r="118" spans="1:11" x14ac:dyDescent="0.3">
      <c r="A118" s="262">
        <v>998</v>
      </c>
      <c r="B118" s="262">
        <v>998</v>
      </c>
      <c r="C118" s="262" t="s">
        <v>288</v>
      </c>
      <c r="E118" s="262">
        <v>56</v>
      </c>
      <c r="F118" s="262">
        <v>56</v>
      </c>
      <c r="G118" s="262">
        <v>56</v>
      </c>
      <c r="H118" s="262">
        <v>56</v>
      </c>
      <c r="I118" s="262">
        <v>56</v>
      </c>
      <c r="J118" s="262">
        <v>56</v>
      </c>
      <c r="K118" s="262">
        <v>56</v>
      </c>
    </row>
    <row r="119" spans="1:11" x14ac:dyDescent="0.3">
      <c r="A119" s="262">
        <v>999</v>
      </c>
      <c r="B119" s="262">
        <v>999</v>
      </c>
      <c r="C119" s="262" t="s">
        <v>289</v>
      </c>
      <c r="E119" s="997">
        <v>561205</v>
      </c>
      <c r="F119" s="997">
        <v>561200</v>
      </c>
      <c r="G119" s="997">
        <v>561208</v>
      </c>
      <c r="H119" s="997">
        <v>561202</v>
      </c>
      <c r="I119" s="997">
        <v>561204</v>
      </c>
      <c r="J119" s="997">
        <v>561206</v>
      </c>
      <c r="K119" s="997">
        <v>561207</v>
      </c>
    </row>
    <row r="120" spans="1:11" x14ac:dyDescent="0.3">
      <c r="A120" s="262">
        <v>575</v>
      </c>
      <c r="B120" s="262">
        <v>575</v>
      </c>
      <c r="C120" s="262" t="s">
        <v>320</v>
      </c>
      <c r="E120" s="262">
        <v>0</v>
      </c>
      <c r="F120" s="262">
        <v>0</v>
      </c>
      <c r="G120" s="262">
        <v>0</v>
      </c>
      <c r="H120" s="262">
        <v>0</v>
      </c>
      <c r="I120" s="262">
        <v>0</v>
      </c>
      <c r="J120" s="262">
        <v>0</v>
      </c>
      <c r="K120" s="262">
        <v>0</v>
      </c>
    </row>
    <row r="121" spans="1:11" x14ac:dyDescent="0.3">
      <c r="A121" s="262">
        <v>576</v>
      </c>
      <c r="B121" s="262">
        <v>576</v>
      </c>
      <c r="C121" s="262" t="s">
        <v>321</v>
      </c>
      <c r="E121" s="262">
        <v>0</v>
      </c>
      <c r="F121" s="262">
        <v>0</v>
      </c>
      <c r="G121" s="262">
        <v>0</v>
      </c>
      <c r="H121" s="262">
        <v>0</v>
      </c>
      <c r="I121" s="262">
        <v>0</v>
      </c>
      <c r="J121" s="262">
        <v>0</v>
      </c>
      <c r="K121" s="262">
        <v>0</v>
      </c>
    </row>
    <row r="122" spans="1:11" x14ac:dyDescent="0.3">
      <c r="A122" s="262">
        <v>577</v>
      </c>
      <c r="B122" s="262">
        <v>577</v>
      </c>
      <c r="C122" s="262" t="s">
        <v>364</v>
      </c>
      <c r="E122" s="262">
        <v>2</v>
      </c>
      <c r="F122" s="262">
        <v>2</v>
      </c>
      <c r="G122" s="262">
        <v>2</v>
      </c>
      <c r="H122" s="262">
        <v>2</v>
      </c>
      <c r="I122" s="262">
        <v>2</v>
      </c>
      <c r="J122" s="262">
        <v>0</v>
      </c>
      <c r="K122" s="262">
        <v>2</v>
      </c>
    </row>
    <row r="123" spans="1:11" x14ac:dyDescent="0.3">
      <c r="A123" s="262">
        <v>586</v>
      </c>
      <c r="B123" s="262">
        <v>586</v>
      </c>
      <c r="C123" s="262" t="s">
        <v>366</v>
      </c>
      <c r="E123" s="262">
        <v>0</v>
      </c>
      <c r="F123" s="262">
        <v>0</v>
      </c>
      <c r="G123" s="262">
        <v>0</v>
      </c>
      <c r="H123" s="262">
        <v>0</v>
      </c>
      <c r="I123" s="262">
        <v>0</v>
      </c>
      <c r="J123" s="262">
        <v>0</v>
      </c>
      <c r="K123" s="262">
        <v>0</v>
      </c>
    </row>
    <row r="124" spans="1:11" x14ac:dyDescent="0.3">
      <c r="A124" s="262">
        <v>591</v>
      </c>
      <c r="B124" s="262">
        <v>591</v>
      </c>
      <c r="C124" s="262" t="s">
        <v>351</v>
      </c>
      <c r="E124" s="262">
        <v>0</v>
      </c>
      <c r="F124" s="262">
        <v>0</v>
      </c>
      <c r="G124" s="262">
        <v>0</v>
      </c>
      <c r="H124" s="262">
        <v>0</v>
      </c>
      <c r="I124" s="262">
        <v>0</v>
      </c>
      <c r="J124" s="262">
        <v>0</v>
      </c>
      <c r="K124" s="262">
        <v>0</v>
      </c>
    </row>
    <row r="125" spans="1:11" x14ac:dyDescent="0.3">
      <c r="A125" s="262">
        <v>592</v>
      </c>
      <c r="B125" s="262">
        <v>592</v>
      </c>
      <c r="C125" s="262" t="s">
        <v>352</v>
      </c>
      <c r="E125" s="262">
        <v>0</v>
      </c>
      <c r="F125" s="262">
        <v>0</v>
      </c>
      <c r="G125" s="262">
        <v>0</v>
      </c>
      <c r="H125" s="262">
        <v>0</v>
      </c>
      <c r="I125" s="262">
        <v>0</v>
      </c>
      <c r="J125" s="262">
        <v>0</v>
      </c>
      <c r="K125" s="262">
        <v>0</v>
      </c>
    </row>
    <row r="126" spans="1:11" x14ac:dyDescent="0.3">
      <c r="B126" s="262">
        <v>595</v>
      </c>
      <c r="C126" s="262" t="s">
        <v>1356</v>
      </c>
    </row>
    <row r="127" spans="1:11" ht="155.25" customHeight="1" x14ac:dyDescent="0.3">
      <c r="B127" s="262">
        <v>600</v>
      </c>
      <c r="C127" s="924" t="s">
        <v>530</v>
      </c>
      <c r="D127" s="1006"/>
    </row>
    <row r="128" spans="1:11" ht="210.75" customHeight="1" x14ac:dyDescent="0.3">
      <c r="B128" s="262">
        <v>601</v>
      </c>
      <c r="C128" s="924" t="s">
        <v>531</v>
      </c>
      <c r="D128" s="1006"/>
    </row>
    <row r="129" spans="1:11" ht="172.8" x14ac:dyDescent="0.3">
      <c r="A129" s="262">
        <v>603</v>
      </c>
      <c r="B129" s="262">
        <v>603</v>
      </c>
      <c r="C129" s="924" t="s">
        <v>387</v>
      </c>
      <c r="D129" s="1006"/>
      <c r="E129" s="262">
        <v>1</v>
      </c>
      <c r="F129" s="262">
        <v>1</v>
      </c>
      <c r="G129" s="262">
        <v>1</v>
      </c>
      <c r="H129" s="262">
        <v>1</v>
      </c>
      <c r="I129" s="262">
        <v>1</v>
      </c>
      <c r="J129" s="262">
        <v>4</v>
      </c>
      <c r="K129" s="262">
        <v>1</v>
      </c>
    </row>
    <row r="130" spans="1:11" ht="115.2" x14ac:dyDescent="0.3">
      <c r="B130" s="262">
        <v>604</v>
      </c>
      <c r="C130" s="924" t="s">
        <v>388</v>
      </c>
      <c r="D130" s="1006"/>
    </row>
    <row r="131" spans="1:11" x14ac:dyDescent="0.3">
      <c r="A131" s="262">
        <v>605</v>
      </c>
      <c r="B131" s="262">
        <v>605</v>
      </c>
      <c r="C131" s="262" t="s">
        <v>390</v>
      </c>
      <c r="E131" s="262">
        <v>1</v>
      </c>
      <c r="F131" s="262">
        <v>1</v>
      </c>
      <c r="G131" s="262">
        <v>1</v>
      </c>
      <c r="H131" s="262">
        <v>1</v>
      </c>
      <c r="I131" s="262">
        <v>1</v>
      </c>
      <c r="J131" s="262">
        <v>1</v>
      </c>
      <c r="K131" s="262">
        <v>1</v>
      </c>
    </row>
    <row r="132" spans="1:11" x14ac:dyDescent="0.3">
      <c r="A132" s="262">
        <v>606</v>
      </c>
      <c r="B132" s="262">
        <v>606</v>
      </c>
      <c r="C132" s="262" t="s">
        <v>401</v>
      </c>
      <c r="E132" s="262">
        <v>1</v>
      </c>
      <c r="F132" s="262">
        <v>1</v>
      </c>
      <c r="G132" s="262">
        <v>1</v>
      </c>
      <c r="H132" s="262">
        <v>1</v>
      </c>
      <c r="I132" s="262">
        <v>1</v>
      </c>
      <c r="J132" s="262">
        <v>1</v>
      </c>
      <c r="K132" s="262">
        <v>1</v>
      </c>
    </row>
    <row r="133" spans="1:11" x14ac:dyDescent="0.3">
      <c r="A133" s="262">
        <v>607</v>
      </c>
      <c r="B133" s="262">
        <v>607</v>
      </c>
      <c r="C133" s="262" t="s">
        <v>380</v>
      </c>
      <c r="E133" s="997">
        <v>19669450</v>
      </c>
      <c r="F133" s="997">
        <v>1722310</v>
      </c>
      <c r="G133" s="997">
        <v>1749260</v>
      </c>
      <c r="H133" s="997">
        <v>4628326</v>
      </c>
      <c r="I133" s="997">
        <v>1845785</v>
      </c>
      <c r="J133" s="262">
        <v>0</v>
      </c>
      <c r="K133" s="262">
        <v>0</v>
      </c>
    </row>
    <row r="134" spans="1:11" x14ac:dyDescent="0.3">
      <c r="A134" s="262">
        <v>608</v>
      </c>
      <c r="B134" s="262">
        <v>608</v>
      </c>
      <c r="C134" s="262" t="s">
        <v>381</v>
      </c>
      <c r="E134" s="997">
        <v>2246048</v>
      </c>
      <c r="F134" s="997">
        <v>437030</v>
      </c>
      <c r="G134" s="262">
        <v>0</v>
      </c>
      <c r="H134" s="262">
        <v>0</v>
      </c>
      <c r="I134" s="262">
        <v>0</v>
      </c>
      <c r="J134" s="262">
        <v>0</v>
      </c>
      <c r="K134" s="262">
        <v>0</v>
      </c>
    </row>
    <row r="135" spans="1:11" x14ac:dyDescent="0.3">
      <c r="A135" s="262">
        <v>609</v>
      </c>
      <c r="B135" s="262">
        <v>609</v>
      </c>
      <c r="C135" s="262" t="s">
        <v>1357</v>
      </c>
      <c r="E135" s="262">
        <v>11.4</v>
      </c>
      <c r="F135" s="262">
        <v>25.4</v>
      </c>
      <c r="G135" s="262">
        <v>0</v>
      </c>
      <c r="H135" s="262">
        <v>0</v>
      </c>
      <c r="I135" s="262">
        <v>0</v>
      </c>
      <c r="J135" s="262">
        <v>0</v>
      </c>
      <c r="K135" s="262">
        <v>0</v>
      </c>
    </row>
    <row r="136" spans="1:11" x14ac:dyDescent="0.3">
      <c r="A136" s="262">
        <v>610</v>
      </c>
      <c r="B136" s="262">
        <v>610</v>
      </c>
      <c r="C136" s="262" t="s">
        <v>382</v>
      </c>
      <c r="E136" s="262">
        <v>0</v>
      </c>
      <c r="F136" s="262">
        <v>0</v>
      </c>
      <c r="G136" s="262">
        <v>0</v>
      </c>
      <c r="H136" s="262">
        <v>0</v>
      </c>
      <c r="I136" s="262">
        <v>0</v>
      </c>
      <c r="J136" s="262">
        <v>0</v>
      </c>
      <c r="K136" s="262">
        <v>0</v>
      </c>
    </row>
    <row r="137" spans="1:11" x14ac:dyDescent="0.3">
      <c r="A137" s="262">
        <v>611</v>
      </c>
      <c r="B137" s="262">
        <v>611</v>
      </c>
      <c r="C137" s="262" t="s">
        <v>383</v>
      </c>
      <c r="E137" s="262">
        <v>0</v>
      </c>
      <c r="F137" s="262">
        <v>0</v>
      </c>
      <c r="G137" s="262">
        <v>0</v>
      </c>
      <c r="H137" s="262">
        <v>0</v>
      </c>
      <c r="I137" s="262">
        <v>0</v>
      </c>
      <c r="J137" s="262">
        <v>0</v>
      </c>
      <c r="K137" s="262">
        <v>0</v>
      </c>
    </row>
    <row r="138" spans="1:11" x14ac:dyDescent="0.3">
      <c r="A138" s="262">
        <v>612</v>
      </c>
      <c r="B138" s="262">
        <v>612</v>
      </c>
      <c r="C138" s="262" t="s">
        <v>1358</v>
      </c>
      <c r="E138" s="262">
        <v>0</v>
      </c>
      <c r="F138" s="262">
        <v>0</v>
      </c>
      <c r="G138" s="262">
        <v>0</v>
      </c>
      <c r="H138" s="262">
        <v>0</v>
      </c>
      <c r="I138" s="262">
        <v>0</v>
      </c>
      <c r="J138" s="262">
        <v>0</v>
      </c>
      <c r="K138" s="262">
        <v>0</v>
      </c>
    </row>
    <row r="139" spans="1:11" x14ac:dyDescent="0.3">
      <c r="A139" s="262">
        <v>613</v>
      </c>
      <c r="B139" s="262">
        <v>613</v>
      </c>
      <c r="C139" s="262" t="s">
        <v>391</v>
      </c>
      <c r="E139" s="262">
        <v>0</v>
      </c>
      <c r="F139" s="262">
        <v>0</v>
      </c>
      <c r="G139" s="262">
        <v>0</v>
      </c>
      <c r="H139" s="262">
        <v>0</v>
      </c>
      <c r="I139" s="262">
        <v>0</v>
      </c>
      <c r="J139" s="262">
        <v>0</v>
      </c>
      <c r="K139" s="262">
        <v>0</v>
      </c>
    </row>
    <row r="140" spans="1:11" x14ac:dyDescent="0.3">
      <c r="A140" s="262">
        <v>614</v>
      </c>
      <c r="B140" s="262">
        <v>614</v>
      </c>
      <c r="C140" s="262" t="s">
        <v>384</v>
      </c>
      <c r="E140" s="262">
        <v>0</v>
      </c>
      <c r="F140" s="262">
        <v>0</v>
      </c>
      <c r="G140" s="262">
        <v>0</v>
      </c>
      <c r="H140" s="262">
        <v>0</v>
      </c>
      <c r="I140" s="262">
        <v>0</v>
      </c>
      <c r="J140" s="262">
        <v>0</v>
      </c>
      <c r="K140" s="262">
        <v>0</v>
      </c>
    </row>
    <row r="141" spans="1:11" x14ac:dyDescent="0.3">
      <c r="A141" s="262">
        <v>615</v>
      </c>
      <c r="B141" s="262">
        <v>615</v>
      </c>
      <c r="C141" s="262" t="s">
        <v>1359</v>
      </c>
      <c r="E141" s="262">
        <v>0</v>
      </c>
      <c r="F141" s="262">
        <v>0</v>
      </c>
      <c r="G141" s="262">
        <v>0</v>
      </c>
      <c r="H141" s="262">
        <v>0</v>
      </c>
      <c r="I141" s="262">
        <v>0</v>
      </c>
      <c r="J141" s="262">
        <v>0</v>
      </c>
      <c r="K141" s="262">
        <v>0</v>
      </c>
    </row>
    <row r="142" spans="1:11" x14ac:dyDescent="0.3">
      <c r="A142" s="262">
        <v>616</v>
      </c>
      <c r="B142" s="262">
        <v>616</v>
      </c>
      <c r="C142" s="262" t="s">
        <v>385</v>
      </c>
      <c r="E142" s="262">
        <v>0</v>
      </c>
      <c r="F142" s="262">
        <v>0</v>
      </c>
      <c r="G142" s="262">
        <v>0</v>
      </c>
      <c r="H142" s="262">
        <v>0</v>
      </c>
      <c r="I142" s="262">
        <v>0</v>
      </c>
      <c r="J142" s="262">
        <v>0</v>
      </c>
      <c r="K142" s="262">
        <v>0</v>
      </c>
    </row>
    <row r="143" spans="1:11" x14ac:dyDescent="0.3">
      <c r="A143" s="262">
        <v>617</v>
      </c>
      <c r="B143" s="262">
        <v>617</v>
      </c>
      <c r="C143" s="262" t="s">
        <v>386</v>
      </c>
      <c r="E143" s="262">
        <v>0</v>
      </c>
      <c r="F143" s="262">
        <v>0</v>
      </c>
      <c r="G143" s="262">
        <v>0</v>
      </c>
      <c r="H143" s="262">
        <v>0</v>
      </c>
      <c r="I143" s="262">
        <v>0</v>
      </c>
      <c r="J143" s="262">
        <v>0</v>
      </c>
      <c r="K143" s="262">
        <v>0</v>
      </c>
    </row>
    <row r="144" spans="1:11" x14ac:dyDescent="0.3">
      <c r="A144" s="262">
        <v>618</v>
      </c>
      <c r="B144" s="262">
        <v>618</v>
      </c>
      <c r="C144" s="262" t="s">
        <v>398</v>
      </c>
      <c r="E144" s="262">
        <v>0</v>
      </c>
      <c r="F144" s="262">
        <v>0</v>
      </c>
      <c r="G144" s="262">
        <v>0</v>
      </c>
      <c r="H144" s="262">
        <v>0</v>
      </c>
      <c r="I144" s="262">
        <v>0</v>
      </c>
      <c r="J144" s="262">
        <v>0</v>
      </c>
      <c r="K144" s="262">
        <v>0</v>
      </c>
    </row>
    <row r="145" spans="1:11" x14ac:dyDescent="0.3">
      <c r="A145" s="262">
        <v>621</v>
      </c>
      <c r="B145" s="262">
        <v>621</v>
      </c>
      <c r="C145" s="262" t="s">
        <v>1360</v>
      </c>
      <c r="E145" s="262">
        <v>0</v>
      </c>
      <c r="F145" s="262">
        <v>0</v>
      </c>
      <c r="G145" s="262">
        <v>0</v>
      </c>
      <c r="H145" s="262">
        <v>0</v>
      </c>
      <c r="I145" s="262">
        <v>0</v>
      </c>
      <c r="J145" s="998">
        <v>5088058</v>
      </c>
      <c r="K145" s="262">
        <v>0</v>
      </c>
    </row>
    <row r="146" spans="1:11" x14ac:dyDescent="0.3">
      <c r="A146" s="262">
        <v>622</v>
      </c>
      <c r="B146" s="262">
        <v>622</v>
      </c>
      <c r="C146" s="262" t="s">
        <v>408</v>
      </c>
      <c r="E146" s="998">
        <v>2176149</v>
      </c>
      <c r="F146" s="998">
        <v>1632171</v>
      </c>
      <c r="G146" s="998">
        <v>4352536</v>
      </c>
      <c r="H146" s="998">
        <v>1113103</v>
      </c>
      <c r="I146" s="262">
        <v>0</v>
      </c>
      <c r="J146" s="998">
        <v>1149400</v>
      </c>
      <c r="K146" s="998">
        <v>747525</v>
      </c>
    </row>
    <row r="147" spans="1:11" ht="100.8" x14ac:dyDescent="0.3">
      <c r="A147" s="262">
        <v>625</v>
      </c>
      <c r="B147" s="262">
        <v>625</v>
      </c>
      <c r="C147" s="924" t="s">
        <v>499</v>
      </c>
      <c r="D147" s="1006"/>
      <c r="E147" s="262">
        <v>1</v>
      </c>
      <c r="F147" s="262">
        <v>1</v>
      </c>
      <c r="G147" s="262">
        <v>1</v>
      </c>
      <c r="H147" s="262">
        <v>1</v>
      </c>
      <c r="I147" s="262">
        <v>1</v>
      </c>
      <c r="J147" s="262">
        <v>3</v>
      </c>
      <c r="K147" s="262">
        <v>1</v>
      </c>
    </row>
    <row r="148" spans="1:11" x14ac:dyDescent="0.3">
      <c r="E148" s="999"/>
      <c r="F148" s="999"/>
      <c r="G148" s="999"/>
      <c r="H148" s="999"/>
      <c r="I148" s="999"/>
      <c r="J148" s="999"/>
      <c r="K148" s="999"/>
    </row>
    <row r="149" spans="1:11" x14ac:dyDescent="0.3">
      <c r="E149" s="998"/>
      <c r="F149" s="998"/>
      <c r="G149" s="998"/>
      <c r="H149" s="998"/>
      <c r="I149" s="998"/>
      <c r="J149" s="998"/>
      <c r="K149" s="998"/>
    </row>
    <row r="150" spans="1:11" hidden="1" x14ac:dyDescent="0.3">
      <c r="E150" s="998"/>
      <c r="F150" s="998"/>
      <c r="G150" s="998"/>
      <c r="H150" s="998"/>
      <c r="I150" s="998"/>
      <c r="J150" s="998"/>
      <c r="K150" s="998"/>
    </row>
    <row r="151" spans="1:11" hidden="1" x14ac:dyDescent="0.3"/>
    <row r="152" spans="1:11" hidden="1" x14ac:dyDescent="0.3"/>
    <row r="153" spans="1:11" hidden="1" x14ac:dyDescent="0.3"/>
    <row r="154" spans="1:11" hidden="1" x14ac:dyDescent="0.3"/>
    <row r="155" spans="1:11" hidden="1" x14ac:dyDescent="0.3"/>
    <row r="156" spans="1:11" hidden="1" x14ac:dyDescent="0.3"/>
    <row r="157" spans="1:11" hidden="1" x14ac:dyDescent="0.3"/>
    <row r="158" spans="1:11" hidden="1" x14ac:dyDescent="0.3"/>
    <row r="159" spans="1:11" hidden="1" x14ac:dyDescent="0.3"/>
    <row r="160" spans="1:11" hidden="1" x14ac:dyDescent="0.3"/>
    <row r="161" hidden="1" x14ac:dyDescent="0.3"/>
    <row r="162" hidden="1" x14ac:dyDescent="0.3"/>
    <row r="163" hidden="1" x14ac:dyDescent="0.3"/>
    <row r="164" hidden="1" x14ac:dyDescent="0.3"/>
    <row r="165" hidden="1" x14ac:dyDescent="0.3"/>
    <row r="166" hidden="1" x14ac:dyDescent="0.3"/>
    <row r="167" hidden="1" x14ac:dyDescent="0.3"/>
    <row r="170" hidden="1" x14ac:dyDescent="0.3"/>
    <row r="171" hidden="1" x14ac:dyDescent="0.3"/>
    <row r="172" hidden="1" x14ac:dyDescent="0.3"/>
    <row r="173" hidden="1" x14ac:dyDescent="0.3"/>
    <row r="174" hidden="1" x14ac:dyDescent="0.3"/>
    <row r="175" hidden="1" x14ac:dyDescent="0.3"/>
    <row r="176" hidden="1" x14ac:dyDescent="0.3"/>
    <row r="177" hidden="1" x14ac:dyDescent="0.3"/>
    <row r="178" hidden="1" x14ac:dyDescent="0.3"/>
    <row r="179" hidden="1" x14ac:dyDescent="0.3"/>
    <row r="180" hidden="1" x14ac:dyDescent="0.3"/>
    <row r="181" hidden="1" x14ac:dyDescent="0.3"/>
    <row r="182" hidden="1" x14ac:dyDescent="0.3"/>
    <row r="183" hidden="1" x14ac:dyDescent="0.3"/>
    <row r="184" hidden="1" x14ac:dyDescent="0.3"/>
    <row r="185" hidden="1" x14ac:dyDescent="0.3"/>
    <row r="186" hidden="1" x14ac:dyDescent="0.3"/>
    <row r="187" hidden="1" x14ac:dyDescent="0.3"/>
    <row r="188" hidden="1" x14ac:dyDescent="0.3"/>
    <row r="189" hidden="1" x14ac:dyDescent="0.3"/>
    <row r="190" hidden="1" x14ac:dyDescent="0.3"/>
    <row r="191" hidden="1" x14ac:dyDescent="0.3"/>
    <row r="192" hidden="1" x14ac:dyDescent="0.3"/>
    <row r="193" hidden="1" x14ac:dyDescent="0.3"/>
    <row r="194" hidden="1" x14ac:dyDescent="0.3"/>
    <row r="195" hidden="1" x14ac:dyDescent="0.3"/>
    <row r="196" hidden="1" x14ac:dyDescent="0.3"/>
    <row r="197" hidden="1" x14ac:dyDescent="0.3"/>
    <row r="198" hidden="1" x14ac:dyDescent="0.3"/>
    <row r="199" hidden="1" x14ac:dyDescent="0.3"/>
    <row r="200" hidden="1" x14ac:dyDescent="0.3"/>
    <row r="201" hidden="1" x14ac:dyDescent="0.3"/>
    <row r="202" hidden="1" x14ac:dyDescent="0.3"/>
    <row r="203" hidden="1" x14ac:dyDescent="0.3"/>
    <row r="204" hidden="1" x14ac:dyDescent="0.3"/>
    <row r="205" hidden="1" x14ac:dyDescent="0.3"/>
    <row r="206" hidden="1" x14ac:dyDescent="0.3"/>
    <row r="207" hidden="1" x14ac:dyDescent="0.3"/>
    <row r="208" hidden="1" x14ac:dyDescent="0.3"/>
    <row r="209" hidden="1" x14ac:dyDescent="0.3"/>
    <row r="210" hidden="1" x14ac:dyDescent="0.3"/>
    <row r="211" hidden="1" x14ac:dyDescent="0.3"/>
    <row r="212" hidden="1" x14ac:dyDescent="0.3"/>
    <row r="213" hidden="1" x14ac:dyDescent="0.3"/>
    <row r="214" hidden="1" x14ac:dyDescent="0.3"/>
    <row r="215" hidden="1" x14ac:dyDescent="0.3"/>
    <row r="216" hidden="1" x14ac:dyDescent="0.3"/>
    <row r="217" hidden="1" x14ac:dyDescent="0.3"/>
    <row r="218" hidden="1" x14ac:dyDescent="0.3"/>
    <row r="219" hidden="1" x14ac:dyDescent="0.3"/>
    <row r="220" hidden="1" x14ac:dyDescent="0.3"/>
    <row r="221" hidden="1" x14ac:dyDescent="0.3"/>
    <row r="222" hidden="1" x14ac:dyDescent="0.3"/>
    <row r="223" hidden="1" x14ac:dyDescent="0.3"/>
    <row r="224" hidden="1" x14ac:dyDescent="0.3"/>
    <row r="225" hidden="1" x14ac:dyDescent="0.3"/>
    <row r="226" hidden="1" x14ac:dyDescent="0.3"/>
    <row r="227" hidden="1" x14ac:dyDescent="0.3"/>
    <row r="228" hidden="1" x14ac:dyDescent="0.3"/>
    <row r="229" hidden="1" x14ac:dyDescent="0.3"/>
    <row r="230" hidden="1" x14ac:dyDescent="0.3"/>
    <row r="231" hidden="1" x14ac:dyDescent="0.3"/>
    <row r="232" hidden="1" x14ac:dyDescent="0.3"/>
    <row r="233" hidden="1" x14ac:dyDescent="0.3"/>
    <row r="234" hidden="1" x14ac:dyDescent="0.3"/>
    <row r="235" hidden="1" x14ac:dyDescent="0.3"/>
    <row r="236" hidden="1" x14ac:dyDescent="0.3"/>
    <row r="237" hidden="1" x14ac:dyDescent="0.3"/>
    <row r="238" hidden="1" x14ac:dyDescent="0.3"/>
    <row r="239" hidden="1" x14ac:dyDescent="0.3"/>
    <row r="240" hidden="1" x14ac:dyDescent="0.3"/>
    <row r="241" hidden="1" x14ac:dyDescent="0.3"/>
    <row r="242" hidden="1" x14ac:dyDescent="0.3"/>
    <row r="243" hidden="1" x14ac:dyDescent="0.3"/>
    <row r="244" hidden="1" x14ac:dyDescent="0.3"/>
    <row r="245" hidden="1" x14ac:dyDescent="0.3"/>
    <row r="246" hidden="1" x14ac:dyDescent="0.3"/>
    <row r="247" hidden="1" x14ac:dyDescent="0.3"/>
    <row r="248" hidden="1" x14ac:dyDescent="0.3"/>
    <row r="249" hidden="1" x14ac:dyDescent="0.3"/>
    <row r="250" hidden="1" x14ac:dyDescent="0.3"/>
    <row r="251" hidden="1" x14ac:dyDescent="0.3"/>
    <row r="252" hidden="1" x14ac:dyDescent="0.3"/>
    <row r="253" hidden="1" x14ac:dyDescent="0.3"/>
    <row r="254" hidden="1" x14ac:dyDescent="0.3"/>
    <row r="255" hidden="1" x14ac:dyDescent="0.3"/>
    <row r="256" hidden="1" x14ac:dyDescent="0.3"/>
    <row r="257" hidden="1" x14ac:dyDescent="0.3"/>
    <row r="258" hidden="1" x14ac:dyDescent="0.3"/>
    <row r="259" hidden="1" x14ac:dyDescent="0.3"/>
    <row r="260" hidden="1" x14ac:dyDescent="0.3"/>
    <row r="261" hidden="1" x14ac:dyDescent="0.3"/>
    <row r="262" hidden="1" x14ac:dyDescent="0.3"/>
    <row r="263" hidden="1" x14ac:dyDescent="0.3"/>
    <row r="264" hidden="1" x14ac:dyDescent="0.3"/>
    <row r="265" hidden="1" x14ac:dyDescent="0.3"/>
    <row r="266" hidden="1" x14ac:dyDescent="0.3"/>
    <row r="267" hidden="1" x14ac:dyDescent="0.3"/>
    <row r="268" hidden="1" x14ac:dyDescent="0.3"/>
    <row r="269" hidden="1" x14ac:dyDescent="0.3"/>
    <row r="270" hidden="1" x14ac:dyDescent="0.3"/>
    <row r="271" hidden="1" x14ac:dyDescent="0.3"/>
    <row r="272" hidden="1" x14ac:dyDescent="0.3"/>
    <row r="273" hidden="1" x14ac:dyDescent="0.3"/>
    <row r="274" hidden="1" x14ac:dyDescent="0.3"/>
    <row r="275" hidden="1" x14ac:dyDescent="0.3"/>
    <row r="276" hidden="1" x14ac:dyDescent="0.3"/>
    <row r="277" hidden="1" x14ac:dyDescent="0.3"/>
    <row r="278" hidden="1" x14ac:dyDescent="0.3"/>
    <row r="279" hidden="1" x14ac:dyDescent="0.3"/>
    <row r="280" hidden="1" x14ac:dyDescent="0.3"/>
    <row r="281" hidden="1" x14ac:dyDescent="0.3"/>
    <row r="282" hidden="1" x14ac:dyDescent="0.3"/>
    <row r="283" hidden="1" x14ac:dyDescent="0.3"/>
    <row r="284" hidden="1" x14ac:dyDescent="0.3"/>
    <row r="285" hidden="1" x14ac:dyDescent="0.3"/>
    <row r="286" hidden="1" x14ac:dyDescent="0.3"/>
    <row r="287" hidden="1" x14ac:dyDescent="0.3"/>
    <row r="288" hidden="1" x14ac:dyDescent="0.3"/>
    <row r="289" spans="1:11" hidden="1" x14ac:dyDescent="0.3"/>
    <row r="290" spans="1:11" hidden="1" x14ac:dyDescent="0.3"/>
    <row r="291" spans="1:11" ht="28.8" x14ac:dyDescent="0.3">
      <c r="A291" s="1045" t="s">
        <v>773</v>
      </c>
      <c r="B291" s="1045"/>
      <c r="C291" s="1046" t="s">
        <v>556</v>
      </c>
      <c r="D291" s="1046"/>
      <c r="E291" s="1044">
        <f>+(E76+E106-E68-E69-E115)/(E102+E11+E79-E103-E78)</f>
        <v>0.54267017866366396</v>
      </c>
      <c r="F291" s="1044">
        <f t="shared" ref="F291:K291" si="0">+(F76+F106-F68-F69-F115)/(F102+F11+F79-F103-F78)</f>
        <v>0.28963748613636803</v>
      </c>
      <c r="G291" s="1044">
        <f t="shared" si="0"/>
        <v>0.24995645653244311</v>
      </c>
      <c r="H291" s="1044">
        <f t="shared" si="0"/>
        <v>0.36498556249335068</v>
      </c>
      <c r="I291" s="1044">
        <f t="shared" si="0"/>
        <v>0.26501257290501629</v>
      </c>
      <c r="J291" s="1044">
        <f t="shared" si="0"/>
        <v>0.1592894418418182</v>
      </c>
      <c r="K291" s="1044">
        <f t="shared" si="0"/>
        <v>1.1080102544999113</v>
      </c>
    </row>
  </sheetData>
  <sheetProtection algorithmName="SHA-512" hashValue="p76Ae5nT+4XCf+epVIrxFe4btEqCgwBeDzfvdcx2GBLng53wfYkj+yXqKCrYtuxbu5DKuZPjQuTO578RBhOo5w==" saltValue="0Jkw5Z5xNGObKAP30fw8nQ==" spinCount="100000" sheet="1" objects="1" scenarios="1"/>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C859C7-D101-4FF8-B13C-F4FADB068718}">
  <sheetPr codeName="Sheet13"/>
  <dimension ref="A1:K119"/>
  <sheetViews>
    <sheetView workbookViewId="0">
      <selection activeCell="A2" sqref="A2:H2"/>
    </sheetView>
  </sheetViews>
  <sheetFormatPr defaultColWidth="9.109375" defaultRowHeight="14.4" x14ac:dyDescent="0.3"/>
  <cols>
    <col min="1" max="1" width="31.5546875" style="292" customWidth="1"/>
    <col min="2" max="2" width="8" style="292" customWidth="1"/>
    <col min="3" max="3" width="14.88671875" style="292" customWidth="1"/>
    <col min="4" max="4" width="16" style="292" customWidth="1"/>
    <col min="5" max="7" width="9.109375" style="292"/>
    <col min="8" max="8" width="21.33203125" style="292" customWidth="1"/>
    <col min="9" max="16384" width="9.109375" style="292"/>
  </cols>
  <sheetData>
    <row r="1" spans="1:11" ht="15.75" customHeight="1" x14ac:dyDescent="0.3">
      <c r="A1" s="1263" t="s">
        <v>723</v>
      </c>
      <c r="B1" s="1263"/>
      <c r="C1" s="1263"/>
      <c r="D1" s="1263"/>
    </row>
    <row r="2" spans="1:11" ht="15.75" customHeight="1" x14ac:dyDescent="0.3">
      <c r="A2" s="1265" t="s">
        <v>816</v>
      </c>
      <c r="B2" s="1265"/>
      <c r="C2" s="1265"/>
      <c r="D2" s="1265"/>
    </row>
    <row r="3" spans="1:11" ht="21.9" customHeight="1" x14ac:dyDescent="0.3">
      <c r="A3" s="1263" t="s">
        <v>817</v>
      </c>
      <c r="B3" s="1263"/>
      <c r="C3" s="1263"/>
      <c r="D3" s="1263"/>
    </row>
    <row r="4" spans="1:11" ht="21" customHeight="1" x14ac:dyDescent="0.3">
      <c r="A4" s="691"/>
      <c r="B4" s="691"/>
      <c r="C4" s="690" t="s">
        <v>818</v>
      </c>
      <c r="D4" s="690" t="s">
        <v>819</v>
      </c>
      <c r="I4" s="691"/>
      <c r="J4" s="690"/>
      <c r="K4" s="690"/>
    </row>
    <row r="5" spans="1:11" ht="15.75" customHeight="1" x14ac:dyDescent="0.3">
      <c r="A5" s="691"/>
      <c r="B5" s="686" t="s">
        <v>820</v>
      </c>
      <c r="C5" s="690" t="s">
        <v>821</v>
      </c>
      <c r="D5" s="690" t="s">
        <v>822</v>
      </c>
      <c r="I5" s="686"/>
      <c r="J5" s="690"/>
      <c r="K5" s="690"/>
    </row>
    <row r="6" spans="1:11" ht="21" customHeight="1" x14ac:dyDescent="0.3">
      <c r="A6" s="670" t="s">
        <v>823</v>
      </c>
      <c r="B6" s="686" t="s">
        <v>824</v>
      </c>
      <c r="C6" s="690" t="s">
        <v>825</v>
      </c>
      <c r="D6" s="690" t="s">
        <v>825</v>
      </c>
      <c r="I6" s="686"/>
      <c r="J6" s="690"/>
      <c r="K6" s="690"/>
    </row>
    <row r="7" spans="1:11" ht="21.9" customHeight="1" x14ac:dyDescent="0.3">
      <c r="A7" s="670" t="s">
        <v>826</v>
      </c>
      <c r="B7" s="675">
        <v>0.59699999999999998</v>
      </c>
      <c r="C7" s="671">
        <v>2015</v>
      </c>
      <c r="D7" s="671">
        <v>2021</v>
      </c>
      <c r="H7" s="677"/>
      <c r="I7" s="673"/>
      <c r="J7" s="684"/>
      <c r="K7" s="684"/>
    </row>
    <row r="8" spans="1:11" ht="15.75" customHeight="1" x14ac:dyDescent="0.3">
      <c r="A8" s="670" t="s">
        <v>827</v>
      </c>
      <c r="B8" s="675">
        <v>0.52900000000000003</v>
      </c>
      <c r="C8" s="671">
        <v>2017</v>
      </c>
      <c r="D8" s="671">
        <v>2021</v>
      </c>
      <c r="H8" s="677"/>
      <c r="I8" s="673"/>
      <c r="J8" s="684"/>
      <c r="K8" s="684"/>
    </row>
    <row r="9" spans="1:11" ht="15.75" customHeight="1" x14ac:dyDescent="0.3">
      <c r="A9" s="670" t="s">
        <v>828</v>
      </c>
      <c r="B9" s="675">
        <v>0.63</v>
      </c>
      <c r="C9" s="671">
        <v>2013</v>
      </c>
      <c r="D9" s="671">
        <v>2021</v>
      </c>
      <c r="H9" s="677"/>
      <c r="I9" s="673"/>
      <c r="J9" s="684"/>
      <c r="K9" s="684"/>
    </row>
    <row r="10" spans="1:11" ht="15.75" customHeight="1" x14ac:dyDescent="0.3">
      <c r="A10" s="670" t="s">
        <v>829</v>
      </c>
      <c r="B10" s="675">
        <v>0.73499999999999999</v>
      </c>
      <c r="C10" s="671">
        <v>2016</v>
      </c>
      <c r="D10" s="671">
        <v>2021</v>
      </c>
      <c r="H10" s="677"/>
      <c r="I10" s="673"/>
      <c r="J10" s="684"/>
      <c r="K10" s="684"/>
    </row>
    <row r="11" spans="1:11" ht="21.9" customHeight="1" x14ac:dyDescent="0.3">
      <c r="A11" s="670" t="s">
        <v>830</v>
      </c>
      <c r="B11" s="675">
        <v>0.67</v>
      </c>
      <c r="C11" s="671">
        <v>2017</v>
      </c>
      <c r="D11" s="671">
        <v>2021</v>
      </c>
      <c r="H11" s="677"/>
      <c r="I11" s="673"/>
      <c r="J11" s="684"/>
      <c r="K11" s="684"/>
    </row>
    <row r="12" spans="1:11" ht="21" customHeight="1" x14ac:dyDescent="0.3">
      <c r="A12" s="670" t="s">
        <v>831</v>
      </c>
      <c r="B12" s="675">
        <v>0.72</v>
      </c>
      <c r="C12" s="671">
        <v>2016</v>
      </c>
      <c r="D12" s="671">
        <v>2021</v>
      </c>
      <c r="H12" s="677"/>
      <c r="I12" s="673"/>
      <c r="J12" s="684"/>
      <c r="K12" s="684"/>
    </row>
    <row r="13" spans="1:11" ht="15.75" customHeight="1" x14ac:dyDescent="0.3">
      <c r="A13" s="670" t="s">
        <v>832</v>
      </c>
      <c r="B13" s="675">
        <v>0.80500000000000005</v>
      </c>
      <c r="C13" s="671">
        <v>2013</v>
      </c>
      <c r="D13" s="671">
        <v>2021</v>
      </c>
      <c r="H13" s="677"/>
      <c r="I13" s="673"/>
      <c r="J13" s="684"/>
      <c r="K13" s="684"/>
    </row>
    <row r="14" spans="1:11" ht="15.75" customHeight="1" x14ac:dyDescent="0.3">
      <c r="A14" s="670" t="s">
        <v>833</v>
      </c>
      <c r="B14" s="675">
        <v>0.48</v>
      </c>
      <c r="C14" s="671">
        <v>2013</v>
      </c>
      <c r="D14" s="671">
        <v>2021</v>
      </c>
      <c r="H14" s="677"/>
      <c r="I14" s="673"/>
      <c r="J14" s="684"/>
      <c r="K14" s="684"/>
    </row>
    <row r="15" spans="1:11" ht="15.75" customHeight="1" x14ac:dyDescent="0.3">
      <c r="A15" s="670" t="s">
        <v>834</v>
      </c>
      <c r="B15" s="675">
        <v>0.54</v>
      </c>
      <c r="C15" s="671">
        <v>2015</v>
      </c>
      <c r="D15" s="671">
        <v>2021</v>
      </c>
      <c r="H15" s="677"/>
      <c r="I15" s="673"/>
      <c r="J15" s="684"/>
      <c r="K15" s="676"/>
    </row>
    <row r="16" spans="1:11" ht="21" customHeight="1" x14ac:dyDescent="0.3">
      <c r="A16" s="670" t="s">
        <v>835</v>
      </c>
      <c r="B16" s="675">
        <v>0.73799999999999999</v>
      </c>
      <c r="C16" s="671">
        <v>2017</v>
      </c>
      <c r="D16" s="671">
        <v>2021</v>
      </c>
      <c r="H16" s="677"/>
      <c r="I16" s="673"/>
      <c r="J16" s="684"/>
      <c r="K16" s="676"/>
    </row>
    <row r="17" spans="1:11" ht="21.9" customHeight="1" x14ac:dyDescent="0.3">
      <c r="A17" s="670" t="s">
        <v>836</v>
      </c>
      <c r="B17" s="675">
        <v>0.74350000000000005</v>
      </c>
      <c r="C17" s="671">
        <v>2017</v>
      </c>
      <c r="D17" s="671">
        <v>2021</v>
      </c>
      <c r="H17" s="677"/>
      <c r="I17" s="673"/>
      <c r="J17" s="684"/>
      <c r="K17" s="676"/>
    </row>
    <row r="18" spans="1:11" ht="15.75" customHeight="1" x14ac:dyDescent="0.3">
      <c r="A18" s="670" t="s">
        <v>837</v>
      </c>
      <c r="B18" s="675">
        <v>0.78600000000000003</v>
      </c>
      <c r="C18" s="671">
        <v>2013</v>
      </c>
      <c r="D18" s="671">
        <v>2021</v>
      </c>
      <c r="H18" s="677"/>
      <c r="I18" s="673"/>
      <c r="J18" s="684"/>
      <c r="K18" s="676"/>
    </row>
    <row r="19" spans="1:11" ht="15.75" customHeight="1" x14ac:dyDescent="0.3">
      <c r="A19" s="670" t="s">
        <v>838</v>
      </c>
      <c r="B19" s="675">
        <v>0.58499999999999996</v>
      </c>
      <c r="C19" s="671">
        <v>2017</v>
      </c>
      <c r="D19" s="671">
        <v>2021</v>
      </c>
      <c r="H19" s="677"/>
      <c r="I19" s="673"/>
      <c r="J19" s="684"/>
      <c r="K19" s="676"/>
    </row>
    <row r="20" spans="1:11" ht="15.75" customHeight="1" x14ac:dyDescent="0.3">
      <c r="A20" s="670" t="s">
        <v>839</v>
      </c>
      <c r="B20" s="675">
        <v>0.38</v>
      </c>
      <c r="C20" s="671">
        <v>2016</v>
      </c>
      <c r="D20" s="671">
        <v>2021</v>
      </c>
    </row>
    <row r="21" spans="1:11" ht="21.9" customHeight="1" x14ac:dyDescent="0.3">
      <c r="A21" s="679" t="s">
        <v>840</v>
      </c>
      <c r="B21" s="675">
        <v>0.55500000000000005</v>
      </c>
      <c r="C21" s="671">
        <v>2017</v>
      </c>
      <c r="D21" s="689">
        <v>2021</v>
      </c>
    </row>
    <row r="22" spans="1:11" ht="21" customHeight="1" x14ac:dyDescent="0.3">
      <c r="A22" s="679" t="s">
        <v>841</v>
      </c>
      <c r="B22" s="675">
        <v>0.8679</v>
      </c>
      <c r="C22" s="671">
        <v>2017</v>
      </c>
      <c r="D22" s="689">
        <v>2021</v>
      </c>
    </row>
    <row r="23" spans="1:11" ht="15.75" customHeight="1" x14ac:dyDescent="0.3">
      <c r="A23" s="679" t="s">
        <v>842</v>
      </c>
      <c r="B23" s="675">
        <v>0.72</v>
      </c>
      <c r="C23" s="671">
        <v>2013</v>
      </c>
      <c r="D23" s="689">
        <v>2021</v>
      </c>
    </row>
    <row r="24" spans="1:11" ht="15.75" customHeight="1" x14ac:dyDescent="0.3">
      <c r="A24" s="679" t="s">
        <v>843</v>
      </c>
      <c r="B24" s="675">
        <v>0.5494</v>
      </c>
      <c r="C24" s="671">
        <v>2017</v>
      </c>
      <c r="D24" s="689">
        <v>2021</v>
      </c>
    </row>
    <row r="25" spans="1:11" ht="15.75" customHeight="1" x14ac:dyDescent="0.3">
      <c r="A25" s="679" t="s">
        <v>844</v>
      </c>
      <c r="B25" s="675">
        <v>0.67</v>
      </c>
      <c r="C25" s="671">
        <v>2017</v>
      </c>
      <c r="D25" s="689">
        <v>2021</v>
      </c>
    </row>
    <row r="26" spans="1:11" ht="21.9" customHeight="1" x14ac:dyDescent="0.3">
      <c r="A26" s="679" t="s">
        <v>845</v>
      </c>
      <c r="B26" s="675">
        <v>0.66</v>
      </c>
      <c r="C26" s="671">
        <v>2017</v>
      </c>
      <c r="D26" s="689">
        <v>2021</v>
      </c>
    </row>
    <row r="27" spans="1:11" ht="21.9" customHeight="1" x14ac:dyDescent="0.3">
      <c r="A27" s="679" t="s">
        <v>846</v>
      </c>
      <c r="B27" s="675">
        <v>0.58199999999999996</v>
      </c>
      <c r="C27" s="671">
        <v>2016</v>
      </c>
      <c r="D27" s="689">
        <v>2021</v>
      </c>
    </row>
    <row r="28" spans="1:11" ht="15.75" customHeight="1" x14ac:dyDescent="0.3">
      <c r="A28" s="679" t="s">
        <v>847</v>
      </c>
      <c r="B28" s="675">
        <v>0.36</v>
      </c>
      <c r="C28" s="671">
        <v>2013</v>
      </c>
      <c r="D28" s="689">
        <v>2021</v>
      </c>
    </row>
    <row r="29" spans="1:11" ht="15.75" customHeight="1" x14ac:dyDescent="0.3">
      <c r="A29" s="679" t="s">
        <v>848</v>
      </c>
      <c r="B29" s="675">
        <v>0.63600000000000001</v>
      </c>
      <c r="C29" s="671">
        <v>2016</v>
      </c>
      <c r="D29" s="689">
        <v>2021</v>
      </c>
    </row>
    <row r="30" spans="1:11" ht="15.75" customHeight="1" x14ac:dyDescent="0.3">
      <c r="A30" s="679" t="s">
        <v>849</v>
      </c>
      <c r="B30" s="675">
        <v>0.73089999999999999</v>
      </c>
      <c r="C30" s="671">
        <v>2015</v>
      </c>
      <c r="D30" s="689">
        <v>2021</v>
      </c>
    </row>
    <row r="31" spans="1:11" ht="21" customHeight="1" x14ac:dyDescent="0.3">
      <c r="A31" s="679" t="s">
        <v>850</v>
      </c>
      <c r="B31" s="675">
        <v>0.85499999999999998</v>
      </c>
      <c r="C31" s="671">
        <v>2013</v>
      </c>
      <c r="D31" s="689">
        <v>2021</v>
      </c>
    </row>
    <row r="32" spans="1:11" ht="21.9" customHeight="1" x14ac:dyDescent="0.3">
      <c r="A32" s="692" t="s">
        <v>851</v>
      </c>
      <c r="B32" s="669">
        <v>0.55000000000000004</v>
      </c>
      <c r="C32" s="688">
        <v>2018</v>
      </c>
      <c r="D32" s="688">
        <v>2022</v>
      </c>
    </row>
    <row r="33" spans="1:4" ht="15.75" customHeight="1" x14ac:dyDescent="0.3">
      <c r="A33" s="692" t="s">
        <v>852</v>
      </c>
      <c r="B33" s="669">
        <v>0.82</v>
      </c>
      <c r="C33" s="688">
        <v>2015</v>
      </c>
      <c r="D33" s="688">
        <v>2022</v>
      </c>
    </row>
    <row r="34" spans="1:4" ht="15.75" customHeight="1" x14ac:dyDescent="0.3">
      <c r="A34" s="692" t="s">
        <v>853</v>
      </c>
      <c r="B34" s="669">
        <v>0.755</v>
      </c>
      <c r="C34" s="688">
        <v>2014</v>
      </c>
      <c r="D34" s="688">
        <v>2022</v>
      </c>
    </row>
    <row r="35" spans="1:4" ht="15.75" customHeight="1" x14ac:dyDescent="0.3">
      <c r="A35" s="692" t="s">
        <v>854</v>
      </c>
      <c r="B35" s="669">
        <v>0.5494</v>
      </c>
      <c r="C35" s="688">
        <v>2016</v>
      </c>
      <c r="D35" s="688">
        <v>2022</v>
      </c>
    </row>
    <row r="36" spans="1:4" ht="21.9" customHeight="1" x14ac:dyDescent="0.3">
      <c r="A36" s="692" t="s">
        <v>855</v>
      </c>
      <c r="B36" s="669">
        <v>0.73499999999999999</v>
      </c>
      <c r="C36" s="688">
        <v>2017</v>
      </c>
      <c r="D36" s="688">
        <v>2022</v>
      </c>
    </row>
    <row r="37" spans="1:4" ht="21" customHeight="1" x14ac:dyDescent="0.3">
      <c r="A37" s="692" t="s">
        <v>856</v>
      </c>
      <c r="B37" s="669">
        <v>0.73050000000000004</v>
      </c>
      <c r="C37" s="688">
        <v>2017</v>
      </c>
      <c r="D37" s="688">
        <v>2022</v>
      </c>
    </row>
    <row r="38" spans="1:4" ht="15.75" customHeight="1" x14ac:dyDescent="0.3">
      <c r="A38" s="692" t="s">
        <v>857</v>
      </c>
      <c r="B38" s="669">
        <v>0.75</v>
      </c>
      <c r="C38" s="688">
        <v>2017</v>
      </c>
      <c r="D38" s="688">
        <v>2022</v>
      </c>
    </row>
    <row r="39" spans="1:4" ht="15.75" customHeight="1" x14ac:dyDescent="0.3">
      <c r="A39" s="692" t="s">
        <v>858</v>
      </c>
      <c r="B39" s="669">
        <v>0.75</v>
      </c>
      <c r="C39" s="688">
        <v>2014</v>
      </c>
      <c r="D39" s="688">
        <v>2022</v>
      </c>
    </row>
    <row r="40" spans="1:4" ht="15.75" customHeight="1" x14ac:dyDescent="0.3">
      <c r="A40" s="693" t="s">
        <v>859</v>
      </c>
      <c r="B40" s="669">
        <v>0.77</v>
      </c>
      <c r="C40" s="688">
        <v>2014</v>
      </c>
      <c r="D40" s="674">
        <v>2022</v>
      </c>
    </row>
    <row r="41" spans="1:4" ht="21" customHeight="1" x14ac:dyDescent="0.3">
      <c r="A41" s="693" t="s">
        <v>860</v>
      </c>
      <c r="B41" s="669">
        <v>0.57999999999999996</v>
      </c>
      <c r="C41" s="688">
        <v>2018</v>
      </c>
      <c r="D41" s="674">
        <v>2022</v>
      </c>
    </row>
    <row r="42" spans="1:4" ht="21.9" customHeight="1" x14ac:dyDescent="0.3">
      <c r="A42" s="693" t="s">
        <v>861</v>
      </c>
      <c r="B42" s="669">
        <v>0.70499999999999996</v>
      </c>
      <c r="C42" s="688">
        <v>2018</v>
      </c>
      <c r="D42" s="674">
        <v>2022</v>
      </c>
    </row>
    <row r="43" spans="1:4" ht="15.75" customHeight="1" x14ac:dyDescent="0.3">
      <c r="A43" s="693" t="s">
        <v>862</v>
      </c>
      <c r="B43" s="669">
        <v>0.77</v>
      </c>
      <c r="C43" s="688">
        <v>2014</v>
      </c>
      <c r="D43" s="674">
        <v>2022</v>
      </c>
    </row>
    <row r="44" spans="1:4" ht="15.75" customHeight="1" x14ac:dyDescent="0.3">
      <c r="A44" s="693" t="s">
        <v>863</v>
      </c>
      <c r="B44" s="669">
        <v>0.40300000000000002</v>
      </c>
      <c r="C44" s="688">
        <v>2014</v>
      </c>
      <c r="D44" s="674">
        <v>2022</v>
      </c>
    </row>
    <row r="45" spans="1:4" ht="15.75" customHeight="1" x14ac:dyDescent="0.3">
      <c r="A45" s="670" t="s">
        <v>864</v>
      </c>
      <c r="B45" s="675">
        <v>0.79</v>
      </c>
      <c r="C45" s="671">
        <v>2015</v>
      </c>
      <c r="D45" s="671">
        <v>2023</v>
      </c>
    </row>
    <row r="46" spans="1:4" ht="21.9" customHeight="1" x14ac:dyDescent="0.3">
      <c r="A46" s="670" t="s">
        <v>865</v>
      </c>
      <c r="B46" s="675">
        <v>0.443</v>
      </c>
      <c r="C46" s="671">
        <v>2019</v>
      </c>
      <c r="D46" s="671">
        <v>2023</v>
      </c>
    </row>
    <row r="47" spans="1:4" ht="21" customHeight="1" x14ac:dyDescent="0.3">
      <c r="A47" s="670" t="s">
        <v>866</v>
      </c>
      <c r="B47" s="675">
        <v>0.48499999999999999</v>
      </c>
      <c r="C47" s="671">
        <v>2019</v>
      </c>
      <c r="D47" s="671">
        <v>2023</v>
      </c>
    </row>
    <row r="48" spans="1:4" ht="15.75" customHeight="1" x14ac:dyDescent="0.3">
      <c r="A48" s="670" t="s">
        <v>867</v>
      </c>
      <c r="B48" s="675">
        <v>0.74</v>
      </c>
      <c r="C48" s="671">
        <v>2015</v>
      </c>
      <c r="D48" s="671">
        <v>2023</v>
      </c>
    </row>
    <row r="49" spans="1:4" ht="15.75" customHeight="1" x14ac:dyDescent="0.3">
      <c r="A49" s="670" t="s">
        <v>868</v>
      </c>
      <c r="B49" s="675">
        <v>0.57499999999999996</v>
      </c>
      <c r="C49" s="671">
        <v>2019</v>
      </c>
      <c r="D49" s="671">
        <v>2023</v>
      </c>
    </row>
    <row r="50" spans="1:4" ht="15.75" customHeight="1" x14ac:dyDescent="0.3">
      <c r="A50" s="670" t="s">
        <v>869</v>
      </c>
      <c r="B50" s="675">
        <v>0.71220000000000006</v>
      </c>
      <c r="C50" s="671">
        <v>2019</v>
      </c>
      <c r="D50" s="671">
        <v>2023</v>
      </c>
    </row>
    <row r="51" spans="1:4" ht="21.9" customHeight="1" x14ac:dyDescent="0.3">
      <c r="A51" s="670" t="s">
        <v>870</v>
      </c>
      <c r="B51" s="675">
        <v>0.83</v>
      </c>
      <c r="C51" s="671">
        <v>2019</v>
      </c>
      <c r="D51" s="671">
        <v>2023</v>
      </c>
    </row>
    <row r="52" spans="1:4" ht="21.9" customHeight="1" x14ac:dyDescent="0.3">
      <c r="A52" s="670" t="s">
        <v>871</v>
      </c>
      <c r="B52" s="675">
        <v>0.65</v>
      </c>
      <c r="C52" s="671">
        <v>2019</v>
      </c>
      <c r="D52" s="671">
        <v>2023</v>
      </c>
    </row>
    <row r="53" spans="1:4" ht="15.75" customHeight="1" x14ac:dyDescent="0.3">
      <c r="A53" s="670" t="s">
        <v>872</v>
      </c>
      <c r="B53" s="675">
        <v>0.56100000000000005</v>
      </c>
      <c r="C53" s="671">
        <v>2019</v>
      </c>
      <c r="D53" s="671">
        <v>2023</v>
      </c>
    </row>
    <row r="54" spans="1:4" ht="15.75" customHeight="1" x14ac:dyDescent="0.3">
      <c r="A54" s="670" t="s">
        <v>873</v>
      </c>
      <c r="B54" s="675">
        <v>0.77</v>
      </c>
      <c r="C54" s="671">
        <v>2017</v>
      </c>
      <c r="D54" s="671">
        <v>2023</v>
      </c>
    </row>
    <row r="55" spans="1:4" ht="15.75" customHeight="1" x14ac:dyDescent="0.3">
      <c r="A55" s="670" t="s">
        <v>874</v>
      </c>
      <c r="B55" s="675">
        <v>0.53749999999999998</v>
      </c>
      <c r="C55" s="671">
        <v>2019</v>
      </c>
      <c r="D55" s="671">
        <v>2023</v>
      </c>
    </row>
    <row r="56" spans="1:4" ht="36" customHeight="1" x14ac:dyDescent="0.3">
      <c r="A56" s="679" t="s">
        <v>875</v>
      </c>
      <c r="B56" s="675">
        <v>0.77500000000000002</v>
      </c>
      <c r="C56" s="671">
        <v>2019</v>
      </c>
      <c r="D56" s="689">
        <v>2023</v>
      </c>
    </row>
    <row r="57" spans="1:4" ht="36" customHeight="1" x14ac:dyDescent="0.3">
      <c r="A57" s="679" t="s">
        <v>876</v>
      </c>
      <c r="B57" s="675">
        <v>0.59899999999999998</v>
      </c>
      <c r="C57" s="671">
        <v>2019</v>
      </c>
      <c r="D57" s="689">
        <v>2023</v>
      </c>
    </row>
    <row r="58" spans="1:4" ht="36" customHeight="1" x14ac:dyDescent="0.3">
      <c r="A58" s="679" t="s">
        <v>877</v>
      </c>
      <c r="B58" s="675">
        <v>0.37469999999999998</v>
      </c>
      <c r="C58" s="671">
        <v>2019</v>
      </c>
      <c r="D58" s="689">
        <v>2023</v>
      </c>
    </row>
    <row r="59" spans="1:4" ht="36" customHeight="1" x14ac:dyDescent="0.3">
      <c r="A59" s="679" t="s">
        <v>878</v>
      </c>
      <c r="B59" s="675">
        <v>0.58750000000000002</v>
      </c>
      <c r="C59" s="671">
        <v>2019</v>
      </c>
      <c r="D59" s="689">
        <v>2023</v>
      </c>
    </row>
    <row r="60" spans="1:4" ht="36" customHeight="1" x14ac:dyDescent="0.3">
      <c r="A60" s="679" t="s">
        <v>879</v>
      </c>
      <c r="B60" s="675">
        <v>0.6169</v>
      </c>
      <c r="C60" s="671">
        <v>2019</v>
      </c>
      <c r="D60" s="689">
        <v>2023</v>
      </c>
    </row>
    <row r="61" spans="1:4" ht="36" customHeight="1" x14ac:dyDescent="0.3">
      <c r="A61" s="679" t="s">
        <v>880</v>
      </c>
      <c r="B61" s="675">
        <v>0.51</v>
      </c>
      <c r="C61" s="671">
        <v>2019</v>
      </c>
      <c r="D61" s="689">
        <v>2023</v>
      </c>
    </row>
    <row r="62" spans="1:4" ht="36" customHeight="1" x14ac:dyDescent="0.3">
      <c r="A62" s="679" t="s">
        <v>881</v>
      </c>
      <c r="B62" s="675">
        <v>0.91</v>
      </c>
      <c r="C62" s="671">
        <v>2015</v>
      </c>
      <c r="D62" s="689">
        <v>2023</v>
      </c>
    </row>
    <row r="63" spans="1:4" ht="36" customHeight="1" x14ac:dyDescent="0.3">
      <c r="A63" s="679" t="s">
        <v>882</v>
      </c>
      <c r="B63" s="675">
        <v>0.65749999999999997</v>
      </c>
      <c r="C63" s="671">
        <v>2019</v>
      </c>
      <c r="D63" s="689">
        <v>2023</v>
      </c>
    </row>
    <row r="64" spans="1:4" ht="36" customHeight="1" x14ac:dyDescent="0.3">
      <c r="A64" s="679" t="s">
        <v>883</v>
      </c>
      <c r="B64" s="675">
        <v>0.59699999999999998</v>
      </c>
      <c r="C64" s="671">
        <v>2019</v>
      </c>
      <c r="D64" s="689">
        <v>2023</v>
      </c>
    </row>
    <row r="65" spans="1:4" ht="36" customHeight="1" x14ac:dyDescent="0.3">
      <c r="A65" s="679" t="s">
        <v>884</v>
      </c>
      <c r="B65" s="675">
        <v>0.66</v>
      </c>
      <c r="C65" s="671">
        <v>2019</v>
      </c>
      <c r="D65" s="689">
        <v>2023</v>
      </c>
    </row>
    <row r="66" spans="1:4" ht="36" customHeight="1" x14ac:dyDescent="0.3">
      <c r="A66" s="679" t="s">
        <v>885</v>
      </c>
      <c r="B66" s="675">
        <v>0.66</v>
      </c>
      <c r="C66" s="671">
        <v>2017</v>
      </c>
      <c r="D66" s="689">
        <v>2023</v>
      </c>
    </row>
    <row r="67" spans="1:4" ht="36" customHeight="1" x14ac:dyDescent="0.3">
      <c r="A67" s="670" t="s">
        <v>886</v>
      </c>
      <c r="B67" s="675">
        <v>0.74</v>
      </c>
      <c r="C67" s="671">
        <v>2020</v>
      </c>
      <c r="D67" s="671">
        <v>2024</v>
      </c>
    </row>
    <row r="68" spans="1:4" ht="36" customHeight="1" x14ac:dyDescent="0.3">
      <c r="A68" s="670" t="s">
        <v>887</v>
      </c>
      <c r="B68" s="675">
        <v>0.33</v>
      </c>
      <c r="C68" s="671">
        <v>2020</v>
      </c>
      <c r="D68" s="671">
        <v>2024</v>
      </c>
    </row>
    <row r="69" spans="1:4" ht="36" customHeight="1" x14ac:dyDescent="0.3">
      <c r="A69" s="670" t="s">
        <v>888</v>
      </c>
      <c r="B69" s="675">
        <v>0.80500000000000005</v>
      </c>
      <c r="C69" s="671">
        <v>2018</v>
      </c>
      <c r="D69" s="671">
        <v>2024</v>
      </c>
    </row>
    <row r="70" spans="1:4" ht="36" customHeight="1" x14ac:dyDescent="0.3">
      <c r="A70" s="670" t="s">
        <v>889</v>
      </c>
      <c r="B70" s="675">
        <v>0.76</v>
      </c>
      <c r="C70" s="671">
        <v>2020</v>
      </c>
      <c r="D70" s="671">
        <v>2024</v>
      </c>
    </row>
    <row r="71" spans="1:4" ht="36" customHeight="1" x14ac:dyDescent="0.3">
      <c r="A71" s="679" t="s">
        <v>890</v>
      </c>
      <c r="B71" s="675">
        <v>0.59</v>
      </c>
      <c r="C71" s="671">
        <v>2016</v>
      </c>
      <c r="D71" s="689">
        <v>2024</v>
      </c>
    </row>
    <row r="72" spans="1:4" ht="36" customHeight="1" x14ac:dyDescent="0.3">
      <c r="A72" s="679" t="s">
        <v>891</v>
      </c>
      <c r="B72" s="675">
        <v>0.67969999999999997</v>
      </c>
      <c r="C72" s="671">
        <v>2020</v>
      </c>
      <c r="D72" s="689">
        <v>2024</v>
      </c>
    </row>
    <row r="73" spans="1:4" ht="36" customHeight="1" x14ac:dyDescent="0.3">
      <c r="A73" s="679" t="s">
        <v>892</v>
      </c>
      <c r="B73" s="675">
        <v>0.83</v>
      </c>
      <c r="C73" s="671">
        <v>2016</v>
      </c>
      <c r="D73" s="689">
        <v>2024</v>
      </c>
    </row>
    <row r="74" spans="1:4" ht="36" customHeight="1" x14ac:dyDescent="0.3">
      <c r="A74" s="679" t="s">
        <v>893</v>
      </c>
      <c r="B74" s="675">
        <v>0.77</v>
      </c>
      <c r="C74" s="671">
        <v>2018</v>
      </c>
      <c r="D74" s="689">
        <v>2024</v>
      </c>
    </row>
    <row r="75" spans="1:4" ht="36" customHeight="1" x14ac:dyDescent="0.3">
      <c r="A75" s="679" t="s">
        <v>894</v>
      </c>
      <c r="B75" s="675">
        <v>0.89</v>
      </c>
      <c r="C75" s="671">
        <v>2016</v>
      </c>
      <c r="D75" s="689">
        <v>2024</v>
      </c>
    </row>
    <row r="76" spans="1:4" ht="36" customHeight="1" x14ac:dyDescent="0.3">
      <c r="A76" s="679" t="s">
        <v>895</v>
      </c>
      <c r="B76" s="675">
        <v>0.6</v>
      </c>
      <c r="C76" s="671">
        <v>2020</v>
      </c>
      <c r="D76" s="689">
        <v>2024</v>
      </c>
    </row>
    <row r="77" spans="1:4" ht="36" customHeight="1" x14ac:dyDescent="0.3">
      <c r="A77" s="679" t="s">
        <v>896</v>
      </c>
      <c r="B77" s="675">
        <v>0.73</v>
      </c>
      <c r="C77" s="671">
        <v>2016</v>
      </c>
      <c r="D77" s="689">
        <v>2024</v>
      </c>
    </row>
    <row r="78" spans="1:4" ht="36" customHeight="1" x14ac:dyDescent="0.3">
      <c r="A78" s="679" t="s">
        <v>897</v>
      </c>
      <c r="B78" s="675">
        <v>0.6</v>
      </c>
      <c r="C78" s="671">
        <v>2016</v>
      </c>
      <c r="D78" s="689">
        <v>2024</v>
      </c>
    </row>
    <row r="79" spans="1:4" ht="36" customHeight="1" x14ac:dyDescent="0.3">
      <c r="A79" s="670" t="s">
        <v>898</v>
      </c>
      <c r="B79" s="675">
        <v>0.67</v>
      </c>
      <c r="C79" s="671">
        <v>2017</v>
      </c>
      <c r="D79" s="671">
        <v>2025</v>
      </c>
    </row>
    <row r="80" spans="1:4" ht="36" customHeight="1" x14ac:dyDescent="0.3">
      <c r="A80" s="670" t="s">
        <v>899</v>
      </c>
      <c r="B80" s="675">
        <v>0.69499999999999995</v>
      </c>
      <c r="C80" s="671">
        <v>2019</v>
      </c>
      <c r="D80" s="671">
        <v>2025</v>
      </c>
    </row>
    <row r="81" spans="1:4" ht="36" customHeight="1" x14ac:dyDescent="0.3">
      <c r="A81" s="670" t="s">
        <v>900</v>
      </c>
      <c r="B81" s="675">
        <v>0.79900000000000004</v>
      </c>
      <c r="C81" s="671">
        <v>2017</v>
      </c>
      <c r="D81" s="671">
        <v>2025</v>
      </c>
    </row>
    <row r="82" spans="1:4" ht="36" customHeight="1" x14ac:dyDescent="0.3">
      <c r="A82" s="670" t="s">
        <v>901</v>
      </c>
      <c r="B82" s="675">
        <v>0.40050000000000002</v>
      </c>
      <c r="C82" s="671">
        <v>2020</v>
      </c>
      <c r="D82" s="671">
        <v>2025</v>
      </c>
    </row>
    <row r="83" spans="1:4" ht="36" customHeight="1" x14ac:dyDescent="0.3">
      <c r="A83" s="670" t="s">
        <v>902</v>
      </c>
      <c r="B83" s="675">
        <v>0.95</v>
      </c>
      <c r="C83" s="671">
        <v>2017</v>
      </c>
      <c r="D83" s="671">
        <v>2025</v>
      </c>
    </row>
    <row r="84" spans="1:4" ht="36" customHeight="1" x14ac:dyDescent="0.3">
      <c r="A84" s="670" t="s">
        <v>903</v>
      </c>
      <c r="B84" s="675">
        <v>0.79</v>
      </c>
      <c r="C84" s="671">
        <v>2017</v>
      </c>
      <c r="D84" s="671">
        <v>2025</v>
      </c>
    </row>
    <row r="85" spans="1:4" ht="36" customHeight="1" x14ac:dyDescent="0.3">
      <c r="A85" s="679" t="s">
        <v>904</v>
      </c>
      <c r="B85" s="675">
        <v>0.76</v>
      </c>
      <c r="C85" s="671">
        <v>2019</v>
      </c>
      <c r="D85" s="689">
        <v>2025</v>
      </c>
    </row>
    <row r="86" spans="1:4" ht="36" customHeight="1" x14ac:dyDescent="0.3">
      <c r="A86" s="679" t="s">
        <v>905</v>
      </c>
      <c r="B86" s="675">
        <v>0.84499999999999997</v>
      </c>
      <c r="C86" s="671">
        <v>2017</v>
      </c>
      <c r="D86" s="689">
        <v>2025</v>
      </c>
    </row>
    <row r="87" spans="1:4" ht="36" customHeight="1" x14ac:dyDescent="0.3">
      <c r="A87" s="679" t="s">
        <v>906</v>
      </c>
      <c r="B87" s="675">
        <v>0.81</v>
      </c>
      <c r="C87" s="671">
        <v>2017</v>
      </c>
      <c r="D87" s="689">
        <v>2025</v>
      </c>
    </row>
    <row r="88" spans="1:4" ht="36" customHeight="1" x14ac:dyDescent="0.3">
      <c r="A88" s="679" t="s">
        <v>907</v>
      </c>
      <c r="B88" s="675">
        <v>0.67</v>
      </c>
      <c r="C88" s="671">
        <v>2017</v>
      </c>
      <c r="D88" s="689">
        <v>2025</v>
      </c>
    </row>
    <row r="89" spans="1:4" ht="36" customHeight="1" x14ac:dyDescent="0.3">
      <c r="A89" s="679" t="s">
        <v>908</v>
      </c>
      <c r="B89" s="675">
        <v>0.63270000000000004</v>
      </c>
      <c r="C89" s="671">
        <v>2019</v>
      </c>
      <c r="D89" s="689">
        <v>2025</v>
      </c>
    </row>
    <row r="90" spans="1:4" ht="36" customHeight="1" x14ac:dyDescent="0.3">
      <c r="A90" s="679" t="s">
        <v>909</v>
      </c>
      <c r="B90" s="675">
        <v>0.94</v>
      </c>
      <c r="C90" s="671">
        <v>2017</v>
      </c>
      <c r="D90" s="689">
        <v>2025</v>
      </c>
    </row>
    <row r="91" spans="1:4" ht="36" customHeight="1" x14ac:dyDescent="0.3">
      <c r="A91" s="679" t="s">
        <v>910</v>
      </c>
      <c r="B91" s="675">
        <v>0.81</v>
      </c>
      <c r="C91" s="671">
        <v>2017</v>
      </c>
      <c r="D91" s="689">
        <v>2025</v>
      </c>
    </row>
    <row r="92" spans="1:4" ht="36" customHeight="1" x14ac:dyDescent="0.3">
      <c r="A92" s="670" t="s">
        <v>911</v>
      </c>
      <c r="B92" s="675">
        <v>0.77700000000000002</v>
      </c>
      <c r="C92" s="671">
        <v>2018</v>
      </c>
      <c r="D92" s="671">
        <v>2026</v>
      </c>
    </row>
    <row r="93" spans="1:4" ht="36" customHeight="1" x14ac:dyDescent="0.3">
      <c r="A93" s="670" t="s">
        <v>912</v>
      </c>
      <c r="B93" s="675">
        <v>0.63500000000000001</v>
      </c>
      <c r="C93" s="671">
        <v>2018</v>
      </c>
      <c r="D93" s="671">
        <v>2026</v>
      </c>
    </row>
    <row r="94" spans="1:4" ht="36" customHeight="1" x14ac:dyDescent="0.3">
      <c r="A94" s="670" t="s">
        <v>913</v>
      </c>
      <c r="B94" s="675">
        <v>0.43</v>
      </c>
      <c r="C94" s="671">
        <v>2018</v>
      </c>
      <c r="D94" s="671">
        <v>2026</v>
      </c>
    </row>
    <row r="95" spans="1:4" ht="36" customHeight="1" x14ac:dyDescent="0.3">
      <c r="A95" s="670" t="s">
        <v>914</v>
      </c>
      <c r="B95" s="675">
        <v>0.84</v>
      </c>
      <c r="C95" s="671">
        <v>2018</v>
      </c>
      <c r="D95" s="671">
        <v>2026</v>
      </c>
    </row>
    <row r="96" spans="1:4" ht="36" customHeight="1" x14ac:dyDescent="0.3">
      <c r="A96" s="670" t="s">
        <v>915</v>
      </c>
      <c r="B96" s="675">
        <v>0.84</v>
      </c>
      <c r="C96" s="671">
        <v>2019</v>
      </c>
      <c r="D96" s="671">
        <v>2027</v>
      </c>
    </row>
    <row r="97" spans="1:4" ht="36" customHeight="1" x14ac:dyDescent="0.3">
      <c r="A97" s="679" t="s">
        <v>916</v>
      </c>
      <c r="B97" s="675">
        <v>0.64500000000000002</v>
      </c>
      <c r="C97" s="671">
        <v>2019</v>
      </c>
      <c r="D97" s="689">
        <v>2027</v>
      </c>
    </row>
    <row r="98" spans="1:4" ht="36" customHeight="1" x14ac:dyDescent="0.3">
      <c r="A98" s="679" t="s">
        <v>917</v>
      </c>
      <c r="B98" s="675">
        <v>0.69499999999999995</v>
      </c>
      <c r="C98" s="671">
        <v>2019</v>
      </c>
      <c r="D98" s="689">
        <v>2027</v>
      </c>
    </row>
    <row r="99" spans="1:4" ht="36" customHeight="1" x14ac:dyDescent="0.3">
      <c r="A99" s="679" t="s">
        <v>918</v>
      </c>
      <c r="B99" s="675">
        <v>0.82499999999999996</v>
      </c>
      <c r="C99" s="671">
        <v>2019</v>
      </c>
      <c r="D99" s="689">
        <v>2027</v>
      </c>
    </row>
    <row r="100" spans="1:4" ht="36" customHeight="1" x14ac:dyDescent="0.3">
      <c r="A100" s="679" t="s">
        <v>919</v>
      </c>
      <c r="B100" s="675">
        <v>1</v>
      </c>
      <c r="C100" s="671">
        <v>2019</v>
      </c>
      <c r="D100" s="689">
        <v>2027</v>
      </c>
    </row>
    <row r="101" spans="1:4" ht="36" customHeight="1" x14ac:dyDescent="0.3">
      <c r="A101" s="679" t="s">
        <v>920</v>
      </c>
      <c r="B101" s="675">
        <v>0.66349999999999998</v>
      </c>
      <c r="C101" s="671">
        <v>2019</v>
      </c>
      <c r="D101" s="689">
        <v>2027</v>
      </c>
    </row>
    <row r="102" spans="1:4" ht="36" customHeight="1" x14ac:dyDescent="0.3">
      <c r="A102" s="670" t="s">
        <v>921</v>
      </c>
      <c r="B102" s="675">
        <v>0.86499999999999999</v>
      </c>
      <c r="C102" s="671">
        <v>2020</v>
      </c>
      <c r="D102" s="671">
        <v>2028</v>
      </c>
    </row>
    <row r="103" spans="1:4" ht="36" customHeight="1" x14ac:dyDescent="0.3">
      <c r="A103" s="670" t="s">
        <v>922</v>
      </c>
      <c r="B103" s="675">
        <v>0.46</v>
      </c>
      <c r="C103" s="671">
        <v>2020</v>
      </c>
      <c r="D103" s="671">
        <v>2028</v>
      </c>
    </row>
    <row r="104" spans="1:4" ht="36" customHeight="1" x14ac:dyDescent="0.3">
      <c r="A104" s="679" t="s">
        <v>923</v>
      </c>
      <c r="B104" s="675">
        <v>0.5</v>
      </c>
      <c r="C104" s="671">
        <v>2020</v>
      </c>
      <c r="D104" s="689">
        <v>2028</v>
      </c>
    </row>
    <row r="105" spans="1:4" ht="36" customHeight="1" x14ac:dyDescent="0.3">
      <c r="A105" s="679" t="s">
        <v>924</v>
      </c>
      <c r="B105" s="675">
        <v>0.62</v>
      </c>
      <c r="C105" s="671">
        <v>2020</v>
      </c>
      <c r="D105" s="689">
        <v>2028</v>
      </c>
    </row>
    <row r="106" spans="1:4" ht="36" customHeight="1" x14ac:dyDescent="0.3">
      <c r="A106" s="679" t="s">
        <v>925</v>
      </c>
      <c r="B106" s="675">
        <v>0.625</v>
      </c>
      <c r="C106" s="671">
        <v>2020</v>
      </c>
      <c r="D106" s="689">
        <v>2028</v>
      </c>
    </row>
    <row r="107" spans="1:4" ht="36" customHeight="1" x14ac:dyDescent="0.3">
      <c r="A107" s="670"/>
      <c r="B107" s="675"/>
      <c r="C107" s="671"/>
      <c r="D107" s="671"/>
    </row>
    <row r="108" spans="1:4" ht="36" customHeight="1" x14ac:dyDescent="0.3">
      <c r="A108" s="670"/>
      <c r="B108" s="675"/>
      <c r="C108" s="671"/>
      <c r="D108" s="671"/>
    </row>
    <row r="109" spans="1:4" ht="36" customHeight="1" x14ac:dyDescent="0.3">
      <c r="A109" s="670"/>
      <c r="B109" s="675"/>
      <c r="C109" s="671"/>
      <c r="D109" s="671"/>
    </row>
    <row r="110" spans="1:4" ht="36" customHeight="1" x14ac:dyDescent="0.3">
      <c r="A110" s="670"/>
      <c r="B110" s="675"/>
      <c r="C110" s="671"/>
      <c r="D110" s="671"/>
    </row>
    <row r="111" spans="1:4" ht="36" customHeight="1" x14ac:dyDescent="0.3">
      <c r="A111" s="670"/>
      <c r="B111" s="675"/>
      <c r="C111" s="671"/>
      <c r="D111" s="671"/>
    </row>
    <row r="112" spans="1:4" ht="36" customHeight="1" x14ac:dyDescent="0.3">
      <c r="A112" s="1266" t="s">
        <v>926</v>
      </c>
      <c r="B112" s="1266"/>
      <c r="C112" s="1266"/>
      <c r="D112" s="1266"/>
    </row>
    <row r="113" spans="1:4" ht="15.75" customHeight="1" x14ac:dyDescent="0.3">
      <c r="A113" s="1261" t="s">
        <v>927</v>
      </c>
      <c r="B113" s="1261"/>
      <c r="C113" s="1261"/>
      <c r="D113" s="1261"/>
    </row>
    <row r="114" spans="1:4" ht="15.75" customHeight="1" x14ac:dyDescent="0.3">
      <c r="A114" s="1264" t="s">
        <v>928</v>
      </c>
      <c r="B114" s="1264"/>
      <c r="C114" s="1264"/>
      <c r="D114" s="1264"/>
    </row>
    <row r="115" spans="1:4" ht="15.75" customHeight="1" x14ac:dyDescent="0.3">
      <c r="A115" s="1261" t="s">
        <v>929</v>
      </c>
      <c r="B115" s="1261"/>
      <c r="C115" s="1261"/>
      <c r="D115" s="1261"/>
    </row>
    <row r="116" spans="1:4" ht="21.9" customHeight="1" x14ac:dyDescent="0.3">
      <c r="A116" s="1262" t="s">
        <v>930</v>
      </c>
      <c r="B116" s="1262"/>
      <c r="C116" s="1262"/>
      <c r="D116" s="1262"/>
    </row>
    <row r="117" spans="1:4" ht="21" customHeight="1" x14ac:dyDescent="0.3">
      <c r="A117" s="1263" t="s">
        <v>931</v>
      </c>
      <c r="B117" s="1263"/>
      <c r="C117" s="1263"/>
      <c r="D117" s="1263"/>
    </row>
    <row r="118" spans="1:4" ht="15.75" customHeight="1" x14ac:dyDescent="0.3">
      <c r="A118" s="1263" t="s">
        <v>932</v>
      </c>
      <c r="B118" s="1263"/>
      <c r="C118" s="1263"/>
      <c r="D118" s="1263"/>
    </row>
    <row r="119" spans="1:4" ht="15.75" customHeight="1" x14ac:dyDescent="0.3">
      <c r="A119" s="1263" t="s">
        <v>933</v>
      </c>
      <c r="B119" s="1263"/>
      <c r="C119" s="1263"/>
      <c r="D119" s="1263"/>
    </row>
  </sheetData>
  <sheetProtection algorithmName="SHA-512" hashValue="JUv3hmo8GmNafP2C3cSb4PgSBLmWwf4yXEdhgi59i6CWTqxCf+qalfkg5TodjzDQw2B6s940/O+iXmOv8r5p4w==" saltValue="zet0ItdJrJNLuGLCnL0msw==" spinCount="100000" sheet="1" objects="1" scenarios="1"/>
  <sortState xmlns:xlrd2="http://schemas.microsoft.com/office/spreadsheetml/2017/richdata2" ref="A7:D106">
    <sortCondition ref="D7:D106"/>
  </sortState>
  <mergeCells count="11">
    <mergeCell ref="A114:D114"/>
    <mergeCell ref="A1:D1"/>
    <mergeCell ref="A2:D2"/>
    <mergeCell ref="A3:D3"/>
    <mergeCell ref="A112:D112"/>
    <mergeCell ref="A113:D113"/>
    <mergeCell ref="A115:D115"/>
    <mergeCell ref="A116:D116"/>
    <mergeCell ref="A117:D117"/>
    <mergeCell ref="A118:D118"/>
    <mergeCell ref="A119:D119"/>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5"/>
  <dimension ref="A1:U76"/>
  <sheetViews>
    <sheetView workbookViewId="0">
      <selection activeCell="A2" sqref="A2:H2"/>
    </sheetView>
  </sheetViews>
  <sheetFormatPr defaultColWidth="9.109375" defaultRowHeight="14.4" x14ac:dyDescent="0.3"/>
  <cols>
    <col min="1" max="1" width="28.5546875" style="697" customWidth="1"/>
    <col min="2" max="10" width="9.109375" style="697"/>
    <col min="11" max="11" width="4.44140625" style="697" customWidth="1"/>
    <col min="12" max="12" width="7.33203125" style="697" customWidth="1"/>
    <col min="13" max="13" width="35.33203125" style="697" customWidth="1"/>
    <col min="14" max="17" width="9.109375" style="697"/>
    <col min="18" max="18" width="30.6640625" style="697" customWidth="1"/>
    <col min="19" max="19" width="11.5546875" style="697" customWidth="1"/>
    <col min="20" max="16384" width="9.109375" style="697"/>
  </cols>
  <sheetData>
    <row r="1" spans="1:21" x14ac:dyDescent="0.3">
      <c r="A1" s="697" t="s">
        <v>1197</v>
      </c>
      <c r="M1" s="697">
        <v>2020</v>
      </c>
      <c r="R1" s="697">
        <v>2019</v>
      </c>
    </row>
    <row r="2" spans="1:21" x14ac:dyDescent="0.3">
      <c r="A2" s="1000" t="s">
        <v>1281</v>
      </c>
      <c r="B2" s="1001">
        <v>561205</v>
      </c>
      <c r="C2" s="683"/>
      <c r="D2" s="55"/>
      <c r="E2" s="55"/>
      <c r="G2" s="697">
        <v>100</v>
      </c>
      <c r="I2" s="697" t="s">
        <v>355</v>
      </c>
      <c r="M2" s="697" t="s">
        <v>1281</v>
      </c>
      <c r="N2" s="697">
        <v>561205</v>
      </c>
      <c r="O2" s="697" t="b">
        <f>EXACT(A2,M2)</f>
        <v>1</v>
      </c>
      <c r="P2" s="701" t="b">
        <f>EXACT(B2,N2)</f>
        <v>1</v>
      </c>
      <c r="R2" s="697" t="s">
        <v>1281</v>
      </c>
      <c r="S2" s="697">
        <v>561205</v>
      </c>
      <c r="T2" s="697" t="b">
        <f>EXACT(M2,R2)</f>
        <v>1</v>
      </c>
      <c r="U2" s="701" t="b">
        <f>EXACT(N2,S2)</f>
        <v>1</v>
      </c>
    </row>
    <row r="3" spans="1:21" ht="15" customHeight="1" x14ac:dyDescent="0.3">
      <c r="A3" s="1000" t="s">
        <v>1282</v>
      </c>
      <c r="B3" s="1001">
        <v>561200</v>
      </c>
      <c r="C3" s="683"/>
      <c r="D3" s="54"/>
      <c r="E3" s="55"/>
      <c r="G3" s="697">
        <v>200</v>
      </c>
      <c r="I3" s="697" t="s">
        <v>356</v>
      </c>
      <c r="M3" s="697" t="s">
        <v>1282</v>
      </c>
      <c r="N3" s="697">
        <v>561200</v>
      </c>
      <c r="O3" s="701" t="b">
        <f t="shared" ref="O3:O5" si="0">EXACT(A3,M3)</f>
        <v>1</v>
      </c>
      <c r="P3" s="701" t="b">
        <f t="shared" ref="P3:P5" si="1">EXACT(B3,N3)</f>
        <v>1</v>
      </c>
      <c r="R3" s="697" t="s">
        <v>1282</v>
      </c>
      <c r="S3" s="697">
        <v>561200</v>
      </c>
      <c r="T3" s="701" t="b">
        <f t="shared" ref="T3:T8" si="2">EXACT(M3,R3)</f>
        <v>1</v>
      </c>
      <c r="U3" s="701" t="b">
        <f t="shared" ref="U3:U8" si="3">EXACT(N3,S3)</f>
        <v>1</v>
      </c>
    </row>
    <row r="4" spans="1:21" ht="15" customHeight="1" x14ac:dyDescent="0.3">
      <c r="A4" s="1000" t="s">
        <v>1283</v>
      </c>
      <c r="B4" s="1001">
        <v>561208</v>
      </c>
      <c r="C4" s="683"/>
      <c r="D4" s="54"/>
      <c r="E4" s="55"/>
      <c r="G4" s="697">
        <v>300</v>
      </c>
      <c r="I4" s="697" t="s">
        <v>357</v>
      </c>
      <c r="M4" s="697" t="s">
        <v>1283</v>
      </c>
      <c r="N4" s="697">
        <v>561208</v>
      </c>
      <c r="O4" s="701" t="b">
        <f t="shared" si="0"/>
        <v>1</v>
      </c>
      <c r="P4" s="701" t="b">
        <f t="shared" si="1"/>
        <v>1</v>
      </c>
      <c r="R4" s="697" t="s">
        <v>1283</v>
      </c>
      <c r="S4" s="697">
        <v>561208</v>
      </c>
      <c r="T4" s="701" t="b">
        <f t="shared" si="2"/>
        <v>1</v>
      </c>
      <c r="U4" s="701" t="b">
        <f t="shared" si="3"/>
        <v>1</v>
      </c>
    </row>
    <row r="5" spans="1:21" x14ac:dyDescent="0.3">
      <c r="A5" s="1000" t="s">
        <v>1284</v>
      </c>
      <c r="B5" s="1001">
        <v>561202</v>
      </c>
      <c r="C5" s="683"/>
      <c r="D5" s="54"/>
      <c r="E5" s="55"/>
      <c r="G5" s="697">
        <v>400</v>
      </c>
      <c r="M5" s="697" t="s">
        <v>1284</v>
      </c>
      <c r="N5" s="697">
        <v>561202</v>
      </c>
      <c r="O5" s="701" t="b">
        <f t="shared" si="0"/>
        <v>1</v>
      </c>
      <c r="P5" s="701" t="b">
        <f t="shared" si="1"/>
        <v>1</v>
      </c>
      <c r="R5" s="697" t="s">
        <v>1284</v>
      </c>
      <c r="S5" s="697">
        <v>561202</v>
      </c>
      <c r="T5" s="701" t="b">
        <f t="shared" si="2"/>
        <v>1</v>
      </c>
      <c r="U5" s="701" t="b">
        <f t="shared" si="3"/>
        <v>1</v>
      </c>
    </row>
    <row r="6" spans="1:21" ht="24" x14ac:dyDescent="0.3">
      <c r="A6" s="1000" t="s">
        <v>1285</v>
      </c>
      <c r="B6" s="1001">
        <v>561204</v>
      </c>
      <c r="C6" s="683"/>
      <c r="D6" s="54"/>
      <c r="E6" s="55"/>
      <c r="G6" s="697">
        <v>500</v>
      </c>
      <c r="M6" s="697" t="s">
        <v>1285</v>
      </c>
      <c r="N6" s="697">
        <v>561204</v>
      </c>
      <c r="O6" s="701" t="b">
        <f t="shared" ref="O6:O8" si="4">EXACT(A6,M6)</f>
        <v>1</v>
      </c>
      <c r="P6" s="701" t="b">
        <f t="shared" ref="P6:P8" si="5">EXACT(B6,N6)</f>
        <v>1</v>
      </c>
      <c r="R6" s="697" t="s">
        <v>1285</v>
      </c>
      <c r="S6" s="697">
        <v>561204</v>
      </c>
      <c r="T6" s="701" t="b">
        <f t="shared" si="2"/>
        <v>1</v>
      </c>
      <c r="U6" s="701" t="b">
        <f t="shared" si="3"/>
        <v>1</v>
      </c>
    </row>
    <row r="7" spans="1:21" x14ac:dyDescent="0.3">
      <c r="A7" s="697" t="s">
        <v>1362</v>
      </c>
      <c r="B7" s="1001">
        <v>561206</v>
      </c>
      <c r="C7" s="683"/>
      <c r="D7" s="54"/>
      <c r="E7" s="55"/>
      <c r="M7" s="697" t="s">
        <v>1362</v>
      </c>
      <c r="N7" s="697">
        <v>561206</v>
      </c>
      <c r="O7" s="701" t="b">
        <f t="shared" si="4"/>
        <v>1</v>
      </c>
      <c r="P7" s="701" t="b">
        <f t="shared" si="5"/>
        <v>1</v>
      </c>
      <c r="R7" s="697" t="s">
        <v>1286</v>
      </c>
      <c r="S7" s="697">
        <v>561206</v>
      </c>
      <c r="T7" s="701" t="b">
        <f t="shared" si="2"/>
        <v>0</v>
      </c>
      <c r="U7" s="701" t="b">
        <f t="shared" si="3"/>
        <v>1</v>
      </c>
    </row>
    <row r="8" spans="1:21" x14ac:dyDescent="0.3">
      <c r="A8" s="1000" t="s">
        <v>1287</v>
      </c>
      <c r="B8" s="1001">
        <v>561207</v>
      </c>
      <c r="C8" s="683"/>
      <c r="D8" s="54"/>
      <c r="E8" s="55"/>
      <c r="M8" s="697" t="s">
        <v>1287</v>
      </c>
      <c r="N8" s="697">
        <v>561207</v>
      </c>
      <c r="O8" s="701" t="b">
        <f t="shared" si="4"/>
        <v>1</v>
      </c>
      <c r="P8" s="701" t="b">
        <f t="shared" si="5"/>
        <v>1</v>
      </c>
      <c r="R8" s="697" t="s">
        <v>1287</v>
      </c>
      <c r="S8" s="697">
        <v>561207</v>
      </c>
      <c r="T8" s="701" t="b">
        <f t="shared" si="2"/>
        <v>1</v>
      </c>
      <c r="U8" s="701" t="b">
        <f t="shared" si="3"/>
        <v>1</v>
      </c>
    </row>
    <row r="9" spans="1:21" x14ac:dyDescent="0.3">
      <c r="A9" s="1002"/>
      <c r="B9" s="1003"/>
      <c r="C9" s="683"/>
      <c r="D9" s="54"/>
      <c r="E9" s="55"/>
    </row>
    <row r="10" spans="1:21" x14ac:dyDescent="0.3">
      <c r="A10" s="1002"/>
      <c r="B10" s="1003"/>
      <c r="C10" s="683"/>
      <c r="D10" s="54"/>
      <c r="E10" s="55"/>
    </row>
    <row r="11" spans="1:21" x14ac:dyDescent="0.3">
      <c r="A11" s="1002"/>
      <c r="B11" s="1003"/>
      <c r="C11" s="683"/>
      <c r="D11" s="54"/>
      <c r="E11" s="55"/>
    </row>
    <row r="12" spans="1:21" x14ac:dyDescent="0.3">
      <c r="A12" s="1002"/>
      <c r="B12" s="1003"/>
      <c r="C12" s="683"/>
      <c r="D12" s="54"/>
      <c r="E12" s="55"/>
    </row>
    <row r="13" spans="1:21" x14ac:dyDescent="0.3">
      <c r="A13" s="1002"/>
      <c r="B13" s="1003"/>
      <c r="C13" s="683"/>
      <c r="D13" s="54"/>
      <c r="E13" s="55"/>
    </row>
    <row r="14" spans="1:21" x14ac:dyDescent="0.3">
      <c r="A14" s="1002"/>
      <c r="B14" s="1003"/>
      <c r="C14" s="683"/>
      <c r="D14" s="54"/>
      <c r="E14" s="55"/>
    </row>
    <row r="15" spans="1:21" x14ac:dyDescent="0.3">
      <c r="D15" s="54"/>
      <c r="E15" s="55"/>
      <c r="O15" s="701"/>
      <c r="P15" s="701"/>
    </row>
    <row r="16" spans="1:21" x14ac:dyDescent="0.3">
      <c r="D16" s="54"/>
      <c r="E16" s="55"/>
    </row>
    <row r="17" spans="1:5" x14ac:dyDescent="0.3">
      <c r="D17" s="54"/>
      <c r="E17" s="55"/>
    </row>
    <row r="18" spans="1:5" x14ac:dyDescent="0.3">
      <c r="A18" s="1002"/>
      <c r="B18" s="1003"/>
      <c r="C18" s="683"/>
      <c r="D18" s="54"/>
      <c r="E18" s="55"/>
    </row>
    <row r="19" spans="1:5" x14ac:dyDescent="0.3">
      <c r="A19" s="1002"/>
      <c r="B19" s="1003"/>
      <c r="C19" s="683"/>
      <c r="D19" s="54"/>
      <c r="E19" s="55"/>
    </row>
    <row r="20" spans="1:5" ht="60" x14ac:dyDescent="0.3">
      <c r="A20" s="1002"/>
      <c r="B20" s="1003"/>
      <c r="C20" s="1000" t="s">
        <v>1361</v>
      </c>
      <c r="D20" s="1001">
        <v>561210</v>
      </c>
      <c r="E20" s="683"/>
    </row>
    <row r="21" spans="1:5" x14ac:dyDescent="0.3">
      <c r="A21" s="1002"/>
      <c r="B21" s="1003"/>
      <c r="C21" s="1002"/>
      <c r="D21" s="1003"/>
      <c r="E21" s="683"/>
    </row>
    <row r="22" spans="1:5" ht="48" x14ac:dyDescent="0.3">
      <c r="A22" s="1002"/>
      <c r="B22" s="1003"/>
      <c r="C22" s="1000" t="s">
        <v>1286</v>
      </c>
      <c r="D22" s="1003">
        <v>561206</v>
      </c>
      <c r="E22" s="683" t="s">
        <v>1440</v>
      </c>
    </row>
    <row r="23" spans="1:5" x14ac:dyDescent="0.3">
      <c r="A23" s="1002"/>
      <c r="B23" s="1003"/>
      <c r="C23" s="683"/>
      <c r="D23" s="54"/>
      <c r="E23" s="55"/>
    </row>
    <row r="24" spans="1:5" x14ac:dyDescent="0.3">
      <c r="A24" s="1002"/>
      <c r="B24" s="1003"/>
      <c r="C24" s="683"/>
      <c r="D24" s="54"/>
      <c r="E24" s="55"/>
    </row>
    <row r="25" spans="1:5" x14ac:dyDescent="0.3">
      <c r="A25" s="1002"/>
      <c r="B25" s="1003"/>
      <c r="C25" s="683"/>
      <c r="D25" s="54"/>
      <c r="E25" s="55"/>
    </row>
    <row r="26" spans="1:5" x14ac:dyDescent="0.3">
      <c r="A26" s="1002"/>
      <c r="B26" s="1003"/>
      <c r="C26" s="683"/>
      <c r="D26" s="54"/>
      <c r="E26" s="55"/>
    </row>
    <row r="27" spans="1:5" x14ac:dyDescent="0.3">
      <c r="A27" s="1002"/>
      <c r="B27" s="1003"/>
      <c r="C27" s="683"/>
      <c r="D27" s="54"/>
      <c r="E27" s="55"/>
    </row>
    <row r="28" spans="1:5" x14ac:dyDescent="0.3">
      <c r="A28" s="1002"/>
      <c r="B28" s="1003"/>
      <c r="C28" s="683"/>
      <c r="D28" s="54"/>
      <c r="E28" s="55"/>
    </row>
    <row r="29" spans="1:5" x14ac:dyDescent="0.3">
      <c r="A29" s="1002"/>
      <c r="B29" s="1003"/>
      <c r="C29" s="683"/>
      <c r="D29" s="54"/>
      <c r="E29" s="55"/>
    </row>
    <row r="30" spans="1:5" x14ac:dyDescent="0.3">
      <c r="A30" s="1002"/>
      <c r="B30" s="1003"/>
      <c r="C30" s="683"/>
      <c r="D30" s="54"/>
      <c r="E30" s="55"/>
    </row>
    <row r="31" spans="1:5" x14ac:dyDescent="0.3">
      <c r="A31" s="1002"/>
      <c r="B31" s="1003"/>
      <c r="C31" s="683"/>
      <c r="D31" s="54"/>
      <c r="E31" s="55"/>
    </row>
    <row r="32" spans="1:5" x14ac:dyDescent="0.3">
      <c r="A32" s="1002"/>
      <c r="B32" s="1003"/>
      <c r="C32" s="683"/>
      <c r="D32" s="54"/>
      <c r="E32" s="55"/>
    </row>
    <row r="33" spans="1:5" x14ac:dyDescent="0.3">
      <c r="A33" s="1002"/>
      <c r="B33" s="1003"/>
      <c r="C33" s="683"/>
      <c r="D33" s="54"/>
      <c r="E33" s="55"/>
    </row>
    <row r="34" spans="1:5" x14ac:dyDescent="0.3">
      <c r="A34" s="1002"/>
      <c r="B34" s="1003"/>
      <c r="C34" s="683"/>
      <c r="D34" s="54"/>
      <c r="E34" s="55"/>
    </row>
    <row r="35" spans="1:5" x14ac:dyDescent="0.3">
      <c r="A35" s="1002"/>
      <c r="B35" s="1003"/>
      <c r="C35" s="683"/>
      <c r="D35" s="54"/>
      <c r="E35" s="55"/>
    </row>
    <row r="36" spans="1:5" x14ac:dyDescent="0.3">
      <c r="A36" s="1002"/>
      <c r="B36" s="1003"/>
      <c r="C36" s="683"/>
      <c r="D36" s="54"/>
      <c r="E36" s="55"/>
    </row>
    <row r="37" spans="1:5" x14ac:dyDescent="0.3">
      <c r="A37" s="1002"/>
      <c r="B37" s="1003"/>
      <c r="C37" s="683"/>
      <c r="D37" s="54"/>
      <c r="E37" s="55"/>
    </row>
    <row r="38" spans="1:5" x14ac:dyDescent="0.3">
      <c r="A38" s="1002"/>
      <c r="B38" s="1003"/>
      <c r="C38" s="683"/>
      <c r="D38" s="54"/>
      <c r="E38" s="55"/>
    </row>
    <row r="39" spans="1:5" x14ac:dyDescent="0.3">
      <c r="A39" s="1002"/>
      <c r="B39" s="1003"/>
      <c r="C39" s="683"/>
      <c r="D39" s="54"/>
      <c r="E39" s="55"/>
    </row>
    <row r="40" spans="1:5" x14ac:dyDescent="0.3">
      <c r="A40" s="1002"/>
      <c r="B40" s="1003"/>
      <c r="C40" s="683"/>
      <c r="D40" s="54"/>
      <c r="E40" s="55"/>
    </row>
    <row r="41" spans="1:5" x14ac:dyDescent="0.3">
      <c r="A41" s="1002"/>
      <c r="B41" s="1003"/>
      <c r="C41" s="683"/>
      <c r="D41" s="54"/>
      <c r="E41" s="55"/>
    </row>
    <row r="42" spans="1:5" x14ac:dyDescent="0.3">
      <c r="A42" s="1002"/>
      <c r="B42" s="1003"/>
      <c r="C42" s="683"/>
      <c r="D42" s="54"/>
      <c r="E42" s="55"/>
    </row>
    <row r="43" spans="1:5" x14ac:dyDescent="0.3">
      <c r="A43" s="1002"/>
      <c r="B43" s="1003"/>
      <c r="C43" s="683"/>
      <c r="D43" s="54"/>
      <c r="E43" s="55"/>
    </row>
    <row r="44" spans="1:5" x14ac:dyDescent="0.3">
      <c r="A44" s="1002"/>
      <c r="B44" s="1003"/>
      <c r="C44" s="683"/>
      <c r="D44" s="54"/>
      <c r="E44" s="55"/>
    </row>
    <row r="45" spans="1:5" x14ac:dyDescent="0.3">
      <c r="A45" s="1002"/>
      <c r="B45" s="1003"/>
      <c r="C45" s="683"/>
      <c r="D45" s="54"/>
      <c r="E45" s="55"/>
    </row>
    <row r="46" spans="1:5" x14ac:dyDescent="0.3">
      <c r="A46" s="1002"/>
      <c r="B46" s="1003"/>
      <c r="C46" s="683"/>
      <c r="D46" s="54"/>
      <c r="E46" s="55"/>
    </row>
    <row r="47" spans="1:5" x14ac:dyDescent="0.3">
      <c r="A47" s="1002"/>
      <c r="B47" s="1003"/>
      <c r="C47" s="683"/>
      <c r="D47" s="54"/>
      <c r="E47" s="55"/>
    </row>
    <row r="48" spans="1:5" x14ac:dyDescent="0.3">
      <c r="A48" s="1002"/>
      <c r="B48" s="1003"/>
      <c r="C48" s="683"/>
      <c r="D48" s="54"/>
      <c r="E48" s="55"/>
    </row>
    <row r="49" spans="1:5" x14ac:dyDescent="0.3">
      <c r="A49" s="1002"/>
      <c r="B49" s="1003"/>
      <c r="C49" s="683"/>
      <c r="D49" s="54"/>
      <c r="E49" s="55"/>
    </row>
    <row r="50" spans="1:5" x14ac:dyDescent="0.3">
      <c r="A50" s="1002"/>
      <c r="B50" s="1003"/>
      <c r="C50" s="683"/>
      <c r="D50" s="54"/>
      <c r="E50" s="55"/>
    </row>
    <row r="51" spans="1:5" x14ac:dyDescent="0.3">
      <c r="A51" s="1002"/>
      <c r="B51" s="1003"/>
      <c r="C51" s="683"/>
      <c r="D51" s="54"/>
      <c r="E51" s="55"/>
    </row>
    <row r="52" spans="1:5" x14ac:dyDescent="0.3">
      <c r="A52" s="1002"/>
      <c r="B52" s="1003"/>
      <c r="C52" s="683"/>
      <c r="D52" s="54"/>
      <c r="E52" s="55"/>
    </row>
    <row r="53" spans="1:5" x14ac:dyDescent="0.3">
      <c r="A53" s="1002"/>
      <c r="B53" s="1003"/>
      <c r="C53" s="683"/>
      <c r="D53" s="54"/>
      <c r="E53" s="55"/>
    </row>
    <row r="54" spans="1:5" x14ac:dyDescent="0.3">
      <c r="A54" s="1002"/>
      <c r="B54" s="1003"/>
      <c r="C54" s="683"/>
      <c r="D54" s="54"/>
      <c r="E54" s="55"/>
    </row>
    <row r="55" spans="1:5" x14ac:dyDescent="0.3">
      <c r="A55" s="1002"/>
      <c r="B55" s="1003"/>
      <c r="C55" s="683"/>
      <c r="D55" s="54"/>
      <c r="E55" s="55"/>
    </row>
    <row r="56" spans="1:5" x14ac:dyDescent="0.3">
      <c r="A56" s="1002"/>
      <c r="B56" s="1003"/>
      <c r="C56" s="683"/>
      <c r="D56" s="54"/>
      <c r="E56" s="55"/>
    </row>
    <row r="57" spans="1:5" x14ac:dyDescent="0.3">
      <c r="A57" s="1002"/>
      <c r="B57" s="1003"/>
      <c r="C57" s="683"/>
      <c r="D57" s="54"/>
      <c r="E57" s="55"/>
    </row>
    <row r="58" spans="1:5" x14ac:dyDescent="0.3">
      <c r="A58" s="1002"/>
      <c r="B58" s="1003"/>
      <c r="C58" s="683"/>
      <c r="D58" s="54"/>
      <c r="E58" s="55"/>
    </row>
    <row r="59" spans="1:5" x14ac:dyDescent="0.3">
      <c r="A59" s="1002"/>
      <c r="B59" s="1003"/>
      <c r="C59" s="683"/>
      <c r="D59" s="54"/>
      <c r="E59" s="55"/>
    </row>
    <row r="60" spans="1:5" x14ac:dyDescent="0.3">
      <c r="A60" s="1002"/>
      <c r="B60" s="1003"/>
      <c r="C60" s="683"/>
      <c r="D60" s="54"/>
      <c r="E60" s="55"/>
    </row>
    <row r="61" spans="1:5" x14ac:dyDescent="0.3">
      <c r="A61" s="1002"/>
      <c r="B61" s="1003"/>
      <c r="C61" s="683"/>
      <c r="D61" s="54"/>
      <c r="E61" s="55"/>
    </row>
    <row r="62" spans="1:5" x14ac:dyDescent="0.3">
      <c r="A62" s="1002"/>
      <c r="B62" s="1003"/>
      <c r="C62" s="683"/>
      <c r="D62" s="54"/>
      <c r="E62" s="55"/>
    </row>
    <row r="63" spans="1:5" x14ac:dyDescent="0.3">
      <c r="A63" s="1002"/>
      <c r="B63" s="1003"/>
      <c r="C63" s="683"/>
      <c r="D63" s="54"/>
      <c r="E63" s="55"/>
    </row>
    <row r="64" spans="1:5" x14ac:dyDescent="0.3">
      <c r="A64" s="1002"/>
      <c r="B64" s="1003"/>
      <c r="C64" s="683"/>
      <c r="D64" s="54"/>
      <c r="E64" s="55"/>
    </row>
    <row r="65" spans="1:5" x14ac:dyDescent="0.3">
      <c r="A65" s="1002"/>
      <c r="B65" s="1003"/>
      <c r="C65" s="683"/>
      <c r="D65" s="54"/>
      <c r="E65" s="55"/>
    </row>
    <row r="66" spans="1:5" x14ac:dyDescent="0.3">
      <c r="A66" s="1002"/>
      <c r="B66" s="1003"/>
      <c r="C66" s="683"/>
      <c r="D66" s="54"/>
      <c r="E66" s="55"/>
    </row>
    <row r="67" spans="1:5" x14ac:dyDescent="0.3">
      <c r="A67" s="1002"/>
      <c r="B67" s="1003"/>
      <c r="C67" s="683"/>
      <c r="D67" s="54"/>
      <c r="E67" s="55"/>
    </row>
    <row r="68" spans="1:5" x14ac:dyDescent="0.3">
      <c r="A68" s="1002"/>
      <c r="B68" s="1003"/>
    </row>
    <row r="69" spans="1:5" x14ac:dyDescent="0.3">
      <c r="A69" s="1002"/>
      <c r="B69" s="1003"/>
    </row>
    <row r="70" spans="1:5" x14ac:dyDescent="0.3">
      <c r="A70" s="1002"/>
      <c r="B70" s="1003"/>
    </row>
    <row r="71" spans="1:5" x14ac:dyDescent="0.3">
      <c r="A71" s="1002"/>
      <c r="B71" s="1003"/>
    </row>
    <row r="72" spans="1:5" x14ac:dyDescent="0.3">
      <c r="A72" s="1002"/>
      <c r="B72" s="1003"/>
    </row>
    <row r="73" spans="1:5" x14ac:dyDescent="0.3">
      <c r="A73" s="1002"/>
      <c r="B73" s="1003"/>
    </row>
    <row r="74" spans="1:5" x14ac:dyDescent="0.3">
      <c r="A74" s="1002"/>
      <c r="B74" s="1003"/>
    </row>
    <row r="75" spans="1:5" x14ac:dyDescent="0.3">
      <c r="A75" s="1002"/>
      <c r="B75" s="1003"/>
    </row>
    <row r="76" spans="1:5" x14ac:dyDescent="0.3">
      <c r="A76" s="1002"/>
      <c r="B76" s="1003"/>
    </row>
  </sheetData>
  <sheetProtection algorithmName="SHA-512" hashValue="abYCV6WaKa6SVjxL3ADElmFRNJSql3cFLhFpXqrCIspx5rmdhNFtwgvlnpqktKtcVZKri4eFwBUDF+piw04Y9Q==" saltValue="B6m+FmfnEU0qp7+sz3SSCA==" spinCount="100000" sheet="1" objects="1" scenarios="1"/>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5DD6BC-D915-4DB1-A21C-7A0CCB10E5C2}">
  <sheetPr codeName="Sheet16">
    <tabColor theme="3" tint="0.79998168889431442"/>
  </sheetPr>
  <dimension ref="A1:H56"/>
  <sheetViews>
    <sheetView workbookViewId="0">
      <selection activeCell="A2" sqref="A2:H2"/>
    </sheetView>
  </sheetViews>
  <sheetFormatPr defaultColWidth="9.109375" defaultRowHeight="14.4" x14ac:dyDescent="0.3"/>
  <cols>
    <col min="1" max="1" width="45.109375" style="399" customWidth="1"/>
    <col min="2" max="2" width="36.44140625" style="399" customWidth="1"/>
    <col min="3" max="3" width="9.109375" style="399"/>
    <col min="4" max="4" width="1.33203125" style="399" customWidth="1"/>
    <col min="5" max="5" width="37.5546875" style="399" customWidth="1"/>
    <col min="6" max="6" width="18.109375" style="399" customWidth="1"/>
    <col min="7" max="7" width="16.109375" style="399" customWidth="1"/>
    <col min="8" max="8" width="3.109375" style="399" customWidth="1"/>
    <col min="9" max="16384" width="9.109375" style="399"/>
  </cols>
  <sheetData>
    <row r="1" spans="1:8" x14ac:dyDescent="0.3">
      <c r="A1" s="400"/>
      <c r="B1" s="401"/>
      <c r="C1" s="402"/>
      <c r="D1" s="402"/>
      <c r="E1" s="403"/>
      <c r="F1" s="402"/>
      <c r="G1" s="402"/>
      <c r="H1" s="402"/>
    </row>
    <row r="2" spans="1:8" x14ac:dyDescent="0.3">
      <c r="A2" s="404" t="s">
        <v>701</v>
      </c>
      <c r="B2" s="405" t="str">
        <f>+'Unit Data from Audit Worksheet'!D2</f>
        <v>Select Unit Name from Drop Down List</v>
      </c>
      <c r="C2" s="402"/>
      <c r="D2" s="402"/>
      <c r="E2" s="403"/>
      <c r="F2" s="402"/>
      <c r="G2" s="402"/>
      <c r="H2" s="402"/>
    </row>
    <row r="3" spans="1:8" x14ac:dyDescent="0.3">
      <c r="A3" s="404" t="s">
        <v>799</v>
      </c>
      <c r="B3" s="402" t="e">
        <f>+'Unit Data from Audit Worksheet'!D3</f>
        <v>#N/A</v>
      </c>
      <c r="C3" s="402"/>
      <c r="D3" s="402"/>
      <c r="E3" s="403"/>
      <c r="F3" s="402"/>
      <c r="G3" s="402"/>
      <c r="H3" s="402"/>
    </row>
    <row r="4" spans="1:8" x14ac:dyDescent="0.3">
      <c r="A4" s="402"/>
      <c r="B4" s="402"/>
      <c r="C4" s="402"/>
      <c r="D4" s="402"/>
      <c r="E4" s="403"/>
      <c r="F4" s="402"/>
      <c r="G4" s="402"/>
      <c r="H4" s="402"/>
    </row>
    <row r="5" spans="1:8" x14ac:dyDescent="0.3">
      <c r="A5" s="1276" t="s">
        <v>702</v>
      </c>
      <c r="B5" s="1276"/>
      <c r="C5" s="1276"/>
      <c r="D5" s="402"/>
      <c r="E5" s="1277" t="s">
        <v>703</v>
      </c>
      <c r="F5" s="1277"/>
      <c r="G5" s="402"/>
      <c r="H5" s="402"/>
    </row>
    <row r="6" spans="1:8" ht="15" thickBot="1" x14ac:dyDescent="0.35">
      <c r="A6" s="406"/>
      <c r="B6" s="407"/>
      <c r="C6" s="406"/>
      <c r="D6" s="400"/>
      <c r="E6" s="406"/>
      <c r="F6" s="407"/>
      <c r="G6" s="407"/>
      <c r="H6" s="402"/>
    </row>
    <row r="7" spans="1:8" ht="15" thickBot="1" x14ac:dyDescent="0.35">
      <c r="A7" s="408" t="s">
        <v>704</v>
      </c>
      <c r="B7" s="409">
        <v>0.03</v>
      </c>
      <c r="C7" s="409"/>
      <c r="D7" s="409"/>
      <c r="E7" s="409"/>
      <c r="F7" s="409"/>
      <c r="G7" s="409"/>
      <c r="H7" s="409"/>
    </row>
    <row r="8" spans="1:8" ht="15" thickBot="1" x14ac:dyDescent="0.35">
      <c r="A8" s="402" t="s">
        <v>1045</v>
      </c>
      <c r="B8" s="410" t="e">
        <f>HLOOKUP(B2,'2020 Data(H)'!F1:L395,353,FALSE)</f>
        <v>#N/A</v>
      </c>
      <c r="C8" s="411"/>
      <c r="D8" s="411"/>
      <c r="E8" s="411"/>
      <c r="F8" s="402"/>
      <c r="G8" s="402"/>
      <c r="H8" s="402"/>
    </row>
    <row r="9" spans="1:8" ht="15" thickBot="1" x14ac:dyDescent="0.35">
      <c r="A9" s="402" t="s">
        <v>706</v>
      </c>
      <c r="B9" s="412" t="e">
        <f>B8*B7</f>
        <v>#N/A</v>
      </c>
      <c r="C9" s="413"/>
      <c r="D9" s="413"/>
      <c r="E9" s="413"/>
      <c r="F9" s="402"/>
      <c r="G9" s="402"/>
      <c r="H9" s="402"/>
    </row>
    <row r="10" spans="1:8" ht="15" thickBot="1" x14ac:dyDescent="0.35">
      <c r="A10" s="402"/>
      <c r="B10" s="402"/>
      <c r="C10" s="402"/>
      <c r="D10" s="402"/>
      <c r="E10" s="402"/>
      <c r="F10" s="402"/>
      <c r="G10" s="402"/>
      <c r="H10" s="402"/>
    </row>
    <row r="11" spans="1:8" ht="15" thickBot="1" x14ac:dyDescent="0.35">
      <c r="A11" s="408" t="s">
        <v>707</v>
      </c>
      <c r="B11" s="409">
        <v>0.05</v>
      </c>
      <c r="C11" s="409"/>
      <c r="D11" s="409"/>
      <c r="E11" s="409"/>
      <c r="F11" s="409"/>
      <c r="G11" s="409"/>
      <c r="H11" s="409"/>
    </row>
    <row r="12" spans="1:8" ht="15" thickBot="1" x14ac:dyDescent="0.35">
      <c r="A12" s="402" t="s">
        <v>1046</v>
      </c>
      <c r="B12" s="414" t="e">
        <f>HLOOKUP(B2,'2020 Data(H)'!F1:L395,55,FALSE)</f>
        <v>#N/A</v>
      </c>
      <c r="C12" s="415"/>
      <c r="D12" s="415"/>
      <c r="E12" s="415"/>
      <c r="F12" s="402"/>
      <c r="G12" s="402"/>
      <c r="H12" s="402"/>
    </row>
    <row r="13" spans="1:8" ht="15" thickBot="1" x14ac:dyDescent="0.35">
      <c r="A13" s="402" t="s">
        <v>706</v>
      </c>
      <c r="B13" s="412" t="e">
        <f>B12*B11</f>
        <v>#N/A</v>
      </c>
      <c r="C13" s="413"/>
      <c r="D13" s="413"/>
      <c r="E13" s="413"/>
      <c r="F13" s="402"/>
      <c r="G13" s="402"/>
      <c r="H13" s="402"/>
    </row>
    <row r="14" spans="1:8" ht="15" thickBot="1" x14ac:dyDescent="0.35">
      <c r="A14" s="402"/>
      <c r="B14" s="402"/>
      <c r="C14" s="402"/>
      <c r="D14" s="402"/>
      <c r="E14" s="416" t="s">
        <v>708</v>
      </c>
      <c r="F14" s="417">
        <f>+Import!L177</f>
        <v>0</v>
      </c>
      <c r="G14" s="418"/>
      <c r="H14" s="402"/>
    </row>
    <row r="15" spans="1:8" x14ac:dyDescent="0.3">
      <c r="A15" s="402"/>
      <c r="B15" s="402"/>
      <c r="C15" s="402"/>
      <c r="D15" s="402"/>
      <c r="E15" s="402"/>
      <c r="F15" s="402"/>
      <c r="G15" s="402"/>
      <c r="H15" s="419"/>
    </row>
    <row r="16" spans="1:8" x14ac:dyDescent="0.3">
      <c r="A16" s="402"/>
      <c r="B16" s="416"/>
      <c r="C16" s="402"/>
      <c r="D16" s="402"/>
      <c r="E16" s="402"/>
      <c r="F16" s="402"/>
      <c r="G16" s="402"/>
      <c r="H16" s="402"/>
    </row>
    <row r="17" spans="1:8" x14ac:dyDescent="0.3">
      <c r="A17" s="406"/>
      <c r="B17" s="407"/>
      <c r="C17" s="406"/>
      <c r="D17" s="400"/>
      <c r="E17" s="406"/>
      <c r="F17" s="407"/>
      <c r="G17" s="407"/>
      <c r="H17" s="402"/>
    </row>
    <row r="18" spans="1:8" ht="15" thickBot="1" x14ac:dyDescent="0.35">
      <c r="A18" s="420" t="s">
        <v>709</v>
      </c>
      <c r="B18" s="402"/>
      <c r="C18" s="402"/>
      <c r="D18" s="402"/>
      <c r="E18" s="420" t="s">
        <v>709</v>
      </c>
      <c r="F18" s="404" t="s">
        <v>710</v>
      </c>
      <c r="G18" s="404" t="s">
        <v>711</v>
      </c>
      <c r="H18" s="402"/>
    </row>
    <row r="19" spans="1:8" ht="15" thickBot="1" x14ac:dyDescent="0.35">
      <c r="A19" s="402" t="s">
        <v>705</v>
      </c>
      <c r="B19" s="410" t="e">
        <f>+B8</f>
        <v>#N/A</v>
      </c>
      <c r="C19" s="411"/>
      <c r="D19" s="411"/>
      <c r="E19" s="402" t="s">
        <v>712</v>
      </c>
      <c r="F19" s="421">
        <f>+Import!L229</f>
        <v>0</v>
      </c>
      <c r="G19" s="422" t="e">
        <f>+B21</f>
        <v>#N/A</v>
      </c>
      <c r="H19" s="402"/>
    </row>
    <row r="20" spans="1:8" ht="15" thickBot="1" x14ac:dyDescent="0.35">
      <c r="A20" s="402" t="s">
        <v>713</v>
      </c>
      <c r="B20" s="423">
        <f>+Import!L243</f>
        <v>0</v>
      </c>
      <c r="C20" s="402"/>
      <c r="D20" s="402"/>
      <c r="E20" s="402"/>
      <c r="F20" s="424"/>
      <c r="G20" s="402"/>
      <c r="H20" s="402"/>
    </row>
    <row r="21" spans="1:8" ht="15" thickBot="1" x14ac:dyDescent="0.35">
      <c r="A21" s="402" t="s">
        <v>706</v>
      </c>
      <c r="B21" s="412" t="e">
        <f>ROUND((B19/100)*B20,0)</f>
        <v>#N/A</v>
      </c>
      <c r="C21" s="425"/>
      <c r="D21" s="413"/>
      <c r="E21" s="402"/>
      <c r="F21" s="402"/>
      <c r="G21" s="402"/>
      <c r="H21" s="402"/>
    </row>
    <row r="22" spans="1:8" ht="15" thickBot="1" x14ac:dyDescent="0.35">
      <c r="A22" s="402"/>
      <c r="B22" s="402"/>
      <c r="C22" s="426"/>
      <c r="D22" s="426"/>
      <c r="E22" s="402"/>
      <c r="F22" s="402"/>
      <c r="G22" s="402"/>
      <c r="H22" s="402"/>
    </row>
    <row r="23" spans="1:8" ht="15" thickBot="1" x14ac:dyDescent="0.35">
      <c r="A23" s="416"/>
      <c r="B23" s="427"/>
      <c r="C23" s="402"/>
      <c r="D23" s="402"/>
      <c r="E23" s="428" t="s">
        <v>714</v>
      </c>
      <c r="F23" s="412">
        <f>IF(F19=0,F14-F19,F14-MAX(F19,G19))</f>
        <v>0</v>
      </c>
      <c r="G23" s="429"/>
      <c r="H23" s="413"/>
    </row>
    <row r="24" spans="1:8" x14ac:dyDescent="0.3">
      <c r="A24" s="402"/>
      <c r="B24" s="402"/>
      <c r="C24" s="402"/>
      <c r="D24" s="402"/>
      <c r="E24" s="402"/>
      <c r="F24" s="425"/>
      <c r="G24" s="425"/>
      <c r="H24" s="413"/>
    </row>
    <row r="25" spans="1:8" x14ac:dyDescent="0.3">
      <c r="A25" s="406"/>
      <c r="B25" s="407"/>
      <c r="C25" s="406"/>
      <c r="D25" s="400"/>
      <c r="E25" s="406"/>
      <c r="F25" s="407"/>
      <c r="G25" s="407"/>
      <c r="H25" s="402"/>
    </row>
    <row r="26" spans="1:8" ht="15" thickBot="1" x14ac:dyDescent="0.35">
      <c r="A26" s="402"/>
      <c r="B26" s="402"/>
      <c r="C26" s="402"/>
      <c r="D26" s="420"/>
      <c r="E26" s="420" t="s">
        <v>715</v>
      </c>
      <c r="F26" s="420"/>
      <c r="G26" s="420"/>
      <c r="H26" s="420"/>
    </row>
    <row r="27" spans="1:8" ht="15" thickBot="1" x14ac:dyDescent="0.35">
      <c r="A27" s="402"/>
      <c r="B27" s="402"/>
      <c r="C27" s="402"/>
      <c r="D27" s="426"/>
      <c r="E27" s="402" t="s">
        <v>716</v>
      </c>
      <c r="F27" s="430" t="e">
        <f>MAX(B9,B13)</f>
        <v>#N/A</v>
      </c>
      <c r="G27" s="426"/>
      <c r="H27" s="402"/>
    </row>
    <row r="28" spans="1:8" ht="15" thickBot="1" x14ac:dyDescent="0.35">
      <c r="A28" s="402"/>
      <c r="B28" s="402"/>
      <c r="C28" s="402"/>
      <c r="D28" s="426"/>
      <c r="E28" s="402"/>
      <c r="F28" s="426"/>
      <c r="G28" s="426"/>
      <c r="H28" s="402"/>
    </row>
    <row r="29" spans="1:8" ht="33.75" customHeight="1" x14ac:dyDescent="0.3">
      <c r="A29" s="402"/>
      <c r="B29" s="402"/>
      <c r="C29" s="402"/>
      <c r="D29" s="431"/>
      <c r="E29" s="402" t="s">
        <v>717</v>
      </c>
      <c r="F29" s="432" t="e">
        <f>IF(F23&lt;=F27,"Yes", "No, unit exceeds limit by:")</f>
        <v>#N/A</v>
      </c>
      <c r="G29" s="402"/>
      <c r="H29" s="402"/>
    </row>
    <row r="30" spans="1:8" ht="15" thickBot="1" x14ac:dyDescent="0.35">
      <c r="A30" s="402"/>
      <c r="B30" s="402"/>
      <c r="C30" s="402"/>
      <c r="D30" s="431"/>
      <c r="E30" s="402"/>
      <c r="F30" s="433" t="e">
        <f>IF(F23-F27&lt;=0,0,F23-F27)</f>
        <v>#N/A</v>
      </c>
      <c r="G30" s="434"/>
      <c r="H30" s="402"/>
    </row>
    <row r="31" spans="1:8" ht="15" thickBot="1" x14ac:dyDescent="0.35">
      <c r="A31" s="402"/>
      <c r="B31" s="402"/>
      <c r="C31" s="402"/>
      <c r="D31" s="402"/>
      <c r="E31" s="402"/>
      <c r="F31" s="402"/>
      <c r="G31" s="402"/>
      <c r="H31" s="402"/>
    </row>
    <row r="32" spans="1:8" x14ac:dyDescent="0.3">
      <c r="A32" s="402"/>
      <c r="B32" s="402"/>
      <c r="C32" s="402"/>
      <c r="D32" s="402"/>
      <c r="E32" s="428" t="s">
        <v>718</v>
      </c>
      <c r="F32" s="435">
        <f>IF(F19=0,0,F19-G19)</f>
        <v>0</v>
      </c>
      <c r="G32" s="402"/>
      <c r="H32" s="402"/>
    </row>
    <row r="33" spans="1:7" ht="15" thickBot="1" x14ac:dyDescent="0.35">
      <c r="A33" s="402"/>
      <c r="B33" s="402"/>
      <c r="C33" s="402"/>
      <c r="D33" s="402"/>
      <c r="E33" s="402"/>
      <c r="F33" s="436" t="s">
        <v>397</v>
      </c>
      <c r="G33" s="402"/>
    </row>
    <row r="34" spans="1:7" x14ac:dyDescent="0.3">
      <c r="A34" s="400"/>
      <c r="B34" s="402"/>
      <c r="C34" s="402"/>
      <c r="D34" s="402"/>
      <c r="E34" s="400" t="s">
        <v>719</v>
      </c>
      <c r="F34" s="402"/>
      <c r="G34" s="402"/>
    </row>
    <row r="35" spans="1:7" x14ac:dyDescent="0.3">
      <c r="A35" s="437"/>
      <c r="B35" s="437"/>
      <c r="C35" s="437"/>
      <c r="D35" s="402"/>
      <c r="E35" s="1278" t="s">
        <v>1047</v>
      </c>
      <c r="F35" s="1279"/>
      <c r="G35" s="1280"/>
    </row>
    <row r="36" spans="1:7" x14ac:dyDescent="0.3">
      <c r="A36" s="437"/>
      <c r="B36" s="437"/>
      <c r="C36" s="437"/>
      <c r="D36" s="402"/>
      <c r="E36" s="1281"/>
      <c r="F36" s="1282"/>
      <c r="G36" s="1283"/>
    </row>
    <row r="37" spans="1:7" x14ac:dyDescent="0.3">
      <c r="A37" s="437"/>
      <c r="B37" s="437"/>
      <c r="C37" s="437"/>
      <c r="D37" s="402"/>
      <c r="E37" s="1281"/>
      <c r="F37" s="1282"/>
      <c r="G37" s="1283"/>
    </row>
    <row r="38" spans="1:7" x14ac:dyDescent="0.3">
      <c r="A38" s="437"/>
      <c r="B38" s="437"/>
      <c r="C38" s="437"/>
      <c r="D38" s="402"/>
      <c r="E38" s="1284"/>
      <c r="F38" s="1285"/>
      <c r="G38" s="1286"/>
    </row>
    <row r="39" spans="1:7" x14ac:dyDescent="0.3">
      <c r="A39" s="437"/>
      <c r="B39" s="437"/>
      <c r="C39" s="437"/>
      <c r="D39" s="402"/>
      <c r="E39" s="438"/>
      <c r="F39" s="438"/>
      <c r="G39" s="438"/>
    </row>
    <row r="40" spans="1:7" x14ac:dyDescent="0.3">
      <c r="A40" s="437"/>
      <c r="B40" s="437"/>
      <c r="C40" s="437"/>
      <c r="D40" s="402"/>
      <c r="E40" s="1278" t="s">
        <v>1048</v>
      </c>
      <c r="F40" s="1279"/>
      <c r="G40" s="1280"/>
    </row>
    <row r="41" spans="1:7" x14ac:dyDescent="0.3">
      <c r="A41" s="402"/>
      <c r="B41" s="402"/>
      <c r="C41" s="402"/>
      <c r="D41" s="402"/>
      <c r="E41" s="1281"/>
      <c r="F41" s="1282"/>
      <c r="G41" s="1283"/>
    </row>
    <row r="42" spans="1:7" x14ac:dyDescent="0.3">
      <c r="A42" s="402"/>
      <c r="B42" s="402"/>
      <c r="C42" s="402"/>
      <c r="D42" s="402"/>
      <c r="E42" s="1284"/>
      <c r="F42" s="1285"/>
      <c r="G42" s="1286"/>
    </row>
    <row r="43" spans="1:7" x14ac:dyDescent="0.3">
      <c r="A43" s="402"/>
      <c r="B43" s="402"/>
      <c r="C43" s="402"/>
      <c r="D43" s="402"/>
      <c r="E43" s="402"/>
      <c r="F43" s="402"/>
      <c r="G43" s="402"/>
    </row>
    <row r="44" spans="1:7" ht="15" thickBot="1" x14ac:dyDescent="0.35">
      <c r="A44" s="402"/>
      <c r="B44" s="402"/>
      <c r="C44" s="402"/>
      <c r="D44" s="402"/>
      <c r="E44" s="1287" t="s">
        <v>720</v>
      </c>
      <c r="F44" s="1287"/>
      <c r="G44" s="1287"/>
    </row>
    <row r="45" spans="1:7" x14ac:dyDescent="0.3">
      <c r="A45" s="402"/>
      <c r="B45" s="402"/>
      <c r="C45" s="402"/>
      <c r="D45" s="402"/>
      <c r="E45" s="1267"/>
      <c r="F45" s="1268"/>
      <c r="G45" s="1269"/>
    </row>
    <row r="46" spans="1:7" x14ac:dyDescent="0.3">
      <c r="A46" s="402"/>
      <c r="B46" s="402"/>
      <c r="C46" s="402"/>
      <c r="D46" s="402"/>
      <c r="E46" s="1270"/>
      <c r="F46" s="1271"/>
      <c r="G46" s="1272"/>
    </row>
    <row r="47" spans="1:7" x14ac:dyDescent="0.3">
      <c r="A47" s="402"/>
      <c r="B47" s="402"/>
      <c r="C47" s="402"/>
      <c r="D47" s="402"/>
      <c r="E47" s="1270"/>
      <c r="F47" s="1271"/>
      <c r="G47" s="1272"/>
    </row>
    <row r="48" spans="1:7" x14ac:dyDescent="0.3">
      <c r="A48" s="402"/>
      <c r="B48" s="402"/>
      <c r="C48" s="402"/>
      <c r="D48" s="402"/>
      <c r="E48" s="1270"/>
      <c r="F48" s="1271"/>
      <c r="G48" s="1272"/>
    </row>
    <row r="49" spans="5:7" x14ac:dyDescent="0.3">
      <c r="E49" s="1270"/>
      <c r="F49" s="1271"/>
      <c r="G49" s="1272"/>
    </row>
    <row r="50" spans="5:7" x14ac:dyDescent="0.3">
      <c r="E50" s="1270"/>
      <c r="F50" s="1271"/>
      <c r="G50" s="1272"/>
    </row>
    <row r="51" spans="5:7" x14ac:dyDescent="0.3">
      <c r="E51" s="1270"/>
      <c r="F51" s="1271"/>
      <c r="G51" s="1272"/>
    </row>
    <row r="52" spans="5:7" x14ac:dyDescent="0.3">
      <c r="E52" s="1270"/>
      <c r="F52" s="1271"/>
      <c r="G52" s="1272"/>
    </row>
    <row r="53" spans="5:7" x14ac:dyDescent="0.3">
      <c r="E53" s="1270"/>
      <c r="F53" s="1271"/>
      <c r="G53" s="1272"/>
    </row>
    <row r="54" spans="5:7" x14ac:dyDescent="0.3">
      <c r="E54" s="1270"/>
      <c r="F54" s="1271"/>
      <c r="G54" s="1272"/>
    </row>
    <row r="55" spans="5:7" x14ac:dyDescent="0.3">
      <c r="E55" s="1270"/>
      <c r="F55" s="1271"/>
      <c r="G55" s="1272"/>
    </row>
    <row r="56" spans="5:7" ht="15" thickBot="1" x14ac:dyDescent="0.35">
      <c r="E56" s="1273"/>
      <c r="F56" s="1274"/>
      <c r="G56" s="1275"/>
    </row>
  </sheetData>
  <sheetProtection algorithmName="SHA-512" hashValue="3vfzdkMQ/j/5Ez1LPUfJs7Oq97mMPspNSPxPIv58T3XG7teIfYieY+coQOc8SI3yaPWTzhmaFurjDohcB/jDmQ==" saltValue="mi9yBVloMQdHuHImasvn7A==" spinCount="100000" sheet="1" objects="1" scenarios="1"/>
  <mergeCells count="6">
    <mergeCell ref="E45:G56"/>
    <mergeCell ref="A5:C5"/>
    <mergeCell ref="E5:F5"/>
    <mergeCell ref="E35:G38"/>
    <mergeCell ref="E40:G42"/>
    <mergeCell ref="E44:G44"/>
  </mergeCells>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4" tint="0.79998168889431442"/>
    <pageSetUpPr fitToPage="1"/>
  </sheetPr>
  <dimension ref="A1:BTI443"/>
  <sheetViews>
    <sheetView zoomScaleNormal="100" workbookViewId="0">
      <pane ySplit="5" topLeftCell="A6" activePane="bottomLeft" state="frozen"/>
      <selection activeCell="K179" sqref="K179"/>
      <selection pane="bottomLeft" activeCell="D2" sqref="D2"/>
    </sheetView>
  </sheetViews>
  <sheetFormatPr defaultColWidth="9.109375" defaultRowHeight="14.4" x14ac:dyDescent="0.3"/>
  <cols>
    <col min="1" max="1" width="8.5546875" style="18" customWidth="1"/>
    <col min="2" max="2" width="16.33203125" style="5" customWidth="1"/>
    <col min="3" max="3" width="17.44140625" style="5" customWidth="1"/>
    <col min="4" max="4" width="46.33203125" style="701" customWidth="1"/>
    <col min="5" max="5" width="17.109375" style="18" customWidth="1"/>
    <col min="6" max="6" width="21.5546875" style="701" customWidth="1"/>
    <col min="7" max="7" width="26.6640625" style="789" customWidth="1"/>
    <col min="8" max="8" width="25.109375" style="585" customWidth="1"/>
    <col min="9" max="9" width="24" style="701" customWidth="1"/>
    <col min="10" max="10" width="13.5546875" style="18" hidden="1" customWidth="1"/>
    <col min="11" max="11" width="11.6640625" style="18" hidden="1" customWidth="1"/>
    <col min="12" max="12" width="15.6640625" style="18" hidden="1" customWidth="1"/>
    <col min="13" max="13" width="11" style="18" hidden="1" customWidth="1"/>
    <col min="14" max="14" width="3.33203125" style="288" hidden="1" customWidth="1"/>
    <col min="15" max="15" width="2.109375" style="18" hidden="1" customWidth="1"/>
    <col min="16" max="16" width="0" style="18" hidden="1" customWidth="1"/>
    <col min="17" max="17" width="15.109375" style="18" hidden="1" customWidth="1"/>
    <col min="18" max="25" width="9.109375" style="18"/>
    <col min="26" max="26" width="30.6640625" style="627" customWidth="1"/>
    <col min="27" max="1881" width="9.109375" style="18"/>
    <col min="1882" max="16384" width="9.109375" style="701"/>
  </cols>
  <sheetData>
    <row r="1" spans="1:44" ht="15" thickBot="1" x14ac:dyDescent="0.35">
      <c r="B1" s="791" t="s">
        <v>443</v>
      </c>
      <c r="C1" s="791"/>
      <c r="E1" s="704" t="s">
        <v>36</v>
      </c>
      <c r="F1" s="705">
        <v>2021</v>
      </c>
      <c r="G1" s="120" t="s">
        <v>126</v>
      </c>
      <c r="H1" s="706"/>
      <c r="I1" s="707"/>
      <c r="J1" s="708" t="s">
        <v>976</v>
      </c>
      <c r="M1" s="18" t="s">
        <v>51</v>
      </c>
      <c r="O1" s="18">
        <v>1</v>
      </c>
    </row>
    <row r="2" spans="1:44" ht="44.25" customHeight="1" thickBot="1" x14ac:dyDescent="0.35">
      <c r="B2" s="1136" t="s">
        <v>300</v>
      </c>
      <c r="C2" s="1137"/>
      <c r="D2" s="709" t="s">
        <v>1197</v>
      </c>
      <c r="E2" s="1134" t="s">
        <v>314</v>
      </c>
      <c r="F2" s="1134"/>
      <c r="G2" s="1135"/>
      <c r="H2" s="1125" t="s">
        <v>1474</v>
      </c>
      <c r="M2" s="18" t="s">
        <v>52</v>
      </c>
      <c r="N2" s="288">
        <v>50</v>
      </c>
      <c r="O2" s="18">
        <v>2</v>
      </c>
    </row>
    <row r="3" spans="1:44" ht="15" thickBot="1" x14ac:dyDescent="0.35">
      <c r="B3" s="792" t="s">
        <v>0</v>
      </c>
      <c r="C3" s="793"/>
      <c r="D3" s="711" t="e">
        <f>VLOOKUP(D2,'Unit Names(H)'!A2:B150,2,FALSE)</f>
        <v>#N/A</v>
      </c>
      <c r="E3" s="891"/>
      <c r="F3" s="712"/>
      <c r="G3" s="713"/>
      <c r="H3" s="710"/>
      <c r="N3" s="288">
        <v>51</v>
      </c>
      <c r="O3" s="18">
        <v>3</v>
      </c>
    </row>
    <row r="4" spans="1:44" ht="15" thickBot="1" x14ac:dyDescent="0.35">
      <c r="B4" s="794" t="s">
        <v>1094</v>
      </c>
      <c r="C4" s="795"/>
      <c r="D4" s="714"/>
      <c r="E4" s="714"/>
      <c r="F4" s="715"/>
      <c r="G4" s="716"/>
      <c r="H4" s="710"/>
      <c r="I4" s="2"/>
      <c r="M4" s="18" t="s">
        <v>346</v>
      </c>
      <c r="N4" s="288">
        <v>52</v>
      </c>
      <c r="O4" s="18">
        <v>4</v>
      </c>
    </row>
    <row r="5" spans="1:44" ht="37.5" customHeight="1" x14ac:dyDescent="0.3">
      <c r="A5" s="663" t="s">
        <v>440</v>
      </c>
      <c r="B5" s="552" t="s">
        <v>111</v>
      </c>
      <c r="C5" s="552" t="s">
        <v>128</v>
      </c>
      <c r="D5" s="717" t="s">
        <v>1</v>
      </c>
      <c r="E5" s="717">
        <v>2020</v>
      </c>
      <c r="F5" s="718">
        <v>2021</v>
      </c>
      <c r="G5" s="719" t="s">
        <v>1168</v>
      </c>
      <c r="H5" s="720" t="s">
        <v>318</v>
      </c>
      <c r="I5" s="705" t="s">
        <v>13</v>
      </c>
      <c r="M5" s="18" t="s">
        <v>511</v>
      </c>
    </row>
    <row r="6" spans="1:44" ht="22.5" customHeight="1" x14ac:dyDescent="0.3">
      <c r="A6" s="551"/>
      <c r="B6" s="832" t="s">
        <v>127</v>
      </c>
      <c r="C6" s="833"/>
      <c r="D6" s="834"/>
      <c r="E6" s="835"/>
      <c r="F6" s="836"/>
      <c r="G6" s="828"/>
      <c r="H6" s="17"/>
      <c r="M6" s="18" t="s">
        <v>490</v>
      </c>
    </row>
    <row r="7" spans="1:44" s="18" customFormat="1" ht="63.75" customHeight="1" thickBot="1" x14ac:dyDescent="0.35">
      <c r="A7" s="105">
        <v>333</v>
      </c>
      <c r="B7" s="627" t="s">
        <v>67</v>
      </c>
      <c r="C7" s="627" t="s">
        <v>129</v>
      </c>
      <c r="D7" s="700" t="s">
        <v>1095</v>
      </c>
      <c r="E7" s="661" t="e">
        <f>HLOOKUP($D$2,'2020 Data(H)'!$C$1:$AI$426,99,FALSE)</f>
        <v>#N/A</v>
      </c>
      <c r="F7" s="287">
        <v>0</v>
      </c>
      <c r="G7" s="722">
        <f>IF(F7&lt;0,"Note: Number is normally positive.",)</f>
        <v>0</v>
      </c>
      <c r="H7" s="723"/>
      <c r="I7" s="724"/>
      <c r="J7" s="567" t="s">
        <v>955</v>
      </c>
      <c r="L7" s="687"/>
      <c r="M7" s="18" t="s">
        <v>512</v>
      </c>
      <c r="N7" s="288"/>
      <c r="Q7" s="287">
        <v>475882</v>
      </c>
      <c r="Z7" s="105"/>
      <c r="AA7" s="105"/>
      <c r="AB7" s="105"/>
      <c r="AC7" s="105"/>
      <c r="AD7" s="105"/>
      <c r="AE7" s="105"/>
      <c r="AF7" s="105"/>
      <c r="AG7" s="105"/>
      <c r="AH7" s="105"/>
      <c r="AI7" s="105"/>
      <c r="AJ7" s="105"/>
      <c r="AK7" s="105"/>
      <c r="AL7" s="105"/>
      <c r="AM7" s="105"/>
      <c r="AN7" s="105"/>
      <c r="AO7" s="105"/>
      <c r="AP7" s="105"/>
      <c r="AQ7" s="105"/>
      <c r="AR7" s="105"/>
    </row>
    <row r="8" spans="1:44" s="18" customFormat="1" ht="51" customHeight="1" thickBot="1" x14ac:dyDescent="0.35">
      <c r="A8" s="105">
        <v>500</v>
      </c>
      <c r="B8" s="627" t="s">
        <v>55</v>
      </c>
      <c r="C8" s="627" t="s">
        <v>129</v>
      </c>
      <c r="D8" s="700" t="s">
        <v>1096</v>
      </c>
      <c r="E8" s="661" t="e">
        <f>HLOOKUP($D$2,'2020 Data(H)'!$C$1:$AI$426,150,FALSE)</f>
        <v>#N/A</v>
      </c>
      <c r="F8" s="287">
        <v>0</v>
      </c>
      <c r="G8" s="722">
        <f>IF(F8&lt;0,"Note: Number is normally positive.",)</f>
        <v>0</v>
      </c>
      <c r="H8" s="723"/>
      <c r="I8" s="723"/>
      <c r="J8" s="567"/>
      <c r="L8" s="696"/>
      <c r="M8" s="18" t="s">
        <v>513</v>
      </c>
      <c r="N8" s="288"/>
      <c r="Q8" s="287">
        <v>1528687</v>
      </c>
      <c r="Z8" s="105"/>
      <c r="AA8" s="105"/>
      <c r="AB8" s="105"/>
      <c r="AC8" s="105"/>
      <c r="AD8" s="105"/>
      <c r="AE8" s="105"/>
      <c r="AF8" s="105"/>
      <c r="AG8" s="105"/>
      <c r="AH8" s="105"/>
      <c r="AI8" s="105"/>
      <c r="AJ8" s="105"/>
      <c r="AK8" s="105"/>
      <c r="AL8" s="105"/>
      <c r="AM8" s="105"/>
      <c r="AN8" s="105"/>
      <c r="AO8" s="105"/>
      <c r="AP8" s="105"/>
      <c r="AQ8" s="105"/>
      <c r="AR8" s="105"/>
    </row>
    <row r="9" spans="1:44" ht="51" customHeight="1" thickBot="1" x14ac:dyDescent="0.35">
      <c r="A9" s="105">
        <v>385</v>
      </c>
      <c r="B9" s="585" t="s">
        <v>60</v>
      </c>
      <c r="C9" s="627" t="s">
        <v>129</v>
      </c>
      <c r="D9" s="104" t="s">
        <v>130</v>
      </c>
      <c r="E9" s="661" t="e">
        <f>HLOOKUP($D$2,'2020 Data(H)'!$C$1:$AI$426,144,FALSE)-E11</f>
        <v>#N/A</v>
      </c>
      <c r="F9" s="287">
        <v>0</v>
      </c>
      <c r="G9" s="722">
        <f>IF((F7+F8)&gt;F9,"Error: Please review Account numbers (333+500)&gt;385",)</f>
        <v>0</v>
      </c>
      <c r="H9" s="17"/>
      <c r="I9" s="723"/>
      <c r="J9" s="567"/>
      <c r="L9" s="696"/>
      <c r="Q9" s="287">
        <v>4566372</v>
      </c>
      <c r="Z9" s="105"/>
      <c r="AA9" s="105"/>
      <c r="AB9" s="105"/>
      <c r="AC9" s="105"/>
      <c r="AD9" s="105"/>
      <c r="AE9" s="105"/>
      <c r="AF9" s="105"/>
      <c r="AG9" s="105"/>
      <c r="AH9" s="105"/>
      <c r="AI9" s="105"/>
      <c r="AJ9" s="105"/>
      <c r="AK9" s="105"/>
      <c r="AL9" s="105"/>
      <c r="AM9" s="105"/>
      <c r="AN9" s="105"/>
      <c r="AO9" s="105"/>
      <c r="AP9" s="105"/>
      <c r="AQ9" s="105"/>
      <c r="AR9" s="105"/>
    </row>
    <row r="10" spans="1:44" s="18" customFormat="1" ht="90" customHeight="1" thickBot="1" x14ac:dyDescent="0.35">
      <c r="A10" s="105">
        <v>575</v>
      </c>
      <c r="B10" s="627" t="s">
        <v>70</v>
      </c>
      <c r="C10" s="627" t="s">
        <v>129</v>
      </c>
      <c r="D10" s="796" t="s">
        <v>1097</v>
      </c>
      <c r="E10" s="661" t="e">
        <f>HLOOKUP($D$2,'2020 Data(H)'!$C$1:$AI$426,225,FALSE)</f>
        <v>#N/A</v>
      </c>
      <c r="F10" s="287">
        <v>0</v>
      </c>
      <c r="G10" s="722">
        <f>IF(F10&lt;0,"Note: Number is normally positive.",)</f>
        <v>0</v>
      </c>
      <c r="H10" s="725"/>
      <c r="I10" s="726"/>
      <c r="L10" s="696"/>
      <c r="N10" s="288"/>
      <c r="Q10" s="287">
        <v>0</v>
      </c>
      <c r="Z10" s="105"/>
      <c r="AA10" s="105"/>
      <c r="AB10" s="105"/>
      <c r="AC10" s="105"/>
      <c r="AD10" s="105"/>
      <c r="AE10" s="105"/>
      <c r="AF10" s="105"/>
      <c r="AG10" s="105"/>
      <c r="AH10" s="105"/>
      <c r="AI10" s="105"/>
      <c r="AJ10" s="105"/>
      <c r="AK10" s="105"/>
      <c r="AL10" s="105"/>
      <c r="AM10" s="105"/>
      <c r="AN10" s="105"/>
      <c r="AO10" s="105"/>
      <c r="AP10" s="105"/>
      <c r="AQ10" s="105"/>
      <c r="AR10" s="105"/>
    </row>
    <row r="11" spans="1:44" s="18" customFormat="1" ht="93.75" customHeight="1" thickBot="1" x14ac:dyDescent="0.35">
      <c r="A11" s="105">
        <v>576</v>
      </c>
      <c r="B11" s="627" t="s">
        <v>70</v>
      </c>
      <c r="C11" s="627" t="s">
        <v>129</v>
      </c>
      <c r="D11" s="796" t="s">
        <v>1098</v>
      </c>
      <c r="E11" s="661" t="e">
        <f>HLOOKUP($D$2,'2020 Data(H)'!$C$1:$AI$426,226,FALSE)-E10</f>
        <v>#N/A</v>
      </c>
      <c r="F11" s="287">
        <v>0</v>
      </c>
      <c r="G11" s="722">
        <f>IF(F11&lt;0,"Error: Enter as positive.",)</f>
        <v>0</v>
      </c>
      <c r="H11" s="725"/>
      <c r="I11" s="726"/>
      <c r="J11" s="567"/>
      <c r="L11" s="696"/>
      <c r="N11" s="288"/>
      <c r="Q11" s="287">
        <v>0</v>
      </c>
      <c r="Z11" s="105"/>
      <c r="AA11" s="105"/>
      <c r="AB11" s="105"/>
      <c r="AC11" s="105"/>
      <c r="AD11" s="105"/>
      <c r="AE11" s="105"/>
      <c r="AF11" s="105"/>
      <c r="AG11" s="105"/>
      <c r="AH11" s="105"/>
      <c r="AI11" s="105"/>
      <c r="AJ11" s="105"/>
      <c r="AK11" s="105"/>
      <c r="AL11" s="105"/>
      <c r="AM11" s="105"/>
      <c r="AN11" s="105"/>
      <c r="AO11" s="105"/>
      <c r="AP11" s="105"/>
      <c r="AQ11" s="105"/>
      <c r="AR11" s="105"/>
    </row>
    <row r="12" spans="1:44" ht="85.5" customHeight="1" thickBot="1" x14ac:dyDescent="0.35">
      <c r="A12" s="301">
        <v>626</v>
      </c>
      <c r="B12" s="797" t="s">
        <v>533</v>
      </c>
      <c r="C12" s="797" t="s">
        <v>129</v>
      </c>
      <c r="D12" s="330" t="s">
        <v>1099</v>
      </c>
      <c r="E12" s="661" t="e">
        <f>HLOOKUP($D$2,'2020 Data(H)'!$C$1:$AI$426,285,FALSE)-E11</f>
        <v>#N/A</v>
      </c>
      <c r="F12" s="287">
        <v>0</v>
      </c>
      <c r="G12" s="722">
        <f>IF(F12&lt;0,"Error: Enter as positive.",)</f>
        <v>0</v>
      </c>
      <c r="H12" s="727"/>
      <c r="I12" s="727"/>
      <c r="J12" s="567"/>
      <c r="L12" s="696"/>
      <c r="Q12" s="287">
        <v>136667</v>
      </c>
      <c r="Z12" s="301"/>
      <c r="AA12" s="301"/>
      <c r="AB12" s="301"/>
      <c r="AC12" s="301"/>
      <c r="AD12" s="301"/>
      <c r="AE12" s="301"/>
      <c r="AF12" s="301"/>
      <c r="AG12" s="301"/>
      <c r="AH12" s="301"/>
      <c r="AI12" s="301"/>
      <c r="AJ12" s="301"/>
      <c r="AK12" s="301"/>
      <c r="AL12" s="301"/>
      <c r="AM12" s="301"/>
      <c r="AN12" s="301"/>
      <c r="AO12" s="301"/>
      <c r="AP12" s="301"/>
      <c r="AQ12" s="301"/>
      <c r="AR12" s="301"/>
    </row>
    <row r="13" spans="1:44" ht="89.25" customHeight="1" thickBot="1" x14ac:dyDescent="0.35">
      <c r="A13" s="300">
        <v>627</v>
      </c>
      <c r="B13" s="798" t="s">
        <v>409</v>
      </c>
      <c r="C13" s="797" t="s">
        <v>129</v>
      </c>
      <c r="D13" s="330" t="s">
        <v>1100</v>
      </c>
      <c r="E13" s="661" t="e">
        <f>HLOOKUP($D$2,'2020 Data(H)'!$C$1:$AI$426,286,FALSE)</f>
        <v>#N/A</v>
      </c>
      <c r="F13" s="287">
        <v>0</v>
      </c>
      <c r="G13" s="722">
        <f>IF(F13&gt;F12,"Please review account numbers 627 &gt;626",)</f>
        <v>0</v>
      </c>
      <c r="H13" s="727"/>
      <c r="I13" s="727"/>
      <c r="J13" s="567"/>
      <c r="L13" s="696"/>
      <c r="Q13" s="287">
        <v>0</v>
      </c>
      <c r="Z13" s="300"/>
      <c r="AA13" s="300"/>
      <c r="AB13" s="300"/>
      <c r="AC13" s="300"/>
      <c r="AD13" s="300"/>
      <c r="AE13" s="300"/>
      <c r="AF13" s="300"/>
      <c r="AG13" s="300"/>
      <c r="AH13" s="300"/>
      <c r="AI13" s="300"/>
      <c r="AJ13" s="300"/>
      <c r="AK13" s="300"/>
      <c r="AL13" s="300"/>
      <c r="AM13" s="300"/>
      <c r="AN13" s="300"/>
      <c r="AO13" s="300"/>
      <c r="AP13" s="300"/>
      <c r="AQ13" s="300"/>
      <c r="AR13" s="300"/>
    </row>
    <row r="14" spans="1:44" ht="105" customHeight="1" thickBot="1" x14ac:dyDescent="0.35">
      <c r="A14" s="300">
        <v>628</v>
      </c>
      <c r="B14" s="798" t="s">
        <v>409</v>
      </c>
      <c r="C14" s="797" t="s">
        <v>129</v>
      </c>
      <c r="D14" s="330" t="s">
        <v>1101</v>
      </c>
      <c r="E14" s="661" t="e">
        <f>HLOOKUP($D$2,'2020 Data(H)'!$C$1:$AI$426,287,FALSE)</f>
        <v>#N/A</v>
      </c>
      <c r="F14" s="287">
        <v>0</v>
      </c>
      <c r="G14" s="722">
        <f>IF(F14&gt;F12,"Please review account numbers 628 &gt; 626",)</f>
        <v>0</v>
      </c>
      <c r="H14" s="727"/>
      <c r="I14" s="727"/>
      <c r="J14" s="567"/>
      <c r="L14" s="696"/>
      <c r="Q14" s="287">
        <v>56141</v>
      </c>
      <c r="Z14" s="300"/>
      <c r="AA14" s="300"/>
      <c r="AB14" s="300"/>
      <c r="AC14" s="300"/>
      <c r="AD14" s="300"/>
      <c r="AE14" s="300"/>
      <c r="AF14" s="300"/>
      <c r="AG14" s="300"/>
      <c r="AH14" s="300"/>
      <c r="AI14" s="300"/>
      <c r="AJ14" s="300"/>
      <c r="AK14" s="300"/>
      <c r="AL14" s="300"/>
      <c r="AM14" s="300"/>
      <c r="AN14" s="300"/>
      <c r="AO14" s="300"/>
      <c r="AP14" s="300"/>
      <c r="AQ14" s="300"/>
      <c r="AR14" s="300"/>
    </row>
    <row r="15" spans="1:44" ht="95.25" customHeight="1" thickBot="1" x14ac:dyDescent="0.35">
      <c r="A15" s="300">
        <v>629</v>
      </c>
      <c r="B15" s="798" t="s">
        <v>409</v>
      </c>
      <c r="C15" s="797" t="s">
        <v>129</v>
      </c>
      <c r="D15" s="330" t="s">
        <v>1102</v>
      </c>
      <c r="E15" s="661" t="e">
        <f>HLOOKUP($D$2,'2020 Data(H)'!$C$1:$AI$426,288,FALSE)</f>
        <v>#N/A</v>
      </c>
      <c r="F15" s="287">
        <v>0</v>
      </c>
      <c r="G15" s="722">
        <f>IF(F15&gt;F12,"Please review account numbers 629 &gt; 626",)</f>
        <v>0</v>
      </c>
      <c r="H15" s="727"/>
      <c r="I15" s="727"/>
      <c r="J15" s="567"/>
      <c r="L15" s="696"/>
      <c r="Q15" s="287">
        <v>0</v>
      </c>
      <c r="Z15" s="300"/>
      <c r="AA15" s="300"/>
      <c r="AB15" s="300"/>
      <c r="AC15" s="300"/>
      <c r="AD15" s="300"/>
      <c r="AE15" s="300"/>
      <c r="AF15" s="300"/>
      <c r="AG15" s="300"/>
      <c r="AH15" s="300"/>
      <c r="AI15" s="300"/>
      <c r="AJ15" s="300"/>
      <c r="AK15" s="300"/>
      <c r="AL15" s="300"/>
      <c r="AM15" s="300"/>
      <c r="AN15" s="300"/>
      <c r="AO15" s="300"/>
      <c r="AP15" s="300"/>
      <c r="AQ15" s="300"/>
      <c r="AR15" s="300"/>
    </row>
    <row r="16" spans="1:44" ht="69" customHeight="1" thickBot="1" x14ac:dyDescent="0.35">
      <c r="A16" s="300">
        <v>630</v>
      </c>
      <c r="B16" s="798" t="s">
        <v>409</v>
      </c>
      <c r="C16" s="797" t="s">
        <v>129</v>
      </c>
      <c r="D16" s="330" t="s">
        <v>506</v>
      </c>
      <c r="E16" s="661" t="e">
        <f>HLOOKUP($D$2,'2020 Data(H)'!$C$1:$AI$426,289,FALSE)</f>
        <v>#N/A</v>
      </c>
      <c r="F16" s="287">
        <v>0</v>
      </c>
      <c r="G16" s="722">
        <f>IF(F16&gt;F12,"Please review account numbers 630 &gt; 626",)</f>
        <v>0</v>
      </c>
      <c r="H16" s="727"/>
      <c r="I16" s="727"/>
      <c r="J16" s="567"/>
      <c r="L16" s="696"/>
      <c r="Q16" s="287">
        <v>0</v>
      </c>
      <c r="Z16" s="300"/>
      <c r="AA16" s="300"/>
      <c r="AB16" s="300"/>
      <c r="AC16" s="300"/>
      <c r="AD16" s="300"/>
      <c r="AE16" s="300"/>
      <c r="AF16" s="300"/>
      <c r="AG16" s="300"/>
      <c r="AH16" s="300"/>
      <c r="AI16" s="300"/>
      <c r="AJ16" s="300"/>
      <c r="AK16" s="300"/>
      <c r="AL16" s="300"/>
      <c r="AM16" s="300"/>
      <c r="AN16" s="300"/>
      <c r="AO16" s="300"/>
      <c r="AP16" s="300"/>
      <c r="AQ16" s="300"/>
      <c r="AR16" s="300"/>
    </row>
    <row r="17" spans="1:44" ht="95.25" customHeight="1" thickBot="1" x14ac:dyDescent="0.35">
      <c r="A17" s="300">
        <v>631</v>
      </c>
      <c r="B17" s="798" t="s">
        <v>409</v>
      </c>
      <c r="C17" s="797" t="s">
        <v>129</v>
      </c>
      <c r="D17" s="330" t="s">
        <v>1103</v>
      </c>
      <c r="E17" s="661" t="e">
        <f>HLOOKUP($D$2,'2020 Data(H)'!$C$1:$AI$426,290,FALSE)</f>
        <v>#N/A</v>
      </c>
      <c r="F17" s="287">
        <v>0</v>
      </c>
      <c r="G17" s="722">
        <f>IF(F17&gt;F12,"Please review account numbers 631 &gt; 626",)</f>
        <v>0</v>
      </c>
      <c r="H17" s="727"/>
      <c r="I17" s="727"/>
      <c r="J17" s="567"/>
      <c r="L17" s="696"/>
      <c r="Q17" s="287">
        <v>0</v>
      </c>
      <c r="Z17" s="300"/>
      <c r="AA17" s="300"/>
      <c r="AB17" s="300"/>
      <c r="AC17" s="300"/>
      <c r="AD17" s="300"/>
      <c r="AE17" s="300"/>
      <c r="AF17" s="300"/>
      <c r="AG17" s="300"/>
      <c r="AH17" s="300"/>
      <c r="AI17" s="300"/>
      <c r="AJ17" s="300"/>
      <c r="AK17" s="300"/>
      <c r="AL17" s="300"/>
      <c r="AM17" s="300"/>
      <c r="AN17" s="300"/>
      <c r="AO17" s="300"/>
      <c r="AP17" s="300"/>
      <c r="AQ17" s="300"/>
      <c r="AR17" s="300"/>
    </row>
    <row r="18" spans="1:44" ht="111.75" hidden="1" customHeight="1" thickBot="1" x14ac:dyDescent="0.35">
      <c r="A18" s="300">
        <v>632</v>
      </c>
      <c r="B18" s="798" t="s">
        <v>409</v>
      </c>
      <c r="C18" s="797" t="s">
        <v>129</v>
      </c>
      <c r="D18" s="330" t="s">
        <v>1104</v>
      </c>
      <c r="E18" s="661" t="e">
        <f>HLOOKUP($D$2,'2020 Data(H)'!$C$1:$AI$426,291,FALSE)</f>
        <v>#N/A</v>
      </c>
      <c r="F18" s="287">
        <v>0</v>
      </c>
      <c r="G18" s="722">
        <f>IF(F18&gt;F12,"Please review account numbers 632 &gt; 626",)</f>
        <v>0</v>
      </c>
      <c r="H18" s="727"/>
      <c r="I18" s="727"/>
      <c r="J18" s="567"/>
      <c r="L18" s="696"/>
      <c r="Q18" s="287">
        <v>0</v>
      </c>
      <c r="Z18" s="300"/>
      <c r="AA18" s="300"/>
      <c r="AB18" s="300"/>
      <c r="AC18" s="300"/>
      <c r="AD18" s="300"/>
      <c r="AE18" s="300"/>
      <c r="AF18" s="300"/>
      <c r="AG18" s="300"/>
      <c r="AH18" s="300"/>
      <c r="AI18" s="300"/>
      <c r="AJ18" s="300"/>
      <c r="AK18" s="300"/>
      <c r="AL18" s="300"/>
      <c r="AM18" s="300"/>
      <c r="AN18" s="300"/>
      <c r="AO18" s="300"/>
      <c r="AP18" s="300"/>
      <c r="AQ18" s="300"/>
      <c r="AR18" s="300"/>
    </row>
    <row r="19" spans="1:44" ht="55.5" customHeight="1" thickBot="1" x14ac:dyDescent="0.35">
      <c r="A19" s="105">
        <v>338</v>
      </c>
      <c r="B19" s="585" t="s">
        <v>56</v>
      </c>
      <c r="C19" s="627" t="s">
        <v>129</v>
      </c>
      <c r="D19" s="104" t="s">
        <v>131</v>
      </c>
      <c r="E19" s="661" t="e">
        <f>HLOOKUP($D$2,'2020 Data(H)'!$C$1:$AI$426,104,FALSE)</f>
        <v>#N/A</v>
      </c>
      <c r="F19" s="287">
        <v>0</v>
      </c>
      <c r="G19" s="722" t="str">
        <f>IF(F12&gt;F19,"Error: Please review accts 626 &gt; 338","")</f>
        <v/>
      </c>
      <c r="H19" s="17"/>
      <c r="I19" s="723"/>
      <c r="J19" s="567"/>
      <c r="L19" s="696"/>
      <c r="Q19" s="287">
        <v>1131889</v>
      </c>
      <c r="Z19" s="105"/>
      <c r="AA19" s="105"/>
      <c r="AB19" s="105"/>
      <c r="AC19" s="105"/>
      <c r="AD19" s="105"/>
      <c r="AE19" s="105"/>
      <c r="AF19" s="105"/>
      <c r="AG19" s="105"/>
      <c r="AH19" s="105"/>
      <c r="AI19" s="105"/>
      <c r="AJ19" s="105"/>
      <c r="AK19" s="105"/>
      <c r="AL19" s="105"/>
      <c r="AM19" s="105"/>
      <c r="AN19" s="105"/>
      <c r="AO19" s="105"/>
      <c r="AP19" s="105"/>
      <c r="AQ19" s="105"/>
      <c r="AR19" s="105"/>
    </row>
    <row r="20" spans="1:44" ht="89.25" customHeight="1" thickBot="1" x14ac:dyDescent="0.35">
      <c r="A20" s="105">
        <v>335</v>
      </c>
      <c r="B20" s="585" t="s">
        <v>56</v>
      </c>
      <c r="C20" s="627" t="s">
        <v>129</v>
      </c>
      <c r="D20" s="700" t="s">
        <v>1105</v>
      </c>
      <c r="E20" s="661" t="e">
        <f>HLOOKUP($D$2,'2020 Data(H)'!$C$1:$AI$426,101,FALSE)</f>
        <v>#N/A</v>
      </c>
      <c r="F20" s="287">
        <v>0</v>
      </c>
      <c r="G20" s="722">
        <f>IF(F20&lt;0,"Error: Enter as positive.",)</f>
        <v>0</v>
      </c>
      <c r="H20" s="17"/>
      <c r="I20" s="365"/>
      <c r="J20" s="567"/>
      <c r="L20" s="696"/>
      <c r="Q20" s="287">
        <v>0</v>
      </c>
      <c r="Z20" s="105"/>
      <c r="AA20" s="105"/>
      <c r="AB20" s="105"/>
      <c r="AC20" s="105"/>
      <c r="AD20" s="105"/>
      <c r="AE20" s="105"/>
      <c r="AF20" s="105"/>
      <c r="AG20" s="105"/>
      <c r="AH20" s="105"/>
      <c r="AI20" s="105"/>
      <c r="AJ20" s="105"/>
      <c r="AK20" s="105"/>
      <c r="AL20" s="105"/>
      <c r="AM20" s="105"/>
      <c r="AN20" s="105"/>
      <c r="AO20" s="105"/>
      <c r="AP20" s="105"/>
      <c r="AQ20" s="105"/>
      <c r="AR20" s="105"/>
    </row>
    <row r="21" spans="1:44" ht="48.75" customHeight="1" thickBot="1" x14ac:dyDescent="0.35">
      <c r="A21" s="105">
        <v>252</v>
      </c>
      <c r="B21" s="585" t="s">
        <v>56</v>
      </c>
      <c r="C21" s="627" t="s">
        <v>129</v>
      </c>
      <c r="D21" s="104" t="s">
        <v>132</v>
      </c>
      <c r="E21" s="661" t="e">
        <f>HLOOKUP($D$2,'2020 Data(H)'!$C$1:$AI$426,78,FALSE)</f>
        <v>#N/A</v>
      </c>
      <c r="F21" s="287">
        <v>0</v>
      </c>
      <c r="G21" s="728"/>
      <c r="H21" s="17"/>
      <c r="I21" s="77"/>
      <c r="J21" s="567"/>
      <c r="L21" s="696"/>
      <c r="Q21" s="287">
        <v>1656465</v>
      </c>
      <c r="Z21" s="105"/>
      <c r="AA21" s="105"/>
      <c r="AB21" s="105"/>
      <c r="AC21" s="105"/>
      <c r="AD21" s="105"/>
      <c r="AE21" s="105"/>
      <c r="AF21" s="105"/>
      <c r="AG21" s="105"/>
      <c r="AH21" s="105"/>
      <c r="AI21" s="105"/>
      <c r="AJ21" s="105"/>
      <c r="AK21" s="105"/>
      <c r="AL21" s="105"/>
      <c r="AM21" s="105"/>
      <c r="AN21" s="105"/>
      <c r="AO21" s="105"/>
      <c r="AP21" s="105"/>
      <c r="AQ21" s="105"/>
      <c r="AR21" s="105"/>
    </row>
    <row r="22" spans="1:44" ht="43.8" thickBot="1" x14ac:dyDescent="0.35">
      <c r="A22" s="105">
        <v>253</v>
      </c>
      <c r="B22" s="585" t="s">
        <v>56</v>
      </c>
      <c r="C22" s="627" t="s">
        <v>129</v>
      </c>
      <c r="D22" s="104" t="s">
        <v>133</v>
      </c>
      <c r="E22" s="661" t="e">
        <f>HLOOKUP($D$2,'2020 Data(H)'!$C$1:$AI$426,79,FALSE)</f>
        <v>#N/A</v>
      </c>
      <c r="F22" s="287">
        <v>0</v>
      </c>
      <c r="G22" s="722"/>
      <c r="H22" s="17"/>
      <c r="I22" s="77"/>
      <c r="J22" s="567"/>
      <c r="L22" s="696"/>
      <c r="Q22" s="287">
        <v>172269</v>
      </c>
      <c r="Z22" s="105"/>
      <c r="AA22" s="105"/>
      <c r="AB22" s="105"/>
      <c r="AC22" s="105"/>
      <c r="AD22" s="105"/>
      <c r="AE22" s="105"/>
      <c r="AF22" s="105"/>
      <c r="AG22" s="105"/>
      <c r="AH22" s="105"/>
      <c r="AI22" s="105"/>
      <c r="AJ22" s="105"/>
      <c r="AK22" s="105"/>
      <c r="AL22" s="105"/>
      <c r="AM22" s="105"/>
      <c r="AN22" s="105"/>
      <c r="AO22" s="105"/>
      <c r="AP22" s="105"/>
      <c r="AQ22" s="105"/>
      <c r="AR22" s="105"/>
    </row>
    <row r="23" spans="1:44" ht="73.5" customHeight="1" thickBot="1" x14ac:dyDescent="0.35">
      <c r="A23" s="105">
        <v>254</v>
      </c>
      <c r="B23" s="585" t="s">
        <v>56</v>
      </c>
      <c r="C23" s="627" t="s">
        <v>129</v>
      </c>
      <c r="D23" s="104" t="s">
        <v>1106</v>
      </c>
      <c r="E23" s="661" t="e">
        <f>HLOOKUP($D$2,'2020 Data(H)'!$C$1:$AI$426,80,FALSE)</f>
        <v>#N/A</v>
      </c>
      <c r="F23" s="287">
        <v>0</v>
      </c>
      <c r="G23" s="722">
        <f>IF(H23=0,,"Error: Total assets and deferred outflows less total liabilities and deferred inflows do not equal total net position. Account numbers  385-338-252-253-254 = 0.  The amount the formula is off is located in the cell to the right")</f>
        <v>0</v>
      </c>
      <c r="H23" s="725">
        <f>F9-F19-F21-F22-F23</f>
        <v>0</v>
      </c>
      <c r="I23" s="77"/>
      <c r="J23" s="567"/>
      <c r="L23" s="696"/>
      <c r="Q23" s="287">
        <v>1605749</v>
      </c>
      <c r="Z23" s="105"/>
      <c r="AA23" s="105"/>
      <c r="AB23" s="105"/>
      <c r="AC23" s="105"/>
      <c r="AD23" s="105"/>
      <c r="AE23" s="105"/>
      <c r="AF23" s="105"/>
      <c r="AG23" s="105"/>
      <c r="AH23" s="105"/>
      <c r="AI23" s="105"/>
      <c r="AJ23" s="105"/>
      <c r="AK23" s="105"/>
      <c r="AL23" s="105"/>
      <c r="AM23" s="105"/>
      <c r="AN23" s="105"/>
      <c r="AO23" s="105"/>
      <c r="AP23" s="105"/>
      <c r="AQ23" s="105"/>
      <c r="AR23" s="105"/>
    </row>
    <row r="24" spans="1:44" ht="21.75" customHeight="1" thickBot="1" x14ac:dyDescent="0.35">
      <c r="A24" s="105"/>
      <c r="B24" s="820" t="s">
        <v>134</v>
      </c>
      <c r="C24" s="821"/>
      <c r="D24" s="825"/>
      <c r="E24" s="826"/>
      <c r="F24" s="837"/>
      <c r="G24" s="838"/>
      <c r="H24" s="17"/>
      <c r="I24" s="77"/>
      <c r="L24" s="696"/>
      <c r="Z24" s="105"/>
      <c r="AA24" s="105"/>
      <c r="AB24" s="105"/>
      <c r="AC24" s="105"/>
      <c r="AD24" s="105"/>
      <c r="AE24" s="105"/>
      <c r="AF24" s="105"/>
      <c r="AG24" s="105"/>
      <c r="AH24" s="105"/>
      <c r="AI24" s="105"/>
      <c r="AJ24" s="105"/>
      <c r="AK24" s="105"/>
      <c r="AL24" s="105"/>
      <c r="AM24" s="105"/>
      <c r="AN24" s="105"/>
      <c r="AO24" s="105"/>
      <c r="AP24" s="105"/>
      <c r="AQ24" s="105"/>
      <c r="AR24" s="105"/>
    </row>
    <row r="25" spans="1:44" ht="59.25" customHeight="1" thickBot="1" x14ac:dyDescent="0.35">
      <c r="A25" s="105">
        <v>502</v>
      </c>
      <c r="B25" s="585" t="s">
        <v>55</v>
      </c>
      <c r="C25" s="627" t="s">
        <v>136</v>
      </c>
      <c r="D25" s="700" t="s">
        <v>1107</v>
      </c>
      <c r="E25" s="661" t="e">
        <f>HLOOKUP($D$2,'2020 Data(H)'!$C$1:$AI$426,152,FALSE)</f>
        <v>#N/A</v>
      </c>
      <c r="F25" s="287">
        <v>0</v>
      </c>
      <c r="G25" s="722">
        <f>IF(F25&lt;0,"Note: Number is normally positive.",)</f>
        <v>0</v>
      </c>
      <c r="H25" s="17"/>
      <c r="I25" s="77"/>
      <c r="L25" s="696"/>
      <c r="Z25" s="105"/>
      <c r="AA25" s="105"/>
      <c r="AB25" s="105"/>
      <c r="AC25" s="105"/>
      <c r="AD25" s="105"/>
      <c r="AE25" s="105"/>
      <c r="AF25" s="105"/>
      <c r="AG25" s="105"/>
      <c r="AH25" s="105"/>
      <c r="AI25" s="105"/>
      <c r="AJ25" s="105"/>
      <c r="AK25" s="105"/>
      <c r="AL25" s="105"/>
      <c r="AM25" s="105"/>
      <c r="AN25" s="105"/>
      <c r="AO25" s="105"/>
      <c r="AP25" s="105"/>
      <c r="AQ25" s="105"/>
      <c r="AR25" s="105"/>
    </row>
    <row r="26" spans="1:44" ht="59.25" customHeight="1" thickBot="1" x14ac:dyDescent="0.35">
      <c r="A26" s="105">
        <v>503</v>
      </c>
      <c r="B26" s="585" t="s">
        <v>55</v>
      </c>
      <c r="C26" s="627" t="s">
        <v>136</v>
      </c>
      <c r="D26" s="104" t="s">
        <v>135</v>
      </c>
      <c r="E26" s="661" t="e">
        <f>HLOOKUP($D$2,'2020 Data(H)'!$C$1:$AI$426,153,FALSE)</f>
        <v>#N/A</v>
      </c>
      <c r="F26" s="266">
        <v>0</v>
      </c>
      <c r="G26" s="722">
        <f>IF(F26&lt;0,"Note: Number is normally positive.",)</f>
        <v>0</v>
      </c>
      <c r="H26" s="17"/>
      <c r="I26" s="77"/>
      <c r="L26" s="696"/>
      <c r="Z26" s="105"/>
      <c r="AA26" s="105"/>
      <c r="AB26" s="105"/>
      <c r="AC26" s="105"/>
      <c r="AD26" s="105"/>
      <c r="AE26" s="105"/>
      <c r="AF26" s="105"/>
      <c r="AG26" s="105"/>
      <c r="AH26" s="105"/>
      <c r="AI26" s="105"/>
      <c r="AJ26" s="105"/>
      <c r="AK26" s="105"/>
      <c r="AL26" s="105"/>
      <c r="AM26" s="105"/>
      <c r="AN26" s="105"/>
      <c r="AO26" s="105"/>
      <c r="AP26" s="105"/>
      <c r="AQ26" s="105"/>
      <c r="AR26" s="105"/>
    </row>
    <row r="27" spans="1:44" ht="27" customHeight="1" thickBot="1" x14ac:dyDescent="0.35">
      <c r="A27" s="105"/>
      <c r="B27" s="820" t="s">
        <v>137</v>
      </c>
      <c r="C27" s="821"/>
      <c r="D27" s="825"/>
      <c r="E27" s="826"/>
      <c r="F27" s="827"/>
      <c r="G27" s="828"/>
      <c r="H27" s="17"/>
      <c r="I27" s="77"/>
      <c r="L27" s="696"/>
      <c r="Z27" s="105"/>
      <c r="AA27" s="105"/>
      <c r="AB27" s="105"/>
      <c r="AC27" s="105"/>
      <c r="AD27" s="105"/>
      <c r="AE27" s="105"/>
      <c r="AF27" s="105"/>
      <c r="AG27" s="105"/>
      <c r="AH27" s="105"/>
      <c r="AI27" s="105"/>
      <c r="AJ27" s="105"/>
      <c r="AK27" s="105"/>
      <c r="AL27" s="105"/>
      <c r="AM27" s="105"/>
      <c r="AN27" s="105"/>
      <c r="AO27" s="105"/>
      <c r="AP27" s="105"/>
      <c r="AQ27" s="105"/>
      <c r="AR27" s="105"/>
    </row>
    <row r="28" spans="1:44" ht="49.5" hidden="1" customHeight="1" thickBot="1" x14ac:dyDescent="0.35">
      <c r="A28" s="105">
        <v>344</v>
      </c>
      <c r="B28" s="585" t="s">
        <v>56</v>
      </c>
      <c r="C28" s="585" t="s">
        <v>144</v>
      </c>
      <c r="D28" s="104" t="s">
        <v>138</v>
      </c>
      <c r="E28" s="661" t="e">
        <f>HLOOKUP($D$2,'2020 Data(H)'!$C$1:$AI$426,110,FALSE)</f>
        <v>#N/A</v>
      </c>
      <c r="F28" s="287">
        <v>0</v>
      </c>
      <c r="G28" s="722">
        <f t="shared" ref="G28:G35" si="0">IF(F28&lt;0,"Error: Enter as positive.",)</f>
        <v>0</v>
      </c>
      <c r="H28" s="17"/>
      <c r="I28" s="77"/>
      <c r="L28" s="696"/>
      <c r="Z28" s="105"/>
      <c r="AA28" s="105"/>
      <c r="AB28" s="105"/>
      <c r="AC28" s="105"/>
      <c r="AD28" s="105"/>
      <c r="AE28" s="105"/>
      <c r="AF28" s="105"/>
      <c r="AG28" s="105"/>
      <c r="AH28" s="105"/>
      <c r="AI28" s="105"/>
      <c r="AJ28" s="105"/>
      <c r="AK28" s="105"/>
      <c r="AL28" s="105"/>
      <c r="AM28" s="105"/>
      <c r="AN28" s="105"/>
      <c r="AO28" s="105"/>
      <c r="AP28" s="105"/>
      <c r="AQ28" s="105"/>
      <c r="AR28" s="105"/>
    </row>
    <row r="29" spans="1:44" ht="49.5" customHeight="1" thickBot="1" x14ac:dyDescent="0.35">
      <c r="A29" s="105">
        <v>388</v>
      </c>
      <c r="B29" s="585" t="s">
        <v>60</v>
      </c>
      <c r="C29" s="585" t="s">
        <v>144</v>
      </c>
      <c r="D29" s="104" t="s">
        <v>139</v>
      </c>
      <c r="E29" s="661" t="e">
        <f>HLOOKUP($D$2,'2020 Data(H)'!$C$1:$AI$426,147,FALSE)</f>
        <v>#N/A</v>
      </c>
      <c r="F29" s="287">
        <v>0</v>
      </c>
      <c r="G29" s="722">
        <f t="shared" si="0"/>
        <v>0</v>
      </c>
      <c r="H29" s="17"/>
      <c r="I29" s="77"/>
      <c r="J29" s="567"/>
      <c r="L29" s="696"/>
      <c r="Z29" s="105"/>
      <c r="AA29" s="105"/>
      <c r="AB29" s="105"/>
      <c r="AC29" s="105"/>
      <c r="AD29" s="105"/>
      <c r="AE29" s="105"/>
      <c r="AF29" s="105"/>
      <c r="AG29" s="105"/>
      <c r="AH29" s="105"/>
      <c r="AI29" s="105"/>
      <c r="AJ29" s="105"/>
      <c r="AK29" s="105"/>
      <c r="AL29" s="105"/>
      <c r="AM29" s="105"/>
      <c r="AN29" s="105"/>
      <c r="AO29" s="105"/>
      <c r="AP29" s="105"/>
      <c r="AQ29" s="105"/>
      <c r="AR29" s="105"/>
    </row>
    <row r="30" spans="1:44" ht="51.75" customHeight="1" thickBot="1" x14ac:dyDescent="0.35">
      <c r="A30" s="105">
        <v>339</v>
      </c>
      <c r="B30" s="585" t="s">
        <v>56</v>
      </c>
      <c r="C30" s="585" t="s">
        <v>144</v>
      </c>
      <c r="D30" s="104" t="s">
        <v>140</v>
      </c>
      <c r="E30" s="661" t="e">
        <f>HLOOKUP($D$2,'2020 Data(H)'!$C$1:$AI$426,105,FALSE)</f>
        <v>#N/A</v>
      </c>
      <c r="F30" s="287">
        <v>0</v>
      </c>
      <c r="G30" s="722">
        <f t="shared" si="0"/>
        <v>0</v>
      </c>
      <c r="H30" s="17"/>
      <c r="I30" s="77"/>
      <c r="J30" s="567"/>
      <c r="L30" s="696"/>
      <c r="Z30" s="105"/>
      <c r="AA30" s="105"/>
      <c r="AB30" s="105"/>
      <c r="AC30" s="105"/>
      <c r="AD30" s="105"/>
      <c r="AE30" s="105"/>
      <c r="AF30" s="105"/>
      <c r="AG30" s="105"/>
      <c r="AH30" s="105"/>
      <c r="AI30" s="105"/>
      <c r="AJ30" s="105"/>
      <c r="AK30" s="105"/>
      <c r="AL30" s="105"/>
      <c r="AM30" s="105"/>
      <c r="AN30" s="105"/>
      <c r="AO30" s="105"/>
      <c r="AP30" s="105"/>
      <c r="AQ30" s="105"/>
      <c r="AR30" s="105"/>
    </row>
    <row r="31" spans="1:44" ht="50.25" customHeight="1" thickBot="1" x14ac:dyDescent="0.35">
      <c r="A31" s="105">
        <v>504</v>
      </c>
      <c r="B31" s="585" t="s">
        <v>56</v>
      </c>
      <c r="C31" s="585" t="s">
        <v>144</v>
      </c>
      <c r="D31" s="104" t="s">
        <v>141</v>
      </c>
      <c r="E31" s="661" t="e">
        <f>HLOOKUP($D$2,'2020 Data(H)'!$C$1:$AI$426,154,FALSE)</f>
        <v>#N/A</v>
      </c>
      <c r="F31" s="287">
        <v>0</v>
      </c>
      <c r="G31" s="722">
        <f t="shared" si="0"/>
        <v>0</v>
      </c>
      <c r="H31" s="17"/>
      <c r="I31" s="77"/>
      <c r="J31" s="567"/>
      <c r="L31" s="696"/>
      <c r="Z31" s="105"/>
      <c r="AA31" s="105"/>
      <c r="AB31" s="105"/>
      <c r="AC31" s="105"/>
      <c r="AD31" s="105"/>
      <c r="AE31" s="105"/>
      <c r="AF31" s="105"/>
      <c r="AG31" s="105"/>
      <c r="AH31" s="105"/>
      <c r="AI31" s="105"/>
      <c r="AJ31" s="105"/>
      <c r="AK31" s="105"/>
      <c r="AL31" s="105"/>
      <c r="AM31" s="105"/>
      <c r="AN31" s="105"/>
      <c r="AO31" s="105"/>
      <c r="AP31" s="105"/>
      <c r="AQ31" s="105"/>
      <c r="AR31" s="105"/>
    </row>
    <row r="32" spans="1:44" ht="60" customHeight="1" thickBot="1" x14ac:dyDescent="0.35">
      <c r="A32" s="105">
        <v>505</v>
      </c>
      <c r="B32" s="585" t="s">
        <v>56</v>
      </c>
      <c r="C32" s="585" t="s">
        <v>144</v>
      </c>
      <c r="D32" s="680" t="s">
        <v>142</v>
      </c>
      <c r="E32" s="661" t="e">
        <f>HLOOKUP($D$2,'2020 Data(H)'!$C$1:$AI$426,155,FALSE)</f>
        <v>#N/A</v>
      </c>
      <c r="F32" s="287">
        <v>0</v>
      </c>
      <c r="G32" s="722">
        <f t="shared" si="0"/>
        <v>0</v>
      </c>
      <c r="H32" s="17"/>
      <c r="I32" s="77"/>
      <c r="J32" s="567"/>
      <c r="L32" s="696"/>
      <c r="Z32" s="105"/>
      <c r="AA32" s="105"/>
      <c r="AB32" s="105"/>
      <c r="AC32" s="105"/>
      <c r="AD32" s="105"/>
      <c r="AE32" s="105"/>
      <c r="AF32" s="105"/>
      <c r="AG32" s="105"/>
      <c r="AH32" s="105"/>
      <c r="AI32" s="105"/>
      <c r="AJ32" s="105"/>
      <c r="AK32" s="105"/>
      <c r="AL32" s="105"/>
      <c r="AM32" s="105"/>
      <c r="AN32" s="105"/>
      <c r="AO32" s="105"/>
      <c r="AP32" s="105"/>
      <c r="AQ32" s="105"/>
      <c r="AR32" s="105"/>
    </row>
    <row r="33" spans="1:44" ht="67.95" customHeight="1" thickBot="1" x14ac:dyDescent="0.35">
      <c r="A33" s="105">
        <v>341</v>
      </c>
      <c r="B33" s="585" t="s">
        <v>56</v>
      </c>
      <c r="C33" s="585" t="s">
        <v>144</v>
      </c>
      <c r="D33" s="700" t="s">
        <v>1108</v>
      </c>
      <c r="E33" s="661" t="e">
        <f>HLOOKUP($D$2,'2020 Data(H)'!$C$1:$AI$426,107,FALSE)</f>
        <v>#N/A</v>
      </c>
      <c r="F33" s="287">
        <v>0</v>
      </c>
      <c r="G33" s="722">
        <f t="shared" si="0"/>
        <v>0</v>
      </c>
      <c r="H33" s="17"/>
      <c r="I33" s="77"/>
      <c r="J33" s="567"/>
      <c r="L33" s="696"/>
      <c r="Z33" s="105"/>
      <c r="AA33" s="105"/>
      <c r="AB33" s="105"/>
      <c r="AC33" s="105"/>
      <c r="AD33" s="105"/>
      <c r="AE33" s="105"/>
      <c r="AF33" s="105"/>
      <c r="AG33" s="105"/>
      <c r="AH33" s="105"/>
      <c r="AI33" s="105"/>
      <c r="AJ33" s="105"/>
      <c r="AK33" s="105"/>
      <c r="AL33" s="105"/>
      <c r="AM33" s="105"/>
      <c r="AN33" s="105"/>
      <c r="AO33" s="105"/>
      <c r="AP33" s="105"/>
      <c r="AQ33" s="105"/>
      <c r="AR33" s="105"/>
    </row>
    <row r="34" spans="1:44" ht="44.25" customHeight="1" thickBot="1" x14ac:dyDescent="0.35">
      <c r="A34" s="105">
        <v>386</v>
      </c>
      <c r="B34" s="585" t="s">
        <v>56</v>
      </c>
      <c r="C34" s="585" t="s">
        <v>144</v>
      </c>
      <c r="D34" s="104" t="s">
        <v>1109</v>
      </c>
      <c r="E34" s="661" t="e">
        <f>HLOOKUP($D$2,'2020 Data(H)'!$C$1:$AI$426,145,FALSE)</f>
        <v>#N/A</v>
      </c>
      <c r="F34" s="287">
        <v>0</v>
      </c>
      <c r="G34" s="722">
        <f t="shared" si="0"/>
        <v>0</v>
      </c>
      <c r="H34" s="17"/>
      <c r="I34" s="77"/>
      <c r="L34" s="696"/>
      <c r="Z34" s="105"/>
      <c r="AA34" s="105"/>
      <c r="AB34" s="105"/>
      <c r="AC34" s="105"/>
      <c r="AD34" s="105"/>
      <c r="AE34" s="105"/>
      <c r="AF34" s="105"/>
      <c r="AG34" s="105"/>
      <c r="AH34" s="105"/>
      <c r="AI34" s="105"/>
      <c r="AJ34" s="105"/>
      <c r="AK34" s="105"/>
      <c r="AL34" s="105"/>
      <c r="AM34" s="105"/>
      <c r="AN34" s="105"/>
      <c r="AO34" s="105"/>
      <c r="AP34" s="105"/>
      <c r="AQ34" s="105"/>
      <c r="AR34" s="105"/>
    </row>
    <row r="35" spans="1:44" ht="48.75" customHeight="1" thickBot="1" x14ac:dyDescent="0.35">
      <c r="A35" s="105">
        <v>387</v>
      </c>
      <c r="B35" s="585" t="s">
        <v>60</v>
      </c>
      <c r="C35" s="585" t="s">
        <v>144</v>
      </c>
      <c r="D35" s="104" t="s">
        <v>1110</v>
      </c>
      <c r="E35" s="661" t="e">
        <f>HLOOKUP($D$2,'2020 Data(H)'!$C$1:$AI$426,146,FALSE)</f>
        <v>#N/A</v>
      </c>
      <c r="F35" s="287">
        <v>0</v>
      </c>
      <c r="G35" s="722">
        <f t="shared" si="0"/>
        <v>0</v>
      </c>
      <c r="H35" s="17"/>
      <c r="I35" s="77"/>
      <c r="L35" s="696"/>
      <c r="Z35" s="105"/>
      <c r="AA35" s="105"/>
      <c r="AB35" s="105"/>
      <c r="AC35" s="105"/>
      <c r="AD35" s="105"/>
      <c r="AE35" s="105"/>
      <c r="AF35" s="105"/>
      <c r="AG35" s="105"/>
      <c r="AH35" s="105"/>
      <c r="AI35" s="105"/>
      <c r="AJ35" s="105"/>
      <c r="AK35" s="105"/>
      <c r="AL35" s="105"/>
      <c r="AM35" s="105"/>
      <c r="AN35" s="105"/>
      <c r="AO35" s="105"/>
      <c r="AP35" s="105"/>
      <c r="AQ35" s="105"/>
      <c r="AR35" s="105"/>
    </row>
    <row r="36" spans="1:44" ht="92.25" customHeight="1" thickBot="1" x14ac:dyDescent="0.35">
      <c r="A36" s="105">
        <v>389</v>
      </c>
      <c r="B36" s="585" t="s">
        <v>60</v>
      </c>
      <c r="C36" s="585" t="s">
        <v>144</v>
      </c>
      <c r="D36" s="700" t="s">
        <v>1111</v>
      </c>
      <c r="E36" s="661" t="e">
        <f>HLOOKUP($D$2,'2020 Data(H)'!$C$1:$AI$426,148,FALSE)</f>
        <v>#N/A</v>
      </c>
      <c r="F36" s="287">
        <v>0</v>
      </c>
      <c r="G36" s="722"/>
      <c r="H36" s="17"/>
      <c r="I36" s="77"/>
      <c r="J36" s="567"/>
      <c r="L36" s="696"/>
      <c r="Z36" s="105"/>
      <c r="AA36" s="105"/>
      <c r="AB36" s="105"/>
      <c r="AC36" s="105"/>
      <c r="AD36" s="105"/>
      <c r="AE36" s="105"/>
      <c r="AF36" s="105"/>
      <c r="AG36" s="105"/>
      <c r="AH36" s="105"/>
      <c r="AI36" s="105"/>
      <c r="AJ36" s="105"/>
      <c r="AK36" s="105"/>
      <c r="AL36" s="105"/>
      <c r="AM36" s="105"/>
      <c r="AN36" s="105"/>
      <c r="AO36" s="105"/>
      <c r="AP36" s="105"/>
      <c r="AQ36" s="105"/>
      <c r="AR36" s="105"/>
    </row>
    <row r="37" spans="1:44" ht="84.75" customHeight="1" thickBot="1" x14ac:dyDescent="0.35">
      <c r="A37" s="105">
        <v>255</v>
      </c>
      <c r="B37" s="585" t="s">
        <v>56</v>
      </c>
      <c r="C37" s="585" t="s">
        <v>144</v>
      </c>
      <c r="D37" s="700" t="s">
        <v>1112</v>
      </c>
      <c r="E37" s="661" t="e">
        <f>HLOOKUP($D$2,'2020 Data(H)'!$C$1:$AI$426,81,FALSE)</f>
        <v>#N/A</v>
      </c>
      <c r="F37" s="287">
        <v>0</v>
      </c>
      <c r="G37" s="722">
        <f>IF(H37=0,,"Error: Total revenues less total expenses do not equal total change in net position. Account numbers 339+504+505+341+386-387+389-388-255 = 0  The amount the formula is off is located in the cell to the right")</f>
        <v>0</v>
      </c>
      <c r="H37" s="725">
        <f>F30+F31+F32+F33+F34-F35+F36-F29-F37</f>
        <v>0</v>
      </c>
      <c r="I37" s="77"/>
      <c r="J37" s="567"/>
      <c r="L37" s="696"/>
      <c r="Z37" s="105"/>
      <c r="AA37" s="105"/>
      <c r="AB37" s="105"/>
      <c r="AC37" s="105"/>
      <c r="AD37" s="105"/>
      <c r="AE37" s="105"/>
      <c r="AF37" s="105"/>
      <c r="AG37" s="105"/>
      <c r="AH37" s="105"/>
      <c r="AI37" s="105"/>
      <c r="AJ37" s="105"/>
      <c r="AK37" s="105"/>
      <c r="AL37" s="105"/>
      <c r="AM37" s="105"/>
      <c r="AN37" s="105"/>
      <c r="AO37" s="105"/>
      <c r="AP37" s="105"/>
      <c r="AQ37" s="105"/>
      <c r="AR37" s="105"/>
    </row>
    <row r="38" spans="1:44" ht="138" customHeight="1" thickBot="1" x14ac:dyDescent="0.35">
      <c r="A38" s="105">
        <v>376</v>
      </c>
      <c r="B38" s="585" t="s">
        <v>56</v>
      </c>
      <c r="C38" s="585" t="s">
        <v>144</v>
      </c>
      <c r="D38" s="700" t="s">
        <v>1113</v>
      </c>
      <c r="E38" s="661" t="e">
        <f>HLOOKUP($D$2,'2020 Data(H)'!$C$1:$AI$426,135,FALSE)</f>
        <v>#N/A</v>
      </c>
      <c r="F38" s="285">
        <v>0</v>
      </c>
      <c r="G38" s="888" t="e">
        <f>IF(H38=0,,"Error: Beginning Balance does not agree with our records.  Account numbers  252+253+254-255-376-(Prior Year 252+253+254)=0  The amount the formula is off is located in the cell to the right")</f>
        <v>#N/A</v>
      </c>
      <c r="H38" s="729" t="e">
        <f>F21+F22+F23-F37-F38-(E21+E22+E23)</f>
        <v>#N/A</v>
      </c>
      <c r="I38" s="1126" t="s">
        <v>1471</v>
      </c>
      <c r="J38" s="567"/>
      <c r="L38" s="696"/>
      <c r="Z38" s="105"/>
      <c r="AA38" s="105"/>
      <c r="AB38" s="105"/>
      <c r="AC38" s="105"/>
      <c r="AD38" s="105"/>
      <c r="AE38" s="105"/>
      <c r="AF38" s="105"/>
      <c r="AG38" s="105"/>
      <c r="AH38" s="105"/>
      <c r="AI38" s="105"/>
      <c r="AJ38" s="105"/>
      <c r="AK38" s="105"/>
      <c r="AL38" s="105"/>
      <c r="AM38" s="105"/>
      <c r="AN38" s="105"/>
      <c r="AO38" s="105"/>
      <c r="AP38" s="105"/>
      <c r="AQ38" s="105"/>
      <c r="AR38" s="105"/>
    </row>
    <row r="39" spans="1:44" s="18" customFormat="1" ht="141.75" hidden="1" customHeight="1" thickBot="1" x14ac:dyDescent="0.35">
      <c r="A39" s="105">
        <v>597</v>
      </c>
      <c r="B39" s="627" t="s">
        <v>348</v>
      </c>
      <c r="C39" s="627" t="s">
        <v>369</v>
      </c>
      <c r="D39" s="799" t="s">
        <v>1114</v>
      </c>
      <c r="E39" s="661" t="e">
        <f>HLOOKUP($D$2,'2020 Data(H)'!$C$1:$AI$426,256,FALSE)</f>
        <v>#N/A</v>
      </c>
      <c r="F39" s="285">
        <v>0</v>
      </c>
      <c r="G39" s="722">
        <f>IF(F39&lt;0,"Note: Number is normally positive.",)</f>
        <v>0</v>
      </c>
      <c r="H39" s="723"/>
      <c r="I39" s="724"/>
      <c r="J39" s="567"/>
      <c r="L39" s="696"/>
      <c r="N39" s="288"/>
      <c r="Z39" s="105"/>
      <c r="AA39" s="105"/>
      <c r="AB39" s="105"/>
      <c r="AC39" s="105"/>
      <c r="AD39" s="105"/>
      <c r="AE39" s="105"/>
      <c r="AF39" s="105"/>
      <c r="AG39" s="105"/>
      <c r="AH39" s="105"/>
      <c r="AI39" s="105"/>
      <c r="AJ39" s="105"/>
      <c r="AK39" s="105"/>
      <c r="AL39" s="105"/>
      <c r="AM39" s="105"/>
      <c r="AN39" s="105"/>
      <c r="AO39" s="105"/>
      <c r="AP39" s="105"/>
      <c r="AQ39" s="105"/>
      <c r="AR39" s="105"/>
    </row>
    <row r="40" spans="1:44" ht="25.5" customHeight="1" thickBot="1" x14ac:dyDescent="0.35">
      <c r="A40" s="105"/>
      <c r="B40" s="820" t="s">
        <v>347</v>
      </c>
      <c r="C40" s="821"/>
      <c r="D40" s="825"/>
      <c r="E40" s="826"/>
      <c r="F40" s="827"/>
      <c r="G40" s="828"/>
      <c r="H40" s="17"/>
      <c r="I40" s="77"/>
      <c r="L40" s="696"/>
      <c r="Z40" s="105"/>
      <c r="AA40" s="105"/>
      <c r="AB40" s="105"/>
      <c r="AC40" s="105"/>
      <c r="AD40" s="105"/>
      <c r="AE40" s="105"/>
      <c r="AF40" s="105"/>
      <c r="AG40" s="105"/>
      <c r="AH40" s="105"/>
      <c r="AI40" s="105"/>
      <c r="AJ40" s="105"/>
      <c r="AK40" s="105"/>
      <c r="AL40" s="105"/>
      <c r="AM40" s="105"/>
      <c r="AN40" s="105"/>
      <c r="AO40" s="105"/>
      <c r="AP40" s="105"/>
      <c r="AQ40" s="105"/>
      <c r="AR40" s="105"/>
    </row>
    <row r="41" spans="1:44" s="18" customFormat="1" ht="86.25" customHeight="1" thickBot="1" x14ac:dyDescent="0.35">
      <c r="A41" s="105">
        <v>592</v>
      </c>
      <c r="B41" s="627" t="s">
        <v>59</v>
      </c>
      <c r="C41" s="627" t="s">
        <v>349</v>
      </c>
      <c r="D41" s="700" t="s">
        <v>1115</v>
      </c>
      <c r="E41" s="661" t="e">
        <f>HLOOKUP($D$2,'2020 Data(H)'!$C$1:$AI$426,253,FALSE)</f>
        <v>#N/A</v>
      </c>
      <c r="F41" s="730">
        <v>0</v>
      </c>
      <c r="G41" s="722"/>
      <c r="H41" s="723"/>
      <c r="J41" s="567"/>
      <c r="L41" s="696"/>
      <c r="N41" s="288"/>
      <c r="Z41" s="105"/>
      <c r="AA41" s="105"/>
      <c r="AB41" s="105"/>
      <c r="AC41" s="105"/>
      <c r="AD41" s="105"/>
      <c r="AE41" s="105"/>
      <c r="AF41" s="105"/>
      <c r="AG41" s="105"/>
      <c r="AH41" s="105"/>
      <c r="AI41" s="105"/>
      <c r="AJ41" s="105"/>
      <c r="AK41" s="105"/>
      <c r="AL41" s="105"/>
      <c r="AM41" s="105"/>
      <c r="AN41" s="105"/>
      <c r="AO41" s="105"/>
      <c r="AP41" s="105"/>
      <c r="AQ41" s="105"/>
      <c r="AR41" s="105"/>
    </row>
    <row r="42" spans="1:44" s="18" customFormat="1" ht="71.25" customHeight="1" thickBot="1" x14ac:dyDescent="0.35">
      <c r="A42" s="105">
        <v>591</v>
      </c>
      <c r="B42" s="627" t="s">
        <v>59</v>
      </c>
      <c r="C42" s="627" t="s">
        <v>349</v>
      </c>
      <c r="D42" s="104" t="s">
        <v>350</v>
      </c>
      <c r="E42" s="661" t="e">
        <f>HLOOKUP($D$2,'2020 Data(H)'!$C$1:$AI$426,252,FALSE)</f>
        <v>#N/A</v>
      </c>
      <c r="F42" s="730">
        <v>0</v>
      </c>
      <c r="G42" s="722">
        <f>IF(F42&lt;0,"Error: Enter as positive.",)</f>
        <v>0</v>
      </c>
      <c r="H42" s="723"/>
      <c r="J42" s="567"/>
      <c r="L42" s="696"/>
      <c r="N42" s="288"/>
      <c r="Z42" s="105"/>
      <c r="AA42" s="105"/>
      <c r="AB42" s="105"/>
      <c r="AC42" s="105"/>
      <c r="AD42" s="105"/>
      <c r="AE42" s="105"/>
      <c r="AF42" s="105"/>
      <c r="AG42" s="105"/>
      <c r="AH42" s="105"/>
      <c r="AI42" s="105"/>
      <c r="AJ42" s="105"/>
      <c r="AK42" s="105"/>
      <c r="AL42" s="105"/>
      <c r="AM42" s="105"/>
      <c r="AN42" s="105"/>
      <c r="AO42" s="105"/>
      <c r="AP42" s="105"/>
      <c r="AQ42" s="105"/>
      <c r="AR42" s="105"/>
    </row>
    <row r="43" spans="1:44" s="18" customFormat="1" ht="71.25" hidden="1" customHeight="1" thickBot="1" x14ac:dyDescent="0.35">
      <c r="A43" s="105">
        <v>593</v>
      </c>
      <c r="B43" s="627" t="s">
        <v>59</v>
      </c>
      <c r="C43" s="800" t="s">
        <v>349</v>
      </c>
      <c r="D43" s="104" t="s">
        <v>1058</v>
      </c>
      <c r="E43" s="661" t="s">
        <v>1169</v>
      </c>
      <c r="F43" s="730">
        <v>0</v>
      </c>
      <c r="G43" s="722"/>
      <c r="H43" s="723"/>
      <c r="J43" s="567"/>
      <c r="L43" s="696"/>
      <c r="N43" s="288"/>
      <c r="Z43" s="105"/>
      <c r="AA43" s="105"/>
      <c r="AB43" s="105"/>
      <c r="AC43" s="105"/>
      <c r="AD43" s="105"/>
      <c r="AE43" s="105"/>
      <c r="AF43" s="105"/>
      <c r="AG43" s="105"/>
      <c r="AH43" s="105"/>
      <c r="AI43" s="105"/>
      <c r="AJ43" s="105"/>
      <c r="AK43" s="105"/>
      <c r="AL43" s="105"/>
      <c r="AM43" s="105"/>
      <c r="AN43" s="105"/>
      <c r="AO43" s="105"/>
      <c r="AP43" s="105"/>
      <c r="AQ43" s="105"/>
      <c r="AR43" s="105"/>
    </row>
    <row r="44" spans="1:44" s="18" customFormat="1" ht="71.25" hidden="1" customHeight="1" thickBot="1" x14ac:dyDescent="0.35">
      <c r="A44" s="105">
        <v>594</v>
      </c>
      <c r="B44" s="627" t="s">
        <v>59</v>
      </c>
      <c r="C44" s="800" t="s">
        <v>349</v>
      </c>
      <c r="D44" s="104" t="s">
        <v>1059</v>
      </c>
      <c r="E44" s="661" t="s">
        <v>1169</v>
      </c>
      <c r="F44" s="730">
        <v>0</v>
      </c>
      <c r="G44" s="722"/>
      <c r="H44" s="723"/>
      <c r="J44" s="567"/>
      <c r="L44" s="696"/>
      <c r="N44" s="288"/>
      <c r="Z44" s="105"/>
      <c r="AA44" s="105"/>
      <c r="AB44" s="105"/>
      <c r="AC44" s="105"/>
      <c r="AD44" s="105"/>
      <c r="AE44" s="105"/>
      <c r="AF44" s="105"/>
      <c r="AG44" s="105"/>
      <c r="AH44" s="105"/>
      <c r="AI44" s="105"/>
      <c r="AJ44" s="105"/>
      <c r="AK44" s="105"/>
      <c r="AL44" s="105"/>
      <c r="AM44" s="105"/>
      <c r="AN44" s="105"/>
      <c r="AO44" s="105"/>
      <c r="AP44" s="105"/>
      <c r="AQ44" s="105"/>
      <c r="AR44" s="105"/>
    </row>
    <row r="45" spans="1:44" s="18" customFormat="1" ht="27" hidden="1" customHeight="1" thickBot="1" x14ac:dyDescent="0.35">
      <c r="A45" s="105"/>
      <c r="B45" s="820" t="s">
        <v>1173</v>
      </c>
      <c r="C45" s="874"/>
      <c r="D45" s="875"/>
      <c r="E45" s="851"/>
      <c r="F45" s="827"/>
      <c r="G45" s="838"/>
      <c r="H45" s="723"/>
      <c r="J45" s="567"/>
      <c r="L45" s="696"/>
      <c r="N45" s="288"/>
      <c r="Z45" s="105"/>
      <c r="AA45" s="105"/>
      <c r="AB45" s="105"/>
      <c r="AC45" s="105"/>
      <c r="AD45" s="105"/>
      <c r="AE45" s="105"/>
      <c r="AF45" s="105"/>
      <c r="AG45" s="105"/>
      <c r="AH45" s="105"/>
      <c r="AI45" s="105"/>
      <c r="AJ45" s="105"/>
      <c r="AK45" s="105"/>
      <c r="AL45" s="105"/>
      <c r="AM45" s="105"/>
      <c r="AN45" s="105"/>
      <c r="AO45" s="105"/>
      <c r="AP45" s="105"/>
      <c r="AQ45" s="105"/>
      <c r="AR45" s="105"/>
    </row>
    <row r="46" spans="1:44" s="18" customFormat="1" ht="71.25" hidden="1" customHeight="1" thickBot="1" x14ac:dyDescent="0.35">
      <c r="A46" s="105">
        <v>558</v>
      </c>
      <c r="B46" s="627" t="s">
        <v>59</v>
      </c>
      <c r="C46" s="800" t="s">
        <v>1060</v>
      </c>
      <c r="D46" s="104" t="s">
        <v>1065</v>
      </c>
      <c r="E46" s="661" t="e">
        <f>HLOOKUP($D$2,'2020 Data(H)'!$C$1:$AI$426,208,FALSE)</f>
        <v>#N/A</v>
      </c>
      <c r="F46" s="730">
        <v>0</v>
      </c>
      <c r="G46" s="722"/>
      <c r="H46" s="723"/>
      <c r="J46" s="567"/>
      <c r="L46" s="696"/>
      <c r="N46" s="288"/>
      <c r="Z46" s="105"/>
      <c r="AA46" s="105"/>
      <c r="AB46" s="105"/>
      <c r="AC46" s="105"/>
      <c r="AD46" s="105"/>
      <c r="AE46" s="105"/>
      <c r="AF46" s="105"/>
      <c r="AG46" s="105"/>
      <c r="AH46" s="105"/>
      <c r="AI46" s="105"/>
      <c r="AJ46" s="105"/>
      <c r="AK46" s="105"/>
      <c r="AL46" s="105"/>
      <c r="AM46" s="105"/>
      <c r="AN46" s="105"/>
      <c r="AO46" s="105"/>
      <c r="AP46" s="105"/>
      <c r="AQ46" s="105"/>
      <c r="AR46" s="105"/>
    </row>
    <row r="47" spans="1:44" s="18" customFormat="1" ht="71.25" hidden="1" customHeight="1" thickBot="1" x14ac:dyDescent="0.35">
      <c r="A47" s="105">
        <v>559</v>
      </c>
      <c r="B47" s="627" t="s">
        <v>59</v>
      </c>
      <c r="C47" s="800" t="s">
        <v>1060</v>
      </c>
      <c r="D47" s="104" t="s">
        <v>146</v>
      </c>
      <c r="E47" s="661" t="e">
        <f>HLOOKUP($D$2,'2020 Data(H)'!$C$1:$AI$426,209,FALSE)</f>
        <v>#N/A</v>
      </c>
      <c r="F47" s="730">
        <v>0</v>
      </c>
      <c r="G47" s="722"/>
      <c r="H47" s="723"/>
      <c r="J47" s="567"/>
      <c r="L47" s="696"/>
      <c r="N47" s="288"/>
      <c r="Z47" s="105"/>
      <c r="AA47" s="105"/>
      <c r="AB47" s="105"/>
      <c r="AC47" s="105"/>
      <c r="AD47" s="105"/>
      <c r="AE47" s="105"/>
      <c r="AF47" s="105"/>
      <c r="AG47" s="105"/>
      <c r="AH47" s="105"/>
      <c r="AI47" s="105"/>
      <c r="AJ47" s="105"/>
      <c r="AK47" s="105"/>
      <c r="AL47" s="105"/>
      <c r="AM47" s="105"/>
      <c r="AN47" s="105"/>
      <c r="AO47" s="105"/>
      <c r="AP47" s="105"/>
      <c r="AQ47" s="105"/>
      <c r="AR47" s="105"/>
    </row>
    <row r="48" spans="1:44" s="18" customFormat="1" ht="108" hidden="1" customHeight="1" thickBot="1" x14ac:dyDescent="0.35">
      <c r="A48" s="105">
        <v>560</v>
      </c>
      <c r="B48" s="627" t="s">
        <v>59</v>
      </c>
      <c r="C48" s="800" t="s">
        <v>1060</v>
      </c>
      <c r="D48" s="700" t="s">
        <v>1062</v>
      </c>
      <c r="E48" s="661" t="e">
        <f>HLOOKUP($D$2,'2020 Data(H)'!$C$1:$AI$426,210,FALSE)</f>
        <v>#N/A</v>
      </c>
      <c r="F48" s="730">
        <v>0</v>
      </c>
      <c r="G48" s="722"/>
      <c r="H48" s="723"/>
      <c r="J48" s="567"/>
      <c r="L48" s="696"/>
      <c r="N48" s="288"/>
      <c r="Z48" s="105"/>
      <c r="AA48" s="105"/>
      <c r="AB48" s="105"/>
      <c r="AC48" s="105"/>
      <c r="AD48" s="105"/>
      <c r="AE48" s="105"/>
      <c r="AF48" s="105"/>
      <c r="AG48" s="105"/>
      <c r="AH48" s="105"/>
      <c r="AI48" s="105"/>
      <c r="AJ48" s="105"/>
      <c r="AK48" s="105"/>
      <c r="AL48" s="105"/>
      <c r="AM48" s="105"/>
      <c r="AN48" s="105"/>
      <c r="AO48" s="105"/>
      <c r="AP48" s="105"/>
      <c r="AQ48" s="105"/>
      <c r="AR48" s="105"/>
    </row>
    <row r="49" spans="1:44" s="18" customFormat="1" ht="71.25" hidden="1" customHeight="1" thickBot="1" x14ac:dyDescent="0.35">
      <c r="A49" s="105">
        <v>561</v>
      </c>
      <c r="B49" s="627" t="s">
        <v>59</v>
      </c>
      <c r="C49" s="800" t="s">
        <v>1060</v>
      </c>
      <c r="D49" s="700" t="s">
        <v>1063</v>
      </c>
      <c r="E49" s="661" t="e">
        <f>HLOOKUP($D$2,'2020 Data(H)'!$C$1:$AI$426,211,FALSE)</f>
        <v>#N/A</v>
      </c>
      <c r="F49" s="730">
        <v>0</v>
      </c>
      <c r="G49" s="722"/>
      <c r="H49" s="723"/>
      <c r="J49" s="567"/>
      <c r="L49" s="696"/>
      <c r="N49" s="288"/>
      <c r="Z49" s="105"/>
      <c r="AA49" s="105"/>
      <c r="AB49" s="105"/>
      <c r="AC49" s="105"/>
      <c r="AD49" s="105"/>
      <c r="AE49" s="105"/>
      <c r="AF49" s="105"/>
      <c r="AG49" s="105"/>
      <c r="AH49" s="105"/>
      <c r="AI49" s="105"/>
      <c r="AJ49" s="105"/>
      <c r="AK49" s="105"/>
      <c r="AL49" s="105"/>
      <c r="AM49" s="105"/>
      <c r="AN49" s="105"/>
      <c r="AO49" s="105"/>
      <c r="AP49" s="105"/>
      <c r="AQ49" s="105"/>
      <c r="AR49" s="105"/>
    </row>
    <row r="50" spans="1:44" s="18" customFormat="1" ht="122.25" hidden="1" customHeight="1" thickBot="1" x14ac:dyDescent="0.35">
      <c r="A50" s="105">
        <v>563</v>
      </c>
      <c r="B50" s="627" t="s">
        <v>59</v>
      </c>
      <c r="C50" s="800" t="s">
        <v>1060</v>
      </c>
      <c r="D50" s="700" t="s">
        <v>1061</v>
      </c>
      <c r="E50" s="661" t="e">
        <f>HLOOKUP($D$2,'2020 Data(H)'!$C$1:$AI$426,213,FALSE)</f>
        <v>#N/A</v>
      </c>
      <c r="F50" s="730">
        <v>0</v>
      </c>
      <c r="G50" s="722"/>
      <c r="H50" s="723"/>
      <c r="J50" s="567"/>
      <c r="L50" s="696"/>
      <c r="N50" s="288"/>
      <c r="Z50" s="105"/>
      <c r="AA50" s="105"/>
      <c r="AB50" s="105"/>
      <c r="AC50" s="105"/>
      <c r="AD50" s="105"/>
      <c r="AE50" s="105"/>
      <c r="AF50" s="105"/>
      <c r="AG50" s="105"/>
      <c r="AH50" s="105"/>
      <c r="AI50" s="105"/>
      <c r="AJ50" s="105"/>
      <c r="AK50" s="105"/>
      <c r="AL50" s="105"/>
      <c r="AM50" s="105"/>
      <c r="AN50" s="105"/>
      <c r="AO50" s="105"/>
      <c r="AP50" s="105"/>
      <c r="AQ50" s="105"/>
      <c r="AR50" s="105"/>
    </row>
    <row r="51" spans="1:44" s="18" customFormat="1" ht="96.75" hidden="1" customHeight="1" thickBot="1" x14ac:dyDescent="0.35">
      <c r="A51" s="105">
        <v>564</v>
      </c>
      <c r="B51" s="627" t="s">
        <v>59</v>
      </c>
      <c r="C51" s="800" t="s">
        <v>1067</v>
      </c>
      <c r="D51" s="700" t="s">
        <v>1064</v>
      </c>
      <c r="E51" s="661" t="e">
        <f>HLOOKUP($D$2,'2020 Data(H)'!$C$1:$AI$426,214,FALSE)</f>
        <v>#N/A</v>
      </c>
      <c r="F51" s="730">
        <v>0</v>
      </c>
      <c r="G51" s="722"/>
      <c r="H51" s="723"/>
      <c r="J51" s="567"/>
      <c r="L51" s="696"/>
      <c r="N51" s="288"/>
      <c r="Z51" s="105"/>
      <c r="AA51" s="105"/>
      <c r="AB51" s="105"/>
      <c r="AC51" s="105"/>
      <c r="AD51" s="105"/>
      <c r="AE51" s="105"/>
      <c r="AF51" s="105"/>
      <c r="AG51" s="105"/>
      <c r="AH51" s="105"/>
      <c r="AI51" s="105"/>
      <c r="AJ51" s="105"/>
      <c r="AK51" s="105"/>
      <c r="AL51" s="105"/>
      <c r="AM51" s="105"/>
      <c r="AN51" s="105"/>
      <c r="AO51" s="105"/>
      <c r="AP51" s="105"/>
      <c r="AQ51" s="105"/>
      <c r="AR51" s="105"/>
    </row>
    <row r="52" spans="1:44" s="18" customFormat="1" ht="93.75" hidden="1" customHeight="1" thickBot="1" x14ac:dyDescent="0.35">
      <c r="A52" s="105">
        <v>568</v>
      </c>
      <c r="B52" s="627" t="s">
        <v>59</v>
      </c>
      <c r="C52" s="800" t="s">
        <v>1067</v>
      </c>
      <c r="D52" s="700" t="s">
        <v>1066</v>
      </c>
      <c r="E52" s="661" t="e">
        <f>HLOOKUP($D$2,'2020 Data(H)'!$C$1:$AI$426,218,FALSE)</f>
        <v>#N/A</v>
      </c>
      <c r="F52" s="730">
        <v>0</v>
      </c>
      <c r="G52" s="722"/>
      <c r="H52" s="723"/>
      <c r="J52" s="567"/>
      <c r="L52" s="696"/>
      <c r="N52" s="288"/>
      <c r="Z52" s="105"/>
      <c r="AA52" s="105"/>
      <c r="AB52" s="105"/>
      <c r="AC52" s="105"/>
      <c r="AD52" s="105"/>
      <c r="AE52" s="105"/>
      <c r="AF52" s="105"/>
      <c r="AG52" s="105"/>
      <c r="AH52" s="105"/>
      <c r="AI52" s="105"/>
      <c r="AJ52" s="105"/>
      <c r="AK52" s="105"/>
      <c r="AL52" s="105"/>
      <c r="AM52" s="105"/>
      <c r="AN52" s="105"/>
      <c r="AO52" s="105"/>
      <c r="AP52" s="105"/>
      <c r="AQ52" s="105"/>
      <c r="AR52" s="105"/>
    </row>
    <row r="53" spans="1:44" s="18" customFormat="1" ht="100.5" hidden="1" customHeight="1" thickBot="1" x14ac:dyDescent="0.35">
      <c r="A53" s="105">
        <v>565</v>
      </c>
      <c r="B53" s="627" t="s">
        <v>59</v>
      </c>
      <c r="C53" s="800" t="s">
        <v>1067</v>
      </c>
      <c r="D53" s="700" t="s">
        <v>308</v>
      </c>
      <c r="E53" s="661" t="e">
        <f>HLOOKUP($D$2,'2020 Data(H)'!$C$1:$AI$426,215,FALSE)</f>
        <v>#N/A</v>
      </c>
      <c r="F53" s="730">
        <v>0</v>
      </c>
      <c r="G53" s="722"/>
      <c r="H53" s="723"/>
      <c r="J53" s="567"/>
      <c r="L53" s="696"/>
      <c r="N53" s="288"/>
      <c r="Z53" s="105"/>
      <c r="AA53" s="105"/>
      <c r="AB53" s="105"/>
      <c r="AC53" s="105"/>
      <c r="AD53" s="105"/>
      <c r="AE53" s="105"/>
      <c r="AF53" s="105"/>
      <c r="AG53" s="105"/>
      <c r="AH53" s="105"/>
      <c r="AI53" s="105"/>
      <c r="AJ53" s="105"/>
      <c r="AK53" s="105"/>
      <c r="AL53" s="105"/>
      <c r="AM53" s="105"/>
      <c r="AN53" s="105"/>
      <c r="AO53" s="105"/>
      <c r="AP53" s="105"/>
      <c r="AQ53" s="105"/>
      <c r="AR53" s="105"/>
    </row>
    <row r="54" spans="1:44" s="18" customFormat="1" ht="98.25" hidden="1" customHeight="1" thickBot="1" x14ac:dyDescent="0.35">
      <c r="A54" s="105">
        <v>566</v>
      </c>
      <c r="B54" s="627" t="s">
        <v>59</v>
      </c>
      <c r="C54" s="800" t="s">
        <v>1067</v>
      </c>
      <c r="D54" s="700" t="s">
        <v>310</v>
      </c>
      <c r="E54" s="661" t="e">
        <f>HLOOKUP($D$2,'2020 Data(H)'!$C$1:$AI$426,216,FALSE)</f>
        <v>#N/A</v>
      </c>
      <c r="F54" s="730">
        <v>0</v>
      </c>
      <c r="G54" s="722"/>
      <c r="H54" s="723"/>
      <c r="J54" s="567"/>
      <c r="L54" s="696"/>
      <c r="N54" s="288"/>
      <c r="Z54" s="105"/>
      <c r="AA54" s="105"/>
      <c r="AB54" s="105"/>
      <c r="AC54" s="105"/>
      <c r="AD54" s="105"/>
      <c r="AE54" s="105"/>
      <c r="AF54" s="105"/>
      <c r="AG54" s="105"/>
      <c r="AH54" s="105"/>
      <c r="AI54" s="105"/>
      <c r="AJ54" s="105"/>
      <c r="AK54" s="105"/>
      <c r="AL54" s="105"/>
      <c r="AM54" s="105"/>
      <c r="AN54" s="105"/>
      <c r="AO54" s="105"/>
      <c r="AP54" s="105"/>
      <c r="AQ54" s="105"/>
      <c r="AR54" s="105"/>
    </row>
    <row r="55" spans="1:44" s="18" customFormat="1" ht="111" hidden="1" customHeight="1" thickBot="1" x14ac:dyDescent="0.35">
      <c r="A55" s="105">
        <v>567</v>
      </c>
      <c r="B55" s="627" t="s">
        <v>59</v>
      </c>
      <c r="C55" s="800" t="s">
        <v>1067</v>
      </c>
      <c r="D55" s="700" t="s">
        <v>1059</v>
      </c>
      <c r="E55" s="661" t="e">
        <f>HLOOKUP($D$2,'2020 Data(H)'!$C$1:$AI$426,217,FALSE)</f>
        <v>#N/A</v>
      </c>
      <c r="F55" s="730">
        <v>0</v>
      </c>
      <c r="G55" s="722"/>
      <c r="H55" s="723"/>
      <c r="J55" s="567"/>
      <c r="L55" s="696"/>
      <c r="N55" s="288"/>
      <c r="Z55" s="105"/>
      <c r="AA55" s="105"/>
      <c r="AB55" s="105"/>
      <c r="AC55" s="105"/>
      <c r="AD55" s="105"/>
      <c r="AE55" s="105"/>
      <c r="AF55" s="105"/>
      <c r="AG55" s="105"/>
      <c r="AH55" s="105"/>
      <c r="AI55" s="105"/>
      <c r="AJ55" s="105"/>
      <c r="AK55" s="105"/>
      <c r="AL55" s="105"/>
      <c r="AM55" s="105"/>
      <c r="AN55" s="105"/>
      <c r="AO55" s="105"/>
      <c r="AP55" s="105"/>
      <c r="AQ55" s="105"/>
      <c r="AR55" s="105"/>
    </row>
    <row r="56" spans="1:44" s="18" customFormat="1" ht="71.25" hidden="1" customHeight="1" thickBot="1" x14ac:dyDescent="0.35">
      <c r="A56" s="105">
        <v>562</v>
      </c>
      <c r="B56" s="627" t="s">
        <v>59</v>
      </c>
      <c r="C56" s="800" t="s">
        <v>13</v>
      </c>
      <c r="D56" s="121" t="s">
        <v>1068</v>
      </c>
      <c r="E56" s="661" t="e">
        <f>HLOOKUP($D$2,'2020 Data(H)'!$C$1:$AI$426,212,FALSE)</f>
        <v>#N/A</v>
      </c>
      <c r="F56" s="730">
        <v>0</v>
      </c>
      <c r="G56" s="722"/>
      <c r="H56" s="723"/>
      <c r="J56" s="567"/>
      <c r="L56" s="696"/>
      <c r="N56" s="288"/>
      <c r="Z56" s="105"/>
      <c r="AA56" s="105"/>
      <c r="AB56" s="105"/>
      <c r="AC56" s="105"/>
      <c r="AD56" s="105"/>
      <c r="AE56" s="105"/>
      <c r="AF56" s="105"/>
      <c r="AG56" s="105"/>
      <c r="AH56" s="105"/>
      <c r="AI56" s="105"/>
      <c r="AJ56" s="105"/>
      <c r="AK56" s="105"/>
      <c r="AL56" s="105"/>
      <c r="AM56" s="105"/>
      <c r="AN56" s="105"/>
      <c r="AO56" s="105"/>
      <c r="AP56" s="105"/>
      <c r="AQ56" s="105"/>
      <c r="AR56" s="105"/>
    </row>
    <row r="57" spans="1:44" s="18" customFormat="1" ht="71.25" hidden="1" customHeight="1" thickBot="1" x14ac:dyDescent="0.35">
      <c r="A57" s="105">
        <v>569</v>
      </c>
      <c r="B57" s="627" t="s">
        <v>59</v>
      </c>
      <c r="C57" s="800" t="s">
        <v>13</v>
      </c>
      <c r="D57" s="700" t="s">
        <v>1069</v>
      </c>
      <c r="E57" s="661" t="e">
        <f>HLOOKUP($D$2,'2020 Data(H)'!$C$1:$AI$426,219,FALSE)</f>
        <v>#N/A</v>
      </c>
      <c r="F57" s="730">
        <v>0</v>
      </c>
      <c r="G57" s="722"/>
      <c r="H57" s="723"/>
      <c r="J57" s="567"/>
      <c r="L57" s="696"/>
      <c r="N57" s="288"/>
      <c r="Z57" s="105"/>
      <c r="AA57" s="105"/>
      <c r="AB57" s="105"/>
      <c r="AC57" s="105"/>
      <c r="AD57" s="105"/>
      <c r="AE57" s="105"/>
      <c r="AF57" s="105"/>
      <c r="AG57" s="105"/>
      <c r="AH57" s="105"/>
      <c r="AI57" s="105"/>
      <c r="AJ57" s="105"/>
      <c r="AK57" s="105"/>
      <c r="AL57" s="105"/>
      <c r="AM57" s="105"/>
      <c r="AN57" s="105"/>
      <c r="AO57" s="105"/>
      <c r="AP57" s="105"/>
      <c r="AQ57" s="105"/>
      <c r="AR57" s="105"/>
    </row>
    <row r="58" spans="1:44" ht="27" customHeight="1" thickBot="1" x14ac:dyDescent="0.35">
      <c r="A58" s="105"/>
      <c r="B58" s="820" t="s">
        <v>145</v>
      </c>
      <c r="C58" s="821"/>
      <c r="D58" s="829"/>
      <c r="E58" s="826"/>
      <c r="F58" s="830"/>
      <c r="G58" s="831"/>
      <c r="H58" s="17"/>
      <c r="I58" s="77"/>
      <c r="L58" s="696"/>
      <c r="Z58" s="105"/>
      <c r="AA58" s="105"/>
      <c r="AB58" s="105"/>
      <c r="AC58" s="105"/>
      <c r="AD58" s="105"/>
      <c r="AE58" s="105"/>
      <c r="AF58" s="105"/>
      <c r="AG58" s="105"/>
      <c r="AH58" s="105"/>
      <c r="AI58" s="105"/>
      <c r="AJ58" s="105"/>
      <c r="AK58" s="105"/>
      <c r="AL58" s="105"/>
      <c r="AM58" s="105"/>
      <c r="AN58" s="105"/>
      <c r="AO58" s="105"/>
      <c r="AP58" s="105"/>
      <c r="AQ58" s="105"/>
      <c r="AR58" s="105"/>
    </row>
    <row r="59" spans="1:44" s="18" customFormat="1" ht="55.5" customHeight="1" thickBot="1" x14ac:dyDescent="0.35">
      <c r="A59" s="105">
        <v>506</v>
      </c>
      <c r="B59" s="801" t="s">
        <v>55</v>
      </c>
      <c r="C59" s="801" t="s">
        <v>149</v>
      </c>
      <c r="D59" s="104" t="s">
        <v>1116</v>
      </c>
      <c r="E59" s="904" t="e">
        <f>HLOOKUP($D$2,'2020 Data(H)'!$C$1:$AI$426,156,FALSE)</f>
        <v>#N/A</v>
      </c>
      <c r="F59" s="287">
        <v>0</v>
      </c>
      <c r="G59" s="722">
        <f>IF(F59&lt;0,"Note: Number is normally positive.",)</f>
        <v>0</v>
      </c>
      <c r="H59" s="723"/>
      <c r="I59" s="77"/>
      <c r="J59" s="567"/>
      <c r="L59" s="696"/>
      <c r="N59" s="288"/>
      <c r="Z59" s="105"/>
      <c r="AA59" s="105"/>
      <c r="AB59" s="105"/>
      <c r="AC59" s="105"/>
      <c r="AD59" s="105"/>
      <c r="AE59" s="105"/>
      <c r="AF59" s="105"/>
      <c r="AG59" s="105"/>
      <c r="AH59" s="105"/>
      <c r="AI59" s="105"/>
      <c r="AJ59" s="105"/>
      <c r="AK59" s="105"/>
      <c r="AL59" s="105"/>
      <c r="AM59" s="105"/>
      <c r="AN59" s="105"/>
      <c r="AO59" s="105"/>
      <c r="AP59" s="105"/>
      <c r="AQ59" s="105"/>
      <c r="AR59" s="105"/>
    </row>
    <row r="60" spans="1:44" s="18" customFormat="1" ht="45.75" customHeight="1" thickBot="1" x14ac:dyDescent="0.35">
      <c r="A60" s="105">
        <v>536</v>
      </c>
      <c r="B60" s="801" t="s">
        <v>55</v>
      </c>
      <c r="C60" s="801" t="s">
        <v>149</v>
      </c>
      <c r="D60" s="104" t="s">
        <v>146</v>
      </c>
      <c r="E60" s="661" t="e">
        <f>HLOOKUP($D$2,'2020 Data(H)'!$C$1:$AI$426,186,FALSE)</f>
        <v>#N/A</v>
      </c>
      <c r="F60" s="287">
        <v>0</v>
      </c>
      <c r="G60" s="722">
        <f>IF(F60&lt;0,"Note: Number is normally positive.",)</f>
        <v>0</v>
      </c>
      <c r="H60" s="723"/>
      <c r="I60" s="724"/>
      <c r="J60" s="567"/>
      <c r="L60" s="696"/>
      <c r="N60" s="288"/>
      <c r="Z60" s="105"/>
      <c r="AA60" s="105"/>
      <c r="AB60" s="105"/>
      <c r="AC60" s="105"/>
      <c r="AD60" s="105"/>
      <c r="AE60" s="105"/>
      <c r="AF60" s="105"/>
      <c r="AG60" s="105"/>
      <c r="AH60" s="105"/>
      <c r="AI60" s="105"/>
      <c r="AJ60" s="105"/>
      <c r="AK60" s="105"/>
      <c r="AL60" s="105"/>
      <c r="AM60" s="105"/>
      <c r="AN60" s="105"/>
      <c r="AO60" s="105"/>
      <c r="AP60" s="105"/>
      <c r="AQ60" s="105"/>
      <c r="AR60" s="105"/>
    </row>
    <row r="61" spans="1:44" s="18" customFormat="1" ht="51.75" customHeight="1" thickBot="1" x14ac:dyDescent="0.35">
      <c r="A61" s="105">
        <v>586</v>
      </c>
      <c r="B61" s="801" t="s">
        <v>59</v>
      </c>
      <c r="C61" s="801" t="s">
        <v>149</v>
      </c>
      <c r="D61" s="672" t="s">
        <v>334</v>
      </c>
      <c r="E61" s="661" t="e">
        <f>HLOOKUP($D$2,'2020 Data(H)'!$C$1:$AI$426,236,FALSE)</f>
        <v>#N/A</v>
      </c>
      <c r="F61" s="287">
        <v>0</v>
      </c>
      <c r="G61" s="722">
        <f>IF(F61&lt;0,"Note: Number is normally positive.",)</f>
        <v>0</v>
      </c>
      <c r="H61" s="723"/>
      <c r="I61" s="724"/>
      <c r="L61" s="696"/>
      <c r="N61" s="288"/>
      <c r="Z61" s="105"/>
      <c r="AA61" s="105"/>
      <c r="AB61" s="105"/>
      <c r="AC61" s="105"/>
      <c r="AD61" s="105"/>
      <c r="AE61" s="105"/>
      <c r="AF61" s="105"/>
      <c r="AG61" s="105"/>
      <c r="AH61" s="105"/>
      <c r="AI61" s="105"/>
      <c r="AJ61" s="105"/>
      <c r="AK61" s="105"/>
      <c r="AL61" s="105"/>
      <c r="AM61" s="105"/>
      <c r="AN61" s="105"/>
      <c r="AO61" s="105"/>
      <c r="AP61" s="105"/>
      <c r="AQ61" s="105"/>
      <c r="AR61" s="105"/>
    </row>
    <row r="62" spans="1:44" ht="37.5" customHeight="1" thickBot="1" x14ac:dyDescent="0.35">
      <c r="A62" s="105">
        <v>379</v>
      </c>
      <c r="B62" s="801" t="s">
        <v>60</v>
      </c>
      <c r="C62" s="801" t="s">
        <v>149</v>
      </c>
      <c r="D62" s="104" t="s">
        <v>130</v>
      </c>
      <c r="E62" s="661" t="e">
        <f>HLOOKUP($D$2,'2020 Data(H)'!$C$1:$AI$426,138,FALSE)</f>
        <v>#N/A</v>
      </c>
      <c r="F62" s="287">
        <v>0</v>
      </c>
      <c r="G62" s="722">
        <f>IF((F59+F60)&gt;F62,"Error: Please review account numbers (506+536)&gt;379",)</f>
        <v>0</v>
      </c>
      <c r="H62" s="17"/>
      <c r="I62" s="77"/>
      <c r="J62" s="567"/>
      <c r="L62" s="696"/>
      <c r="Z62" s="105"/>
      <c r="AA62" s="105"/>
      <c r="AB62" s="105"/>
      <c r="AC62" s="105"/>
      <c r="AD62" s="105"/>
      <c r="AE62" s="105"/>
      <c r="AF62" s="105"/>
      <c r="AG62" s="105"/>
      <c r="AH62" s="105"/>
      <c r="AI62" s="105"/>
      <c r="AJ62" s="105"/>
      <c r="AK62" s="105"/>
      <c r="AL62" s="105"/>
      <c r="AM62" s="105"/>
      <c r="AN62" s="105"/>
      <c r="AO62" s="105"/>
      <c r="AP62" s="105"/>
      <c r="AQ62" s="105"/>
      <c r="AR62" s="105"/>
    </row>
    <row r="63" spans="1:44" ht="93" hidden="1" customHeight="1" thickBot="1" x14ac:dyDescent="0.35">
      <c r="A63" s="105">
        <v>368</v>
      </c>
      <c r="B63" s="801" t="s">
        <v>69</v>
      </c>
      <c r="C63" s="801" t="s">
        <v>149</v>
      </c>
      <c r="D63" s="700" t="s">
        <v>1117</v>
      </c>
      <c r="E63" s="661" t="e">
        <f>HLOOKUP($D$2,'2020 Data(H)'!$C$1:$AI$426,129,FALSE)</f>
        <v>#N/A</v>
      </c>
      <c r="F63" s="287">
        <v>0</v>
      </c>
      <c r="G63" s="722">
        <f t="shared" ref="G63:G69" si="1">IF(F63&lt;0,"Error: Enter as positive.",)</f>
        <v>0</v>
      </c>
      <c r="H63" s="17"/>
      <c r="I63" s="723"/>
      <c r="J63" s="567"/>
      <c r="L63" s="696"/>
      <c r="Z63" s="105"/>
      <c r="AA63" s="105"/>
      <c r="AB63" s="105"/>
      <c r="AC63" s="105"/>
      <c r="AD63" s="105"/>
      <c r="AE63" s="105"/>
      <c r="AF63" s="105"/>
      <c r="AG63" s="105"/>
      <c r="AH63" s="105"/>
      <c r="AI63" s="105"/>
      <c r="AJ63" s="105"/>
      <c r="AK63" s="105"/>
      <c r="AL63" s="105"/>
      <c r="AM63" s="105"/>
      <c r="AN63" s="105"/>
      <c r="AO63" s="105"/>
      <c r="AP63" s="105"/>
      <c r="AQ63" s="105"/>
      <c r="AR63" s="105"/>
    </row>
    <row r="64" spans="1:44" ht="99.75" customHeight="1" thickBot="1" x14ac:dyDescent="0.35">
      <c r="A64" s="105">
        <v>4</v>
      </c>
      <c r="B64" s="801" t="s">
        <v>55</v>
      </c>
      <c r="C64" s="801" t="s">
        <v>149</v>
      </c>
      <c r="D64" s="299" t="s">
        <v>1118</v>
      </c>
      <c r="E64" s="661" t="e">
        <f>HLOOKUP($D$2,'2020 Data(H)'!$C$1:$AI$426,3,FALSE)</f>
        <v>#N/A</v>
      </c>
      <c r="F64" s="287">
        <v>0</v>
      </c>
      <c r="G64" s="722">
        <f t="shared" si="1"/>
        <v>0</v>
      </c>
      <c r="H64" s="17"/>
      <c r="I64" s="77"/>
      <c r="J64" s="567"/>
      <c r="L64" s="696"/>
      <c r="Z64" s="105"/>
      <c r="AA64" s="105"/>
      <c r="AB64" s="105"/>
      <c r="AC64" s="105"/>
      <c r="AD64" s="105"/>
      <c r="AE64" s="105"/>
      <c r="AF64" s="105"/>
      <c r="AG64" s="105"/>
      <c r="AH64" s="105"/>
      <c r="AI64" s="105"/>
      <c r="AJ64" s="105"/>
      <c r="AK64" s="105"/>
      <c r="AL64" s="105"/>
      <c r="AM64" s="105"/>
      <c r="AN64" s="105"/>
      <c r="AO64" s="105"/>
      <c r="AP64" s="105"/>
      <c r="AQ64" s="105"/>
      <c r="AR64" s="105"/>
    </row>
    <row r="65" spans="1:44" ht="132" customHeight="1" thickBot="1" x14ac:dyDescent="0.35">
      <c r="A65" s="105">
        <v>5</v>
      </c>
      <c r="B65" s="801" t="s">
        <v>55</v>
      </c>
      <c r="C65" s="801" t="s">
        <v>149</v>
      </c>
      <c r="D65" s="327" t="s">
        <v>1119</v>
      </c>
      <c r="E65" s="661" t="e">
        <f>HLOOKUP($D$2,'2020 Data(H)'!$C$1:$AI$426,4,FALSE)</f>
        <v>#N/A</v>
      </c>
      <c r="F65" s="287">
        <v>0</v>
      </c>
      <c r="G65" s="722">
        <f t="shared" si="1"/>
        <v>0</v>
      </c>
      <c r="H65" s="17"/>
      <c r="I65" s="77"/>
      <c r="J65" s="567"/>
      <c r="L65" s="696"/>
      <c r="Z65" s="105"/>
      <c r="AA65" s="105"/>
      <c r="AB65" s="105"/>
      <c r="AC65" s="105"/>
      <c r="AD65" s="105"/>
      <c r="AE65" s="105"/>
      <c r="AF65" s="105"/>
      <c r="AG65" s="105"/>
      <c r="AH65" s="105"/>
      <c r="AI65" s="105"/>
      <c r="AJ65" s="105"/>
      <c r="AK65" s="105"/>
      <c r="AL65" s="105"/>
      <c r="AM65" s="105"/>
      <c r="AN65" s="105"/>
      <c r="AO65" s="105"/>
      <c r="AP65" s="105"/>
      <c r="AQ65" s="105"/>
      <c r="AR65" s="105"/>
    </row>
    <row r="66" spans="1:44" ht="93.75" customHeight="1" thickBot="1" x14ac:dyDescent="0.35">
      <c r="A66" s="105">
        <v>380</v>
      </c>
      <c r="B66" s="801" t="s">
        <v>60</v>
      </c>
      <c r="C66" s="801" t="s">
        <v>149</v>
      </c>
      <c r="D66" s="327" t="s">
        <v>1120</v>
      </c>
      <c r="E66" s="661" t="e">
        <f>HLOOKUP($D$2,'2020 Data(H)'!$C$1:$AI$426,139,FALSE)</f>
        <v>#N/A</v>
      </c>
      <c r="F66" s="287">
        <v>0</v>
      </c>
      <c r="G66" s="722">
        <f t="shared" si="1"/>
        <v>0</v>
      </c>
      <c r="H66" s="17"/>
      <c r="I66" s="77"/>
      <c r="J66" s="567"/>
      <c r="L66" s="696"/>
      <c r="Z66" s="105"/>
      <c r="AA66" s="105"/>
      <c r="AB66" s="105"/>
      <c r="AC66" s="105"/>
      <c r="AD66" s="105"/>
      <c r="AE66" s="105"/>
      <c r="AF66" s="105"/>
      <c r="AG66" s="105"/>
      <c r="AH66" s="105"/>
      <c r="AI66" s="105"/>
      <c r="AJ66" s="105"/>
      <c r="AK66" s="105"/>
      <c r="AL66" s="105"/>
      <c r="AM66" s="105"/>
      <c r="AN66" s="105"/>
      <c r="AO66" s="105"/>
      <c r="AP66" s="105"/>
      <c r="AQ66" s="105"/>
      <c r="AR66" s="105"/>
    </row>
    <row r="67" spans="1:44" ht="48.75" customHeight="1" thickBot="1" x14ac:dyDescent="0.35">
      <c r="A67" s="105">
        <v>391</v>
      </c>
      <c r="B67" s="801" t="s">
        <v>69</v>
      </c>
      <c r="C67" s="801" t="s">
        <v>149</v>
      </c>
      <c r="D67" s="104" t="s">
        <v>147</v>
      </c>
      <c r="E67" s="661" t="e">
        <f>HLOOKUP($D$2,'2020 Data(H)'!$C$1:$AI$426,149,FALSE)</f>
        <v>#N/A</v>
      </c>
      <c r="F67" s="287">
        <v>0</v>
      </c>
      <c r="G67" s="722">
        <f t="shared" si="1"/>
        <v>0</v>
      </c>
      <c r="H67" s="17"/>
      <c r="I67" s="77"/>
      <c r="J67" s="567"/>
      <c r="L67" s="696"/>
      <c r="Z67" s="105"/>
      <c r="AA67" s="105"/>
      <c r="AB67" s="105"/>
      <c r="AC67" s="105"/>
      <c r="AD67" s="105"/>
      <c r="AE67" s="105"/>
      <c r="AF67" s="105"/>
      <c r="AG67" s="105"/>
      <c r="AH67" s="105"/>
      <c r="AI67" s="105"/>
      <c r="AJ67" s="105"/>
      <c r="AK67" s="105"/>
      <c r="AL67" s="105"/>
      <c r="AM67" s="105"/>
      <c r="AN67" s="105"/>
      <c r="AO67" s="105"/>
      <c r="AP67" s="105"/>
      <c r="AQ67" s="105"/>
      <c r="AR67" s="105"/>
    </row>
    <row r="68" spans="1:44" ht="51.75" customHeight="1" thickBot="1" x14ac:dyDescent="0.35">
      <c r="A68" s="105">
        <v>7</v>
      </c>
      <c r="B68" s="801" t="s">
        <v>69</v>
      </c>
      <c r="C68" s="801" t="s">
        <v>149</v>
      </c>
      <c r="D68" s="104" t="s">
        <v>148</v>
      </c>
      <c r="E68" s="661" t="e">
        <f>HLOOKUP($D$2,'2020 Data(H)'!$C$1:$AI$426,6,FALSE)</f>
        <v>#N/A</v>
      </c>
      <c r="F68" s="287">
        <v>0</v>
      </c>
      <c r="G68" s="722">
        <f t="shared" si="1"/>
        <v>0</v>
      </c>
      <c r="H68" s="17"/>
      <c r="I68" s="77"/>
      <c r="J68" s="567"/>
      <c r="L68" s="696"/>
      <c r="Z68" s="105"/>
      <c r="AA68" s="105"/>
      <c r="AB68" s="105"/>
      <c r="AC68" s="105"/>
      <c r="AD68" s="105"/>
      <c r="AE68" s="105"/>
      <c r="AF68" s="105"/>
      <c r="AG68" s="105"/>
      <c r="AH68" s="105"/>
      <c r="AI68" s="105"/>
      <c r="AJ68" s="105"/>
      <c r="AK68" s="105"/>
      <c r="AL68" s="105"/>
      <c r="AM68" s="105"/>
      <c r="AN68" s="105"/>
      <c r="AO68" s="105"/>
      <c r="AP68" s="105"/>
      <c r="AQ68" s="105"/>
      <c r="AR68" s="105"/>
    </row>
    <row r="69" spans="1:44" ht="78.75" hidden="1" customHeight="1" thickBot="1" x14ac:dyDescent="0.35">
      <c r="A69" s="105">
        <v>11</v>
      </c>
      <c r="B69" s="801" t="s">
        <v>69</v>
      </c>
      <c r="C69" s="801" t="s">
        <v>149</v>
      </c>
      <c r="D69" s="700" t="s">
        <v>1121</v>
      </c>
      <c r="E69" s="661" t="e">
        <f>HLOOKUP($D$2,'2020 Data(H)'!$C$1:$AI$426,8,FALSE)</f>
        <v>#N/A</v>
      </c>
      <c r="F69" s="287">
        <v>0</v>
      </c>
      <c r="G69" s="722">
        <f t="shared" si="1"/>
        <v>0</v>
      </c>
      <c r="H69" s="17"/>
      <c r="I69" s="77"/>
      <c r="J69" s="567"/>
      <c r="L69" s="696"/>
      <c r="Z69" s="105"/>
      <c r="AA69" s="105"/>
      <c r="AB69" s="105"/>
      <c r="AC69" s="105"/>
      <c r="AD69" s="105"/>
      <c r="AE69" s="105"/>
      <c r="AF69" s="105"/>
      <c r="AG69" s="105"/>
      <c r="AH69" s="105"/>
      <c r="AI69" s="105"/>
      <c r="AJ69" s="105"/>
      <c r="AK69" s="105"/>
      <c r="AL69" s="105"/>
      <c r="AM69" s="105"/>
      <c r="AN69" s="105"/>
      <c r="AO69" s="105"/>
      <c r="AP69" s="105"/>
      <c r="AQ69" s="105"/>
      <c r="AR69" s="105"/>
    </row>
    <row r="70" spans="1:44" ht="78.75" customHeight="1" thickBot="1" x14ac:dyDescent="0.35">
      <c r="A70" s="300">
        <v>645</v>
      </c>
      <c r="B70" s="798" t="s">
        <v>409</v>
      </c>
      <c r="C70" s="798" t="s">
        <v>149</v>
      </c>
      <c r="D70" s="695" t="s">
        <v>441</v>
      </c>
      <c r="E70" s="661" t="e">
        <f>HLOOKUP($D$2,'2020 Data(H)'!$C$1:$AI$426,304,FALSE)</f>
        <v>#N/A</v>
      </c>
      <c r="F70" s="287">
        <v>0</v>
      </c>
      <c r="G70" s="722">
        <f>IF(F70&lt;0,"Note: Number is normally positive.",)</f>
        <v>0</v>
      </c>
      <c r="H70" s="723"/>
      <c r="I70" s="724"/>
      <c r="J70" s="567"/>
      <c r="L70" s="696"/>
      <c r="Z70" s="300"/>
      <c r="AA70" s="300"/>
      <c r="AB70" s="300"/>
      <c r="AC70" s="300"/>
      <c r="AD70" s="300"/>
      <c r="AE70" s="300"/>
      <c r="AF70" s="300"/>
      <c r="AG70" s="300"/>
      <c r="AH70" s="300"/>
      <c r="AI70" s="300"/>
      <c r="AJ70" s="300"/>
      <c r="AK70" s="300"/>
      <c r="AL70" s="300"/>
      <c r="AM70" s="300"/>
      <c r="AN70" s="300"/>
      <c r="AO70" s="300"/>
      <c r="AP70" s="300"/>
      <c r="AQ70" s="300"/>
      <c r="AR70" s="300"/>
    </row>
    <row r="71" spans="1:44" ht="78.75" customHeight="1" thickBot="1" x14ac:dyDescent="0.35">
      <c r="A71" s="300">
        <v>646</v>
      </c>
      <c r="B71" s="798" t="s">
        <v>409</v>
      </c>
      <c r="C71" s="798" t="s">
        <v>149</v>
      </c>
      <c r="D71" s="299" t="s">
        <v>410</v>
      </c>
      <c r="E71" s="661" t="e">
        <f>HLOOKUP($D$2,'2020 Data(H)'!$C$1:$AI$426,305,FALSE)</f>
        <v>#N/A</v>
      </c>
      <c r="F71" s="287">
        <v>0</v>
      </c>
      <c r="G71" s="722">
        <f>IF(F71&lt;0,"Note: Number is normally positive.",)</f>
        <v>0</v>
      </c>
      <c r="H71" s="723"/>
      <c r="I71" s="724"/>
      <c r="J71" s="567"/>
      <c r="L71" s="696"/>
      <c r="Z71" s="300"/>
      <c r="AA71" s="300"/>
      <c r="AB71" s="300"/>
      <c r="AC71" s="300"/>
      <c r="AD71" s="300"/>
      <c r="AE71" s="300"/>
      <c r="AF71" s="300"/>
      <c r="AG71" s="300"/>
      <c r="AH71" s="300"/>
      <c r="AI71" s="300"/>
      <c r="AJ71" s="300"/>
      <c r="AK71" s="300"/>
      <c r="AL71" s="300"/>
      <c r="AM71" s="300"/>
      <c r="AN71" s="300"/>
      <c r="AO71" s="300"/>
      <c r="AP71" s="300"/>
      <c r="AQ71" s="300"/>
      <c r="AR71" s="300"/>
    </row>
    <row r="72" spans="1:44" ht="57.75" customHeight="1" thickBot="1" x14ac:dyDescent="0.35">
      <c r="A72" s="105">
        <v>9</v>
      </c>
      <c r="B72" s="801" t="s">
        <v>60</v>
      </c>
      <c r="C72" s="801" t="s">
        <v>149</v>
      </c>
      <c r="D72" s="700" t="s">
        <v>1122</v>
      </c>
      <c r="E72" s="661" t="e">
        <f>HLOOKUP($D$2,'2020 Data(H)'!$C$1:$AI$426,7,FALSE)</f>
        <v>#N/A</v>
      </c>
      <c r="F72" s="287">
        <v>0</v>
      </c>
      <c r="G72" s="722">
        <f>IF(F62-F64-F65-F66-F72=0,,"Error: Total assets less total liabilities do not equal total fund balance. Account numbers 379-4-5-380-9= 0  The amount of the formula is in the cell to the right")</f>
        <v>0</v>
      </c>
      <c r="H72" s="725">
        <f>F62-F64-F65-F66-F72</f>
        <v>0</v>
      </c>
      <c r="I72" s="77"/>
      <c r="J72" s="567"/>
      <c r="L72" s="696"/>
      <c r="Z72" s="105"/>
      <c r="AA72" s="105"/>
      <c r="AB72" s="105"/>
      <c r="AC72" s="105"/>
      <c r="AD72" s="105"/>
      <c r="AE72" s="105"/>
      <c r="AF72" s="105"/>
      <c r="AG72" s="105"/>
      <c r="AH72" s="105"/>
      <c r="AI72" s="105"/>
      <c r="AJ72" s="105"/>
      <c r="AK72" s="105"/>
      <c r="AL72" s="105"/>
      <c r="AM72" s="105"/>
      <c r="AN72" s="105"/>
      <c r="AO72" s="105"/>
      <c r="AP72" s="105"/>
      <c r="AQ72" s="105"/>
      <c r="AR72" s="105"/>
    </row>
    <row r="73" spans="1:44" s="18" customFormat="1" ht="63.75" hidden="1" customHeight="1" thickBot="1" x14ac:dyDescent="0.35">
      <c r="A73" s="105">
        <v>540</v>
      </c>
      <c r="B73" s="627" t="s">
        <v>59</v>
      </c>
      <c r="C73" s="627" t="s">
        <v>1123</v>
      </c>
      <c r="D73" s="104" t="s">
        <v>442</v>
      </c>
      <c r="E73" s="661" t="e">
        <f>HLOOKUP($D$2,'2020 Data(H)'!$C$1:$AI$426,190,FALSE)</f>
        <v>#N/A</v>
      </c>
      <c r="F73" s="287">
        <v>0</v>
      </c>
      <c r="G73" s="722"/>
      <c r="H73" s="723"/>
      <c r="I73" s="724"/>
      <c r="J73" s="567"/>
      <c r="L73" s="696"/>
      <c r="N73" s="288"/>
      <c r="Z73" s="105"/>
      <c r="AA73" s="105"/>
      <c r="AB73" s="105"/>
      <c r="AC73" s="105"/>
      <c r="AD73" s="105"/>
      <c r="AE73" s="105"/>
      <c r="AF73" s="105"/>
      <c r="AG73" s="105"/>
      <c r="AH73" s="105"/>
      <c r="AI73" s="105"/>
      <c r="AJ73" s="105"/>
      <c r="AK73" s="105"/>
      <c r="AL73" s="105"/>
      <c r="AM73" s="105"/>
      <c r="AN73" s="105"/>
      <c r="AO73" s="105"/>
      <c r="AP73" s="105"/>
      <c r="AQ73" s="105"/>
      <c r="AR73" s="105"/>
    </row>
    <row r="74" spans="1:44" ht="30" customHeight="1" thickBot="1" x14ac:dyDescent="0.35">
      <c r="A74" s="105"/>
      <c r="B74" s="820" t="s">
        <v>151</v>
      </c>
      <c r="C74" s="821"/>
      <c r="D74" s="825"/>
      <c r="E74" s="826"/>
      <c r="F74" s="827"/>
      <c r="G74" s="828"/>
      <c r="H74" s="17"/>
      <c r="I74" s="77"/>
      <c r="L74" s="696"/>
      <c r="Z74" s="105"/>
      <c r="AA74" s="105"/>
      <c r="AB74" s="105"/>
      <c r="AC74" s="105"/>
      <c r="AD74" s="105"/>
      <c r="AE74" s="105"/>
      <c r="AF74" s="105"/>
      <c r="AG74" s="105"/>
      <c r="AH74" s="105"/>
      <c r="AI74" s="105"/>
      <c r="AJ74" s="105"/>
      <c r="AK74" s="105"/>
      <c r="AL74" s="105"/>
      <c r="AM74" s="105"/>
      <c r="AN74" s="105"/>
      <c r="AO74" s="105"/>
      <c r="AP74" s="105"/>
      <c r="AQ74" s="105"/>
      <c r="AR74" s="105"/>
    </row>
    <row r="75" spans="1:44" ht="82.5" hidden="1" customHeight="1" thickBot="1" x14ac:dyDescent="0.35">
      <c r="A75" s="105">
        <v>984</v>
      </c>
      <c r="B75" s="706" t="s">
        <v>728</v>
      </c>
      <c r="C75" s="706" t="s">
        <v>1123</v>
      </c>
      <c r="D75" s="731" t="s">
        <v>1170</v>
      </c>
      <c r="E75" s="661" t="s">
        <v>729</v>
      </c>
      <c r="F75" s="287">
        <v>0</v>
      </c>
      <c r="G75" s="722"/>
      <c r="H75" s="17"/>
      <c r="I75" s="77"/>
      <c r="J75" s="567"/>
      <c r="L75" s="696"/>
      <c r="Z75" s="105"/>
      <c r="AA75" s="105"/>
      <c r="AB75" s="105"/>
      <c r="AC75" s="105"/>
      <c r="AD75" s="105"/>
      <c r="AE75" s="105"/>
      <c r="AF75" s="105"/>
      <c r="AG75" s="105"/>
      <c r="AH75" s="105"/>
      <c r="AI75" s="105"/>
      <c r="AJ75" s="105"/>
      <c r="AK75" s="105"/>
      <c r="AL75" s="105"/>
      <c r="AM75" s="105"/>
      <c r="AN75" s="105"/>
      <c r="AO75" s="105"/>
      <c r="AP75" s="105"/>
      <c r="AQ75" s="105"/>
      <c r="AR75" s="105"/>
    </row>
    <row r="76" spans="1:44" ht="69" hidden="1" customHeight="1" thickBot="1" x14ac:dyDescent="0.35">
      <c r="A76" s="105">
        <v>985</v>
      </c>
      <c r="B76" s="706" t="s">
        <v>728</v>
      </c>
      <c r="C76" s="706" t="s">
        <v>1123</v>
      </c>
      <c r="D76" s="731" t="s">
        <v>1171</v>
      </c>
      <c r="E76" s="661" t="s">
        <v>729</v>
      </c>
      <c r="F76" s="287">
        <v>0</v>
      </c>
      <c r="G76" s="722"/>
      <c r="H76" s="17"/>
      <c r="I76" s="77"/>
      <c r="J76" s="567"/>
      <c r="L76" s="696"/>
      <c r="Z76" s="105"/>
      <c r="AA76" s="105"/>
      <c r="AB76" s="105"/>
      <c r="AC76" s="105"/>
      <c r="AD76" s="105"/>
      <c r="AE76" s="105"/>
      <c r="AF76" s="105"/>
      <c r="AG76" s="105"/>
      <c r="AH76" s="105"/>
      <c r="AI76" s="105"/>
      <c r="AJ76" s="105"/>
      <c r="AK76" s="105"/>
      <c r="AL76" s="105"/>
      <c r="AM76" s="105"/>
      <c r="AN76" s="105"/>
      <c r="AO76" s="105"/>
      <c r="AP76" s="105"/>
      <c r="AQ76" s="105"/>
      <c r="AR76" s="105"/>
    </row>
    <row r="77" spans="1:44" ht="52.5" hidden="1" customHeight="1" thickBot="1" x14ac:dyDescent="0.35">
      <c r="A77" s="105">
        <v>369</v>
      </c>
      <c r="B77" s="585" t="s">
        <v>56</v>
      </c>
      <c r="C77" s="585" t="s">
        <v>152</v>
      </c>
      <c r="D77" s="700" t="s">
        <v>1124</v>
      </c>
      <c r="E77" s="661" t="e">
        <f>HLOOKUP($D$2,'2020 Data(H)'!$C$1:$AI$426,130,FALSE)</f>
        <v>#N/A</v>
      </c>
      <c r="F77" s="287">
        <v>0</v>
      </c>
      <c r="G77" s="722"/>
      <c r="H77" s="17"/>
      <c r="I77" s="77"/>
      <c r="J77" s="567"/>
      <c r="L77" s="696"/>
      <c r="Z77" s="105"/>
      <c r="AA77" s="105"/>
      <c r="AB77" s="105"/>
      <c r="AC77" s="105"/>
      <c r="AD77" s="105"/>
      <c r="AE77" s="105"/>
      <c r="AF77" s="105"/>
      <c r="AG77" s="105"/>
      <c r="AH77" s="105"/>
      <c r="AI77" s="105"/>
      <c r="AJ77" s="105"/>
      <c r="AK77" s="105"/>
      <c r="AL77" s="105"/>
      <c r="AM77" s="105"/>
      <c r="AN77" s="105"/>
      <c r="AO77" s="105"/>
      <c r="AP77" s="105"/>
      <c r="AQ77" s="105"/>
      <c r="AR77" s="105"/>
    </row>
    <row r="78" spans="1:44" ht="57.75" customHeight="1" thickBot="1" x14ac:dyDescent="0.35">
      <c r="A78" s="105">
        <v>16</v>
      </c>
      <c r="B78" s="585" t="s">
        <v>66</v>
      </c>
      <c r="C78" s="585" t="s">
        <v>152</v>
      </c>
      <c r="D78" s="104" t="s">
        <v>150</v>
      </c>
      <c r="E78" s="661" t="e">
        <f>HLOOKUP($D$2,'2020 Data(H)'!$C$1:$AI$426,12,FALSE)</f>
        <v>#N/A</v>
      </c>
      <c r="F78" s="287">
        <v>0</v>
      </c>
      <c r="G78" s="722"/>
      <c r="H78" s="17"/>
      <c r="I78" s="77"/>
      <c r="J78" s="567"/>
      <c r="L78" s="696"/>
      <c r="Z78" s="105"/>
      <c r="AA78" s="105"/>
      <c r="AB78" s="105"/>
      <c r="AC78" s="105"/>
      <c r="AD78" s="105"/>
      <c r="AE78" s="105"/>
      <c r="AF78" s="105"/>
      <c r="AG78" s="105"/>
      <c r="AH78" s="105"/>
      <c r="AI78" s="105"/>
      <c r="AJ78" s="105"/>
      <c r="AK78" s="105"/>
      <c r="AL78" s="105"/>
      <c r="AM78" s="105"/>
      <c r="AN78" s="105"/>
      <c r="AO78" s="105"/>
      <c r="AP78" s="105"/>
      <c r="AQ78" s="105"/>
      <c r="AR78" s="105"/>
    </row>
    <row r="79" spans="1:44" ht="65.25" hidden="1" customHeight="1" thickBot="1" x14ac:dyDescent="0.35">
      <c r="A79" s="105">
        <v>370</v>
      </c>
      <c r="B79" s="585" t="s">
        <v>56</v>
      </c>
      <c r="C79" s="585" t="s">
        <v>152</v>
      </c>
      <c r="D79" s="700" t="s">
        <v>1125</v>
      </c>
      <c r="E79" s="661" t="e">
        <f>HLOOKUP($D$2,'2020 Data(H)'!$C$1:$AI$426,131,FALSE)</f>
        <v>#N/A</v>
      </c>
      <c r="F79" s="287">
        <v>0</v>
      </c>
      <c r="G79" s="722">
        <f>IF(F79&lt;0,"Error: Enter as positive.",)</f>
        <v>0</v>
      </c>
      <c r="H79" s="17"/>
      <c r="I79" s="77"/>
      <c r="J79" s="567"/>
      <c r="L79" s="696"/>
      <c r="Z79" s="105"/>
      <c r="AA79" s="105"/>
      <c r="AB79" s="105"/>
      <c r="AC79" s="105"/>
      <c r="AD79" s="105"/>
      <c r="AE79" s="105"/>
      <c r="AF79" s="105"/>
      <c r="AG79" s="105"/>
      <c r="AH79" s="105"/>
      <c r="AI79" s="105"/>
      <c r="AJ79" s="105"/>
      <c r="AK79" s="105"/>
      <c r="AL79" s="105"/>
      <c r="AM79" s="105"/>
      <c r="AN79" s="105"/>
      <c r="AO79" s="105"/>
      <c r="AP79" s="105"/>
      <c r="AQ79" s="105"/>
      <c r="AR79" s="105"/>
    </row>
    <row r="80" spans="1:44" ht="69.75" customHeight="1" thickBot="1" x14ac:dyDescent="0.35">
      <c r="A80" s="105">
        <v>532</v>
      </c>
      <c r="B80" s="585" t="s">
        <v>55</v>
      </c>
      <c r="C80" s="585" t="s">
        <v>152</v>
      </c>
      <c r="D80" s="685" t="s">
        <v>1126</v>
      </c>
      <c r="E80" s="661" t="e">
        <f>HLOOKUP($D$2,'2020 Data(H)'!$C$1:$AI$426,182,FALSE)</f>
        <v>#N/A</v>
      </c>
      <c r="F80" s="287">
        <v>0</v>
      </c>
      <c r="G80" s="722">
        <f>IF(F80&lt;0,"Error: Enter as positive.",)</f>
        <v>0</v>
      </c>
      <c r="H80" s="17"/>
      <c r="I80" s="77"/>
      <c r="J80" s="567"/>
      <c r="L80" s="696"/>
      <c r="Z80" s="105"/>
      <c r="AA80" s="105"/>
      <c r="AB80" s="105"/>
      <c r="AC80" s="105"/>
      <c r="AD80" s="105"/>
      <c r="AE80" s="105"/>
      <c r="AF80" s="105"/>
      <c r="AG80" s="105"/>
      <c r="AH80" s="105"/>
      <c r="AI80" s="105"/>
      <c r="AJ80" s="105"/>
      <c r="AK80" s="105"/>
      <c r="AL80" s="105"/>
      <c r="AM80" s="105"/>
      <c r="AN80" s="105"/>
      <c r="AO80" s="105"/>
      <c r="AP80" s="105"/>
      <c r="AQ80" s="105"/>
      <c r="AR80" s="105"/>
    </row>
    <row r="81" spans="1:1881" ht="54" customHeight="1" thickBot="1" x14ac:dyDescent="0.35">
      <c r="A81" s="105">
        <v>17</v>
      </c>
      <c r="B81" s="585" t="s">
        <v>60</v>
      </c>
      <c r="C81" s="585" t="s">
        <v>152</v>
      </c>
      <c r="D81" s="104" t="s">
        <v>1127</v>
      </c>
      <c r="E81" s="661" t="e">
        <f>HLOOKUP($D$2,'2020 Data(H)'!$C$1:$AI$426,13,FALSE)</f>
        <v>#N/A</v>
      </c>
      <c r="F81" s="287">
        <v>0</v>
      </c>
      <c r="G81" s="722"/>
      <c r="H81" s="17"/>
      <c r="I81" s="77"/>
      <c r="L81" s="696"/>
      <c r="Z81" s="105"/>
      <c r="AA81" s="105"/>
      <c r="AB81" s="105"/>
      <c r="AC81" s="105"/>
      <c r="AD81" s="105"/>
      <c r="AE81" s="105"/>
      <c r="AF81" s="105"/>
      <c r="AG81" s="105"/>
      <c r="AH81" s="105"/>
      <c r="AI81" s="105"/>
      <c r="AJ81" s="105"/>
      <c r="AK81" s="105"/>
      <c r="AL81" s="105"/>
      <c r="AM81" s="105"/>
      <c r="AN81" s="105"/>
      <c r="AO81" s="105"/>
      <c r="AP81" s="105"/>
      <c r="AQ81" s="105"/>
      <c r="AR81" s="105"/>
    </row>
    <row r="82" spans="1:1881" ht="58.5" customHeight="1" thickBot="1" x14ac:dyDescent="0.35">
      <c r="A82" s="105">
        <v>20</v>
      </c>
      <c r="B82" s="585" t="s">
        <v>55</v>
      </c>
      <c r="C82" s="585" t="s">
        <v>152</v>
      </c>
      <c r="D82" s="104" t="s">
        <v>1128</v>
      </c>
      <c r="E82" s="661" t="e">
        <f>HLOOKUP($D$2,'2020 Data(H)'!$C$1:$AI$426,15,FALSE)</f>
        <v>#N/A</v>
      </c>
      <c r="F82" s="287">
        <v>0</v>
      </c>
      <c r="G82" s="722">
        <f>IF(F82&lt;0,"Error: Enter as positive.",)</f>
        <v>0</v>
      </c>
      <c r="H82" s="17"/>
      <c r="I82" s="77"/>
      <c r="L82" s="696"/>
      <c r="Z82" s="105"/>
      <c r="AA82" s="105"/>
      <c r="AB82" s="105"/>
      <c r="AC82" s="105"/>
      <c r="AD82" s="105"/>
      <c r="AE82" s="105"/>
      <c r="AF82" s="105"/>
      <c r="AG82" s="105"/>
      <c r="AH82" s="105"/>
      <c r="AI82" s="105"/>
      <c r="AJ82" s="105"/>
      <c r="AK82" s="105"/>
      <c r="AL82" s="105"/>
      <c r="AM82" s="105"/>
      <c r="AN82" s="105"/>
      <c r="AO82" s="105"/>
      <c r="AP82" s="105"/>
      <c r="AQ82" s="105"/>
      <c r="AR82" s="105"/>
    </row>
    <row r="83" spans="1:1881" ht="54" customHeight="1" thickBot="1" x14ac:dyDescent="0.35">
      <c r="A83" s="105">
        <v>533</v>
      </c>
      <c r="B83" s="585" t="s">
        <v>55</v>
      </c>
      <c r="C83" s="585" t="s">
        <v>152</v>
      </c>
      <c r="D83" s="685" t="s">
        <v>1129</v>
      </c>
      <c r="E83" s="661" t="e">
        <f>HLOOKUP($D$2,'2020 Data(H)'!$C$1:$AI$426,183,FALSE)</f>
        <v>#N/A</v>
      </c>
      <c r="F83" s="287">
        <v>0</v>
      </c>
      <c r="G83" s="732"/>
      <c r="H83" s="17"/>
      <c r="I83" s="77"/>
      <c r="L83" s="696"/>
      <c r="Z83" s="105"/>
      <c r="AA83" s="105"/>
      <c r="AB83" s="105"/>
      <c r="AC83" s="105"/>
      <c r="AD83" s="105"/>
      <c r="AE83" s="105"/>
      <c r="AF83" s="105"/>
      <c r="AG83" s="105"/>
      <c r="AH83" s="105"/>
      <c r="AI83" s="105"/>
      <c r="AJ83" s="105"/>
      <c r="AK83" s="105"/>
      <c r="AL83" s="105"/>
      <c r="AM83" s="105"/>
      <c r="AN83" s="105"/>
      <c r="AO83" s="105"/>
      <c r="AP83" s="105"/>
      <c r="AQ83" s="105"/>
      <c r="AR83" s="105"/>
    </row>
    <row r="84" spans="1:1881" s="18" customFormat="1" ht="62.25" hidden="1" customHeight="1" thickBot="1" x14ac:dyDescent="0.35">
      <c r="A84" s="105">
        <v>508</v>
      </c>
      <c r="B84" s="585" t="s">
        <v>55</v>
      </c>
      <c r="C84" s="585" t="s">
        <v>152</v>
      </c>
      <c r="D84" s="104" t="s">
        <v>310</v>
      </c>
      <c r="E84" s="661" t="e">
        <f>HLOOKUP($D$2,'2020 Data(H)'!$C$1:$AI$426,158,FALSE)</f>
        <v>#N/A</v>
      </c>
      <c r="F84" s="287">
        <v>0</v>
      </c>
      <c r="G84" s="722"/>
      <c r="H84" s="723"/>
      <c r="I84" s="724"/>
      <c r="L84" s="696"/>
      <c r="N84" s="288"/>
      <c r="Z84" s="105"/>
      <c r="AA84" s="105"/>
      <c r="AB84" s="105"/>
      <c r="AC84" s="105"/>
      <c r="AD84" s="105"/>
      <c r="AE84" s="105"/>
      <c r="AF84" s="105"/>
      <c r="AG84" s="105"/>
      <c r="AH84" s="105"/>
      <c r="AI84" s="105"/>
      <c r="AJ84" s="105"/>
      <c r="AK84" s="105"/>
      <c r="AL84" s="105"/>
      <c r="AM84" s="105"/>
      <c r="AN84" s="105"/>
      <c r="AO84" s="105"/>
      <c r="AP84" s="105"/>
      <c r="AQ84" s="105"/>
      <c r="AR84" s="105"/>
    </row>
    <row r="85" spans="1:1881" s="18" customFormat="1" ht="81.75" hidden="1" customHeight="1" thickBot="1" x14ac:dyDescent="0.35">
      <c r="A85" s="105">
        <v>509</v>
      </c>
      <c r="B85" s="585" t="s">
        <v>55</v>
      </c>
      <c r="C85" s="585" t="s">
        <v>152</v>
      </c>
      <c r="D85" s="104" t="s">
        <v>308</v>
      </c>
      <c r="E85" s="661" t="e">
        <f>HLOOKUP($D$2,'2020 Data(H)'!$C$1:$AI$426,159,FALSE)</f>
        <v>#N/A</v>
      </c>
      <c r="F85" s="287">
        <v>0</v>
      </c>
      <c r="G85" s="722">
        <f>IF(F85&lt;0,"Error: Enter as positive.",)</f>
        <v>0</v>
      </c>
      <c r="H85" s="723"/>
      <c r="I85" s="724"/>
      <c r="L85" s="696"/>
      <c r="N85" s="288"/>
      <c r="Z85" s="105"/>
      <c r="AA85" s="105"/>
      <c r="AB85" s="105"/>
      <c r="AC85" s="105"/>
      <c r="AD85" s="105"/>
      <c r="AE85" s="105"/>
      <c r="AF85" s="105"/>
      <c r="AG85" s="105"/>
      <c r="AH85" s="105"/>
      <c r="AI85" s="105"/>
      <c r="AJ85" s="105"/>
      <c r="AK85" s="105"/>
      <c r="AL85" s="105"/>
      <c r="AM85" s="105"/>
      <c r="AN85" s="105"/>
      <c r="AO85" s="105"/>
      <c r="AP85" s="105"/>
      <c r="AQ85" s="105"/>
      <c r="AR85" s="105"/>
    </row>
    <row r="86" spans="1:1881" ht="69" customHeight="1" thickBot="1" x14ac:dyDescent="0.35">
      <c r="A86" s="105">
        <v>22</v>
      </c>
      <c r="B86" s="585" t="s">
        <v>60</v>
      </c>
      <c r="C86" s="585" t="s">
        <v>152</v>
      </c>
      <c r="D86" s="104" t="s">
        <v>309</v>
      </c>
      <c r="E86" s="661" t="e">
        <f>HLOOKUP($D$2,'2020 Data(H)'!$C$1:$AI$426,17,FALSE)</f>
        <v>#N/A</v>
      </c>
      <c r="F86" s="287">
        <v>0</v>
      </c>
      <c r="G86" s="732"/>
      <c r="H86" s="17"/>
      <c r="I86" s="77"/>
      <c r="J86" s="567"/>
      <c r="L86" s="696"/>
      <c r="Z86" s="105"/>
      <c r="AA86" s="105"/>
      <c r="AB86" s="105"/>
      <c r="AC86" s="105"/>
      <c r="AD86" s="105"/>
      <c r="AE86" s="105"/>
      <c r="AF86" s="105"/>
      <c r="AG86" s="105"/>
      <c r="AH86" s="105"/>
      <c r="AI86" s="105"/>
      <c r="AJ86" s="105"/>
      <c r="AK86" s="105"/>
      <c r="AL86" s="105"/>
      <c r="AM86" s="105"/>
      <c r="AN86" s="105"/>
      <c r="AO86" s="105"/>
      <c r="AP86" s="105"/>
      <c r="AQ86" s="105"/>
      <c r="AR86" s="105"/>
    </row>
    <row r="87" spans="1:1881" ht="72" customHeight="1" thickBot="1" x14ac:dyDescent="0.35">
      <c r="A87" s="105">
        <v>23</v>
      </c>
      <c r="B87" s="585" t="s">
        <v>60</v>
      </c>
      <c r="C87" s="585" t="s">
        <v>152</v>
      </c>
      <c r="D87" s="700" t="s">
        <v>1130</v>
      </c>
      <c r="E87" s="661" t="e">
        <f>HLOOKUP($D$2,'2020 Data(H)'!$C$1:$AI$426,18,FALSE)</f>
        <v>#N/A</v>
      </c>
      <c r="F87" s="287">
        <v>0</v>
      </c>
      <c r="G87" s="722">
        <f>IF(H87=0,,"Error: Total revenues less total expenditures do not equal total change in fund balance.  Account numbers 16-532+17-20+533+22+508-509-23=0  The amount of the formula is located in the cell to the right")</f>
        <v>0</v>
      </c>
      <c r="H87" s="725">
        <f>+F78-F80+F81-F82+F83+F86+F84-F85-F87</f>
        <v>0</v>
      </c>
      <c r="I87" s="77"/>
      <c r="J87" s="567"/>
      <c r="L87" s="696"/>
      <c r="Z87" s="105"/>
      <c r="AA87" s="105"/>
      <c r="AB87" s="105"/>
      <c r="AC87" s="105"/>
      <c r="AD87" s="105"/>
      <c r="AE87" s="105"/>
      <c r="AF87" s="105"/>
      <c r="AG87" s="105"/>
      <c r="AH87" s="105"/>
      <c r="AI87" s="105"/>
      <c r="AJ87" s="105"/>
      <c r="AK87" s="105"/>
      <c r="AL87" s="105"/>
      <c r="AM87" s="105"/>
      <c r="AN87" s="105"/>
      <c r="AO87" s="105"/>
      <c r="AP87" s="105"/>
      <c r="AQ87" s="105"/>
      <c r="AR87" s="105"/>
    </row>
    <row r="88" spans="1:1881" ht="194.25" hidden="1" customHeight="1" thickBot="1" x14ac:dyDescent="0.35">
      <c r="A88" s="105">
        <v>590</v>
      </c>
      <c r="B88" s="585" t="s">
        <v>345</v>
      </c>
      <c r="C88" s="585"/>
      <c r="D88" s="700" t="s">
        <v>1181</v>
      </c>
      <c r="E88" s="884"/>
      <c r="F88" s="287"/>
      <c r="G88" s="287"/>
      <c r="H88" s="725"/>
      <c r="I88" s="77"/>
      <c r="K88" s="733"/>
      <c r="L88" s="696"/>
      <c r="Z88" s="105"/>
      <c r="AA88" s="105"/>
      <c r="AB88" s="105"/>
      <c r="AC88" s="105"/>
      <c r="AD88" s="105"/>
      <c r="AE88" s="105"/>
      <c r="AF88" s="105"/>
      <c r="AG88" s="105"/>
      <c r="AH88" s="105"/>
      <c r="AI88" s="105"/>
      <c r="AJ88" s="105"/>
      <c r="AK88" s="105"/>
      <c r="AL88" s="105"/>
      <c r="AM88" s="105"/>
      <c r="AN88" s="105"/>
      <c r="AO88" s="105"/>
      <c r="AP88" s="105"/>
      <c r="AQ88" s="105"/>
      <c r="AR88" s="105"/>
    </row>
    <row r="89" spans="1:1881" s="1060" customFormat="1" ht="115.5" customHeight="1" thickBot="1" x14ac:dyDescent="0.35">
      <c r="A89" s="1059">
        <v>507</v>
      </c>
      <c r="B89" s="1051" t="s">
        <v>60</v>
      </c>
      <c r="C89" s="1051" t="s">
        <v>152</v>
      </c>
      <c r="D89" s="1052" t="s">
        <v>1379</v>
      </c>
      <c r="E89" s="1053" t="e">
        <f>HLOOKUP($D$2,'2020 Data(H)'!$C$1:$AI$426,157,FALSE)</f>
        <v>#N/A</v>
      </c>
      <c r="F89" s="287">
        <v>0</v>
      </c>
      <c r="G89" s="722" t="e">
        <f>IF(F72-F87-F89=E72,,"Error: Beginning Balance does not agree with our records.  (Acct# 9-23-507)= Prior Years Acct # 9 The amount of the formula is in the cell to the right")</f>
        <v>#N/A</v>
      </c>
      <c r="H89" s="1054" t="e">
        <f>+F72-F87-F89-E72</f>
        <v>#N/A</v>
      </c>
      <c r="I89" s="1126" t="s">
        <v>1471</v>
      </c>
      <c r="J89" s="1056"/>
      <c r="K89" s="1056"/>
      <c r="L89" s="1057"/>
      <c r="M89" s="1056"/>
      <c r="N89" s="1058"/>
      <c r="O89" s="1056"/>
      <c r="P89" s="1056"/>
      <c r="Q89" s="1056"/>
      <c r="R89" s="1056"/>
      <c r="S89" s="1056"/>
      <c r="T89" s="1056"/>
      <c r="U89" s="1056"/>
      <c r="V89" s="1056"/>
      <c r="W89" s="1056"/>
      <c r="X89" s="1056"/>
      <c r="Y89" s="1056"/>
      <c r="Z89" s="1059"/>
      <c r="AA89" s="1059"/>
      <c r="AB89" s="1059"/>
      <c r="AC89" s="1059"/>
      <c r="AD89" s="1059"/>
      <c r="AE89" s="1059"/>
      <c r="AF89" s="1059"/>
      <c r="AG89" s="1059"/>
      <c r="AH89" s="1059"/>
      <c r="AI89" s="1059"/>
      <c r="AJ89" s="1059"/>
      <c r="AK89" s="1059"/>
      <c r="AL89" s="1059"/>
      <c r="AM89" s="1059"/>
      <c r="AN89" s="1059"/>
      <c r="AO89" s="1059"/>
      <c r="AP89" s="1059"/>
      <c r="AQ89" s="1059"/>
      <c r="AR89" s="1059"/>
      <c r="AS89" s="1056"/>
      <c r="AT89" s="1056"/>
      <c r="AU89" s="1056"/>
      <c r="AV89" s="1056"/>
      <c r="AW89" s="1056"/>
      <c r="AX89" s="1056"/>
      <c r="AY89" s="1056"/>
      <c r="AZ89" s="1056"/>
      <c r="BA89" s="1056"/>
      <c r="BB89" s="1056"/>
      <c r="BC89" s="1056"/>
      <c r="BD89" s="1056"/>
      <c r="BE89" s="1056"/>
      <c r="BF89" s="1056"/>
      <c r="BG89" s="1056"/>
      <c r="BH89" s="1056"/>
      <c r="BI89" s="1056"/>
      <c r="BJ89" s="1056"/>
      <c r="BK89" s="1056"/>
      <c r="BL89" s="1056"/>
      <c r="BM89" s="1056"/>
      <c r="BN89" s="1056"/>
      <c r="BO89" s="1056"/>
      <c r="BP89" s="1056"/>
      <c r="BQ89" s="1056"/>
      <c r="BR89" s="1056"/>
      <c r="BS89" s="1056"/>
      <c r="BT89" s="1056"/>
      <c r="BU89" s="1056"/>
      <c r="BV89" s="1056"/>
      <c r="BW89" s="1056"/>
      <c r="BX89" s="1056"/>
      <c r="BY89" s="1056"/>
      <c r="BZ89" s="1056"/>
      <c r="CA89" s="1056"/>
      <c r="CB89" s="1056"/>
      <c r="CC89" s="1056"/>
      <c r="CD89" s="1056"/>
      <c r="CE89" s="1056"/>
      <c r="CF89" s="1056"/>
      <c r="CG89" s="1056"/>
      <c r="CH89" s="1056"/>
      <c r="CI89" s="1056"/>
      <c r="CJ89" s="1056"/>
      <c r="CK89" s="1056"/>
      <c r="CL89" s="1056"/>
      <c r="CM89" s="1056"/>
      <c r="CN89" s="1056"/>
      <c r="CO89" s="1056"/>
      <c r="CP89" s="1056"/>
      <c r="CQ89" s="1056"/>
      <c r="CR89" s="1056"/>
      <c r="CS89" s="1056"/>
      <c r="CT89" s="1056"/>
      <c r="CU89" s="1056"/>
      <c r="CV89" s="1056"/>
      <c r="CW89" s="1056"/>
      <c r="CX89" s="1056"/>
      <c r="CY89" s="1056"/>
      <c r="CZ89" s="1056"/>
      <c r="DA89" s="1056"/>
      <c r="DB89" s="1056"/>
      <c r="DC89" s="1056"/>
      <c r="DD89" s="1056"/>
      <c r="DE89" s="1056"/>
      <c r="DF89" s="1056"/>
      <c r="DG89" s="1056"/>
      <c r="DH89" s="1056"/>
      <c r="DI89" s="1056"/>
      <c r="DJ89" s="1056"/>
      <c r="DK89" s="1056"/>
      <c r="DL89" s="1056"/>
      <c r="DM89" s="1056"/>
      <c r="DN89" s="1056"/>
      <c r="DO89" s="1056"/>
      <c r="DP89" s="1056"/>
      <c r="DQ89" s="1056"/>
      <c r="DR89" s="1056"/>
      <c r="DS89" s="1056"/>
      <c r="DT89" s="1056"/>
      <c r="DU89" s="1056"/>
      <c r="DV89" s="1056"/>
      <c r="DW89" s="1056"/>
      <c r="DX89" s="1056"/>
      <c r="DY89" s="1056"/>
      <c r="DZ89" s="1056"/>
      <c r="EA89" s="1056"/>
      <c r="EB89" s="1056"/>
      <c r="EC89" s="1056"/>
      <c r="ED89" s="1056"/>
      <c r="EE89" s="1056"/>
      <c r="EF89" s="1056"/>
      <c r="EG89" s="1056"/>
      <c r="EH89" s="1056"/>
      <c r="EI89" s="1056"/>
      <c r="EJ89" s="1056"/>
      <c r="EK89" s="1056"/>
      <c r="EL89" s="1056"/>
      <c r="EM89" s="1056"/>
      <c r="EN89" s="1056"/>
      <c r="EO89" s="1056"/>
      <c r="EP89" s="1056"/>
      <c r="EQ89" s="1056"/>
      <c r="ER89" s="1056"/>
      <c r="ES89" s="1056"/>
      <c r="ET89" s="1056"/>
      <c r="EU89" s="1056"/>
      <c r="EV89" s="1056"/>
      <c r="EW89" s="1056"/>
      <c r="EX89" s="1056"/>
      <c r="EY89" s="1056"/>
      <c r="EZ89" s="1056"/>
      <c r="FA89" s="1056"/>
      <c r="FB89" s="1056"/>
      <c r="FC89" s="1056"/>
      <c r="FD89" s="1056"/>
      <c r="FE89" s="1056"/>
      <c r="FF89" s="1056"/>
      <c r="FG89" s="1056"/>
      <c r="FH89" s="1056"/>
      <c r="FI89" s="1056"/>
      <c r="FJ89" s="1056"/>
      <c r="FK89" s="1056"/>
      <c r="FL89" s="1056"/>
      <c r="FM89" s="1056"/>
      <c r="FN89" s="1056"/>
      <c r="FO89" s="1056"/>
      <c r="FP89" s="1056"/>
      <c r="FQ89" s="1056"/>
      <c r="FR89" s="1056"/>
      <c r="FS89" s="1056"/>
      <c r="FT89" s="1056"/>
      <c r="FU89" s="1056"/>
      <c r="FV89" s="1056"/>
      <c r="FW89" s="1056"/>
      <c r="FX89" s="1056"/>
      <c r="FY89" s="1056"/>
      <c r="FZ89" s="1056"/>
      <c r="GA89" s="1056"/>
      <c r="GB89" s="1056"/>
      <c r="GC89" s="1056"/>
      <c r="GD89" s="1056"/>
      <c r="GE89" s="1056"/>
      <c r="GF89" s="1056"/>
      <c r="GG89" s="1056"/>
      <c r="GH89" s="1056"/>
      <c r="GI89" s="1056"/>
      <c r="GJ89" s="1056"/>
      <c r="GK89" s="1056"/>
      <c r="GL89" s="1056"/>
      <c r="GM89" s="1056"/>
      <c r="GN89" s="1056"/>
      <c r="GO89" s="1056"/>
      <c r="GP89" s="1056"/>
      <c r="GQ89" s="1056"/>
      <c r="GR89" s="1056"/>
      <c r="GS89" s="1056"/>
      <c r="GT89" s="1056"/>
      <c r="GU89" s="1056"/>
      <c r="GV89" s="1056"/>
      <c r="GW89" s="1056"/>
      <c r="GX89" s="1056"/>
      <c r="GY89" s="1056"/>
      <c r="GZ89" s="1056"/>
      <c r="HA89" s="1056"/>
      <c r="HB89" s="1056"/>
      <c r="HC89" s="1056"/>
      <c r="HD89" s="1056"/>
      <c r="HE89" s="1056"/>
      <c r="HF89" s="1056"/>
      <c r="HG89" s="1056"/>
      <c r="HH89" s="1056"/>
      <c r="HI89" s="1056"/>
      <c r="HJ89" s="1056"/>
      <c r="HK89" s="1056"/>
      <c r="HL89" s="1056"/>
      <c r="HM89" s="1056"/>
      <c r="HN89" s="1056"/>
      <c r="HO89" s="1056"/>
      <c r="HP89" s="1056"/>
      <c r="HQ89" s="1056"/>
      <c r="HR89" s="1056"/>
      <c r="HS89" s="1056"/>
      <c r="HT89" s="1056"/>
      <c r="HU89" s="1056"/>
      <c r="HV89" s="1056"/>
      <c r="HW89" s="1056"/>
      <c r="HX89" s="1056"/>
      <c r="HY89" s="1056"/>
      <c r="HZ89" s="1056"/>
      <c r="IA89" s="1056"/>
      <c r="IB89" s="1056"/>
      <c r="IC89" s="1056"/>
      <c r="ID89" s="1056"/>
      <c r="IE89" s="1056"/>
      <c r="IF89" s="1056"/>
      <c r="IG89" s="1056"/>
      <c r="IH89" s="1056"/>
      <c r="II89" s="1056"/>
      <c r="IJ89" s="1056"/>
      <c r="IK89" s="1056"/>
      <c r="IL89" s="1056"/>
      <c r="IM89" s="1056"/>
      <c r="IN89" s="1056"/>
      <c r="IO89" s="1056"/>
      <c r="IP89" s="1056"/>
      <c r="IQ89" s="1056"/>
      <c r="IR89" s="1056"/>
      <c r="IS89" s="1056"/>
      <c r="IT89" s="1056"/>
      <c r="IU89" s="1056"/>
      <c r="IV89" s="1056"/>
      <c r="IW89" s="1056"/>
      <c r="IX89" s="1056"/>
      <c r="IY89" s="1056"/>
      <c r="IZ89" s="1056"/>
      <c r="JA89" s="1056"/>
      <c r="JB89" s="1056"/>
      <c r="JC89" s="1056"/>
      <c r="JD89" s="1056"/>
      <c r="JE89" s="1056"/>
      <c r="JF89" s="1056"/>
      <c r="JG89" s="1056"/>
      <c r="JH89" s="1056"/>
      <c r="JI89" s="1056"/>
      <c r="JJ89" s="1056"/>
      <c r="JK89" s="1056"/>
      <c r="JL89" s="1056"/>
      <c r="JM89" s="1056"/>
      <c r="JN89" s="1056"/>
      <c r="JO89" s="1056"/>
      <c r="JP89" s="1056"/>
      <c r="JQ89" s="1056"/>
      <c r="JR89" s="1056"/>
      <c r="JS89" s="1056"/>
      <c r="JT89" s="1056"/>
      <c r="JU89" s="1056"/>
      <c r="JV89" s="1056"/>
      <c r="JW89" s="1056"/>
      <c r="JX89" s="1056"/>
      <c r="JY89" s="1056"/>
      <c r="JZ89" s="1056"/>
      <c r="KA89" s="1056"/>
      <c r="KB89" s="1056"/>
      <c r="KC89" s="1056"/>
      <c r="KD89" s="1056"/>
      <c r="KE89" s="1056"/>
      <c r="KF89" s="1056"/>
      <c r="KG89" s="1056"/>
      <c r="KH89" s="1056"/>
      <c r="KI89" s="1056"/>
      <c r="KJ89" s="1056"/>
      <c r="KK89" s="1056"/>
      <c r="KL89" s="1056"/>
      <c r="KM89" s="1056"/>
      <c r="KN89" s="1056"/>
      <c r="KO89" s="1056"/>
      <c r="KP89" s="1056"/>
      <c r="KQ89" s="1056"/>
      <c r="KR89" s="1056"/>
      <c r="KS89" s="1056"/>
      <c r="KT89" s="1056"/>
      <c r="KU89" s="1056"/>
      <c r="KV89" s="1056"/>
      <c r="KW89" s="1056"/>
      <c r="KX89" s="1056"/>
      <c r="KY89" s="1056"/>
      <c r="KZ89" s="1056"/>
      <c r="LA89" s="1056"/>
      <c r="LB89" s="1056"/>
      <c r="LC89" s="1056"/>
      <c r="LD89" s="1056"/>
      <c r="LE89" s="1056"/>
      <c r="LF89" s="1056"/>
      <c r="LG89" s="1056"/>
      <c r="LH89" s="1056"/>
      <c r="LI89" s="1056"/>
      <c r="LJ89" s="1056"/>
      <c r="LK89" s="1056"/>
      <c r="LL89" s="1056"/>
      <c r="LM89" s="1056"/>
      <c r="LN89" s="1056"/>
      <c r="LO89" s="1056"/>
      <c r="LP89" s="1056"/>
      <c r="LQ89" s="1056"/>
      <c r="LR89" s="1056"/>
      <c r="LS89" s="1056"/>
      <c r="LT89" s="1056"/>
      <c r="LU89" s="1056"/>
      <c r="LV89" s="1056"/>
      <c r="LW89" s="1056"/>
      <c r="LX89" s="1056"/>
      <c r="LY89" s="1056"/>
      <c r="LZ89" s="1056"/>
      <c r="MA89" s="1056"/>
      <c r="MB89" s="1056"/>
      <c r="MC89" s="1056"/>
      <c r="MD89" s="1056"/>
      <c r="ME89" s="1056"/>
      <c r="MF89" s="1056"/>
      <c r="MG89" s="1056"/>
      <c r="MH89" s="1056"/>
      <c r="MI89" s="1056"/>
      <c r="MJ89" s="1056"/>
      <c r="MK89" s="1056"/>
      <c r="ML89" s="1056"/>
      <c r="MM89" s="1056"/>
      <c r="MN89" s="1056"/>
      <c r="MO89" s="1056"/>
      <c r="MP89" s="1056"/>
      <c r="MQ89" s="1056"/>
      <c r="MR89" s="1056"/>
      <c r="MS89" s="1056"/>
      <c r="MT89" s="1056"/>
      <c r="MU89" s="1056"/>
      <c r="MV89" s="1056"/>
      <c r="MW89" s="1056"/>
      <c r="MX89" s="1056"/>
      <c r="MY89" s="1056"/>
      <c r="MZ89" s="1056"/>
      <c r="NA89" s="1056"/>
      <c r="NB89" s="1056"/>
      <c r="NC89" s="1056"/>
      <c r="ND89" s="1056"/>
      <c r="NE89" s="1056"/>
      <c r="NF89" s="1056"/>
      <c r="NG89" s="1056"/>
      <c r="NH89" s="1056"/>
      <c r="NI89" s="1056"/>
      <c r="NJ89" s="1056"/>
      <c r="NK89" s="1056"/>
      <c r="NL89" s="1056"/>
      <c r="NM89" s="1056"/>
      <c r="NN89" s="1056"/>
      <c r="NO89" s="1056"/>
      <c r="NP89" s="1056"/>
      <c r="NQ89" s="1056"/>
      <c r="NR89" s="1056"/>
      <c r="NS89" s="1056"/>
      <c r="NT89" s="1056"/>
      <c r="NU89" s="1056"/>
      <c r="NV89" s="1056"/>
      <c r="NW89" s="1056"/>
      <c r="NX89" s="1056"/>
      <c r="NY89" s="1056"/>
      <c r="NZ89" s="1056"/>
      <c r="OA89" s="1056"/>
      <c r="OB89" s="1056"/>
      <c r="OC89" s="1056"/>
      <c r="OD89" s="1056"/>
      <c r="OE89" s="1056"/>
      <c r="OF89" s="1056"/>
      <c r="OG89" s="1056"/>
      <c r="OH89" s="1056"/>
      <c r="OI89" s="1056"/>
      <c r="OJ89" s="1056"/>
      <c r="OK89" s="1056"/>
      <c r="OL89" s="1056"/>
      <c r="OM89" s="1056"/>
      <c r="ON89" s="1056"/>
      <c r="OO89" s="1056"/>
      <c r="OP89" s="1056"/>
      <c r="OQ89" s="1056"/>
      <c r="OR89" s="1056"/>
      <c r="OS89" s="1056"/>
      <c r="OT89" s="1056"/>
      <c r="OU89" s="1056"/>
      <c r="OV89" s="1056"/>
      <c r="OW89" s="1056"/>
      <c r="OX89" s="1056"/>
      <c r="OY89" s="1056"/>
      <c r="OZ89" s="1056"/>
      <c r="PA89" s="1056"/>
      <c r="PB89" s="1056"/>
      <c r="PC89" s="1056"/>
      <c r="PD89" s="1056"/>
      <c r="PE89" s="1056"/>
      <c r="PF89" s="1056"/>
      <c r="PG89" s="1056"/>
      <c r="PH89" s="1056"/>
      <c r="PI89" s="1056"/>
      <c r="PJ89" s="1056"/>
      <c r="PK89" s="1056"/>
      <c r="PL89" s="1056"/>
      <c r="PM89" s="1056"/>
      <c r="PN89" s="1056"/>
      <c r="PO89" s="1056"/>
      <c r="PP89" s="1056"/>
      <c r="PQ89" s="1056"/>
      <c r="PR89" s="1056"/>
      <c r="PS89" s="1056"/>
      <c r="PT89" s="1056"/>
      <c r="PU89" s="1056"/>
      <c r="PV89" s="1056"/>
      <c r="PW89" s="1056"/>
      <c r="PX89" s="1056"/>
      <c r="PY89" s="1056"/>
      <c r="PZ89" s="1056"/>
      <c r="QA89" s="1056"/>
      <c r="QB89" s="1056"/>
      <c r="QC89" s="1056"/>
      <c r="QD89" s="1056"/>
      <c r="QE89" s="1056"/>
      <c r="QF89" s="1056"/>
      <c r="QG89" s="1056"/>
      <c r="QH89" s="1056"/>
      <c r="QI89" s="1056"/>
      <c r="QJ89" s="1056"/>
      <c r="QK89" s="1056"/>
      <c r="QL89" s="1056"/>
      <c r="QM89" s="1056"/>
      <c r="QN89" s="1056"/>
      <c r="QO89" s="1056"/>
      <c r="QP89" s="1056"/>
      <c r="QQ89" s="1056"/>
      <c r="QR89" s="1056"/>
      <c r="QS89" s="1056"/>
      <c r="QT89" s="1056"/>
      <c r="QU89" s="1056"/>
      <c r="QV89" s="1056"/>
      <c r="QW89" s="1056"/>
      <c r="QX89" s="1056"/>
      <c r="QY89" s="1056"/>
      <c r="QZ89" s="1056"/>
      <c r="RA89" s="1056"/>
      <c r="RB89" s="1056"/>
      <c r="RC89" s="1056"/>
      <c r="RD89" s="1056"/>
      <c r="RE89" s="1056"/>
      <c r="RF89" s="1056"/>
      <c r="RG89" s="1056"/>
      <c r="RH89" s="1056"/>
      <c r="RI89" s="1056"/>
      <c r="RJ89" s="1056"/>
      <c r="RK89" s="1056"/>
      <c r="RL89" s="1056"/>
      <c r="RM89" s="1056"/>
      <c r="RN89" s="1056"/>
      <c r="RO89" s="1056"/>
      <c r="RP89" s="1056"/>
      <c r="RQ89" s="1056"/>
      <c r="RR89" s="1056"/>
      <c r="RS89" s="1056"/>
      <c r="RT89" s="1056"/>
      <c r="RU89" s="1056"/>
      <c r="RV89" s="1056"/>
      <c r="RW89" s="1056"/>
      <c r="RX89" s="1056"/>
      <c r="RY89" s="1056"/>
      <c r="RZ89" s="1056"/>
      <c r="SA89" s="1056"/>
      <c r="SB89" s="1056"/>
      <c r="SC89" s="1056"/>
      <c r="SD89" s="1056"/>
      <c r="SE89" s="1056"/>
      <c r="SF89" s="1056"/>
      <c r="SG89" s="1056"/>
      <c r="SH89" s="1056"/>
      <c r="SI89" s="1056"/>
      <c r="SJ89" s="1056"/>
      <c r="SK89" s="1056"/>
      <c r="SL89" s="1056"/>
      <c r="SM89" s="1056"/>
      <c r="SN89" s="1056"/>
      <c r="SO89" s="1056"/>
      <c r="SP89" s="1056"/>
      <c r="SQ89" s="1056"/>
      <c r="SR89" s="1056"/>
      <c r="SS89" s="1056"/>
      <c r="ST89" s="1056"/>
      <c r="SU89" s="1056"/>
      <c r="SV89" s="1056"/>
      <c r="SW89" s="1056"/>
      <c r="SX89" s="1056"/>
      <c r="SY89" s="1056"/>
      <c r="SZ89" s="1056"/>
      <c r="TA89" s="1056"/>
      <c r="TB89" s="1056"/>
      <c r="TC89" s="1056"/>
      <c r="TD89" s="1056"/>
      <c r="TE89" s="1056"/>
      <c r="TF89" s="1056"/>
      <c r="TG89" s="1056"/>
      <c r="TH89" s="1056"/>
      <c r="TI89" s="1056"/>
      <c r="TJ89" s="1056"/>
      <c r="TK89" s="1056"/>
      <c r="TL89" s="1056"/>
      <c r="TM89" s="1056"/>
      <c r="TN89" s="1056"/>
      <c r="TO89" s="1056"/>
      <c r="TP89" s="1056"/>
      <c r="TQ89" s="1056"/>
      <c r="TR89" s="1056"/>
      <c r="TS89" s="1056"/>
      <c r="TT89" s="1056"/>
      <c r="TU89" s="1056"/>
      <c r="TV89" s="1056"/>
      <c r="TW89" s="1056"/>
      <c r="TX89" s="1056"/>
      <c r="TY89" s="1056"/>
      <c r="TZ89" s="1056"/>
      <c r="UA89" s="1056"/>
      <c r="UB89" s="1056"/>
      <c r="UC89" s="1056"/>
      <c r="UD89" s="1056"/>
      <c r="UE89" s="1056"/>
      <c r="UF89" s="1056"/>
      <c r="UG89" s="1056"/>
      <c r="UH89" s="1056"/>
      <c r="UI89" s="1056"/>
      <c r="UJ89" s="1056"/>
      <c r="UK89" s="1056"/>
      <c r="UL89" s="1056"/>
      <c r="UM89" s="1056"/>
      <c r="UN89" s="1056"/>
      <c r="UO89" s="1056"/>
      <c r="UP89" s="1056"/>
      <c r="UQ89" s="1056"/>
      <c r="UR89" s="1056"/>
      <c r="US89" s="1056"/>
      <c r="UT89" s="1056"/>
      <c r="UU89" s="1056"/>
      <c r="UV89" s="1056"/>
      <c r="UW89" s="1056"/>
      <c r="UX89" s="1056"/>
      <c r="UY89" s="1056"/>
      <c r="UZ89" s="1056"/>
      <c r="VA89" s="1056"/>
      <c r="VB89" s="1056"/>
      <c r="VC89" s="1056"/>
      <c r="VD89" s="1056"/>
      <c r="VE89" s="1056"/>
      <c r="VF89" s="1056"/>
      <c r="VG89" s="1056"/>
      <c r="VH89" s="1056"/>
      <c r="VI89" s="1056"/>
      <c r="VJ89" s="1056"/>
      <c r="VK89" s="1056"/>
      <c r="VL89" s="1056"/>
      <c r="VM89" s="1056"/>
      <c r="VN89" s="1056"/>
      <c r="VO89" s="1056"/>
      <c r="VP89" s="1056"/>
      <c r="VQ89" s="1056"/>
      <c r="VR89" s="1056"/>
      <c r="VS89" s="1056"/>
      <c r="VT89" s="1056"/>
      <c r="VU89" s="1056"/>
      <c r="VV89" s="1056"/>
      <c r="VW89" s="1056"/>
      <c r="VX89" s="1056"/>
      <c r="VY89" s="1056"/>
      <c r="VZ89" s="1056"/>
      <c r="WA89" s="1056"/>
      <c r="WB89" s="1056"/>
      <c r="WC89" s="1056"/>
      <c r="WD89" s="1056"/>
      <c r="WE89" s="1056"/>
      <c r="WF89" s="1056"/>
      <c r="WG89" s="1056"/>
      <c r="WH89" s="1056"/>
      <c r="WI89" s="1056"/>
      <c r="WJ89" s="1056"/>
      <c r="WK89" s="1056"/>
      <c r="WL89" s="1056"/>
      <c r="WM89" s="1056"/>
      <c r="WN89" s="1056"/>
      <c r="WO89" s="1056"/>
      <c r="WP89" s="1056"/>
      <c r="WQ89" s="1056"/>
      <c r="WR89" s="1056"/>
      <c r="WS89" s="1056"/>
      <c r="WT89" s="1056"/>
      <c r="WU89" s="1056"/>
      <c r="WV89" s="1056"/>
      <c r="WW89" s="1056"/>
      <c r="WX89" s="1056"/>
      <c r="WY89" s="1056"/>
      <c r="WZ89" s="1056"/>
      <c r="XA89" s="1056"/>
      <c r="XB89" s="1056"/>
      <c r="XC89" s="1056"/>
      <c r="XD89" s="1056"/>
      <c r="XE89" s="1056"/>
      <c r="XF89" s="1056"/>
      <c r="XG89" s="1056"/>
      <c r="XH89" s="1056"/>
      <c r="XI89" s="1056"/>
      <c r="XJ89" s="1056"/>
      <c r="XK89" s="1056"/>
      <c r="XL89" s="1056"/>
      <c r="XM89" s="1056"/>
      <c r="XN89" s="1056"/>
      <c r="XO89" s="1056"/>
      <c r="XP89" s="1056"/>
      <c r="XQ89" s="1056"/>
      <c r="XR89" s="1056"/>
      <c r="XS89" s="1056"/>
      <c r="XT89" s="1056"/>
      <c r="XU89" s="1056"/>
      <c r="XV89" s="1056"/>
      <c r="XW89" s="1056"/>
      <c r="XX89" s="1056"/>
      <c r="XY89" s="1056"/>
      <c r="XZ89" s="1056"/>
      <c r="YA89" s="1056"/>
      <c r="YB89" s="1056"/>
      <c r="YC89" s="1056"/>
      <c r="YD89" s="1056"/>
      <c r="YE89" s="1056"/>
      <c r="YF89" s="1056"/>
      <c r="YG89" s="1056"/>
      <c r="YH89" s="1056"/>
      <c r="YI89" s="1056"/>
      <c r="YJ89" s="1056"/>
      <c r="YK89" s="1056"/>
      <c r="YL89" s="1056"/>
      <c r="YM89" s="1056"/>
      <c r="YN89" s="1056"/>
      <c r="YO89" s="1056"/>
      <c r="YP89" s="1056"/>
      <c r="YQ89" s="1056"/>
      <c r="YR89" s="1056"/>
      <c r="YS89" s="1056"/>
      <c r="YT89" s="1056"/>
      <c r="YU89" s="1056"/>
      <c r="YV89" s="1056"/>
      <c r="YW89" s="1056"/>
      <c r="YX89" s="1056"/>
      <c r="YY89" s="1056"/>
      <c r="YZ89" s="1056"/>
      <c r="ZA89" s="1056"/>
      <c r="ZB89" s="1056"/>
      <c r="ZC89" s="1056"/>
      <c r="ZD89" s="1056"/>
      <c r="ZE89" s="1056"/>
      <c r="ZF89" s="1056"/>
      <c r="ZG89" s="1056"/>
      <c r="ZH89" s="1056"/>
      <c r="ZI89" s="1056"/>
      <c r="ZJ89" s="1056"/>
      <c r="ZK89" s="1056"/>
      <c r="ZL89" s="1056"/>
      <c r="ZM89" s="1056"/>
      <c r="ZN89" s="1056"/>
      <c r="ZO89" s="1056"/>
      <c r="ZP89" s="1056"/>
      <c r="ZQ89" s="1056"/>
      <c r="ZR89" s="1056"/>
      <c r="ZS89" s="1056"/>
      <c r="ZT89" s="1056"/>
      <c r="ZU89" s="1056"/>
      <c r="ZV89" s="1056"/>
      <c r="ZW89" s="1056"/>
      <c r="ZX89" s="1056"/>
      <c r="ZY89" s="1056"/>
      <c r="ZZ89" s="1056"/>
      <c r="AAA89" s="1056"/>
      <c r="AAB89" s="1056"/>
      <c r="AAC89" s="1056"/>
      <c r="AAD89" s="1056"/>
      <c r="AAE89" s="1056"/>
      <c r="AAF89" s="1056"/>
      <c r="AAG89" s="1056"/>
      <c r="AAH89" s="1056"/>
      <c r="AAI89" s="1056"/>
      <c r="AAJ89" s="1056"/>
      <c r="AAK89" s="1056"/>
      <c r="AAL89" s="1056"/>
      <c r="AAM89" s="1056"/>
      <c r="AAN89" s="1056"/>
      <c r="AAO89" s="1056"/>
      <c r="AAP89" s="1056"/>
      <c r="AAQ89" s="1056"/>
      <c r="AAR89" s="1056"/>
      <c r="AAS89" s="1056"/>
      <c r="AAT89" s="1056"/>
      <c r="AAU89" s="1056"/>
      <c r="AAV89" s="1056"/>
      <c r="AAW89" s="1056"/>
      <c r="AAX89" s="1056"/>
      <c r="AAY89" s="1056"/>
      <c r="AAZ89" s="1056"/>
      <c r="ABA89" s="1056"/>
      <c r="ABB89" s="1056"/>
      <c r="ABC89" s="1056"/>
      <c r="ABD89" s="1056"/>
      <c r="ABE89" s="1056"/>
      <c r="ABF89" s="1056"/>
      <c r="ABG89" s="1056"/>
      <c r="ABH89" s="1056"/>
      <c r="ABI89" s="1056"/>
      <c r="ABJ89" s="1056"/>
      <c r="ABK89" s="1056"/>
      <c r="ABL89" s="1056"/>
      <c r="ABM89" s="1056"/>
      <c r="ABN89" s="1056"/>
      <c r="ABO89" s="1056"/>
      <c r="ABP89" s="1056"/>
      <c r="ABQ89" s="1056"/>
      <c r="ABR89" s="1056"/>
      <c r="ABS89" s="1056"/>
      <c r="ABT89" s="1056"/>
      <c r="ABU89" s="1056"/>
      <c r="ABV89" s="1056"/>
      <c r="ABW89" s="1056"/>
      <c r="ABX89" s="1056"/>
      <c r="ABY89" s="1056"/>
      <c r="ABZ89" s="1056"/>
      <c r="ACA89" s="1056"/>
      <c r="ACB89" s="1056"/>
      <c r="ACC89" s="1056"/>
      <c r="ACD89" s="1056"/>
      <c r="ACE89" s="1056"/>
      <c r="ACF89" s="1056"/>
      <c r="ACG89" s="1056"/>
      <c r="ACH89" s="1056"/>
      <c r="ACI89" s="1056"/>
      <c r="ACJ89" s="1056"/>
      <c r="ACK89" s="1056"/>
      <c r="ACL89" s="1056"/>
      <c r="ACM89" s="1056"/>
      <c r="ACN89" s="1056"/>
      <c r="ACO89" s="1056"/>
      <c r="ACP89" s="1056"/>
      <c r="ACQ89" s="1056"/>
      <c r="ACR89" s="1056"/>
      <c r="ACS89" s="1056"/>
      <c r="ACT89" s="1056"/>
      <c r="ACU89" s="1056"/>
      <c r="ACV89" s="1056"/>
      <c r="ACW89" s="1056"/>
      <c r="ACX89" s="1056"/>
      <c r="ACY89" s="1056"/>
      <c r="ACZ89" s="1056"/>
      <c r="ADA89" s="1056"/>
      <c r="ADB89" s="1056"/>
      <c r="ADC89" s="1056"/>
      <c r="ADD89" s="1056"/>
      <c r="ADE89" s="1056"/>
      <c r="ADF89" s="1056"/>
      <c r="ADG89" s="1056"/>
      <c r="ADH89" s="1056"/>
      <c r="ADI89" s="1056"/>
      <c r="ADJ89" s="1056"/>
      <c r="ADK89" s="1056"/>
      <c r="ADL89" s="1056"/>
      <c r="ADM89" s="1056"/>
      <c r="ADN89" s="1056"/>
      <c r="ADO89" s="1056"/>
      <c r="ADP89" s="1056"/>
      <c r="ADQ89" s="1056"/>
      <c r="ADR89" s="1056"/>
      <c r="ADS89" s="1056"/>
      <c r="ADT89" s="1056"/>
      <c r="ADU89" s="1056"/>
      <c r="ADV89" s="1056"/>
      <c r="ADW89" s="1056"/>
      <c r="ADX89" s="1056"/>
      <c r="ADY89" s="1056"/>
      <c r="ADZ89" s="1056"/>
      <c r="AEA89" s="1056"/>
      <c r="AEB89" s="1056"/>
      <c r="AEC89" s="1056"/>
      <c r="AED89" s="1056"/>
      <c r="AEE89" s="1056"/>
      <c r="AEF89" s="1056"/>
      <c r="AEG89" s="1056"/>
      <c r="AEH89" s="1056"/>
      <c r="AEI89" s="1056"/>
      <c r="AEJ89" s="1056"/>
      <c r="AEK89" s="1056"/>
      <c r="AEL89" s="1056"/>
      <c r="AEM89" s="1056"/>
      <c r="AEN89" s="1056"/>
      <c r="AEO89" s="1056"/>
      <c r="AEP89" s="1056"/>
      <c r="AEQ89" s="1056"/>
      <c r="AER89" s="1056"/>
      <c r="AES89" s="1056"/>
      <c r="AET89" s="1056"/>
      <c r="AEU89" s="1056"/>
      <c r="AEV89" s="1056"/>
      <c r="AEW89" s="1056"/>
      <c r="AEX89" s="1056"/>
      <c r="AEY89" s="1056"/>
      <c r="AEZ89" s="1056"/>
      <c r="AFA89" s="1056"/>
      <c r="AFB89" s="1056"/>
      <c r="AFC89" s="1056"/>
      <c r="AFD89" s="1056"/>
      <c r="AFE89" s="1056"/>
      <c r="AFF89" s="1056"/>
      <c r="AFG89" s="1056"/>
      <c r="AFH89" s="1056"/>
      <c r="AFI89" s="1056"/>
      <c r="AFJ89" s="1056"/>
      <c r="AFK89" s="1056"/>
      <c r="AFL89" s="1056"/>
      <c r="AFM89" s="1056"/>
      <c r="AFN89" s="1056"/>
      <c r="AFO89" s="1056"/>
      <c r="AFP89" s="1056"/>
      <c r="AFQ89" s="1056"/>
      <c r="AFR89" s="1056"/>
      <c r="AFS89" s="1056"/>
      <c r="AFT89" s="1056"/>
      <c r="AFU89" s="1056"/>
      <c r="AFV89" s="1056"/>
      <c r="AFW89" s="1056"/>
      <c r="AFX89" s="1056"/>
      <c r="AFY89" s="1056"/>
      <c r="AFZ89" s="1056"/>
      <c r="AGA89" s="1056"/>
      <c r="AGB89" s="1056"/>
      <c r="AGC89" s="1056"/>
      <c r="AGD89" s="1056"/>
      <c r="AGE89" s="1056"/>
      <c r="AGF89" s="1056"/>
      <c r="AGG89" s="1056"/>
      <c r="AGH89" s="1056"/>
      <c r="AGI89" s="1056"/>
      <c r="AGJ89" s="1056"/>
      <c r="AGK89" s="1056"/>
      <c r="AGL89" s="1056"/>
      <c r="AGM89" s="1056"/>
      <c r="AGN89" s="1056"/>
      <c r="AGO89" s="1056"/>
      <c r="AGP89" s="1056"/>
      <c r="AGQ89" s="1056"/>
      <c r="AGR89" s="1056"/>
      <c r="AGS89" s="1056"/>
      <c r="AGT89" s="1056"/>
      <c r="AGU89" s="1056"/>
      <c r="AGV89" s="1056"/>
      <c r="AGW89" s="1056"/>
      <c r="AGX89" s="1056"/>
      <c r="AGY89" s="1056"/>
      <c r="AGZ89" s="1056"/>
      <c r="AHA89" s="1056"/>
      <c r="AHB89" s="1056"/>
      <c r="AHC89" s="1056"/>
      <c r="AHD89" s="1056"/>
      <c r="AHE89" s="1056"/>
      <c r="AHF89" s="1056"/>
      <c r="AHG89" s="1056"/>
      <c r="AHH89" s="1056"/>
      <c r="AHI89" s="1056"/>
      <c r="AHJ89" s="1056"/>
      <c r="AHK89" s="1056"/>
      <c r="AHL89" s="1056"/>
      <c r="AHM89" s="1056"/>
      <c r="AHN89" s="1056"/>
      <c r="AHO89" s="1056"/>
      <c r="AHP89" s="1056"/>
      <c r="AHQ89" s="1056"/>
      <c r="AHR89" s="1056"/>
      <c r="AHS89" s="1056"/>
      <c r="AHT89" s="1056"/>
      <c r="AHU89" s="1056"/>
      <c r="AHV89" s="1056"/>
      <c r="AHW89" s="1056"/>
      <c r="AHX89" s="1056"/>
      <c r="AHY89" s="1056"/>
      <c r="AHZ89" s="1056"/>
      <c r="AIA89" s="1056"/>
      <c r="AIB89" s="1056"/>
      <c r="AIC89" s="1056"/>
      <c r="AID89" s="1056"/>
      <c r="AIE89" s="1056"/>
      <c r="AIF89" s="1056"/>
      <c r="AIG89" s="1056"/>
      <c r="AIH89" s="1056"/>
      <c r="AII89" s="1056"/>
      <c r="AIJ89" s="1056"/>
      <c r="AIK89" s="1056"/>
      <c r="AIL89" s="1056"/>
      <c r="AIM89" s="1056"/>
      <c r="AIN89" s="1056"/>
      <c r="AIO89" s="1056"/>
      <c r="AIP89" s="1056"/>
      <c r="AIQ89" s="1056"/>
      <c r="AIR89" s="1056"/>
      <c r="AIS89" s="1056"/>
      <c r="AIT89" s="1056"/>
      <c r="AIU89" s="1056"/>
      <c r="AIV89" s="1056"/>
      <c r="AIW89" s="1056"/>
      <c r="AIX89" s="1056"/>
      <c r="AIY89" s="1056"/>
      <c r="AIZ89" s="1056"/>
      <c r="AJA89" s="1056"/>
      <c r="AJB89" s="1056"/>
      <c r="AJC89" s="1056"/>
      <c r="AJD89" s="1056"/>
      <c r="AJE89" s="1056"/>
      <c r="AJF89" s="1056"/>
      <c r="AJG89" s="1056"/>
      <c r="AJH89" s="1056"/>
      <c r="AJI89" s="1056"/>
      <c r="AJJ89" s="1056"/>
      <c r="AJK89" s="1056"/>
      <c r="AJL89" s="1056"/>
      <c r="AJM89" s="1056"/>
      <c r="AJN89" s="1056"/>
      <c r="AJO89" s="1056"/>
      <c r="AJP89" s="1056"/>
      <c r="AJQ89" s="1056"/>
      <c r="AJR89" s="1056"/>
      <c r="AJS89" s="1056"/>
      <c r="AJT89" s="1056"/>
      <c r="AJU89" s="1056"/>
      <c r="AJV89" s="1056"/>
      <c r="AJW89" s="1056"/>
      <c r="AJX89" s="1056"/>
      <c r="AJY89" s="1056"/>
      <c r="AJZ89" s="1056"/>
      <c r="AKA89" s="1056"/>
      <c r="AKB89" s="1056"/>
      <c r="AKC89" s="1056"/>
      <c r="AKD89" s="1056"/>
      <c r="AKE89" s="1056"/>
      <c r="AKF89" s="1056"/>
      <c r="AKG89" s="1056"/>
      <c r="AKH89" s="1056"/>
      <c r="AKI89" s="1056"/>
      <c r="AKJ89" s="1056"/>
      <c r="AKK89" s="1056"/>
      <c r="AKL89" s="1056"/>
      <c r="AKM89" s="1056"/>
      <c r="AKN89" s="1056"/>
      <c r="AKO89" s="1056"/>
      <c r="AKP89" s="1056"/>
      <c r="AKQ89" s="1056"/>
      <c r="AKR89" s="1056"/>
      <c r="AKS89" s="1056"/>
      <c r="AKT89" s="1056"/>
      <c r="AKU89" s="1056"/>
      <c r="AKV89" s="1056"/>
      <c r="AKW89" s="1056"/>
      <c r="AKX89" s="1056"/>
      <c r="AKY89" s="1056"/>
      <c r="AKZ89" s="1056"/>
      <c r="ALA89" s="1056"/>
      <c r="ALB89" s="1056"/>
      <c r="ALC89" s="1056"/>
      <c r="ALD89" s="1056"/>
      <c r="ALE89" s="1056"/>
      <c r="ALF89" s="1056"/>
      <c r="ALG89" s="1056"/>
      <c r="ALH89" s="1056"/>
      <c r="ALI89" s="1056"/>
      <c r="ALJ89" s="1056"/>
      <c r="ALK89" s="1056"/>
      <c r="ALL89" s="1056"/>
      <c r="ALM89" s="1056"/>
      <c r="ALN89" s="1056"/>
      <c r="ALO89" s="1056"/>
      <c r="ALP89" s="1056"/>
      <c r="ALQ89" s="1056"/>
      <c r="ALR89" s="1056"/>
      <c r="ALS89" s="1056"/>
      <c r="ALT89" s="1056"/>
      <c r="ALU89" s="1056"/>
      <c r="ALV89" s="1056"/>
      <c r="ALW89" s="1056"/>
      <c r="ALX89" s="1056"/>
      <c r="ALY89" s="1056"/>
      <c r="ALZ89" s="1056"/>
      <c r="AMA89" s="1056"/>
      <c r="AMB89" s="1056"/>
      <c r="AMC89" s="1056"/>
      <c r="AMD89" s="1056"/>
      <c r="AME89" s="1056"/>
      <c r="AMF89" s="1056"/>
      <c r="AMG89" s="1056"/>
      <c r="AMH89" s="1056"/>
      <c r="AMI89" s="1056"/>
      <c r="AMJ89" s="1056"/>
      <c r="AMK89" s="1056"/>
      <c r="AML89" s="1056"/>
      <c r="AMM89" s="1056"/>
      <c r="AMN89" s="1056"/>
      <c r="AMO89" s="1056"/>
      <c r="AMP89" s="1056"/>
      <c r="AMQ89" s="1056"/>
      <c r="AMR89" s="1056"/>
      <c r="AMS89" s="1056"/>
      <c r="AMT89" s="1056"/>
      <c r="AMU89" s="1056"/>
      <c r="AMV89" s="1056"/>
      <c r="AMW89" s="1056"/>
      <c r="AMX89" s="1056"/>
      <c r="AMY89" s="1056"/>
      <c r="AMZ89" s="1056"/>
      <c r="ANA89" s="1056"/>
      <c r="ANB89" s="1056"/>
      <c r="ANC89" s="1056"/>
      <c r="AND89" s="1056"/>
      <c r="ANE89" s="1056"/>
      <c r="ANF89" s="1056"/>
      <c r="ANG89" s="1056"/>
      <c r="ANH89" s="1056"/>
      <c r="ANI89" s="1056"/>
      <c r="ANJ89" s="1056"/>
      <c r="ANK89" s="1056"/>
      <c r="ANL89" s="1056"/>
      <c r="ANM89" s="1056"/>
      <c r="ANN89" s="1056"/>
      <c r="ANO89" s="1056"/>
      <c r="ANP89" s="1056"/>
      <c r="ANQ89" s="1056"/>
      <c r="ANR89" s="1056"/>
      <c r="ANS89" s="1056"/>
      <c r="ANT89" s="1056"/>
      <c r="ANU89" s="1056"/>
      <c r="ANV89" s="1056"/>
      <c r="ANW89" s="1056"/>
      <c r="ANX89" s="1056"/>
      <c r="ANY89" s="1056"/>
      <c r="ANZ89" s="1056"/>
      <c r="AOA89" s="1056"/>
      <c r="AOB89" s="1056"/>
      <c r="AOC89" s="1056"/>
      <c r="AOD89" s="1056"/>
      <c r="AOE89" s="1056"/>
      <c r="AOF89" s="1056"/>
      <c r="AOG89" s="1056"/>
      <c r="AOH89" s="1056"/>
      <c r="AOI89" s="1056"/>
      <c r="AOJ89" s="1056"/>
      <c r="AOK89" s="1056"/>
      <c r="AOL89" s="1056"/>
      <c r="AOM89" s="1056"/>
      <c r="AON89" s="1056"/>
      <c r="AOO89" s="1056"/>
      <c r="AOP89" s="1056"/>
      <c r="AOQ89" s="1056"/>
      <c r="AOR89" s="1056"/>
      <c r="AOS89" s="1056"/>
      <c r="AOT89" s="1056"/>
      <c r="AOU89" s="1056"/>
      <c r="AOV89" s="1056"/>
      <c r="AOW89" s="1056"/>
      <c r="AOX89" s="1056"/>
      <c r="AOY89" s="1056"/>
      <c r="AOZ89" s="1056"/>
      <c r="APA89" s="1056"/>
      <c r="APB89" s="1056"/>
      <c r="APC89" s="1056"/>
      <c r="APD89" s="1056"/>
      <c r="APE89" s="1056"/>
      <c r="APF89" s="1056"/>
      <c r="APG89" s="1056"/>
      <c r="APH89" s="1056"/>
      <c r="API89" s="1056"/>
      <c r="APJ89" s="1056"/>
      <c r="APK89" s="1056"/>
      <c r="APL89" s="1056"/>
      <c r="APM89" s="1056"/>
      <c r="APN89" s="1056"/>
      <c r="APO89" s="1056"/>
      <c r="APP89" s="1056"/>
      <c r="APQ89" s="1056"/>
      <c r="APR89" s="1056"/>
      <c r="APS89" s="1056"/>
      <c r="APT89" s="1056"/>
      <c r="APU89" s="1056"/>
      <c r="APV89" s="1056"/>
      <c r="APW89" s="1056"/>
      <c r="APX89" s="1056"/>
      <c r="APY89" s="1056"/>
      <c r="APZ89" s="1056"/>
      <c r="AQA89" s="1056"/>
      <c r="AQB89" s="1056"/>
      <c r="AQC89" s="1056"/>
      <c r="AQD89" s="1056"/>
      <c r="AQE89" s="1056"/>
      <c r="AQF89" s="1056"/>
      <c r="AQG89" s="1056"/>
      <c r="AQH89" s="1056"/>
      <c r="AQI89" s="1056"/>
      <c r="AQJ89" s="1056"/>
      <c r="AQK89" s="1056"/>
      <c r="AQL89" s="1056"/>
      <c r="AQM89" s="1056"/>
      <c r="AQN89" s="1056"/>
      <c r="AQO89" s="1056"/>
      <c r="AQP89" s="1056"/>
      <c r="AQQ89" s="1056"/>
      <c r="AQR89" s="1056"/>
      <c r="AQS89" s="1056"/>
      <c r="AQT89" s="1056"/>
      <c r="AQU89" s="1056"/>
      <c r="AQV89" s="1056"/>
      <c r="AQW89" s="1056"/>
      <c r="AQX89" s="1056"/>
      <c r="AQY89" s="1056"/>
      <c r="AQZ89" s="1056"/>
      <c r="ARA89" s="1056"/>
      <c r="ARB89" s="1056"/>
      <c r="ARC89" s="1056"/>
      <c r="ARD89" s="1056"/>
      <c r="ARE89" s="1056"/>
      <c r="ARF89" s="1056"/>
      <c r="ARG89" s="1056"/>
      <c r="ARH89" s="1056"/>
      <c r="ARI89" s="1056"/>
      <c r="ARJ89" s="1056"/>
      <c r="ARK89" s="1056"/>
      <c r="ARL89" s="1056"/>
      <c r="ARM89" s="1056"/>
      <c r="ARN89" s="1056"/>
      <c r="ARO89" s="1056"/>
      <c r="ARP89" s="1056"/>
      <c r="ARQ89" s="1056"/>
      <c r="ARR89" s="1056"/>
      <c r="ARS89" s="1056"/>
      <c r="ART89" s="1056"/>
      <c r="ARU89" s="1056"/>
      <c r="ARV89" s="1056"/>
      <c r="ARW89" s="1056"/>
      <c r="ARX89" s="1056"/>
      <c r="ARY89" s="1056"/>
      <c r="ARZ89" s="1056"/>
      <c r="ASA89" s="1056"/>
      <c r="ASB89" s="1056"/>
      <c r="ASC89" s="1056"/>
      <c r="ASD89" s="1056"/>
      <c r="ASE89" s="1056"/>
      <c r="ASF89" s="1056"/>
      <c r="ASG89" s="1056"/>
      <c r="ASH89" s="1056"/>
      <c r="ASI89" s="1056"/>
      <c r="ASJ89" s="1056"/>
      <c r="ASK89" s="1056"/>
      <c r="ASL89" s="1056"/>
      <c r="ASM89" s="1056"/>
      <c r="ASN89" s="1056"/>
      <c r="ASO89" s="1056"/>
      <c r="ASP89" s="1056"/>
      <c r="ASQ89" s="1056"/>
      <c r="ASR89" s="1056"/>
      <c r="ASS89" s="1056"/>
      <c r="AST89" s="1056"/>
      <c r="ASU89" s="1056"/>
      <c r="ASV89" s="1056"/>
      <c r="ASW89" s="1056"/>
      <c r="ASX89" s="1056"/>
      <c r="ASY89" s="1056"/>
      <c r="ASZ89" s="1056"/>
      <c r="ATA89" s="1056"/>
      <c r="ATB89" s="1056"/>
      <c r="ATC89" s="1056"/>
      <c r="ATD89" s="1056"/>
      <c r="ATE89" s="1056"/>
      <c r="ATF89" s="1056"/>
      <c r="ATG89" s="1056"/>
      <c r="ATH89" s="1056"/>
      <c r="ATI89" s="1056"/>
      <c r="ATJ89" s="1056"/>
      <c r="ATK89" s="1056"/>
      <c r="ATL89" s="1056"/>
      <c r="ATM89" s="1056"/>
      <c r="ATN89" s="1056"/>
      <c r="ATO89" s="1056"/>
      <c r="ATP89" s="1056"/>
      <c r="ATQ89" s="1056"/>
      <c r="ATR89" s="1056"/>
      <c r="ATS89" s="1056"/>
      <c r="ATT89" s="1056"/>
      <c r="ATU89" s="1056"/>
      <c r="ATV89" s="1056"/>
      <c r="ATW89" s="1056"/>
      <c r="ATX89" s="1056"/>
      <c r="ATY89" s="1056"/>
      <c r="ATZ89" s="1056"/>
      <c r="AUA89" s="1056"/>
      <c r="AUB89" s="1056"/>
      <c r="AUC89" s="1056"/>
      <c r="AUD89" s="1056"/>
      <c r="AUE89" s="1056"/>
      <c r="AUF89" s="1056"/>
      <c r="AUG89" s="1056"/>
      <c r="AUH89" s="1056"/>
      <c r="AUI89" s="1056"/>
      <c r="AUJ89" s="1056"/>
      <c r="AUK89" s="1056"/>
      <c r="AUL89" s="1056"/>
      <c r="AUM89" s="1056"/>
      <c r="AUN89" s="1056"/>
      <c r="AUO89" s="1056"/>
      <c r="AUP89" s="1056"/>
      <c r="AUQ89" s="1056"/>
      <c r="AUR89" s="1056"/>
      <c r="AUS89" s="1056"/>
      <c r="AUT89" s="1056"/>
      <c r="AUU89" s="1056"/>
      <c r="AUV89" s="1056"/>
      <c r="AUW89" s="1056"/>
      <c r="AUX89" s="1056"/>
      <c r="AUY89" s="1056"/>
      <c r="AUZ89" s="1056"/>
      <c r="AVA89" s="1056"/>
      <c r="AVB89" s="1056"/>
      <c r="AVC89" s="1056"/>
      <c r="AVD89" s="1056"/>
      <c r="AVE89" s="1056"/>
      <c r="AVF89" s="1056"/>
      <c r="AVG89" s="1056"/>
      <c r="AVH89" s="1056"/>
      <c r="AVI89" s="1056"/>
      <c r="AVJ89" s="1056"/>
      <c r="AVK89" s="1056"/>
      <c r="AVL89" s="1056"/>
      <c r="AVM89" s="1056"/>
      <c r="AVN89" s="1056"/>
      <c r="AVO89" s="1056"/>
      <c r="AVP89" s="1056"/>
      <c r="AVQ89" s="1056"/>
      <c r="AVR89" s="1056"/>
      <c r="AVS89" s="1056"/>
      <c r="AVT89" s="1056"/>
      <c r="AVU89" s="1056"/>
      <c r="AVV89" s="1056"/>
      <c r="AVW89" s="1056"/>
      <c r="AVX89" s="1056"/>
      <c r="AVY89" s="1056"/>
      <c r="AVZ89" s="1056"/>
      <c r="AWA89" s="1056"/>
      <c r="AWB89" s="1056"/>
      <c r="AWC89" s="1056"/>
      <c r="AWD89" s="1056"/>
      <c r="AWE89" s="1056"/>
      <c r="AWF89" s="1056"/>
      <c r="AWG89" s="1056"/>
      <c r="AWH89" s="1056"/>
      <c r="AWI89" s="1056"/>
      <c r="AWJ89" s="1056"/>
      <c r="AWK89" s="1056"/>
      <c r="AWL89" s="1056"/>
      <c r="AWM89" s="1056"/>
      <c r="AWN89" s="1056"/>
      <c r="AWO89" s="1056"/>
      <c r="AWP89" s="1056"/>
      <c r="AWQ89" s="1056"/>
      <c r="AWR89" s="1056"/>
      <c r="AWS89" s="1056"/>
      <c r="AWT89" s="1056"/>
      <c r="AWU89" s="1056"/>
      <c r="AWV89" s="1056"/>
      <c r="AWW89" s="1056"/>
      <c r="AWX89" s="1056"/>
      <c r="AWY89" s="1056"/>
      <c r="AWZ89" s="1056"/>
      <c r="AXA89" s="1056"/>
      <c r="AXB89" s="1056"/>
      <c r="AXC89" s="1056"/>
      <c r="AXD89" s="1056"/>
      <c r="AXE89" s="1056"/>
      <c r="AXF89" s="1056"/>
      <c r="AXG89" s="1056"/>
      <c r="AXH89" s="1056"/>
      <c r="AXI89" s="1056"/>
      <c r="AXJ89" s="1056"/>
      <c r="AXK89" s="1056"/>
      <c r="AXL89" s="1056"/>
      <c r="AXM89" s="1056"/>
      <c r="AXN89" s="1056"/>
      <c r="AXO89" s="1056"/>
      <c r="AXP89" s="1056"/>
      <c r="AXQ89" s="1056"/>
      <c r="AXR89" s="1056"/>
      <c r="AXS89" s="1056"/>
      <c r="AXT89" s="1056"/>
      <c r="AXU89" s="1056"/>
      <c r="AXV89" s="1056"/>
      <c r="AXW89" s="1056"/>
      <c r="AXX89" s="1056"/>
      <c r="AXY89" s="1056"/>
      <c r="AXZ89" s="1056"/>
      <c r="AYA89" s="1056"/>
      <c r="AYB89" s="1056"/>
      <c r="AYC89" s="1056"/>
      <c r="AYD89" s="1056"/>
      <c r="AYE89" s="1056"/>
      <c r="AYF89" s="1056"/>
      <c r="AYG89" s="1056"/>
      <c r="AYH89" s="1056"/>
      <c r="AYI89" s="1056"/>
      <c r="AYJ89" s="1056"/>
      <c r="AYK89" s="1056"/>
      <c r="AYL89" s="1056"/>
      <c r="AYM89" s="1056"/>
      <c r="AYN89" s="1056"/>
      <c r="AYO89" s="1056"/>
      <c r="AYP89" s="1056"/>
      <c r="AYQ89" s="1056"/>
      <c r="AYR89" s="1056"/>
      <c r="AYS89" s="1056"/>
      <c r="AYT89" s="1056"/>
      <c r="AYU89" s="1056"/>
      <c r="AYV89" s="1056"/>
      <c r="AYW89" s="1056"/>
      <c r="AYX89" s="1056"/>
      <c r="AYY89" s="1056"/>
      <c r="AYZ89" s="1056"/>
      <c r="AZA89" s="1056"/>
      <c r="AZB89" s="1056"/>
      <c r="AZC89" s="1056"/>
      <c r="AZD89" s="1056"/>
      <c r="AZE89" s="1056"/>
      <c r="AZF89" s="1056"/>
      <c r="AZG89" s="1056"/>
      <c r="AZH89" s="1056"/>
      <c r="AZI89" s="1056"/>
      <c r="AZJ89" s="1056"/>
      <c r="AZK89" s="1056"/>
      <c r="AZL89" s="1056"/>
      <c r="AZM89" s="1056"/>
      <c r="AZN89" s="1056"/>
      <c r="AZO89" s="1056"/>
      <c r="AZP89" s="1056"/>
      <c r="AZQ89" s="1056"/>
      <c r="AZR89" s="1056"/>
      <c r="AZS89" s="1056"/>
      <c r="AZT89" s="1056"/>
      <c r="AZU89" s="1056"/>
      <c r="AZV89" s="1056"/>
      <c r="AZW89" s="1056"/>
      <c r="AZX89" s="1056"/>
      <c r="AZY89" s="1056"/>
      <c r="AZZ89" s="1056"/>
      <c r="BAA89" s="1056"/>
      <c r="BAB89" s="1056"/>
      <c r="BAC89" s="1056"/>
      <c r="BAD89" s="1056"/>
      <c r="BAE89" s="1056"/>
      <c r="BAF89" s="1056"/>
      <c r="BAG89" s="1056"/>
      <c r="BAH89" s="1056"/>
      <c r="BAI89" s="1056"/>
      <c r="BAJ89" s="1056"/>
      <c r="BAK89" s="1056"/>
      <c r="BAL89" s="1056"/>
      <c r="BAM89" s="1056"/>
      <c r="BAN89" s="1056"/>
      <c r="BAO89" s="1056"/>
      <c r="BAP89" s="1056"/>
      <c r="BAQ89" s="1056"/>
      <c r="BAR89" s="1056"/>
      <c r="BAS89" s="1056"/>
      <c r="BAT89" s="1056"/>
      <c r="BAU89" s="1056"/>
      <c r="BAV89" s="1056"/>
      <c r="BAW89" s="1056"/>
      <c r="BAX89" s="1056"/>
      <c r="BAY89" s="1056"/>
      <c r="BAZ89" s="1056"/>
      <c r="BBA89" s="1056"/>
      <c r="BBB89" s="1056"/>
      <c r="BBC89" s="1056"/>
      <c r="BBD89" s="1056"/>
      <c r="BBE89" s="1056"/>
      <c r="BBF89" s="1056"/>
      <c r="BBG89" s="1056"/>
      <c r="BBH89" s="1056"/>
      <c r="BBI89" s="1056"/>
      <c r="BBJ89" s="1056"/>
      <c r="BBK89" s="1056"/>
      <c r="BBL89" s="1056"/>
      <c r="BBM89" s="1056"/>
      <c r="BBN89" s="1056"/>
      <c r="BBO89" s="1056"/>
      <c r="BBP89" s="1056"/>
      <c r="BBQ89" s="1056"/>
      <c r="BBR89" s="1056"/>
      <c r="BBS89" s="1056"/>
      <c r="BBT89" s="1056"/>
      <c r="BBU89" s="1056"/>
      <c r="BBV89" s="1056"/>
      <c r="BBW89" s="1056"/>
      <c r="BBX89" s="1056"/>
      <c r="BBY89" s="1056"/>
      <c r="BBZ89" s="1056"/>
      <c r="BCA89" s="1056"/>
      <c r="BCB89" s="1056"/>
      <c r="BCC89" s="1056"/>
      <c r="BCD89" s="1056"/>
      <c r="BCE89" s="1056"/>
      <c r="BCF89" s="1056"/>
      <c r="BCG89" s="1056"/>
      <c r="BCH89" s="1056"/>
      <c r="BCI89" s="1056"/>
      <c r="BCJ89" s="1056"/>
      <c r="BCK89" s="1056"/>
      <c r="BCL89" s="1056"/>
      <c r="BCM89" s="1056"/>
      <c r="BCN89" s="1056"/>
      <c r="BCO89" s="1056"/>
      <c r="BCP89" s="1056"/>
      <c r="BCQ89" s="1056"/>
      <c r="BCR89" s="1056"/>
      <c r="BCS89" s="1056"/>
      <c r="BCT89" s="1056"/>
      <c r="BCU89" s="1056"/>
      <c r="BCV89" s="1056"/>
      <c r="BCW89" s="1056"/>
      <c r="BCX89" s="1056"/>
      <c r="BCY89" s="1056"/>
      <c r="BCZ89" s="1056"/>
      <c r="BDA89" s="1056"/>
      <c r="BDB89" s="1056"/>
      <c r="BDC89" s="1056"/>
      <c r="BDD89" s="1056"/>
      <c r="BDE89" s="1056"/>
      <c r="BDF89" s="1056"/>
      <c r="BDG89" s="1056"/>
      <c r="BDH89" s="1056"/>
      <c r="BDI89" s="1056"/>
      <c r="BDJ89" s="1056"/>
      <c r="BDK89" s="1056"/>
      <c r="BDL89" s="1056"/>
      <c r="BDM89" s="1056"/>
      <c r="BDN89" s="1056"/>
      <c r="BDO89" s="1056"/>
      <c r="BDP89" s="1056"/>
      <c r="BDQ89" s="1056"/>
      <c r="BDR89" s="1056"/>
      <c r="BDS89" s="1056"/>
      <c r="BDT89" s="1056"/>
      <c r="BDU89" s="1056"/>
      <c r="BDV89" s="1056"/>
      <c r="BDW89" s="1056"/>
      <c r="BDX89" s="1056"/>
      <c r="BDY89" s="1056"/>
      <c r="BDZ89" s="1056"/>
      <c r="BEA89" s="1056"/>
      <c r="BEB89" s="1056"/>
      <c r="BEC89" s="1056"/>
      <c r="BED89" s="1056"/>
      <c r="BEE89" s="1056"/>
      <c r="BEF89" s="1056"/>
      <c r="BEG89" s="1056"/>
      <c r="BEH89" s="1056"/>
      <c r="BEI89" s="1056"/>
      <c r="BEJ89" s="1056"/>
      <c r="BEK89" s="1056"/>
      <c r="BEL89" s="1056"/>
      <c r="BEM89" s="1056"/>
      <c r="BEN89" s="1056"/>
      <c r="BEO89" s="1056"/>
      <c r="BEP89" s="1056"/>
      <c r="BEQ89" s="1056"/>
      <c r="BER89" s="1056"/>
      <c r="BES89" s="1056"/>
      <c r="BET89" s="1056"/>
      <c r="BEU89" s="1056"/>
      <c r="BEV89" s="1056"/>
      <c r="BEW89" s="1056"/>
      <c r="BEX89" s="1056"/>
      <c r="BEY89" s="1056"/>
      <c r="BEZ89" s="1056"/>
      <c r="BFA89" s="1056"/>
      <c r="BFB89" s="1056"/>
      <c r="BFC89" s="1056"/>
      <c r="BFD89" s="1056"/>
      <c r="BFE89" s="1056"/>
      <c r="BFF89" s="1056"/>
      <c r="BFG89" s="1056"/>
      <c r="BFH89" s="1056"/>
      <c r="BFI89" s="1056"/>
      <c r="BFJ89" s="1056"/>
      <c r="BFK89" s="1056"/>
      <c r="BFL89" s="1056"/>
      <c r="BFM89" s="1056"/>
      <c r="BFN89" s="1056"/>
      <c r="BFO89" s="1056"/>
      <c r="BFP89" s="1056"/>
      <c r="BFQ89" s="1056"/>
      <c r="BFR89" s="1056"/>
      <c r="BFS89" s="1056"/>
      <c r="BFT89" s="1056"/>
      <c r="BFU89" s="1056"/>
      <c r="BFV89" s="1056"/>
      <c r="BFW89" s="1056"/>
      <c r="BFX89" s="1056"/>
      <c r="BFY89" s="1056"/>
      <c r="BFZ89" s="1056"/>
      <c r="BGA89" s="1056"/>
      <c r="BGB89" s="1056"/>
      <c r="BGC89" s="1056"/>
      <c r="BGD89" s="1056"/>
      <c r="BGE89" s="1056"/>
      <c r="BGF89" s="1056"/>
      <c r="BGG89" s="1056"/>
      <c r="BGH89" s="1056"/>
      <c r="BGI89" s="1056"/>
      <c r="BGJ89" s="1056"/>
      <c r="BGK89" s="1056"/>
      <c r="BGL89" s="1056"/>
      <c r="BGM89" s="1056"/>
      <c r="BGN89" s="1056"/>
      <c r="BGO89" s="1056"/>
      <c r="BGP89" s="1056"/>
      <c r="BGQ89" s="1056"/>
      <c r="BGR89" s="1056"/>
      <c r="BGS89" s="1056"/>
      <c r="BGT89" s="1056"/>
      <c r="BGU89" s="1056"/>
      <c r="BGV89" s="1056"/>
      <c r="BGW89" s="1056"/>
      <c r="BGX89" s="1056"/>
      <c r="BGY89" s="1056"/>
      <c r="BGZ89" s="1056"/>
      <c r="BHA89" s="1056"/>
      <c r="BHB89" s="1056"/>
      <c r="BHC89" s="1056"/>
      <c r="BHD89" s="1056"/>
      <c r="BHE89" s="1056"/>
      <c r="BHF89" s="1056"/>
      <c r="BHG89" s="1056"/>
      <c r="BHH89" s="1056"/>
      <c r="BHI89" s="1056"/>
      <c r="BHJ89" s="1056"/>
      <c r="BHK89" s="1056"/>
      <c r="BHL89" s="1056"/>
      <c r="BHM89" s="1056"/>
      <c r="BHN89" s="1056"/>
      <c r="BHO89" s="1056"/>
      <c r="BHP89" s="1056"/>
      <c r="BHQ89" s="1056"/>
      <c r="BHR89" s="1056"/>
      <c r="BHS89" s="1056"/>
      <c r="BHT89" s="1056"/>
      <c r="BHU89" s="1056"/>
      <c r="BHV89" s="1056"/>
      <c r="BHW89" s="1056"/>
      <c r="BHX89" s="1056"/>
      <c r="BHY89" s="1056"/>
      <c r="BHZ89" s="1056"/>
      <c r="BIA89" s="1056"/>
      <c r="BIB89" s="1056"/>
      <c r="BIC89" s="1056"/>
      <c r="BID89" s="1056"/>
      <c r="BIE89" s="1056"/>
      <c r="BIF89" s="1056"/>
      <c r="BIG89" s="1056"/>
      <c r="BIH89" s="1056"/>
      <c r="BII89" s="1056"/>
      <c r="BIJ89" s="1056"/>
      <c r="BIK89" s="1056"/>
      <c r="BIL89" s="1056"/>
      <c r="BIM89" s="1056"/>
      <c r="BIN89" s="1056"/>
      <c r="BIO89" s="1056"/>
      <c r="BIP89" s="1056"/>
      <c r="BIQ89" s="1056"/>
      <c r="BIR89" s="1056"/>
      <c r="BIS89" s="1056"/>
      <c r="BIT89" s="1056"/>
      <c r="BIU89" s="1056"/>
      <c r="BIV89" s="1056"/>
      <c r="BIW89" s="1056"/>
      <c r="BIX89" s="1056"/>
      <c r="BIY89" s="1056"/>
      <c r="BIZ89" s="1056"/>
      <c r="BJA89" s="1056"/>
      <c r="BJB89" s="1056"/>
      <c r="BJC89" s="1056"/>
      <c r="BJD89" s="1056"/>
      <c r="BJE89" s="1056"/>
      <c r="BJF89" s="1056"/>
      <c r="BJG89" s="1056"/>
      <c r="BJH89" s="1056"/>
      <c r="BJI89" s="1056"/>
      <c r="BJJ89" s="1056"/>
      <c r="BJK89" s="1056"/>
      <c r="BJL89" s="1056"/>
      <c r="BJM89" s="1056"/>
      <c r="BJN89" s="1056"/>
      <c r="BJO89" s="1056"/>
      <c r="BJP89" s="1056"/>
      <c r="BJQ89" s="1056"/>
      <c r="BJR89" s="1056"/>
      <c r="BJS89" s="1056"/>
      <c r="BJT89" s="1056"/>
      <c r="BJU89" s="1056"/>
      <c r="BJV89" s="1056"/>
      <c r="BJW89" s="1056"/>
      <c r="BJX89" s="1056"/>
      <c r="BJY89" s="1056"/>
      <c r="BJZ89" s="1056"/>
      <c r="BKA89" s="1056"/>
      <c r="BKB89" s="1056"/>
      <c r="BKC89" s="1056"/>
      <c r="BKD89" s="1056"/>
      <c r="BKE89" s="1056"/>
      <c r="BKF89" s="1056"/>
      <c r="BKG89" s="1056"/>
      <c r="BKH89" s="1056"/>
      <c r="BKI89" s="1056"/>
      <c r="BKJ89" s="1056"/>
      <c r="BKK89" s="1056"/>
      <c r="BKL89" s="1056"/>
      <c r="BKM89" s="1056"/>
      <c r="BKN89" s="1056"/>
      <c r="BKO89" s="1056"/>
      <c r="BKP89" s="1056"/>
      <c r="BKQ89" s="1056"/>
      <c r="BKR89" s="1056"/>
      <c r="BKS89" s="1056"/>
      <c r="BKT89" s="1056"/>
      <c r="BKU89" s="1056"/>
      <c r="BKV89" s="1056"/>
      <c r="BKW89" s="1056"/>
      <c r="BKX89" s="1056"/>
      <c r="BKY89" s="1056"/>
      <c r="BKZ89" s="1056"/>
      <c r="BLA89" s="1056"/>
      <c r="BLB89" s="1056"/>
      <c r="BLC89" s="1056"/>
      <c r="BLD89" s="1056"/>
      <c r="BLE89" s="1056"/>
      <c r="BLF89" s="1056"/>
      <c r="BLG89" s="1056"/>
      <c r="BLH89" s="1056"/>
      <c r="BLI89" s="1056"/>
      <c r="BLJ89" s="1056"/>
      <c r="BLK89" s="1056"/>
      <c r="BLL89" s="1056"/>
      <c r="BLM89" s="1056"/>
      <c r="BLN89" s="1056"/>
      <c r="BLO89" s="1056"/>
      <c r="BLP89" s="1056"/>
      <c r="BLQ89" s="1056"/>
      <c r="BLR89" s="1056"/>
      <c r="BLS89" s="1056"/>
      <c r="BLT89" s="1056"/>
      <c r="BLU89" s="1056"/>
      <c r="BLV89" s="1056"/>
      <c r="BLW89" s="1056"/>
      <c r="BLX89" s="1056"/>
      <c r="BLY89" s="1056"/>
      <c r="BLZ89" s="1056"/>
      <c r="BMA89" s="1056"/>
      <c r="BMB89" s="1056"/>
      <c r="BMC89" s="1056"/>
      <c r="BMD89" s="1056"/>
      <c r="BME89" s="1056"/>
      <c r="BMF89" s="1056"/>
      <c r="BMG89" s="1056"/>
      <c r="BMH89" s="1056"/>
      <c r="BMI89" s="1056"/>
      <c r="BMJ89" s="1056"/>
      <c r="BMK89" s="1056"/>
      <c r="BML89" s="1056"/>
      <c r="BMM89" s="1056"/>
      <c r="BMN89" s="1056"/>
      <c r="BMO89" s="1056"/>
      <c r="BMP89" s="1056"/>
      <c r="BMQ89" s="1056"/>
      <c r="BMR89" s="1056"/>
      <c r="BMS89" s="1056"/>
      <c r="BMT89" s="1056"/>
      <c r="BMU89" s="1056"/>
      <c r="BMV89" s="1056"/>
      <c r="BMW89" s="1056"/>
      <c r="BMX89" s="1056"/>
      <c r="BMY89" s="1056"/>
      <c r="BMZ89" s="1056"/>
      <c r="BNA89" s="1056"/>
      <c r="BNB89" s="1056"/>
      <c r="BNC89" s="1056"/>
      <c r="BND89" s="1056"/>
      <c r="BNE89" s="1056"/>
      <c r="BNF89" s="1056"/>
      <c r="BNG89" s="1056"/>
      <c r="BNH89" s="1056"/>
      <c r="BNI89" s="1056"/>
      <c r="BNJ89" s="1056"/>
      <c r="BNK89" s="1056"/>
      <c r="BNL89" s="1056"/>
      <c r="BNM89" s="1056"/>
      <c r="BNN89" s="1056"/>
      <c r="BNO89" s="1056"/>
      <c r="BNP89" s="1056"/>
      <c r="BNQ89" s="1056"/>
      <c r="BNR89" s="1056"/>
      <c r="BNS89" s="1056"/>
      <c r="BNT89" s="1056"/>
      <c r="BNU89" s="1056"/>
      <c r="BNV89" s="1056"/>
      <c r="BNW89" s="1056"/>
      <c r="BNX89" s="1056"/>
      <c r="BNY89" s="1056"/>
      <c r="BNZ89" s="1056"/>
      <c r="BOA89" s="1056"/>
      <c r="BOB89" s="1056"/>
      <c r="BOC89" s="1056"/>
      <c r="BOD89" s="1056"/>
      <c r="BOE89" s="1056"/>
      <c r="BOF89" s="1056"/>
      <c r="BOG89" s="1056"/>
      <c r="BOH89" s="1056"/>
      <c r="BOI89" s="1056"/>
      <c r="BOJ89" s="1056"/>
      <c r="BOK89" s="1056"/>
      <c r="BOL89" s="1056"/>
      <c r="BOM89" s="1056"/>
      <c r="BON89" s="1056"/>
      <c r="BOO89" s="1056"/>
      <c r="BOP89" s="1056"/>
      <c r="BOQ89" s="1056"/>
      <c r="BOR89" s="1056"/>
      <c r="BOS89" s="1056"/>
      <c r="BOT89" s="1056"/>
      <c r="BOU89" s="1056"/>
      <c r="BOV89" s="1056"/>
      <c r="BOW89" s="1056"/>
      <c r="BOX89" s="1056"/>
      <c r="BOY89" s="1056"/>
      <c r="BOZ89" s="1056"/>
      <c r="BPA89" s="1056"/>
      <c r="BPB89" s="1056"/>
      <c r="BPC89" s="1056"/>
      <c r="BPD89" s="1056"/>
      <c r="BPE89" s="1056"/>
      <c r="BPF89" s="1056"/>
      <c r="BPG89" s="1056"/>
      <c r="BPH89" s="1056"/>
      <c r="BPI89" s="1056"/>
      <c r="BPJ89" s="1056"/>
      <c r="BPK89" s="1056"/>
      <c r="BPL89" s="1056"/>
      <c r="BPM89" s="1056"/>
      <c r="BPN89" s="1056"/>
      <c r="BPO89" s="1056"/>
      <c r="BPP89" s="1056"/>
      <c r="BPQ89" s="1056"/>
      <c r="BPR89" s="1056"/>
      <c r="BPS89" s="1056"/>
      <c r="BPT89" s="1056"/>
      <c r="BPU89" s="1056"/>
      <c r="BPV89" s="1056"/>
      <c r="BPW89" s="1056"/>
      <c r="BPX89" s="1056"/>
      <c r="BPY89" s="1056"/>
      <c r="BPZ89" s="1056"/>
      <c r="BQA89" s="1056"/>
      <c r="BQB89" s="1056"/>
      <c r="BQC89" s="1056"/>
      <c r="BQD89" s="1056"/>
      <c r="BQE89" s="1056"/>
      <c r="BQF89" s="1056"/>
      <c r="BQG89" s="1056"/>
      <c r="BQH89" s="1056"/>
      <c r="BQI89" s="1056"/>
      <c r="BQJ89" s="1056"/>
      <c r="BQK89" s="1056"/>
      <c r="BQL89" s="1056"/>
      <c r="BQM89" s="1056"/>
      <c r="BQN89" s="1056"/>
      <c r="BQO89" s="1056"/>
      <c r="BQP89" s="1056"/>
      <c r="BQQ89" s="1056"/>
      <c r="BQR89" s="1056"/>
      <c r="BQS89" s="1056"/>
      <c r="BQT89" s="1056"/>
      <c r="BQU89" s="1056"/>
      <c r="BQV89" s="1056"/>
      <c r="BQW89" s="1056"/>
      <c r="BQX89" s="1056"/>
      <c r="BQY89" s="1056"/>
      <c r="BQZ89" s="1056"/>
      <c r="BRA89" s="1056"/>
      <c r="BRB89" s="1056"/>
      <c r="BRC89" s="1056"/>
      <c r="BRD89" s="1056"/>
      <c r="BRE89" s="1056"/>
      <c r="BRF89" s="1056"/>
      <c r="BRG89" s="1056"/>
      <c r="BRH89" s="1056"/>
      <c r="BRI89" s="1056"/>
      <c r="BRJ89" s="1056"/>
      <c r="BRK89" s="1056"/>
      <c r="BRL89" s="1056"/>
      <c r="BRM89" s="1056"/>
      <c r="BRN89" s="1056"/>
      <c r="BRO89" s="1056"/>
      <c r="BRP89" s="1056"/>
      <c r="BRQ89" s="1056"/>
      <c r="BRR89" s="1056"/>
      <c r="BRS89" s="1056"/>
      <c r="BRT89" s="1056"/>
      <c r="BRU89" s="1056"/>
      <c r="BRV89" s="1056"/>
      <c r="BRW89" s="1056"/>
      <c r="BRX89" s="1056"/>
      <c r="BRY89" s="1056"/>
      <c r="BRZ89" s="1056"/>
      <c r="BSA89" s="1056"/>
      <c r="BSB89" s="1056"/>
      <c r="BSC89" s="1056"/>
      <c r="BSD89" s="1056"/>
      <c r="BSE89" s="1056"/>
      <c r="BSF89" s="1056"/>
      <c r="BSG89" s="1056"/>
      <c r="BSH89" s="1056"/>
      <c r="BSI89" s="1056"/>
      <c r="BSJ89" s="1056"/>
      <c r="BSK89" s="1056"/>
      <c r="BSL89" s="1056"/>
      <c r="BSM89" s="1056"/>
      <c r="BSN89" s="1056"/>
      <c r="BSO89" s="1056"/>
      <c r="BSP89" s="1056"/>
      <c r="BSQ89" s="1056"/>
      <c r="BSR89" s="1056"/>
      <c r="BSS89" s="1056"/>
      <c r="BST89" s="1056"/>
      <c r="BSU89" s="1056"/>
      <c r="BSV89" s="1056"/>
      <c r="BSW89" s="1056"/>
      <c r="BSX89" s="1056"/>
      <c r="BSY89" s="1056"/>
      <c r="BSZ89" s="1056"/>
      <c r="BTA89" s="1056"/>
      <c r="BTB89" s="1056"/>
      <c r="BTC89" s="1056"/>
      <c r="BTD89" s="1056"/>
      <c r="BTE89" s="1056"/>
      <c r="BTF89" s="1056"/>
      <c r="BTG89" s="1056"/>
      <c r="BTH89" s="1056"/>
      <c r="BTI89" s="1056"/>
    </row>
    <row r="90" spans="1:1881" s="1060" customFormat="1" ht="169.5" hidden="1" customHeight="1" thickBot="1" x14ac:dyDescent="0.35">
      <c r="A90" s="1059">
        <v>147</v>
      </c>
      <c r="B90" s="1061" t="s">
        <v>942</v>
      </c>
      <c r="C90" s="1061" t="s">
        <v>943</v>
      </c>
      <c r="D90" s="1052" t="s">
        <v>944</v>
      </c>
      <c r="E90" s="1053" t="e">
        <f>HLOOKUP($D$2,'2020 Data(H)'!$C$1:$AI$426,67,FALSE)</f>
        <v>#N/A</v>
      </c>
      <c r="F90" s="287">
        <v>0</v>
      </c>
      <c r="G90" s="722"/>
      <c r="H90" s="1054"/>
      <c r="I90" s="1055"/>
      <c r="J90" s="1056"/>
      <c r="K90" s="1056"/>
      <c r="L90" s="1057"/>
      <c r="M90" s="1056"/>
      <c r="N90" s="1058"/>
      <c r="O90" s="1056"/>
      <c r="P90" s="1056"/>
      <c r="Q90" s="1056"/>
      <c r="R90" s="1056"/>
      <c r="S90" s="1056"/>
      <c r="T90" s="1056"/>
      <c r="U90" s="1056"/>
      <c r="V90" s="1056"/>
      <c r="W90" s="1056"/>
      <c r="X90" s="1056"/>
      <c r="Y90" s="1056"/>
      <c r="Z90" s="1059"/>
      <c r="AA90" s="1059"/>
      <c r="AB90" s="1059"/>
      <c r="AC90" s="1059"/>
      <c r="AD90" s="1059"/>
      <c r="AE90" s="1059"/>
      <c r="AF90" s="1059"/>
      <c r="AG90" s="1059"/>
      <c r="AH90" s="1059"/>
      <c r="AI90" s="1059"/>
      <c r="AJ90" s="1059"/>
      <c r="AK90" s="1059"/>
      <c r="AL90" s="1059"/>
      <c r="AM90" s="1059"/>
      <c r="AN90" s="1059"/>
      <c r="AO90" s="1059"/>
      <c r="AP90" s="1059"/>
      <c r="AQ90" s="1059"/>
      <c r="AR90" s="1059"/>
      <c r="AS90" s="1056"/>
      <c r="AT90" s="1056"/>
      <c r="AU90" s="1056"/>
      <c r="AV90" s="1056"/>
      <c r="AW90" s="1056"/>
      <c r="AX90" s="1056"/>
      <c r="AY90" s="1056"/>
      <c r="AZ90" s="1056"/>
      <c r="BA90" s="1056"/>
      <c r="BB90" s="1056"/>
      <c r="BC90" s="1056"/>
      <c r="BD90" s="1056"/>
      <c r="BE90" s="1056"/>
      <c r="BF90" s="1056"/>
      <c r="BG90" s="1056"/>
      <c r="BH90" s="1056"/>
      <c r="BI90" s="1056"/>
      <c r="BJ90" s="1056"/>
      <c r="BK90" s="1056"/>
      <c r="BL90" s="1056"/>
      <c r="BM90" s="1056"/>
      <c r="BN90" s="1056"/>
      <c r="BO90" s="1056"/>
      <c r="BP90" s="1056"/>
      <c r="BQ90" s="1056"/>
      <c r="BR90" s="1056"/>
      <c r="BS90" s="1056"/>
      <c r="BT90" s="1056"/>
      <c r="BU90" s="1056"/>
      <c r="BV90" s="1056"/>
      <c r="BW90" s="1056"/>
      <c r="BX90" s="1056"/>
      <c r="BY90" s="1056"/>
      <c r="BZ90" s="1056"/>
      <c r="CA90" s="1056"/>
      <c r="CB90" s="1056"/>
      <c r="CC90" s="1056"/>
      <c r="CD90" s="1056"/>
      <c r="CE90" s="1056"/>
      <c r="CF90" s="1056"/>
      <c r="CG90" s="1056"/>
      <c r="CH90" s="1056"/>
      <c r="CI90" s="1056"/>
      <c r="CJ90" s="1056"/>
      <c r="CK90" s="1056"/>
      <c r="CL90" s="1056"/>
      <c r="CM90" s="1056"/>
      <c r="CN90" s="1056"/>
      <c r="CO90" s="1056"/>
      <c r="CP90" s="1056"/>
      <c r="CQ90" s="1056"/>
      <c r="CR90" s="1056"/>
      <c r="CS90" s="1056"/>
      <c r="CT90" s="1056"/>
      <c r="CU90" s="1056"/>
      <c r="CV90" s="1056"/>
      <c r="CW90" s="1056"/>
      <c r="CX90" s="1056"/>
      <c r="CY90" s="1056"/>
      <c r="CZ90" s="1056"/>
      <c r="DA90" s="1056"/>
      <c r="DB90" s="1056"/>
      <c r="DC90" s="1056"/>
      <c r="DD90" s="1056"/>
      <c r="DE90" s="1056"/>
      <c r="DF90" s="1056"/>
      <c r="DG90" s="1056"/>
      <c r="DH90" s="1056"/>
      <c r="DI90" s="1056"/>
      <c r="DJ90" s="1056"/>
      <c r="DK90" s="1056"/>
      <c r="DL90" s="1056"/>
      <c r="DM90" s="1056"/>
      <c r="DN90" s="1056"/>
      <c r="DO90" s="1056"/>
      <c r="DP90" s="1056"/>
      <c r="DQ90" s="1056"/>
      <c r="DR90" s="1056"/>
      <c r="DS90" s="1056"/>
      <c r="DT90" s="1056"/>
      <c r="DU90" s="1056"/>
      <c r="DV90" s="1056"/>
      <c r="DW90" s="1056"/>
      <c r="DX90" s="1056"/>
      <c r="DY90" s="1056"/>
      <c r="DZ90" s="1056"/>
      <c r="EA90" s="1056"/>
      <c r="EB90" s="1056"/>
      <c r="EC90" s="1056"/>
      <c r="ED90" s="1056"/>
      <c r="EE90" s="1056"/>
      <c r="EF90" s="1056"/>
      <c r="EG90" s="1056"/>
      <c r="EH90" s="1056"/>
      <c r="EI90" s="1056"/>
      <c r="EJ90" s="1056"/>
      <c r="EK90" s="1056"/>
      <c r="EL90" s="1056"/>
      <c r="EM90" s="1056"/>
      <c r="EN90" s="1056"/>
      <c r="EO90" s="1056"/>
      <c r="EP90" s="1056"/>
      <c r="EQ90" s="1056"/>
      <c r="ER90" s="1056"/>
      <c r="ES90" s="1056"/>
      <c r="ET90" s="1056"/>
      <c r="EU90" s="1056"/>
      <c r="EV90" s="1056"/>
      <c r="EW90" s="1056"/>
      <c r="EX90" s="1056"/>
      <c r="EY90" s="1056"/>
      <c r="EZ90" s="1056"/>
      <c r="FA90" s="1056"/>
      <c r="FB90" s="1056"/>
      <c r="FC90" s="1056"/>
      <c r="FD90" s="1056"/>
      <c r="FE90" s="1056"/>
      <c r="FF90" s="1056"/>
      <c r="FG90" s="1056"/>
      <c r="FH90" s="1056"/>
      <c r="FI90" s="1056"/>
      <c r="FJ90" s="1056"/>
      <c r="FK90" s="1056"/>
      <c r="FL90" s="1056"/>
      <c r="FM90" s="1056"/>
      <c r="FN90" s="1056"/>
      <c r="FO90" s="1056"/>
      <c r="FP90" s="1056"/>
      <c r="FQ90" s="1056"/>
      <c r="FR90" s="1056"/>
      <c r="FS90" s="1056"/>
      <c r="FT90" s="1056"/>
      <c r="FU90" s="1056"/>
      <c r="FV90" s="1056"/>
      <c r="FW90" s="1056"/>
      <c r="FX90" s="1056"/>
      <c r="FY90" s="1056"/>
      <c r="FZ90" s="1056"/>
      <c r="GA90" s="1056"/>
      <c r="GB90" s="1056"/>
      <c r="GC90" s="1056"/>
      <c r="GD90" s="1056"/>
      <c r="GE90" s="1056"/>
      <c r="GF90" s="1056"/>
      <c r="GG90" s="1056"/>
      <c r="GH90" s="1056"/>
      <c r="GI90" s="1056"/>
      <c r="GJ90" s="1056"/>
      <c r="GK90" s="1056"/>
      <c r="GL90" s="1056"/>
      <c r="GM90" s="1056"/>
      <c r="GN90" s="1056"/>
      <c r="GO90" s="1056"/>
      <c r="GP90" s="1056"/>
      <c r="GQ90" s="1056"/>
      <c r="GR90" s="1056"/>
      <c r="GS90" s="1056"/>
      <c r="GT90" s="1056"/>
      <c r="GU90" s="1056"/>
      <c r="GV90" s="1056"/>
      <c r="GW90" s="1056"/>
      <c r="GX90" s="1056"/>
      <c r="GY90" s="1056"/>
      <c r="GZ90" s="1056"/>
      <c r="HA90" s="1056"/>
      <c r="HB90" s="1056"/>
      <c r="HC90" s="1056"/>
      <c r="HD90" s="1056"/>
      <c r="HE90" s="1056"/>
      <c r="HF90" s="1056"/>
      <c r="HG90" s="1056"/>
      <c r="HH90" s="1056"/>
      <c r="HI90" s="1056"/>
      <c r="HJ90" s="1056"/>
      <c r="HK90" s="1056"/>
      <c r="HL90" s="1056"/>
      <c r="HM90" s="1056"/>
      <c r="HN90" s="1056"/>
      <c r="HO90" s="1056"/>
      <c r="HP90" s="1056"/>
      <c r="HQ90" s="1056"/>
      <c r="HR90" s="1056"/>
      <c r="HS90" s="1056"/>
      <c r="HT90" s="1056"/>
      <c r="HU90" s="1056"/>
      <c r="HV90" s="1056"/>
      <c r="HW90" s="1056"/>
      <c r="HX90" s="1056"/>
      <c r="HY90" s="1056"/>
      <c r="HZ90" s="1056"/>
      <c r="IA90" s="1056"/>
      <c r="IB90" s="1056"/>
      <c r="IC90" s="1056"/>
      <c r="ID90" s="1056"/>
      <c r="IE90" s="1056"/>
      <c r="IF90" s="1056"/>
      <c r="IG90" s="1056"/>
      <c r="IH90" s="1056"/>
      <c r="II90" s="1056"/>
      <c r="IJ90" s="1056"/>
      <c r="IK90" s="1056"/>
      <c r="IL90" s="1056"/>
      <c r="IM90" s="1056"/>
      <c r="IN90" s="1056"/>
      <c r="IO90" s="1056"/>
      <c r="IP90" s="1056"/>
      <c r="IQ90" s="1056"/>
      <c r="IR90" s="1056"/>
      <c r="IS90" s="1056"/>
      <c r="IT90" s="1056"/>
      <c r="IU90" s="1056"/>
      <c r="IV90" s="1056"/>
      <c r="IW90" s="1056"/>
      <c r="IX90" s="1056"/>
      <c r="IY90" s="1056"/>
      <c r="IZ90" s="1056"/>
      <c r="JA90" s="1056"/>
      <c r="JB90" s="1056"/>
      <c r="JC90" s="1056"/>
      <c r="JD90" s="1056"/>
      <c r="JE90" s="1056"/>
      <c r="JF90" s="1056"/>
      <c r="JG90" s="1056"/>
      <c r="JH90" s="1056"/>
      <c r="JI90" s="1056"/>
      <c r="JJ90" s="1056"/>
      <c r="JK90" s="1056"/>
      <c r="JL90" s="1056"/>
      <c r="JM90" s="1056"/>
      <c r="JN90" s="1056"/>
      <c r="JO90" s="1056"/>
      <c r="JP90" s="1056"/>
      <c r="JQ90" s="1056"/>
      <c r="JR90" s="1056"/>
      <c r="JS90" s="1056"/>
      <c r="JT90" s="1056"/>
      <c r="JU90" s="1056"/>
      <c r="JV90" s="1056"/>
      <c r="JW90" s="1056"/>
      <c r="JX90" s="1056"/>
      <c r="JY90" s="1056"/>
      <c r="JZ90" s="1056"/>
      <c r="KA90" s="1056"/>
      <c r="KB90" s="1056"/>
      <c r="KC90" s="1056"/>
      <c r="KD90" s="1056"/>
      <c r="KE90" s="1056"/>
      <c r="KF90" s="1056"/>
      <c r="KG90" s="1056"/>
      <c r="KH90" s="1056"/>
      <c r="KI90" s="1056"/>
      <c r="KJ90" s="1056"/>
      <c r="KK90" s="1056"/>
      <c r="KL90" s="1056"/>
      <c r="KM90" s="1056"/>
      <c r="KN90" s="1056"/>
      <c r="KO90" s="1056"/>
      <c r="KP90" s="1056"/>
      <c r="KQ90" s="1056"/>
      <c r="KR90" s="1056"/>
      <c r="KS90" s="1056"/>
      <c r="KT90" s="1056"/>
      <c r="KU90" s="1056"/>
      <c r="KV90" s="1056"/>
      <c r="KW90" s="1056"/>
      <c r="KX90" s="1056"/>
      <c r="KY90" s="1056"/>
      <c r="KZ90" s="1056"/>
      <c r="LA90" s="1056"/>
      <c r="LB90" s="1056"/>
      <c r="LC90" s="1056"/>
      <c r="LD90" s="1056"/>
      <c r="LE90" s="1056"/>
      <c r="LF90" s="1056"/>
      <c r="LG90" s="1056"/>
      <c r="LH90" s="1056"/>
      <c r="LI90" s="1056"/>
      <c r="LJ90" s="1056"/>
      <c r="LK90" s="1056"/>
      <c r="LL90" s="1056"/>
      <c r="LM90" s="1056"/>
      <c r="LN90" s="1056"/>
      <c r="LO90" s="1056"/>
      <c r="LP90" s="1056"/>
      <c r="LQ90" s="1056"/>
      <c r="LR90" s="1056"/>
      <c r="LS90" s="1056"/>
      <c r="LT90" s="1056"/>
      <c r="LU90" s="1056"/>
      <c r="LV90" s="1056"/>
      <c r="LW90" s="1056"/>
      <c r="LX90" s="1056"/>
      <c r="LY90" s="1056"/>
      <c r="LZ90" s="1056"/>
      <c r="MA90" s="1056"/>
      <c r="MB90" s="1056"/>
      <c r="MC90" s="1056"/>
      <c r="MD90" s="1056"/>
      <c r="ME90" s="1056"/>
      <c r="MF90" s="1056"/>
      <c r="MG90" s="1056"/>
      <c r="MH90" s="1056"/>
      <c r="MI90" s="1056"/>
      <c r="MJ90" s="1056"/>
      <c r="MK90" s="1056"/>
      <c r="ML90" s="1056"/>
      <c r="MM90" s="1056"/>
      <c r="MN90" s="1056"/>
      <c r="MO90" s="1056"/>
      <c r="MP90" s="1056"/>
      <c r="MQ90" s="1056"/>
      <c r="MR90" s="1056"/>
      <c r="MS90" s="1056"/>
      <c r="MT90" s="1056"/>
      <c r="MU90" s="1056"/>
      <c r="MV90" s="1056"/>
      <c r="MW90" s="1056"/>
      <c r="MX90" s="1056"/>
      <c r="MY90" s="1056"/>
      <c r="MZ90" s="1056"/>
      <c r="NA90" s="1056"/>
      <c r="NB90" s="1056"/>
      <c r="NC90" s="1056"/>
      <c r="ND90" s="1056"/>
      <c r="NE90" s="1056"/>
      <c r="NF90" s="1056"/>
      <c r="NG90" s="1056"/>
      <c r="NH90" s="1056"/>
      <c r="NI90" s="1056"/>
      <c r="NJ90" s="1056"/>
      <c r="NK90" s="1056"/>
      <c r="NL90" s="1056"/>
      <c r="NM90" s="1056"/>
      <c r="NN90" s="1056"/>
      <c r="NO90" s="1056"/>
      <c r="NP90" s="1056"/>
      <c r="NQ90" s="1056"/>
      <c r="NR90" s="1056"/>
      <c r="NS90" s="1056"/>
      <c r="NT90" s="1056"/>
      <c r="NU90" s="1056"/>
      <c r="NV90" s="1056"/>
      <c r="NW90" s="1056"/>
      <c r="NX90" s="1056"/>
      <c r="NY90" s="1056"/>
      <c r="NZ90" s="1056"/>
      <c r="OA90" s="1056"/>
      <c r="OB90" s="1056"/>
      <c r="OC90" s="1056"/>
      <c r="OD90" s="1056"/>
      <c r="OE90" s="1056"/>
      <c r="OF90" s="1056"/>
      <c r="OG90" s="1056"/>
      <c r="OH90" s="1056"/>
      <c r="OI90" s="1056"/>
      <c r="OJ90" s="1056"/>
      <c r="OK90" s="1056"/>
      <c r="OL90" s="1056"/>
      <c r="OM90" s="1056"/>
      <c r="ON90" s="1056"/>
      <c r="OO90" s="1056"/>
      <c r="OP90" s="1056"/>
      <c r="OQ90" s="1056"/>
      <c r="OR90" s="1056"/>
      <c r="OS90" s="1056"/>
      <c r="OT90" s="1056"/>
      <c r="OU90" s="1056"/>
      <c r="OV90" s="1056"/>
      <c r="OW90" s="1056"/>
      <c r="OX90" s="1056"/>
      <c r="OY90" s="1056"/>
      <c r="OZ90" s="1056"/>
      <c r="PA90" s="1056"/>
      <c r="PB90" s="1056"/>
      <c r="PC90" s="1056"/>
      <c r="PD90" s="1056"/>
      <c r="PE90" s="1056"/>
      <c r="PF90" s="1056"/>
      <c r="PG90" s="1056"/>
      <c r="PH90" s="1056"/>
      <c r="PI90" s="1056"/>
      <c r="PJ90" s="1056"/>
      <c r="PK90" s="1056"/>
      <c r="PL90" s="1056"/>
      <c r="PM90" s="1056"/>
      <c r="PN90" s="1056"/>
      <c r="PO90" s="1056"/>
      <c r="PP90" s="1056"/>
      <c r="PQ90" s="1056"/>
      <c r="PR90" s="1056"/>
      <c r="PS90" s="1056"/>
      <c r="PT90" s="1056"/>
      <c r="PU90" s="1056"/>
      <c r="PV90" s="1056"/>
      <c r="PW90" s="1056"/>
      <c r="PX90" s="1056"/>
      <c r="PY90" s="1056"/>
      <c r="PZ90" s="1056"/>
      <c r="QA90" s="1056"/>
      <c r="QB90" s="1056"/>
      <c r="QC90" s="1056"/>
      <c r="QD90" s="1056"/>
      <c r="QE90" s="1056"/>
      <c r="QF90" s="1056"/>
      <c r="QG90" s="1056"/>
      <c r="QH90" s="1056"/>
      <c r="QI90" s="1056"/>
      <c r="QJ90" s="1056"/>
      <c r="QK90" s="1056"/>
      <c r="QL90" s="1056"/>
      <c r="QM90" s="1056"/>
      <c r="QN90" s="1056"/>
      <c r="QO90" s="1056"/>
      <c r="QP90" s="1056"/>
      <c r="QQ90" s="1056"/>
      <c r="QR90" s="1056"/>
      <c r="QS90" s="1056"/>
      <c r="QT90" s="1056"/>
      <c r="QU90" s="1056"/>
      <c r="QV90" s="1056"/>
      <c r="QW90" s="1056"/>
      <c r="QX90" s="1056"/>
      <c r="QY90" s="1056"/>
      <c r="QZ90" s="1056"/>
      <c r="RA90" s="1056"/>
      <c r="RB90" s="1056"/>
      <c r="RC90" s="1056"/>
      <c r="RD90" s="1056"/>
      <c r="RE90" s="1056"/>
      <c r="RF90" s="1056"/>
      <c r="RG90" s="1056"/>
      <c r="RH90" s="1056"/>
      <c r="RI90" s="1056"/>
      <c r="RJ90" s="1056"/>
      <c r="RK90" s="1056"/>
      <c r="RL90" s="1056"/>
      <c r="RM90" s="1056"/>
      <c r="RN90" s="1056"/>
      <c r="RO90" s="1056"/>
      <c r="RP90" s="1056"/>
      <c r="RQ90" s="1056"/>
      <c r="RR90" s="1056"/>
      <c r="RS90" s="1056"/>
      <c r="RT90" s="1056"/>
      <c r="RU90" s="1056"/>
      <c r="RV90" s="1056"/>
      <c r="RW90" s="1056"/>
      <c r="RX90" s="1056"/>
      <c r="RY90" s="1056"/>
      <c r="RZ90" s="1056"/>
      <c r="SA90" s="1056"/>
      <c r="SB90" s="1056"/>
      <c r="SC90" s="1056"/>
      <c r="SD90" s="1056"/>
      <c r="SE90" s="1056"/>
      <c r="SF90" s="1056"/>
      <c r="SG90" s="1056"/>
      <c r="SH90" s="1056"/>
      <c r="SI90" s="1056"/>
      <c r="SJ90" s="1056"/>
      <c r="SK90" s="1056"/>
      <c r="SL90" s="1056"/>
      <c r="SM90" s="1056"/>
      <c r="SN90" s="1056"/>
      <c r="SO90" s="1056"/>
      <c r="SP90" s="1056"/>
      <c r="SQ90" s="1056"/>
      <c r="SR90" s="1056"/>
      <c r="SS90" s="1056"/>
      <c r="ST90" s="1056"/>
      <c r="SU90" s="1056"/>
      <c r="SV90" s="1056"/>
      <c r="SW90" s="1056"/>
      <c r="SX90" s="1056"/>
      <c r="SY90" s="1056"/>
      <c r="SZ90" s="1056"/>
      <c r="TA90" s="1056"/>
      <c r="TB90" s="1056"/>
      <c r="TC90" s="1056"/>
      <c r="TD90" s="1056"/>
      <c r="TE90" s="1056"/>
      <c r="TF90" s="1056"/>
      <c r="TG90" s="1056"/>
      <c r="TH90" s="1056"/>
      <c r="TI90" s="1056"/>
      <c r="TJ90" s="1056"/>
      <c r="TK90" s="1056"/>
      <c r="TL90" s="1056"/>
      <c r="TM90" s="1056"/>
      <c r="TN90" s="1056"/>
      <c r="TO90" s="1056"/>
      <c r="TP90" s="1056"/>
      <c r="TQ90" s="1056"/>
      <c r="TR90" s="1056"/>
      <c r="TS90" s="1056"/>
      <c r="TT90" s="1056"/>
      <c r="TU90" s="1056"/>
      <c r="TV90" s="1056"/>
      <c r="TW90" s="1056"/>
      <c r="TX90" s="1056"/>
      <c r="TY90" s="1056"/>
      <c r="TZ90" s="1056"/>
      <c r="UA90" s="1056"/>
      <c r="UB90" s="1056"/>
      <c r="UC90" s="1056"/>
      <c r="UD90" s="1056"/>
      <c r="UE90" s="1056"/>
      <c r="UF90" s="1056"/>
      <c r="UG90" s="1056"/>
      <c r="UH90" s="1056"/>
      <c r="UI90" s="1056"/>
      <c r="UJ90" s="1056"/>
      <c r="UK90" s="1056"/>
      <c r="UL90" s="1056"/>
      <c r="UM90" s="1056"/>
      <c r="UN90" s="1056"/>
      <c r="UO90" s="1056"/>
      <c r="UP90" s="1056"/>
      <c r="UQ90" s="1056"/>
      <c r="UR90" s="1056"/>
      <c r="US90" s="1056"/>
      <c r="UT90" s="1056"/>
      <c r="UU90" s="1056"/>
      <c r="UV90" s="1056"/>
      <c r="UW90" s="1056"/>
      <c r="UX90" s="1056"/>
      <c r="UY90" s="1056"/>
      <c r="UZ90" s="1056"/>
      <c r="VA90" s="1056"/>
      <c r="VB90" s="1056"/>
      <c r="VC90" s="1056"/>
      <c r="VD90" s="1056"/>
      <c r="VE90" s="1056"/>
      <c r="VF90" s="1056"/>
      <c r="VG90" s="1056"/>
      <c r="VH90" s="1056"/>
      <c r="VI90" s="1056"/>
      <c r="VJ90" s="1056"/>
      <c r="VK90" s="1056"/>
      <c r="VL90" s="1056"/>
      <c r="VM90" s="1056"/>
      <c r="VN90" s="1056"/>
      <c r="VO90" s="1056"/>
      <c r="VP90" s="1056"/>
      <c r="VQ90" s="1056"/>
      <c r="VR90" s="1056"/>
      <c r="VS90" s="1056"/>
      <c r="VT90" s="1056"/>
      <c r="VU90" s="1056"/>
      <c r="VV90" s="1056"/>
      <c r="VW90" s="1056"/>
      <c r="VX90" s="1056"/>
      <c r="VY90" s="1056"/>
      <c r="VZ90" s="1056"/>
      <c r="WA90" s="1056"/>
      <c r="WB90" s="1056"/>
      <c r="WC90" s="1056"/>
      <c r="WD90" s="1056"/>
      <c r="WE90" s="1056"/>
      <c r="WF90" s="1056"/>
      <c r="WG90" s="1056"/>
      <c r="WH90" s="1056"/>
      <c r="WI90" s="1056"/>
      <c r="WJ90" s="1056"/>
      <c r="WK90" s="1056"/>
      <c r="WL90" s="1056"/>
      <c r="WM90" s="1056"/>
      <c r="WN90" s="1056"/>
      <c r="WO90" s="1056"/>
      <c r="WP90" s="1056"/>
      <c r="WQ90" s="1056"/>
      <c r="WR90" s="1056"/>
      <c r="WS90" s="1056"/>
      <c r="WT90" s="1056"/>
      <c r="WU90" s="1056"/>
      <c r="WV90" s="1056"/>
      <c r="WW90" s="1056"/>
      <c r="WX90" s="1056"/>
      <c r="WY90" s="1056"/>
      <c r="WZ90" s="1056"/>
      <c r="XA90" s="1056"/>
      <c r="XB90" s="1056"/>
      <c r="XC90" s="1056"/>
      <c r="XD90" s="1056"/>
      <c r="XE90" s="1056"/>
      <c r="XF90" s="1056"/>
      <c r="XG90" s="1056"/>
      <c r="XH90" s="1056"/>
      <c r="XI90" s="1056"/>
      <c r="XJ90" s="1056"/>
      <c r="XK90" s="1056"/>
      <c r="XL90" s="1056"/>
      <c r="XM90" s="1056"/>
      <c r="XN90" s="1056"/>
      <c r="XO90" s="1056"/>
      <c r="XP90" s="1056"/>
      <c r="XQ90" s="1056"/>
      <c r="XR90" s="1056"/>
      <c r="XS90" s="1056"/>
      <c r="XT90" s="1056"/>
      <c r="XU90" s="1056"/>
      <c r="XV90" s="1056"/>
      <c r="XW90" s="1056"/>
      <c r="XX90" s="1056"/>
      <c r="XY90" s="1056"/>
      <c r="XZ90" s="1056"/>
      <c r="YA90" s="1056"/>
      <c r="YB90" s="1056"/>
      <c r="YC90" s="1056"/>
      <c r="YD90" s="1056"/>
      <c r="YE90" s="1056"/>
      <c r="YF90" s="1056"/>
      <c r="YG90" s="1056"/>
      <c r="YH90" s="1056"/>
      <c r="YI90" s="1056"/>
      <c r="YJ90" s="1056"/>
      <c r="YK90" s="1056"/>
      <c r="YL90" s="1056"/>
      <c r="YM90" s="1056"/>
      <c r="YN90" s="1056"/>
      <c r="YO90" s="1056"/>
      <c r="YP90" s="1056"/>
      <c r="YQ90" s="1056"/>
      <c r="YR90" s="1056"/>
      <c r="YS90" s="1056"/>
      <c r="YT90" s="1056"/>
      <c r="YU90" s="1056"/>
      <c r="YV90" s="1056"/>
      <c r="YW90" s="1056"/>
      <c r="YX90" s="1056"/>
      <c r="YY90" s="1056"/>
      <c r="YZ90" s="1056"/>
      <c r="ZA90" s="1056"/>
      <c r="ZB90" s="1056"/>
      <c r="ZC90" s="1056"/>
      <c r="ZD90" s="1056"/>
      <c r="ZE90" s="1056"/>
      <c r="ZF90" s="1056"/>
      <c r="ZG90" s="1056"/>
      <c r="ZH90" s="1056"/>
      <c r="ZI90" s="1056"/>
      <c r="ZJ90" s="1056"/>
      <c r="ZK90" s="1056"/>
      <c r="ZL90" s="1056"/>
      <c r="ZM90" s="1056"/>
      <c r="ZN90" s="1056"/>
      <c r="ZO90" s="1056"/>
      <c r="ZP90" s="1056"/>
      <c r="ZQ90" s="1056"/>
      <c r="ZR90" s="1056"/>
      <c r="ZS90" s="1056"/>
      <c r="ZT90" s="1056"/>
      <c r="ZU90" s="1056"/>
      <c r="ZV90" s="1056"/>
      <c r="ZW90" s="1056"/>
      <c r="ZX90" s="1056"/>
      <c r="ZY90" s="1056"/>
      <c r="ZZ90" s="1056"/>
      <c r="AAA90" s="1056"/>
      <c r="AAB90" s="1056"/>
      <c r="AAC90" s="1056"/>
      <c r="AAD90" s="1056"/>
      <c r="AAE90" s="1056"/>
      <c r="AAF90" s="1056"/>
      <c r="AAG90" s="1056"/>
      <c r="AAH90" s="1056"/>
      <c r="AAI90" s="1056"/>
      <c r="AAJ90" s="1056"/>
      <c r="AAK90" s="1056"/>
      <c r="AAL90" s="1056"/>
      <c r="AAM90" s="1056"/>
      <c r="AAN90" s="1056"/>
      <c r="AAO90" s="1056"/>
      <c r="AAP90" s="1056"/>
      <c r="AAQ90" s="1056"/>
      <c r="AAR90" s="1056"/>
      <c r="AAS90" s="1056"/>
      <c r="AAT90" s="1056"/>
      <c r="AAU90" s="1056"/>
      <c r="AAV90" s="1056"/>
      <c r="AAW90" s="1056"/>
      <c r="AAX90" s="1056"/>
      <c r="AAY90" s="1056"/>
      <c r="AAZ90" s="1056"/>
      <c r="ABA90" s="1056"/>
      <c r="ABB90" s="1056"/>
      <c r="ABC90" s="1056"/>
      <c r="ABD90" s="1056"/>
      <c r="ABE90" s="1056"/>
      <c r="ABF90" s="1056"/>
      <c r="ABG90" s="1056"/>
      <c r="ABH90" s="1056"/>
      <c r="ABI90" s="1056"/>
      <c r="ABJ90" s="1056"/>
      <c r="ABK90" s="1056"/>
      <c r="ABL90" s="1056"/>
      <c r="ABM90" s="1056"/>
      <c r="ABN90" s="1056"/>
      <c r="ABO90" s="1056"/>
      <c r="ABP90" s="1056"/>
      <c r="ABQ90" s="1056"/>
      <c r="ABR90" s="1056"/>
      <c r="ABS90" s="1056"/>
      <c r="ABT90" s="1056"/>
      <c r="ABU90" s="1056"/>
      <c r="ABV90" s="1056"/>
      <c r="ABW90" s="1056"/>
      <c r="ABX90" s="1056"/>
      <c r="ABY90" s="1056"/>
      <c r="ABZ90" s="1056"/>
      <c r="ACA90" s="1056"/>
      <c r="ACB90" s="1056"/>
      <c r="ACC90" s="1056"/>
      <c r="ACD90" s="1056"/>
      <c r="ACE90" s="1056"/>
      <c r="ACF90" s="1056"/>
      <c r="ACG90" s="1056"/>
      <c r="ACH90" s="1056"/>
      <c r="ACI90" s="1056"/>
      <c r="ACJ90" s="1056"/>
      <c r="ACK90" s="1056"/>
      <c r="ACL90" s="1056"/>
      <c r="ACM90" s="1056"/>
      <c r="ACN90" s="1056"/>
      <c r="ACO90" s="1056"/>
      <c r="ACP90" s="1056"/>
      <c r="ACQ90" s="1056"/>
      <c r="ACR90" s="1056"/>
      <c r="ACS90" s="1056"/>
      <c r="ACT90" s="1056"/>
      <c r="ACU90" s="1056"/>
      <c r="ACV90" s="1056"/>
      <c r="ACW90" s="1056"/>
      <c r="ACX90" s="1056"/>
      <c r="ACY90" s="1056"/>
      <c r="ACZ90" s="1056"/>
      <c r="ADA90" s="1056"/>
      <c r="ADB90" s="1056"/>
      <c r="ADC90" s="1056"/>
      <c r="ADD90" s="1056"/>
      <c r="ADE90" s="1056"/>
      <c r="ADF90" s="1056"/>
      <c r="ADG90" s="1056"/>
      <c r="ADH90" s="1056"/>
      <c r="ADI90" s="1056"/>
      <c r="ADJ90" s="1056"/>
      <c r="ADK90" s="1056"/>
      <c r="ADL90" s="1056"/>
      <c r="ADM90" s="1056"/>
      <c r="ADN90" s="1056"/>
      <c r="ADO90" s="1056"/>
      <c r="ADP90" s="1056"/>
      <c r="ADQ90" s="1056"/>
      <c r="ADR90" s="1056"/>
      <c r="ADS90" s="1056"/>
      <c r="ADT90" s="1056"/>
      <c r="ADU90" s="1056"/>
      <c r="ADV90" s="1056"/>
      <c r="ADW90" s="1056"/>
      <c r="ADX90" s="1056"/>
      <c r="ADY90" s="1056"/>
      <c r="ADZ90" s="1056"/>
      <c r="AEA90" s="1056"/>
      <c r="AEB90" s="1056"/>
      <c r="AEC90" s="1056"/>
      <c r="AED90" s="1056"/>
      <c r="AEE90" s="1056"/>
      <c r="AEF90" s="1056"/>
      <c r="AEG90" s="1056"/>
      <c r="AEH90" s="1056"/>
      <c r="AEI90" s="1056"/>
      <c r="AEJ90" s="1056"/>
      <c r="AEK90" s="1056"/>
      <c r="AEL90" s="1056"/>
      <c r="AEM90" s="1056"/>
      <c r="AEN90" s="1056"/>
      <c r="AEO90" s="1056"/>
      <c r="AEP90" s="1056"/>
      <c r="AEQ90" s="1056"/>
      <c r="AER90" s="1056"/>
      <c r="AES90" s="1056"/>
      <c r="AET90" s="1056"/>
      <c r="AEU90" s="1056"/>
      <c r="AEV90" s="1056"/>
      <c r="AEW90" s="1056"/>
      <c r="AEX90" s="1056"/>
      <c r="AEY90" s="1056"/>
      <c r="AEZ90" s="1056"/>
      <c r="AFA90" s="1056"/>
      <c r="AFB90" s="1056"/>
      <c r="AFC90" s="1056"/>
      <c r="AFD90" s="1056"/>
      <c r="AFE90" s="1056"/>
      <c r="AFF90" s="1056"/>
      <c r="AFG90" s="1056"/>
      <c r="AFH90" s="1056"/>
      <c r="AFI90" s="1056"/>
      <c r="AFJ90" s="1056"/>
      <c r="AFK90" s="1056"/>
      <c r="AFL90" s="1056"/>
      <c r="AFM90" s="1056"/>
      <c r="AFN90" s="1056"/>
      <c r="AFO90" s="1056"/>
      <c r="AFP90" s="1056"/>
      <c r="AFQ90" s="1056"/>
      <c r="AFR90" s="1056"/>
      <c r="AFS90" s="1056"/>
      <c r="AFT90" s="1056"/>
      <c r="AFU90" s="1056"/>
      <c r="AFV90" s="1056"/>
      <c r="AFW90" s="1056"/>
      <c r="AFX90" s="1056"/>
      <c r="AFY90" s="1056"/>
      <c r="AFZ90" s="1056"/>
      <c r="AGA90" s="1056"/>
      <c r="AGB90" s="1056"/>
      <c r="AGC90" s="1056"/>
      <c r="AGD90" s="1056"/>
      <c r="AGE90" s="1056"/>
      <c r="AGF90" s="1056"/>
      <c r="AGG90" s="1056"/>
      <c r="AGH90" s="1056"/>
      <c r="AGI90" s="1056"/>
      <c r="AGJ90" s="1056"/>
      <c r="AGK90" s="1056"/>
      <c r="AGL90" s="1056"/>
      <c r="AGM90" s="1056"/>
      <c r="AGN90" s="1056"/>
      <c r="AGO90" s="1056"/>
      <c r="AGP90" s="1056"/>
      <c r="AGQ90" s="1056"/>
      <c r="AGR90" s="1056"/>
      <c r="AGS90" s="1056"/>
      <c r="AGT90" s="1056"/>
      <c r="AGU90" s="1056"/>
      <c r="AGV90" s="1056"/>
      <c r="AGW90" s="1056"/>
      <c r="AGX90" s="1056"/>
      <c r="AGY90" s="1056"/>
      <c r="AGZ90" s="1056"/>
      <c r="AHA90" s="1056"/>
      <c r="AHB90" s="1056"/>
      <c r="AHC90" s="1056"/>
      <c r="AHD90" s="1056"/>
      <c r="AHE90" s="1056"/>
      <c r="AHF90" s="1056"/>
      <c r="AHG90" s="1056"/>
      <c r="AHH90" s="1056"/>
      <c r="AHI90" s="1056"/>
      <c r="AHJ90" s="1056"/>
      <c r="AHK90" s="1056"/>
      <c r="AHL90" s="1056"/>
      <c r="AHM90" s="1056"/>
      <c r="AHN90" s="1056"/>
      <c r="AHO90" s="1056"/>
      <c r="AHP90" s="1056"/>
      <c r="AHQ90" s="1056"/>
      <c r="AHR90" s="1056"/>
      <c r="AHS90" s="1056"/>
      <c r="AHT90" s="1056"/>
      <c r="AHU90" s="1056"/>
      <c r="AHV90" s="1056"/>
      <c r="AHW90" s="1056"/>
      <c r="AHX90" s="1056"/>
      <c r="AHY90" s="1056"/>
      <c r="AHZ90" s="1056"/>
      <c r="AIA90" s="1056"/>
      <c r="AIB90" s="1056"/>
      <c r="AIC90" s="1056"/>
      <c r="AID90" s="1056"/>
      <c r="AIE90" s="1056"/>
      <c r="AIF90" s="1056"/>
      <c r="AIG90" s="1056"/>
      <c r="AIH90" s="1056"/>
      <c r="AII90" s="1056"/>
      <c r="AIJ90" s="1056"/>
      <c r="AIK90" s="1056"/>
      <c r="AIL90" s="1056"/>
      <c r="AIM90" s="1056"/>
      <c r="AIN90" s="1056"/>
      <c r="AIO90" s="1056"/>
      <c r="AIP90" s="1056"/>
      <c r="AIQ90" s="1056"/>
      <c r="AIR90" s="1056"/>
      <c r="AIS90" s="1056"/>
      <c r="AIT90" s="1056"/>
      <c r="AIU90" s="1056"/>
      <c r="AIV90" s="1056"/>
      <c r="AIW90" s="1056"/>
      <c r="AIX90" s="1056"/>
      <c r="AIY90" s="1056"/>
      <c r="AIZ90" s="1056"/>
      <c r="AJA90" s="1056"/>
      <c r="AJB90" s="1056"/>
      <c r="AJC90" s="1056"/>
      <c r="AJD90" s="1056"/>
      <c r="AJE90" s="1056"/>
      <c r="AJF90" s="1056"/>
      <c r="AJG90" s="1056"/>
      <c r="AJH90" s="1056"/>
      <c r="AJI90" s="1056"/>
      <c r="AJJ90" s="1056"/>
      <c r="AJK90" s="1056"/>
      <c r="AJL90" s="1056"/>
      <c r="AJM90" s="1056"/>
      <c r="AJN90" s="1056"/>
      <c r="AJO90" s="1056"/>
      <c r="AJP90" s="1056"/>
      <c r="AJQ90" s="1056"/>
      <c r="AJR90" s="1056"/>
      <c r="AJS90" s="1056"/>
      <c r="AJT90" s="1056"/>
      <c r="AJU90" s="1056"/>
      <c r="AJV90" s="1056"/>
      <c r="AJW90" s="1056"/>
      <c r="AJX90" s="1056"/>
      <c r="AJY90" s="1056"/>
      <c r="AJZ90" s="1056"/>
      <c r="AKA90" s="1056"/>
      <c r="AKB90" s="1056"/>
      <c r="AKC90" s="1056"/>
      <c r="AKD90" s="1056"/>
      <c r="AKE90" s="1056"/>
      <c r="AKF90" s="1056"/>
      <c r="AKG90" s="1056"/>
      <c r="AKH90" s="1056"/>
      <c r="AKI90" s="1056"/>
      <c r="AKJ90" s="1056"/>
      <c r="AKK90" s="1056"/>
      <c r="AKL90" s="1056"/>
      <c r="AKM90" s="1056"/>
      <c r="AKN90" s="1056"/>
      <c r="AKO90" s="1056"/>
      <c r="AKP90" s="1056"/>
      <c r="AKQ90" s="1056"/>
      <c r="AKR90" s="1056"/>
      <c r="AKS90" s="1056"/>
      <c r="AKT90" s="1056"/>
      <c r="AKU90" s="1056"/>
      <c r="AKV90" s="1056"/>
      <c r="AKW90" s="1056"/>
      <c r="AKX90" s="1056"/>
      <c r="AKY90" s="1056"/>
      <c r="AKZ90" s="1056"/>
      <c r="ALA90" s="1056"/>
      <c r="ALB90" s="1056"/>
      <c r="ALC90" s="1056"/>
      <c r="ALD90" s="1056"/>
      <c r="ALE90" s="1056"/>
      <c r="ALF90" s="1056"/>
      <c r="ALG90" s="1056"/>
      <c r="ALH90" s="1056"/>
      <c r="ALI90" s="1056"/>
      <c r="ALJ90" s="1056"/>
      <c r="ALK90" s="1056"/>
      <c r="ALL90" s="1056"/>
      <c r="ALM90" s="1056"/>
      <c r="ALN90" s="1056"/>
      <c r="ALO90" s="1056"/>
      <c r="ALP90" s="1056"/>
      <c r="ALQ90" s="1056"/>
      <c r="ALR90" s="1056"/>
      <c r="ALS90" s="1056"/>
      <c r="ALT90" s="1056"/>
      <c r="ALU90" s="1056"/>
      <c r="ALV90" s="1056"/>
      <c r="ALW90" s="1056"/>
      <c r="ALX90" s="1056"/>
      <c r="ALY90" s="1056"/>
      <c r="ALZ90" s="1056"/>
      <c r="AMA90" s="1056"/>
      <c r="AMB90" s="1056"/>
      <c r="AMC90" s="1056"/>
      <c r="AMD90" s="1056"/>
      <c r="AME90" s="1056"/>
      <c r="AMF90" s="1056"/>
      <c r="AMG90" s="1056"/>
      <c r="AMH90" s="1056"/>
      <c r="AMI90" s="1056"/>
      <c r="AMJ90" s="1056"/>
      <c r="AMK90" s="1056"/>
      <c r="AML90" s="1056"/>
      <c r="AMM90" s="1056"/>
      <c r="AMN90" s="1056"/>
      <c r="AMO90" s="1056"/>
      <c r="AMP90" s="1056"/>
      <c r="AMQ90" s="1056"/>
      <c r="AMR90" s="1056"/>
      <c r="AMS90" s="1056"/>
      <c r="AMT90" s="1056"/>
      <c r="AMU90" s="1056"/>
      <c r="AMV90" s="1056"/>
      <c r="AMW90" s="1056"/>
      <c r="AMX90" s="1056"/>
      <c r="AMY90" s="1056"/>
      <c r="AMZ90" s="1056"/>
      <c r="ANA90" s="1056"/>
      <c r="ANB90" s="1056"/>
      <c r="ANC90" s="1056"/>
      <c r="AND90" s="1056"/>
      <c r="ANE90" s="1056"/>
      <c r="ANF90" s="1056"/>
      <c r="ANG90" s="1056"/>
      <c r="ANH90" s="1056"/>
      <c r="ANI90" s="1056"/>
      <c r="ANJ90" s="1056"/>
      <c r="ANK90" s="1056"/>
      <c r="ANL90" s="1056"/>
      <c r="ANM90" s="1056"/>
      <c r="ANN90" s="1056"/>
      <c r="ANO90" s="1056"/>
      <c r="ANP90" s="1056"/>
      <c r="ANQ90" s="1056"/>
      <c r="ANR90" s="1056"/>
      <c r="ANS90" s="1056"/>
      <c r="ANT90" s="1056"/>
      <c r="ANU90" s="1056"/>
      <c r="ANV90" s="1056"/>
      <c r="ANW90" s="1056"/>
      <c r="ANX90" s="1056"/>
      <c r="ANY90" s="1056"/>
      <c r="ANZ90" s="1056"/>
      <c r="AOA90" s="1056"/>
      <c r="AOB90" s="1056"/>
      <c r="AOC90" s="1056"/>
      <c r="AOD90" s="1056"/>
      <c r="AOE90" s="1056"/>
      <c r="AOF90" s="1056"/>
      <c r="AOG90" s="1056"/>
      <c r="AOH90" s="1056"/>
      <c r="AOI90" s="1056"/>
      <c r="AOJ90" s="1056"/>
      <c r="AOK90" s="1056"/>
      <c r="AOL90" s="1056"/>
      <c r="AOM90" s="1056"/>
      <c r="AON90" s="1056"/>
      <c r="AOO90" s="1056"/>
      <c r="AOP90" s="1056"/>
      <c r="AOQ90" s="1056"/>
      <c r="AOR90" s="1056"/>
      <c r="AOS90" s="1056"/>
      <c r="AOT90" s="1056"/>
      <c r="AOU90" s="1056"/>
      <c r="AOV90" s="1056"/>
      <c r="AOW90" s="1056"/>
      <c r="AOX90" s="1056"/>
      <c r="AOY90" s="1056"/>
      <c r="AOZ90" s="1056"/>
      <c r="APA90" s="1056"/>
      <c r="APB90" s="1056"/>
      <c r="APC90" s="1056"/>
      <c r="APD90" s="1056"/>
      <c r="APE90" s="1056"/>
      <c r="APF90" s="1056"/>
      <c r="APG90" s="1056"/>
      <c r="APH90" s="1056"/>
      <c r="API90" s="1056"/>
      <c r="APJ90" s="1056"/>
      <c r="APK90" s="1056"/>
      <c r="APL90" s="1056"/>
      <c r="APM90" s="1056"/>
      <c r="APN90" s="1056"/>
      <c r="APO90" s="1056"/>
      <c r="APP90" s="1056"/>
      <c r="APQ90" s="1056"/>
      <c r="APR90" s="1056"/>
      <c r="APS90" s="1056"/>
      <c r="APT90" s="1056"/>
      <c r="APU90" s="1056"/>
      <c r="APV90" s="1056"/>
      <c r="APW90" s="1056"/>
      <c r="APX90" s="1056"/>
      <c r="APY90" s="1056"/>
      <c r="APZ90" s="1056"/>
      <c r="AQA90" s="1056"/>
      <c r="AQB90" s="1056"/>
      <c r="AQC90" s="1056"/>
      <c r="AQD90" s="1056"/>
      <c r="AQE90" s="1056"/>
      <c r="AQF90" s="1056"/>
      <c r="AQG90" s="1056"/>
      <c r="AQH90" s="1056"/>
      <c r="AQI90" s="1056"/>
      <c r="AQJ90" s="1056"/>
      <c r="AQK90" s="1056"/>
      <c r="AQL90" s="1056"/>
      <c r="AQM90" s="1056"/>
      <c r="AQN90" s="1056"/>
      <c r="AQO90" s="1056"/>
      <c r="AQP90" s="1056"/>
      <c r="AQQ90" s="1056"/>
      <c r="AQR90" s="1056"/>
      <c r="AQS90" s="1056"/>
      <c r="AQT90" s="1056"/>
      <c r="AQU90" s="1056"/>
      <c r="AQV90" s="1056"/>
      <c r="AQW90" s="1056"/>
      <c r="AQX90" s="1056"/>
      <c r="AQY90" s="1056"/>
      <c r="AQZ90" s="1056"/>
      <c r="ARA90" s="1056"/>
      <c r="ARB90" s="1056"/>
      <c r="ARC90" s="1056"/>
      <c r="ARD90" s="1056"/>
      <c r="ARE90" s="1056"/>
      <c r="ARF90" s="1056"/>
      <c r="ARG90" s="1056"/>
      <c r="ARH90" s="1056"/>
      <c r="ARI90" s="1056"/>
      <c r="ARJ90" s="1056"/>
      <c r="ARK90" s="1056"/>
      <c r="ARL90" s="1056"/>
      <c r="ARM90" s="1056"/>
      <c r="ARN90" s="1056"/>
      <c r="ARO90" s="1056"/>
      <c r="ARP90" s="1056"/>
      <c r="ARQ90" s="1056"/>
      <c r="ARR90" s="1056"/>
      <c r="ARS90" s="1056"/>
      <c r="ART90" s="1056"/>
      <c r="ARU90" s="1056"/>
      <c r="ARV90" s="1056"/>
      <c r="ARW90" s="1056"/>
      <c r="ARX90" s="1056"/>
      <c r="ARY90" s="1056"/>
      <c r="ARZ90" s="1056"/>
      <c r="ASA90" s="1056"/>
      <c r="ASB90" s="1056"/>
      <c r="ASC90" s="1056"/>
      <c r="ASD90" s="1056"/>
      <c r="ASE90" s="1056"/>
      <c r="ASF90" s="1056"/>
      <c r="ASG90" s="1056"/>
      <c r="ASH90" s="1056"/>
      <c r="ASI90" s="1056"/>
      <c r="ASJ90" s="1056"/>
      <c r="ASK90" s="1056"/>
      <c r="ASL90" s="1056"/>
      <c r="ASM90" s="1056"/>
      <c r="ASN90" s="1056"/>
      <c r="ASO90" s="1056"/>
      <c r="ASP90" s="1056"/>
      <c r="ASQ90" s="1056"/>
      <c r="ASR90" s="1056"/>
      <c r="ASS90" s="1056"/>
      <c r="AST90" s="1056"/>
      <c r="ASU90" s="1056"/>
      <c r="ASV90" s="1056"/>
      <c r="ASW90" s="1056"/>
      <c r="ASX90" s="1056"/>
      <c r="ASY90" s="1056"/>
      <c r="ASZ90" s="1056"/>
      <c r="ATA90" s="1056"/>
      <c r="ATB90" s="1056"/>
      <c r="ATC90" s="1056"/>
      <c r="ATD90" s="1056"/>
      <c r="ATE90" s="1056"/>
      <c r="ATF90" s="1056"/>
      <c r="ATG90" s="1056"/>
      <c r="ATH90" s="1056"/>
      <c r="ATI90" s="1056"/>
      <c r="ATJ90" s="1056"/>
      <c r="ATK90" s="1056"/>
      <c r="ATL90" s="1056"/>
      <c r="ATM90" s="1056"/>
      <c r="ATN90" s="1056"/>
      <c r="ATO90" s="1056"/>
      <c r="ATP90" s="1056"/>
      <c r="ATQ90" s="1056"/>
      <c r="ATR90" s="1056"/>
      <c r="ATS90" s="1056"/>
      <c r="ATT90" s="1056"/>
      <c r="ATU90" s="1056"/>
      <c r="ATV90" s="1056"/>
      <c r="ATW90" s="1056"/>
      <c r="ATX90" s="1056"/>
      <c r="ATY90" s="1056"/>
      <c r="ATZ90" s="1056"/>
      <c r="AUA90" s="1056"/>
      <c r="AUB90" s="1056"/>
      <c r="AUC90" s="1056"/>
      <c r="AUD90" s="1056"/>
      <c r="AUE90" s="1056"/>
      <c r="AUF90" s="1056"/>
      <c r="AUG90" s="1056"/>
      <c r="AUH90" s="1056"/>
      <c r="AUI90" s="1056"/>
      <c r="AUJ90" s="1056"/>
      <c r="AUK90" s="1056"/>
      <c r="AUL90" s="1056"/>
      <c r="AUM90" s="1056"/>
      <c r="AUN90" s="1056"/>
      <c r="AUO90" s="1056"/>
      <c r="AUP90" s="1056"/>
      <c r="AUQ90" s="1056"/>
      <c r="AUR90" s="1056"/>
      <c r="AUS90" s="1056"/>
      <c r="AUT90" s="1056"/>
      <c r="AUU90" s="1056"/>
      <c r="AUV90" s="1056"/>
      <c r="AUW90" s="1056"/>
      <c r="AUX90" s="1056"/>
      <c r="AUY90" s="1056"/>
      <c r="AUZ90" s="1056"/>
      <c r="AVA90" s="1056"/>
      <c r="AVB90" s="1056"/>
      <c r="AVC90" s="1056"/>
      <c r="AVD90" s="1056"/>
      <c r="AVE90" s="1056"/>
      <c r="AVF90" s="1056"/>
      <c r="AVG90" s="1056"/>
      <c r="AVH90" s="1056"/>
      <c r="AVI90" s="1056"/>
      <c r="AVJ90" s="1056"/>
      <c r="AVK90" s="1056"/>
      <c r="AVL90" s="1056"/>
      <c r="AVM90" s="1056"/>
      <c r="AVN90" s="1056"/>
      <c r="AVO90" s="1056"/>
      <c r="AVP90" s="1056"/>
      <c r="AVQ90" s="1056"/>
      <c r="AVR90" s="1056"/>
      <c r="AVS90" s="1056"/>
      <c r="AVT90" s="1056"/>
      <c r="AVU90" s="1056"/>
      <c r="AVV90" s="1056"/>
      <c r="AVW90" s="1056"/>
      <c r="AVX90" s="1056"/>
      <c r="AVY90" s="1056"/>
      <c r="AVZ90" s="1056"/>
      <c r="AWA90" s="1056"/>
      <c r="AWB90" s="1056"/>
      <c r="AWC90" s="1056"/>
      <c r="AWD90" s="1056"/>
      <c r="AWE90" s="1056"/>
      <c r="AWF90" s="1056"/>
      <c r="AWG90" s="1056"/>
      <c r="AWH90" s="1056"/>
      <c r="AWI90" s="1056"/>
      <c r="AWJ90" s="1056"/>
      <c r="AWK90" s="1056"/>
      <c r="AWL90" s="1056"/>
      <c r="AWM90" s="1056"/>
      <c r="AWN90" s="1056"/>
      <c r="AWO90" s="1056"/>
      <c r="AWP90" s="1056"/>
      <c r="AWQ90" s="1056"/>
      <c r="AWR90" s="1056"/>
      <c r="AWS90" s="1056"/>
      <c r="AWT90" s="1056"/>
      <c r="AWU90" s="1056"/>
      <c r="AWV90" s="1056"/>
      <c r="AWW90" s="1056"/>
      <c r="AWX90" s="1056"/>
      <c r="AWY90" s="1056"/>
      <c r="AWZ90" s="1056"/>
      <c r="AXA90" s="1056"/>
      <c r="AXB90" s="1056"/>
      <c r="AXC90" s="1056"/>
      <c r="AXD90" s="1056"/>
      <c r="AXE90" s="1056"/>
      <c r="AXF90" s="1056"/>
      <c r="AXG90" s="1056"/>
      <c r="AXH90" s="1056"/>
      <c r="AXI90" s="1056"/>
      <c r="AXJ90" s="1056"/>
      <c r="AXK90" s="1056"/>
      <c r="AXL90" s="1056"/>
      <c r="AXM90" s="1056"/>
      <c r="AXN90" s="1056"/>
      <c r="AXO90" s="1056"/>
      <c r="AXP90" s="1056"/>
      <c r="AXQ90" s="1056"/>
      <c r="AXR90" s="1056"/>
      <c r="AXS90" s="1056"/>
      <c r="AXT90" s="1056"/>
      <c r="AXU90" s="1056"/>
      <c r="AXV90" s="1056"/>
      <c r="AXW90" s="1056"/>
      <c r="AXX90" s="1056"/>
      <c r="AXY90" s="1056"/>
      <c r="AXZ90" s="1056"/>
      <c r="AYA90" s="1056"/>
      <c r="AYB90" s="1056"/>
      <c r="AYC90" s="1056"/>
      <c r="AYD90" s="1056"/>
      <c r="AYE90" s="1056"/>
      <c r="AYF90" s="1056"/>
      <c r="AYG90" s="1056"/>
      <c r="AYH90" s="1056"/>
      <c r="AYI90" s="1056"/>
      <c r="AYJ90" s="1056"/>
      <c r="AYK90" s="1056"/>
      <c r="AYL90" s="1056"/>
      <c r="AYM90" s="1056"/>
      <c r="AYN90" s="1056"/>
      <c r="AYO90" s="1056"/>
      <c r="AYP90" s="1056"/>
      <c r="AYQ90" s="1056"/>
      <c r="AYR90" s="1056"/>
      <c r="AYS90" s="1056"/>
      <c r="AYT90" s="1056"/>
      <c r="AYU90" s="1056"/>
      <c r="AYV90" s="1056"/>
      <c r="AYW90" s="1056"/>
      <c r="AYX90" s="1056"/>
      <c r="AYY90" s="1056"/>
      <c r="AYZ90" s="1056"/>
      <c r="AZA90" s="1056"/>
      <c r="AZB90" s="1056"/>
      <c r="AZC90" s="1056"/>
      <c r="AZD90" s="1056"/>
      <c r="AZE90" s="1056"/>
      <c r="AZF90" s="1056"/>
      <c r="AZG90" s="1056"/>
      <c r="AZH90" s="1056"/>
      <c r="AZI90" s="1056"/>
      <c r="AZJ90" s="1056"/>
      <c r="AZK90" s="1056"/>
      <c r="AZL90" s="1056"/>
      <c r="AZM90" s="1056"/>
      <c r="AZN90" s="1056"/>
      <c r="AZO90" s="1056"/>
      <c r="AZP90" s="1056"/>
      <c r="AZQ90" s="1056"/>
      <c r="AZR90" s="1056"/>
      <c r="AZS90" s="1056"/>
      <c r="AZT90" s="1056"/>
      <c r="AZU90" s="1056"/>
      <c r="AZV90" s="1056"/>
      <c r="AZW90" s="1056"/>
      <c r="AZX90" s="1056"/>
      <c r="AZY90" s="1056"/>
      <c r="AZZ90" s="1056"/>
      <c r="BAA90" s="1056"/>
      <c r="BAB90" s="1056"/>
      <c r="BAC90" s="1056"/>
      <c r="BAD90" s="1056"/>
      <c r="BAE90" s="1056"/>
      <c r="BAF90" s="1056"/>
      <c r="BAG90" s="1056"/>
      <c r="BAH90" s="1056"/>
      <c r="BAI90" s="1056"/>
      <c r="BAJ90" s="1056"/>
      <c r="BAK90" s="1056"/>
      <c r="BAL90" s="1056"/>
      <c r="BAM90" s="1056"/>
      <c r="BAN90" s="1056"/>
      <c r="BAO90" s="1056"/>
      <c r="BAP90" s="1056"/>
      <c r="BAQ90" s="1056"/>
      <c r="BAR90" s="1056"/>
      <c r="BAS90" s="1056"/>
      <c r="BAT90" s="1056"/>
      <c r="BAU90" s="1056"/>
      <c r="BAV90" s="1056"/>
      <c r="BAW90" s="1056"/>
      <c r="BAX90" s="1056"/>
      <c r="BAY90" s="1056"/>
      <c r="BAZ90" s="1056"/>
      <c r="BBA90" s="1056"/>
      <c r="BBB90" s="1056"/>
      <c r="BBC90" s="1056"/>
      <c r="BBD90" s="1056"/>
      <c r="BBE90" s="1056"/>
      <c r="BBF90" s="1056"/>
      <c r="BBG90" s="1056"/>
      <c r="BBH90" s="1056"/>
      <c r="BBI90" s="1056"/>
      <c r="BBJ90" s="1056"/>
      <c r="BBK90" s="1056"/>
      <c r="BBL90" s="1056"/>
      <c r="BBM90" s="1056"/>
      <c r="BBN90" s="1056"/>
      <c r="BBO90" s="1056"/>
      <c r="BBP90" s="1056"/>
      <c r="BBQ90" s="1056"/>
      <c r="BBR90" s="1056"/>
      <c r="BBS90" s="1056"/>
      <c r="BBT90" s="1056"/>
      <c r="BBU90" s="1056"/>
      <c r="BBV90" s="1056"/>
      <c r="BBW90" s="1056"/>
      <c r="BBX90" s="1056"/>
      <c r="BBY90" s="1056"/>
      <c r="BBZ90" s="1056"/>
      <c r="BCA90" s="1056"/>
      <c r="BCB90" s="1056"/>
      <c r="BCC90" s="1056"/>
      <c r="BCD90" s="1056"/>
      <c r="BCE90" s="1056"/>
      <c r="BCF90" s="1056"/>
      <c r="BCG90" s="1056"/>
      <c r="BCH90" s="1056"/>
      <c r="BCI90" s="1056"/>
      <c r="BCJ90" s="1056"/>
      <c r="BCK90" s="1056"/>
      <c r="BCL90" s="1056"/>
      <c r="BCM90" s="1056"/>
      <c r="BCN90" s="1056"/>
      <c r="BCO90" s="1056"/>
      <c r="BCP90" s="1056"/>
      <c r="BCQ90" s="1056"/>
      <c r="BCR90" s="1056"/>
      <c r="BCS90" s="1056"/>
      <c r="BCT90" s="1056"/>
      <c r="BCU90" s="1056"/>
      <c r="BCV90" s="1056"/>
      <c r="BCW90" s="1056"/>
      <c r="BCX90" s="1056"/>
      <c r="BCY90" s="1056"/>
      <c r="BCZ90" s="1056"/>
      <c r="BDA90" s="1056"/>
      <c r="BDB90" s="1056"/>
      <c r="BDC90" s="1056"/>
      <c r="BDD90" s="1056"/>
      <c r="BDE90" s="1056"/>
      <c r="BDF90" s="1056"/>
      <c r="BDG90" s="1056"/>
      <c r="BDH90" s="1056"/>
      <c r="BDI90" s="1056"/>
      <c r="BDJ90" s="1056"/>
      <c r="BDK90" s="1056"/>
      <c r="BDL90" s="1056"/>
      <c r="BDM90" s="1056"/>
      <c r="BDN90" s="1056"/>
      <c r="BDO90" s="1056"/>
      <c r="BDP90" s="1056"/>
      <c r="BDQ90" s="1056"/>
      <c r="BDR90" s="1056"/>
      <c r="BDS90" s="1056"/>
      <c r="BDT90" s="1056"/>
      <c r="BDU90" s="1056"/>
      <c r="BDV90" s="1056"/>
      <c r="BDW90" s="1056"/>
      <c r="BDX90" s="1056"/>
      <c r="BDY90" s="1056"/>
      <c r="BDZ90" s="1056"/>
      <c r="BEA90" s="1056"/>
      <c r="BEB90" s="1056"/>
      <c r="BEC90" s="1056"/>
      <c r="BED90" s="1056"/>
      <c r="BEE90" s="1056"/>
      <c r="BEF90" s="1056"/>
      <c r="BEG90" s="1056"/>
      <c r="BEH90" s="1056"/>
      <c r="BEI90" s="1056"/>
      <c r="BEJ90" s="1056"/>
      <c r="BEK90" s="1056"/>
      <c r="BEL90" s="1056"/>
      <c r="BEM90" s="1056"/>
      <c r="BEN90" s="1056"/>
      <c r="BEO90" s="1056"/>
      <c r="BEP90" s="1056"/>
      <c r="BEQ90" s="1056"/>
      <c r="BER90" s="1056"/>
      <c r="BES90" s="1056"/>
      <c r="BET90" s="1056"/>
      <c r="BEU90" s="1056"/>
      <c r="BEV90" s="1056"/>
      <c r="BEW90" s="1056"/>
      <c r="BEX90" s="1056"/>
      <c r="BEY90" s="1056"/>
      <c r="BEZ90" s="1056"/>
      <c r="BFA90" s="1056"/>
      <c r="BFB90" s="1056"/>
      <c r="BFC90" s="1056"/>
      <c r="BFD90" s="1056"/>
      <c r="BFE90" s="1056"/>
      <c r="BFF90" s="1056"/>
      <c r="BFG90" s="1056"/>
      <c r="BFH90" s="1056"/>
      <c r="BFI90" s="1056"/>
      <c r="BFJ90" s="1056"/>
      <c r="BFK90" s="1056"/>
      <c r="BFL90" s="1056"/>
      <c r="BFM90" s="1056"/>
      <c r="BFN90" s="1056"/>
      <c r="BFO90" s="1056"/>
      <c r="BFP90" s="1056"/>
      <c r="BFQ90" s="1056"/>
      <c r="BFR90" s="1056"/>
      <c r="BFS90" s="1056"/>
      <c r="BFT90" s="1056"/>
      <c r="BFU90" s="1056"/>
      <c r="BFV90" s="1056"/>
      <c r="BFW90" s="1056"/>
      <c r="BFX90" s="1056"/>
      <c r="BFY90" s="1056"/>
      <c r="BFZ90" s="1056"/>
      <c r="BGA90" s="1056"/>
      <c r="BGB90" s="1056"/>
      <c r="BGC90" s="1056"/>
      <c r="BGD90" s="1056"/>
      <c r="BGE90" s="1056"/>
      <c r="BGF90" s="1056"/>
      <c r="BGG90" s="1056"/>
      <c r="BGH90" s="1056"/>
      <c r="BGI90" s="1056"/>
      <c r="BGJ90" s="1056"/>
      <c r="BGK90" s="1056"/>
      <c r="BGL90" s="1056"/>
      <c r="BGM90" s="1056"/>
      <c r="BGN90" s="1056"/>
      <c r="BGO90" s="1056"/>
      <c r="BGP90" s="1056"/>
      <c r="BGQ90" s="1056"/>
      <c r="BGR90" s="1056"/>
      <c r="BGS90" s="1056"/>
      <c r="BGT90" s="1056"/>
      <c r="BGU90" s="1056"/>
      <c r="BGV90" s="1056"/>
      <c r="BGW90" s="1056"/>
      <c r="BGX90" s="1056"/>
      <c r="BGY90" s="1056"/>
      <c r="BGZ90" s="1056"/>
      <c r="BHA90" s="1056"/>
      <c r="BHB90" s="1056"/>
      <c r="BHC90" s="1056"/>
      <c r="BHD90" s="1056"/>
      <c r="BHE90" s="1056"/>
      <c r="BHF90" s="1056"/>
      <c r="BHG90" s="1056"/>
      <c r="BHH90" s="1056"/>
      <c r="BHI90" s="1056"/>
      <c r="BHJ90" s="1056"/>
      <c r="BHK90" s="1056"/>
      <c r="BHL90" s="1056"/>
      <c r="BHM90" s="1056"/>
      <c r="BHN90" s="1056"/>
      <c r="BHO90" s="1056"/>
      <c r="BHP90" s="1056"/>
      <c r="BHQ90" s="1056"/>
      <c r="BHR90" s="1056"/>
      <c r="BHS90" s="1056"/>
      <c r="BHT90" s="1056"/>
      <c r="BHU90" s="1056"/>
      <c r="BHV90" s="1056"/>
      <c r="BHW90" s="1056"/>
      <c r="BHX90" s="1056"/>
      <c r="BHY90" s="1056"/>
      <c r="BHZ90" s="1056"/>
      <c r="BIA90" s="1056"/>
      <c r="BIB90" s="1056"/>
      <c r="BIC90" s="1056"/>
      <c r="BID90" s="1056"/>
      <c r="BIE90" s="1056"/>
      <c r="BIF90" s="1056"/>
      <c r="BIG90" s="1056"/>
      <c r="BIH90" s="1056"/>
      <c r="BII90" s="1056"/>
      <c r="BIJ90" s="1056"/>
      <c r="BIK90" s="1056"/>
      <c r="BIL90" s="1056"/>
      <c r="BIM90" s="1056"/>
      <c r="BIN90" s="1056"/>
      <c r="BIO90" s="1056"/>
      <c r="BIP90" s="1056"/>
      <c r="BIQ90" s="1056"/>
      <c r="BIR90" s="1056"/>
      <c r="BIS90" s="1056"/>
      <c r="BIT90" s="1056"/>
      <c r="BIU90" s="1056"/>
      <c r="BIV90" s="1056"/>
      <c r="BIW90" s="1056"/>
      <c r="BIX90" s="1056"/>
      <c r="BIY90" s="1056"/>
      <c r="BIZ90" s="1056"/>
      <c r="BJA90" s="1056"/>
      <c r="BJB90" s="1056"/>
      <c r="BJC90" s="1056"/>
      <c r="BJD90" s="1056"/>
      <c r="BJE90" s="1056"/>
      <c r="BJF90" s="1056"/>
      <c r="BJG90" s="1056"/>
      <c r="BJH90" s="1056"/>
      <c r="BJI90" s="1056"/>
      <c r="BJJ90" s="1056"/>
      <c r="BJK90" s="1056"/>
      <c r="BJL90" s="1056"/>
      <c r="BJM90" s="1056"/>
      <c r="BJN90" s="1056"/>
      <c r="BJO90" s="1056"/>
      <c r="BJP90" s="1056"/>
      <c r="BJQ90" s="1056"/>
      <c r="BJR90" s="1056"/>
      <c r="BJS90" s="1056"/>
      <c r="BJT90" s="1056"/>
      <c r="BJU90" s="1056"/>
      <c r="BJV90" s="1056"/>
      <c r="BJW90" s="1056"/>
      <c r="BJX90" s="1056"/>
      <c r="BJY90" s="1056"/>
      <c r="BJZ90" s="1056"/>
      <c r="BKA90" s="1056"/>
      <c r="BKB90" s="1056"/>
      <c r="BKC90" s="1056"/>
      <c r="BKD90" s="1056"/>
      <c r="BKE90" s="1056"/>
      <c r="BKF90" s="1056"/>
      <c r="BKG90" s="1056"/>
      <c r="BKH90" s="1056"/>
      <c r="BKI90" s="1056"/>
      <c r="BKJ90" s="1056"/>
      <c r="BKK90" s="1056"/>
      <c r="BKL90" s="1056"/>
      <c r="BKM90" s="1056"/>
      <c r="BKN90" s="1056"/>
      <c r="BKO90" s="1056"/>
      <c r="BKP90" s="1056"/>
      <c r="BKQ90" s="1056"/>
      <c r="BKR90" s="1056"/>
      <c r="BKS90" s="1056"/>
      <c r="BKT90" s="1056"/>
      <c r="BKU90" s="1056"/>
      <c r="BKV90" s="1056"/>
      <c r="BKW90" s="1056"/>
      <c r="BKX90" s="1056"/>
      <c r="BKY90" s="1056"/>
      <c r="BKZ90" s="1056"/>
      <c r="BLA90" s="1056"/>
      <c r="BLB90" s="1056"/>
      <c r="BLC90" s="1056"/>
      <c r="BLD90" s="1056"/>
      <c r="BLE90" s="1056"/>
      <c r="BLF90" s="1056"/>
      <c r="BLG90" s="1056"/>
      <c r="BLH90" s="1056"/>
      <c r="BLI90" s="1056"/>
      <c r="BLJ90" s="1056"/>
      <c r="BLK90" s="1056"/>
      <c r="BLL90" s="1056"/>
      <c r="BLM90" s="1056"/>
      <c r="BLN90" s="1056"/>
      <c r="BLO90" s="1056"/>
      <c r="BLP90" s="1056"/>
      <c r="BLQ90" s="1056"/>
      <c r="BLR90" s="1056"/>
      <c r="BLS90" s="1056"/>
      <c r="BLT90" s="1056"/>
      <c r="BLU90" s="1056"/>
      <c r="BLV90" s="1056"/>
      <c r="BLW90" s="1056"/>
      <c r="BLX90" s="1056"/>
      <c r="BLY90" s="1056"/>
      <c r="BLZ90" s="1056"/>
      <c r="BMA90" s="1056"/>
      <c r="BMB90" s="1056"/>
      <c r="BMC90" s="1056"/>
      <c r="BMD90" s="1056"/>
      <c r="BME90" s="1056"/>
      <c r="BMF90" s="1056"/>
      <c r="BMG90" s="1056"/>
      <c r="BMH90" s="1056"/>
      <c r="BMI90" s="1056"/>
      <c r="BMJ90" s="1056"/>
      <c r="BMK90" s="1056"/>
      <c r="BML90" s="1056"/>
      <c r="BMM90" s="1056"/>
      <c r="BMN90" s="1056"/>
      <c r="BMO90" s="1056"/>
      <c r="BMP90" s="1056"/>
      <c r="BMQ90" s="1056"/>
      <c r="BMR90" s="1056"/>
      <c r="BMS90" s="1056"/>
      <c r="BMT90" s="1056"/>
      <c r="BMU90" s="1056"/>
      <c r="BMV90" s="1056"/>
      <c r="BMW90" s="1056"/>
      <c r="BMX90" s="1056"/>
      <c r="BMY90" s="1056"/>
      <c r="BMZ90" s="1056"/>
      <c r="BNA90" s="1056"/>
      <c r="BNB90" s="1056"/>
      <c r="BNC90" s="1056"/>
      <c r="BND90" s="1056"/>
      <c r="BNE90" s="1056"/>
      <c r="BNF90" s="1056"/>
      <c r="BNG90" s="1056"/>
      <c r="BNH90" s="1056"/>
      <c r="BNI90" s="1056"/>
      <c r="BNJ90" s="1056"/>
      <c r="BNK90" s="1056"/>
      <c r="BNL90" s="1056"/>
      <c r="BNM90" s="1056"/>
      <c r="BNN90" s="1056"/>
      <c r="BNO90" s="1056"/>
      <c r="BNP90" s="1056"/>
      <c r="BNQ90" s="1056"/>
      <c r="BNR90" s="1056"/>
      <c r="BNS90" s="1056"/>
      <c r="BNT90" s="1056"/>
      <c r="BNU90" s="1056"/>
      <c r="BNV90" s="1056"/>
      <c r="BNW90" s="1056"/>
      <c r="BNX90" s="1056"/>
      <c r="BNY90" s="1056"/>
      <c r="BNZ90" s="1056"/>
      <c r="BOA90" s="1056"/>
      <c r="BOB90" s="1056"/>
      <c r="BOC90" s="1056"/>
      <c r="BOD90" s="1056"/>
      <c r="BOE90" s="1056"/>
      <c r="BOF90" s="1056"/>
      <c r="BOG90" s="1056"/>
      <c r="BOH90" s="1056"/>
      <c r="BOI90" s="1056"/>
      <c r="BOJ90" s="1056"/>
      <c r="BOK90" s="1056"/>
      <c r="BOL90" s="1056"/>
      <c r="BOM90" s="1056"/>
      <c r="BON90" s="1056"/>
      <c r="BOO90" s="1056"/>
      <c r="BOP90" s="1056"/>
      <c r="BOQ90" s="1056"/>
      <c r="BOR90" s="1056"/>
      <c r="BOS90" s="1056"/>
      <c r="BOT90" s="1056"/>
      <c r="BOU90" s="1056"/>
      <c r="BOV90" s="1056"/>
      <c r="BOW90" s="1056"/>
      <c r="BOX90" s="1056"/>
      <c r="BOY90" s="1056"/>
      <c r="BOZ90" s="1056"/>
      <c r="BPA90" s="1056"/>
      <c r="BPB90" s="1056"/>
      <c r="BPC90" s="1056"/>
      <c r="BPD90" s="1056"/>
      <c r="BPE90" s="1056"/>
      <c r="BPF90" s="1056"/>
      <c r="BPG90" s="1056"/>
      <c r="BPH90" s="1056"/>
      <c r="BPI90" s="1056"/>
      <c r="BPJ90" s="1056"/>
      <c r="BPK90" s="1056"/>
      <c r="BPL90" s="1056"/>
      <c r="BPM90" s="1056"/>
      <c r="BPN90" s="1056"/>
      <c r="BPO90" s="1056"/>
      <c r="BPP90" s="1056"/>
      <c r="BPQ90" s="1056"/>
      <c r="BPR90" s="1056"/>
      <c r="BPS90" s="1056"/>
      <c r="BPT90" s="1056"/>
      <c r="BPU90" s="1056"/>
      <c r="BPV90" s="1056"/>
      <c r="BPW90" s="1056"/>
      <c r="BPX90" s="1056"/>
      <c r="BPY90" s="1056"/>
      <c r="BPZ90" s="1056"/>
      <c r="BQA90" s="1056"/>
      <c r="BQB90" s="1056"/>
      <c r="BQC90" s="1056"/>
      <c r="BQD90" s="1056"/>
      <c r="BQE90" s="1056"/>
      <c r="BQF90" s="1056"/>
      <c r="BQG90" s="1056"/>
      <c r="BQH90" s="1056"/>
      <c r="BQI90" s="1056"/>
      <c r="BQJ90" s="1056"/>
      <c r="BQK90" s="1056"/>
      <c r="BQL90" s="1056"/>
      <c r="BQM90" s="1056"/>
      <c r="BQN90" s="1056"/>
      <c r="BQO90" s="1056"/>
      <c r="BQP90" s="1056"/>
      <c r="BQQ90" s="1056"/>
      <c r="BQR90" s="1056"/>
      <c r="BQS90" s="1056"/>
      <c r="BQT90" s="1056"/>
      <c r="BQU90" s="1056"/>
      <c r="BQV90" s="1056"/>
      <c r="BQW90" s="1056"/>
      <c r="BQX90" s="1056"/>
      <c r="BQY90" s="1056"/>
      <c r="BQZ90" s="1056"/>
      <c r="BRA90" s="1056"/>
      <c r="BRB90" s="1056"/>
      <c r="BRC90" s="1056"/>
      <c r="BRD90" s="1056"/>
      <c r="BRE90" s="1056"/>
      <c r="BRF90" s="1056"/>
      <c r="BRG90" s="1056"/>
      <c r="BRH90" s="1056"/>
      <c r="BRI90" s="1056"/>
      <c r="BRJ90" s="1056"/>
      <c r="BRK90" s="1056"/>
      <c r="BRL90" s="1056"/>
      <c r="BRM90" s="1056"/>
      <c r="BRN90" s="1056"/>
      <c r="BRO90" s="1056"/>
      <c r="BRP90" s="1056"/>
      <c r="BRQ90" s="1056"/>
      <c r="BRR90" s="1056"/>
      <c r="BRS90" s="1056"/>
      <c r="BRT90" s="1056"/>
      <c r="BRU90" s="1056"/>
      <c r="BRV90" s="1056"/>
      <c r="BRW90" s="1056"/>
      <c r="BRX90" s="1056"/>
      <c r="BRY90" s="1056"/>
      <c r="BRZ90" s="1056"/>
      <c r="BSA90" s="1056"/>
      <c r="BSB90" s="1056"/>
      <c r="BSC90" s="1056"/>
      <c r="BSD90" s="1056"/>
      <c r="BSE90" s="1056"/>
      <c r="BSF90" s="1056"/>
      <c r="BSG90" s="1056"/>
      <c r="BSH90" s="1056"/>
      <c r="BSI90" s="1056"/>
      <c r="BSJ90" s="1056"/>
      <c r="BSK90" s="1056"/>
      <c r="BSL90" s="1056"/>
      <c r="BSM90" s="1056"/>
      <c r="BSN90" s="1056"/>
      <c r="BSO90" s="1056"/>
      <c r="BSP90" s="1056"/>
      <c r="BSQ90" s="1056"/>
      <c r="BSR90" s="1056"/>
      <c r="BSS90" s="1056"/>
      <c r="BST90" s="1056"/>
      <c r="BSU90" s="1056"/>
      <c r="BSV90" s="1056"/>
      <c r="BSW90" s="1056"/>
      <c r="BSX90" s="1056"/>
      <c r="BSY90" s="1056"/>
      <c r="BSZ90" s="1056"/>
      <c r="BTA90" s="1056"/>
      <c r="BTB90" s="1056"/>
      <c r="BTC90" s="1056"/>
      <c r="BTD90" s="1056"/>
      <c r="BTE90" s="1056"/>
      <c r="BTF90" s="1056"/>
      <c r="BTG90" s="1056"/>
      <c r="BTH90" s="1056"/>
      <c r="BTI90" s="1056"/>
    </row>
    <row r="91" spans="1:1881" s="1060" customFormat="1" ht="115.5" hidden="1" customHeight="1" thickBot="1" x14ac:dyDescent="0.35">
      <c r="A91" s="1059">
        <v>585</v>
      </c>
      <c r="B91" s="1061" t="s">
        <v>942</v>
      </c>
      <c r="C91" s="1061" t="s">
        <v>943</v>
      </c>
      <c r="D91" s="1052" t="s">
        <v>945</v>
      </c>
      <c r="E91" s="1053" t="e">
        <f>HLOOKUP($D$2,'2020 Data(H)'!$C$1:$AI$426,235,FALSE)</f>
        <v>#N/A</v>
      </c>
      <c r="F91" s="287">
        <v>0</v>
      </c>
      <c r="G91" s="722"/>
      <c r="H91" s="1054"/>
      <c r="I91" s="1055"/>
      <c r="J91" s="1056"/>
      <c r="K91" s="1056"/>
      <c r="L91" s="1057"/>
      <c r="M91" s="1056"/>
      <c r="N91" s="1058"/>
      <c r="O91" s="1056"/>
      <c r="P91" s="1056"/>
      <c r="Q91" s="1056"/>
      <c r="R91" s="1056"/>
      <c r="S91" s="1056"/>
      <c r="T91" s="1056"/>
      <c r="U91" s="1056"/>
      <c r="V91" s="1056"/>
      <c r="W91" s="1056"/>
      <c r="X91" s="1056"/>
      <c r="Y91" s="1056"/>
      <c r="Z91" s="1059"/>
      <c r="AA91" s="1059"/>
      <c r="AB91" s="1059"/>
      <c r="AC91" s="1059"/>
      <c r="AD91" s="1059"/>
      <c r="AE91" s="1059"/>
      <c r="AF91" s="1059"/>
      <c r="AG91" s="1059"/>
      <c r="AH91" s="1059"/>
      <c r="AI91" s="1059"/>
      <c r="AJ91" s="1059"/>
      <c r="AK91" s="1059"/>
      <c r="AL91" s="1059"/>
      <c r="AM91" s="1059"/>
      <c r="AN91" s="1059"/>
      <c r="AO91" s="1059"/>
      <c r="AP91" s="1059"/>
      <c r="AQ91" s="1059"/>
      <c r="AR91" s="1059"/>
      <c r="AS91" s="1056"/>
      <c r="AT91" s="1056"/>
      <c r="AU91" s="1056"/>
      <c r="AV91" s="1056"/>
      <c r="AW91" s="1056"/>
      <c r="AX91" s="1056"/>
      <c r="AY91" s="1056"/>
      <c r="AZ91" s="1056"/>
      <c r="BA91" s="1056"/>
      <c r="BB91" s="1056"/>
      <c r="BC91" s="1056"/>
      <c r="BD91" s="1056"/>
      <c r="BE91" s="1056"/>
      <c r="BF91" s="1056"/>
      <c r="BG91" s="1056"/>
      <c r="BH91" s="1056"/>
      <c r="BI91" s="1056"/>
      <c r="BJ91" s="1056"/>
      <c r="BK91" s="1056"/>
      <c r="BL91" s="1056"/>
      <c r="BM91" s="1056"/>
      <c r="BN91" s="1056"/>
      <c r="BO91" s="1056"/>
      <c r="BP91" s="1056"/>
      <c r="BQ91" s="1056"/>
      <c r="BR91" s="1056"/>
      <c r="BS91" s="1056"/>
      <c r="BT91" s="1056"/>
      <c r="BU91" s="1056"/>
      <c r="BV91" s="1056"/>
      <c r="BW91" s="1056"/>
      <c r="BX91" s="1056"/>
      <c r="BY91" s="1056"/>
      <c r="BZ91" s="1056"/>
      <c r="CA91" s="1056"/>
      <c r="CB91" s="1056"/>
      <c r="CC91" s="1056"/>
      <c r="CD91" s="1056"/>
      <c r="CE91" s="1056"/>
      <c r="CF91" s="1056"/>
      <c r="CG91" s="1056"/>
      <c r="CH91" s="1056"/>
      <c r="CI91" s="1056"/>
      <c r="CJ91" s="1056"/>
      <c r="CK91" s="1056"/>
      <c r="CL91" s="1056"/>
      <c r="CM91" s="1056"/>
      <c r="CN91" s="1056"/>
      <c r="CO91" s="1056"/>
      <c r="CP91" s="1056"/>
      <c r="CQ91" s="1056"/>
      <c r="CR91" s="1056"/>
      <c r="CS91" s="1056"/>
      <c r="CT91" s="1056"/>
      <c r="CU91" s="1056"/>
      <c r="CV91" s="1056"/>
      <c r="CW91" s="1056"/>
      <c r="CX91" s="1056"/>
      <c r="CY91" s="1056"/>
      <c r="CZ91" s="1056"/>
      <c r="DA91" s="1056"/>
      <c r="DB91" s="1056"/>
      <c r="DC91" s="1056"/>
      <c r="DD91" s="1056"/>
      <c r="DE91" s="1056"/>
      <c r="DF91" s="1056"/>
      <c r="DG91" s="1056"/>
      <c r="DH91" s="1056"/>
      <c r="DI91" s="1056"/>
      <c r="DJ91" s="1056"/>
      <c r="DK91" s="1056"/>
      <c r="DL91" s="1056"/>
      <c r="DM91" s="1056"/>
      <c r="DN91" s="1056"/>
      <c r="DO91" s="1056"/>
      <c r="DP91" s="1056"/>
      <c r="DQ91" s="1056"/>
      <c r="DR91" s="1056"/>
      <c r="DS91" s="1056"/>
      <c r="DT91" s="1056"/>
      <c r="DU91" s="1056"/>
      <c r="DV91" s="1056"/>
      <c r="DW91" s="1056"/>
      <c r="DX91" s="1056"/>
      <c r="DY91" s="1056"/>
      <c r="DZ91" s="1056"/>
      <c r="EA91" s="1056"/>
      <c r="EB91" s="1056"/>
      <c r="EC91" s="1056"/>
      <c r="ED91" s="1056"/>
      <c r="EE91" s="1056"/>
      <c r="EF91" s="1056"/>
      <c r="EG91" s="1056"/>
      <c r="EH91" s="1056"/>
      <c r="EI91" s="1056"/>
      <c r="EJ91" s="1056"/>
      <c r="EK91" s="1056"/>
      <c r="EL91" s="1056"/>
      <c r="EM91" s="1056"/>
      <c r="EN91" s="1056"/>
      <c r="EO91" s="1056"/>
      <c r="EP91" s="1056"/>
      <c r="EQ91" s="1056"/>
      <c r="ER91" s="1056"/>
      <c r="ES91" s="1056"/>
      <c r="ET91" s="1056"/>
      <c r="EU91" s="1056"/>
      <c r="EV91" s="1056"/>
      <c r="EW91" s="1056"/>
      <c r="EX91" s="1056"/>
      <c r="EY91" s="1056"/>
      <c r="EZ91" s="1056"/>
      <c r="FA91" s="1056"/>
      <c r="FB91" s="1056"/>
      <c r="FC91" s="1056"/>
      <c r="FD91" s="1056"/>
      <c r="FE91" s="1056"/>
      <c r="FF91" s="1056"/>
      <c r="FG91" s="1056"/>
      <c r="FH91" s="1056"/>
      <c r="FI91" s="1056"/>
      <c r="FJ91" s="1056"/>
      <c r="FK91" s="1056"/>
      <c r="FL91" s="1056"/>
      <c r="FM91" s="1056"/>
      <c r="FN91" s="1056"/>
      <c r="FO91" s="1056"/>
      <c r="FP91" s="1056"/>
      <c r="FQ91" s="1056"/>
      <c r="FR91" s="1056"/>
      <c r="FS91" s="1056"/>
      <c r="FT91" s="1056"/>
      <c r="FU91" s="1056"/>
      <c r="FV91" s="1056"/>
      <c r="FW91" s="1056"/>
      <c r="FX91" s="1056"/>
      <c r="FY91" s="1056"/>
      <c r="FZ91" s="1056"/>
      <c r="GA91" s="1056"/>
      <c r="GB91" s="1056"/>
      <c r="GC91" s="1056"/>
      <c r="GD91" s="1056"/>
      <c r="GE91" s="1056"/>
      <c r="GF91" s="1056"/>
      <c r="GG91" s="1056"/>
      <c r="GH91" s="1056"/>
      <c r="GI91" s="1056"/>
      <c r="GJ91" s="1056"/>
      <c r="GK91" s="1056"/>
      <c r="GL91" s="1056"/>
      <c r="GM91" s="1056"/>
      <c r="GN91" s="1056"/>
      <c r="GO91" s="1056"/>
      <c r="GP91" s="1056"/>
      <c r="GQ91" s="1056"/>
      <c r="GR91" s="1056"/>
      <c r="GS91" s="1056"/>
      <c r="GT91" s="1056"/>
      <c r="GU91" s="1056"/>
      <c r="GV91" s="1056"/>
      <c r="GW91" s="1056"/>
      <c r="GX91" s="1056"/>
      <c r="GY91" s="1056"/>
      <c r="GZ91" s="1056"/>
      <c r="HA91" s="1056"/>
      <c r="HB91" s="1056"/>
      <c r="HC91" s="1056"/>
      <c r="HD91" s="1056"/>
      <c r="HE91" s="1056"/>
      <c r="HF91" s="1056"/>
      <c r="HG91" s="1056"/>
      <c r="HH91" s="1056"/>
      <c r="HI91" s="1056"/>
      <c r="HJ91" s="1056"/>
      <c r="HK91" s="1056"/>
      <c r="HL91" s="1056"/>
      <c r="HM91" s="1056"/>
      <c r="HN91" s="1056"/>
      <c r="HO91" s="1056"/>
      <c r="HP91" s="1056"/>
      <c r="HQ91" s="1056"/>
      <c r="HR91" s="1056"/>
      <c r="HS91" s="1056"/>
      <c r="HT91" s="1056"/>
      <c r="HU91" s="1056"/>
      <c r="HV91" s="1056"/>
      <c r="HW91" s="1056"/>
      <c r="HX91" s="1056"/>
      <c r="HY91" s="1056"/>
      <c r="HZ91" s="1056"/>
      <c r="IA91" s="1056"/>
      <c r="IB91" s="1056"/>
      <c r="IC91" s="1056"/>
      <c r="ID91" s="1056"/>
      <c r="IE91" s="1056"/>
      <c r="IF91" s="1056"/>
      <c r="IG91" s="1056"/>
      <c r="IH91" s="1056"/>
      <c r="II91" s="1056"/>
      <c r="IJ91" s="1056"/>
      <c r="IK91" s="1056"/>
      <c r="IL91" s="1056"/>
      <c r="IM91" s="1056"/>
      <c r="IN91" s="1056"/>
      <c r="IO91" s="1056"/>
      <c r="IP91" s="1056"/>
      <c r="IQ91" s="1056"/>
      <c r="IR91" s="1056"/>
      <c r="IS91" s="1056"/>
      <c r="IT91" s="1056"/>
      <c r="IU91" s="1056"/>
      <c r="IV91" s="1056"/>
      <c r="IW91" s="1056"/>
      <c r="IX91" s="1056"/>
      <c r="IY91" s="1056"/>
      <c r="IZ91" s="1056"/>
      <c r="JA91" s="1056"/>
      <c r="JB91" s="1056"/>
      <c r="JC91" s="1056"/>
      <c r="JD91" s="1056"/>
      <c r="JE91" s="1056"/>
      <c r="JF91" s="1056"/>
      <c r="JG91" s="1056"/>
      <c r="JH91" s="1056"/>
      <c r="JI91" s="1056"/>
      <c r="JJ91" s="1056"/>
      <c r="JK91" s="1056"/>
      <c r="JL91" s="1056"/>
      <c r="JM91" s="1056"/>
      <c r="JN91" s="1056"/>
      <c r="JO91" s="1056"/>
      <c r="JP91" s="1056"/>
      <c r="JQ91" s="1056"/>
      <c r="JR91" s="1056"/>
      <c r="JS91" s="1056"/>
      <c r="JT91" s="1056"/>
      <c r="JU91" s="1056"/>
      <c r="JV91" s="1056"/>
      <c r="JW91" s="1056"/>
      <c r="JX91" s="1056"/>
      <c r="JY91" s="1056"/>
      <c r="JZ91" s="1056"/>
      <c r="KA91" s="1056"/>
      <c r="KB91" s="1056"/>
      <c r="KC91" s="1056"/>
      <c r="KD91" s="1056"/>
      <c r="KE91" s="1056"/>
      <c r="KF91" s="1056"/>
      <c r="KG91" s="1056"/>
      <c r="KH91" s="1056"/>
      <c r="KI91" s="1056"/>
      <c r="KJ91" s="1056"/>
      <c r="KK91" s="1056"/>
      <c r="KL91" s="1056"/>
      <c r="KM91" s="1056"/>
      <c r="KN91" s="1056"/>
      <c r="KO91" s="1056"/>
      <c r="KP91" s="1056"/>
      <c r="KQ91" s="1056"/>
      <c r="KR91" s="1056"/>
      <c r="KS91" s="1056"/>
      <c r="KT91" s="1056"/>
      <c r="KU91" s="1056"/>
      <c r="KV91" s="1056"/>
      <c r="KW91" s="1056"/>
      <c r="KX91" s="1056"/>
      <c r="KY91" s="1056"/>
      <c r="KZ91" s="1056"/>
      <c r="LA91" s="1056"/>
      <c r="LB91" s="1056"/>
      <c r="LC91" s="1056"/>
      <c r="LD91" s="1056"/>
      <c r="LE91" s="1056"/>
      <c r="LF91" s="1056"/>
      <c r="LG91" s="1056"/>
      <c r="LH91" s="1056"/>
      <c r="LI91" s="1056"/>
      <c r="LJ91" s="1056"/>
      <c r="LK91" s="1056"/>
      <c r="LL91" s="1056"/>
      <c r="LM91" s="1056"/>
      <c r="LN91" s="1056"/>
      <c r="LO91" s="1056"/>
      <c r="LP91" s="1056"/>
      <c r="LQ91" s="1056"/>
      <c r="LR91" s="1056"/>
      <c r="LS91" s="1056"/>
      <c r="LT91" s="1056"/>
      <c r="LU91" s="1056"/>
      <c r="LV91" s="1056"/>
      <c r="LW91" s="1056"/>
      <c r="LX91" s="1056"/>
      <c r="LY91" s="1056"/>
      <c r="LZ91" s="1056"/>
      <c r="MA91" s="1056"/>
      <c r="MB91" s="1056"/>
      <c r="MC91" s="1056"/>
      <c r="MD91" s="1056"/>
      <c r="ME91" s="1056"/>
      <c r="MF91" s="1056"/>
      <c r="MG91" s="1056"/>
      <c r="MH91" s="1056"/>
      <c r="MI91" s="1056"/>
      <c r="MJ91" s="1056"/>
      <c r="MK91" s="1056"/>
      <c r="ML91" s="1056"/>
      <c r="MM91" s="1056"/>
      <c r="MN91" s="1056"/>
      <c r="MO91" s="1056"/>
      <c r="MP91" s="1056"/>
      <c r="MQ91" s="1056"/>
      <c r="MR91" s="1056"/>
      <c r="MS91" s="1056"/>
      <c r="MT91" s="1056"/>
      <c r="MU91" s="1056"/>
      <c r="MV91" s="1056"/>
      <c r="MW91" s="1056"/>
      <c r="MX91" s="1056"/>
      <c r="MY91" s="1056"/>
      <c r="MZ91" s="1056"/>
      <c r="NA91" s="1056"/>
      <c r="NB91" s="1056"/>
      <c r="NC91" s="1056"/>
      <c r="ND91" s="1056"/>
      <c r="NE91" s="1056"/>
      <c r="NF91" s="1056"/>
      <c r="NG91" s="1056"/>
      <c r="NH91" s="1056"/>
      <c r="NI91" s="1056"/>
      <c r="NJ91" s="1056"/>
      <c r="NK91" s="1056"/>
      <c r="NL91" s="1056"/>
      <c r="NM91" s="1056"/>
      <c r="NN91" s="1056"/>
      <c r="NO91" s="1056"/>
      <c r="NP91" s="1056"/>
      <c r="NQ91" s="1056"/>
      <c r="NR91" s="1056"/>
      <c r="NS91" s="1056"/>
      <c r="NT91" s="1056"/>
      <c r="NU91" s="1056"/>
      <c r="NV91" s="1056"/>
      <c r="NW91" s="1056"/>
      <c r="NX91" s="1056"/>
      <c r="NY91" s="1056"/>
      <c r="NZ91" s="1056"/>
      <c r="OA91" s="1056"/>
      <c r="OB91" s="1056"/>
      <c r="OC91" s="1056"/>
      <c r="OD91" s="1056"/>
      <c r="OE91" s="1056"/>
      <c r="OF91" s="1056"/>
      <c r="OG91" s="1056"/>
      <c r="OH91" s="1056"/>
      <c r="OI91" s="1056"/>
      <c r="OJ91" s="1056"/>
      <c r="OK91" s="1056"/>
      <c r="OL91" s="1056"/>
      <c r="OM91" s="1056"/>
      <c r="ON91" s="1056"/>
      <c r="OO91" s="1056"/>
      <c r="OP91" s="1056"/>
      <c r="OQ91" s="1056"/>
      <c r="OR91" s="1056"/>
      <c r="OS91" s="1056"/>
      <c r="OT91" s="1056"/>
      <c r="OU91" s="1056"/>
      <c r="OV91" s="1056"/>
      <c r="OW91" s="1056"/>
      <c r="OX91" s="1056"/>
      <c r="OY91" s="1056"/>
      <c r="OZ91" s="1056"/>
      <c r="PA91" s="1056"/>
      <c r="PB91" s="1056"/>
      <c r="PC91" s="1056"/>
      <c r="PD91" s="1056"/>
      <c r="PE91" s="1056"/>
      <c r="PF91" s="1056"/>
      <c r="PG91" s="1056"/>
      <c r="PH91" s="1056"/>
      <c r="PI91" s="1056"/>
      <c r="PJ91" s="1056"/>
      <c r="PK91" s="1056"/>
      <c r="PL91" s="1056"/>
      <c r="PM91" s="1056"/>
      <c r="PN91" s="1056"/>
      <c r="PO91" s="1056"/>
      <c r="PP91" s="1056"/>
      <c r="PQ91" s="1056"/>
      <c r="PR91" s="1056"/>
      <c r="PS91" s="1056"/>
      <c r="PT91" s="1056"/>
      <c r="PU91" s="1056"/>
      <c r="PV91" s="1056"/>
      <c r="PW91" s="1056"/>
      <c r="PX91" s="1056"/>
      <c r="PY91" s="1056"/>
      <c r="PZ91" s="1056"/>
      <c r="QA91" s="1056"/>
      <c r="QB91" s="1056"/>
      <c r="QC91" s="1056"/>
      <c r="QD91" s="1056"/>
      <c r="QE91" s="1056"/>
      <c r="QF91" s="1056"/>
      <c r="QG91" s="1056"/>
      <c r="QH91" s="1056"/>
      <c r="QI91" s="1056"/>
      <c r="QJ91" s="1056"/>
      <c r="QK91" s="1056"/>
      <c r="QL91" s="1056"/>
      <c r="QM91" s="1056"/>
      <c r="QN91" s="1056"/>
      <c r="QO91" s="1056"/>
      <c r="QP91" s="1056"/>
      <c r="QQ91" s="1056"/>
      <c r="QR91" s="1056"/>
      <c r="QS91" s="1056"/>
      <c r="QT91" s="1056"/>
      <c r="QU91" s="1056"/>
      <c r="QV91" s="1056"/>
      <c r="QW91" s="1056"/>
      <c r="QX91" s="1056"/>
      <c r="QY91" s="1056"/>
      <c r="QZ91" s="1056"/>
      <c r="RA91" s="1056"/>
      <c r="RB91" s="1056"/>
      <c r="RC91" s="1056"/>
      <c r="RD91" s="1056"/>
      <c r="RE91" s="1056"/>
      <c r="RF91" s="1056"/>
      <c r="RG91" s="1056"/>
      <c r="RH91" s="1056"/>
      <c r="RI91" s="1056"/>
      <c r="RJ91" s="1056"/>
      <c r="RK91" s="1056"/>
      <c r="RL91" s="1056"/>
      <c r="RM91" s="1056"/>
      <c r="RN91" s="1056"/>
      <c r="RO91" s="1056"/>
      <c r="RP91" s="1056"/>
      <c r="RQ91" s="1056"/>
      <c r="RR91" s="1056"/>
      <c r="RS91" s="1056"/>
      <c r="RT91" s="1056"/>
      <c r="RU91" s="1056"/>
      <c r="RV91" s="1056"/>
      <c r="RW91" s="1056"/>
      <c r="RX91" s="1056"/>
      <c r="RY91" s="1056"/>
      <c r="RZ91" s="1056"/>
      <c r="SA91" s="1056"/>
      <c r="SB91" s="1056"/>
      <c r="SC91" s="1056"/>
      <c r="SD91" s="1056"/>
      <c r="SE91" s="1056"/>
      <c r="SF91" s="1056"/>
      <c r="SG91" s="1056"/>
      <c r="SH91" s="1056"/>
      <c r="SI91" s="1056"/>
      <c r="SJ91" s="1056"/>
      <c r="SK91" s="1056"/>
      <c r="SL91" s="1056"/>
      <c r="SM91" s="1056"/>
      <c r="SN91" s="1056"/>
      <c r="SO91" s="1056"/>
      <c r="SP91" s="1056"/>
      <c r="SQ91" s="1056"/>
      <c r="SR91" s="1056"/>
      <c r="SS91" s="1056"/>
      <c r="ST91" s="1056"/>
      <c r="SU91" s="1056"/>
      <c r="SV91" s="1056"/>
      <c r="SW91" s="1056"/>
      <c r="SX91" s="1056"/>
      <c r="SY91" s="1056"/>
      <c r="SZ91" s="1056"/>
      <c r="TA91" s="1056"/>
      <c r="TB91" s="1056"/>
      <c r="TC91" s="1056"/>
      <c r="TD91" s="1056"/>
      <c r="TE91" s="1056"/>
      <c r="TF91" s="1056"/>
      <c r="TG91" s="1056"/>
      <c r="TH91" s="1056"/>
      <c r="TI91" s="1056"/>
      <c r="TJ91" s="1056"/>
      <c r="TK91" s="1056"/>
      <c r="TL91" s="1056"/>
      <c r="TM91" s="1056"/>
      <c r="TN91" s="1056"/>
      <c r="TO91" s="1056"/>
      <c r="TP91" s="1056"/>
      <c r="TQ91" s="1056"/>
      <c r="TR91" s="1056"/>
      <c r="TS91" s="1056"/>
      <c r="TT91" s="1056"/>
      <c r="TU91" s="1056"/>
      <c r="TV91" s="1056"/>
      <c r="TW91" s="1056"/>
      <c r="TX91" s="1056"/>
      <c r="TY91" s="1056"/>
      <c r="TZ91" s="1056"/>
      <c r="UA91" s="1056"/>
      <c r="UB91" s="1056"/>
      <c r="UC91" s="1056"/>
      <c r="UD91" s="1056"/>
      <c r="UE91" s="1056"/>
      <c r="UF91" s="1056"/>
      <c r="UG91" s="1056"/>
      <c r="UH91" s="1056"/>
      <c r="UI91" s="1056"/>
      <c r="UJ91" s="1056"/>
      <c r="UK91" s="1056"/>
      <c r="UL91" s="1056"/>
      <c r="UM91" s="1056"/>
      <c r="UN91" s="1056"/>
      <c r="UO91" s="1056"/>
      <c r="UP91" s="1056"/>
      <c r="UQ91" s="1056"/>
      <c r="UR91" s="1056"/>
      <c r="US91" s="1056"/>
      <c r="UT91" s="1056"/>
      <c r="UU91" s="1056"/>
      <c r="UV91" s="1056"/>
      <c r="UW91" s="1056"/>
      <c r="UX91" s="1056"/>
      <c r="UY91" s="1056"/>
      <c r="UZ91" s="1056"/>
      <c r="VA91" s="1056"/>
      <c r="VB91" s="1056"/>
      <c r="VC91" s="1056"/>
      <c r="VD91" s="1056"/>
      <c r="VE91" s="1056"/>
      <c r="VF91" s="1056"/>
      <c r="VG91" s="1056"/>
      <c r="VH91" s="1056"/>
      <c r="VI91" s="1056"/>
      <c r="VJ91" s="1056"/>
      <c r="VK91" s="1056"/>
      <c r="VL91" s="1056"/>
      <c r="VM91" s="1056"/>
      <c r="VN91" s="1056"/>
      <c r="VO91" s="1056"/>
      <c r="VP91" s="1056"/>
      <c r="VQ91" s="1056"/>
      <c r="VR91" s="1056"/>
      <c r="VS91" s="1056"/>
      <c r="VT91" s="1056"/>
      <c r="VU91" s="1056"/>
      <c r="VV91" s="1056"/>
      <c r="VW91" s="1056"/>
      <c r="VX91" s="1056"/>
      <c r="VY91" s="1056"/>
      <c r="VZ91" s="1056"/>
      <c r="WA91" s="1056"/>
      <c r="WB91" s="1056"/>
      <c r="WC91" s="1056"/>
      <c r="WD91" s="1056"/>
      <c r="WE91" s="1056"/>
      <c r="WF91" s="1056"/>
      <c r="WG91" s="1056"/>
      <c r="WH91" s="1056"/>
      <c r="WI91" s="1056"/>
      <c r="WJ91" s="1056"/>
      <c r="WK91" s="1056"/>
      <c r="WL91" s="1056"/>
      <c r="WM91" s="1056"/>
      <c r="WN91" s="1056"/>
      <c r="WO91" s="1056"/>
      <c r="WP91" s="1056"/>
      <c r="WQ91" s="1056"/>
      <c r="WR91" s="1056"/>
      <c r="WS91" s="1056"/>
      <c r="WT91" s="1056"/>
      <c r="WU91" s="1056"/>
      <c r="WV91" s="1056"/>
      <c r="WW91" s="1056"/>
      <c r="WX91" s="1056"/>
      <c r="WY91" s="1056"/>
      <c r="WZ91" s="1056"/>
      <c r="XA91" s="1056"/>
      <c r="XB91" s="1056"/>
      <c r="XC91" s="1056"/>
      <c r="XD91" s="1056"/>
      <c r="XE91" s="1056"/>
      <c r="XF91" s="1056"/>
      <c r="XG91" s="1056"/>
      <c r="XH91" s="1056"/>
      <c r="XI91" s="1056"/>
      <c r="XJ91" s="1056"/>
      <c r="XK91" s="1056"/>
      <c r="XL91" s="1056"/>
      <c r="XM91" s="1056"/>
      <c r="XN91" s="1056"/>
      <c r="XO91" s="1056"/>
      <c r="XP91" s="1056"/>
      <c r="XQ91" s="1056"/>
      <c r="XR91" s="1056"/>
      <c r="XS91" s="1056"/>
      <c r="XT91" s="1056"/>
      <c r="XU91" s="1056"/>
      <c r="XV91" s="1056"/>
      <c r="XW91" s="1056"/>
      <c r="XX91" s="1056"/>
      <c r="XY91" s="1056"/>
      <c r="XZ91" s="1056"/>
      <c r="YA91" s="1056"/>
      <c r="YB91" s="1056"/>
      <c r="YC91" s="1056"/>
      <c r="YD91" s="1056"/>
      <c r="YE91" s="1056"/>
      <c r="YF91" s="1056"/>
      <c r="YG91" s="1056"/>
      <c r="YH91" s="1056"/>
      <c r="YI91" s="1056"/>
      <c r="YJ91" s="1056"/>
      <c r="YK91" s="1056"/>
      <c r="YL91" s="1056"/>
      <c r="YM91" s="1056"/>
      <c r="YN91" s="1056"/>
      <c r="YO91" s="1056"/>
      <c r="YP91" s="1056"/>
      <c r="YQ91" s="1056"/>
      <c r="YR91" s="1056"/>
      <c r="YS91" s="1056"/>
      <c r="YT91" s="1056"/>
      <c r="YU91" s="1056"/>
      <c r="YV91" s="1056"/>
      <c r="YW91" s="1056"/>
      <c r="YX91" s="1056"/>
      <c r="YY91" s="1056"/>
      <c r="YZ91" s="1056"/>
      <c r="ZA91" s="1056"/>
      <c r="ZB91" s="1056"/>
      <c r="ZC91" s="1056"/>
      <c r="ZD91" s="1056"/>
      <c r="ZE91" s="1056"/>
      <c r="ZF91" s="1056"/>
      <c r="ZG91" s="1056"/>
      <c r="ZH91" s="1056"/>
      <c r="ZI91" s="1056"/>
      <c r="ZJ91" s="1056"/>
      <c r="ZK91" s="1056"/>
      <c r="ZL91" s="1056"/>
      <c r="ZM91" s="1056"/>
      <c r="ZN91" s="1056"/>
      <c r="ZO91" s="1056"/>
      <c r="ZP91" s="1056"/>
      <c r="ZQ91" s="1056"/>
      <c r="ZR91" s="1056"/>
      <c r="ZS91" s="1056"/>
      <c r="ZT91" s="1056"/>
      <c r="ZU91" s="1056"/>
      <c r="ZV91" s="1056"/>
      <c r="ZW91" s="1056"/>
      <c r="ZX91" s="1056"/>
      <c r="ZY91" s="1056"/>
      <c r="ZZ91" s="1056"/>
      <c r="AAA91" s="1056"/>
      <c r="AAB91" s="1056"/>
      <c r="AAC91" s="1056"/>
      <c r="AAD91" s="1056"/>
      <c r="AAE91" s="1056"/>
      <c r="AAF91" s="1056"/>
      <c r="AAG91" s="1056"/>
      <c r="AAH91" s="1056"/>
      <c r="AAI91" s="1056"/>
      <c r="AAJ91" s="1056"/>
      <c r="AAK91" s="1056"/>
      <c r="AAL91" s="1056"/>
      <c r="AAM91" s="1056"/>
      <c r="AAN91" s="1056"/>
      <c r="AAO91" s="1056"/>
      <c r="AAP91" s="1056"/>
      <c r="AAQ91" s="1056"/>
      <c r="AAR91" s="1056"/>
      <c r="AAS91" s="1056"/>
      <c r="AAT91" s="1056"/>
      <c r="AAU91" s="1056"/>
      <c r="AAV91" s="1056"/>
      <c r="AAW91" s="1056"/>
      <c r="AAX91" s="1056"/>
      <c r="AAY91" s="1056"/>
      <c r="AAZ91" s="1056"/>
      <c r="ABA91" s="1056"/>
      <c r="ABB91" s="1056"/>
      <c r="ABC91" s="1056"/>
      <c r="ABD91" s="1056"/>
      <c r="ABE91" s="1056"/>
      <c r="ABF91" s="1056"/>
      <c r="ABG91" s="1056"/>
      <c r="ABH91" s="1056"/>
      <c r="ABI91" s="1056"/>
      <c r="ABJ91" s="1056"/>
      <c r="ABK91" s="1056"/>
      <c r="ABL91" s="1056"/>
      <c r="ABM91" s="1056"/>
      <c r="ABN91" s="1056"/>
      <c r="ABO91" s="1056"/>
      <c r="ABP91" s="1056"/>
      <c r="ABQ91" s="1056"/>
      <c r="ABR91" s="1056"/>
      <c r="ABS91" s="1056"/>
      <c r="ABT91" s="1056"/>
      <c r="ABU91" s="1056"/>
      <c r="ABV91" s="1056"/>
      <c r="ABW91" s="1056"/>
      <c r="ABX91" s="1056"/>
      <c r="ABY91" s="1056"/>
      <c r="ABZ91" s="1056"/>
      <c r="ACA91" s="1056"/>
      <c r="ACB91" s="1056"/>
      <c r="ACC91" s="1056"/>
      <c r="ACD91" s="1056"/>
      <c r="ACE91" s="1056"/>
      <c r="ACF91" s="1056"/>
      <c r="ACG91" s="1056"/>
      <c r="ACH91" s="1056"/>
      <c r="ACI91" s="1056"/>
      <c r="ACJ91" s="1056"/>
      <c r="ACK91" s="1056"/>
      <c r="ACL91" s="1056"/>
      <c r="ACM91" s="1056"/>
      <c r="ACN91" s="1056"/>
      <c r="ACO91" s="1056"/>
      <c r="ACP91" s="1056"/>
      <c r="ACQ91" s="1056"/>
      <c r="ACR91" s="1056"/>
      <c r="ACS91" s="1056"/>
      <c r="ACT91" s="1056"/>
      <c r="ACU91" s="1056"/>
      <c r="ACV91" s="1056"/>
      <c r="ACW91" s="1056"/>
      <c r="ACX91" s="1056"/>
      <c r="ACY91" s="1056"/>
      <c r="ACZ91" s="1056"/>
      <c r="ADA91" s="1056"/>
      <c r="ADB91" s="1056"/>
      <c r="ADC91" s="1056"/>
      <c r="ADD91" s="1056"/>
      <c r="ADE91" s="1056"/>
      <c r="ADF91" s="1056"/>
      <c r="ADG91" s="1056"/>
      <c r="ADH91" s="1056"/>
      <c r="ADI91" s="1056"/>
      <c r="ADJ91" s="1056"/>
      <c r="ADK91" s="1056"/>
      <c r="ADL91" s="1056"/>
      <c r="ADM91" s="1056"/>
      <c r="ADN91" s="1056"/>
      <c r="ADO91" s="1056"/>
      <c r="ADP91" s="1056"/>
      <c r="ADQ91" s="1056"/>
      <c r="ADR91" s="1056"/>
      <c r="ADS91" s="1056"/>
      <c r="ADT91" s="1056"/>
      <c r="ADU91" s="1056"/>
      <c r="ADV91" s="1056"/>
      <c r="ADW91" s="1056"/>
      <c r="ADX91" s="1056"/>
      <c r="ADY91" s="1056"/>
      <c r="ADZ91" s="1056"/>
      <c r="AEA91" s="1056"/>
      <c r="AEB91" s="1056"/>
      <c r="AEC91" s="1056"/>
      <c r="AED91" s="1056"/>
      <c r="AEE91" s="1056"/>
      <c r="AEF91" s="1056"/>
      <c r="AEG91" s="1056"/>
      <c r="AEH91" s="1056"/>
      <c r="AEI91" s="1056"/>
      <c r="AEJ91" s="1056"/>
      <c r="AEK91" s="1056"/>
      <c r="AEL91" s="1056"/>
      <c r="AEM91" s="1056"/>
      <c r="AEN91" s="1056"/>
      <c r="AEO91" s="1056"/>
      <c r="AEP91" s="1056"/>
      <c r="AEQ91" s="1056"/>
      <c r="AER91" s="1056"/>
      <c r="AES91" s="1056"/>
      <c r="AET91" s="1056"/>
      <c r="AEU91" s="1056"/>
      <c r="AEV91" s="1056"/>
      <c r="AEW91" s="1056"/>
      <c r="AEX91" s="1056"/>
      <c r="AEY91" s="1056"/>
      <c r="AEZ91" s="1056"/>
      <c r="AFA91" s="1056"/>
      <c r="AFB91" s="1056"/>
      <c r="AFC91" s="1056"/>
      <c r="AFD91" s="1056"/>
      <c r="AFE91" s="1056"/>
      <c r="AFF91" s="1056"/>
      <c r="AFG91" s="1056"/>
      <c r="AFH91" s="1056"/>
      <c r="AFI91" s="1056"/>
      <c r="AFJ91" s="1056"/>
      <c r="AFK91" s="1056"/>
      <c r="AFL91" s="1056"/>
      <c r="AFM91" s="1056"/>
      <c r="AFN91" s="1056"/>
      <c r="AFO91" s="1056"/>
      <c r="AFP91" s="1056"/>
      <c r="AFQ91" s="1056"/>
      <c r="AFR91" s="1056"/>
      <c r="AFS91" s="1056"/>
      <c r="AFT91" s="1056"/>
      <c r="AFU91" s="1056"/>
      <c r="AFV91" s="1056"/>
      <c r="AFW91" s="1056"/>
      <c r="AFX91" s="1056"/>
      <c r="AFY91" s="1056"/>
      <c r="AFZ91" s="1056"/>
      <c r="AGA91" s="1056"/>
      <c r="AGB91" s="1056"/>
      <c r="AGC91" s="1056"/>
      <c r="AGD91" s="1056"/>
      <c r="AGE91" s="1056"/>
      <c r="AGF91" s="1056"/>
      <c r="AGG91" s="1056"/>
      <c r="AGH91" s="1056"/>
      <c r="AGI91" s="1056"/>
      <c r="AGJ91" s="1056"/>
      <c r="AGK91" s="1056"/>
      <c r="AGL91" s="1056"/>
      <c r="AGM91" s="1056"/>
      <c r="AGN91" s="1056"/>
      <c r="AGO91" s="1056"/>
      <c r="AGP91" s="1056"/>
      <c r="AGQ91" s="1056"/>
      <c r="AGR91" s="1056"/>
      <c r="AGS91" s="1056"/>
      <c r="AGT91" s="1056"/>
      <c r="AGU91" s="1056"/>
      <c r="AGV91" s="1056"/>
      <c r="AGW91" s="1056"/>
      <c r="AGX91" s="1056"/>
      <c r="AGY91" s="1056"/>
      <c r="AGZ91" s="1056"/>
      <c r="AHA91" s="1056"/>
      <c r="AHB91" s="1056"/>
      <c r="AHC91" s="1056"/>
      <c r="AHD91" s="1056"/>
      <c r="AHE91" s="1056"/>
      <c r="AHF91" s="1056"/>
      <c r="AHG91" s="1056"/>
      <c r="AHH91" s="1056"/>
      <c r="AHI91" s="1056"/>
      <c r="AHJ91" s="1056"/>
      <c r="AHK91" s="1056"/>
      <c r="AHL91" s="1056"/>
      <c r="AHM91" s="1056"/>
      <c r="AHN91" s="1056"/>
      <c r="AHO91" s="1056"/>
      <c r="AHP91" s="1056"/>
      <c r="AHQ91" s="1056"/>
      <c r="AHR91" s="1056"/>
      <c r="AHS91" s="1056"/>
      <c r="AHT91" s="1056"/>
      <c r="AHU91" s="1056"/>
      <c r="AHV91" s="1056"/>
      <c r="AHW91" s="1056"/>
      <c r="AHX91" s="1056"/>
      <c r="AHY91" s="1056"/>
      <c r="AHZ91" s="1056"/>
      <c r="AIA91" s="1056"/>
      <c r="AIB91" s="1056"/>
      <c r="AIC91" s="1056"/>
      <c r="AID91" s="1056"/>
      <c r="AIE91" s="1056"/>
      <c r="AIF91" s="1056"/>
      <c r="AIG91" s="1056"/>
      <c r="AIH91" s="1056"/>
      <c r="AII91" s="1056"/>
      <c r="AIJ91" s="1056"/>
      <c r="AIK91" s="1056"/>
      <c r="AIL91" s="1056"/>
      <c r="AIM91" s="1056"/>
      <c r="AIN91" s="1056"/>
      <c r="AIO91" s="1056"/>
      <c r="AIP91" s="1056"/>
      <c r="AIQ91" s="1056"/>
      <c r="AIR91" s="1056"/>
      <c r="AIS91" s="1056"/>
      <c r="AIT91" s="1056"/>
      <c r="AIU91" s="1056"/>
      <c r="AIV91" s="1056"/>
      <c r="AIW91" s="1056"/>
      <c r="AIX91" s="1056"/>
      <c r="AIY91" s="1056"/>
      <c r="AIZ91" s="1056"/>
      <c r="AJA91" s="1056"/>
      <c r="AJB91" s="1056"/>
      <c r="AJC91" s="1056"/>
      <c r="AJD91" s="1056"/>
      <c r="AJE91" s="1056"/>
      <c r="AJF91" s="1056"/>
      <c r="AJG91" s="1056"/>
      <c r="AJH91" s="1056"/>
      <c r="AJI91" s="1056"/>
      <c r="AJJ91" s="1056"/>
      <c r="AJK91" s="1056"/>
      <c r="AJL91" s="1056"/>
      <c r="AJM91" s="1056"/>
      <c r="AJN91" s="1056"/>
      <c r="AJO91" s="1056"/>
      <c r="AJP91" s="1056"/>
      <c r="AJQ91" s="1056"/>
      <c r="AJR91" s="1056"/>
      <c r="AJS91" s="1056"/>
      <c r="AJT91" s="1056"/>
      <c r="AJU91" s="1056"/>
      <c r="AJV91" s="1056"/>
      <c r="AJW91" s="1056"/>
      <c r="AJX91" s="1056"/>
      <c r="AJY91" s="1056"/>
      <c r="AJZ91" s="1056"/>
      <c r="AKA91" s="1056"/>
      <c r="AKB91" s="1056"/>
      <c r="AKC91" s="1056"/>
      <c r="AKD91" s="1056"/>
      <c r="AKE91" s="1056"/>
      <c r="AKF91" s="1056"/>
      <c r="AKG91" s="1056"/>
      <c r="AKH91" s="1056"/>
      <c r="AKI91" s="1056"/>
      <c r="AKJ91" s="1056"/>
      <c r="AKK91" s="1056"/>
      <c r="AKL91" s="1056"/>
      <c r="AKM91" s="1056"/>
      <c r="AKN91" s="1056"/>
      <c r="AKO91" s="1056"/>
      <c r="AKP91" s="1056"/>
      <c r="AKQ91" s="1056"/>
      <c r="AKR91" s="1056"/>
      <c r="AKS91" s="1056"/>
      <c r="AKT91" s="1056"/>
      <c r="AKU91" s="1056"/>
      <c r="AKV91" s="1056"/>
      <c r="AKW91" s="1056"/>
      <c r="AKX91" s="1056"/>
      <c r="AKY91" s="1056"/>
      <c r="AKZ91" s="1056"/>
      <c r="ALA91" s="1056"/>
      <c r="ALB91" s="1056"/>
      <c r="ALC91" s="1056"/>
      <c r="ALD91" s="1056"/>
      <c r="ALE91" s="1056"/>
      <c r="ALF91" s="1056"/>
      <c r="ALG91" s="1056"/>
      <c r="ALH91" s="1056"/>
      <c r="ALI91" s="1056"/>
      <c r="ALJ91" s="1056"/>
      <c r="ALK91" s="1056"/>
      <c r="ALL91" s="1056"/>
      <c r="ALM91" s="1056"/>
      <c r="ALN91" s="1056"/>
      <c r="ALO91" s="1056"/>
      <c r="ALP91" s="1056"/>
      <c r="ALQ91" s="1056"/>
      <c r="ALR91" s="1056"/>
      <c r="ALS91" s="1056"/>
      <c r="ALT91" s="1056"/>
      <c r="ALU91" s="1056"/>
      <c r="ALV91" s="1056"/>
      <c r="ALW91" s="1056"/>
      <c r="ALX91" s="1056"/>
      <c r="ALY91" s="1056"/>
      <c r="ALZ91" s="1056"/>
      <c r="AMA91" s="1056"/>
      <c r="AMB91" s="1056"/>
      <c r="AMC91" s="1056"/>
      <c r="AMD91" s="1056"/>
      <c r="AME91" s="1056"/>
      <c r="AMF91" s="1056"/>
      <c r="AMG91" s="1056"/>
      <c r="AMH91" s="1056"/>
      <c r="AMI91" s="1056"/>
      <c r="AMJ91" s="1056"/>
      <c r="AMK91" s="1056"/>
      <c r="AML91" s="1056"/>
      <c r="AMM91" s="1056"/>
      <c r="AMN91" s="1056"/>
      <c r="AMO91" s="1056"/>
      <c r="AMP91" s="1056"/>
      <c r="AMQ91" s="1056"/>
      <c r="AMR91" s="1056"/>
      <c r="AMS91" s="1056"/>
      <c r="AMT91" s="1056"/>
      <c r="AMU91" s="1056"/>
      <c r="AMV91" s="1056"/>
      <c r="AMW91" s="1056"/>
      <c r="AMX91" s="1056"/>
      <c r="AMY91" s="1056"/>
      <c r="AMZ91" s="1056"/>
      <c r="ANA91" s="1056"/>
      <c r="ANB91" s="1056"/>
      <c r="ANC91" s="1056"/>
      <c r="AND91" s="1056"/>
      <c r="ANE91" s="1056"/>
      <c r="ANF91" s="1056"/>
      <c r="ANG91" s="1056"/>
      <c r="ANH91" s="1056"/>
      <c r="ANI91" s="1056"/>
      <c r="ANJ91" s="1056"/>
      <c r="ANK91" s="1056"/>
      <c r="ANL91" s="1056"/>
      <c r="ANM91" s="1056"/>
      <c r="ANN91" s="1056"/>
      <c r="ANO91" s="1056"/>
      <c r="ANP91" s="1056"/>
      <c r="ANQ91" s="1056"/>
      <c r="ANR91" s="1056"/>
      <c r="ANS91" s="1056"/>
      <c r="ANT91" s="1056"/>
      <c r="ANU91" s="1056"/>
      <c r="ANV91" s="1056"/>
      <c r="ANW91" s="1056"/>
      <c r="ANX91" s="1056"/>
      <c r="ANY91" s="1056"/>
      <c r="ANZ91" s="1056"/>
      <c r="AOA91" s="1056"/>
      <c r="AOB91" s="1056"/>
      <c r="AOC91" s="1056"/>
      <c r="AOD91" s="1056"/>
      <c r="AOE91" s="1056"/>
      <c r="AOF91" s="1056"/>
      <c r="AOG91" s="1056"/>
      <c r="AOH91" s="1056"/>
      <c r="AOI91" s="1056"/>
      <c r="AOJ91" s="1056"/>
      <c r="AOK91" s="1056"/>
      <c r="AOL91" s="1056"/>
      <c r="AOM91" s="1056"/>
      <c r="AON91" s="1056"/>
      <c r="AOO91" s="1056"/>
      <c r="AOP91" s="1056"/>
      <c r="AOQ91" s="1056"/>
      <c r="AOR91" s="1056"/>
      <c r="AOS91" s="1056"/>
      <c r="AOT91" s="1056"/>
      <c r="AOU91" s="1056"/>
      <c r="AOV91" s="1056"/>
      <c r="AOW91" s="1056"/>
      <c r="AOX91" s="1056"/>
      <c r="AOY91" s="1056"/>
      <c r="AOZ91" s="1056"/>
      <c r="APA91" s="1056"/>
      <c r="APB91" s="1056"/>
      <c r="APC91" s="1056"/>
      <c r="APD91" s="1056"/>
      <c r="APE91" s="1056"/>
      <c r="APF91" s="1056"/>
      <c r="APG91" s="1056"/>
      <c r="APH91" s="1056"/>
      <c r="API91" s="1056"/>
      <c r="APJ91" s="1056"/>
      <c r="APK91" s="1056"/>
      <c r="APL91" s="1056"/>
      <c r="APM91" s="1056"/>
      <c r="APN91" s="1056"/>
      <c r="APO91" s="1056"/>
      <c r="APP91" s="1056"/>
      <c r="APQ91" s="1056"/>
      <c r="APR91" s="1056"/>
      <c r="APS91" s="1056"/>
      <c r="APT91" s="1056"/>
      <c r="APU91" s="1056"/>
      <c r="APV91" s="1056"/>
      <c r="APW91" s="1056"/>
      <c r="APX91" s="1056"/>
      <c r="APY91" s="1056"/>
      <c r="APZ91" s="1056"/>
      <c r="AQA91" s="1056"/>
      <c r="AQB91" s="1056"/>
      <c r="AQC91" s="1056"/>
      <c r="AQD91" s="1056"/>
      <c r="AQE91" s="1056"/>
      <c r="AQF91" s="1056"/>
      <c r="AQG91" s="1056"/>
      <c r="AQH91" s="1056"/>
      <c r="AQI91" s="1056"/>
      <c r="AQJ91" s="1056"/>
      <c r="AQK91" s="1056"/>
      <c r="AQL91" s="1056"/>
      <c r="AQM91" s="1056"/>
      <c r="AQN91" s="1056"/>
      <c r="AQO91" s="1056"/>
      <c r="AQP91" s="1056"/>
      <c r="AQQ91" s="1056"/>
      <c r="AQR91" s="1056"/>
      <c r="AQS91" s="1056"/>
      <c r="AQT91" s="1056"/>
      <c r="AQU91" s="1056"/>
      <c r="AQV91" s="1056"/>
      <c r="AQW91" s="1056"/>
      <c r="AQX91" s="1056"/>
      <c r="AQY91" s="1056"/>
      <c r="AQZ91" s="1056"/>
      <c r="ARA91" s="1056"/>
      <c r="ARB91" s="1056"/>
      <c r="ARC91" s="1056"/>
      <c r="ARD91" s="1056"/>
      <c r="ARE91" s="1056"/>
      <c r="ARF91" s="1056"/>
      <c r="ARG91" s="1056"/>
      <c r="ARH91" s="1056"/>
      <c r="ARI91" s="1056"/>
      <c r="ARJ91" s="1056"/>
      <c r="ARK91" s="1056"/>
      <c r="ARL91" s="1056"/>
      <c r="ARM91" s="1056"/>
      <c r="ARN91" s="1056"/>
      <c r="ARO91" s="1056"/>
      <c r="ARP91" s="1056"/>
      <c r="ARQ91" s="1056"/>
      <c r="ARR91" s="1056"/>
      <c r="ARS91" s="1056"/>
      <c r="ART91" s="1056"/>
      <c r="ARU91" s="1056"/>
      <c r="ARV91" s="1056"/>
      <c r="ARW91" s="1056"/>
      <c r="ARX91" s="1056"/>
      <c r="ARY91" s="1056"/>
      <c r="ARZ91" s="1056"/>
      <c r="ASA91" s="1056"/>
      <c r="ASB91" s="1056"/>
      <c r="ASC91" s="1056"/>
      <c r="ASD91" s="1056"/>
      <c r="ASE91" s="1056"/>
      <c r="ASF91" s="1056"/>
      <c r="ASG91" s="1056"/>
      <c r="ASH91" s="1056"/>
      <c r="ASI91" s="1056"/>
      <c r="ASJ91" s="1056"/>
      <c r="ASK91" s="1056"/>
      <c r="ASL91" s="1056"/>
      <c r="ASM91" s="1056"/>
      <c r="ASN91" s="1056"/>
      <c r="ASO91" s="1056"/>
      <c r="ASP91" s="1056"/>
      <c r="ASQ91" s="1056"/>
      <c r="ASR91" s="1056"/>
      <c r="ASS91" s="1056"/>
      <c r="AST91" s="1056"/>
      <c r="ASU91" s="1056"/>
      <c r="ASV91" s="1056"/>
      <c r="ASW91" s="1056"/>
      <c r="ASX91" s="1056"/>
      <c r="ASY91" s="1056"/>
      <c r="ASZ91" s="1056"/>
      <c r="ATA91" s="1056"/>
      <c r="ATB91" s="1056"/>
      <c r="ATC91" s="1056"/>
      <c r="ATD91" s="1056"/>
      <c r="ATE91" s="1056"/>
      <c r="ATF91" s="1056"/>
      <c r="ATG91" s="1056"/>
      <c r="ATH91" s="1056"/>
      <c r="ATI91" s="1056"/>
      <c r="ATJ91" s="1056"/>
      <c r="ATK91" s="1056"/>
      <c r="ATL91" s="1056"/>
      <c r="ATM91" s="1056"/>
      <c r="ATN91" s="1056"/>
      <c r="ATO91" s="1056"/>
      <c r="ATP91" s="1056"/>
      <c r="ATQ91" s="1056"/>
      <c r="ATR91" s="1056"/>
      <c r="ATS91" s="1056"/>
      <c r="ATT91" s="1056"/>
      <c r="ATU91" s="1056"/>
      <c r="ATV91" s="1056"/>
      <c r="ATW91" s="1056"/>
      <c r="ATX91" s="1056"/>
      <c r="ATY91" s="1056"/>
      <c r="ATZ91" s="1056"/>
      <c r="AUA91" s="1056"/>
      <c r="AUB91" s="1056"/>
      <c r="AUC91" s="1056"/>
      <c r="AUD91" s="1056"/>
      <c r="AUE91" s="1056"/>
      <c r="AUF91" s="1056"/>
      <c r="AUG91" s="1056"/>
      <c r="AUH91" s="1056"/>
      <c r="AUI91" s="1056"/>
      <c r="AUJ91" s="1056"/>
      <c r="AUK91" s="1056"/>
      <c r="AUL91" s="1056"/>
      <c r="AUM91" s="1056"/>
      <c r="AUN91" s="1056"/>
      <c r="AUO91" s="1056"/>
      <c r="AUP91" s="1056"/>
      <c r="AUQ91" s="1056"/>
      <c r="AUR91" s="1056"/>
      <c r="AUS91" s="1056"/>
      <c r="AUT91" s="1056"/>
      <c r="AUU91" s="1056"/>
      <c r="AUV91" s="1056"/>
      <c r="AUW91" s="1056"/>
      <c r="AUX91" s="1056"/>
      <c r="AUY91" s="1056"/>
      <c r="AUZ91" s="1056"/>
      <c r="AVA91" s="1056"/>
      <c r="AVB91" s="1056"/>
      <c r="AVC91" s="1056"/>
      <c r="AVD91" s="1056"/>
      <c r="AVE91" s="1056"/>
      <c r="AVF91" s="1056"/>
      <c r="AVG91" s="1056"/>
      <c r="AVH91" s="1056"/>
      <c r="AVI91" s="1056"/>
      <c r="AVJ91" s="1056"/>
      <c r="AVK91" s="1056"/>
      <c r="AVL91" s="1056"/>
      <c r="AVM91" s="1056"/>
      <c r="AVN91" s="1056"/>
      <c r="AVO91" s="1056"/>
      <c r="AVP91" s="1056"/>
      <c r="AVQ91" s="1056"/>
      <c r="AVR91" s="1056"/>
      <c r="AVS91" s="1056"/>
      <c r="AVT91" s="1056"/>
      <c r="AVU91" s="1056"/>
      <c r="AVV91" s="1056"/>
      <c r="AVW91" s="1056"/>
      <c r="AVX91" s="1056"/>
      <c r="AVY91" s="1056"/>
      <c r="AVZ91" s="1056"/>
      <c r="AWA91" s="1056"/>
      <c r="AWB91" s="1056"/>
      <c r="AWC91" s="1056"/>
      <c r="AWD91" s="1056"/>
      <c r="AWE91" s="1056"/>
      <c r="AWF91" s="1056"/>
      <c r="AWG91" s="1056"/>
      <c r="AWH91" s="1056"/>
      <c r="AWI91" s="1056"/>
      <c r="AWJ91" s="1056"/>
      <c r="AWK91" s="1056"/>
      <c r="AWL91" s="1056"/>
      <c r="AWM91" s="1056"/>
      <c r="AWN91" s="1056"/>
      <c r="AWO91" s="1056"/>
      <c r="AWP91" s="1056"/>
      <c r="AWQ91" s="1056"/>
      <c r="AWR91" s="1056"/>
      <c r="AWS91" s="1056"/>
      <c r="AWT91" s="1056"/>
      <c r="AWU91" s="1056"/>
      <c r="AWV91" s="1056"/>
      <c r="AWW91" s="1056"/>
      <c r="AWX91" s="1056"/>
      <c r="AWY91" s="1056"/>
      <c r="AWZ91" s="1056"/>
      <c r="AXA91" s="1056"/>
      <c r="AXB91" s="1056"/>
      <c r="AXC91" s="1056"/>
      <c r="AXD91" s="1056"/>
      <c r="AXE91" s="1056"/>
      <c r="AXF91" s="1056"/>
      <c r="AXG91" s="1056"/>
      <c r="AXH91" s="1056"/>
      <c r="AXI91" s="1056"/>
      <c r="AXJ91" s="1056"/>
      <c r="AXK91" s="1056"/>
      <c r="AXL91" s="1056"/>
      <c r="AXM91" s="1056"/>
      <c r="AXN91" s="1056"/>
      <c r="AXO91" s="1056"/>
      <c r="AXP91" s="1056"/>
      <c r="AXQ91" s="1056"/>
      <c r="AXR91" s="1056"/>
      <c r="AXS91" s="1056"/>
      <c r="AXT91" s="1056"/>
      <c r="AXU91" s="1056"/>
      <c r="AXV91" s="1056"/>
      <c r="AXW91" s="1056"/>
      <c r="AXX91" s="1056"/>
      <c r="AXY91" s="1056"/>
      <c r="AXZ91" s="1056"/>
      <c r="AYA91" s="1056"/>
      <c r="AYB91" s="1056"/>
      <c r="AYC91" s="1056"/>
      <c r="AYD91" s="1056"/>
      <c r="AYE91" s="1056"/>
      <c r="AYF91" s="1056"/>
      <c r="AYG91" s="1056"/>
      <c r="AYH91" s="1056"/>
      <c r="AYI91" s="1056"/>
      <c r="AYJ91" s="1056"/>
      <c r="AYK91" s="1056"/>
      <c r="AYL91" s="1056"/>
      <c r="AYM91" s="1056"/>
      <c r="AYN91" s="1056"/>
      <c r="AYO91" s="1056"/>
      <c r="AYP91" s="1056"/>
      <c r="AYQ91" s="1056"/>
      <c r="AYR91" s="1056"/>
      <c r="AYS91" s="1056"/>
      <c r="AYT91" s="1056"/>
      <c r="AYU91" s="1056"/>
      <c r="AYV91" s="1056"/>
      <c r="AYW91" s="1056"/>
      <c r="AYX91" s="1056"/>
      <c r="AYY91" s="1056"/>
      <c r="AYZ91" s="1056"/>
      <c r="AZA91" s="1056"/>
      <c r="AZB91" s="1056"/>
      <c r="AZC91" s="1056"/>
      <c r="AZD91" s="1056"/>
      <c r="AZE91" s="1056"/>
      <c r="AZF91" s="1056"/>
      <c r="AZG91" s="1056"/>
      <c r="AZH91" s="1056"/>
      <c r="AZI91" s="1056"/>
      <c r="AZJ91" s="1056"/>
      <c r="AZK91" s="1056"/>
      <c r="AZL91" s="1056"/>
      <c r="AZM91" s="1056"/>
      <c r="AZN91" s="1056"/>
      <c r="AZO91" s="1056"/>
      <c r="AZP91" s="1056"/>
      <c r="AZQ91" s="1056"/>
      <c r="AZR91" s="1056"/>
      <c r="AZS91" s="1056"/>
      <c r="AZT91" s="1056"/>
      <c r="AZU91" s="1056"/>
      <c r="AZV91" s="1056"/>
      <c r="AZW91" s="1056"/>
      <c r="AZX91" s="1056"/>
      <c r="AZY91" s="1056"/>
      <c r="AZZ91" s="1056"/>
      <c r="BAA91" s="1056"/>
      <c r="BAB91" s="1056"/>
      <c r="BAC91" s="1056"/>
      <c r="BAD91" s="1056"/>
      <c r="BAE91" s="1056"/>
      <c r="BAF91" s="1056"/>
      <c r="BAG91" s="1056"/>
      <c r="BAH91" s="1056"/>
      <c r="BAI91" s="1056"/>
      <c r="BAJ91" s="1056"/>
      <c r="BAK91" s="1056"/>
      <c r="BAL91" s="1056"/>
      <c r="BAM91" s="1056"/>
      <c r="BAN91" s="1056"/>
      <c r="BAO91" s="1056"/>
      <c r="BAP91" s="1056"/>
      <c r="BAQ91" s="1056"/>
      <c r="BAR91" s="1056"/>
      <c r="BAS91" s="1056"/>
      <c r="BAT91" s="1056"/>
      <c r="BAU91" s="1056"/>
      <c r="BAV91" s="1056"/>
      <c r="BAW91" s="1056"/>
      <c r="BAX91" s="1056"/>
      <c r="BAY91" s="1056"/>
      <c r="BAZ91" s="1056"/>
      <c r="BBA91" s="1056"/>
      <c r="BBB91" s="1056"/>
      <c r="BBC91" s="1056"/>
      <c r="BBD91" s="1056"/>
      <c r="BBE91" s="1056"/>
      <c r="BBF91" s="1056"/>
      <c r="BBG91" s="1056"/>
      <c r="BBH91" s="1056"/>
      <c r="BBI91" s="1056"/>
      <c r="BBJ91" s="1056"/>
      <c r="BBK91" s="1056"/>
      <c r="BBL91" s="1056"/>
      <c r="BBM91" s="1056"/>
      <c r="BBN91" s="1056"/>
      <c r="BBO91" s="1056"/>
      <c r="BBP91" s="1056"/>
      <c r="BBQ91" s="1056"/>
      <c r="BBR91" s="1056"/>
      <c r="BBS91" s="1056"/>
      <c r="BBT91" s="1056"/>
      <c r="BBU91" s="1056"/>
      <c r="BBV91" s="1056"/>
      <c r="BBW91" s="1056"/>
      <c r="BBX91" s="1056"/>
      <c r="BBY91" s="1056"/>
      <c r="BBZ91" s="1056"/>
      <c r="BCA91" s="1056"/>
      <c r="BCB91" s="1056"/>
      <c r="BCC91" s="1056"/>
      <c r="BCD91" s="1056"/>
      <c r="BCE91" s="1056"/>
      <c r="BCF91" s="1056"/>
      <c r="BCG91" s="1056"/>
      <c r="BCH91" s="1056"/>
      <c r="BCI91" s="1056"/>
      <c r="BCJ91" s="1056"/>
      <c r="BCK91" s="1056"/>
      <c r="BCL91" s="1056"/>
      <c r="BCM91" s="1056"/>
      <c r="BCN91" s="1056"/>
      <c r="BCO91" s="1056"/>
      <c r="BCP91" s="1056"/>
      <c r="BCQ91" s="1056"/>
      <c r="BCR91" s="1056"/>
      <c r="BCS91" s="1056"/>
      <c r="BCT91" s="1056"/>
      <c r="BCU91" s="1056"/>
      <c r="BCV91" s="1056"/>
      <c r="BCW91" s="1056"/>
      <c r="BCX91" s="1056"/>
      <c r="BCY91" s="1056"/>
      <c r="BCZ91" s="1056"/>
      <c r="BDA91" s="1056"/>
      <c r="BDB91" s="1056"/>
      <c r="BDC91" s="1056"/>
      <c r="BDD91" s="1056"/>
      <c r="BDE91" s="1056"/>
      <c r="BDF91" s="1056"/>
      <c r="BDG91" s="1056"/>
      <c r="BDH91" s="1056"/>
      <c r="BDI91" s="1056"/>
      <c r="BDJ91" s="1056"/>
      <c r="BDK91" s="1056"/>
      <c r="BDL91" s="1056"/>
      <c r="BDM91" s="1056"/>
      <c r="BDN91" s="1056"/>
      <c r="BDO91" s="1056"/>
      <c r="BDP91" s="1056"/>
      <c r="BDQ91" s="1056"/>
      <c r="BDR91" s="1056"/>
      <c r="BDS91" s="1056"/>
      <c r="BDT91" s="1056"/>
      <c r="BDU91" s="1056"/>
      <c r="BDV91" s="1056"/>
      <c r="BDW91" s="1056"/>
      <c r="BDX91" s="1056"/>
      <c r="BDY91" s="1056"/>
      <c r="BDZ91" s="1056"/>
      <c r="BEA91" s="1056"/>
      <c r="BEB91" s="1056"/>
      <c r="BEC91" s="1056"/>
      <c r="BED91" s="1056"/>
      <c r="BEE91" s="1056"/>
      <c r="BEF91" s="1056"/>
      <c r="BEG91" s="1056"/>
      <c r="BEH91" s="1056"/>
      <c r="BEI91" s="1056"/>
      <c r="BEJ91" s="1056"/>
      <c r="BEK91" s="1056"/>
      <c r="BEL91" s="1056"/>
      <c r="BEM91" s="1056"/>
      <c r="BEN91" s="1056"/>
      <c r="BEO91" s="1056"/>
      <c r="BEP91" s="1056"/>
      <c r="BEQ91" s="1056"/>
      <c r="BER91" s="1056"/>
      <c r="BES91" s="1056"/>
      <c r="BET91" s="1056"/>
      <c r="BEU91" s="1056"/>
      <c r="BEV91" s="1056"/>
      <c r="BEW91" s="1056"/>
      <c r="BEX91" s="1056"/>
      <c r="BEY91" s="1056"/>
      <c r="BEZ91" s="1056"/>
      <c r="BFA91" s="1056"/>
      <c r="BFB91" s="1056"/>
      <c r="BFC91" s="1056"/>
      <c r="BFD91" s="1056"/>
      <c r="BFE91" s="1056"/>
      <c r="BFF91" s="1056"/>
      <c r="BFG91" s="1056"/>
      <c r="BFH91" s="1056"/>
      <c r="BFI91" s="1056"/>
      <c r="BFJ91" s="1056"/>
      <c r="BFK91" s="1056"/>
      <c r="BFL91" s="1056"/>
      <c r="BFM91" s="1056"/>
      <c r="BFN91" s="1056"/>
      <c r="BFO91" s="1056"/>
      <c r="BFP91" s="1056"/>
      <c r="BFQ91" s="1056"/>
      <c r="BFR91" s="1056"/>
      <c r="BFS91" s="1056"/>
      <c r="BFT91" s="1056"/>
      <c r="BFU91" s="1056"/>
      <c r="BFV91" s="1056"/>
      <c r="BFW91" s="1056"/>
      <c r="BFX91" s="1056"/>
      <c r="BFY91" s="1056"/>
      <c r="BFZ91" s="1056"/>
      <c r="BGA91" s="1056"/>
      <c r="BGB91" s="1056"/>
      <c r="BGC91" s="1056"/>
      <c r="BGD91" s="1056"/>
      <c r="BGE91" s="1056"/>
      <c r="BGF91" s="1056"/>
      <c r="BGG91" s="1056"/>
      <c r="BGH91" s="1056"/>
      <c r="BGI91" s="1056"/>
      <c r="BGJ91" s="1056"/>
      <c r="BGK91" s="1056"/>
      <c r="BGL91" s="1056"/>
      <c r="BGM91" s="1056"/>
      <c r="BGN91" s="1056"/>
      <c r="BGO91" s="1056"/>
      <c r="BGP91" s="1056"/>
      <c r="BGQ91" s="1056"/>
      <c r="BGR91" s="1056"/>
      <c r="BGS91" s="1056"/>
      <c r="BGT91" s="1056"/>
      <c r="BGU91" s="1056"/>
      <c r="BGV91" s="1056"/>
      <c r="BGW91" s="1056"/>
      <c r="BGX91" s="1056"/>
      <c r="BGY91" s="1056"/>
      <c r="BGZ91" s="1056"/>
      <c r="BHA91" s="1056"/>
      <c r="BHB91" s="1056"/>
      <c r="BHC91" s="1056"/>
      <c r="BHD91" s="1056"/>
      <c r="BHE91" s="1056"/>
      <c r="BHF91" s="1056"/>
      <c r="BHG91" s="1056"/>
      <c r="BHH91" s="1056"/>
      <c r="BHI91" s="1056"/>
      <c r="BHJ91" s="1056"/>
      <c r="BHK91" s="1056"/>
      <c r="BHL91" s="1056"/>
      <c r="BHM91" s="1056"/>
      <c r="BHN91" s="1056"/>
      <c r="BHO91" s="1056"/>
      <c r="BHP91" s="1056"/>
      <c r="BHQ91" s="1056"/>
      <c r="BHR91" s="1056"/>
      <c r="BHS91" s="1056"/>
      <c r="BHT91" s="1056"/>
      <c r="BHU91" s="1056"/>
      <c r="BHV91" s="1056"/>
      <c r="BHW91" s="1056"/>
      <c r="BHX91" s="1056"/>
      <c r="BHY91" s="1056"/>
      <c r="BHZ91" s="1056"/>
      <c r="BIA91" s="1056"/>
      <c r="BIB91" s="1056"/>
      <c r="BIC91" s="1056"/>
      <c r="BID91" s="1056"/>
      <c r="BIE91" s="1056"/>
      <c r="BIF91" s="1056"/>
      <c r="BIG91" s="1056"/>
      <c r="BIH91" s="1056"/>
      <c r="BII91" s="1056"/>
      <c r="BIJ91" s="1056"/>
      <c r="BIK91" s="1056"/>
      <c r="BIL91" s="1056"/>
      <c r="BIM91" s="1056"/>
      <c r="BIN91" s="1056"/>
      <c r="BIO91" s="1056"/>
      <c r="BIP91" s="1056"/>
      <c r="BIQ91" s="1056"/>
      <c r="BIR91" s="1056"/>
      <c r="BIS91" s="1056"/>
      <c r="BIT91" s="1056"/>
      <c r="BIU91" s="1056"/>
      <c r="BIV91" s="1056"/>
      <c r="BIW91" s="1056"/>
      <c r="BIX91" s="1056"/>
      <c r="BIY91" s="1056"/>
      <c r="BIZ91" s="1056"/>
      <c r="BJA91" s="1056"/>
      <c r="BJB91" s="1056"/>
      <c r="BJC91" s="1056"/>
      <c r="BJD91" s="1056"/>
      <c r="BJE91" s="1056"/>
      <c r="BJF91" s="1056"/>
      <c r="BJG91" s="1056"/>
      <c r="BJH91" s="1056"/>
      <c r="BJI91" s="1056"/>
      <c r="BJJ91" s="1056"/>
      <c r="BJK91" s="1056"/>
      <c r="BJL91" s="1056"/>
      <c r="BJM91" s="1056"/>
      <c r="BJN91" s="1056"/>
      <c r="BJO91" s="1056"/>
      <c r="BJP91" s="1056"/>
      <c r="BJQ91" s="1056"/>
      <c r="BJR91" s="1056"/>
      <c r="BJS91" s="1056"/>
      <c r="BJT91" s="1056"/>
      <c r="BJU91" s="1056"/>
      <c r="BJV91" s="1056"/>
      <c r="BJW91" s="1056"/>
      <c r="BJX91" s="1056"/>
      <c r="BJY91" s="1056"/>
      <c r="BJZ91" s="1056"/>
      <c r="BKA91" s="1056"/>
      <c r="BKB91" s="1056"/>
      <c r="BKC91" s="1056"/>
      <c r="BKD91" s="1056"/>
      <c r="BKE91" s="1056"/>
      <c r="BKF91" s="1056"/>
      <c r="BKG91" s="1056"/>
      <c r="BKH91" s="1056"/>
      <c r="BKI91" s="1056"/>
      <c r="BKJ91" s="1056"/>
      <c r="BKK91" s="1056"/>
      <c r="BKL91" s="1056"/>
      <c r="BKM91" s="1056"/>
      <c r="BKN91" s="1056"/>
      <c r="BKO91" s="1056"/>
      <c r="BKP91" s="1056"/>
      <c r="BKQ91" s="1056"/>
      <c r="BKR91" s="1056"/>
      <c r="BKS91" s="1056"/>
      <c r="BKT91" s="1056"/>
      <c r="BKU91" s="1056"/>
      <c r="BKV91" s="1056"/>
      <c r="BKW91" s="1056"/>
      <c r="BKX91" s="1056"/>
      <c r="BKY91" s="1056"/>
      <c r="BKZ91" s="1056"/>
      <c r="BLA91" s="1056"/>
      <c r="BLB91" s="1056"/>
      <c r="BLC91" s="1056"/>
      <c r="BLD91" s="1056"/>
      <c r="BLE91" s="1056"/>
      <c r="BLF91" s="1056"/>
      <c r="BLG91" s="1056"/>
      <c r="BLH91" s="1056"/>
      <c r="BLI91" s="1056"/>
      <c r="BLJ91" s="1056"/>
      <c r="BLK91" s="1056"/>
      <c r="BLL91" s="1056"/>
      <c r="BLM91" s="1056"/>
      <c r="BLN91" s="1056"/>
      <c r="BLO91" s="1056"/>
      <c r="BLP91" s="1056"/>
      <c r="BLQ91" s="1056"/>
      <c r="BLR91" s="1056"/>
      <c r="BLS91" s="1056"/>
      <c r="BLT91" s="1056"/>
      <c r="BLU91" s="1056"/>
      <c r="BLV91" s="1056"/>
      <c r="BLW91" s="1056"/>
      <c r="BLX91" s="1056"/>
      <c r="BLY91" s="1056"/>
      <c r="BLZ91" s="1056"/>
      <c r="BMA91" s="1056"/>
      <c r="BMB91" s="1056"/>
      <c r="BMC91" s="1056"/>
      <c r="BMD91" s="1056"/>
      <c r="BME91" s="1056"/>
      <c r="BMF91" s="1056"/>
      <c r="BMG91" s="1056"/>
      <c r="BMH91" s="1056"/>
      <c r="BMI91" s="1056"/>
      <c r="BMJ91" s="1056"/>
      <c r="BMK91" s="1056"/>
      <c r="BML91" s="1056"/>
      <c r="BMM91" s="1056"/>
      <c r="BMN91" s="1056"/>
      <c r="BMO91" s="1056"/>
      <c r="BMP91" s="1056"/>
      <c r="BMQ91" s="1056"/>
      <c r="BMR91" s="1056"/>
      <c r="BMS91" s="1056"/>
      <c r="BMT91" s="1056"/>
      <c r="BMU91" s="1056"/>
      <c r="BMV91" s="1056"/>
      <c r="BMW91" s="1056"/>
      <c r="BMX91" s="1056"/>
      <c r="BMY91" s="1056"/>
      <c r="BMZ91" s="1056"/>
      <c r="BNA91" s="1056"/>
      <c r="BNB91" s="1056"/>
      <c r="BNC91" s="1056"/>
      <c r="BND91" s="1056"/>
      <c r="BNE91" s="1056"/>
      <c r="BNF91" s="1056"/>
      <c r="BNG91" s="1056"/>
      <c r="BNH91" s="1056"/>
      <c r="BNI91" s="1056"/>
      <c r="BNJ91" s="1056"/>
      <c r="BNK91" s="1056"/>
      <c r="BNL91" s="1056"/>
      <c r="BNM91" s="1056"/>
      <c r="BNN91" s="1056"/>
      <c r="BNO91" s="1056"/>
      <c r="BNP91" s="1056"/>
      <c r="BNQ91" s="1056"/>
      <c r="BNR91" s="1056"/>
      <c r="BNS91" s="1056"/>
      <c r="BNT91" s="1056"/>
      <c r="BNU91" s="1056"/>
      <c r="BNV91" s="1056"/>
      <c r="BNW91" s="1056"/>
      <c r="BNX91" s="1056"/>
      <c r="BNY91" s="1056"/>
      <c r="BNZ91" s="1056"/>
      <c r="BOA91" s="1056"/>
      <c r="BOB91" s="1056"/>
      <c r="BOC91" s="1056"/>
      <c r="BOD91" s="1056"/>
      <c r="BOE91" s="1056"/>
      <c r="BOF91" s="1056"/>
      <c r="BOG91" s="1056"/>
      <c r="BOH91" s="1056"/>
      <c r="BOI91" s="1056"/>
      <c r="BOJ91" s="1056"/>
      <c r="BOK91" s="1056"/>
      <c r="BOL91" s="1056"/>
      <c r="BOM91" s="1056"/>
      <c r="BON91" s="1056"/>
      <c r="BOO91" s="1056"/>
      <c r="BOP91" s="1056"/>
      <c r="BOQ91" s="1056"/>
      <c r="BOR91" s="1056"/>
      <c r="BOS91" s="1056"/>
      <c r="BOT91" s="1056"/>
      <c r="BOU91" s="1056"/>
      <c r="BOV91" s="1056"/>
      <c r="BOW91" s="1056"/>
      <c r="BOX91" s="1056"/>
      <c r="BOY91" s="1056"/>
      <c r="BOZ91" s="1056"/>
      <c r="BPA91" s="1056"/>
      <c r="BPB91" s="1056"/>
      <c r="BPC91" s="1056"/>
      <c r="BPD91" s="1056"/>
      <c r="BPE91" s="1056"/>
      <c r="BPF91" s="1056"/>
      <c r="BPG91" s="1056"/>
      <c r="BPH91" s="1056"/>
      <c r="BPI91" s="1056"/>
      <c r="BPJ91" s="1056"/>
      <c r="BPK91" s="1056"/>
      <c r="BPL91" s="1056"/>
      <c r="BPM91" s="1056"/>
      <c r="BPN91" s="1056"/>
      <c r="BPO91" s="1056"/>
      <c r="BPP91" s="1056"/>
      <c r="BPQ91" s="1056"/>
      <c r="BPR91" s="1056"/>
      <c r="BPS91" s="1056"/>
      <c r="BPT91" s="1056"/>
      <c r="BPU91" s="1056"/>
      <c r="BPV91" s="1056"/>
      <c r="BPW91" s="1056"/>
      <c r="BPX91" s="1056"/>
      <c r="BPY91" s="1056"/>
      <c r="BPZ91" s="1056"/>
      <c r="BQA91" s="1056"/>
      <c r="BQB91" s="1056"/>
      <c r="BQC91" s="1056"/>
      <c r="BQD91" s="1056"/>
      <c r="BQE91" s="1056"/>
      <c r="BQF91" s="1056"/>
      <c r="BQG91" s="1056"/>
      <c r="BQH91" s="1056"/>
      <c r="BQI91" s="1056"/>
      <c r="BQJ91" s="1056"/>
      <c r="BQK91" s="1056"/>
      <c r="BQL91" s="1056"/>
      <c r="BQM91" s="1056"/>
      <c r="BQN91" s="1056"/>
      <c r="BQO91" s="1056"/>
      <c r="BQP91" s="1056"/>
      <c r="BQQ91" s="1056"/>
      <c r="BQR91" s="1056"/>
      <c r="BQS91" s="1056"/>
      <c r="BQT91" s="1056"/>
      <c r="BQU91" s="1056"/>
      <c r="BQV91" s="1056"/>
      <c r="BQW91" s="1056"/>
      <c r="BQX91" s="1056"/>
      <c r="BQY91" s="1056"/>
      <c r="BQZ91" s="1056"/>
      <c r="BRA91" s="1056"/>
      <c r="BRB91" s="1056"/>
      <c r="BRC91" s="1056"/>
      <c r="BRD91" s="1056"/>
      <c r="BRE91" s="1056"/>
      <c r="BRF91" s="1056"/>
      <c r="BRG91" s="1056"/>
      <c r="BRH91" s="1056"/>
      <c r="BRI91" s="1056"/>
      <c r="BRJ91" s="1056"/>
      <c r="BRK91" s="1056"/>
      <c r="BRL91" s="1056"/>
      <c r="BRM91" s="1056"/>
      <c r="BRN91" s="1056"/>
      <c r="BRO91" s="1056"/>
      <c r="BRP91" s="1056"/>
      <c r="BRQ91" s="1056"/>
      <c r="BRR91" s="1056"/>
      <c r="BRS91" s="1056"/>
      <c r="BRT91" s="1056"/>
      <c r="BRU91" s="1056"/>
      <c r="BRV91" s="1056"/>
      <c r="BRW91" s="1056"/>
      <c r="BRX91" s="1056"/>
      <c r="BRY91" s="1056"/>
      <c r="BRZ91" s="1056"/>
      <c r="BSA91" s="1056"/>
      <c r="BSB91" s="1056"/>
      <c r="BSC91" s="1056"/>
      <c r="BSD91" s="1056"/>
      <c r="BSE91" s="1056"/>
      <c r="BSF91" s="1056"/>
      <c r="BSG91" s="1056"/>
      <c r="BSH91" s="1056"/>
      <c r="BSI91" s="1056"/>
      <c r="BSJ91" s="1056"/>
      <c r="BSK91" s="1056"/>
      <c r="BSL91" s="1056"/>
      <c r="BSM91" s="1056"/>
      <c r="BSN91" s="1056"/>
      <c r="BSO91" s="1056"/>
      <c r="BSP91" s="1056"/>
      <c r="BSQ91" s="1056"/>
      <c r="BSR91" s="1056"/>
      <c r="BSS91" s="1056"/>
      <c r="BST91" s="1056"/>
      <c r="BSU91" s="1056"/>
      <c r="BSV91" s="1056"/>
      <c r="BSW91" s="1056"/>
      <c r="BSX91" s="1056"/>
      <c r="BSY91" s="1056"/>
      <c r="BSZ91" s="1056"/>
      <c r="BTA91" s="1056"/>
      <c r="BTB91" s="1056"/>
      <c r="BTC91" s="1056"/>
      <c r="BTD91" s="1056"/>
      <c r="BTE91" s="1056"/>
      <c r="BTF91" s="1056"/>
      <c r="BTG91" s="1056"/>
      <c r="BTH91" s="1056"/>
      <c r="BTI91" s="1056"/>
    </row>
    <row r="92" spans="1:1881" s="1060" customFormat="1" ht="115.5" hidden="1" customHeight="1" thickBot="1" x14ac:dyDescent="0.35">
      <c r="A92" s="1059">
        <v>546</v>
      </c>
      <c r="B92" s="1061" t="s">
        <v>942</v>
      </c>
      <c r="C92" s="1061" t="s">
        <v>943</v>
      </c>
      <c r="D92" s="1052" t="s">
        <v>946</v>
      </c>
      <c r="E92" s="1053" t="e">
        <f>HLOOKUP($D$2,'2020 Data(H)'!$C$1:$AI$426,196,FALSE)</f>
        <v>#N/A</v>
      </c>
      <c r="F92" s="287">
        <v>0</v>
      </c>
      <c r="G92" s="722"/>
      <c r="H92" s="1054"/>
      <c r="I92" s="1055"/>
      <c r="J92" s="1056"/>
      <c r="K92" s="1056"/>
      <c r="L92" s="1057"/>
      <c r="M92" s="1056"/>
      <c r="N92" s="1058"/>
      <c r="O92" s="1056"/>
      <c r="P92" s="1056"/>
      <c r="Q92" s="1056"/>
      <c r="R92" s="1056"/>
      <c r="S92" s="1056"/>
      <c r="T92" s="1056"/>
      <c r="U92" s="1056"/>
      <c r="V92" s="1056"/>
      <c r="W92" s="1056"/>
      <c r="X92" s="1056"/>
      <c r="Y92" s="1056"/>
      <c r="Z92" s="1059"/>
      <c r="AA92" s="1059"/>
      <c r="AB92" s="1059"/>
      <c r="AC92" s="1059"/>
      <c r="AD92" s="1059"/>
      <c r="AE92" s="1059"/>
      <c r="AF92" s="1059"/>
      <c r="AG92" s="1059"/>
      <c r="AH92" s="1059"/>
      <c r="AI92" s="1059"/>
      <c r="AJ92" s="1059"/>
      <c r="AK92" s="1059"/>
      <c r="AL92" s="1059"/>
      <c r="AM92" s="1059"/>
      <c r="AN92" s="1059"/>
      <c r="AO92" s="1059"/>
      <c r="AP92" s="1059"/>
      <c r="AQ92" s="1059"/>
      <c r="AR92" s="1059"/>
      <c r="AS92" s="1056"/>
      <c r="AT92" s="1056"/>
      <c r="AU92" s="1056"/>
      <c r="AV92" s="1056"/>
      <c r="AW92" s="1056"/>
      <c r="AX92" s="1056"/>
      <c r="AY92" s="1056"/>
      <c r="AZ92" s="1056"/>
      <c r="BA92" s="1056"/>
      <c r="BB92" s="1056"/>
      <c r="BC92" s="1056"/>
      <c r="BD92" s="1056"/>
      <c r="BE92" s="1056"/>
      <c r="BF92" s="1056"/>
      <c r="BG92" s="1056"/>
      <c r="BH92" s="1056"/>
      <c r="BI92" s="1056"/>
      <c r="BJ92" s="1056"/>
      <c r="BK92" s="1056"/>
      <c r="BL92" s="1056"/>
      <c r="BM92" s="1056"/>
      <c r="BN92" s="1056"/>
      <c r="BO92" s="1056"/>
      <c r="BP92" s="1056"/>
      <c r="BQ92" s="1056"/>
      <c r="BR92" s="1056"/>
      <c r="BS92" s="1056"/>
      <c r="BT92" s="1056"/>
      <c r="BU92" s="1056"/>
      <c r="BV92" s="1056"/>
      <c r="BW92" s="1056"/>
      <c r="BX92" s="1056"/>
      <c r="BY92" s="1056"/>
      <c r="BZ92" s="1056"/>
      <c r="CA92" s="1056"/>
      <c r="CB92" s="1056"/>
      <c r="CC92" s="1056"/>
      <c r="CD92" s="1056"/>
      <c r="CE92" s="1056"/>
      <c r="CF92" s="1056"/>
      <c r="CG92" s="1056"/>
      <c r="CH92" s="1056"/>
      <c r="CI92" s="1056"/>
      <c r="CJ92" s="1056"/>
      <c r="CK92" s="1056"/>
      <c r="CL92" s="1056"/>
      <c r="CM92" s="1056"/>
      <c r="CN92" s="1056"/>
      <c r="CO92" s="1056"/>
      <c r="CP92" s="1056"/>
      <c r="CQ92" s="1056"/>
      <c r="CR92" s="1056"/>
      <c r="CS92" s="1056"/>
      <c r="CT92" s="1056"/>
      <c r="CU92" s="1056"/>
      <c r="CV92" s="1056"/>
      <c r="CW92" s="1056"/>
      <c r="CX92" s="1056"/>
      <c r="CY92" s="1056"/>
      <c r="CZ92" s="1056"/>
      <c r="DA92" s="1056"/>
      <c r="DB92" s="1056"/>
      <c r="DC92" s="1056"/>
      <c r="DD92" s="1056"/>
      <c r="DE92" s="1056"/>
      <c r="DF92" s="1056"/>
      <c r="DG92" s="1056"/>
      <c r="DH92" s="1056"/>
      <c r="DI92" s="1056"/>
      <c r="DJ92" s="1056"/>
      <c r="DK92" s="1056"/>
      <c r="DL92" s="1056"/>
      <c r="DM92" s="1056"/>
      <c r="DN92" s="1056"/>
      <c r="DO92" s="1056"/>
      <c r="DP92" s="1056"/>
      <c r="DQ92" s="1056"/>
      <c r="DR92" s="1056"/>
      <c r="DS92" s="1056"/>
      <c r="DT92" s="1056"/>
      <c r="DU92" s="1056"/>
      <c r="DV92" s="1056"/>
      <c r="DW92" s="1056"/>
      <c r="DX92" s="1056"/>
      <c r="DY92" s="1056"/>
      <c r="DZ92" s="1056"/>
      <c r="EA92" s="1056"/>
      <c r="EB92" s="1056"/>
      <c r="EC92" s="1056"/>
      <c r="ED92" s="1056"/>
      <c r="EE92" s="1056"/>
      <c r="EF92" s="1056"/>
      <c r="EG92" s="1056"/>
      <c r="EH92" s="1056"/>
      <c r="EI92" s="1056"/>
      <c r="EJ92" s="1056"/>
      <c r="EK92" s="1056"/>
      <c r="EL92" s="1056"/>
      <c r="EM92" s="1056"/>
      <c r="EN92" s="1056"/>
      <c r="EO92" s="1056"/>
      <c r="EP92" s="1056"/>
      <c r="EQ92" s="1056"/>
      <c r="ER92" s="1056"/>
      <c r="ES92" s="1056"/>
      <c r="ET92" s="1056"/>
      <c r="EU92" s="1056"/>
      <c r="EV92" s="1056"/>
      <c r="EW92" s="1056"/>
      <c r="EX92" s="1056"/>
      <c r="EY92" s="1056"/>
      <c r="EZ92" s="1056"/>
      <c r="FA92" s="1056"/>
      <c r="FB92" s="1056"/>
      <c r="FC92" s="1056"/>
      <c r="FD92" s="1056"/>
      <c r="FE92" s="1056"/>
      <c r="FF92" s="1056"/>
      <c r="FG92" s="1056"/>
      <c r="FH92" s="1056"/>
      <c r="FI92" s="1056"/>
      <c r="FJ92" s="1056"/>
      <c r="FK92" s="1056"/>
      <c r="FL92" s="1056"/>
      <c r="FM92" s="1056"/>
      <c r="FN92" s="1056"/>
      <c r="FO92" s="1056"/>
      <c r="FP92" s="1056"/>
      <c r="FQ92" s="1056"/>
      <c r="FR92" s="1056"/>
      <c r="FS92" s="1056"/>
      <c r="FT92" s="1056"/>
      <c r="FU92" s="1056"/>
      <c r="FV92" s="1056"/>
      <c r="FW92" s="1056"/>
      <c r="FX92" s="1056"/>
      <c r="FY92" s="1056"/>
      <c r="FZ92" s="1056"/>
      <c r="GA92" s="1056"/>
      <c r="GB92" s="1056"/>
      <c r="GC92" s="1056"/>
      <c r="GD92" s="1056"/>
      <c r="GE92" s="1056"/>
      <c r="GF92" s="1056"/>
      <c r="GG92" s="1056"/>
      <c r="GH92" s="1056"/>
      <c r="GI92" s="1056"/>
      <c r="GJ92" s="1056"/>
      <c r="GK92" s="1056"/>
      <c r="GL92" s="1056"/>
      <c r="GM92" s="1056"/>
      <c r="GN92" s="1056"/>
      <c r="GO92" s="1056"/>
      <c r="GP92" s="1056"/>
      <c r="GQ92" s="1056"/>
      <c r="GR92" s="1056"/>
      <c r="GS92" s="1056"/>
      <c r="GT92" s="1056"/>
      <c r="GU92" s="1056"/>
      <c r="GV92" s="1056"/>
      <c r="GW92" s="1056"/>
      <c r="GX92" s="1056"/>
      <c r="GY92" s="1056"/>
      <c r="GZ92" s="1056"/>
      <c r="HA92" s="1056"/>
      <c r="HB92" s="1056"/>
      <c r="HC92" s="1056"/>
      <c r="HD92" s="1056"/>
      <c r="HE92" s="1056"/>
      <c r="HF92" s="1056"/>
      <c r="HG92" s="1056"/>
      <c r="HH92" s="1056"/>
      <c r="HI92" s="1056"/>
      <c r="HJ92" s="1056"/>
      <c r="HK92" s="1056"/>
      <c r="HL92" s="1056"/>
      <c r="HM92" s="1056"/>
      <c r="HN92" s="1056"/>
      <c r="HO92" s="1056"/>
      <c r="HP92" s="1056"/>
      <c r="HQ92" s="1056"/>
      <c r="HR92" s="1056"/>
      <c r="HS92" s="1056"/>
      <c r="HT92" s="1056"/>
      <c r="HU92" s="1056"/>
      <c r="HV92" s="1056"/>
      <c r="HW92" s="1056"/>
      <c r="HX92" s="1056"/>
      <c r="HY92" s="1056"/>
      <c r="HZ92" s="1056"/>
      <c r="IA92" s="1056"/>
      <c r="IB92" s="1056"/>
      <c r="IC92" s="1056"/>
      <c r="ID92" s="1056"/>
      <c r="IE92" s="1056"/>
      <c r="IF92" s="1056"/>
      <c r="IG92" s="1056"/>
      <c r="IH92" s="1056"/>
      <c r="II92" s="1056"/>
      <c r="IJ92" s="1056"/>
      <c r="IK92" s="1056"/>
      <c r="IL92" s="1056"/>
      <c r="IM92" s="1056"/>
      <c r="IN92" s="1056"/>
      <c r="IO92" s="1056"/>
      <c r="IP92" s="1056"/>
      <c r="IQ92" s="1056"/>
      <c r="IR92" s="1056"/>
      <c r="IS92" s="1056"/>
      <c r="IT92" s="1056"/>
      <c r="IU92" s="1056"/>
      <c r="IV92" s="1056"/>
      <c r="IW92" s="1056"/>
      <c r="IX92" s="1056"/>
      <c r="IY92" s="1056"/>
      <c r="IZ92" s="1056"/>
      <c r="JA92" s="1056"/>
      <c r="JB92" s="1056"/>
      <c r="JC92" s="1056"/>
      <c r="JD92" s="1056"/>
      <c r="JE92" s="1056"/>
      <c r="JF92" s="1056"/>
      <c r="JG92" s="1056"/>
      <c r="JH92" s="1056"/>
      <c r="JI92" s="1056"/>
      <c r="JJ92" s="1056"/>
      <c r="JK92" s="1056"/>
      <c r="JL92" s="1056"/>
      <c r="JM92" s="1056"/>
      <c r="JN92" s="1056"/>
      <c r="JO92" s="1056"/>
      <c r="JP92" s="1056"/>
      <c r="JQ92" s="1056"/>
      <c r="JR92" s="1056"/>
      <c r="JS92" s="1056"/>
      <c r="JT92" s="1056"/>
      <c r="JU92" s="1056"/>
      <c r="JV92" s="1056"/>
      <c r="JW92" s="1056"/>
      <c r="JX92" s="1056"/>
      <c r="JY92" s="1056"/>
      <c r="JZ92" s="1056"/>
      <c r="KA92" s="1056"/>
      <c r="KB92" s="1056"/>
      <c r="KC92" s="1056"/>
      <c r="KD92" s="1056"/>
      <c r="KE92" s="1056"/>
      <c r="KF92" s="1056"/>
      <c r="KG92" s="1056"/>
      <c r="KH92" s="1056"/>
      <c r="KI92" s="1056"/>
      <c r="KJ92" s="1056"/>
      <c r="KK92" s="1056"/>
      <c r="KL92" s="1056"/>
      <c r="KM92" s="1056"/>
      <c r="KN92" s="1056"/>
      <c r="KO92" s="1056"/>
      <c r="KP92" s="1056"/>
      <c r="KQ92" s="1056"/>
      <c r="KR92" s="1056"/>
      <c r="KS92" s="1056"/>
      <c r="KT92" s="1056"/>
      <c r="KU92" s="1056"/>
      <c r="KV92" s="1056"/>
      <c r="KW92" s="1056"/>
      <c r="KX92" s="1056"/>
      <c r="KY92" s="1056"/>
      <c r="KZ92" s="1056"/>
      <c r="LA92" s="1056"/>
      <c r="LB92" s="1056"/>
      <c r="LC92" s="1056"/>
      <c r="LD92" s="1056"/>
      <c r="LE92" s="1056"/>
      <c r="LF92" s="1056"/>
      <c r="LG92" s="1056"/>
      <c r="LH92" s="1056"/>
      <c r="LI92" s="1056"/>
      <c r="LJ92" s="1056"/>
      <c r="LK92" s="1056"/>
      <c r="LL92" s="1056"/>
      <c r="LM92" s="1056"/>
      <c r="LN92" s="1056"/>
      <c r="LO92" s="1056"/>
      <c r="LP92" s="1056"/>
      <c r="LQ92" s="1056"/>
      <c r="LR92" s="1056"/>
      <c r="LS92" s="1056"/>
      <c r="LT92" s="1056"/>
      <c r="LU92" s="1056"/>
      <c r="LV92" s="1056"/>
      <c r="LW92" s="1056"/>
      <c r="LX92" s="1056"/>
      <c r="LY92" s="1056"/>
      <c r="LZ92" s="1056"/>
      <c r="MA92" s="1056"/>
      <c r="MB92" s="1056"/>
      <c r="MC92" s="1056"/>
      <c r="MD92" s="1056"/>
      <c r="ME92" s="1056"/>
      <c r="MF92" s="1056"/>
      <c r="MG92" s="1056"/>
      <c r="MH92" s="1056"/>
      <c r="MI92" s="1056"/>
      <c r="MJ92" s="1056"/>
      <c r="MK92" s="1056"/>
      <c r="ML92" s="1056"/>
      <c r="MM92" s="1056"/>
      <c r="MN92" s="1056"/>
      <c r="MO92" s="1056"/>
      <c r="MP92" s="1056"/>
      <c r="MQ92" s="1056"/>
      <c r="MR92" s="1056"/>
      <c r="MS92" s="1056"/>
      <c r="MT92" s="1056"/>
      <c r="MU92" s="1056"/>
      <c r="MV92" s="1056"/>
      <c r="MW92" s="1056"/>
      <c r="MX92" s="1056"/>
      <c r="MY92" s="1056"/>
      <c r="MZ92" s="1056"/>
      <c r="NA92" s="1056"/>
      <c r="NB92" s="1056"/>
      <c r="NC92" s="1056"/>
      <c r="ND92" s="1056"/>
      <c r="NE92" s="1056"/>
      <c r="NF92" s="1056"/>
      <c r="NG92" s="1056"/>
      <c r="NH92" s="1056"/>
      <c r="NI92" s="1056"/>
      <c r="NJ92" s="1056"/>
      <c r="NK92" s="1056"/>
      <c r="NL92" s="1056"/>
      <c r="NM92" s="1056"/>
      <c r="NN92" s="1056"/>
      <c r="NO92" s="1056"/>
      <c r="NP92" s="1056"/>
      <c r="NQ92" s="1056"/>
      <c r="NR92" s="1056"/>
      <c r="NS92" s="1056"/>
      <c r="NT92" s="1056"/>
      <c r="NU92" s="1056"/>
      <c r="NV92" s="1056"/>
      <c r="NW92" s="1056"/>
      <c r="NX92" s="1056"/>
      <c r="NY92" s="1056"/>
      <c r="NZ92" s="1056"/>
      <c r="OA92" s="1056"/>
      <c r="OB92" s="1056"/>
      <c r="OC92" s="1056"/>
      <c r="OD92" s="1056"/>
      <c r="OE92" s="1056"/>
      <c r="OF92" s="1056"/>
      <c r="OG92" s="1056"/>
      <c r="OH92" s="1056"/>
      <c r="OI92" s="1056"/>
      <c r="OJ92" s="1056"/>
      <c r="OK92" s="1056"/>
      <c r="OL92" s="1056"/>
      <c r="OM92" s="1056"/>
      <c r="ON92" s="1056"/>
      <c r="OO92" s="1056"/>
      <c r="OP92" s="1056"/>
      <c r="OQ92" s="1056"/>
      <c r="OR92" s="1056"/>
      <c r="OS92" s="1056"/>
      <c r="OT92" s="1056"/>
      <c r="OU92" s="1056"/>
      <c r="OV92" s="1056"/>
      <c r="OW92" s="1056"/>
      <c r="OX92" s="1056"/>
      <c r="OY92" s="1056"/>
      <c r="OZ92" s="1056"/>
      <c r="PA92" s="1056"/>
      <c r="PB92" s="1056"/>
      <c r="PC92" s="1056"/>
      <c r="PD92" s="1056"/>
      <c r="PE92" s="1056"/>
      <c r="PF92" s="1056"/>
      <c r="PG92" s="1056"/>
      <c r="PH92" s="1056"/>
      <c r="PI92" s="1056"/>
      <c r="PJ92" s="1056"/>
      <c r="PK92" s="1056"/>
      <c r="PL92" s="1056"/>
      <c r="PM92" s="1056"/>
      <c r="PN92" s="1056"/>
      <c r="PO92" s="1056"/>
      <c r="PP92" s="1056"/>
      <c r="PQ92" s="1056"/>
      <c r="PR92" s="1056"/>
      <c r="PS92" s="1056"/>
      <c r="PT92" s="1056"/>
      <c r="PU92" s="1056"/>
      <c r="PV92" s="1056"/>
      <c r="PW92" s="1056"/>
      <c r="PX92" s="1056"/>
      <c r="PY92" s="1056"/>
      <c r="PZ92" s="1056"/>
      <c r="QA92" s="1056"/>
      <c r="QB92" s="1056"/>
      <c r="QC92" s="1056"/>
      <c r="QD92" s="1056"/>
      <c r="QE92" s="1056"/>
      <c r="QF92" s="1056"/>
      <c r="QG92" s="1056"/>
      <c r="QH92" s="1056"/>
      <c r="QI92" s="1056"/>
      <c r="QJ92" s="1056"/>
      <c r="QK92" s="1056"/>
      <c r="QL92" s="1056"/>
      <c r="QM92" s="1056"/>
      <c r="QN92" s="1056"/>
      <c r="QO92" s="1056"/>
      <c r="QP92" s="1056"/>
      <c r="QQ92" s="1056"/>
      <c r="QR92" s="1056"/>
      <c r="QS92" s="1056"/>
      <c r="QT92" s="1056"/>
      <c r="QU92" s="1056"/>
      <c r="QV92" s="1056"/>
      <c r="QW92" s="1056"/>
      <c r="QX92" s="1056"/>
      <c r="QY92" s="1056"/>
      <c r="QZ92" s="1056"/>
      <c r="RA92" s="1056"/>
      <c r="RB92" s="1056"/>
      <c r="RC92" s="1056"/>
      <c r="RD92" s="1056"/>
      <c r="RE92" s="1056"/>
      <c r="RF92" s="1056"/>
      <c r="RG92" s="1056"/>
      <c r="RH92" s="1056"/>
      <c r="RI92" s="1056"/>
      <c r="RJ92" s="1056"/>
      <c r="RK92" s="1056"/>
      <c r="RL92" s="1056"/>
      <c r="RM92" s="1056"/>
      <c r="RN92" s="1056"/>
      <c r="RO92" s="1056"/>
      <c r="RP92" s="1056"/>
      <c r="RQ92" s="1056"/>
      <c r="RR92" s="1056"/>
      <c r="RS92" s="1056"/>
      <c r="RT92" s="1056"/>
      <c r="RU92" s="1056"/>
      <c r="RV92" s="1056"/>
      <c r="RW92" s="1056"/>
      <c r="RX92" s="1056"/>
      <c r="RY92" s="1056"/>
      <c r="RZ92" s="1056"/>
      <c r="SA92" s="1056"/>
      <c r="SB92" s="1056"/>
      <c r="SC92" s="1056"/>
      <c r="SD92" s="1056"/>
      <c r="SE92" s="1056"/>
      <c r="SF92" s="1056"/>
      <c r="SG92" s="1056"/>
      <c r="SH92" s="1056"/>
      <c r="SI92" s="1056"/>
      <c r="SJ92" s="1056"/>
      <c r="SK92" s="1056"/>
      <c r="SL92" s="1056"/>
      <c r="SM92" s="1056"/>
      <c r="SN92" s="1056"/>
      <c r="SO92" s="1056"/>
      <c r="SP92" s="1056"/>
      <c r="SQ92" s="1056"/>
      <c r="SR92" s="1056"/>
      <c r="SS92" s="1056"/>
      <c r="ST92" s="1056"/>
      <c r="SU92" s="1056"/>
      <c r="SV92" s="1056"/>
      <c r="SW92" s="1056"/>
      <c r="SX92" s="1056"/>
      <c r="SY92" s="1056"/>
      <c r="SZ92" s="1056"/>
      <c r="TA92" s="1056"/>
      <c r="TB92" s="1056"/>
      <c r="TC92" s="1056"/>
      <c r="TD92" s="1056"/>
      <c r="TE92" s="1056"/>
      <c r="TF92" s="1056"/>
      <c r="TG92" s="1056"/>
      <c r="TH92" s="1056"/>
      <c r="TI92" s="1056"/>
      <c r="TJ92" s="1056"/>
      <c r="TK92" s="1056"/>
      <c r="TL92" s="1056"/>
      <c r="TM92" s="1056"/>
      <c r="TN92" s="1056"/>
      <c r="TO92" s="1056"/>
      <c r="TP92" s="1056"/>
      <c r="TQ92" s="1056"/>
      <c r="TR92" s="1056"/>
      <c r="TS92" s="1056"/>
      <c r="TT92" s="1056"/>
      <c r="TU92" s="1056"/>
      <c r="TV92" s="1056"/>
      <c r="TW92" s="1056"/>
      <c r="TX92" s="1056"/>
      <c r="TY92" s="1056"/>
      <c r="TZ92" s="1056"/>
      <c r="UA92" s="1056"/>
      <c r="UB92" s="1056"/>
      <c r="UC92" s="1056"/>
      <c r="UD92" s="1056"/>
      <c r="UE92" s="1056"/>
      <c r="UF92" s="1056"/>
      <c r="UG92" s="1056"/>
      <c r="UH92" s="1056"/>
      <c r="UI92" s="1056"/>
      <c r="UJ92" s="1056"/>
      <c r="UK92" s="1056"/>
      <c r="UL92" s="1056"/>
      <c r="UM92" s="1056"/>
      <c r="UN92" s="1056"/>
      <c r="UO92" s="1056"/>
      <c r="UP92" s="1056"/>
      <c r="UQ92" s="1056"/>
      <c r="UR92" s="1056"/>
      <c r="US92" s="1056"/>
      <c r="UT92" s="1056"/>
      <c r="UU92" s="1056"/>
      <c r="UV92" s="1056"/>
      <c r="UW92" s="1056"/>
      <c r="UX92" s="1056"/>
      <c r="UY92" s="1056"/>
      <c r="UZ92" s="1056"/>
      <c r="VA92" s="1056"/>
      <c r="VB92" s="1056"/>
      <c r="VC92" s="1056"/>
      <c r="VD92" s="1056"/>
      <c r="VE92" s="1056"/>
      <c r="VF92" s="1056"/>
      <c r="VG92" s="1056"/>
      <c r="VH92" s="1056"/>
      <c r="VI92" s="1056"/>
      <c r="VJ92" s="1056"/>
      <c r="VK92" s="1056"/>
      <c r="VL92" s="1056"/>
      <c r="VM92" s="1056"/>
      <c r="VN92" s="1056"/>
      <c r="VO92" s="1056"/>
      <c r="VP92" s="1056"/>
      <c r="VQ92" s="1056"/>
      <c r="VR92" s="1056"/>
      <c r="VS92" s="1056"/>
      <c r="VT92" s="1056"/>
      <c r="VU92" s="1056"/>
      <c r="VV92" s="1056"/>
      <c r="VW92" s="1056"/>
      <c r="VX92" s="1056"/>
      <c r="VY92" s="1056"/>
      <c r="VZ92" s="1056"/>
      <c r="WA92" s="1056"/>
      <c r="WB92" s="1056"/>
      <c r="WC92" s="1056"/>
      <c r="WD92" s="1056"/>
      <c r="WE92" s="1056"/>
      <c r="WF92" s="1056"/>
      <c r="WG92" s="1056"/>
      <c r="WH92" s="1056"/>
      <c r="WI92" s="1056"/>
      <c r="WJ92" s="1056"/>
      <c r="WK92" s="1056"/>
      <c r="WL92" s="1056"/>
      <c r="WM92" s="1056"/>
      <c r="WN92" s="1056"/>
      <c r="WO92" s="1056"/>
      <c r="WP92" s="1056"/>
      <c r="WQ92" s="1056"/>
      <c r="WR92" s="1056"/>
      <c r="WS92" s="1056"/>
      <c r="WT92" s="1056"/>
      <c r="WU92" s="1056"/>
      <c r="WV92" s="1056"/>
      <c r="WW92" s="1056"/>
      <c r="WX92" s="1056"/>
      <c r="WY92" s="1056"/>
      <c r="WZ92" s="1056"/>
      <c r="XA92" s="1056"/>
      <c r="XB92" s="1056"/>
      <c r="XC92" s="1056"/>
      <c r="XD92" s="1056"/>
      <c r="XE92" s="1056"/>
      <c r="XF92" s="1056"/>
      <c r="XG92" s="1056"/>
      <c r="XH92" s="1056"/>
      <c r="XI92" s="1056"/>
      <c r="XJ92" s="1056"/>
      <c r="XK92" s="1056"/>
      <c r="XL92" s="1056"/>
      <c r="XM92" s="1056"/>
      <c r="XN92" s="1056"/>
      <c r="XO92" s="1056"/>
      <c r="XP92" s="1056"/>
      <c r="XQ92" s="1056"/>
      <c r="XR92" s="1056"/>
      <c r="XS92" s="1056"/>
      <c r="XT92" s="1056"/>
      <c r="XU92" s="1056"/>
      <c r="XV92" s="1056"/>
      <c r="XW92" s="1056"/>
      <c r="XX92" s="1056"/>
      <c r="XY92" s="1056"/>
      <c r="XZ92" s="1056"/>
      <c r="YA92" s="1056"/>
      <c r="YB92" s="1056"/>
      <c r="YC92" s="1056"/>
      <c r="YD92" s="1056"/>
      <c r="YE92" s="1056"/>
      <c r="YF92" s="1056"/>
      <c r="YG92" s="1056"/>
      <c r="YH92" s="1056"/>
      <c r="YI92" s="1056"/>
      <c r="YJ92" s="1056"/>
      <c r="YK92" s="1056"/>
      <c r="YL92" s="1056"/>
      <c r="YM92" s="1056"/>
      <c r="YN92" s="1056"/>
      <c r="YO92" s="1056"/>
      <c r="YP92" s="1056"/>
      <c r="YQ92" s="1056"/>
      <c r="YR92" s="1056"/>
      <c r="YS92" s="1056"/>
      <c r="YT92" s="1056"/>
      <c r="YU92" s="1056"/>
      <c r="YV92" s="1056"/>
      <c r="YW92" s="1056"/>
      <c r="YX92" s="1056"/>
      <c r="YY92" s="1056"/>
      <c r="YZ92" s="1056"/>
      <c r="ZA92" s="1056"/>
      <c r="ZB92" s="1056"/>
      <c r="ZC92" s="1056"/>
      <c r="ZD92" s="1056"/>
      <c r="ZE92" s="1056"/>
      <c r="ZF92" s="1056"/>
      <c r="ZG92" s="1056"/>
      <c r="ZH92" s="1056"/>
      <c r="ZI92" s="1056"/>
      <c r="ZJ92" s="1056"/>
      <c r="ZK92" s="1056"/>
      <c r="ZL92" s="1056"/>
      <c r="ZM92" s="1056"/>
      <c r="ZN92" s="1056"/>
      <c r="ZO92" s="1056"/>
      <c r="ZP92" s="1056"/>
      <c r="ZQ92" s="1056"/>
      <c r="ZR92" s="1056"/>
      <c r="ZS92" s="1056"/>
      <c r="ZT92" s="1056"/>
      <c r="ZU92" s="1056"/>
      <c r="ZV92" s="1056"/>
      <c r="ZW92" s="1056"/>
      <c r="ZX92" s="1056"/>
      <c r="ZY92" s="1056"/>
      <c r="ZZ92" s="1056"/>
      <c r="AAA92" s="1056"/>
      <c r="AAB92" s="1056"/>
      <c r="AAC92" s="1056"/>
      <c r="AAD92" s="1056"/>
      <c r="AAE92" s="1056"/>
      <c r="AAF92" s="1056"/>
      <c r="AAG92" s="1056"/>
      <c r="AAH92" s="1056"/>
      <c r="AAI92" s="1056"/>
      <c r="AAJ92" s="1056"/>
      <c r="AAK92" s="1056"/>
      <c r="AAL92" s="1056"/>
      <c r="AAM92" s="1056"/>
      <c r="AAN92" s="1056"/>
      <c r="AAO92" s="1056"/>
      <c r="AAP92" s="1056"/>
      <c r="AAQ92" s="1056"/>
      <c r="AAR92" s="1056"/>
      <c r="AAS92" s="1056"/>
      <c r="AAT92" s="1056"/>
      <c r="AAU92" s="1056"/>
      <c r="AAV92" s="1056"/>
      <c r="AAW92" s="1056"/>
      <c r="AAX92" s="1056"/>
      <c r="AAY92" s="1056"/>
      <c r="AAZ92" s="1056"/>
      <c r="ABA92" s="1056"/>
      <c r="ABB92" s="1056"/>
      <c r="ABC92" s="1056"/>
      <c r="ABD92" s="1056"/>
      <c r="ABE92" s="1056"/>
      <c r="ABF92" s="1056"/>
      <c r="ABG92" s="1056"/>
      <c r="ABH92" s="1056"/>
      <c r="ABI92" s="1056"/>
      <c r="ABJ92" s="1056"/>
      <c r="ABK92" s="1056"/>
      <c r="ABL92" s="1056"/>
      <c r="ABM92" s="1056"/>
      <c r="ABN92" s="1056"/>
      <c r="ABO92" s="1056"/>
      <c r="ABP92" s="1056"/>
      <c r="ABQ92" s="1056"/>
      <c r="ABR92" s="1056"/>
      <c r="ABS92" s="1056"/>
      <c r="ABT92" s="1056"/>
      <c r="ABU92" s="1056"/>
      <c r="ABV92" s="1056"/>
      <c r="ABW92" s="1056"/>
      <c r="ABX92" s="1056"/>
      <c r="ABY92" s="1056"/>
      <c r="ABZ92" s="1056"/>
      <c r="ACA92" s="1056"/>
      <c r="ACB92" s="1056"/>
      <c r="ACC92" s="1056"/>
      <c r="ACD92" s="1056"/>
      <c r="ACE92" s="1056"/>
      <c r="ACF92" s="1056"/>
      <c r="ACG92" s="1056"/>
      <c r="ACH92" s="1056"/>
      <c r="ACI92" s="1056"/>
      <c r="ACJ92" s="1056"/>
      <c r="ACK92" s="1056"/>
      <c r="ACL92" s="1056"/>
      <c r="ACM92" s="1056"/>
      <c r="ACN92" s="1056"/>
      <c r="ACO92" s="1056"/>
      <c r="ACP92" s="1056"/>
      <c r="ACQ92" s="1056"/>
      <c r="ACR92" s="1056"/>
      <c r="ACS92" s="1056"/>
      <c r="ACT92" s="1056"/>
      <c r="ACU92" s="1056"/>
      <c r="ACV92" s="1056"/>
      <c r="ACW92" s="1056"/>
      <c r="ACX92" s="1056"/>
      <c r="ACY92" s="1056"/>
      <c r="ACZ92" s="1056"/>
      <c r="ADA92" s="1056"/>
      <c r="ADB92" s="1056"/>
      <c r="ADC92" s="1056"/>
      <c r="ADD92" s="1056"/>
      <c r="ADE92" s="1056"/>
      <c r="ADF92" s="1056"/>
      <c r="ADG92" s="1056"/>
      <c r="ADH92" s="1056"/>
      <c r="ADI92" s="1056"/>
      <c r="ADJ92" s="1056"/>
      <c r="ADK92" s="1056"/>
      <c r="ADL92" s="1056"/>
      <c r="ADM92" s="1056"/>
      <c r="ADN92" s="1056"/>
      <c r="ADO92" s="1056"/>
      <c r="ADP92" s="1056"/>
      <c r="ADQ92" s="1056"/>
      <c r="ADR92" s="1056"/>
      <c r="ADS92" s="1056"/>
      <c r="ADT92" s="1056"/>
      <c r="ADU92" s="1056"/>
      <c r="ADV92" s="1056"/>
      <c r="ADW92" s="1056"/>
      <c r="ADX92" s="1056"/>
      <c r="ADY92" s="1056"/>
      <c r="ADZ92" s="1056"/>
      <c r="AEA92" s="1056"/>
      <c r="AEB92" s="1056"/>
      <c r="AEC92" s="1056"/>
      <c r="AED92" s="1056"/>
      <c r="AEE92" s="1056"/>
      <c r="AEF92" s="1056"/>
      <c r="AEG92" s="1056"/>
      <c r="AEH92" s="1056"/>
      <c r="AEI92" s="1056"/>
      <c r="AEJ92" s="1056"/>
      <c r="AEK92" s="1056"/>
      <c r="AEL92" s="1056"/>
      <c r="AEM92" s="1056"/>
      <c r="AEN92" s="1056"/>
      <c r="AEO92" s="1056"/>
      <c r="AEP92" s="1056"/>
      <c r="AEQ92" s="1056"/>
      <c r="AER92" s="1056"/>
      <c r="AES92" s="1056"/>
      <c r="AET92" s="1056"/>
      <c r="AEU92" s="1056"/>
      <c r="AEV92" s="1056"/>
      <c r="AEW92" s="1056"/>
      <c r="AEX92" s="1056"/>
      <c r="AEY92" s="1056"/>
      <c r="AEZ92" s="1056"/>
      <c r="AFA92" s="1056"/>
      <c r="AFB92" s="1056"/>
      <c r="AFC92" s="1056"/>
      <c r="AFD92" s="1056"/>
      <c r="AFE92" s="1056"/>
      <c r="AFF92" s="1056"/>
      <c r="AFG92" s="1056"/>
      <c r="AFH92" s="1056"/>
      <c r="AFI92" s="1056"/>
      <c r="AFJ92" s="1056"/>
      <c r="AFK92" s="1056"/>
      <c r="AFL92" s="1056"/>
      <c r="AFM92" s="1056"/>
      <c r="AFN92" s="1056"/>
      <c r="AFO92" s="1056"/>
      <c r="AFP92" s="1056"/>
      <c r="AFQ92" s="1056"/>
      <c r="AFR92" s="1056"/>
      <c r="AFS92" s="1056"/>
      <c r="AFT92" s="1056"/>
      <c r="AFU92" s="1056"/>
      <c r="AFV92" s="1056"/>
      <c r="AFW92" s="1056"/>
      <c r="AFX92" s="1056"/>
      <c r="AFY92" s="1056"/>
      <c r="AFZ92" s="1056"/>
      <c r="AGA92" s="1056"/>
      <c r="AGB92" s="1056"/>
      <c r="AGC92" s="1056"/>
      <c r="AGD92" s="1056"/>
      <c r="AGE92" s="1056"/>
      <c r="AGF92" s="1056"/>
      <c r="AGG92" s="1056"/>
      <c r="AGH92" s="1056"/>
      <c r="AGI92" s="1056"/>
      <c r="AGJ92" s="1056"/>
      <c r="AGK92" s="1056"/>
      <c r="AGL92" s="1056"/>
      <c r="AGM92" s="1056"/>
      <c r="AGN92" s="1056"/>
      <c r="AGO92" s="1056"/>
      <c r="AGP92" s="1056"/>
      <c r="AGQ92" s="1056"/>
      <c r="AGR92" s="1056"/>
      <c r="AGS92" s="1056"/>
      <c r="AGT92" s="1056"/>
      <c r="AGU92" s="1056"/>
      <c r="AGV92" s="1056"/>
      <c r="AGW92" s="1056"/>
      <c r="AGX92" s="1056"/>
      <c r="AGY92" s="1056"/>
      <c r="AGZ92" s="1056"/>
      <c r="AHA92" s="1056"/>
      <c r="AHB92" s="1056"/>
      <c r="AHC92" s="1056"/>
      <c r="AHD92" s="1056"/>
      <c r="AHE92" s="1056"/>
      <c r="AHF92" s="1056"/>
      <c r="AHG92" s="1056"/>
      <c r="AHH92" s="1056"/>
      <c r="AHI92" s="1056"/>
      <c r="AHJ92" s="1056"/>
      <c r="AHK92" s="1056"/>
      <c r="AHL92" s="1056"/>
      <c r="AHM92" s="1056"/>
      <c r="AHN92" s="1056"/>
      <c r="AHO92" s="1056"/>
      <c r="AHP92" s="1056"/>
      <c r="AHQ92" s="1056"/>
      <c r="AHR92" s="1056"/>
      <c r="AHS92" s="1056"/>
      <c r="AHT92" s="1056"/>
      <c r="AHU92" s="1056"/>
      <c r="AHV92" s="1056"/>
      <c r="AHW92" s="1056"/>
      <c r="AHX92" s="1056"/>
      <c r="AHY92" s="1056"/>
      <c r="AHZ92" s="1056"/>
      <c r="AIA92" s="1056"/>
      <c r="AIB92" s="1056"/>
      <c r="AIC92" s="1056"/>
      <c r="AID92" s="1056"/>
      <c r="AIE92" s="1056"/>
      <c r="AIF92" s="1056"/>
      <c r="AIG92" s="1056"/>
      <c r="AIH92" s="1056"/>
      <c r="AII92" s="1056"/>
      <c r="AIJ92" s="1056"/>
      <c r="AIK92" s="1056"/>
      <c r="AIL92" s="1056"/>
      <c r="AIM92" s="1056"/>
      <c r="AIN92" s="1056"/>
      <c r="AIO92" s="1056"/>
      <c r="AIP92" s="1056"/>
      <c r="AIQ92" s="1056"/>
      <c r="AIR92" s="1056"/>
      <c r="AIS92" s="1056"/>
      <c r="AIT92" s="1056"/>
      <c r="AIU92" s="1056"/>
      <c r="AIV92" s="1056"/>
      <c r="AIW92" s="1056"/>
      <c r="AIX92" s="1056"/>
      <c r="AIY92" s="1056"/>
      <c r="AIZ92" s="1056"/>
      <c r="AJA92" s="1056"/>
      <c r="AJB92" s="1056"/>
      <c r="AJC92" s="1056"/>
      <c r="AJD92" s="1056"/>
      <c r="AJE92" s="1056"/>
      <c r="AJF92" s="1056"/>
      <c r="AJG92" s="1056"/>
      <c r="AJH92" s="1056"/>
      <c r="AJI92" s="1056"/>
      <c r="AJJ92" s="1056"/>
      <c r="AJK92" s="1056"/>
      <c r="AJL92" s="1056"/>
      <c r="AJM92" s="1056"/>
      <c r="AJN92" s="1056"/>
      <c r="AJO92" s="1056"/>
      <c r="AJP92" s="1056"/>
      <c r="AJQ92" s="1056"/>
      <c r="AJR92" s="1056"/>
      <c r="AJS92" s="1056"/>
      <c r="AJT92" s="1056"/>
      <c r="AJU92" s="1056"/>
      <c r="AJV92" s="1056"/>
      <c r="AJW92" s="1056"/>
      <c r="AJX92" s="1056"/>
      <c r="AJY92" s="1056"/>
      <c r="AJZ92" s="1056"/>
      <c r="AKA92" s="1056"/>
      <c r="AKB92" s="1056"/>
      <c r="AKC92" s="1056"/>
      <c r="AKD92" s="1056"/>
      <c r="AKE92" s="1056"/>
      <c r="AKF92" s="1056"/>
      <c r="AKG92" s="1056"/>
      <c r="AKH92" s="1056"/>
      <c r="AKI92" s="1056"/>
      <c r="AKJ92" s="1056"/>
      <c r="AKK92" s="1056"/>
      <c r="AKL92" s="1056"/>
      <c r="AKM92" s="1056"/>
      <c r="AKN92" s="1056"/>
      <c r="AKO92" s="1056"/>
      <c r="AKP92" s="1056"/>
      <c r="AKQ92" s="1056"/>
      <c r="AKR92" s="1056"/>
      <c r="AKS92" s="1056"/>
      <c r="AKT92" s="1056"/>
      <c r="AKU92" s="1056"/>
      <c r="AKV92" s="1056"/>
      <c r="AKW92" s="1056"/>
      <c r="AKX92" s="1056"/>
      <c r="AKY92" s="1056"/>
      <c r="AKZ92" s="1056"/>
      <c r="ALA92" s="1056"/>
      <c r="ALB92" s="1056"/>
      <c r="ALC92" s="1056"/>
      <c r="ALD92" s="1056"/>
      <c r="ALE92" s="1056"/>
      <c r="ALF92" s="1056"/>
      <c r="ALG92" s="1056"/>
      <c r="ALH92" s="1056"/>
      <c r="ALI92" s="1056"/>
      <c r="ALJ92" s="1056"/>
      <c r="ALK92" s="1056"/>
      <c r="ALL92" s="1056"/>
      <c r="ALM92" s="1056"/>
      <c r="ALN92" s="1056"/>
      <c r="ALO92" s="1056"/>
      <c r="ALP92" s="1056"/>
      <c r="ALQ92" s="1056"/>
      <c r="ALR92" s="1056"/>
      <c r="ALS92" s="1056"/>
      <c r="ALT92" s="1056"/>
      <c r="ALU92" s="1056"/>
      <c r="ALV92" s="1056"/>
      <c r="ALW92" s="1056"/>
      <c r="ALX92" s="1056"/>
      <c r="ALY92" s="1056"/>
      <c r="ALZ92" s="1056"/>
      <c r="AMA92" s="1056"/>
      <c r="AMB92" s="1056"/>
      <c r="AMC92" s="1056"/>
      <c r="AMD92" s="1056"/>
      <c r="AME92" s="1056"/>
      <c r="AMF92" s="1056"/>
      <c r="AMG92" s="1056"/>
      <c r="AMH92" s="1056"/>
      <c r="AMI92" s="1056"/>
      <c r="AMJ92" s="1056"/>
      <c r="AMK92" s="1056"/>
      <c r="AML92" s="1056"/>
      <c r="AMM92" s="1056"/>
      <c r="AMN92" s="1056"/>
      <c r="AMO92" s="1056"/>
      <c r="AMP92" s="1056"/>
      <c r="AMQ92" s="1056"/>
      <c r="AMR92" s="1056"/>
      <c r="AMS92" s="1056"/>
      <c r="AMT92" s="1056"/>
      <c r="AMU92" s="1056"/>
      <c r="AMV92" s="1056"/>
      <c r="AMW92" s="1056"/>
      <c r="AMX92" s="1056"/>
      <c r="AMY92" s="1056"/>
      <c r="AMZ92" s="1056"/>
      <c r="ANA92" s="1056"/>
      <c r="ANB92" s="1056"/>
      <c r="ANC92" s="1056"/>
      <c r="AND92" s="1056"/>
      <c r="ANE92" s="1056"/>
      <c r="ANF92" s="1056"/>
      <c r="ANG92" s="1056"/>
      <c r="ANH92" s="1056"/>
      <c r="ANI92" s="1056"/>
      <c r="ANJ92" s="1056"/>
      <c r="ANK92" s="1056"/>
      <c r="ANL92" s="1056"/>
      <c r="ANM92" s="1056"/>
      <c r="ANN92" s="1056"/>
      <c r="ANO92" s="1056"/>
      <c r="ANP92" s="1056"/>
      <c r="ANQ92" s="1056"/>
      <c r="ANR92" s="1056"/>
      <c r="ANS92" s="1056"/>
      <c r="ANT92" s="1056"/>
      <c r="ANU92" s="1056"/>
      <c r="ANV92" s="1056"/>
      <c r="ANW92" s="1056"/>
      <c r="ANX92" s="1056"/>
      <c r="ANY92" s="1056"/>
      <c r="ANZ92" s="1056"/>
      <c r="AOA92" s="1056"/>
      <c r="AOB92" s="1056"/>
      <c r="AOC92" s="1056"/>
      <c r="AOD92" s="1056"/>
      <c r="AOE92" s="1056"/>
      <c r="AOF92" s="1056"/>
      <c r="AOG92" s="1056"/>
      <c r="AOH92" s="1056"/>
      <c r="AOI92" s="1056"/>
      <c r="AOJ92" s="1056"/>
      <c r="AOK92" s="1056"/>
      <c r="AOL92" s="1056"/>
      <c r="AOM92" s="1056"/>
      <c r="AON92" s="1056"/>
      <c r="AOO92" s="1056"/>
      <c r="AOP92" s="1056"/>
      <c r="AOQ92" s="1056"/>
      <c r="AOR92" s="1056"/>
      <c r="AOS92" s="1056"/>
      <c r="AOT92" s="1056"/>
      <c r="AOU92" s="1056"/>
      <c r="AOV92" s="1056"/>
      <c r="AOW92" s="1056"/>
      <c r="AOX92" s="1056"/>
      <c r="AOY92" s="1056"/>
      <c r="AOZ92" s="1056"/>
      <c r="APA92" s="1056"/>
      <c r="APB92" s="1056"/>
      <c r="APC92" s="1056"/>
      <c r="APD92" s="1056"/>
      <c r="APE92" s="1056"/>
      <c r="APF92" s="1056"/>
      <c r="APG92" s="1056"/>
      <c r="APH92" s="1056"/>
      <c r="API92" s="1056"/>
      <c r="APJ92" s="1056"/>
      <c r="APK92" s="1056"/>
      <c r="APL92" s="1056"/>
      <c r="APM92" s="1056"/>
      <c r="APN92" s="1056"/>
      <c r="APO92" s="1056"/>
      <c r="APP92" s="1056"/>
      <c r="APQ92" s="1056"/>
      <c r="APR92" s="1056"/>
      <c r="APS92" s="1056"/>
      <c r="APT92" s="1056"/>
      <c r="APU92" s="1056"/>
      <c r="APV92" s="1056"/>
      <c r="APW92" s="1056"/>
      <c r="APX92" s="1056"/>
      <c r="APY92" s="1056"/>
      <c r="APZ92" s="1056"/>
      <c r="AQA92" s="1056"/>
      <c r="AQB92" s="1056"/>
      <c r="AQC92" s="1056"/>
      <c r="AQD92" s="1056"/>
      <c r="AQE92" s="1056"/>
      <c r="AQF92" s="1056"/>
      <c r="AQG92" s="1056"/>
      <c r="AQH92" s="1056"/>
      <c r="AQI92" s="1056"/>
      <c r="AQJ92" s="1056"/>
      <c r="AQK92" s="1056"/>
      <c r="AQL92" s="1056"/>
      <c r="AQM92" s="1056"/>
      <c r="AQN92" s="1056"/>
      <c r="AQO92" s="1056"/>
      <c r="AQP92" s="1056"/>
      <c r="AQQ92" s="1056"/>
      <c r="AQR92" s="1056"/>
      <c r="AQS92" s="1056"/>
      <c r="AQT92" s="1056"/>
      <c r="AQU92" s="1056"/>
      <c r="AQV92" s="1056"/>
      <c r="AQW92" s="1056"/>
      <c r="AQX92" s="1056"/>
      <c r="AQY92" s="1056"/>
      <c r="AQZ92" s="1056"/>
      <c r="ARA92" s="1056"/>
      <c r="ARB92" s="1056"/>
      <c r="ARC92" s="1056"/>
      <c r="ARD92" s="1056"/>
      <c r="ARE92" s="1056"/>
      <c r="ARF92" s="1056"/>
      <c r="ARG92" s="1056"/>
      <c r="ARH92" s="1056"/>
      <c r="ARI92" s="1056"/>
      <c r="ARJ92" s="1056"/>
      <c r="ARK92" s="1056"/>
      <c r="ARL92" s="1056"/>
      <c r="ARM92" s="1056"/>
      <c r="ARN92" s="1056"/>
      <c r="ARO92" s="1056"/>
      <c r="ARP92" s="1056"/>
      <c r="ARQ92" s="1056"/>
      <c r="ARR92" s="1056"/>
      <c r="ARS92" s="1056"/>
      <c r="ART92" s="1056"/>
      <c r="ARU92" s="1056"/>
      <c r="ARV92" s="1056"/>
      <c r="ARW92" s="1056"/>
      <c r="ARX92" s="1056"/>
      <c r="ARY92" s="1056"/>
      <c r="ARZ92" s="1056"/>
      <c r="ASA92" s="1056"/>
      <c r="ASB92" s="1056"/>
      <c r="ASC92" s="1056"/>
      <c r="ASD92" s="1056"/>
      <c r="ASE92" s="1056"/>
      <c r="ASF92" s="1056"/>
      <c r="ASG92" s="1056"/>
      <c r="ASH92" s="1056"/>
      <c r="ASI92" s="1056"/>
      <c r="ASJ92" s="1056"/>
      <c r="ASK92" s="1056"/>
      <c r="ASL92" s="1056"/>
      <c r="ASM92" s="1056"/>
      <c r="ASN92" s="1056"/>
      <c r="ASO92" s="1056"/>
      <c r="ASP92" s="1056"/>
      <c r="ASQ92" s="1056"/>
      <c r="ASR92" s="1056"/>
      <c r="ASS92" s="1056"/>
      <c r="AST92" s="1056"/>
      <c r="ASU92" s="1056"/>
      <c r="ASV92" s="1056"/>
      <c r="ASW92" s="1056"/>
      <c r="ASX92" s="1056"/>
      <c r="ASY92" s="1056"/>
      <c r="ASZ92" s="1056"/>
      <c r="ATA92" s="1056"/>
      <c r="ATB92" s="1056"/>
      <c r="ATC92" s="1056"/>
      <c r="ATD92" s="1056"/>
      <c r="ATE92" s="1056"/>
      <c r="ATF92" s="1056"/>
      <c r="ATG92" s="1056"/>
      <c r="ATH92" s="1056"/>
      <c r="ATI92" s="1056"/>
      <c r="ATJ92" s="1056"/>
      <c r="ATK92" s="1056"/>
      <c r="ATL92" s="1056"/>
      <c r="ATM92" s="1056"/>
      <c r="ATN92" s="1056"/>
      <c r="ATO92" s="1056"/>
      <c r="ATP92" s="1056"/>
      <c r="ATQ92" s="1056"/>
      <c r="ATR92" s="1056"/>
      <c r="ATS92" s="1056"/>
      <c r="ATT92" s="1056"/>
      <c r="ATU92" s="1056"/>
      <c r="ATV92" s="1056"/>
      <c r="ATW92" s="1056"/>
      <c r="ATX92" s="1056"/>
      <c r="ATY92" s="1056"/>
      <c r="ATZ92" s="1056"/>
      <c r="AUA92" s="1056"/>
      <c r="AUB92" s="1056"/>
      <c r="AUC92" s="1056"/>
      <c r="AUD92" s="1056"/>
      <c r="AUE92" s="1056"/>
      <c r="AUF92" s="1056"/>
      <c r="AUG92" s="1056"/>
      <c r="AUH92" s="1056"/>
      <c r="AUI92" s="1056"/>
      <c r="AUJ92" s="1056"/>
      <c r="AUK92" s="1056"/>
      <c r="AUL92" s="1056"/>
      <c r="AUM92" s="1056"/>
      <c r="AUN92" s="1056"/>
      <c r="AUO92" s="1056"/>
      <c r="AUP92" s="1056"/>
      <c r="AUQ92" s="1056"/>
      <c r="AUR92" s="1056"/>
      <c r="AUS92" s="1056"/>
      <c r="AUT92" s="1056"/>
      <c r="AUU92" s="1056"/>
      <c r="AUV92" s="1056"/>
      <c r="AUW92" s="1056"/>
      <c r="AUX92" s="1056"/>
      <c r="AUY92" s="1056"/>
      <c r="AUZ92" s="1056"/>
      <c r="AVA92" s="1056"/>
      <c r="AVB92" s="1056"/>
      <c r="AVC92" s="1056"/>
      <c r="AVD92" s="1056"/>
      <c r="AVE92" s="1056"/>
      <c r="AVF92" s="1056"/>
      <c r="AVG92" s="1056"/>
      <c r="AVH92" s="1056"/>
      <c r="AVI92" s="1056"/>
      <c r="AVJ92" s="1056"/>
      <c r="AVK92" s="1056"/>
      <c r="AVL92" s="1056"/>
      <c r="AVM92" s="1056"/>
      <c r="AVN92" s="1056"/>
      <c r="AVO92" s="1056"/>
      <c r="AVP92" s="1056"/>
      <c r="AVQ92" s="1056"/>
      <c r="AVR92" s="1056"/>
      <c r="AVS92" s="1056"/>
      <c r="AVT92" s="1056"/>
      <c r="AVU92" s="1056"/>
      <c r="AVV92" s="1056"/>
      <c r="AVW92" s="1056"/>
      <c r="AVX92" s="1056"/>
      <c r="AVY92" s="1056"/>
      <c r="AVZ92" s="1056"/>
      <c r="AWA92" s="1056"/>
      <c r="AWB92" s="1056"/>
      <c r="AWC92" s="1056"/>
      <c r="AWD92" s="1056"/>
      <c r="AWE92" s="1056"/>
      <c r="AWF92" s="1056"/>
      <c r="AWG92" s="1056"/>
      <c r="AWH92" s="1056"/>
      <c r="AWI92" s="1056"/>
      <c r="AWJ92" s="1056"/>
      <c r="AWK92" s="1056"/>
      <c r="AWL92" s="1056"/>
      <c r="AWM92" s="1056"/>
      <c r="AWN92" s="1056"/>
      <c r="AWO92" s="1056"/>
      <c r="AWP92" s="1056"/>
      <c r="AWQ92" s="1056"/>
      <c r="AWR92" s="1056"/>
      <c r="AWS92" s="1056"/>
      <c r="AWT92" s="1056"/>
      <c r="AWU92" s="1056"/>
      <c r="AWV92" s="1056"/>
      <c r="AWW92" s="1056"/>
      <c r="AWX92" s="1056"/>
      <c r="AWY92" s="1056"/>
      <c r="AWZ92" s="1056"/>
      <c r="AXA92" s="1056"/>
      <c r="AXB92" s="1056"/>
      <c r="AXC92" s="1056"/>
      <c r="AXD92" s="1056"/>
      <c r="AXE92" s="1056"/>
      <c r="AXF92" s="1056"/>
      <c r="AXG92" s="1056"/>
      <c r="AXH92" s="1056"/>
      <c r="AXI92" s="1056"/>
      <c r="AXJ92" s="1056"/>
      <c r="AXK92" s="1056"/>
      <c r="AXL92" s="1056"/>
      <c r="AXM92" s="1056"/>
      <c r="AXN92" s="1056"/>
      <c r="AXO92" s="1056"/>
      <c r="AXP92" s="1056"/>
      <c r="AXQ92" s="1056"/>
      <c r="AXR92" s="1056"/>
      <c r="AXS92" s="1056"/>
      <c r="AXT92" s="1056"/>
      <c r="AXU92" s="1056"/>
      <c r="AXV92" s="1056"/>
      <c r="AXW92" s="1056"/>
      <c r="AXX92" s="1056"/>
      <c r="AXY92" s="1056"/>
      <c r="AXZ92" s="1056"/>
      <c r="AYA92" s="1056"/>
      <c r="AYB92" s="1056"/>
      <c r="AYC92" s="1056"/>
      <c r="AYD92" s="1056"/>
      <c r="AYE92" s="1056"/>
      <c r="AYF92" s="1056"/>
      <c r="AYG92" s="1056"/>
      <c r="AYH92" s="1056"/>
      <c r="AYI92" s="1056"/>
      <c r="AYJ92" s="1056"/>
      <c r="AYK92" s="1056"/>
      <c r="AYL92" s="1056"/>
      <c r="AYM92" s="1056"/>
      <c r="AYN92" s="1056"/>
      <c r="AYO92" s="1056"/>
      <c r="AYP92" s="1056"/>
      <c r="AYQ92" s="1056"/>
      <c r="AYR92" s="1056"/>
      <c r="AYS92" s="1056"/>
      <c r="AYT92" s="1056"/>
      <c r="AYU92" s="1056"/>
      <c r="AYV92" s="1056"/>
      <c r="AYW92" s="1056"/>
      <c r="AYX92" s="1056"/>
      <c r="AYY92" s="1056"/>
      <c r="AYZ92" s="1056"/>
      <c r="AZA92" s="1056"/>
      <c r="AZB92" s="1056"/>
      <c r="AZC92" s="1056"/>
      <c r="AZD92" s="1056"/>
      <c r="AZE92" s="1056"/>
      <c r="AZF92" s="1056"/>
      <c r="AZG92" s="1056"/>
      <c r="AZH92" s="1056"/>
      <c r="AZI92" s="1056"/>
      <c r="AZJ92" s="1056"/>
      <c r="AZK92" s="1056"/>
      <c r="AZL92" s="1056"/>
      <c r="AZM92" s="1056"/>
      <c r="AZN92" s="1056"/>
      <c r="AZO92" s="1056"/>
      <c r="AZP92" s="1056"/>
      <c r="AZQ92" s="1056"/>
      <c r="AZR92" s="1056"/>
      <c r="AZS92" s="1056"/>
      <c r="AZT92" s="1056"/>
      <c r="AZU92" s="1056"/>
      <c r="AZV92" s="1056"/>
      <c r="AZW92" s="1056"/>
      <c r="AZX92" s="1056"/>
      <c r="AZY92" s="1056"/>
      <c r="AZZ92" s="1056"/>
      <c r="BAA92" s="1056"/>
      <c r="BAB92" s="1056"/>
      <c r="BAC92" s="1056"/>
      <c r="BAD92" s="1056"/>
      <c r="BAE92" s="1056"/>
      <c r="BAF92" s="1056"/>
      <c r="BAG92" s="1056"/>
      <c r="BAH92" s="1056"/>
      <c r="BAI92" s="1056"/>
      <c r="BAJ92" s="1056"/>
      <c r="BAK92" s="1056"/>
      <c r="BAL92" s="1056"/>
      <c r="BAM92" s="1056"/>
      <c r="BAN92" s="1056"/>
      <c r="BAO92" s="1056"/>
      <c r="BAP92" s="1056"/>
      <c r="BAQ92" s="1056"/>
      <c r="BAR92" s="1056"/>
      <c r="BAS92" s="1056"/>
      <c r="BAT92" s="1056"/>
      <c r="BAU92" s="1056"/>
      <c r="BAV92" s="1056"/>
      <c r="BAW92" s="1056"/>
      <c r="BAX92" s="1056"/>
      <c r="BAY92" s="1056"/>
      <c r="BAZ92" s="1056"/>
      <c r="BBA92" s="1056"/>
      <c r="BBB92" s="1056"/>
      <c r="BBC92" s="1056"/>
      <c r="BBD92" s="1056"/>
      <c r="BBE92" s="1056"/>
      <c r="BBF92" s="1056"/>
      <c r="BBG92" s="1056"/>
      <c r="BBH92" s="1056"/>
      <c r="BBI92" s="1056"/>
      <c r="BBJ92" s="1056"/>
      <c r="BBK92" s="1056"/>
      <c r="BBL92" s="1056"/>
      <c r="BBM92" s="1056"/>
      <c r="BBN92" s="1056"/>
      <c r="BBO92" s="1056"/>
      <c r="BBP92" s="1056"/>
      <c r="BBQ92" s="1056"/>
      <c r="BBR92" s="1056"/>
      <c r="BBS92" s="1056"/>
      <c r="BBT92" s="1056"/>
      <c r="BBU92" s="1056"/>
      <c r="BBV92" s="1056"/>
      <c r="BBW92" s="1056"/>
      <c r="BBX92" s="1056"/>
      <c r="BBY92" s="1056"/>
      <c r="BBZ92" s="1056"/>
      <c r="BCA92" s="1056"/>
      <c r="BCB92" s="1056"/>
      <c r="BCC92" s="1056"/>
      <c r="BCD92" s="1056"/>
      <c r="BCE92" s="1056"/>
      <c r="BCF92" s="1056"/>
      <c r="BCG92" s="1056"/>
      <c r="BCH92" s="1056"/>
      <c r="BCI92" s="1056"/>
      <c r="BCJ92" s="1056"/>
      <c r="BCK92" s="1056"/>
      <c r="BCL92" s="1056"/>
      <c r="BCM92" s="1056"/>
      <c r="BCN92" s="1056"/>
      <c r="BCO92" s="1056"/>
      <c r="BCP92" s="1056"/>
      <c r="BCQ92" s="1056"/>
      <c r="BCR92" s="1056"/>
      <c r="BCS92" s="1056"/>
      <c r="BCT92" s="1056"/>
      <c r="BCU92" s="1056"/>
      <c r="BCV92" s="1056"/>
      <c r="BCW92" s="1056"/>
      <c r="BCX92" s="1056"/>
      <c r="BCY92" s="1056"/>
      <c r="BCZ92" s="1056"/>
      <c r="BDA92" s="1056"/>
      <c r="BDB92" s="1056"/>
      <c r="BDC92" s="1056"/>
      <c r="BDD92" s="1056"/>
      <c r="BDE92" s="1056"/>
      <c r="BDF92" s="1056"/>
      <c r="BDG92" s="1056"/>
      <c r="BDH92" s="1056"/>
      <c r="BDI92" s="1056"/>
      <c r="BDJ92" s="1056"/>
      <c r="BDK92" s="1056"/>
      <c r="BDL92" s="1056"/>
      <c r="BDM92" s="1056"/>
      <c r="BDN92" s="1056"/>
      <c r="BDO92" s="1056"/>
      <c r="BDP92" s="1056"/>
      <c r="BDQ92" s="1056"/>
      <c r="BDR92" s="1056"/>
      <c r="BDS92" s="1056"/>
      <c r="BDT92" s="1056"/>
      <c r="BDU92" s="1056"/>
      <c r="BDV92" s="1056"/>
      <c r="BDW92" s="1056"/>
      <c r="BDX92" s="1056"/>
      <c r="BDY92" s="1056"/>
      <c r="BDZ92" s="1056"/>
      <c r="BEA92" s="1056"/>
      <c r="BEB92" s="1056"/>
      <c r="BEC92" s="1056"/>
      <c r="BED92" s="1056"/>
      <c r="BEE92" s="1056"/>
      <c r="BEF92" s="1056"/>
      <c r="BEG92" s="1056"/>
      <c r="BEH92" s="1056"/>
      <c r="BEI92" s="1056"/>
      <c r="BEJ92" s="1056"/>
      <c r="BEK92" s="1056"/>
      <c r="BEL92" s="1056"/>
      <c r="BEM92" s="1056"/>
      <c r="BEN92" s="1056"/>
      <c r="BEO92" s="1056"/>
      <c r="BEP92" s="1056"/>
      <c r="BEQ92" s="1056"/>
      <c r="BER92" s="1056"/>
      <c r="BES92" s="1056"/>
      <c r="BET92" s="1056"/>
      <c r="BEU92" s="1056"/>
      <c r="BEV92" s="1056"/>
      <c r="BEW92" s="1056"/>
      <c r="BEX92" s="1056"/>
      <c r="BEY92" s="1056"/>
      <c r="BEZ92" s="1056"/>
      <c r="BFA92" s="1056"/>
      <c r="BFB92" s="1056"/>
      <c r="BFC92" s="1056"/>
      <c r="BFD92" s="1056"/>
      <c r="BFE92" s="1056"/>
      <c r="BFF92" s="1056"/>
      <c r="BFG92" s="1056"/>
      <c r="BFH92" s="1056"/>
      <c r="BFI92" s="1056"/>
      <c r="BFJ92" s="1056"/>
      <c r="BFK92" s="1056"/>
      <c r="BFL92" s="1056"/>
      <c r="BFM92" s="1056"/>
      <c r="BFN92" s="1056"/>
      <c r="BFO92" s="1056"/>
      <c r="BFP92" s="1056"/>
      <c r="BFQ92" s="1056"/>
      <c r="BFR92" s="1056"/>
      <c r="BFS92" s="1056"/>
      <c r="BFT92" s="1056"/>
      <c r="BFU92" s="1056"/>
      <c r="BFV92" s="1056"/>
      <c r="BFW92" s="1056"/>
      <c r="BFX92" s="1056"/>
      <c r="BFY92" s="1056"/>
      <c r="BFZ92" s="1056"/>
      <c r="BGA92" s="1056"/>
      <c r="BGB92" s="1056"/>
      <c r="BGC92" s="1056"/>
      <c r="BGD92" s="1056"/>
      <c r="BGE92" s="1056"/>
      <c r="BGF92" s="1056"/>
      <c r="BGG92" s="1056"/>
      <c r="BGH92" s="1056"/>
      <c r="BGI92" s="1056"/>
      <c r="BGJ92" s="1056"/>
      <c r="BGK92" s="1056"/>
      <c r="BGL92" s="1056"/>
      <c r="BGM92" s="1056"/>
      <c r="BGN92" s="1056"/>
      <c r="BGO92" s="1056"/>
      <c r="BGP92" s="1056"/>
      <c r="BGQ92" s="1056"/>
      <c r="BGR92" s="1056"/>
      <c r="BGS92" s="1056"/>
      <c r="BGT92" s="1056"/>
      <c r="BGU92" s="1056"/>
      <c r="BGV92" s="1056"/>
      <c r="BGW92" s="1056"/>
      <c r="BGX92" s="1056"/>
      <c r="BGY92" s="1056"/>
      <c r="BGZ92" s="1056"/>
      <c r="BHA92" s="1056"/>
      <c r="BHB92" s="1056"/>
      <c r="BHC92" s="1056"/>
      <c r="BHD92" s="1056"/>
      <c r="BHE92" s="1056"/>
      <c r="BHF92" s="1056"/>
      <c r="BHG92" s="1056"/>
      <c r="BHH92" s="1056"/>
      <c r="BHI92" s="1056"/>
      <c r="BHJ92" s="1056"/>
      <c r="BHK92" s="1056"/>
      <c r="BHL92" s="1056"/>
      <c r="BHM92" s="1056"/>
      <c r="BHN92" s="1056"/>
      <c r="BHO92" s="1056"/>
      <c r="BHP92" s="1056"/>
      <c r="BHQ92" s="1056"/>
      <c r="BHR92" s="1056"/>
      <c r="BHS92" s="1056"/>
      <c r="BHT92" s="1056"/>
      <c r="BHU92" s="1056"/>
      <c r="BHV92" s="1056"/>
      <c r="BHW92" s="1056"/>
      <c r="BHX92" s="1056"/>
      <c r="BHY92" s="1056"/>
      <c r="BHZ92" s="1056"/>
      <c r="BIA92" s="1056"/>
      <c r="BIB92" s="1056"/>
      <c r="BIC92" s="1056"/>
      <c r="BID92" s="1056"/>
      <c r="BIE92" s="1056"/>
      <c r="BIF92" s="1056"/>
      <c r="BIG92" s="1056"/>
      <c r="BIH92" s="1056"/>
      <c r="BII92" s="1056"/>
      <c r="BIJ92" s="1056"/>
      <c r="BIK92" s="1056"/>
      <c r="BIL92" s="1056"/>
      <c r="BIM92" s="1056"/>
      <c r="BIN92" s="1056"/>
      <c r="BIO92" s="1056"/>
      <c r="BIP92" s="1056"/>
      <c r="BIQ92" s="1056"/>
      <c r="BIR92" s="1056"/>
      <c r="BIS92" s="1056"/>
      <c r="BIT92" s="1056"/>
      <c r="BIU92" s="1056"/>
      <c r="BIV92" s="1056"/>
      <c r="BIW92" s="1056"/>
      <c r="BIX92" s="1056"/>
      <c r="BIY92" s="1056"/>
      <c r="BIZ92" s="1056"/>
      <c r="BJA92" s="1056"/>
      <c r="BJB92" s="1056"/>
      <c r="BJC92" s="1056"/>
      <c r="BJD92" s="1056"/>
      <c r="BJE92" s="1056"/>
      <c r="BJF92" s="1056"/>
      <c r="BJG92" s="1056"/>
      <c r="BJH92" s="1056"/>
      <c r="BJI92" s="1056"/>
      <c r="BJJ92" s="1056"/>
      <c r="BJK92" s="1056"/>
      <c r="BJL92" s="1056"/>
      <c r="BJM92" s="1056"/>
      <c r="BJN92" s="1056"/>
      <c r="BJO92" s="1056"/>
      <c r="BJP92" s="1056"/>
      <c r="BJQ92" s="1056"/>
      <c r="BJR92" s="1056"/>
      <c r="BJS92" s="1056"/>
      <c r="BJT92" s="1056"/>
      <c r="BJU92" s="1056"/>
      <c r="BJV92" s="1056"/>
      <c r="BJW92" s="1056"/>
      <c r="BJX92" s="1056"/>
      <c r="BJY92" s="1056"/>
      <c r="BJZ92" s="1056"/>
      <c r="BKA92" s="1056"/>
      <c r="BKB92" s="1056"/>
      <c r="BKC92" s="1056"/>
      <c r="BKD92" s="1056"/>
      <c r="BKE92" s="1056"/>
      <c r="BKF92" s="1056"/>
      <c r="BKG92" s="1056"/>
      <c r="BKH92" s="1056"/>
      <c r="BKI92" s="1056"/>
      <c r="BKJ92" s="1056"/>
      <c r="BKK92" s="1056"/>
      <c r="BKL92" s="1056"/>
      <c r="BKM92" s="1056"/>
      <c r="BKN92" s="1056"/>
      <c r="BKO92" s="1056"/>
      <c r="BKP92" s="1056"/>
      <c r="BKQ92" s="1056"/>
      <c r="BKR92" s="1056"/>
      <c r="BKS92" s="1056"/>
      <c r="BKT92" s="1056"/>
      <c r="BKU92" s="1056"/>
      <c r="BKV92" s="1056"/>
      <c r="BKW92" s="1056"/>
      <c r="BKX92" s="1056"/>
      <c r="BKY92" s="1056"/>
      <c r="BKZ92" s="1056"/>
      <c r="BLA92" s="1056"/>
      <c r="BLB92" s="1056"/>
      <c r="BLC92" s="1056"/>
      <c r="BLD92" s="1056"/>
      <c r="BLE92" s="1056"/>
      <c r="BLF92" s="1056"/>
      <c r="BLG92" s="1056"/>
      <c r="BLH92" s="1056"/>
      <c r="BLI92" s="1056"/>
      <c r="BLJ92" s="1056"/>
      <c r="BLK92" s="1056"/>
      <c r="BLL92" s="1056"/>
      <c r="BLM92" s="1056"/>
      <c r="BLN92" s="1056"/>
      <c r="BLO92" s="1056"/>
      <c r="BLP92" s="1056"/>
      <c r="BLQ92" s="1056"/>
      <c r="BLR92" s="1056"/>
      <c r="BLS92" s="1056"/>
      <c r="BLT92" s="1056"/>
      <c r="BLU92" s="1056"/>
      <c r="BLV92" s="1056"/>
      <c r="BLW92" s="1056"/>
      <c r="BLX92" s="1056"/>
      <c r="BLY92" s="1056"/>
      <c r="BLZ92" s="1056"/>
      <c r="BMA92" s="1056"/>
      <c r="BMB92" s="1056"/>
      <c r="BMC92" s="1056"/>
      <c r="BMD92" s="1056"/>
      <c r="BME92" s="1056"/>
      <c r="BMF92" s="1056"/>
      <c r="BMG92" s="1056"/>
      <c r="BMH92" s="1056"/>
      <c r="BMI92" s="1056"/>
      <c r="BMJ92" s="1056"/>
      <c r="BMK92" s="1056"/>
      <c r="BML92" s="1056"/>
      <c r="BMM92" s="1056"/>
      <c r="BMN92" s="1056"/>
      <c r="BMO92" s="1056"/>
      <c r="BMP92" s="1056"/>
      <c r="BMQ92" s="1056"/>
      <c r="BMR92" s="1056"/>
      <c r="BMS92" s="1056"/>
      <c r="BMT92" s="1056"/>
      <c r="BMU92" s="1056"/>
      <c r="BMV92" s="1056"/>
      <c r="BMW92" s="1056"/>
      <c r="BMX92" s="1056"/>
      <c r="BMY92" s="1056"/>
      <c r="BMZ92" s="1056"/>
      <c r="BNA92" s="1056"/>
      <c r="BNB92" s="1056"/>
      <c r="BNC92" s="1056"/>
      <c r="BND92" s="1056"/>
      <c r="BNE92" s="1056"/>
      <c r="BNF92" s="1056"/>
      <c r="BNG92" s="1056"/>
      <c r="BNH92" s="1056"/>
      <c r="BNI92" s="1056"/>
      <c r="BNJ92" s="1056"/>
      <c r="BNK92" s="1056"/>
      <c r="BNL92" s="1056"/>
      <c r="BNM92" s="1056"/>
      <c r="BNN92" s="1056"/>
      <c r="BNO92" s="1056"/>
      <c r="BNP92" s="1056"/>
      <c r="BNQ92" s="1056"/>
      <c r="BNR92" s="1056"/>
      <c r="BNS92" s="1056"/>
      <c r="BNT92" s="1056"/>
      <c r="BNU92" s="1056"/>
      <c r="BNV92" s="1056"/>
      <c r="BNW92" s="1056"/>
      <c r="BNX92" s="1056"/>
      <c r="BNY92" s="1056"/>
      <c r="BNZ92" s="1056"/>
      <c r="BOA92" s="1056"/>
      <c r="BOB92" s="1056"/>
      <c r="BOC92" s="1056"/>
      <c r="BOD92" s="1056"/>
      <c r="BOE92" s="1056"/>
      <c r="BOF92" s="1056"/>
      <c r="BOG92" s="1056"/>
      <c r="BOH92" s="1056"/>
      <c r="BOI92" s="1056"/>
      <c r="BOJ92" s="1056"/>
      <c r="BOK92" s="1056"/>
      <c r="BOL92" s="1056"/>
      <c r="BOM92" s="1056"/>
      <c r="BON92" s="1056"/>
      <c r="BOO92" s="1056"/>
      <c r="BOP92" s="1056"/>
      <c r="BOQ92" s="1056"/>
      <c r="BOR92" s="1056"/>
      <c r="BOS92" s="1056"/>
      <c r="BOT92" s="1056"/>
      <c r="BOU92" s="1056"/>
      <c r="BOV92" s="1056"/>
      <c r="BOW92" s="1056"/>
      <c r="BOX92" s="1056"/>
      <c r="BOY92" s="1056"/>
      <c r="BOZ92" s="1056"/>
      <c r="BPA92" s="1056"/>
      <c r="BPB92" s="1056"/>
      <c r="BPC92" s="1056"/>
      <c r="BPD92" s="1056"/>
      <c r="BPE92" s="1056"/>
      <c r="BPF92" s="1056"/>
      <c r="BPG92" s="1056"/>
      <c r="BPH92" s="1056"/>
      <c r="BPI92" s="1056"/>
      <c r="BPJ92" s="1056"/>
      <c r="BPK92" s="1056"/>
      <c r="BPL92" s="1056"/>
      <c r="BPM92" s="1056"/>
      <c r="BPN92" s="1056"/>
      <c r="BPO92" s="1056"/>
      <c r="BPP92" s="1056"/>
      <c r="BPQ92" s="1056"/>
      <c r="BPR92" s="1056"/>
      <c r="BPS92" s="1056"/>
      <c r="BPT92" s="1056"/>
      <c r="BPU92" s="1056"/>
      <c r="BPV92" s="1056"/>
      <c r="BPW92" s="1056"/>
      <c r="BPX92" s="1056"/>
      <c r="BPY92" s="1056"/>
      <c r="BPZ92" s="1056"/>
      <c r="BQA92" s="1056"/>
      <c r="BQB92" s="1056"/>
      <c r="BQC92" s="1056"/>
      <c r="BQD92" s="1056"/>
      <c r="BQE92" s="1056"/>
      <c r="BQF92" s="1056"/>
      <c r="BQG92" s="1056"/>
      <c r="BQH92" s="1056"/>
      <c r="BQI92" s="1056"/>
      <c r="BQJ92" s="1056"/>
      <c r="BQK92" s="1056"/>
      <c r="BQL92" s="1056"/>
      <c r="BQM92" s="1056"/>
      <c r="BQN92" s="1056"/>
      <c r="BQO92" s="1056"/>
      <c r="BQP92" s="1056"/>
      <c r="BQQ92" s="1056"/>
      <c r="BQR92" s="1056"/>
      <c r="BQS92" s="1056"/>
      <c r="BQT92" s="1056"/>
      <c r="BQU92" s="1056"/>
      <c r="BQV92" s="1056"/>
      <c r="BQW92" s="1056"/>
      <c r="BQX92" s="1056"/>
      <c r="BQY92" s="1056"/>
      <c r="BQZ92" s="1056"/>
      <c r="BRA92" s="1056"/>
      <c r="BRB92" s="1056"/>
      <c r="BRC92" s="1056"/>
      <c r="BRD92" s="1056"/>
      <c r="BRE92" s="1056"/>
      <c r="BRF92" s="1056"/>
      <c r="BRG92" s="1056"/>
      <c r="BRH92" s="1056"/>
      <c r="BRI92" s="1056"/>
      <c r="BRJ92" s="1056"/>
      <c r="BRK92" s="1056"/>
      <c r="BRL92" s="1056"/>
      <c r="BRM92" s="1056"/>
      <c r="BRN92" s="1056"/>
      <c r="BRO92" s="1056"/>
      <c r="BRP92" s="1056"/>
      <c r="BRQ92" s="1056"/>
      <c r="BRR92" s="1056"/>
      <c r="BRS92" s="1056"/>
      <c r="BRT92" s="1056"/>
      <c r="BRU92" s="1056"/>
      <c r="BRV92" s="1056"/>
      <c r="BRW92" s="1056"/>
      <c r="BRX92" s="1056"/>
      <c r="BRY92" s="1056"/>
      <c r="BRZ92" s="1056"/>
      <c r="BSA92" s="1056"/>
      <c r="BSB92" s="1056"/>
      <c r="BSC92" s="1056"/>
      <c r="BSD92" s="1056"/>
      <c r="BSE92" s="1056"/>
      <c r="BSF92" s="1056"/>
      <c r="BSG92" s="1056"/>
      <c r="BSH92" s="1056"/>
      <c r="BSI92" s="1056"/>
      <c r="BSJ92" s="1056"/>
      <c r="BSK92" s="1056"/>
      <c r="BSL92" s="1056"/>
      <c r="BSM92" s="1056"/>
      <c r="BSN92" s="1056"/>
      <c r="BSO92" s="1056"/>
      <c r="BSP92" s="1056"/>
      <c r="BSQ92" s="1056"/>
      <c r="BSR92" s="1056"/>
      <c r="BSS92" s="1056"/>
      <c r="BST92" s="1056"/>
      <c r="BSU92" s="1056"/>
      <c r="BSV92" s="1056"/>
      <c r="BSW92" s="1056"/>
      <c r="BSX92" s="1056"/>
      <c r="BSY92" s="1056"/>
      <c r="BSZ92" s="1056"/>
      <c r="BTA92" s="1056"/>
      <c r="BTB92" s="1056"/>
      <c r="BTC92" s="1056"/>
      <c r="BTD92" s="1056"/>
      <c r="BTE92" s="1056"/>
      <c r="BTF92" s="1056"/>
      <c r="BTG92" s="1056"/>
      <c r="BTH92" s="1056"/>
      <c r="BTI92" s="1056"/>
    </row>
    <row r="93" spans="1:1881" s="1060" customFormat="1" ht="115.5" hidden="1" customHeight="1" thickBot="1" x14ac:dyDescent="0.35">
      <c r="A93" s="1059">
        <v>589</v>
      </c>
      <c r="B93" s="1061" t="s">
        <v>942</v>
      </c>
      <c r="C93" s="1061" t="s">
        <v>943</v>
      </c>
      <c r="D93" s="1052" t="s">
        <v>947</v>
      </c>
      <c r="E93" s="1053" t="e">
        <f>HLOOKUP($D$2,'2020 Data(H)'!$C$1:$AI$426,239,FALSE)</f>
        <v>#N/A</v>
      </c>
      <c r="F93" s="287">
        <v>0</v>
      </c>
      <c r="G93" s="722"/>
      <c r="H93" s="1054"/>
      <c r="I93" s="1055"/>
      <c r="J93" s="1056"/>
      <c r="K93" s="1056"/>
      <c r="L93" s="1057"/>
      <c r="M93" s="1056"/>
      <c r="N93" s="1058"/>
      <c r="O93" s="1056"/>
      <c r="P93" s="1056"/>
      <c r="Q93" s="1056"/>
      <c r="R93" s="1056"/>
      <c r="S93" s="1056"/>
      <c r="T93" s="1056"/>
      <c r="U93" s="1056"/>
      <c r="V93" s="1056"/>
      <c r="W93" s="1056"/>
      <c r="X93" s="1056"/>
      <c r="Y93" s="1056"/>
      <c r="Z93" s="1059"/>
      <c r="AA93" s="1059"/>
      <c r="AB93" s="1059"/>
      <c r="AC93" s="1059"/>
      <c r="AD93" s="1059"/>
      <c r="AE93" s="1059"/>
      <c r="AF93" s="1059"/>
      <c r="AG93" s="1059"/>
      <c r="AH93" s="1059"/>
      <c r="AI93" s="1059"/>
      <c r="AJ93" s="1059"/>
      <c r="AK93" s="1059"/>
      <c r="AL93" s="1059"/>
      <c r="AM93" s="1059"/>
      <c r="AN93" s="1059"/>
      <c r="AO93" s="1059"/>
      <c r="AP93" s="1059"/>
      <c r="AQ93" s="1059"/>
      <c r="AR93" s="1059"/>
      <c r="AS93" s="1056"/>
      <c r="AT93" s="1056"/>
      <c r="AU93" s="1056"/>
      <c r="AV93" s="1056"/>
      <c r="AW93" s="1056"/>
      <c r="AX93" s="1056"/>
      <c r="AY93" s="1056"/>
      <c r="AZ93" s="1056"/>
      <c r="BA93" s="1056"/>
      <c r="BB93" s="1056"/>
      <c r="BC93" s="1056"/>
      <c r="BD93" s="1056"/>
      <c r="BE93" s="1056"/>
      <c r="BF93" s="1056"/>
      <c r="BG93" s="1056"/>
      <c r="BH93" s="1056"/>
      <c r="BI93" s="1056"/>
      <c r="BJ93" s="1056"/>
      <c r="BK93" s="1056"/>
      <c r="BL93" s="1056"/>
      <c r="BM93" s="1056"/>
      <c r="BN93" s="1056"/>
      <c r="BO93" s="1056"/>
      <c r="BP93" s="1056"/>
      <c r="BQ93" s="1056"/>
      <c r="BR93" s="1056"/>
      <c r="BS93" s="1056"/>
      <c r="BT93" s="1056"/>
      <c r="BU93" s="1056"/>
      <c r="BV93" s="1056"/>
      <c r="BW93" s="1056"/>
      <c r="BX93" s="1056"/>
      <c r="BY93" s="1056"/>
      <c r="BZ93" s="1056"/>
      <c r="CA93" s="1056"/>
      <c r="CB93" s="1056"/>
      <c r="CC93" s="1056"/>
      <c r="CD93" s="1056"/>
      <c r="CE93" s="1056"/>
      <c r="CF93" s="1056"/>
      <c r="CG93" s="1056"/>
      <c r="CH93" s="1056"/>
      <c r="CI93" s="1056"/>
      <c r="CJ93" s="1056"/>
      <c r="CK93" s="1056"/>
      <c r="CL93" s="1056"/>
      <c r="CM93" s="1056"/>
      <c r="CN93" s="1056"/>
      <c r="CO93" s="1056"/>
      <c r="CP93" s="1056"/>
      <c r="CQ93" s="1056"/>
      <c r="CR93" s="1056"/>
      <c r="CS93" s="1056"/>
      <c r="CT93" s="1056"/>
      <c r="CU93" s="1056"/>
      <c r="CV93" s="1056"/>
      <c r="CW93" s="1056"/>
      <c r="CX93" s="1056"/>
      <c r="CY93" s="1056"/>
      <c r="CZ93" s="1056"/>
      <c r="DA93" s="1056"/>
      <c r="DB93" s="1056"/>
      <c r="DC93" s="1056"/>
      <c r="DD93" s="1056"/>
      <c r="DE93" s="1056"/>
      <c r="DF93" s="1056"/>
      <c r="DG93" s="1056"/>
      <c r="DH93" s="1056"/>
      <c r="DI93" s="1056"/>
      <c r="DJ93" s="1056"/>
      <c r="DK93" s="1056"/>
      <c r="DL93" s="1056"/>
      <c r="DM93" s="1056"/>
      <c r="DN93" s="1056"/>
      <c r="DO93" s="1056"/>
      <c r="DP93" s="1056"/>
      <c r="DQ93" s="1056"/>
      <c r="DR93" s="1056"/>
      <c r="DS93" s="1056"/>
      <c r="DT93" s="1056"/>
      <c r="DU93" s="1056"/>
      <c r="DV93" s="1056"/>
      <c r="DW93" s="1056"/>
      <c r="DX93" s="1056"/>
      <c r="DY93" s="1056"/>
      <c r="DZ93" s="1056"/>
      <c r="EA93" s="1056"/>
      <c r="EB93" s="1056"/>
      <c r="EC93" s="1056"/>
      <c r="ED93" s="1056"/>
      <c r="EE93" s="1056"/>
      <c r="EF93" s="1056"/>
      <c r="EG93" s="1056"/>
      <c r="EH93" s="1056"/>
      <c r="EI93" s="1056"/>
      <c r="EJ93" s="1056"/>
      <c r="EK93" s="1056"/>
      <c r="EL93" s="1056"/>
      <c r="EM93" s="1056"/>
      <c r="EN93" s="1056"/>
      <c r="EO93" s="1056"/>
      <c r="EP93" s="1056"/>
      <c r="EQ93" s="1056"/>
      <c r="ER93" s="1056"/>
      <c r="ES93" s="1056"/>
      <c r="ET93" s="1056"/>
      <c r="EU93" s="1056"/>
      <c r="EV93" s="1056"/>
      <c r="EW93" s="1056"/>
      <c r="EX93" s="1056"/>
      <c r="EY93" s="1056"/>
      <c r="EZ93" s="1056"/>
      <c r="FA93" s="1056"/>
      <c r="FB93" s="1056"/>
      <c r="FC93" s="1056"/>
      <c r="FD93" s="1056"/>
      <c r="FE93" s="1056"/>
      <c r="FF93" s="1056"/>
      <c r="FG93" s="1056"/>
      <c r="FH93" s="1056"/>
      <c r="FI93" s="1056"/>
      <c r="FJ93" s="1056"/>
      <c r="FK93" s="1056"/>
      <c r="FL93" s="1056"/>
      <c r="FM93" s="1056"/>
      <c r="FN93" s="1056"/>
      <c r="FO93" s="1056"/>
      <c r="FP93" s="1056"/>
      <c r="FQ93" s="1056"/>
      <c r="FR93" s="1056"/>
      <c r="FS93" s="1056"/>
      <c r="FT93" s="1056"/>
      <c r="FU93" s="1056"/>
      <c r="FV93" s="1056"/>
      <c r="FW93" s="1056"/>
      <c r="FX93" s="1056"/>
      <c r="FY93" s="1056"/>
      <c r="FZ93" s="1056"/>
      <c r="GA93" s="1056"/>
      <c r="GB93" s="1056"/>
      <c r="GC93" s="1056"/>
      <c r="GD93" s="1056"/>
      <c r="GE93" s="1056"/>
      <c r="GF93" s="1056"/>
      <c r="GG93" s="1056"/>
      <c r="GH93" s="1056"/>
      <c r="GI93" s="1056"/>
      <c r="GJ93" s="1056"/>
      <c r="GK93" s="1056"/>
      <c r="GL93" s="1056"/>
      <c r="GM93" s="1056"/>
      <c r="GN93" s="1056"/>
      <c r="GO93" s="1056"/>
      <c r="GP93" s="1056"/>
      <c r="GQ93" s="1056"/>
      <c r="GR93" s="1056"/>
      <c r="GS93" s="1056"/>
      <c r="GT93" s="1056"/>
      <c r="GU93" s="1056"/>
      <c r="GV93" s="1056"/>
      <c r="GW93" s="1056"/>
      <c r="GX93" s="1056"/>
      <c r="GY93" s="1056"/>
      <c r="GZ93" s="1056"/>
      <c r="HA93" s="1056"/>
      <c r="HB93" s="1056"/>
      <c r="HC93" s="1056"/>
      <c r="HD93" s="1056"/>
      <c r="HE93" s="1056"/>
      <c r="HF93" s="1056"/>
      <c r="HG93" s="1056"/>
      <c r="HH93" s="1056"/>
      <c r="HI93" s="1056"/>
      <c r="HJ93" s="1056"/>
      <c r="HK93" s="1056"/>
      <c r="HL93" s="1056"/>
      <c r="HM93" s="1056"/>
      <c r="HN93" s="1056"/>
      <c r="HO93" s="1056"/>
      <c r="HP93" s="1056"/>
      <c r="HQ93" s="1056"/>
      <c r="HR93" s="1056"/>
      <c r="HS93" s="1056"/>
      <c r="HT93" s="1056"/>
      <c r="HU93" s="1056"/>
      <c r="HV93" s="1056"/>
      <c r="HW93" s="1056"/>
      <c r="HX93" s="1056"/>
      <c r="HY93" s="1056"/>
      <c r="HZ93" s="1056"/>
      <c r="IA93" s="1056"/>
      <c r="IB93" s="1056"/>
      <c r="IC93" s="1056"/>
      <c r="ID93" s="1056"/>
      <c r="IE93" s="1056"/>
      <c r="IF93" s="1056"/>
      <c r="IG93" s="1056"/>
      <c r="IH93" s="1056"/>
      <c r="II93" s="1056"/>
      <c r="IJ93" s="1056"/>
      <c r="IK93" s="1056"/>
      <c r="IL93" s="1056"/>
      <c r="IM93" s="1056"/>
      <c r="IN93" s="1056"/>
      <c r="IO93" s="1056"/>
      <c r="IP93" s="1056"/>
      <c r="IQ93" s="1056"/>
      <c r="IR93" s="1056"/>
      <c r="IS93" s="1056"/>
      <c r="IT93" s="1056"/>
      <c r="IU93" s="1056"/>
      <c r="IV93" s="1056"/>
      <c r="IW93" s="1056"/>
      <c r="IX93" s="1056"/>
      <c r="IY93" s="1056"/>
      <c r="IZ93" s="1056"/>
      <c r="JA93" s="1056"/>
      <c r="JB93" s="1056"/>
      <c r="JC93" s="1056"/>
      <c r="JD93" s="1056"/>
      <c r="JE93" s="1056"/>
      <c r="JF93" s="1056"/>
      <c r="JG93" s="1056"/>
      <c r="JH93" s="1056"/>
      <c r="JI93" s="1056"/>
      <c r="JJ93" s="1056"/>
      <c r="JK93" s="1056"/>
      <c r="JL93" s="1056"/>
      <c r="JM93" s="1056"/>
      <c r="JN93" s="1056"/>
      <c r="JO93" s="1056"/>
      <c r="JP93" s="1056"/>
      <c r="JQ93" s="1056"/>
      <c r="JR93" s="1056"/>
      <c r="JS93" s="1056"/>
      <c r="JT93" s="1056"/>
      <c r="JU93" s="1056"/>
      <c r="JV93" s="1056"/>
      <c r="JW93" s="1056"/>
      <c r="JX93" s="1056"/>
      <c r="JY93" s="1056"/>
      <c r="JZ93" s="1056"/>
      <c r="KA93" s="1056"/>
      <c r="KB93" s="1056"/>
      <c r="KC93" s="1056"/>
      <c r="KD93" s="1056"/>
      <c r="KE93" s="1056"/>
      <c r="KF93" s="1056"/>
      <c r="KG93" s="1056"/>
      <c r="KH93" s="1056"/>
      <c r="KI93" s="1056"/>
      <c r="KJ93" s="1056"/>
      <c r="KK93" s="1056"/>
      <c r="KL93" s="1056"/>
      <c r="KM93" s="1056"/>
      <c r="KN93" s="1056"/>
      <c r="KO93" s="1056"/>
      <c r="KP93" s="1056"/>
      <c r="KQ93" s="1056"/>
      <c r="KR93" s="1056"/>
      <c r="KS93" s="1056"/>
      <c r="KT93" s="1056"/>
      <c r="KU93" s="1056"/>
      <c r="KV93" s="1056"/>
      <c r="KW93" s="1056"/>
      <c r="KX93" s="1056"/>
      <c r="KY93" s="1056"/>
      <c r="KZ93" s="1056"/>
      <c r="LA93" s="1056"/>
      <c r="LB93" s="1056"/>
      <c r="LC93" s="1056"/>
      <c r="LD93" s="1056"/>
      <c r="LE93" s="1056"/>
      <c r="LF93" s="1056"/>
      <c r="LG93" s="1056"/>
      <c r="LH93" s="1056"/>
      <c r="LI93" s="1056"/>
      <c r="LJ93" s="1056"/>
      <c r="LK93" s="1056"/>
      <c r="LL93" s="1056"/>
      <c r="LM93" s="1056"/>
      <c r="LN93" s="1056"/>
      <c r="LO93" s="1056"/>
      <c r="LP93" s="1056"/>
      <c r="LQ93" s="1056"/>
      <c r="LR93" s="1056"/>
      <c r="LS93" s="1056"/>
      <c r="LT93" s="1056"/>
      <c r="LU93" s="1056"/>
      <c r="LV93" s="1056"/>
      <c r="LW93" s="1056"/>
      <c r="LX93" s="1056"/>
      <c r="LY93" s="1056"/>
      <c r="LZ93" s="1056"/>
      <c r="MA93" s="1056"/>
      <c r="MB93" s="1056"/>
      <c r="MC93" s="1056"/>
      <c r="MD93" s="1056"/>
      <c r="ME93" s="1056"/>
      <c r="MF93" s="1056"/>
      <c r="MG93" s="1056"/>
      <c r="MH93" s="1056"/>
      <c r="MI93" s="1056"/>
      <c r="MJ93" s="1056"/>
      <c r="MK93" s="1056"/>
      <c r="ML93" s="1056"/>
      <c r="MM93" s="1056"/>
      <c r="MN93" s="1056"/>
      <c r="MO93" s="1056"/>
      <c r="MP93" s="1056"/>
      <c r="MQ93" s="1056"/>
      <c r="MR93" s="1056"/>
      <c r="MS93" s="1056"/>
      <c r="MT93" s="1056"/>
      <c r="MU93" s="1056"/>
      <c r="MV93" s="1056"/>
      <c r="MW93" s="1056"/>
      <c r="MX93" s="1056"/>
      <c r="MY93" s="1056"/>
      <c r="MZ93" s="1056"/>
      <c r="NA93" s="1056"/>
      <c r="NB93" s="1056"/>
      <c r="NC93" s="1056"/>
      <c r="ND93" s="1056"/>
      <c r="NE93" s="1056"/>
      <c r="NF93" s="1056"/>
      <c r="NG93" s="1056"/>
      <c r="NH93" s="1056"/>
      <c r="NI93" s="1056"/>
      <c r="NJ93" s="1056"/>
      <c r="NK93" s="1056"/>
      <c r="NL93" s="1056"/>
      <c r="NM93" s="1056"/>
      <c r="NN93" s="1056"/>
      <c r="NO93" s="1056"/>
      <c r="NP93" s="1056"/>
      <c r="NQ93" s="1056"/>
      <c r="NR93" s="1056"/>
      <c r="NS93" s="1056"/>
      <c r="NT93" s="1056"/>
      <c r="NU93" s="1056"/>
      <c r="NV93" s="1056"/>
      <c r="NW93" s="1056"/>
      <c r="NX93" s="1056"/>
      <c r="NY93" s="1056"/>
      <c r="NZ93" s="1056"/>
      <c r="OA93" s="1056"/>
      <c r="OB93" s="1056"/>
      <c r="OC93" s="1056"/>
      <c r="OD93" s="1056"/>
      <c r="OE93" s="1056"/>
      <c r="OF93" s="1056"/>
      <c r="OG93" s="1056"/>
      <c r="OH93" s="1056"/>
      <c r="OI93" s="1056"/>
      <c r="OJ93" s="1056"/>
      <c r="OK93" s="1056"/>
      <c r="OL93" s="1056"/>
      <c r="OM93" s="1056"/>
      <c r="ON93" s="1056"/>
      <c r="OO93" s="1056"/>
      <c r="OP93" s="1056"/>
      <c r="OQ93" s="1056"/>
      <c r="OR93" s="1056"/>
      <c r="OS93" s="1056"/>
      <c r="OT93" s="1056"/>
      <c r="OU93" s="1056"/>
      <c r="OV93" s="1056"/>
      <c r="OW93" s="1056"/>
      <c r="OX93" s="1056"/>
      <c r="OY93" s="1056"/>
      <c r="OZ93" s="1056"/>
      <c r="PA93" s="1056"/>
      <c r="PB93" s="1056"/>
      <c r="PC93" s="1056"/>
      <c r="PD93" s="1056"/>
      <c r="PE93" s="1056"/>
      <c r="PF93" s="1056"/>
      <c r="PG93" s="1056"/>
      <c r="PH93" s="1056"/>
      <c r="PI93" s="1056"/>
      <c r="PJ93" s="1056"/>
      <c r="PK93" s="1056"/>
      <c r="PL93" s="1056"/>
      <c r="PM93" s="1056"/>
      <c r="PN93" s="1056"/>
      <c r="PO93" s="1056"/>
      <c r="PP93" s="1056"/>
      <c r="PQ93" s="1056"/>
      <c r="PR93" s="1056"/>
      <c r="PS93" s="1056"/>
      <c r="PT93" s="1056"/>
      <c r="PU93" s="1056"/>
      <c r="PV93" s="1056"/>
      <c r="PW93" s="1056"/>
      <c r="PX93" s="1056"/>
      <c r="PY93" s="1056"/>
      <c r="PZ93" s="1056"/>
      <c r="QA93" s="1056"/>
      <c r="QB93" s="1056"/>
      <c r="QC93" s="1056"/>
      <c r="QD93" s="1056"/>
      <c r="QE93" s="1056"/>
      <c r="QF93" s="1056"/>
      <c r="QG93" s="1056"/>
      <c r="QH93" s="1056"/>
      <c r="QI93" s="1056"/>
      <c r="QJ93" s="1056"/>
      <c r="QK93" s="1056"/>
      <c r="QL93" s="1056"/>
      <c r="QM93" s="1056"/>
      <c r="QN93" s="1056"/>
      <c r="QO93" s="1056"/>
      <c r="QP93" s="1056"/>
      <c r="QQ93" s="1056"/>
      <c r="QR93" s="1056"/>
      <c r="QS93" s="1056"/>
      <c r="QT93" s="1056"/>
      <c r="QU93" s="1056"/>
      <c r="QV93" s="1056"/>
      <c r="QW93" s="1056"/>
      <c r="QX93" s="1056"/>
      <c r="QY93" s="1056"/>
      <c r="QZ93" s="1056"/>
      <c r="RA93" s="1056"/>
      <c r="RB93" s="1056"/>
      <c r="RC93" s="1056"/>
      <c r="RD93" s="1056"/>
      <c r="RE93" s="1056"/>
      <c r="RF93" s="1056"/>
      <c r="RG93" s="1056"/>
      <c r="RH93" s="1056"/>
      <c r="RI93" s="1056"/>
      <c r="RJ93" s="1056"/>
      <c r="RK93" s="1056"/>
      <c r="RL93" s="1056"/>
      <c r="RM93" s="1056"/>
      <c r="RN93" s="1056"/>
      <c r="RO93" s="1056"/>
      <c r="RP93" s="1056"/>
      <c r="RQ93" s="1056"/>
      <c r="RR93" s="1056"/>
      <c r="RS93" s="1056"/>
      <c r="RT93" s="1056"/>
      <c r="RU93" s="1056"/>
      <c r="RV93" s="1056"/>
      <c r="RW93" s="1056"/>
      <c r="RX93" s="1056"/>
      <c r="RY93" s="1056"/>
      <c r="RZ93" s="1056"/>
      <c r="SA93" s="1056"/>
      <c r="SB93" s="1056"/>
      <c r="SC93" s="1056"/>
      <c r="SD93" s="1056"/>
      <c r="SE93" s="1056"/>
      <c r="SF93" s="1056"/>
      <c r="SG93" s="1056"/>
      <c r="SH93" s="1056"/>
      <c r="SI93" s="1056"/>
      <c r="SJ93" s="1056"/>
      <c r="SK93" s="1056"/>
      <c r="SL93" s="1056"/>
      <c r="SM93" s="1056"/>
      <c r="SN93" s="1056"/>
      <c r="SO93" s="1056"/>
      <c r="SP93" s="1056"/>
      <c r="SQ93" s="1056"/>
      <c r="SR93" s="1056"/>
      <c r="SS93" s="1056"/>
      <c r="ST93" s="1056"/>
      <c r="SU93" s="1056"/>
      <c r="SV93" s="1056"/>
      <c r="SW93" s="1056"/>
      <c r="SX93" s="1056"/>
      <c r="SY93" s="1056"/>
      <c r="SZ93" s="1056"/>
      <c r="TA93" s="1056"/>
      <c r="TB93" s="1056"/>
      <c r="TC93" s="1056"/>
      <c r="TD93" s="1056"/>
      <c r="TE93" s="1056"/>
      <c r="TF93" s="1056"/>
      <c r="TG93" s="1056"/>
      <c r="TH93" s="1056"/>
      <c r="TI93" s="1056"/>
      <c r="TJ93" s="1056"/>
      <c r="TK93" s="1056"/>
      <c r="TL93" s="1056"/>
      <c r="TM93" s="1056"/>
      <c r="TN93" s="1056"/>
      <c r="TO93" s="1056"/>
      <c r="TP93" s="1056"/>
      <c r="TQ93" s="1056"/>
      <c r="TR93" s="1056"/>
      <c r="TS93" s="1056"/>
      <c r="TT93" s="1056"/>
      <c r="TU93" s="1056"/>
      <c r="TV93" s="1056"/>
      <c r="TW93" s="1056"/>
      <c r="TX93" s="1056"/>
      <c r="TY93" s="1056"/>
      <c r="TZ93" s="1056"/>
      <c r="UA93" s="1056"/>
      <c r="UB93" s="1056"/>
      <c r="UC93" s="1056"/>
      <c r="UD93" s="1056"/>
      <c r="UE93" s="1056"/>
      <c r="UF93" s="1056"/>
      <c r="UG93" s="1056"/>
      <c r="UH93" s="1056"/>
      <c r="UI93" s="1056"/>
      <c r="UJ93" s="1056"/>
      <c r="UK93" s="1056"/>
      <c r="UL93" s="1056"/>
      <c r="UM93" s="1056"/>
      <c r="UN93" s="1056"/>
      <c r="UO93" s="1056"/>
      <c r="UP93" s="1056"/>
      <c r="UQ93" s="1056"/>
      <c r="UR93" s="1056"/>
      <c r="US93" s="1056"/>
      <c r="UT93" s="1056"/>
      <c r="UU93" s="1056"/>
      <c r="UV93" s="1056"/>
      <c r="UW93" s="1056"/>
      <c r="UX93" s="1056"/>
      <c r="UY93" s="1056"/>
      <c r="UZ93" s="1056"/>
      <c r="VA93" s="1056"/>
      <c r="VB93" s="1056"/>
      <c r="VC93" s="1056"/>
      <c r="VD93" s="1056"/>
      <c r="VE93" s="1056"/>
      <c r="VF93" s="1056"/>
      <c r="VG93" s="1056"/>
      <c r="VH93" s="1056"/>
      <c r="VI93" s="1056"/>
      <c r="VJ93" s="1056"/>
      <c r="VK93" s="1056"/>
      <c r="VL93" s="1056"/>
      <c r="VM93" s="1056"/>
      <c r="VN93" s="1056"/>
      <c r="VO93" s="1056"/>
      <c r="VP93" s="1056"/>
      <c r="VQ93" s="1056"/>
      <c r="VR93" s="1056"/>
      <c r="VS93" s="1056"/>
      <c r="VT93" s="1056"/>
      <c r="VU93" s="1056"/>
      <c r="VV93" s="1056"/>
      <c r="VW93" s="1056"/>
      <c r="VX93" s="1056"/>
      <c r="VY93" s="1056"/>
      <c r="VZ93" s="1056"/>
      <c r="WA93" s="1056"/>
      <c r="WB93" s="1056"/>
      <c r="WC93" s="1056"/>
      <c r="WD93" s="1056"/>
      <c r="WE93" s="1056"/>
      <c r="WF93" s="1056"/>
      <c r="WG93" s="1056"/>
      <c r="WH93" s="1056"/>
      <c r="WI93" s="1056"/>
      <c r="WJ93" s="1056"/>
      <c r="WK93" s="1056"/>
      <c r="WL93" s="1056"/>
      <c r="WM93" s="1056"/>
      <c r="WN93" s="1056"/>
      <c r="WO93" s="1056"/>
      <c r="WP93" s="1056"/>
      <c r="WQ93" s="1056"/>
      <c r="WR93" s="1056"/>
      <c r="WS93" s="1056"/>
      <c r="WT93" s="1056"/>
      <c r="WU93" s="1056"/>
      <c r="WV93" s="1056"/>
      <c r="WW93" s="1056"/>
      <c r="WX93" s="1056"/>
      <c r="WY93" s="1056"/>
      <c r="WZ93" s="1056"/>
      <c r="XA93" s="1056"/>
      <c r="XB93" s="1056"/>
      <c r="XC93" s="1056"/>
      <c r="XD93" s="1056"/>
      <c r="XE93" s="1056"/>
      <c r="XF93" s="1056"/>
      <c r="XG93" s="1056"/>
      <c r="XH93" s="1056"/>
      <c r="XI93" s="1056"/>
      <c r="XJ93" s="1056"/>
      <c r="XK93" s="1056"/>
      <c r="XL93" s="1056"/>
      <c r="XM93" s="1056"/>
      <c r="XN93" s="1056"/>
      <c r="XO93" s="1056"/>
      <c r="XP93" s="1056"/>
      <c r="XQ93" s="1056"/>
      <c r="XR93" s="1056"/>
      <c r="XS93" s="1056"/>
      <c r="XT93" s="1056"/>
      <c r="XU93" s="1056"/>
      <c r="XV93" s="1056"/>
      <c r="XW93" s="1056"/>
      <c r="XX93" s="1056"/>
      <c r="XY93" s="1056"/>
      <c r="XZ93" s="1056"/>
      <c r="YA93" s="1056"/>
      <c r="YB93" s="1056"/>
      <c r="YC93" s="1056"/>
      <c r="YD93" s="1056"/>
      <c r="YE93" s="1056"/>
      <c r="YF93" s="1056"/>
      <c r="YG93" s="1056"/>
      <c r="YH93" s="1056"/>
      <c r="YI93" s="1056"/>
      <c r="YJ93" s="1056"/>
      <c r="YK93" s="1056"/>
      <c r="YL93" s="1056"/>
      <c r="YM93" s="1056"/>
      <c r="YN93" s="1056"/>
      <c r="YO93" s="1056"/>
      <c r="YP93" s="1056"/>
      <c r="YQ93" s="1056"/>
      <c r="YR93" s="1056"/>
      <c r="YS93" s="1056"/>
      <c r="YT93" s="1056"/>
      <c r="YU93" s="1056"/>
      <c r="YV93" s="1056"/>
      <c r="YW93" s="1056"/>
      <c r="YX93" s="1056"/>
      <c r="YY93" s="1056"/>
      <c r="YZ93" s="1056"/>
      <c r="ZA93" s="1056"/>
      <c r="ZB93" s="1056"/>
      <c r="ZC93" s="1056"/>
      <c r="ZD93" s="1056"/>
      <c r="ZE93" s="1056"/>
      <c r="ZF93" s="1056"/>
      <c r="ZG93" s="1056"/>
      <c r="ZH93" s="1056"/>
      <c r="ZI93" s="1056"/>
      <c r="ZJ93" s="1056"/>
      <c r="ZK93" s="1056"/>
      <c r="ZL93" s="1056"/>
      <c r="ZM93" s="1056"/>
      <c r="ZN93" s="1056"/>
      <c r="ZO93" s="1056"/>
      <c r="ZP93" s="1056"/>
      <c r="ZQ93" s="1056"/>
      <c r="ZR93" s="1056"/>
      <c r="ZS93" s="1056"/>
      <c r="ZT93" s="1056"/>
      <c r="ZU93" s="1056"/>
      <c r="ZV93" s="1056"/>
      <c r="ZW93" s="1056"/>
      <c r="ZX93" s="1056"/>
      <c r="ZY93" s="1056"/>
      <c r="ZZ93" s="1056"/>
      <c r="AAA93" s="1056"/>
      <c r="AAB93" s="1056"/>
      <c r="AAC93" s="1056"/>
      <c r="AAD93" s="1056"/>
      <c r="AAE93" s="1056"/>
      <c r="AAF93" s="1056"/>
      <c r="AAG93" s="1056"/>
      <c r="AAH93" s="1056"/>
      <c r="AAI93" s="1056"/>
      <c r="AAJ93" s="1056"/>
      <c r="AAK93" s="1056"/>
      <c r="AAL93" s="1056"/>
      <c r="AAM93" s="1056"/>
      <c r="AAN93" s="1056"/>
      <c r="AAO93" s="1056"/>
      <c r="AAP93" s="1056"/>
      <c r="AAQ93" s="1056"/>
      <c r="AAR93" s="1056"/>
      <c r="AAS93" s="1056"/>
      <c r="AAT93" s="1056"/>
      <c r="AAU93" s="1056"/>
      <c r="AAV93" s="1056"/>
      <c r="AAW93" s="1056"/>
      <c r="AAX93" s="1056"/>
      <c r="AAY93" s="1056"/>
      <c r="AAZ93" s="1056"/>
      <c r="ABA93" s="1056"/>
      <c r="ABB93" s="1056"/>
      <c r="ABC93" s="1056"/>
      <c r="ABD93" s="1056"/>
      <c r="ABE93" s="1056"/>
      <c r="ABF93" s="1056"/>
      <c r="ABG93" s="1056"/>
      <c r="ABH93" s="1056"/>
      <c r="ABI93" s="1056"/>
      <c r="ABJ93" s="1056"/>
      <c r="ABK93" s="1056"/>
      <c r="ABL93" s="1056"/>
      <c r="ABM93" s="1056"/>
      <c r="ABN93" s="1056"/>
      <c r="ABO93" s="1056"/>
      <c r="ABP93" s="1056"/>
      <c r="ABQ93" s="1056"/>
      <c r="ABR93" s="1056"/>
      <c r="ABS93" s="1056"/>
      <c r="ABT93" s="1056"/>
      <c r="ABU93" s="1056"/>
      <c r="ABV93" s="1056"/>
      <c r="ABW93" s="1056"/>
      <c r="ABX93" s="1056"/>
      <c r="ABY93" s="1056"/>
      <c r="ABZ93" s="1056"/>
      <c r="ACA93" s="1056"/>
      <c r="ACB93" s="1056"/>
      <c r="ACC93" s="1056"/>
      <c r="ACD93" s="1056"/>
      <c r="ACE93" s="1056"/>
      <c r="ACF93" s="1056"/>
      <c r="ACG93" s="1056"/>
      <c r="ACH93" s="1056"/>
      <c r="ACI93" s="1056"/>
      <c r="ACJ93" s="1056"/>
      <c r="ACK93" s="1056"/>
      <c r="ACL93" s="1056"/>
      <c r="ACM93" s="1056"/>
      <c r="ACN93" s="1056"/>
      <c r="ACO93" s="1056"/>
      <c r="ACP93" s="1056"/>
      <c r="ACQ93" s="1056"/>
      <c r="ACR93" s="1056"/>
      <c r="ACS93" s="1056"/>
      <c r="ACT93" s="1056"/>
      <c r="ACU93" s="1056"/>
      <c r="ACV93" s="1056"/>
      <c r="ACW93" s="1056"/>
      <c r="ACX93" s="1056"/>
      <c r="ACY93" s="1056"/>
      <c r="ACZ93" s="1056"/>
      <c r="ADA93" s="1056"/>
      <c r="ADB93" s="1056"/>
      <c r="ADC93" s="1056"/>
      <c r="ADD93" s="1056"/>
      <c r="ADE93" s="1056"/>
      <c r="ADF93" s="1056"/>
      <c r="ADG93" s="1056"/>
      <c r="ADH93" s="1056"/>
      <c r="ADI93" s="1056"/>
      <c r="ADJ93" s="1056"/>
      <c r="ADK93" s="1056"/>
      <c r="ADL93" s="1056"/>
      <c r="ADM93" s="1056"/>
      <c r="ADN93" s="1056"/>
      <c r="ADO93" s="1056"/>
      <c r="ADP93" s="1056"/>
      <c r="ADQ93" s="1056"/>
      <c r="ADR93" s="1056"/>
      <c r="ADS93" s="1056"/>
      <c r="ADT93" s="1056"/>
      <c r="ADU93" s="1056"/>
      <c r="ADV93" s="1056"/>
      <c r="ADW93" s="1056"/>
      <c r="ADX93" s="1056"/>
      <c r="ADY93" s="1056"/>
      <c r="ADZ93" s="1056"/>
      <c r="AEA93" s="1056"/>
      <c r="AEB93" s="1056"/>
      <c r="AEC93" s="1056"/>
      <c r="AED93" s="1056"/>
      <c r="AEE93" s="1056"/>
      <c r="AEF93" s="1056"/>
      <c r="AEG93" s="1056"/>
      <c r="AEH93" s="1056"/>
      <c r="AEI93" s="1056"/>
      <c r="AEJ93" s="1056"/>
      <c r="AEK93" s="1056"/>
      <c r="AEL93" s="1056"/>
      <c r="AEM93" s="1056"/>
      <c r="AEN93" s="1056"/>
      <c r="AEO93" s="1056"/>
      <c r="AEP93" s="1056"/>
      <c r="AEQ93" s="1056"/>
      <c r="AER93" s="1056"/>
      <c r="AES93" s="1056"/>
      <c r="AET93" s="1056"/>
      <c r="AEU93" s="1056"/>
      <c r="AEV93" s="1056"/>
      <c r="AEW93" s="1056"/>
      <c r="AEX93" s="1056"/>
      <c r="AEY93" s="1056"/>
      <c r="AEZ93" s="1056"/>
      <c r="AFA93" s="1056"/>
      <c r="AFB93" s="1056"/>
      <c r="AFC93" s="1056"/>
      <c r="AFD93" s="1056"/>
      <c r="AFE93" s="1056"/>
      <c r="AFF93" s="1056"/>
      <c r="AFG93" s="1056"/>
      <c r="AFH93" s="1056"/>
      <c r="AFI93" s="1056"/>
      <c r="AFJ93" s="1056"/>
      <c r="AFK93" s="1056"/>
      <c r="AFL93" s="1056"/>
      <c r="AFM93" s="1056"/>
      <c r="AFN93" s="1056"/>
      <c r="AFO93" s="1056"/>
      <c r="AFP93" s="1056"/>
      <c r="AFQ93" s="1056"/>
      <c r="AFR93" s="1056"/>
      <c r="AFS93" s="1056"/>
      <c r="AFT93" s="1056"/>
      <c r="AFU93" s="1056"/>
      <c r="AFV93" s="1056"/>
      <c r="AFW93" s="1056"/>
      <c r="AFX93" s="1056"/>
      <c r="AFY93" s="1056"/>
      <c r="AFZ93" s="1056"/>
      <c r="AGA93" s="1056"/>
      <c r="AGB93" s="1056"/>
      <c r="AGC93" s="1056"/>
      <c r="AGD93" s="1056"/>
      <c r="AGE93" s="1056"/>
      <c r="AGF93" s="1056"/>
      <c r="AGG93" s="1056"/>
      <c r="AGH93" s="1056"/>
      <c r="AGI93" s="1056"/>
      <c r="AGJ93" s="1056"/>
      <c r="AGK93" s="1056"/>
      <c r="AGL93" s="1056"/>
      <c r="AGM93" s="1056"/>
      <c r="AGN93" s="1056"/>
      <c r="AGO93" s="1056"/>
      <c r="AGP93" s="1056"/>
      <c r="AGQ93" s="1056"/>
      <c r="AGR93" s="1056"/>
      <c r="AGS93" s="1056"/>
      <c r="AGT93" s="1056"/>
      <c r="AGU93" s="1056"/>
      <c r="AGV93" s="1056"/>
      <c r="AGW93" s="1056"/>
      <c r="AGX93" s="1056"/>
      <c r="AGY93" s="1056"/>
      <c r="AGZ93" s="1056"/>
      <c r="AHA93" s="1056"/>
      <c r="AHB93" s="1056"/>
      <c r="AHC93" s="1056"/>
      <c r="AHD93" s="1056"/>
      <c r="AHE93" s="1056"/>
      <c r="AHF93" s="1056"/>
      <c r="AHG93" s="1056"/>
      <c r="AHH93" s="1056"/>
      <c r="AHI93" s="1056"/>
      <c r="AHJ93" s="1056"/>
      <c r="AHK93" s="1056"/>
      <c r="AHL93" s="1056"/>
      <c r="AHM93" s="1056"/>
      <c r="AHN93" s="1056"/>
      <c r="AHO93" s="1056"/>
      <c r="AHP93" s="1056"/>
      <c r="AHQ93" s="1056"/>
      <c r="AHR93" s="1056"/>
      <c r="AHS93" s="1056"/>
      <c r="AHT93" s="1056"/>
      <c r="AHU93" s="1056"/>
      <c r="AHV93" s="1056"/>
      <c r="AHW93" s="1056"/>
      <c r="AHX93" s="1056"/>
      <c r="AHY93" s="1056"/>
      <c r="AHZ93" s="1056"/>
      <c r="AIA93" s="1056"/>
      <c r="AIB93" s="1056"/>
      <c r="AIC93" s="1056"/>
      <c r="AID93" s="1056"/>
      <c r="AIE93" s="1056"/>
      <c r="AIF93" s="1056"/>
      <c r="AIG93" s="1056"/>
      <c r="AIH93" s="1056"/>
      <c r="AII93" s="1056"/>
      <c r="AIJ93" s="1056"/>
      <c r="AIK93" s="1056"/>
      <c r="AIL93" s="1056"/>
      <c r="AIM93" s="1056"/>
      <c r="AIN93" s="1056"/>
      <c r="AIO93" s="1056"/>
      <c r="AIP93" s="1056"/>
      <c r="AIQ93" s="1056"/>
      <c r="AIR93" s="1056"/>
      <c r="AIS93" s="1056"/>
      <c r="AIT93" s="1056"/>
      <c r="AIU93" s="1056"/>
      <c r="AIV93" s="1056"/>
      <c r="AIW93" s="1056"/>
      <c r="AIX93" s="1056"/>
      <c r="AIY93" s="1056"/>
      <c r="AIZ93" s="1056"/>
      <c r="AJA93" s="1056"/>
      <c r="AJB93" s="1056"/>
      <c r="AJC93" s="1056"/>
      <c r="AJD93" s="1056"/>
      <c r="AJE93" s="1056"/>
      <c r="AJF93" s="1056"/>
      <c r="AJG93" s="1056"/>
      <c r="AJH93" s="1056"/>
      <c r="AJI93" s="1056"/>
      <c r="AJJ93" s="1056"/>
      <c r="AJK93" s="1056"/>
      <c r="AJL93" s="1056"/>
      <c r="AJM93" s="1056"/>
      <c r="AJN93" s="1056"/>
      <c r="AJO93" s="1056"/>
      <c r="AJP93" s="1056"/>
      <c r="AJQ93" s="1056"/>
      <c r="AJR93" s="1056"/>
      <c r="AJS93" s="1056"/>
      <c r="AJT93" s="1056"/>
      <c r="AJU93" s="1056"/>
      <c r="AJV93" s="1056"/>
      <c r="AJW93" s="1056"/>
      <c r="AJX93" s="1056"/>
      <c r="AJY93" s="1056"/>
      <c r="AJZ93" s="1056"/>
      <c r="AKA93" s="1056"/>
      <c r="AKB93" s="1056"/>
      <c r="AKC93" s="1056"/>
      <c r="AKD93" s="1056"/>
      <c r="AKE93" s="1056"/>
      <c r="AKF93" s="1056"/>
      <c r="AKG93" s="1056"/>
      <c r="AKH93" s="1056"/>
      <c r="AKI93" s="1056"/>
      <c r="AKJ93" s="1056"/>
      <c r="AKK93" s="1056"/>
      <c r="AKL93" s="1056"/>
      <c r="AKM93" s="1056"/>
      <c r="AKN93" s="1056"/>
      <c r="AKO93" s="1056"/>
      <c r="AKP93" s="1056"/>
      <c r="AKQ93" s="1056"/>
      <c r="AKR93" s="1056"/>
      <c r="AKS93" s="1056"/>
      <c r="AKT93" s="1056"/>
      <c r="AKU93" s="1056"/>
      <c r="AKV93" s="1056"/>
      <c r="AKW93" s="1056"/>
      <c r="AKX93" s="1056"/>
      <c r="AKY93" s="1056"/>
      <c r="AKZ93" s="1056"/>
      <c r="ALA93" s="1056"/>
      <c r="ALB93" s="1056"/>
      <c r="ALC93" s="1056"/>
      <c r="ALD93" s="1056"/>
      <c r="ALE93" s="1056"/>
      <c r="ALF93" s="1056"/>
      <c r="ALG93" s="1056"/>
      <c r="ALH93" s="1056"/>
      <c r="ALI93" s="1056"/>
      <c r="ALJ93" s="1056"/>
      <c r="ALK93" s="1056"/>
      <c r="ALL93" s="1056"/>
      <c r="ALM93" s="1056"/>
      <c r="ALN93" s="1056"/>
      <c r="ALO93" s="1056"/>
      <c r="ALP93" s="1056"/>
      <c r="ALQ93" s="1056"/>
      <c r="ALR93" s="1056"/>
      <c r="ALS93" s="1056"/>
      <c r="ALT93" s="1056"/>
      <c r="ALU93" s="1056"/>
      <c r="ALV93" s="1056"/>
      <c r="ALW93" s="1056"/>
      <c r="ALX93" s="1056"/>
      <c r="ALY93" s="1056"/>
      <c r="ALZ93" s="1056"/>
      <c r="AMA93" s="1056"/>
      <c r="AMB93" s="1056"/>
      <c r="AMC93" s="1056"/>
      <c r="AMD93" s="1056"/>
      <c r="AME93" s="1056"/>
      <c r="AMF93" s="1056"/>
      <c r="AMG93" s="1056"/>
      <c r="AMH93" s="1056"/>
      <c r="AMI93" s="1056"/>
      <c r="AMJ93" s="1056"/>
      <c r="AMK93" s="1056"/>
      <c r="AML93" s="1056"/>
      <c r="AMM93" s="1056"/>
      <c r="AMN93" s="1056"/>
      <c r="AMO93" s="1056"/>
      <c r="AMP93" s="1056"/>
      <c r="AMQ93" s="1056"/>
      <c r="AMR93" s="1056"/>
      <c r="AMS93" s="1056"/>
      <c r="AMT93" s="1056"/>
      <c r="AMU93" s="1056"/>
      <c r="AMV93" s="1056"/>
      <c r="AMW93" s="1056"/>
      <c r="AMX93" s="1056"/>
      <c r="AMY93" s="1056"/>
      <c r="AMZ93" s="1056"/>
      <c r="ANA93" s="1056"/>
      <c r="ANB93" s="1056"/>
      <c r="ANC93" s="1056"/>
      <c r="AND93" s="1056"/>
      <c r="ANE93" s="1056"/>
      <c r="ANF93" s="1056"/>
      <c r="ANG93" s="1056"/>
      <c r="ANH93" s="1056"/>
      <c r="ANI93" s="1056"/>
      <c r="ANJ93" s="1056"/>
      <c r="ANK93" s="1056"/>
      <c r="ANL93" s="1056"/>
      <c r="ANM93" s="1056"/>
      <c r="ANN93" s="1056"/>
      <c r="ANO93" s="1056"/>
      <c r="ANP93" s="1056"/>
      <c r="ANQ93" s="1056"/>
      <c r="ANR93" s="1056"/>
      <c r="ANS93" s="1056"/>
      <c r="ANT93" s="1056"/>
      <c r="ANU93" s="1056"/>
      <c r="ANV93" s="1056"/>
      <c r="ANW93" s="1056"/>
      <c r="ANX93" s="1056"/>
      <c r="ANY93" s="1056"/>
      <c r="ANZ93" s="1056"/>
      <c r="AOA93" s="1056"/>
      <c r="AOB93" s="1056"/>
      <c r="AOC93" s="1056"/>
      <c r="AOD93" s="1056"/>
      <c r="AOE93" s="1056"/>
      <c r="AOF93" s="1056"/>
      <c r="AOG93" s="1056"/>
      <c r="AOH93" s="1056"/>
      <c r="AOI93" s="1056"/>
      <c r="AOJ93" s="1056"/>
      <c r="AOK93" s="1056"/>
      <c r="AOL93" s="1056"/>
      <c r="AOM93" s="1056"/>
      <c r="AON93" s="1056"/>
      <c r="AOO93" s="1056"/>
      <c r="AOP93" s="1056"/>
      <c r="AOQ93" s="1056"/>
      <c r="AOR93" s="1056"/>
      <c r="AOS93" s="1056"/>
      <c r="AOT93" s="1056"/>
      <c r="AOU93" s="1056"/>
      <c r="AOV93" s="1056"/>
      <c r="AOW93" s="1056"/>
      <c r="AOX93" s="1056"/>
      <c r="AOY93" s="1056"/>
      <c r="AOZ93" s="1056"/>
      <c r="APA93" s="1056"/>
      <c r="APB93" s="1056"/>
      <c r="APC93" s="1056"/>
      <c r="APD93" s="1056"/>
      <c r="APE93" s="1056"/>
      <c r="APF93" s="1056"/>
      <c r="APG93" s="1056"/>
      <c r="APH93" s="1056"/>
      <c r="API93" s="1056"/>
      <c r="APJ93" s="1056"/>
      <c r="APK93" s="1056"/>
      <c r="APL93" s="1056"/>
      <c r="APM93" s="1056"/>
      <c r="APN93" s="1056"/>
      <c r="APO93" s="1056"/>
      <c r="APP93" s="1056"/>
      <c r="APQ93" s="1056"/>
      <c r="APR93" s="1056"/>
      <c r="APS93" s="1056"/>
      <c r="APT93" s="1056"/>
      <c r="APU93" s="1056"/>
      <c r="APV93" s="1056"/>
      <c r="APW93" s="1056"/>
      <c r="APX93" s="1056"/>
      <c r="APY93" s="1056"/>
      <c r="APZ93" s="1056"/>
      <c r="AQA93" s="1056"/>
      <c r="AQB93" s="1056"/>
      <c r="AQC93" s="1056"/>
      <c r="AQD93" s="1056"/>
      <c r="AQE93" s="1056"/>
      <c r="AQF93" s="1056"/>
      <c r="AQG93" s="1056"/>
      <c r="AQH93" s="1056"/>
      <c r="AQI93" s="1056"/>
      <c r="AQJ93" s="1056"/>
      <c r="AQK93" s="1056"/>
      <c r="AQL93" s="1056"/>
      <c r="AQM93" s="1056"/>
      <c r="AQN93" s="1056"/>
      <c r="AQO93" s="1056"/>
      <c r="AQP93" s="1056"/>
      <c r="AQQ93" s="1056"/>
      <c r="AQR93" s="1056"/>
      <c r="AQS93" s="1056"/>
      <c r="AQT93" s="1056"/>
      <c r="AQU93" s="1056"/>
      <c r="AQV93" s="1056"/>
      <c r="AQW93" s="1056"/>
      <c r="AQX93" s="1056"/>
      <c r="AQY93" s="1056"/>
      <c r="AQZ93" s="1056"/>
      <c r="ARA93" s="1056"/>
      <c r="ARB93" s="1056"/>
      <c r="ARC93" s="1056"/>
      <c r="ARD93" s="1056"/>
      <c r="ARE93" s="1056"/>
      <c r="ARF93" s="1056"/>
      <c r="ARG93" s="1056"/>
      <c r="ARH93" s="1056"/>
      <c r="ARI93" s="1056"/>
      <c r="ARJ93" s="1056"/>
      <c r="ARK93" s="1056"/>
      <c r="ARL93" s="1056"/>
      <c r="ARM93" s="1056"/>
      <c r="ARN93" s="1056"/>
      <c r="ARO93" s="1056"/>
      <c r="ARP93" s="1056"/>
      <c r="ARQ93" s="1056"/>
      <c r="ARR93" s="1056"/>
      <c r="ARS93" s="1056"/>
      <c r="ART93" s="1056"/>
      <c r="ARU93" s="1056"/>
      <c r="ARV93" s="1056"/>
      <c r="ARW93" s="1056"/>
      <c r="ARX93" s="1056"/>
      <c r="ARY93" s="1056"/>
      <c r="ARZ93" s="1056"/>
      <c r="ASA93" s="1056"/>
      <c r="ASB93" s="1056"/>
      <c r="ASC93" s="1056"/>
      <c r="ASD93" s="1056"/>
      <c r="ASE93" s="1056"/>
      <c r="ASF93" s="1056"/>
      <c r="ASG93" s="1056"/>
      <c r="ASH93" s="1056"/>
      <c r="ASI93" s="1056"/>
      <c r="ASJ93" s="1056"/>
      <c r="ASK93" s="1056"/>
      <c r="ASL93" s="1056"/>
      <c r="ASM93" s="1056"/>
      <c r="ASN93" s="1056"/>
      <c r="ASO93" s="1056"/>
      <c r="ASP93" s="1056"/>
      <c r="ASQ93" s="1056"/>
      <c r="ASR93" s="1056"/>
      <c r="ASS93" s="1056"/>
      <c r="AST93" s="1056"/>
      <c r="ASU93" s="1056"/>
      <c r="ASV93" s="1056"/>
      <c r="ASW93" s="1056"/>
      <c r="ASX93" s="1056"/>
      <c r="ASY93" s="1056"/>
      <c r="ASZ93" s="1056"/>
      <c r="ATA93" s="1056"/>
      <c r="ATB93" s="1056"/>
      <c r="ATC93" s="1056"/>
      <c r="ATD93" s="1056"/>
      <c r="ATE93" s="1056"/>
      <c r="ATF93" s="1056"/>
      <c r="ATG93" s="1056"/>
      <c r="ATH93" s="1056"/>
      <c r="ATI93" s="1056"/>
      <c r="ATJ93" s="1056"/>
      <c r="ATK93" s="1056"/>
      <c r="ATL93" s="1056"/>
      <c r="ATM93" s="1056"/>
      <c r="ATN93" s="1056"/>
      <c r="ATO93" s="1056"/>
      <c r="ATP93" s="1056"/>
      <c r="ATQ93" s="1056"/>
      <c r="ATR93" s="1056"/>
      <c r="ATS93" s="1056"/>
      <c r="ATT93" s="1056"/>
      <c r="ATU93" s="1056"/>
      <c r="ATV93" s="1056"/>
      <c r="ATW93" s="1056"/>
      <c r="ATX93" s="1056"/>
      <c r="ATY93" s="1056"/>
      <c r="ATZ93" s="1056"/>
      <c r="AUA93" s="1056"/>
      <c r="AUB93" s="1056"/>
      <c r="AUC93" s="1056"/>
      <c r="AUD93" s="1056"/>
      <c r="AUE93" s="1056"/>
      <c r="AUF93" s="1056"/>
      <c r="AUG93" s="1056"/>
      <c r="AUH93" s="1056"/>
      <c r="AUI93" s="1056"/>
      <c r="AUJ93" s="1056"/>
      <c r="AUK93" s="1056"/>
      <c r="AUL93" s="1056"/>
      <c r="AUM93" s="1056"/>
      <c r="AUN93" s="1056"/>
      <c r="AUO93" s="1056"/>
      <c r="AUP93" s="1056"/>
      <c r="AUQ93" s="1056"/>
      <c r="AUR93" s="1056"/>
      <c r="AUS93" s="1056"/>
      <c r="AUT93" s="1056"/>
      <c r="AUU93" s="1056"/>
      <c r="AUV93" s="1056"/>
      <c r="AUW93" s="1056"/>
      <c r="AUX93" s="1056"/>
      <c r="AUY93" s="1056"/>
      <c r="AUZ93" s="1056"/>
      <c r="AVA93" s="1056"/>
      <c r="AVB93" s="1056"/>
      <c r="AVC93" s="1056"/>
      <c r="AVD93" s="1056"/>
      <c r="AVE93" s="1056"/>
      <c r="AVF93" s="1056"/>
      <c r="AVG93" s="1056"/>
      <c r="AVH93" s="1056"/>
      <c r="AVI93" s="1056"/>
      <c r="AVJ93" s="1056"/>
      <c r="AVK93" s="1056"/>
      <c r="AVL93" s="1056"/>
      <c r="AVM93" s="1056"/>
      <c r="AVN93" s="1056"/>
      <c r="AVO93" s="1056"/>
      <c r="AVP93" s="1056"/>
      <c r="AVQ93" s="1056"/>
      <c r="AVR93" s="1056"/>
      <c r="AVS93" s="1056"/>
      <c r="AVT93" s="1056"/>
      <c r="AVU93" s="1056"/>
      <c r="AVV93" s="1056"/>
      <c r="AVW93" s="1056"/>
      <c r="AVX93" s="1056"/>
      <c r="AVY93" s="1056"/>
      <c r="AVZ93" s="1056"/>
      <c r="AWA93" s="1056"/>
      <c r="AWB93" s="1056"/>
      <c r="AWC93" s="1056"/>
      <c r="AWD93" s="1056"/>
      <c r="AWE93" s="1056"/>
      <c r="AWF93" s="1056"/>
      <c r="AWG93" s="1056"/>
      <c r="AWH93" s="1056"/>
      <c r="AWI93" s="1056"/>
      <c r="AWJ93" s="1056"/>
      <c r="AWK93" s="1056"/>
      <c r="AWL93" s="1056"/>
      <c r="AWM93" s="1056"/>
      <c r="AWN93" s="1056"/>
      <c r="AWO93" s="1056"/>
      <c r="AWP93" s="1056"/>
      <c r="AWQ93" s="1056"/>
      <c r="AWR93" s="1056"/>
      <c r="AWS93" s="1056"/>
      <c r="AWT93" s="1056"/>
      <c r="AWU93" s="1056"/>
      <c r="AWV93" s="1056"/>
      <c r="AWW93" s="1056"/>
      <c r="AWX93" s="1056"/>
      <c r="AWY93" s="1056"/>
      <c r="AWZ93" s="1056"/>
      <c r="AXA93" s="1056"/>
      <c r="AXB93" s="1056"/>
      <c r="AXC93" s="1056"/>
      <c r="AXD93" s="1056"/>
      <c r="AXE93" s="1056"/>
      <c r="AXF93" s="1056"/>
      <c r="AXG93" s="1056"/>
      <c r="AXH93" s="1056"/>
      <c r="AXI93" s="1056"/>
      <c r="AXJ93" s="1056"/>
      <c r="AXK93" s="1056"/>
      <c r="AXL93" s="1056"/>
      <c r="AXM93" s="1056"/>
      <c r="AXN93" s="1056"/>
      <c r="AXO93" s="1056"/>
      <c r="AXP93" s="1056"/>
      <c r="AXQ93" s="1056"/>
      <c r="AXR93" s="1056"/>
      <c r="AXS93" s="1056"/>
      <c r="AXT93" s="1056"/>
      <c r="AXU93" s="1056"/>
      <c r="AXV93" s="1056"/>
      <c r="AXW93" s="1056"/>
      <c r="AXX93" s="1056"/>
      <c r="AXY93" s="1056"/>
      <c r="AXZ93" s="1056"/>
      <c r="AYA93" s="1056"/>
      <c r="AYB93" s="1056"/>
      <c r="AYC93" s="1056"/>
      <c r="AYD93" s="1056"/>
      <c r="AYE93" s="1056"/>
      <c r="AYF93" s="1056"/>
      <c r="AYG93" s="1056"/>
      <c r="AYH93" s="1056"/>
      <c r="AYI93" s="1056"/>
      <c r="AYJ93" s="1056"/>
      <c r="AYK93" s="1056"/>
      <c r="AYL93" s="1056"/>
      <c r="AYM93" s="1056"/>
      <c r="AYN93" s="1056"/>
      <c r="AYO93" s="1056"/>
      <c r="AYP93" s="1056"/>
      <c r="AYQ93" s="1056"/>
      <c r="AYR93" s="1056"/>
      <c r="AYS93" s="1056"/>
      <c r="AYT93" s="1056"/>
      <c r="AYU93" s="1056"/>
      <c r="AYV93" s="1056"/>
      <c r="AYW93" s="1056"/>
      <c r="AYX93" s="1056"/>
      <c r="AYY93" s="1056"/>
      <c r="AYZ93" s="1056"/>
      <c r="AZA93" s="1056"/>
      <c r="AZB93" s="1056"/>
      <c r="AZC93" s="1056"/>
      <c r="AZD93" s="1056"/>
      <c r="AZE93" s="1056"/>
      <c r="AZF93" s="1056"/>
      <c r="AZG93" s="1056"/>
      <c r="AZH93" s="1056"/>
      <c r="AZI93" s="1056"/>
      <c r="AZJ93" s="1056"/>
      <c r="AZK93" s="1056"/>
      <c r="AZL93" s="1056"/>
      <c r="AZM93" s="1056"/>
      <c r="AZN93" s="1056"/>
      <c r="AZO93" s="1056"/>
      <c r="AZP93" s="1056"/>
      <c r="AZQ93" s="1056"/>
      <c r="AZR93" s="1056"/>
      <c r="AZS93" s="1056"/>
      <c r="AZT93" s="1056"/>
      <c r="AZU93" s="1056"/>
      <c r="AZV93" s="1056"/>
      <c r="AZW93" s="1056"/>
      <c r="AZX93" s="1056"/>
      <c r="AZY93" s="1056"/>
      <c r="AZZ93" s="1056"/>
      <c r="BAA93" s="1056"/>
      <c r="BAB93" s="1056"/>
      <c r="BAC93" s="1056"/>
      <c r="BAD93" s="1056"/>
      <c r="BAE93" s="1056"/>
      <c r="BAF93" s="1056"/>
      <c r="BAG93" s="1056"/>
      <c r="BAH93" s="1056"/>
      <c r="BAI93" s="1056"/>
      <c r="BAJ93" s="1056"/>
      <c r="BAK93" s="1056"/>
      <c r="BAL93" s="1056"/>
      <c r="BAM93" s="1056"/>
      <c r="BAN93" s="1056"/>
      <c r="BAO93" s="1056"/>
      <c r="BAP93" s="1056"/>
      <c r="BAQ93" s="1056"/>
      <c r="BAR93" s="1056"/>
      <c r="BAS93" s="1056"/>
      <c r="BAT93" s="1056"/>
      <c r="BAU93" s="1056"/>
      <c r="BAV93" s="1056"/>
      <c r="BAW93" s="1056"/>
      <c r="BAX93" s="1056"/>
      <c r="BAY93" s="1056"/>
      <c r="BAZ93" s="1056"/>
      <c r="BBA93" s="1056"/>
      <c r="BBB93" s="1056"/>
      <c r="BBC93" s="1056"/>
      <c r="BBD93" s="1056"/>
      <c r="BBE93" s="1056"/>
      <c r="BBF93" s="1056"/>
      <c r="BBG93" s="1056"/>
      <c r="BBH93" s="1056"/>
      <c r="BBI93" s="1056"/>
      <c r="BBJ93" s="1056"/>
      <c r="BBK93" s="1056"/>
      <c r="BBL93" s="1056"/>
      <c r="BBM93" s="1056"/>
      <c r="BBN93" s="1056"/>
      <c r="BBO93" s="1056"/>
      <c r="BBP93" s="1056"/>
      <c r="BBQ93" s="1056"/>
      <c r="BBR93" s="1056"/>
      <c r="BBS93" s="1056"/>
      <c r="BBT93" s="1056"/>
      <c r="BBU93" s="1056"/>
      <c r="BBV93" s="1056"/>
      <c r="BBW93" s="1056"/>
      <c r="BBX93" s="1056"/>
      <c r="BBY93" s="1056"/>
      <c r="BBZ93" s="1056"/>
      <c r="BCA93" s="1056"/>
      <c r="BCB93" s="1056"/>
      <c r="BCC93" s="1056"/>
      <c r="BCD93" s="1056"/>
      <c r="BCE93" s="1056"/>
      <c r="BCF93" s="1056"/>
      <c r="BCG93" s="1056"/>
      <c r="BCH93" s="1056"/>
      <c r="BCI93" s="1056"/>
      <c r="BCJ93" s="1056"/>
      <c r="BCK93" s="1056"/>
      <c r="BCL93" s="1056"/>
      <c r="BCM93" s="1056"/>
      <c r="BCN93" s="1056"/>
      <c r="BCO93" s="1056"/>
      <c r="BCP93" s="1056"/>
      <c r="BCQ93" s="1056"/>
      <c r="BCR93" s="1056"/>
      <c r="BCS93" s="1056"/>
      <c r="BCT93" s="1056"/>
      <c r="BCU93" s="1056"/>
      <c r="BCV93" s="1056"/>
      <c r="BCW93" s="1056"/>
      <c r="BCX93" s="1056"/>
      <c r="BCY93" s="1056"/>
      <c r="BCZ93" s="1056"/>
      <c r="BDA93" s="1056"/>
      <c r="BDB93" s="1056"/>
      <c r="BDC93" s="1056"/>
      <c r="BDD93" s="1056"/>
      <c r="BDE93" s="1056"/>
      <c r="BDF93" s="1056"/>
      <c r="BDG93" s="1056"/>
      <c r="BDH93" s="1056"/>
      <c r="BDI93" s="1056"/>
      <c r="BDJ93" s="1056"/>
      <c r="BDK93" s="1056"/>
      <c r="BDL93" s="1056"/>
      <c r="BDM93" s="1056"/>
      <c r="BDN93" s="1056"/>
      <c r="BDO93" s="1056"/>
      <c r="BDP93" s="1056"/>
      <c r="BDQ93" s="1056"/>
      <c r="BDR93" s="1056"/>
      <c r="BDS93" s="1056"/>
      <c r="BDT93" s="1056"/>
      <c r="BDU93" s="1056"/>
      <c r="BDV93" s="1056"/>
      <c r="BDW93" s="1056"/>
      <c r="BDX93" s="1056"/>
      <c r="BDY93" s="1056"/>
      <c r="BDZ93" s="1056"/>
      <c r="BEA93" s="1056"/>
      <c r="BEB93" s="1056"/>
      <c r="BEC93" s="1056"/>
      <c r="BED93" s="1056"/>
      <c r="BEE93" s="1056"/>
      <c r="BEF93" s="1056"/>
      <c r="BEG93" s="1056"/>
      <c r="BEH93" s="1056"/>
      <c r="BEI93" s="1056"/>
      <c r="BEJ93" s="1056"/>
      <c r="BEK93" s="1056"/>
      <c r="BEL93" s="1056"/>
      <c r="BEM93" s="1056"/>
      <c r="BEN93" s="1056"/>
      <c r="BEO93" s="1056"/>
      <c r="BEP93" s="1056"/>
      <c r="BEQ93" s="1056"/>
      <c r="BER93" s="1056"/>
      <c r="BES93" s="1056"/>
      <c r="BET93" s="1056"/>
      <c r="BEU93" s="1056"/>
      <c r="BEV93" s="1056"/>
      <c r="BEW93" s="1056"/>
      <c r="BEX93" s="1056"/>
      <c r="BEY93" s="1056"/>
      <c r="BEZ93" s="1056"/>
      <c r="BFA93" s="1056"/>
      <c r="BFB93" s="1056"/>
      <c r="BFC93" s="1056"/>
      <c r="BFD93" s="1056"/>
      <c r="BFE93" s="1056"/>
      <c r="BFF93" s="1056"/>
      <c r="BFG93" s="1056"/>
      <c r="BFH93" s="1056"/>
      <c r="BFI93" s="1056"/>
      <c r="BFJ93" s="1056"/>
      <c r="BFK93" s="1056"/>
      <c r="BFL93" s="1056"/>
      <c r="BFM93" s="1056"/>
      <c r="BFN93" s="1056"/>
      <c r="BFO93" s="1056"/>
      <c r="BFP93" s="1056"/>
      <c r="BFQ93" s="1056"/>
      <c r="BFR93" s="1056"/>
      <c r="BFS93" s="1056"/>
      <c r="BFT93" s="1056"/>
      <c r="BFU93" s="1056"/>
      <c r="BFV93" s="1056"/>
      <c r="BFW93" s="1056"/>
      <c r="BFX93" s="1056"/>
      <c r="BFY93" s="1056"/>
      <c r="BFZ93" s="1056"/>
      <c r="BGA93" s="1056"/>
      <c r="BGB93" s="1056"/>
      <c r="BGC93" s="1056"/>
      <c r="BGD93" s="1056"/>
      <c r="BGE93" s="1056"/>
      <c r="BGF93" s="1056"/>
      <c r="BGG93" s="1056"/>
      <c r="BGH93" s="1056"/>
      <c r="BGI93" s="1056"/>
      <c r="BGJ93" s="1056"/>
      <c r="BGK93" s="1056"/>
      <c r="BGL93" s="1056"/>
      <c r="BGM93" s="1056"/>
      <c r="BGN93" s="1056"/>
      <c r="BGO93" s="1056"/>
      <c r="BGP93" s="1056"/>
      <c r="BGQ93" s="1056"/>
      <c r="BGR93" s="1056"/>
      <c r="BGS93" s="1056"/>
      <c r="BGT93" s="1056"/>
      <c r="BGU93" s="1056"/>
      <c r="BGV93" s="1056"/>
      <c r="BGW93" s="1056"/>
      <c r="BGX93" s="1056"/>
      <c r="BGY93" s="1056"/>
      <c r="BGZ93" s="1056"/>
      <c r="BHA93" s="1056"/>
      <c r="BHB93" s="1056"/>
      <c r="BHC93" s="1056"/>
      <c r="BHD93" s="1056"/>
      <c r="BHE93" s="1056"/>
      <c r="BHF93" s="1056"/>
      <c r="BHG93" s="1056"/>
      <c r="BHH93" s="1056"/>
      <c r="BHI93" s="1056"/>
      <c r="BHJ93" s="1056"/>
      <c r="BHK93" s="1056"/>
      <c r="BHL93" s="1056"/>
      <c r="BHM93" s="1056"/>
      <c r="BHN93" s="1056"/>
      <c r="BHO93" s="1056"/>
      <c r="BHP93" s="1056"/>
      <c r="BHQ93" s="1056"/>
      <c r="BHR93" s="1056"/>
      <c r="BHS93" s="1056"/>
      <c r="BHT93" s="1056"/>
      <c r="BHU93" s="1056"/>
      <c r="BHV93" s="1056"/>
      <c r="BHW93" s="1056"/>
      <c r="BHX93" s="1056"/>
      <c r="BHY93" s="1056"/>
      <c r="BHZ93" s="1056"/>
      <c r="BIA93" s="1056"/>
      <c r="BIB93" s="1056"/>
      <c r="BIC93" s="1056"/>
      <c r="BID93" s="1056"/>
      <c r="BIE93" s="1056"/>
      <c r="BIF93" s="1056"/>
      <c r="BIG93" s="1056"/>
      <c r="BIH93" s="1056"/>
      <c r="BII93" s="1056"/>
      <c r="BIJ93" s="1056"/>
      <c r="BIK93" s="1056"/>
      <c r="BIL93" s="1056"/>
      <c r="BIM93" s="1056"/>
      <c r="BIN93" s="1056"/>
      <c r="BIO93" s="1056"/>
      <c r="BIP93" s="1056"/>
      <c r="BIQ93" s="1056"/>
      <c r="BIR93" s="1056"/>
      <c r="BIS93" s="1056"/>
      <c r="BIT93" s="1056"/>
      <c r="BIU93" s="1056"/>
      <c r="BIV93" s="1056"/>
      <c r="BIW93" s="1056"/>
      <c r="BIX93" s="1056"/>
      <c r="BIY93" s="1056"/>
      <c r="BIZ93" s="1056"/>
      <c r="BJA93" s="1056"/>
      <c r="BJB93" s="1056"/>
      <c r="BJC93" s="1056"/>
      <c r="BJD93" s="1056"/>
      <c r="BJE93" s="1056"/>
      <c r="BJF93" s="1056"/>
      <c r="BJG93" s="1056"/>
      <c r="BJH93" s="1056"/>
      <c r="BJI93" s="1056"/>
      <c r="BJJ93" s="1056"/>
      <c r="BJK93" s="1056"/>
      <c r="BJL93" s="1056"/>
      <c r="BJM93" s="1056"/>
      <c r="BJN93" s="1056"/>
      <c r="BJO93" s="1056"/>
      <c r="BJP93" s="1056"/>
      <c r="BJQ93" s="1056"/>
      <c r="BJR93" s="1056"/>
      <c r="BJS93" s="1056"/>
      <c r="BJT93" s="1056"/>
      <c r="BJU93" s="1056"/>
      <c r="BJV93" s="1056"/>
      <c r="BJW93" s="1056"/>
      <c r="BJX93" s="1056"/>
      <c r="BJY93" s="1056"/>
      <c r="BJZ93" s="1056"/>
      <c r="BKA93" s="1056"/>
      <c r="BKB93" s="1056"/>
      <c r="BKC93" s="1056"/>
      <c r="BKD93" s="1056"/>
      <c r="BKE93" s="1056"/>
      <c r="BKF93" s="1056"/>
      <c r="BKG93" s="1056"/>
      <c r="BKH93" s="1056"/>
      <c r="BKI93" s="1056"/>
      <c r="BKJ93" s="1056"/>
      <c r="BKK93" s="1056"/>
      <c r="BKL93" s="1056"/>
      <c r="BKM93" s="1056"/>
      <c r="BKN93" s="1056"/>
      <c r="BKO93" s="1056"/>
      <c r="BKP93" s="1056"/>
      <c r="BKQ93" s="1056"/>
      <c r="BKR93" s="1056"/>
      <c r="BKS93" s="1056"/>
      <c r="BKT93" s="1056"/>
      <c r="BKU93" s="1056"/>
      <c r="BKV93" s="1056"/>
      <c r="BKW93" s="1056"/>
      <c r="BKX93" s="1056"/>
      <c r="BKY93" s="1056"/>
      <c r="BKZ93" s="1056"/>
      <c r="BLA93" s="1056"/>
      <c r="BLB93" s="1056"/>
      <c r="BLC93" s="1056"/>
      <c r="BLD93" s="1056"/>
      <c r="BLE93" s="1056"/>
      <c r="BLF93" s="1056"/>
      <c r="BLG93" s="1056"/>
      <c r="BLH93" s="1056"/>
      <c r="BLI93" s="1056"/>
      <c r="BLJ93" s="1056"/>
      <c r="BLK93" s="1056"/>
      <c r="BLL93" s="1056"/>
      <c r="BLM93" s="1056"/>
      <c r="BLN93" s="1056"/>
      <c r="BLO93" s="1056"/>
      <c r="BLP93" s="1056"/>
      <c r="BLQ93" s="1056"/>
      <c r="BLR93" s="1056"/>
      <c r="BLS93" s="1056"/>
      <c r="BLT93" s="1056"/>
      <c r="BLU93" s="1056"/>
      <c r="BLV93" s="1056"/>
      <c r="BLW93" s="1056"/>
      <c r="BLX93" s="1056"/>
      <c r="BLY93" s="1056"/>
      <c r="BLZ93" s="1056"/>
      <c r="BMA93" s="1056"/>
      <c r="BMB93" s="1056"/>
      <c r="BMC93" s="1056"/>
      <c r="BMD93" s="1056"/>
      <c r="BME93" s="1056"/>
      <c r="BMF93" s="1056"/>
      <c r="BMG93" s="1056"/>
      <c r="BMH93" s="1056"/>
      <c r="BMI93" s="1056"/>
      <c r="BMJ93" s="1056"/>
      <c r="BMK93" s="1056"/>
      <c r="BML93" s="1056"/>
      <c r="BMM93" s="1056"/>
      <c r="BMN93" s="1056"/>
      <c r="BMO93" s="1056"/>
      <c r="BMP93" s="1056"/>
      <c r="BMQ93" s="1056"/>
      <c r="BMR93" s="1056"/>
      <c r="BMS93" s="1056"/>
      <c r="BMT93" s="1056"/>
      <c r="BMU93" s="1056"/>
      <c r="BMV93" s="1056"/>
      <c r="BMW93" s="1056"/>
      <c r="BMX93" s="1056"/>
      <c r="BMY93" s="1056"/>
      <c r="BMZ93" s="1056"/>
      <c r="BNA93" s="1056"/>
      <c r="BNB93" s="1056"/>
      <c r="BNC93" s="1056"/>
      <c r="BND93" s="1056"/>
      <c r="BNE93" s="1056"/>
      <c r="BNF93" s="1056"/>
      <c r="BNG93" s="1056"/>
      <c r="BNH93" s="1056"/>
      <c r="BNI93" s="1056"/>
      <c r="BNJ93" s="1056"/>
      <c r="BNK93" s="1056"/>
      <c r="BNL93" s="1056"/>
      <c r="BNM93" s="1056"/>
      <c r="BNN93" s="1056"/>
      <c r="BNO93" s="1056"/>
      <c r="BNP93" s="1056"/>
      <c r="BNQ93" s="1056"/>
      <c r="BNR93" s="1056"/>
      <c r="BNS93" s="1056"/>
      <c r="BNT93" s="1056"/>
      <c r="BNU93" s="1056"/>
      <c r="BNV93" s="1056"/>
      <c r="BNW93" s="1056"/>
      <c r="BNX93" s="1056"/>
      <c r="BNY93" s="1056"/>
      <c r="BNZ93" s="1056"/>
      <c r="BOA93" s="1056"/>
      <c r="BOB93" s="1056"/>
      <c r="BOC93" s="1056"/>
      <c r="BOD93" s="1056"/>
      <c r="BOE93" s="1056"/>
      <c r="BOF93" s="1056"/>
      <c r="BOG93" s="1056"/>
      <c r="BOH93" s="1056"/>
      <c r="BOI93" s="1056"/>
      <c r="BOJ93" s="1056"/>
      <c r="BOK93" s="1056"/>
      <c r="BOL93" s="1056"/>
      <c r="BOM93" s="1056"/>
      <c r="BON93" s="1056"/>
      <c r="BOO93" s="1056"/>
      <c r="BOP93" s="1056"/>
      <c r="BOQ93" s="1056"/>
      <c r="BOR93" s="1056"/>
      <c r="BOS93" s="1056"/>
      <c r="BOT93" s="1056"/>
      <c r="BOU93" s="1056"/>
      <c r="BOV93" s="1056"/>
      <c r="BOW93" s="1056"/>
      <c r="BOX93" s="1056"/>
      <c r="BOY93" s="1056"/>
      <c r="BOZ93" s="1056"/>
      <c r="BPA93" s="1056"/>
      <c r="BPB93" s="1056"/>
      <c r="BPC93" s="1056"/>
      <c r="BPD93" s="1056"/>
      <c r="BPE93" s="1056"/>
      <c r="BPF93" s="1056"/>
      <c r="BPG93" s="1056"/>
      <c r="BPH93" s="1056"/>
      <c r="BPI93" s="1056"/>
      <c r="BPJ93" s="1056"/>
      <c r="BPK93" s="1056"/>
      <c r="BPL93" s="1056"/>
      <c r="BPM93" s="1056"/>
      <c r="BPN93" s="1056"/>
      <c r="BPO93" s="1056"/>
      <c r="BPP93" s="1056"/>
      <c r="BPQ93" s="1056"/>
      <c r="BPR93" s="1056"/>
      <c r="BPS93" s="1056"/>
      <c r="BPT93" s="1056"/>
      <c r="BPU93" s="1056"/>
      <c r="BPV93" s="1056"/>
      <c r="BPW93" s="1056"/>
      <c r="BPX93" s="1056"/>
      <c r="BPY93" s="1056"/>
      <c r="BPZ93" s="1056"/>
      <c r="BQA93" s="1056"/>
      <c r="BQB93" s="1056"/>
      <c r="BQC93" s="1056"/>
      <c r="BQD93" s="1056"/>
      <c r="BQE93" s="1056"/>
      <c r="BQF93" s="1056"/>
      <c r="BQG93" s="1056"/>
      <c r="BQH93" s="1056"/>
      <c r="BQI93" s="1056"/>
      <c r="BQJ93" s="1056"/>
      <c r="BQK93" s="1056"/>
      <c r="BQL93" s="1056"/>
      <c r="BQM93" s="1056"/>
      <c r="BQN93" s="1056"/>
      <c r="BQO93" s="1056"/>
      <c r="BQP93" s="1056"/>
      <c r="BQQ93" s="1056"/>
      <c r="BQR93" s="1056"/>
      <c r="BQS93" s="1056"/>
      <c r="BQT93" s="1056"/>
      <c r="BQU93" s="1056"/>
      <c r="BQV93" s="1056"/>
      <c r="BQW93" s="1056"/>
      <c r="BQX93" s="1056"/>
      <c r="BQY93" s="1056"/>
      <c r="BQZ93" s="1056"/>
      <c r="BRA93" s="1056"/>
      <c r="BRB93" s="1056"/>
      <c r="BRC93" s="1056"/>
      <c r="BRD93" s="1056"/>
      <c r="BRE93" s="1056"/>
      <c r="BRF93" s="1056"/>
      <c r="BRG93" s="1056"/>
      <c r="BRH93" s="1056"/>
      <c r="BRI93" s="1056"/>
      <c r="BRJ93" s="1056"/>
      <c r="BRK93" s="1056"/>
      <c r="BRL93" s="1056"/>
      <c r="BRM93" s="1056"/>
      <c r="BRN93" s="1056"/>
      <c r="BRO93" s="1056"/>
      <c r="BRP93" s="1056"/>
      <c r="BRQ93" s="1056"/>
      <c r="BRR93" s="1056"/>
      <c r="BRS93" s="1056"/>
      <c r="BRT93" s="1056"/>
      <c r="BRU93" s="1056"/>
      <c r="BRV93" s="1056"/>
      <c r="BRW93" s="1056"/>
      <c r="BRX93" s="1056"/>
      <c r="BRY93" s="1056"/>
      <c r="BRZ93" s="1056"/>
      <c r="BSA93" s="1056"/>
      <c r="BSB93" s="1056"/>
      <c r="BSC93" s="1056"/>
      <c r="BSD93" s="1056"/>
      <c r="BSE93" s="1056"/>
      <c r="BSF93" s="1056"/>
      <c r="BSG93" s="1056"/>
      <c r="BSH93" s="1056"/>
      <c r="BSI93" s="1056"/>
      <c r="BSJ93" s="1056"/>
      <c r="BSK93" s="1056"/>
      <c r="BSL93" s="1056"/>
      <c r="BSM93" s="1056"/>
      <c r="BSN93" s="1056"/>
      <c r="BSO93" s="1056"/>
      <c r="BSP93" s="1056"/>
      <c r="BSQ93" s="1056"/>
      <c r="BSR93" s="1056"/>
      <c r="BSS93" s="1056"/>
      <c r="BST93" s="1056"/>
      <c r="BSU93" s="1056"/>
      <c r="BSV93" s="1056"/>
      <c r="BSW93" s="1056"/>
      <c r="BSX93" s="1056"/>
      <c r="BSY93" s="1056"/>
      <c r="BSZ93" s="1056"/>
      <c r="BTA93" s="1056"/>
      <c r="BTB93" s="1056"/>
      <c r="BTC93" s="1056"/>
      <c r="BTD93" s="1056"/>
      <c r="BTE93" s="1056"/>
      <c r="BTF93" s="1056"/>
      <c r="BTG93" s="1056"/>
      <c r="BTH93" s="1056"/>
      <c r="BTI93" s="1056"/>
    </row>
    <row r="94" spans="1:1881" s="1060" customFormat="1" ht="143.25" hidden="1" customHeight="1" thickBot="1" x14ac:dyDescent="0.35">
      <c r="A94" s="816">
        <v>149</v>
      </c>
      <c r="B94" s="1051" t="s">
        <v>942</v>
      </c>
      <c r="C94" s="1051" t="s">
        <v>943</v>
      </c>
      <c r="D94" s="1052" t="s">
        <v>1024</v>
      </c>
      <c r="E94" s="1053" t="e">
        <f>HLOOKUP($D$2,'2020 Data(H)'!$C$1:$AI$426,69,FALSE)</f>
        <v>#N/A</v>
      </c>
      <c r="F94" s="287">
        <v>0</v>
      </c>
      <c r="G94" s="722"/>
      <c r="H94" s="1054"/>
      <c r="I94" s="1055"/>
      <c r="J94" s="1056"/>
      <c r="K94" s="1056"/>
      <c r="L94" s="1057"/>
      <c r="M94" s="1056"/>
      <c r="N94" s="1058"/>
      <c r="O94" s="1056"/>
      <c r="P94" s="1056"/>
      <c r="Q94" s="1056"/>
      <c r="R94" s="1056"/>
      <c r="S94" s="1056"/>
      <c r="T94" s="1056"/>
      <c r="U94" s="1056"/>
      <c r="V94" s="1056"/>
      <c r="W94" s="1056"/>
      <c r="X94" s="1056"/>
      <c r="Y94" s="1056"/>
      <c r="Z94" s="816"/>
      <c r="AA94" s="816"/>
      <c r="AB94" s="816"/>
      <c r="AC94" s="816"/>
      <c r="AD94" s="816"/>
      <c r="AE94" s="816"/>
      <c r="AF94" s="816"/>
      <c r="AG94" s="816"/>
      <c r="AH94" s="816"/>
      <c r="AI94" s="816"/>
      <c r="AJ94" s="816"/>
      <c r="AK94" s="816"/>
      <c r="AL94" s="816"/>
      <c r="AM94" s="816"/>
      <c r="AN94" s="816"/>
      <c r="AO94" s="816"/>
      <c r="AP94" s="816"/>
      <c r="AQ94" s="816"/>
      <c r="AR94" s="816"/>
      <c r="AS94" s="1056"/>
      <c r="AT94" s="1056"/>
      <c r="AU94" s="1056"/>
      <c r="AV94" s="1056"/>
      <c r="AW94" s="1056"/>
      <c r="AX94" s="1056"/>
      <c r="AY94" s="1056"/>
      <c r="AZ94" s="1056"/>
      <c r="BA94" s="1056"/>
      <c r="BB94" s="1056"/>
      <c r="BC94" s="1056"/>
      <c r="BD94" s="1056"/>
      <c r="BE94" s="1056"/>
      <c r="BF94" s="1056"/>
      <c r="BG94" s="1056"/>
      <c r="BH94" s="1056"/>
      <c r="BI94" s="1056"/>
      <c r="BJ94" s="1056"/>
      <c r="BK94" s="1056"/>
      <c r="BL94" s="1056"/>
      <c r="BM94" s="1056"/>
      <c r="BN94" s="1056"/>
      <c r="BO94" s="1056"/>
      <c r="BP94" s="1056"/>
      <c r="BQ94" s="1056"/>
      <c r="BR94" s="1056"/>
      <c r="BS94" s="1056"/>
      <c r="BT94" s="1056"/>
      <c r="BU94" s="1056"/>
      <c r="BV94" s="1056"/>
      <c r="BW94" s="1056"/>
      <c r="BX94" s="1056"/>
      <c r="BY94" s="1056"/>
      <c r="BZ94" s="1056"/>
      <c r="CA94" s="1056"/>
      <c r="CB94" s="1056"/>
      <c r="CC94" s="1056"/>
      <c r="CD94" s="1056"/>
      <c r="CE94" s="1056"/>
      <c r="CF94" s="1056"/>
      <c r="CG94" s="1056"/>
      <c r="CH94" s="1056"/>
      <c r="CI94" s="1056"/>
      <c r="CJ94" s="1056"/>
      <c r="CK94" s="1056"/>
      <c r="CL94" s="1056"/>
      <c r="CM94" s="1056"/>
      <c r="CN94" s="1056"/>
      <c r="CO94" s="1056"/>
      <c r="CP94" s="1056"/>
      <c r="CQ94" s="1056"/>
      <c r="CR94" s="1056"/>
      <c r="CS94" s="1056"/>
      <c r="CT94" s="1056"/>
      <c r="CU94" s="1056"/>
      <c r="CV94" s="1056"/>
      <c r="CW94" s="1056"/>
      <c r="CX94" s="1056"/>
      <c r="CY94" s="1056"/>
      <c r="CZ94" s="1056"/>
      <c r="DA94" s="1056"/>
      <c r="DB94" s="1056"/>
      <c r="DC94" s="1056"/>
      <c r="DD94" s="1056"/>
      <c r="DE94" s="1056"/>
      <c r="DF94" s="1056"/>
      <c r="DG94" s="1056"/>
      <c r="DH94" s="1056"/>
      <c r="DI94" s="1056"/>
      <c r="DJ94" s="1056"/>
      <c r="DK94" s="1056"/>
      <c r="DL94" s="1056"/>
      <c r="DM94" s="1056"/>
      <c r="DN94" s="1056"/>
      <c r="DO94" s="1056"/>
      <c r="DP94" s="1056"/>
      <c r="DQ94" s="1056"/>
      <c r="DR94" s="1056"/>
      <c r="DS94" s="1056"/>
      <c r="DT94" s="1056"/>
      <c r="DU94" s="1056"/>
      <c r="DV94" s="1056"/>
      <c r="DW94" s="1056"/>
      <c r="DX94" s="1056"/>
      <c r="DY94" s="1056"/>
      <c r="DZ94" s="1056"/>
      <c r="EA94" s="1056"/>
      <c r="EB94" s="1056"/>
      <c r="EC94" s="1056"/>
      <c r="ED94" s="1056"/>
      <c r="EE94" s="1056"/>
      <c r="EF94" s="1056"/>
      <c r="EG94" s="1056"/>
      <c r="EH94" s="1056"/>
      <c r="EI94" s="1056"/>
      <c r="EJ94" s="1056"/>
      <c r="EK94" s="1056"/>
      <c r="EL94" s="1056"/>
      <c r="EM94" s="1056"/>
      <c r="EN94" s="1056"/>
      <c r="EO94" s="1056"/>
      <c r="EP94" s="1056"/>
      <c r="EQ94" s="1056"/>
      <c r="ER94" s="1056"/>
      <c r="ES94" s="1056"/>
      <c r="ET94" s="1056"/>
      <c r="EU94" s="1056"/>
      <c r="EV94" s="1056"/>
      <c r="EW94" s="1056"/>
      <c r="EX94" s="1056"/>
      <c r="EY94" s="1056"/>
      <c r="EZ94" s="1056"/>
      <c r="FA94" s="1056"/>
      <c r="FB94" s="1056"/>
      <c r="FC94" s="1056"/>
      <c r="FD94" s="1056"/>
      <c r="FE94" s="1056"/>
      <c r="FF94" s="1056"/>
      <c r="FG94" s="1056"/>
      <c r="FH94" s="1056"/>
      <c r="FI94" s="1056"/>
      <c r="FJ94" s="1056"/>
      <c r="FK94" s="1056"/>
      <c r="FL94" s="1056"/>
      <c r="FM94" s="1056"/>
      <c r="FN94" s="1056"/>
      <c r="FO94" s="1056"/>
      <c r="FP94" s="1056"/>
      <c r="FQ94" s="1056"/>
      <c r="FR94" s="1056"/>
      <c r="FS94" s="1056"/>
      <c r="FT94" s="1056"/>
      <c r="FU94" s="1056"/>
      <c r="FV94" s="1056"/>
      <c r="FW94" s="1056"/>
      <c r="FX94" s="1056"/>
      <c r="FY94" s="1056"/>
      <c r="FZ94" s="1056"/>
      <c r="GA94" s="1056"/>
      <c r="GB94" s="1056"/>
      <c r="GC94" s="1056"/>
      <c r="GD94" s="1056"/>
      <c r="GE94" s="1056"/>
      <c r="GF94" s="1056"/>
      <c r="GG94" s="1056"/>
      <c r="GH94" s="1056"/>
      <c r="GI94" s="1056"/>
      <c r="GJ94" s="1056"/>
      <c r="GK94" s="1056"/>
      <c r="GL94" s="1056"/>
      <c r="GM94" s="1056"/>
      <c r="GN94" s="1056"/>
      <c r="GO94" s="1056"/>
      <c r="GP94" s="1056"/>
      <c r="GQ94" s="1056"/>
      <c r="GR94" s="1056"/>
      <c r="GS94" s="1056"/>
      <c r="GT94" s="1056"/>
      <c r="GU94" s="1056"/>
      <c r="GV94" s="1056"/>
      <c r="GW94" s="1056"/>
      <c r="GX94" s="1056"/>
      <c r="GY94" s="1056"/>
      <c r="GZ94" s="1056"/>
      <c r="HA94" s="1056"/>
      <c r="HB94" s="1056"/>
      <c r="HC94" s="1056"/>
      <c r="HD94" s="1056"/>
      <c r="HE94" s="1056"/>
      <c r="HF94" s="1056"/>
      <c r="HG94" s="1056"/>
      <c r="HH94" s="1056"/>
      <c r="HI94" s="1056"/>
      <c r="HJ94" s="1056"/>
      <c r="HK94" s="1056"/>
      <c r="HL94" s="1056"/>
      <c r="HM94" s="1056"/>
      <c r="HN94" s="1056"/>
      <c r="HO94" s="1056"/>
      <c r="HP94" s="1056"/>
      <c r="HQ94" s="1056"/>
      <c r="HR94" s="1056"/>
      <c r="HS94" s="1056"/>
      <c r="HT94" s="1056"/>
      <c r="HU94" s="1056"/>
      <c r="HV94" s="1056"/>
      <c r="HW94" s="1056"/>
      <c r="HX94" s="1056"/>
      <c r="HY94" s="1056"/>
      <c r="HZ94" s="1056"/>
      <c r="IA94" s="1056"/>
      <c r="IB94" s="1056"/>
      <c r="IC94" s="1056"/>
      <c r="ID94" s="1056"/>
      <c r="IE94" s="1056"/>
      <c r="IF94" s="1056"/>
      <c r="IG94" s="1056"/>
      <c r="IH94" s="1056"/>
      <c r="II94" s="1056"/>
      <c r="IJ94" s="1056"/>
      <c r="IK94" s="1056"/>
      <c r="IL94" s="1056"/>
      <c r="IM94" s="1056"/>
      <c r="IN94" s="1056"/>
      <c r="IO94" s="1056"/>
      <c r="IP94" s="1056"/>
      <c r="IQ94" s="1056"/>
      <c r="IR94" s="1056"/>
      <c r="IS94" s="1056"/>
      <c r="IT94" s="1056"/>
      <c r="IU94" s="1056"/>
      <c r="IV94" s="1056"/>
      <c r="IW94" s="1056"/>
      <c r="IX94" s="1056"/>
      <c r="IY94" s="1056"/>
      <c r="IZ94" s="1056"/>
      <c r="JA94" s="1056"/>
      <c r="JB94" s="1056"/>
      <c r="JC94" s="1056"/>
      <c r="JD94" s="1056"/>
      <c r="JE94" s="1056"/>
      <c r="JF94" s="1056"/>
      <c r="JG94" s="1056"/>
      <c r="JH94" s="1056"/>
      <c r="JI94" s="1056"/>
      <c r="JJ94" s="1056"/>
      <c r="JK94" s="1056"/>
      <c r="JL94" s="1056"/>
      <c r="JM94" s="1056"/>
      <c r="JN94" s="1056"/>
      <c r="JO94" s="1056"/>
      <c r="JP94" s="1056"/>
      <c r="JQ94" s="1056"/>
      <c r="JR94" s="1056"/>
      <c r="JS94" s="1056"/>
      <c r="JT94" s="1056"/>
      <c r="JU94" s="1056"/>
      <c r="JV94" s="1056"/>
      <c r="JW94" s="1056"/>
      <c r="JX94" s="1056"/>
      <c r="JY94" s="1056"/>
      <c r="JZ94" s="1056"/>
      <c r="KA94" s="1056"/>
      <c r="KB94" s="1056"/>
      <c r="KC94" s="1056"/>
      <c r="KD94" s="1056"/>
      <c r="KE94" s="1056"/>
      <c r="KF94" s="1056"/>
      <c r="KG94" s="1056"/>
      <c r="KH94" s="1056"/>
      <c r="KI94" s="1056"/>
      <c r="KJ94" s="1056"/>
      <c r="KK94" s="1056"/>
      <c r="KL94" s="1056"/>
      <c r="KM94" s="1056"/>
      <c r="KN94" s="1056"/>
      <c r="KO94" s="1056"/>
      <c r="KP94" s="1056"/>
      <c r="KQ94" s="1056"/>
      <c r="KR94" s="1056"/>
      <c r="KS94" s="1056"/>
      <c r="KT94" s="1056"/>
      <c r="KU94" s="1056"/>
      <c r="KV94" s="1056"/>
      <c r="KW94" s="1056"/>
      <c r="KX94" s="1056"/>
      <c r="KY94" s="1056"/>
      <c r="KZ94" s="1056"/>
      <c r="LA94" s="1056"/>
      <c r="LB94" s="1056"/>
      <c r="LC94" s="1056"/>
      <c r="LD94" s="1056"/>
      <c r="LE94" s="1056"/>
      <c r="LF94" s="1056"/>
      <c r="LG94" s="1056"/>
      <c r="LH94" s="1056"/>
      <c r="LI94" s="1056"/>
      <c r="LJ94" s="1056"/>
      <c r="LK94" s="1056"/>
      <c r="LL94" s="1056"/>
      <c r="LM94" s="1056"/>
      <c r="LN94" s="1056"/>
      <c r="LO94" s="1056"/>
      <c r="LP94" s="1056"/>
      <c r="LQ94" s="1056"/>
      <c r="LR94" s="1056"/>
      <c r="LS94" s="1056"/>
      <c r="LT94" s="1056"/>
      <c r="LU94" s="1056"/>
      <c r="LV94" s="1056"/>
      <c r="LW94" s="1056"/>
      <c r="LX94" s="1056"/>
      <c r="LY94" s="1056"/>
      <c r="LZ94" s="1056"/>
      <c r="MA94" s="1056"/>
      <c r="MB94" s="1056"/>
      <c r="MC94" s="1056"/>
      <c r="MD94" s="1056"/>
      <c r="ME94" s="1056"/>
      <c r="MF94" s="1056"/>
      <c r="MG94" s="1056"/>
      <c r="MH94" s="1056"/>
      <c r="MI94" s="1056"/>
      <c r="MJ94" s="1056"/>
      <c r="MK94" s="1056"/>
      <c r="ML94" s="1056"/>
      <c r="MM94" s="1056"/>
      <c r="MN94" s="1056"/>
      <c r="MO94" s="1056"/>
      <c r="MP94" s="1056"/>
      <c r="MQ94" s="1056"/>
      <c r="MR94" s="1056"/>
      <c r="MS94" s="1056"/>
      <c r="MT94" s="1056"/>
      <c r="MU94" s="1056"/>
      <c r="MV94" s="1056"/>
      <c r="MW94" s="1056"/>
      <c r="MX94" s="1056"/>
      <c r="MY94" s="1056"/>
      <c r="MZ94" s="1056"/>
      <c r="NA94" s="1056"/>
      <c r="NB94" s="1056"/>
      <c r="NC94" s="1056"/>
      <c r="ND94" s="1056"/>
      <c r="NE94" s="1056"/>
      <c r="NF94" s="1056"/>
      <c r="NG94" s="1056"/>
      <c r="NH94" s="1056"/>
      <c r="NI94" s="1056"/>
      <c r="NJ94" s="1056"/>
      <c r="NK94" s="1056"/>
      <c r="NL94" s="1056"/>
      <c r="NM94" s="1056"/>
      <c r="NN94" s="1056"/>
      <c r="NO94" s="1056"/>
      <c r="NP94" s="1056"/>
      <c r="NQ94" s="1056"/>
      <c r="NR94" s="1056"/>
      <c r="NS94" s="1056"/>
      <c r="NT94" s="1056"/>
      <c r="NU94" s="1056"/>
      <c r="NV94" s="1056"/>
      <c r="NW94" s="1056"/>
      <c r="NX94" s="1056"/>
      <c r="NY94" s="1056"/>
      <c r="NZ94" s="1056"/>
      <c r="OA94" s="1056"/>
      <c r="OB94" s="1056"/>
      <c r="OC94" s="1056"/>
      <c r="OD94" s="1056"/>
      <c r="OE94" s="1056"/>
      <c r="OF94" s="1056"/>
      <c r="OG94" s="1056"/>
      <c r="OH94" s="1056"/>
      <c r="OI94" s="1056"/>
      <c r="OJ94" s="1056"/>
      <c r="OK94" s="1056"/>
      <c r="OL94" s="1056"/>
      <c r="OM94" s="1056"/>
      <c r="ON94" s="1056"/>
      <c r="OO94" s="1056"/>
      <c r="OP94" s="1056"/>
      <c r="OQ94" s="1056"/>
      <c r="OR94" s="1056"/>
      <c r="OS94" s="1056"/>
      <c r="OT94" s="1056"/>
      <c r="OU94" s="1056"/>
      <c r="OV94" s="1056"/>
      <c r="OW94" s="1056"/>
      <c r="OX94" s="1056"/>
      <c r="OY94" s="1056"/>
      <c r="OZ94" s="1056"/>
      <c r="PA94" s="1056"/>
      <c r="PB94" s="1056"/>
      <c r="PC94" s="1056"/>
      <c r="PD94" s="1056"/>
      <c r="PE94" s="1056"/>
      <c r="PF94" s="1056"/>
      <c r="PG94" s="1056"/>
      <c r="PH94" s="1056"/>
      <c r="PI94" s="1056"/>
      <c r="PJ94" s="1056"/>
      <c r="PK94" s="1056"/>
      <c r="PL94" s="1056"/>
      <c r="PM94" s="1056"/>
      <c r="PN94" s="1056"/>
      <c r="PO94" s="1056"/>
      <c r="PP94" s="1056"/>
      <c r="PQ94" s="1056"/>
      <c r="PR94" s="1056"/>
      <c r="PS94" s="1056"/>
      <c r="PT94" s="1056"/>
      <c r="PU94" s="1056"/>
      <c r="PV94" s="1056"/>
      <c r="PW94" s="1056"/>
      <c r="PX94" s="1056"/>
      <c r="PY94" s="1056"/>
      <c r="PZ94" s="1056"/>
      <c r="QA94" s="1056"/>
      <c r="QB94" s="1056"/>
      <c r="QC94" s="1056"/>
      <c r="QD94" s="1056"/>
      <c r="QE94" s="1056"/>
      <c r="QF94" s="1056"/>
      <c r="QG94" s="1056"/>
      <c r="QH94" s="1056"/>
      <c r="QI94" s="1056"/>
      <c r="QJ94" s="1056"/>
      <c r="QK94" s="1056"/>
      <c r="QL94" s="1056"/>
      <c r="QM94" s="1056"/>
      <c r="QN94" s="1056"/>
      <c r="QO94" s="1056"/>
      <c r="QP94" s="1056"/>
      <c r="QQ94" s="1056"/>
      <c r="QR94" s="1056"/>
      <c r="QS94" s="1056"/>
      <c r="QT94" s="1056"/>
      <c r="QU94" s="1056"/>
      <c r="QV94" s="1056"/>
      <c r="QW94" s="1056"/>
      <c r="QX94" s="1056"/>
      <c r="QY94" s="1056"/>
      <c r="QZ94" s="1056"/>
      <c r="RA94" s="1056"/>
      <c r="RB94" s="1056"/>
      <c r="RC94" s="1056"/>
      <c r="RD94" s="1056"/>
      <c r="RE94" s="1056"/>
      <c r="RF94" s="1056"/>
      <c r="RG94" s="1056"/>
      <c r="RH94" s="1056"/>
      <c r="RI94" s="1056"/>
      <c r="RJ94" s="1056"/>
      <c r="RK94" s="1056"/>
      <c r="RL94" s="1056"/>
      <c r="RM94" s="1056"/>
      <c r="RN94" s="1056"/>
      <c r="RO94" s="1056"/>
      <c r="RP94" s="1056"/>
      <c r="RQ94" s="1056"/>
      <c r="RR94" s="1056"/>
      <c r="RS94" s="1056"/>
      <c r="RT94" s="1056"/>
      <c r="RU94" s="1056"/>
      <c r="RV94" s="1056"/>
      <c r="RW94" s="1056"/>
      <c r="RX94" s="1056"/>
      <c r="RY94" s="1056"/>
      <c r="RZ94" s="1056"/>
      <c r="SA94" s="1056"/>
      <c r="SB94" s="1056"/>
      <c r="SC94" s="1056"/>
      <c r="SD94" s="1056"/>
      <c r="SE94" s="1056"/>
      <c r="SF94" s="1056"/>
      <c r="SG94" s="1056"/>
      <c r="SH94" s="1056"/>
      <c r="SI94" s="1056"/>
      <c r="SJ94" s="1056"/>
      <c r="SK94" s="1056"/>
      <c r="SL94" s="1056"/>
      <c r="SM94" s="1056"/>
      <c r="SN94" s="1056"/>
      <c r="SO94" s="1056"/>
      <c r="SP94" s="1056"/>
      <c r="SQ94" s="1056"/>
      <c r="SR94" s="1056"/>
      <c r="SS94" s="1056"/>
      <c r="ST94" s="1056"/>
      <c r="SU94" s="1056"/>
      <c r="SV94" s="1056"/>
      <c r="SW94" s="1056"/>
      <c r="SX94" s="1056"/>
      <c r="SY94" s="1056"/>
      <c r="SZ94" s="1056"/>
      <c r="TA94" s="1056"/>
      <c r="TB94" s="1056"/>
      <c r="TC94" s="1056"/>
      <c r="TD94" s="1056"/>
      <c r="TE94" s="1056"/>
      <c r="TF94" s="1056"/>
      <c r="TG94" s="1056"/>
      <c r="TH94" s="1056"/>
      <c r="TI94" s="1056"/>
      <c r="TJ94" s="1056"/>
      <c r="TK94" s="1056"/>
      <c r="TL94" s="1056"/>
      <c r="TM94" s="1056"/>
      <c r="TN94" s="1056"/>
      <c r="TO94" s="1056"/>
      <c r="TP94" s="1056"/>
      <c r="TQ94" s="1056"/>
      <c r="TR94" s="1056"/>
      <c r="TS94" s="1056"/>
      <c r="TT94" s="1056"/>
      <c r="TU94" s="1056"/>
      <c r="TV94" s="1056"/>
      <c r="TW94" s="1056"/>
      <c r="TX94" s="1056"/>
      <c r="TY94" s="1056"/>
      <c r="TZ94" s="1056"/>
      <c r="UA94" s="1056"/>
      <c r="UB94" s="1056"/>
      <c r="UC94" s="1056"/>
      <c r="UD94" s="1056"/>
      <c r="UE94" s="1056"/>
      <c r="UF94" s="1056"/>
      <c r="UG94" s="1056"/>
      <c r="UH94" s="1056"/>
      <c r="UI94" s="1056"/>
      <c r="UJ94" s="1056"/>
      <c r="UK94" s="1056"/>
      <c r="UL94" s="1056"/>
      <c r="UM94" s="1056"/>
      <c r="UN94" s="1056"/>
      <c r="UO94" s="1056"/>
      <c r="UP94" s="1056"/>
      <c r="UQ94" s="1056"/>
      <c r="UR94" s="1056"/>
      <c r="US94" s="1056"/>
      <c r="UT94" s="1056"/>
      <c r="UU94" s="1056"/>
      <c r="UV94" s="1056"/>
      <c r="UW94" s="1056"/>
      <c r="UX94" s="1056"/>
      <c r="UY94" s="1056"/>
      <c r="UZ94" s="1056"/>
      <c r="VA94" s="1056"/>
      <c r="VB94" s="1056"/>
      <c r="VC94" s="1056"/>
      <c r="VD94" s="1056"/>
      <c r="VE94" s="1056"/>
      <c r="VF94" s="1056"/>
      <c r="VG94" s="1056"/>
      <c r="VH94" s="1056"/>
      <c r="VI94" s="1056"/>
      <c r="VJ94" s="1056"/>
      <c r="VK94" s="1056"/>
      <c r="VL94" s="1056"/>
      <c r="VM94" s="1056"/>
      <c r="VN94" s="1056"/>
      <c r="VO94" s="1056"/>
      <c r="VP94" s="1056"/>
      <c r="VQ94" s="1056"/>
      <c r="VR94" s="1056"/>
      <c r="VS94" s="1056"/>
      <c r="VT94" s="1056"/>
      <c r="VU94" s="1056"/>
      <c r="VV94" s="1056"/>
      <c r="VW94" s="1056"/>
      <c r="VX94" s="1056"/>
      <c r="VY94" s="1056"/>
      <c r="VZ94" s="1056"/>
      <c r="WA94" s="1056"/>
      <c r="WB94" s="1056"/>
      <c r="WC94" s="1056"/>
      <c r="WD94" s="1056"/>
      <c r="WE94" s="1056"/>
      <c r="WF94" s="1056"/>
      <c r="WG94" s="1056"/>
      <c r="WH94" s="1056"/>
      <c r="WI94" s="1056"/>
      <c r="WJ94" s="1056"/>
      <c r="WK94" s="1056"/>
      <c r="WL94" s="1056"/>
      <c r="WM94" s="1056"/>
      <c r="WN94" s="1056"/>
      <c r="WO94" s="1056"/>
      <c r="WP94" s="1056"/>
      <c r="WQ94" s="1056"/>
      <c r="WR94" s="1056"/>
      <c r="WS94" s="1056"/>
      <c r="WT94" s="1056"/>
      <c r="WU94" s="1056"/>
      <c r="WV94" s="1056"/>
      <c r="WW94" s="1056"/>
      <c r="WX94" s="1056"/>
      <c r="WY94" s="1056"/>
      <c r="WZ94" s="1056"/>
      <c r="XA94" s="1056"/>
      <c r="XB94" s="1056"/>
      <c r="XC94" s="1056"/>
      <c r="XD94" s="1056"/>
      <c r="XE94" s="1056"/>
      <c r="XF94" s="1056"/>
      <c r="XG94" s="1056"/>
      <c r="XH94" s="1056"/>
      <c r="XI94" s="1056"/>
      <c r="XJ94" s="1056"/>
      <c r="XK94" s="1056"/>
      <c r="XL94" s="1056"/>
      <c r="XM94" s="1056"/>
      <c r="XN94" s="1056"/>
      <c r="XO94" s="1056"/>
      <c r="XP94" s="1056"/>
      <c r="XQ94" s="1056"/>
      <c r="XR94" s="1056"/>
      <c r="XS94" s="1056"/>
      <c r="XT94" s="1056"/>
      <c r="XU94" s="1056"/>
      <c r="XV94" s="1056"/>
      <c r="XW94" s="1056"/>
      <c r="XX94" s="1056"/>
      <c r="XY94" s="1056"/>
      <c r="XZ94" s="1056"/>
      <c r="YA94" s="1056"/>
      <c r="YB94" s="1056"/>
      <c r="YC94" s="1056"/>
      <c r="YD94" s="1056"/>
      <c r="YE94" s="1056"/>
      <c r="YF94" s="1056"/>
      <c r="YG94" s="1056"/>
      <c r="YH94" s="1056"/>
      <c r="YI94" s="1056"/>
      <c r="YJ94" s="1056"/>
      <c r="YK94" s="1056"/>
      <c r="YL94" s="1056"/>
      <c r="YM94" s="1056"/>
      <c r="YN94" s="1056"/>
      <c r="YO94" s="1056"/>
      <c r="YP94" s="1056"/>
      <c r="YQ94" s="1056"/>
      <c r="YR94" s="1056"/>
      <c r="YS94" s="1056"/>
      <c r="YT94" s="1056"/>
      <c r="YU94" s="1056"/>
      <c r="YV94" s="1056"/>
      <c r="YW94" s="1056"/>
      <c r="YX94" s="1056"/>
      <c r="YY94" s="1056"/>
      <c r="YZ94" s="1056"/>
      <c r="ZA94" s="1056"/>
      <c r="ZB94" s="1056"/>
      <c r="ZC94" s="1056"/>
      <c r="ZD94" s="1056"/>
      <c r="ZE94" s="1056"/>
      <c r="ZF94" s="1056"/>
      <c r="ZG94" s="1056"/>
      <c r="ZH94" s="1056"/>
      <c r="ZI94" s="1056"/>
      <c r="ZJ94" s="1056"/>
      <c r="ZK94" s="1056"/>
      <c r="ZL94" s="1056"/>
      <c r="ZM94" s="1056"/>
      <c r="ZN94" s="1056"/>
      <c r="ZO94" s="1056"/>
      <c r="ZP94" s="1056"/>
      <c r="ZQ94" s="1056"/>
      <c r="ZR94" s="1056"/>
      <c r="ZS94" s="1056"/>
      <c r="ZT94" s="1056"/>
      <c r="ZU94" s="1056"/>
      <c r="ZV94" s="1056"/>
      <c r="ZW94" s="1056"/>
      <c r="ZX94" s="1056"/>
      <c r="ZY94" s="1056"/>
      <c r="ZZ94" s="1056"/>
      <c r="AAA94" s="1056"/>
      <c r="AAB94" s="1056"/>
      <c r="AAC94" s="1056"/>
      <c r="AAD94" s="1056"/>
      <c r="AAE94" s="1056"/>
      <c r="AAF94" s="1056"/>
      <c r="AAG94" s="1056"/>
      <c r="AAH94" s="1056"/>
      <c r="AAI94" s="1056"/>
      <c r="AAJ94" s="1056"/>
      <c r="AAK94" s="1056"/>
      <c r="AAL94" s="1056"/>
      <c r="AAM94" s="1056"/>
      <c r="AAN94" s="1056"/>
      <c r="AAO94" s="1056"/>
      <c r="AAP94" s="1056"/>
      <c r="AAQ94" s="1056"/>
      <c r="AAR94" s="1056"/>
      <c r="AAS94" s="1056"/>
      <c r="AAT94" s="1056"/>
      <c r="AAU94" s="1056"/>
      <c r="AAV94" s="1056"/>
      <c r="AAW94" s="1056"/>
      <c r="AAX94" s="1056"/>
      <c r="AAY94" s="1056"/>
      <c r="AAZ94" s="1056"/>
      <c r="ABA94" s="1056"/>
      <c r="ABB94" s="1056"/>
      <c r="ABC94" s="1056"/>
      <c r="ABD94" s="1056"/>
      <c r="ABE94" s="1056"/>
      <c r="ABF94" s="1056"/>
      <c r="ABG94" s="1056"/>
      <c r="ABH94" s="1056"/>
      <c r="ABI94" s="1056"/>
      <c r="ABJ94" s="1056"/>
      <c r="ABK94" s="1056"/>
      <c r="ABL94" s="1056"/>
      <c r="ABM94" s="1056"/>
      <c r="ABN94" s="1056"/>
      <c r="ABO94" s="1056"/>
      <c r="ABP94" s="1056"/>
      <c r="ABQ94" s="1056"/>
      <c r="ABR94" s="1056"/>
      <c r="ABS94" s="1056"/>
      <c r="ABT94" s="1056"/>
      <c r="ABU94" s="1056"/>
      <c r="ABV94" s="1056"/>
      <c r="ABW94" s="1056"/>
      <c r="ABX94" s="1056"/>
      <c r="ABY94" s="1056"/>
      <c r="ABZ94" s="1056"/>
      <c r="ACA94" s="1056"/>
      <c r="ACB94" s="1056"/>
      <c r="ACC94" s="1056"/>
      <c r="ACD94" s="1056"/>
      <c r="ACE94" s="1056"/>
      <c r="ACF94" s="1056"/>
      <c r="ACG94" s="1056"/>
      <c r="ACH94" s="1056"/>
      <c r="ACI94" s="1056"/>
      <c r="ACJ94" s="1056"/>
      <c r="ACK94" s="1056"/>
      <c r="ACL94" s="1056"/>
      <c r="ACM94" s="1056"/>
      <c r="ACN94" s="1056"/>
      <c r="ACO94" s="1056"/>
      <c r="ACP94" s="1056"/>
      <c r="ACQ94" s="1056"/>
      <c r="ACR94" s="1056"/>
      <c r="ACS94" s="1056"/>
      <c r="ACT94" s="1056"/>
      <c r="ACU94" s="1056"/>
      <c r="ACV94" s="1056"/>
      <c r="ACW94" s="1056"/>
      <c r="ACX94" s="1056"/>
      <c r="ACY94" s="1056"/>
      <c r="ACZ94" s="1056"/>
      <c r="ADA94" s="1056"/>
      <c r="ADB94" s="1056"/>
      <c r="ADC94" s="1056"/>
      <c r="ADD94" s="1056"/>
      <c r="ADE94" s="1056"/>
      <c r="ADF94" s="1056"/>
      <c r="ADG94" s="1056"/>
      <c r="ADH94" s="1056"/>
      <c r="ADI94" s="1056"/>
      <c r="ADJ94" s="1056"/>
      <c r="ADK94" s="1056"/>
      <c r="ADL94" s="1056"/>
      <c r="ADM94" s="1056"/>
      <c r="ADN94" s="1056"/>
      <c r="ADO94" s="1056"/>
      <c r="ADP94" s="1056"/>
      <c r="ADQ94" s="1056"/>
      <c r="ADR94" s="1056"/>
      <c r="ADS94" s="1056"/>
      <c r="ADT94" s="1056"/>
      <c r="ADU94" s="1056"/>
      <c r="ADV94" s="1056"/>
      <c r="ADW94" s="1056"/>
      <c r="ADX94" s="1056"/>
      <c r="ADY94" s="1056"/>
      <c r="ADZ94" s="1056"/>
      <c r="AEA94" s="1056"/>
      <c r="AEB94" s="1056"/>
      <c r="AEC94" s="1056"/>
      <c r="AED94" s="1056"/>
      <c r="AEE94" s="1056"/>
      <c r="AEF94" s="1056"/>
      <c r="AEG94" s="1056"/>
      <c r="AEH94" s="1056"/>
      <c r="AEI94" s="1056"/>
      <c r="AEJ94" s="1056"/>
      <c r="AEK94" s="1056"/>
      <c r="AEL94" s="1056"/>
      <c r="AEM94" s="1056"/>
      <c r="AEN94" s="1056"/>
      <c r="AEO94" s="1056"/>
      <c r="AEP94" s="1056"/>
      <c r="AEQ94" s="1056"/>
      <c r="AER94" s="1056"/>
      <c r="AES94" s="1056"/>
      <c r="AET94" s="1056"/>
      <c r="AEU94" s="1056"/>
      <c r="AEV94" s="1056"/>
      <c r="AEW94" s="1056"/>
      <c r="AEX94" s="1056"/>
      <c r="AEY94" s="1056"/>
      <c r="AEZ94" s="1056"/>
      <c r="AFA94" s="1056"/>
      <c r="AFB94" s="1056"/>
      <c r="AFC94" s="1056"/>
      <c r="AFD94" s="1056"/>
      <c r="AFE94" s="1056"/>
      <c r="AFF94" s="1056"/>
      <c r="AFG94" s="1056"/>
      <c r="AFH94" s="1056"/>
      <c r="AFI94" s="1056"/>
      <c r="AFJ94" s="1056"/>
      <c r="AFK94" s="1056"/>
      <c r="AFL94" s="1056"/>
      <c r="AFM94" s="1056"/>
      <c r="AFN94" s="1056"/>
      <c r="AFO94" s="1056"/>
      <c r="AFP94" s="1056"/>
      <c r="AFQ94" s="1056"/>
      <c r="AFR94" s="1056"/>
      <c r="AFS94" s="1056"/>
      <c r="AFT94" s="1056"/>
      <c r="AFU94" s="1056"/>
      <c r="AFV94" s="1056"/>
      <c r="AFW94" s="1056"/>
      <c r="AFX94" s="1056"/>
      <c r="AFY94" s="1056"/>
      <c r="AFZ94" s="1056"/>
      <c r="AGA94" s="1056"/>
      <c r="AGB94" s="1056"/>
      <c r="AGC94" s="1056"/>
      <c r="AGD94" s="1056"/>
      <c r="AGE94" s="1056"/>
      <c r="AGF94" s="1056"/>
      <c r="AGG94" s="1056"/>
      <c r="AGH94" s="1056"/>
      <c r="AGI94" s="1056"/>
      <c r="AGJ94" s="1056"/>
      <c r="AGK94" s="1056"/>
      <c r="AGL94" s="1056"/>
      <c r="AGM94" s="1056"/>
      <c r="AGN94" s="1056"/>
      <c r="AGO94" s="1056"/>
      <c r="AGP94" s="1056"/>
      <c r="AGQ94" s="1056"/>
      <c r="AGR94" s="1056"/>
      <c r="AGS94" s="1056"/>
      <c r="AGT94" s="1056"/>
      <c r="AGU94" s="1056"/>
      <c r="AGV94" s="1056"/>
      <c r="AGW94" s="1056"/>
      <c r="AGX94" s="1056"/>
      <c r="AGY94" s="1056"/>
      <c r="AGZ94" s="1056"/>
      <c r="AHA94" s="1056"/>
      <c r="AHB94" s="1056"/>
      <c r="AHC94" s="1056"/>
      <c r="AHD94" s="1056"/>
      <c r="AHE94" s="1056"/>
      <c r="AHF94" s="1056"/>
      <c r="AHG94" s="1056"/>
      <c r="AHH94" s="1056"/>
      <c r="AHI94" s="1056"/>
      <c r="AHJ94" s="1056"/>
      <c r="AHK94" s="1056"/>
      <c r="AHL94" s="1056"/>
      <c r="AHM94" s="1056"/>
      <c r="AHN94" s="1056"/>
      <c r="AHO94" s="1056"/>
      <c r="AHP94" s="1056"/>
      <c r="AHQ94" s="1056"/>
      <c r="AHR94" s="1056"/>
      <c r="AHS94" s="1056"/>
      <c r="AHT94" s="1056"/>
      <c r="AHU94" s="1056"/>
      <c r="AHV94" s="1056"/>
      <c r="AHW94" s="1056"/>
      <c r="AHX94" s="1056"/>
      <c r="AHY94" s="1056"/>
      <c r="AHZ94" s="1056"/>
      <c r="AIA94" s="1056"/>
      <c r="AIB94" s="1056"/>
      <c r="AIC94" s="1056"/>
      <c r="AID94" s="1056"/>
      <c r="AIE94" s="1056"/>
      <c r="AIF94" s="1056"/>
      <c r="AIG94" s="1056"/>
      <c r="AIH94" s="1056"/>
      <c r="AII94" s="1056"/>
      <c r="AIJ94" s="1056"/>
      <c r="AIK94" s="1056"/>
      <c r="AIL94" s="1056"/>
      <c r="AIM94" s="1056"/>
      <c r="AIN94" s="1056"/>
      <c r="AIO94" s="1056"/>
      <c r="AIP94" s="1056"/>
      <c r="AIQ94" s="1056"/>
      <c r="AIR94" s="1056"/>
      <c r="AIS94" s="1056"/>
      <c r="AIT94" s="1056"/>
      <c r="AIU94" s="1056"/>
      <c r="AIV94" s="1056"/>
      <c r="AIW94" s="1056"/>
      <c r="AIX94" s="1056"/>
      <c r="AIY94" s="1056"/>
      <c r="AIZ94" s="1056"/>
      <c r="AJA94" s="1056"/>
      <c r="AJB94" s="1056"/>
      <c r="AJC94" s="1056"/>
      <c r="AJD94" s="1056"/>
      <c r="AJE94" s="1056"/>
      <c r="AJF94" s="1056"/>
      <c r="AJG94" s="1056"/>
      <c r="AJH94" s="1056"/>
      <c r="AJI94" s="1056"/>
      <c r="AJJ94" s="1056"/>
      <c r="AJK94" s="1056"/>
      <c r="AJL94" s="1056"/>
      <c r="AJM94" s="1056"/>
      <c r="AJN94" s="1056"/>
      <c r="AJO94" s="1056"/>
      <c r="AJP94" s="1056"/>
      <c r="AJQ94" s="1056"/>
      <c r="AJR94" s="1056"/>
      <c r="AJS94" s="1056"/>
      <c r="AJT94" s="1056"/>
      <c r="AJU94" s="1056"/>
      <c r="AJV94" s="1056"/>
      <c r="AJW94" s="1056"/>
      <c r="AJX94" s="1056"/>
      <c r="AJY94" s="1056"/>
      <c r="AJZ94" s="1056"/>
      <c r="AKA94" s="1056"/>
      <c r="AKB94" s="1056"/>
      <c r="AKC94" s="1056"/>
      <c r="AKD94" s="1056"/>
      <c r="AKE94" s="1056"/>
      <c r="AKF94" s="1056"/>
      <c r="AKG94" s="1056"/>
      <c r="AKH94" s="1056"/>
      <c r="AKI94" s="1056"/>
      <c r="AKJ94" s="1056"/>
      <c r="AKK94" s="1056"/>
      <c r="AKL94" s="1056"/>
      <c r="AKM94" s="1056"/>
      <c r="AKN94" s="1056"/>
      <c r="AKO94" s="1056"/>
      <c r="AKP94" s="1056"/>
      <c r="AKQ94" s="1056"/>
      <c r="AKR94" s="1056"/>
      <c r="AKS94" s="1056"/>
      <c r="AKT94" s="1056"/>
      <c r="AKU94" s="1056"/>
      <c r="AKV94" s="1056"/>
      <c r="AKW94" s="1056"/>
      <c r="AKX94" s="1056"/>
      <c r="AKY94" s="1056"/>
      <c r="AKZ94" s="1056"/>
      <c r="ALA94" s="1056"/>
      <c r="ALB94" s="1056"/>
      <c r="ALC94" s="1056"/>
      <c r="ALD94" s="1056"/>
      <c r="ALE94" s="1056"/>
      <c r="ALF94" s="1056"/>
      <c r="ALG94" s="1056"/>
      <c r="ALH94" s="1056"/>
      <c r="ALI94" s="1056"/>
      <c r="ALJ94" s="1056"/>
      <c r="ALK94" s="1056"/>
      <c r="ALL94" s="1056"/>
      <c r="ALM94" s="1056"/>
      <c r="ALN94" s="1056"/>
      <c r="ALO94" s="1056"/>
      <c r="ALP94" s="1056"/>
      <c r="ALQ94" s="1056"/>
      <c r="ALR94" s="1056"/>
      <c r="ALS94" s="1056"/>
      <c r="ALT94" s="1056"/>
      <c r="ALU94" s="1056"/>
      <c r="ALV94" s="1056"/>
      <c r="ALW94" s="1056"/>
      <c r="ALX94" s="1056"/>
      <c r="ALY94" s="1056"/>
      <c r="ALZ94" s="1056"/>
      <c r="AMA94" s="1056"/>
      <c r="AMB94" s="1056"/>
      <c r="AMC94" s="1056"/>
      <c r="AMD94" s="1056"/>
      <c r="AME94" s="1056"/>
      <c r="AMF94" s="1056"/>
      <c r="AMG94" s="1056"/>
      <c r="AMH94" s="1056"/>
      <c r="AMI94" s="1056"/>
      <c r="AMJ94" s="1056"/>
      <c r="AMK94" s="1056"/>
      <c r="AML94" s="1056"/>
      <c r="AMM94" s="1056"/>
      <c r="AMN94" s="1056"/>
      <c r="AMO94" s="1056"/>
      <c r="AMP94" s="1056"/>
      <c r="AMQ94" s="1056"/>
      <c r="AMR94" s="1056"/>
      <c r="AMS94" s="1056"/>
      <c r="AMT94" s="1056"/>
      <c r="AMU94" s="1056"/>
      <c r="AMV94" s="1056"/>
      <c r="AMW94" s="1056"/>
      <c r="AMX94" s="1056"/>
      <c r="AMY94" s="1056"/>
      <c r="AMZ94" s="1056"/>
      <c r="ANA94" s="1056"/>
      <c r="ANB94" s="1056"/>
      <c r="ANC94" s="1056"/>
      <c r="AND94" s="1056"/>
      <c r="ANE94" s="1056"/>
      <c r="ANF94" s="1056"/>
      <c r="ANG94" s="1056"/>
      <c r="ANH94" s="1056"/>
      <c r="ANI94" s="1056"/>
      <c r="ANJ94" s="1056"/>
      <c r="ANK94" s="1056"/>
      <c r="ANL94" s="1056"/>
      <c r="ANM94" s="1056"/>
      <c r="ANN94" s="1056"/>
      <c r="ANO94" s="1056"/>
      <c r="ANP94" s="1056"/>
      <c r="ANQ94" s="1056"/>
      <c r="ANR94" s="1056"/>
      <c r="ANS94" s="1056"/>
      <c r="ANT94" s="1056"/>
      <c r="ANU94" s="1056"/>
      <c r="ANV94" s="1056"/>
      <c r="ANW94" s="1056"/>
      <c r="ANX94" s="1056"/>
      <c r="ANY94" s="1056"/>
      <c r="ANZ94" s="1056"/>
      <c r="AOA94" s="1056"/>
      <c r="AOB94" s="1056"/>
      <c r="AOC94" s="1056"/>
      <c r="AOD94" s="1056"/>
      <c r="AOE94" s="1056"/>
      <c r="AOF94" s="1056"/>
      <c r="AOG94" s="1056"/>
      <c r="AOH94" s="1056"/>
      <c r="AOI94" s="1056"/>
      <c r="AOJ94" s="1056"/>
      <c r="AOK94" s="1056"/>
      <c r="AOL94" s="1056"/>
      <c r="AOM94" s="1056"/>
      <c r="AON94" s="1056"/>
      <c r="AOO94" s="1056"/>
      <c r="AOP94" s="1056"/>
      <c r="AOQ94" s="1056"/>
      <c r="AOR94" s="1056"/>
      <c r="AOS94" s="1056"/>
      <c r="AOT94" s="1056"/>
      <c r="AOU94" s="1056"/>
      <c r="AOV94" s="1056"/>
      <c r="AOW94" s="1056"/>
      <c r="AOX94" s="1056"/>
      <c r="AOY94" s="1056"/>
      <c r="AOZ94" s="1056"/>
      <c r="APA94" s="1056"/>
      <c r="APB94" s="1056"/>
      <c r="APC94" s="1056"/>
      <c r="APD94" s="1056"/>
      <c r="APE94" s="1056"/>
      <c r="APF94" s="1056"/>
      <c r="APG94" s="1056"/>
      <c r="APH94" s="1056"/>
      <c r="API94" s="1056"/>
      <c r="APJ94" s="1056"/>
      <c r="APK94" s="1056"/>
      <c r="APL94" s="1056"/>
      <c r="APM94" s="1056"/>
      <c r="APN94" s="1056"/>
      <c r="APO94" s="1056"/>
      <c r="APP94" s="1056"/>
      <c r="APQ94" s="1056"/>
      <c r="APR94" s="1056"/>
      <c r="APS94" s="1056"/>
      <c r="APT94" s="1056"/>
      <c r="APU94" s="1056"/>
      <c r="APV94" s="1056"/>
      <c r="APW94" s="1056"/>
      <c r="APX94" s="1056"/>
      <c r="APY94" s="1056"/>
      <c r="APZ94" s="1056"/>
      <c r="AQA94" s="1056"/>
      <c r="AQB94" s="1056"/>
      <c r="AQC94" s="1056"/>
      <c r="AQD94" s="1056"/>
      <c r="AQE94" s="1056"/>
      <c r="AQF94" s="1056"/>
      <c r="AQG94" s="1056"/>
      <c r="AQH94" s="1056"/>
      <c r="AQI94" s="1056"/>
      <c r="AQJ94" s="1056"/>
      <c r="AQK94" s="1056"/>
      <c r="AQL94" s="1056"/>
      <c r="AQM94" s="1056"/>
      <c r="AQN94" s="1056"/>
      <c r="AQO94" s="1056"/>
      <c r="AQP94" s="1056"/>
      <c r="AQQ94" s="1056"/>
      <c r="AQR94" s="1056"/>
      <c r="AQS94" s="1056"/>
      <c r="AQT94" s="1056"/>
      <c r="AQU94" s="1056"/>
      <c r="AQV94" s="1056"/>
      <c r="AQW94" s="1056"/>
      <c r="AQX94" s="1056"/>
      <c r="AQY94" s="1056"/>
      <c r="AQZ94" s="1056"/>
      <c r="ARA94" s="1056"/>
      <c r="ARB94" s="1056"/>
      <c r="ARC94" s="1056"/>
      <c r="ARD94" s="1056"/>
      <c r="ARE94" s="1056"/>
      <c r="ARF94" s="1056"/>
      <c r="ARG94" s="1056"/>
      <c r="ARH94" s="1056"/>
      <c r="ARI94" s="1056"/>
      <c r="ARJ94" s="1056"/>
      <c r="ARK94" s="1056"/>
      <c r="ARL94" s="1056"/>
      <c r="ARM94" s="1056"/>
      <c r="ARN94" s="1056"/>
      <c r="ARO94" s="1056"/>
      <c r="ARP94" s="1056"/>
      <c r="ARQ94" s="1056"/>
      <c r="ARR94" s="1056"/>
      <c r="ARS94" s="1056"/>
      <c r="ART94" s="1056"/>
      <c r="ARU94" s="1056"/>
      <c r="ARV94" s="1056"/>
      <c r="ARW94" s="1056"/>
      <c r="ARX94" s="1056"/>
      <c r="ARY94" s="1056"/>
      <c r="ARZ94" s="1056"/>
      <c r="ASA94" s="1056"/>
      <c r="ASB94" s="1056"/>
      <c r="ASC94" s="1056"/>
      <c r="ASD94" s="1056"/>
      <c r="ASE94" s="1056"/>
      <c r="ASF94" s="1056"/>
      <c r="ASG94" s="1056"/>
      <c r="ASH94" s="1056"/>
      <c r="ASI94" s="1056"/>
      <c r="ASJ94" s="1056"/>
      <c r="ASK94" s="1056"/>
      <c r="ASL94" s="1056"/>
      <c r="ASM94" s="1056"/>
      <c r="ASN94" s="1056"/>
      <c r="ASO94" s="1056"/>
      <c r="ASP94" s="1056"/>
      <c r="ASQ94" s="1056"/>
      <c r="ASR94" s="1056"/>
      <c r="ASS94" s="1056"/>
      <c r="AST94" s="1056"/>
      <c r="ASU94" s="1056"/>
      <c r="ASV94" s="1056"/>
      <c r="ASW94" s="1056"/>
      <c r="ASX94" s="1056"/>
      <c r="ASY94" s="1056"/>
      <c r="ASZ94" s="1056"/>
      <c r="ATA94" s="1056"/>
      <c r="ATB94" s="1056"/>
      <c r="ATC94" s="1056"/>
      <c r="ATD94" s="1056"/>
      <c r="ATE94" s="1056"/>
      <c r="ATF94" s="1056"/>
      <c r="ATG94" s="1056"/>
      <c r="ATH94" s="1056"/>
      <c r="ATI94" s="1056"/>
      <c r="ATJ94" s="1056"/>
      <c r="ATK94" s="1056"/>
      <c r="ATL94" s="1056"/>
      <c r="ATM94" s="1056"/>
      <c r="ATN94" s="1056"/>
      <c r="ATO94" s="1056"/>
      <c r="ATP94" s="1056"/>
      <c r="ATQ94" s="1056"/>
      <c r="ATR94" s="1056"/>
      <c r="ATS94" s="1056"/>
      <c r="ATT94" s="1056"/>
      <c r="ATU94" s="1056"/>
      <c r="ATV94" s="1056"/>
      <c r="ATW94" s="1056"/>
      <c r="ATX94" s="1056"/>
      <c r="ATY94" s="1056"/>
      <c r="ATZ94" s="1056"/>
      <c r="AUA94" s="1056"/>
      <c r="AUB94" s="1056"/>
      <c r="AUC94" s="1056"/>
      <c r="AUD94" s="1056"/>
      <c r="AUE94" s="1056"/>
      <c r="AUF94" s="1056"/>
      <c r="AUG94" s="1056"/>
      <c r="AUH94" s="1056"/>
      <c r="AUI94" s="1056"/>
      <c r="AUJ94" s="1056"/>
      <c r="AUK94" s="1056"/>
      <c r="AUL94" s="1056"/>
      <c r="AUM94" s="1056"/>
      <c r="AUN94" s="1056"/>
      <c r="AUO94" s="1056"/>
      <c r="AUP94" s="1056"/>
      <c r="AUQ94" s="1056"/>
      <c r="AUR94" s="1056"/>
      <c r="AUS94" s="1056"/>
      <c r="AUT94" s="1056"/>
      <c r="AUU94" s="1056"/>
      <c r="AUV94" s="1056"/>
      <c r="AUW94" s="1056"/>
      <c r="AUX94" s="1056"/>
      <c r="AUY94" s="1056"/>
      <c r="AUZ94" s="1056"/>
      <c r="AVA94" s="1056"/>
      <c r="AVB94" s="1056"/>
      <c r="AVC94" s="1056"/>
      <c r="AVD94" s="1056"/>
      <c r="AVE94" s="1056"/>
      <c r="AVF94" s="1056"/>
      <c r="AVG94" s="1056"/>
      <c r="AVH94" s="1056"/>
      <c r="AVI94" s="1056"/>
      <c r="AVJ94" s="1056"/>
      <c r="AVK94" s="1056"/>
      <c r="AVL94" s="1056"/>
      <c r="AVM94" s="1056"/>
      <c r="AVN94" s="1056"/>
      <c r="AVO94" s="1056"/>
      <c r="AVP94" s="1056"/>
      <c r="AVQ94" s="1056"/>
      <c r="AVR94" s="1056"/>
      <c r="AVS94" s="1056"/>
      <c r="AVT94" s="1056"/>
      <c r="AVU94" s="1056"/>
      <c r="AVV94" s="1056"/>
      <c r="AVW94" s="1056"/>
      <c r="AVX94" s="1056"/>
      <c r="AVY94" s="1056"/>
      <c r="AVZ94" s="1056"/>
      <c r="AWA94" s="1056"/>
      <c r="AWB94" s="1056"/>
      <c r="AWC94" s="1056"/>
      <c r="AWD94" s="1056"/>
      <c r="AWE94" s="1056"/>
      <c r="AWF94" s="1056"/>
      <c r="AWG94" s="1056"/>
      <c r="AWH94" s="1056"/>
      <c r="AWI94" s="1056"/>
      <c r="AWJ94" s="1056"/>
      <c r="AWK94" s="1056"/>
      <c r="AWL94" s="1056"/>
      <c r="AWM94" s="1056"/>
      <c r="AWN94" s="1056"/>
      <c r="AWO94" s="1056"/>
      <c r="AWP94" s="1056"/>
      <c r="AWQ94" s="1056"/>
      <c r="AWR94" s="1056"/>
      <c r="AWS94" s="1056"/>
      <c r="AWT94" s="1056"/>
      <c r="AWU94" s="1056"/>
      <c r="AWV94" s="1056"/>
      <c r="AWW94" s="1056"/>
      <c r="AWX94" s="1056"/>
      <c r="AWY94" s="1056"/>
      <c r="AWZ94" s="1056"/>
      <c r="AXA94" s="1056"/>
      <c r="AXB94" s="1056"/>
      <c r="AXC94" s="1056"/>
      <c r="AXD94" s="1056"/>
      <c r="AXE94" s="1056"/>
      <c r="AXF94" s="1056"/>
      <c r="AXG94" s="1056"/>
      <c r="AXH94" s="1056"/>
      <c r="AXI94" s="1056"/>
      <c r="AXJ94" s="1056"/>
      <c r="AXK94" s="1056"/>
      <c r="AXL94" s="1056"/>
      <c r="AXM94" s="1056"/>
      <c r="AXN94" s="1056"/>
      <c r="AXO94" s="1056"/>
      <c r="AXP94" s="1056"/>
      <c r="AXQ94" s="1056"/>
      <c r="AXR94" s="1056"/>
      <c r="AXS94" s="1056"/>
      <c r="AXT94" s="1056"/>
      <c r="AXU94" s="1056"/>
      <c r="AXV94" s="1056"/>
      <c r="AXW94" s="1056"/>
      <c r="AXX94" s="1056"/>
      <c r="AXY94" s="1056"/>
      <c r="AXZ94" s="1056"/>
      <c r="AYA94" s="1056"/>
      <c r="AYB94" s="1056"/>
      <c r="AYC94" s="1056"/>
      <c r="AYD94" s="1056"/>
      <c r="AYE94" s="1056"/>
      <c r="AYF94" s="1056"/>
      <c r="AYG94" s="1056"/>
      <c r="AYH94" s="1056"/>
      <c r="AYI94" s="1056"/>
      <c r="AYJ94" s="1056"/>
      <c r="AYK94" s="1056"/>
      <c r="AYL94" s="1056"/>
      <c r="AYM94" s="1056"/>
      <c r="AYN94" s="1056"/>
      <c r="AYO94" s="1056"/>
      <c r="AYP94" s="1056"/>
      <c r="AYQ94" s="1056"/>
      <c r="AYR94" s="1056"/>
      <c r="AYS94" s="1056"/>
      <c r="AYT94" s="1056"/>
      <c r="AYU94" s="1056"/>
      <c r="AYV94" s="1056"/>
      <c r="AYW94" s="1056"/>
      <c r="AYX94" s="1056"/>
      <c r="AYY94" s="1056"/>
      <c r="AYZ94" s="1056"/>
      <c r="AZA94" s="1056"/>
      <c r="AZB94" s="1056"/>
      <c r="AZC94" s="1056"/>
      <c r="AZD94" s="1056"/>
      <c r="AZE94" s="1056"/>
      <c r="AZF94" s="1056"/>
      <c r="AZG94" s="1056"/>
      <c r="AZH94" s="1056"/>
      <c r="AZI94" s="1056"/>
      <c r="AZJ94" s="1056"/>
      <c r="AZK94" s="1056"/>
      <c r="AZL94" s="1056"/>
      <c r="AZM94" s="1056"/>
      <c r="AZN94" s="1056"/>
      <c r="AZO94" s="1056"/>
      <c r="AZP94" s="1056"/>
      <c r="AZQ94" s="1056"/>
      <c r="AZR94" s="1056"/>
      <c r="AZS94" s="1056"/>
      <c r="AZT94" s="1056"/>
      <c r="AZU94" s="1056"/>
      <c r="AZV94" s="1056"/>
      <c r="AZW94" s="1056"/>
      <c r="AZX94" s="1056"/>
      <c r="AZY94" s="1056"/>
      <c r="AZZ94" s="1056"/>
      <c r="BAA94" s="1056"/>
      <c r="BAB94" s="1056"/>
      <c r="BAC94" s="1056"/>
      <c r="BAD94" s="1056"/>
      <c r="BAE94" s="1056"/>
      <c r="BAF94" s="1056"/>
      <c r="BAG94" s="1056"/>
      <c r="BAH94" s="1056"/>
      <c r="BAI94" s="1056"/>
      <c r="BAJ94" s="1056"/>
      <c r="BAK94" s="1056"/>
      <c r="BAL94" s="1056"/>
      <c r="BAM94" s="1056"/>
      <c r="BAN94" s="1056"/>
      <c r="BAO94" s="1056"/>
      <c r="BAP94" s="1056"/>
      <c r="BAQ94" s="1056"/>
      <c r="BAR94" s="1056"/>
      <c r="BAS94" s="1056"/>
      <c r="BAT94" s="1056"/>
      <c r="BAU94" s="1056"/>
      <c r="BAV94" s="1056"/>
      <c r="BAW94" s="1056"/>
      <c r="BAX94" s="1056"/>
      <c r="BAY94" s="1056"/>
      <c r="BAZ94" s="1056"/>
      <c r="BBA94" s="1056"/>
      <c r="BBB94" s="1056"/>
      <c r="BBC94" s="1056"/>
      <c r="BBD94" s="1056"/>
      <c r="BBE94" s="1056"/>
      <c r="BBF94" s="1056"/>
      <c r="BBG94" s="1056"/>
      <c r="BBH94" s="1056"/>
      <c r="BBI94" s="1056"/>
      <c r="BBJ94" s="1056"/>
      <c r="BBK94" s="1056"/>
      <c r="BBL94" s="1056"/>
      <c r="BBM94" s="1056"/>
      <c r="BBN94" s="1056"/>
      <c r="BBO94" s="1056"/>
      <c r="BBP94" s="1056"/>
      <c r="BBQ94" s="1056"/>
      <c r="BBR94" s="1056"/>
      <c r="BBS94" s="1056"/>
      <c r="BBT94" s="1056"/>
      <c r="BBU94" s="1056"/>
      <c r="BBV94" s="1056"/>
      <c r="BBW94" s="1056"/>
      <c r="BBX94" s="1056"/>
      <c r="BBY94" s="1056"/>
      <c r="BBZ94" s="1056"/>
      <c r="BCA94" s="1056"/>
      <c r="BCB94" s="1056"/>
      <c r="BCC94" s="1056"/>
      <c r="BCD94" s="1056"/>
      <c r="BCE94" s="1056"/>
      <c r="BCF94" s="1056"/>
      <c r="BCG94" s="1056"/>
      <c r="BCH94" s="1056"/>
      <c r="BCI94" s="1056"/>
      <c r="BCJ94" s="1056"/>
      <c r="BCK94" s="1056"/>
      <c r="BCL94" s="1056"/>
      <c r="BCM94" s="1056"/>
      <c r="BCN94" s="1056"/>
      <c r="BCO94" s="1056"/>
      <c r="BCP94" s="1056"/>
      <c r="BCQ94" s="1056"/>
      <c r="BCR94" s="1056"/>
      <c r="BCS94" s="1056"/>
      <c r="BCT94" s="1056"/>
      <c r="BCU94" s="1056"/>
      <c r="BCV94" s="1056"/>
      <c r="BCW94" s="1056"/>
      <c r="BCX94" s="1056"/>
      <c r="BCY94" s="1056"/>
      <c r="BCZ94" s="1056"/>
      <c r="BDA94" s="1056"/>
      <c r="BDB94" s="1056"/>
      <c r="BDC94" s="1056"/>
      <c r="BDD94" s="1056"/>
      <c r="BDE94" s="1056"/>
      <c r="BDF94" s="1056"/>
      <c r="BDG94" s="1056"/>
      <c r="BDH94" s="1056"/>
      <c r="BDI94" s="1056"/>
      <c r="BDJ94" s="1056"/>
      <c r="BDK94" s="1056"/>
      <c r="BDL94" s="1056"/>
      <c r="BDM94" s="1056"/>
      <c r="BDN94" s="1056"/>
      <c r="BDO94" s="1056"/>
      <c r="BDP94" s="1056"/>
      <c r="BDQ94" s="1056"/>
      <c r="BDR94" s="1056"/>
      <c r="BDS94" s="1056"/>
      <c r="BDT94" s="1056"/>
      <c r="BDU94" s="1056"/>
      <c r="BDV94" s="1056"/>
      <c r="BDW94" s="1056"/>
      <c r="BDX94" s="1056"/>
      <c r="BDY94" s="1056"/>
      <c r="BDZ94" s="1056"/>
      <c r="BEA94" s="1056"/>
      <c r="BEB94" s="1056"/>
      <c r="BEC94" s="1056"/>
      <c r="BED94" s="1056"/>
      <c r="BEE94" s="1056"/>
      <c r="BEF94" s="1056"/>
      <c r="BEG94" s="1056"/>
      <c r="BEH94" s="1056"/>
      <c r="BEI94" s="1056"/>
      <c r="BEJ94" s="1056"/>
      <c r="BEK94" s="1056"/>
      <c r="BEL94" s="1056"/>
      <c r="BEM94" s="1056"/>
      <c r="BEN94" s="1056"/>
      <c r="BEO94" s="1056"/>
      <c r="BEP94" s="1056"/>
      <c r="BEQ94" s="1056"/>
      <c r="BER94" s="1056"/>
      <c r="BES94" s="1056"/>
      <c r="BET94" s="1056"/>
      <c r="BEU94" s="1056"/>
      <c r="BEV94" s="1056"/>
      <c r="BEW94" s="1056"/>
      <c r="BEX94" s="1056"/>
      <c r="BEY94" s="1056"/>
      <c r="BEZ94" s="1056"/>
      <c r="BFA94" s="1056"/>
      <c r="BFB94" s="1056"/>
      <c r="BFC94" s="1056"/>
      <c r="BFD94" s="1056"/>
      <c r="BFE94" s="1056"/>
      <c r="BFF94" s="1056"/>
      <c r="BFG94" s="1056"/>
      <c r="BFH94" s="1056"/>
      <c r="BFI94" s="1056"/>
      <c r="BFJ94" s="1056"/>
      <c r="BFK94" s="1056"/>
      <c r="BFL94" s="1056"/>
      <c r="BFM94" s="1056"/>
      <c r="BFN94" s="1056"/>
      <c r="BFO94" s="1056"/>
      <c r="BFP94" s="1056"/>
      <c r="BFQ94" s="1056"/>
      <c r="BFR94" s="1056"/>
      <c r="BFS94" s="1056"/>
      <c r="BFT94" s="1056"/>
      <c r="BFU94" s="1056"/>
      <c r="BFV94" s="1056"/>
      <c r="BFW94" s="1056"/>
      <c r="BFX94" s="1056"/>
      <c r="BFY94" s="1056"/>
      <c r="BFZ94" s="1056"/>
      <c r="BGA94" s="1056"/>
      <c r="BGB94" s="1056"/>
      <c r="BGC94" s="1056"/>
      <c r="BGD94" s="1056"/>
      <c r="BGE94" s="1056"/>
      <c r="BGF94" s="1056"/>
      <c r="BGG94" s="1056"/>
      <c r="BGH94" s="1056"/>
      <c r="BGI94" s="1056"/>
      <c r="BGJ94" s="1056"/>
      <c r="BGK94" s="1056"/>
      <c r="BGL94" s="1056"/>
      <c r="BGM94" s="1056"/>
      <c r="BGN94" s="1056"/>
      <c r="BGO94" s="1056"/>
      <c r="BGP94" s="1056"/>
      <c r="BGQ94" s="1056"/>
      <c r="BGR94" s="1056"/>
      <c r="BGS94" s="1056"/>
      <c r="BGT94" s="1056"/>
      <c r="BGU94" s="1056"/>
      <c r="BGV94" s="1056"/>
      <c r="BGW94" s="1056"/>
      <c r="BGX94" s="1056"/>
      <c r="BGY94" s="1056"/>
      <c r="BGZ94" s="1056"/>
      <c r="BHA94" s="1056"/>
      <c r="BHB94" s="1056"/>
      <c r="BHC94" s="1056"/>
      <c r="BHD94" s="1056"/>
      <c r="BHE94" s="1056"/>
      <c r="BHF94" s="1056"/>
      <c r="BHG94" s="1056"/>
      <c r="BHH94" s="1056"/>
      <c r="BHI94" s="1056"/>
      <c r="BHJ94" s="1056"/>
      <c r="BHK94" s="1056"/>
      <c r="BHL94" s="1056"/>
      <c r="BHM94" s="1056"/>
      <c r="BHN94" s="1056"/>
      <c r="BHO94" s="1056"/>
      <c r="BHP94" s="1056"/>
      <c r="BHQ94" s="1056"/>
      <c r="BHR94" s="1056"/>
      <c r="BHS94" s="1056"/>
      <c r="BHT94" s="1056"/>
      <c r="BHU94" s="1056"/>
      <c r="BHV94" s="1056"/>
      <c r="BHW94" s="1056"/>
      <c r="BHX94" s="1056"/>
      <c r="BHY94" s="1056"/>
      <c r="BHZ94" s="1056"/>
      <c r="BIA94" s="1056"/>
      <c r="BIB94" s="1056"/>
      <c r="BIC94" s="1056"/>
      <c r="BID94" s="1056"/>
      <c r="BIE94" s="1056"/>
      <c r="BIF94" s="1056"/>
      <c r="BIG94" s="1056"/>
      <c r="BIH94" s="1056"/>
      <c r="BII94" s="1056"/>
      <c r="BIJ94" s="1056"/>
      <c r="BIK94" s="1056"/>
      <c r="BIL94" s="1056"/>
      <c r="BIM94" s="1056"/>
      <c r="BIN94" s="1056"/>
      <c r="BIO94" s="1056"/>
      <c r="BIP94" s="1056"/>
      <c r="BIQ94" s="1056"/>
      <c r="BIR94" s="1056"/>
      <c r="BIS94" s="1056"/>
      <c r="BIT94" s="1056"/>
      <c r="BIU94" s="1056"/>
      <c r="BIV94" s="1056"/>
      <c r="BIW94" s="1056"/>
      <c r="BIX94" s="1056"/>
      <c r="BIY94" s="1056"/>
      <c r="BIZ94" s="1056"/>
      <c r="BJA94" s="1056"/>
      <c r="BJB94" s="1056"/>
      <c r="BJC94" s="1056"/>
      <c r="BJD94" s="1056"/>
      <c r="BJE94" s="1056"/>
      <c r="BJF94" s="1056"/>
      <c r="BJG94" s="1056"/>
      <c r="BJH94" s="1056"/>
      <c r="BJI94" s="1056"/>
      <c r="BJJ94" s="1056"/>
      <c r="BJK94" s="1056"/>
      <c r="BJL94" s="1056"/>
      <c r="BJM94" s="1056"/>
      <c r="BJN94" s="1056"/>
      <c r="BJO94" s="1056"/>
      <c r="BJP94" s="1056"/>
      <c r="BJQ94" s="1056"/>
      <c r="BJR94" s="1056"/>
      <c r="BJS94" s="1056"/>
      <c r="BJT94" s="1056"/>
      <c r="BJU94" s="1056"/>
      <c r="BJV94" s="1056"/>
      <c r="BJW94" s="1056"/>
      <c r="BJX94" s="1056"/>
      <c r="BJY94" s="1056"/>
      <c r="BJZ94" s="1056"/>
      <c r="BKA94" s="1056"/>
      <c r="BKB94" s="1056"/>
      <c r="BKC94" s="1056"/>
      <c r="BKD94" s="1056"/>
      <c r="BKE94" s="1056"/>
      <c r="BKF94" s="1056"/>
      <c r="BKG94" s="1056"/>
      <c r="BKH94" s="1056"/>
      <c r="BKI94" s="1056"/>
      <c r="BKJ94" s="1056"/>
      <c r="BKK94" s="1056"/>
      <c r="BKL94" s="1056"/>
      <c r="BKM94" s="1056"/>
      <c r="BKN94" s="1056"/>
      <c r="BKO94" s="1056"/>
      <c r="BKP94" s="1056"/>
      <c r="BKQ94" s="1056"/>
      <c r="BKR94" s="1056"/>
      <c r="BKS94" s="1056"/>
      <c r="BKT94" s="1056"/>
      <c r="BKU94" s="1056"/>
      <c r="BKV94" s="1056"/>
      <c r="BKW94" s="1056"/>
      <c r="BKX94" s="1056"/>
      <c r="BKY94" s="1056"/>
      <c r="BKZ94" s="1056"/>
      <c r="BLA94" s="1056"/>
      <c r="BLB94" s="1056"/>
      <c r="BLC94" s="1056"/>
      <c r="BLD94" s="1056"/>
      <c r="BLE94" s="1056"/>
      <c r="BLF94" s="1056"/>
      <c r="BLG94" s="1056"/>
      <c r="BLH94" s="1056"/>
      <c r="BLI94" s="1056"/>
      <c r="BLJ94" s="1056"/>
      <c r="BLK94" s="1056"/>
      <c r="BLL94" s="1056"/>
      <c r="BLM94" s="1056"/>
      <c r="BLN94" s="1056"/>
      <c r="BLO94" s="1056"/>
      <c r="BLP94" s="1056"/>
      <c r="BLQ94" s="1056"/>
      <c r="BLR94" s="1056"/>
      <c r="BLS94" s="1056"/>
      <c r="BLT94" s="1056"/>
      <c r="BLU94" s="1056"/>
      <c r="BLV94" s="1056"/>
      <c r="BLW94" s="1056"/>
      <c r="BLX94" s="1056"/>
      <c r="BLY94" s="1056"/>
      <c r="BLZ94" s="1056"/>
      <c r="BMA94" s="1056"/>
      <c r="BMB94" s="1056"/>
      <c r="BMC94" s="1056"/>
      <c r="BMD94" s="1056"/>
      <c r="BME94" s="1056"/>
      <c r="BMF94" s="1056"/>
      <c r="BMG94" s="1056"/>
      <c r="BMH94" s="1056"/>
      <c r="BMI94" s="1056"/>
      <c r="BMJ94" s="1056"/>
      <c r="BMK94" s="1056"/>
      <c r="BML94" s="1056"/>
      <c r="BMM94" s="1056"/>
      <c r="BMN94" s="1056"/>
      <c r="BMO94" s="1056"/>
      <c r="BMP94" s="1056"/>
      <c r="BMQ94" s="1056"/>
      <c r="BMR94" s="1056"/>
      <c r="BMS94" s="1056"/>
      <c r="BMT94" s="1056"/>
      <c r="BMU94" s="1056"/>
      <c r="BMV94" s="1056"/>
      <c r="BMW94" s="1056"/>
      <c r="BMX94" s="1056"/>
      <c r="BMY94" s="1056"/>
      <c r="BMZ94" s="1056"/>
      <c r="BNA94" s="1056"/>
      <c r="BNB94" s="1056"/>
      <c r="BNC94" s="1056"/>
      <c r="BND94" s="1056"/>
      <c r="BNE94" s="1056"/>
      <c r="BNF94" s="1056"/>
      <c r="BNG94" s="1056"/>
      <c r="BNH94" s="1056"/>
      <c r="BNI94" s="1056"/>
      <c r="BNJ94" s="1056"/>
      <c r="BNK94" s="1056"/>
      <c r="BNL94" s="1056"/>
      <c r="BNM94" s="1056"/>
      <c r="BNN94" s="1056"/>
      <c r="BNO94" s="1056"/>
      <c r="BNP94" s="1056"/>
      <c r="BNQ94" s="1056"/>
      <c r="BNR94" s="1056"/>
      <c r="BNS94" s="1056"/>
      <c r="BNT94" s="1056"/>
      <c r="BNU94" s="1056"/>
      <c r="BNV94" s="1056"/>
      <c r="BNW94" s="1056"/>
      <c r="BNX94" s="1056"/>
      <c r="BNY94" s="1056"/>
      <c r="BNZ94" s="1056"/>
      <c r="BOA94" s="1056"/>
      <c r="BOB94" s="1056"/>
      <c r="BOC94" s="1056"/>
      <c r="BOD94" s="1056"/>
      <c r="BOE94" s="1056"/>
      <c r="BOF94" s="1056"/>
      <c r="BOG94" s="1056"/>
      <c r="BOH94" s="1056"/>
      <c r="BOI94" s="1056"/>
      <c r="BOJ94" s="1056"/>
      <c r="BOK94" s="1056"/>
      <c r="BOL94" s="1056"/>
      <c r="BOM94" s="1056"/>
      <c r="BON94" s="1056"/>
      <c r="BOO94" s="1056"/>
      <c r="BOP94" s="1056"/>
      <c r="BOQ94" s="1056"/>
      <c r="BOR94" s="1056"/>
      <c r="BOS94" s="1056"/>
      <c r="BOT94" s="1056"/>
      <c r="BOU94" s="1056"/>
      <c r="BOV94" s="1056"/>
      <c r="BOW94" s="1056"/>
      <c r="BOX94" s="1056"/>
      <c r="BOY94" s="1056"/>
      <c r="BOZ94" s="1056"/>
      <c r="BPA94" s="1056"/>
      <c r="BPB94" s="1056"/>
      <c r="BPC94" s="1056"/>
      <c r="BPD94" s="1056"/>
      <c r="BPE94" s="1056"/>
      <c r="BPF94" s="1056"/>
      <c r="BPG94" s="1056"/>
      <c r="BPH94" s="1056"/>
      <c r="BPI94" s="1056"/>
      <c r="BPJ94" s="1056"/>
      <c r="BPK94" s="1056"/>
      <c r="BPL94" s="1056"/>
      <c r="BPM94" s="1056"/>
      <c r="BPN94" s="1056"/>
      <c r="BPO94" s="1056"/>
      <c r="BPP94" s="1056"/>
      <c r="BPQ94" s="1056"/>
      <c r="BPR94" s="1056"/>
      <c r="BPS94" s="1056"/>
      <c r="BPT94" s="1056"/>
      <c r="BPU94" s="1056"/>
      <c r="BPV94" s="1056"/>
      <c r="BPW94" s="1056"/>
      <c r="BPX94" s="1056"/>
      <c r="BPY94" s="1056"/>
      <c r="BPZ94" s="1056"/>
      <c r="BQA94" s="1056"/>
      <c r="BQB94" s="1056"/>
      <c r="BQC94" s="1056"/>
      <c r="BQD94" s="1056"/>
      <c r="BQE94" s="1056"/>
      <c r="BQF94" s="1056"/>
      <c r="BQG94" s="1056"/>
      <c r="BQH94" s="1056"/>
      <c r="BQI94" s="1056"/>
      <c r="BQJ94" s="1056"/>
      <c r="BQK94" s="1056"/>
      <c r="BQL94" s="1056"/>
      <c r="BQM94" s="1056"/>
      <c r="BQN94" s="1056"/>
      <c r="BQO94" s="1056"/>
      <c r="BQP94" s="1056"/>
      <c r="BQQ94" s="1056"/>
      <c r="BQR94" s="1056"/>
      <c r="BQS94" s="1056"/>
      <c r="BQT94" s="1056"/>
      <c r="BQU94" s="1056"/>
      <c r="BQV94" s="1056"/>
      <c r="BQW94" s="1056"/>
      <c r="BQX94" s="1056"/>
      <c r="BQY94" s="1056"/>
      <c r="BQZ94" s="1056"/>
      <c r="BRA94" s="1056"/>
      <c r="BRB94" s="1056"/>
      <c r="BRC94" s="1056"/>
      <c r="BRD94" s="1056"/>
      <c r="BRE94" s="1056"/>
      <c r="BRF94" s="1056"/>
      <c r="BRG94" s="1056"/>
      <c r="BRH94" s="1056"/>
      <c r="BRI94" s="1056"/>
      <c r="BRJ94" s="1056"/>
      <c r="BRK94" s="1056"/>
      <c r="BRL94" s="1056"/>
      <c r="BRM94" s="1056"/>
      <c r="BRN94" s="1056"/>
      <c r="BRO94" s="1056"/>
      <c r="BRP94" s="1056"/>
      <c r="BRQ94" s="1056"/>
      <c r="BRR94" s="1056"/>
      <c r="BRS94" s="1056"/>
      <c r="BRT94" s="1056"/>
      <c r="BRU94" s="1056"/>
      <c r="BRV94" s="1056"/>
      <c r="BRW94" s="1056"/>
      <c r="BRX94" s="1056"/>
      <c r="BRY94" s="1056"/>
      <c r="BRZ94" s="1056"/>
      <c r="BSA94" s="1056"/>
      <c r="BSB94" s="1056"/>
      <c r="BSC94" s="1056"/>
      <c r="BSD94" s="1056"/>
      <c r="BSE94" s="1056"/>
      <c r="BSF94" s="1056"/>
      <c r="BSG94" s="1056"/>
      <c r="BSH94" s="1056"/>
      <c r="BSI94" s="1056"/>
      <c r="BSJ94" s="1056"/>
      <c r="BSK94" s="1056"/>
      <c r="BSL94" s="1056"/>
      <c r="BSM94" s="1056"/>
      <c r="BSN94" s="1056"/>
      <c r="BSO94" s="1056"/>
      <c r="BSP94" s="1056"/>
      <c r="BSQ94" s="1056"/>
      <c r="BSR94" s="1056"/>
      <c r="BSS94" s="1056"/>
      <c r="BST94" s="1056"/>
      <c r="BSU94" s="1056"/>
      <c r="BSV94" s="1056"/>
      <c r="BSW94" s="1056"/>
      <c r="BSX94" s="1056"/>
      <c r="BSY94" s="1056"/>
      <c r="BSZ94" s="1056"/>
      <c r="BTA94" s="1056"/>
      <c r="BTB94" s="1056"/>
      <c r="BTC94" s="1056"/>
      <c r="BTD94" s="1056"/>
      <c r="BTE94" s="1056"/>
      <c r="BTF94" s="1056"/>
      <c r="BTG94" s="1056"/>
      <c r="BTH94" s="1056"/>
      <c r="BTI94" s="1056"/>
    </row>
    <row r="95" spans="1:1881" s="1060" customFormat="1" ht="115.5" hidden="1" customHeight="1" thickBot="1" x14ac:dyDescent="0.35">
      <c r="A95" s="1059">
        <v>150</v>
      </c>
      <c r="B95" s="1051" t="s">
        <v>942</v>
      </c>
      <c r="C95" s="1051" t="s">
        <v>943</v>
      </c>
      <c r="D95" s="1052" t="s">
        <v>1025</v>
      </c>
      <c r="E95" s="1053" t="e">
        <f>HLOOKUP($D$2,'2020 Data(H)'!$C$1:$AI$426,70,FALSE)</f>
        <v>#N/A</v>
      </c>
      <c r="F95" s="287">
        <v>0</v>
      </c>
      <c r="G95" s="722"/>
      <c r="H95" s="1054"/>
      <c r="I95" s="1055"/>
      <c r="J95" s="1056"/>
      <c r="K95" s="1056"/>
      <c r="L95" s="1057"/>
      <c r="M95" s="1056"/>
      <c r="N95" s="1058"/>
      <c r="O95" s="1056"/>
      <c r="P95" s="1056"/>
      <c r="Q95" s="1056"/>
      <c r="R95" s="1056"/>
      <c r="S95" s="1056"/>
      <c r="T95" s="1056"/>
      <c r="U95" s="1056"/>
      <c r="V95" s="1056"/>
      <c r="W95" s="1056"/>
      <c r="X95" s="1056"/>
      <c r="Y95" s="1056"/>
      <c r="Z95" s="1059"/>
      <c r="AA95" s="1059"/>
      <c r="AB95" s="1059"/>
      <c r="AC95" s="1059"/>
      <c r="AD95" s="1059"/>
      <c r="AE95" s="1059"/>
      <c r="AF95" s="1059"/>
      <c r="AG95" s="1059"/>
      <c r="AH95" s="1059"/>
      <c r="AI95" s="1059"/>
      <c r="AJ95" s="1059"/>
      <c r="AK95" s="1059"/>
      <c r="AL95" s="1059"/>
      <c r="AM95" s="1059"/>
      <c r="AN95" s="1059"/>
      <c r="AO95" s="1059"/>
      <c r="AP95" s="1059"/>
      <c r="AQ95" s="1059"/>
      <c r="AR95" s="1059"/>
      <c r="AS95" s="1056"/>
      <c r="AT95" s="1056"/>
      <c r="AU95" s="1056"/>
      <c r="AV95" s="1056"/>
      <c r="AW95" s="1056"/>
      <c r="AX95" s="1056"/>
      <c r="AY95" s="1056"/>
      <c r="AZ95" s="1056"/>
      <c r="BA95" s="1056"/>
      <c r="BB95" s="1056"/>
      <c r="BC95" s="1056"/>
      <c r="BD95" s="1056"/>
      <c r="BE95" s="1056"/>
      <c r="BF95" s="1056"/>
      <c r="BG95" s="1056"/>
      <c r="BH95" s="1056"/>
      <c r="BI95" s="1056"/>
      <c r="BJ95" s="1056"/>
      <c r="BK95" s="1056"/>
      <c r="BL95" s="1056"/>
      <c r="BM95" s="1056"/>
      <c r="BN95" s="1056"/>
      <c r="BO95" s="1056"/>
      <c r="BP95" s="1056"/>
      <c r="BQ95" s="1056"/>
      <c r="BR95" s="1056"/>
      <c r="BS95" s="1056"/>
      <c r="BT95" s="1056"/>
      <c r="BU95" s="1056"/>
      <c r="BV95" s="1056"/>
      <c r="BW95" s="1056"/>
      <c r="BX95" s="1056"/>
      <c r="BY95" s="1056"/>
      <c r="BZ95" s="1056"/>
      <c r="CA95" s="1056"/>
      <c r="CB95" s="1056"/>
      <c r="CC95" s="1056"/>
      <c r="CD95" s="1056"/>
      <c r="CE95" s="1056"/>
      <c r="CF95" s="1056"/>
      <c r="CG95" s="1056"/>
      <c r="CH95" s="1056"/>
      <c r="CI95" s="1056"/>
      <c r="CJ95" s="1056"/>
      <c r="CK95" s="1056"/>
      <c r="CL95" s="1056"/>
      <c r="CM95" s="1056"/>
      <c r="CN95" s="1056"/>
      <c r="CO95" s="1056"/>
      <c r="CP95" s="1056"/>
      <c r="CQ95" s="1056"/>
      <c r="CR95" s="1056"/>
      <c r="CS95" s="1056"/>
      <c r="CT95" s="1056"/>
      <c r="CU95" s="1056"/>
      <c r="CV95" s="1056"/>
      <c r="CW95" s="1056"/>
      <c r="CX95" s="1056"/>
      <c r="CY95" s="1056"/>
      <c r="CZ95" s="1056"/>
      <c r="DA95" s="1056"/>
      <c r="DB95" s="1056"/>
      <c r="DC95" s="1056"/>
      <c r="DD95" s="1056"/>
      <c r="DE95" s="1056"/>
      <c r="DF95" s="1056"/>
      <c r="DG95" s="1056"/>
      <c r="DH95" s="1056"/>
      <c r="DI95" s="1056"/>
      <c r="DJ95" s="1056"/>
      <c r="DK95" s="1056"/>
      <c r="DL95" s="1056"/>
      <c r="DM95" s="1056"/>
      <c r="DN95" s="1056"/>
      <c r="DO95" s="1056"/>
      <c r="DP95" s="1056"/>
      <c r="DQ95" s="1056"/>
      <c r="DR95" s="1056"/>
      <c r="DS95" s="1056"/>
      <c r="DT95" s="1056"/>
      <c r="DU95" s="1056"/>
      <c r="DV95" s="1056"/>
      <c r="DW95" s="1056"/>
      <c r="DX95" s="1056"/>
      <c r="DY95" s="1056"/>
      <c r="DZ95" s="1056"/>
      <c r="EA95" s="1056"/>
      <c r="EB95" s="1056"/>
      <c r="EC95" s="1056"/>
      <c r="ED95" s="1056"/>
      <c r="EE95" s="1056"/>
      <c r="EF95" s="1056"/>
      <c r="EG95" s="1056"/>
      <c r="EH95" s="1056"/>
      <c r="EI95" s="1056"/>
      <c r="EJ95" s="1056"/>
      <c r="EK95" s="1056"/>
      <c r="EL95" s="1056"/>
      <c r="EM95" s="1056"/>
      <c r="EN95" s="1056"/>
      <c r="EO95" s="1056"/>
      <c r="EP95" s="1056"/>
      <c r="EQ95" s="1056"/>
      <c r="ER95" s="1056"/>
      <c r="ES95" s="1056"/>
      <c r="ET95" s="1056"/>
      <c r="EU95" s="1056"/>
      <c r="EV95" s="1056"/>
      <c r="EW95" s="1056"/>
      <c r="EX95" s="1056"/>
      <c r="EY95" s="1056"/>
      <c r="EZ95" s="1056"/>
      <c r="FA95" s="1056"/>
      <c r="FB95" s="1056"/>
      <c r="FC95" s="1056"/>
      <c r="FD95" s="1056"/>
      <c r="FE95" s="1056"/>
      <c r="FF95" s="1056"/>
      <c r="FG95" s="1056"/>
      <c r="FH95" s="1056"/>
      <c r="FI95" s="1056"/>
      <c r="FJ95" s="1056"/>
      <c r="FK95" s="1056"/>
      <c r="FL95" s="1056"/>
      <c r="FM95" s="1056"/>
      <c r="FN95" s="1056"/>
      <c r="FO95" s="1056"/>
      <c r="FP95" s="1056"/>
      <c r="FQ95" s="1056"/>
      <c r="FR95" s="1056"/>
      <c r="FS95" s="1056"/>
      <c r="FT95" s="1056"/>
      <c r="FU95" s="1056"/>
      <c r="FV95" s="1056"/>
      <c r="FW95" s="1056"/>
      <c r="FX95" s="1056"/>
      <c r="FY95" s="1056"/>
      <c r="FZ95" s="1056"/>
      <c r="GA95" s="1056"/>
      <c r="GB95" s="1056"/>
      <c r="GC95" s="1056"/>
      <c r="GD95" s="1056"/>
      <c r="GE95" s="1056"/>
      <c r="GF95" s="1056"/>
      <c r="GG95" s="1056"/>
      <c r="GH95" s="1056"/>
      <c r="GI95" s="1056"/>
      <c r="GJ95" s="1056"/>
      <c r="GK95" s="1056"/>
      <c r="GL95" s="1056"/>
      <c r="GM95" s="1056"/>
      <c r="GN95" s="1056"/>
      <c r="GO95" s="1056"/>
      <c r="GP95" s="1056"/>
      <c r="GQ95" s="1056"/>
      <c r="GR95" s="1056"/>
      <c r="GS95" s="1056"/>
      <c r="GT95" s="1056"/>
      <c r="GU95" s="1056"/>
      <c r="GV95" s="1056"/>
      <c r="GW95" s="1056"/>
      <c r="GX95" s="1056"/>
      <c r="GY95" s="1056"/>
      <c r="GZ95" s="1056"/>
      <c r="HA95" s="1056"/>
      <c r="HB95" s="1056"/>
      <c r="HC95" s="1056"/>
      <c r="HD95" s="1056"/>
      <c r="HE95" s="1056"/>
      <c r="HF95" s="1056"/>
      <c r="HG95" s="1056"/>
      <c r="HH95" s="1056"/>
      <c r="HI95" s="1056"/>
      <c r="HJ95" s="1056"/>
      <c r="HK95" s="1056"/>
      <c r="HL95" s="1056"/>
      <c r="HM95" s="1056"/>
      <c r="HN95" s="1056"/>
      <c r="HO95" s="1056"/>
      <c r="HP95" s="1056"/>
      <c r="HQ95" s="1056"/>
      <c r="HR95" s="1056"/>
      <c r="HS95" s="1056"/>
      <c r="HT95" s="1056"/>
      <c r="HU95" s="1056"/>
      <c r="HV95" s="1056"/>
      <c r="HW95" s="1056"/>
      <c r="HX95" s="1056"/>
      <c r="HY95" s="1056"/>
      <c r="HZ95" s="1056"/>
      <c r="IA95" s="1056"/>
      <c r="IB95" s="1056"/>
      <c r="IC95" s="1056"/>
      <c r="ID95" s="1056"/>
      <c r="IE95" s="1056"/>
      <c r="IF95" s="1056"/>
      <c r="IG95" s="1056"/>
      <c r="IH95" s="1056"/>
      <c r="II95" s="1056"/>
      <c r="IJ95" s="1056"/>
      <c r="IK95" s="1056"/>
      <c r="IL95" s="1056"/>
      <c r="IM95" s="1056"/>
      <c r="IN95" s="1056"/>
      <c r="IO95" s="1056"/>
      <c r="IP95" s="1056"/>
      <c r="IQ95" s="1056"/>
      <c r="IR95" s="1056"/>
      <c r="IS95" s="1056"/>
      <c r="IT95" s="1056"/>
      <c r="IU95" s="1056"/>
      <c r="IV95" s="1056"/>
      <c r="IW95" s="1056"/>
      <c r="IX95" s="1056"/>
      <c r="IY95" s="1056"/>
      <c r="IZ95" s="1056"/>
      <c r="JA95" s="1056"/>
      <c r="JB95" s="1056"/>
      <c r="JC95" s="1056"/>
      <c r="JD95" s="1056"/>
      <c r="JE95" s="1056"/>
      <c r="JF95" s="1056"/>
      <c r="JG95" s="1056"/>
      <c r="JH95" s="1056"/>
      <c r="JI95" s="1056"/>
      <c r="JJ95" s="1056"/>
      <c r="JK95" s="1056"/>
      <c r="JL95" s="1056"/>
      <c r="JM95" s="1056"/>
      <c r="JN95" s="1056"/>
      <c r="JO95" s="1056"/>
      <c r="JP95" s="1056"/>
      <c r="JQ95" s="1056"/>
      <c r="JR95" s="1056"/>
      <c r="JS95" s="1056"/>
      <c r="JT95" s="1056"/>
      <c r="JU95" s="1056"/>
      <c r="JV95" s="1056"/>
      <c r="JW95" s="1056"/>
      <c r="JX95" s="1056"/>
      <c r="JY95" s="1056"/>
      <c r="JZ95" s="1056"/>
      <c r="KA95" s="1056"/>
      <c r="KB95" s="1056"/>
      <c r="KC95" s="1056"/>
      <c r="KD95" s="1056"/>
      <c r="KE95" s="1056"/>
      <c r="KF95" s="1056"/>
      <c r="KG95" s="1056"/>
      <c r="KH95" s="1056"/>
      <c r="KI95" s="1056"/>
      <c r="KJ95" s="1056"/>
      <c r="KK95" s="1056"/>
      <c r="KL95" s="1056"/>
      <c r="KM95" s="1056"/>
      <c r="KN95" s="1056"/>
      <c r="KO95" s="1056"/>
      <c r="KP95" s="1056"/>
      <c r="KQ95" s="1056"/>
      <c r="KR95" s="1056"/>
      <c r="KS95" s="1056"/>
      <c r="KT95" s="1056"/>
      <c r="KU95" s="1056"/>
      <c r="KV95" s="1056"/>
      <c r="KW95" s="1056"/>
      <c r="KX95" s="1056"/>
      <c r="KY95" s="1056"/>
      <c r="KZ95" s="1056"/>
      <c r="LA95" s="1056"/>
      <c r="LB95" s="1056"/>
      <c r="LC95" s="1056"/>
      <c r="LD95" s="1056"/>
      <c r="LE95" s="1056"/>
      <c r="LF95" s="1056"/>
      <c r="LG95" s="1056"/>
      <c r="LH95" s="1056"/>
      <c r="LI95" s="1056"/>
      <c r="LJ95" s="1056"/>
      <c r="LK95" s="1056"/>
      <c r="LL95" s="1056"/>
      <c r="LM95" s="1056"/>
      <c r="LN95" s="1056"/>
      <c r="LO95" s="1056"/>
      <c r="LP95" s="1056"/>
      <c r="LQ95" s="1056"/>
      <c r="LR95" s="1056"/>
      <c r="LS95" s="1056"/>
      <c r="LT95" s="1056"/>
      <c r="LU95" s="1056"/>
      <c r="LV95" s="1056"/>
      <c r="LW95" s="1056"/>
      <c r="LX95" s="1056"/>
      <c r="LY95" s="1056"/>
      <c r="LZ95" s="1056"/>
      <c r="MA95" s="1056"/>
      <c r="MB95" s="1056"/>
      <c r="MC95" s="1056"/>
      <c r="MD95" s="1056"/>
      <c r="ME95" s="1056"/>
      <c r="MF95" s="1056"/>
      <c r="MG95" s="1056"/>
      <c r="MH95" s="1056"/>
      <c r="MI95" s="1056"/>
      <c r="MJ95" s="1056"/>
      <c r="MK95" s="1056"/>
      <c r="ML95" s="1056"/>
      <c r="MM95" s="1056"/>
      <c r="MN95" s="1056"/>
      <c r="MO95" s="1056"/>
      <c r="MP95" s="1056"/>
      <c r="MQ95" s="1056"/>
      <c r="MR95" s="1056"/>
      <c r="MS95" s="1056"/>
      <c r="MT95" s="1056"/>
      <c r="MU95" s="1056"/>
      <c r="MV95" s="1056"/>
      <c r="MW95" s="1056"/>
      <c r="MX95" s="1056"/>
      <c r="MY95" s="1056"/>
      <c r="MZ95" s="1056"/>
      <c r="NA95" s="1056"/>
      <c r="NB95" s="1056"/>
      <c r="NC95" s="1056"/>
      <c r="ND95" s="1056"/>
      <c r="NE95" s="1056"/>
      <c r="NF95" s="1056"/>
      <c r="NG95" s="1056"/>
      <c r="NH95" s="1056"/>
      <c r="NI95" s="1056"/>
      <c r="NJ95" s="1056"/>
      <c r="NK95" s="1056"/>
      <c r="NL95" s="1056"/>
      <c r="NM95" s="1056"/>
      <c r="NN95" s="1056"/>
      <c r="NO95" s="1056"/>
      <c r="NP95" s="1056"/>
      <c r="NQ95" s="1056"/>
      <c r="NR95" s="1056"/>
      <c r="NS95" s="1056"/>
      <c r="NT95" s="1056"/>
      <c r="NU95" s="1056"/>
      <c r="NV95" s="1056"/>
      <c r="NW95" s="1056"/>
      <c r="NX95" s="1056"/>
      <c r="NY95" s="1056"/>
      <c r="NZ95" s="1056"/>
      <c r="OA95" s="1056"/>
      <c r="OB95" s="1056"/>
      <c r="OC95" s="1056"/>
      <c r="OD95" s="1056"/>
      <c r="OE95" s="1056"/>
      <c r="OF95" s="1056"/>
      <c r="OG95" s="1056"/>
      <c r="OH95" s="1056"/>
      <c r="OI95" s="1056"/>
      <c r="OJ95" s="1056"/>
      <c r="OK95" s="1056"/>
      <c r="OL95" s="1056"/>
      <c r="OM95" s="1056"/>
      <c r="ON95" s="1056"/>
      <c r="OO95" s="1056"/>
      <c r="OP95" s="1056"/>
      <c r="OQ95" s="1056"/>
      <c r="OR95" s="1056"/>
      <c r="OS95" s="1056"/>
      <c r="OT95" s="1056"/>
      <c r="OU95" s="1056"/>
      <c r="OV95" s="1056"/>
      <c r="OW95" s="1056"/>
      <c r="OX95" s="1056"/>
      <c r="OY95" s="1056"/>
      <c r="OZ95" s="1056"/>
      <c r="PA95" s="1056"/>
      <c r="PB95" s="1056"/>
      <c r="PC95" s="1056"/>
      <c r="PD95" s="1056"/>
      <c r="PE95" s="1056"/>
      <c r="PF95" s="1056"/>
      <c r="PG95" s="1056"/>
      <c r="PH95" s="1056"/>
      <c r="PI95" s="1056"/>
      <c r="PJ95" s="1056"/>
      <c r="PK95" s="1056"/>
      <c r="PL95" s="1056"/>
      <c r="PM95" s="1056"/>
      <c r="PN95" s="1056"/>
      <c r="PO95" s="1056"/>
      <c r="PP95" s="1056"/>
      <c r="PQ95" s="1056"/>
      <c r="PR95" s="1056"/>
      <c r="PS95" s="1056"/>
      <c r="PT95" s="1056"/>
      <c r="PU95" s="1056"/>
      <c r="PV95" s="1056"/>
      <c r="PW95" s="1056"/>
      <c r="PX95" s="1056"/>
      <c r="PY95" s="1056"/>
      <c r="PZ95" s="1056"/>
      <c r="QA95" s="1056"/>
      <c r="QB95" s="1056"/>
      <c r="QC95" s="1056"/>
      <c r="QD95" s="1056"/>
      <c r="QE95" s="1056"/>
      <c r="QF95" s="1056"/>
      <c r="QG95" s="1056"/>
      <c r="QH95" s="1056"/>
      <c r="QI95" s="1056"/>
      <c r="QJ95" s="1056"/>
      <c r="QK95" s="1056"/>
      <c r="QL95" s="1056"/>
      <c r="QM95" s="1056"/>
      <c r="QN95" s="1056"/>
      <c r="QO95" s="1056"/>
      <c r="QP95" s="1056"/>
      <c r="QQ95" s="1056"/>
      <c r="QR95" s="1056"/>
      <c r="QS95" s="1056"/>
      <c r="QT95" s="1056"/>
      <c r="QU95" s="1056"/>
      <c r="QV95" s="1056"/>
      <c r="QW95" s="1056"/>
      <c r="QX95" s="1056"/>
      <c r="QY95" s="1056"/>
      <c r="QZ95" s="1056"/>
      <c r="RA95" s="1056"/>
      <c r="RB95" s="1056"/>
      <c r="RC95" s="1056"/>
      <c r="RD95" s="1056"/>
      <c r="RE95" s="1056"/>
      <c r="RF95" s="1056"/>
      <c r="RG95" s="1056"/>
      <c r="RH95" s="1056"/>
      <c r="RI95" s="1056"/>
      <c r="RJ95" s="1056"/>
      <c r="RK95" s="1056"/>
      <c r="RL95" s="1056"/>
      <c r="RM95" s="1056"/>
      <c r="RN95" s="1056"/>
      <c r="RO95" s="1056"/>
      <c r="RP95" s="1056"/>
      <c r="RQ95" s="1056"/>
      <c r="RR95" s="1056"/>
      <c r="RS95" s="1056"/>
      <c r="RT95" s="1056"/>
      <c r="RU95" s="1056"/>
      <c r="RV95" s="1056"/>
      <c r="RW95" s="1056"/>
      <c r="RX95" s="1056"/>
      <c r="RY95" s="1056"/>
      <c r="RZ95" s="1056"/>
      <c r="SA95" s="1056"/>
      <c r="SB95" s="1056"/>
      <c r="SC95" s="1056"/>
      <c r="SD95" s="1056"/>
      <c r="SE95" s="1056"/>
      <c r="SF95" s="1056"/>
      <c r="SG95" s="1056"/>
      <c r="SH95" s="1056"/>
      <c r="SI95" s="1056"/>
      <c r="SJ95" s="1056"/>
      <c r="SK95" s="1056"/>
      <c r="SL95" s="1056"/>
      <c r="SM95" s="1056"/>
      <c r="SN95" s="1056"/>
      <c r="SO95" s="1056"/>
      <c r="SP95" s="1056"/>
      <c r="SQ95" s="1056"/>
      <c r="SR95" s="1056"/>
      <c r="SS95" s="1056"/>
      <c r="ST95" s="1056"/>
      <c r="SU95" s="1056"/>
      <c r="SV95" s="1056"/>
      <c r="SW95" s="1056"/>
      <c r="SX95" s="1056"/>
      <c r="SY95" s="1056"/>
      <c r="SZ95" s="1056"/>
      <c r="TA95" s="1056"/>
      <c r="TB95" s="1056"/>
      <c r="TC95" s="1056"/>
      <c r="TD95" s="1056"/>
      <c r="TE95" s="1056"/>
      <c r="TF95" s="1056"/>
      <c r="TG95" s="1056"/>
      <c r="TH95" s="1056"/>
      <c r="TI95" s="1056"/>
      <c r="TJ95" s="1056"/>
      <c r="TK95" s="1056"/>
      <c r="TL95" s="1056"/>
      <c r="TM95" s="1056"/>
      <c r="TN95" s="1056"/>
      <c r="TO95" s="1056"/>
      <c r="TP95" s="1056"/>
      <c r="TQ95" s="1056"/>
      <c r="TR95" s="1056"/>
      <c r="TS95" s="1056"/>
      <c r="TT95" s="1056"/>
      <c r="TU95" s="1056"/>
      <c r="TV95" s="1056"/>
      <c r="TW95" s="1056"/>
      <c r="TX95" s="1056"/>
      <c r="TY95" s="1056"/>
      <c r="TZ95" s="1056"/>
      <c r="UA95" s="1056"/>
      <c r="UB95" s="1056"/>
      <c r="UC95" s="1056"/>
      <c r="UD95" s="1056"/>
      <c r="UE95" s="1056"/>
      <c r="UF95" s="1056"/>
      <c r="UG95" s="1056"/>
      <c r="UH95" s="1056"/>
      <c r="UI95" s="1056"/>
      <c r="UJ95" s="1056"/>
      <c r="UK95" s="1056"/>
      <c r="UL95" s="1056"/>
      <c r="UM95" s="1056"/>
      <c r="UN95" s="1056"/>
      <c r="UO95" s="1056"/>
      <c r="UP95" s="1056"/>
      <c r="UQ95" s="1056"/>
      <c r="UR95" s="1056"/>
      <c r="US95" s="1056"/>
      <c r="UT95" s="1056"/>
      <c r="UU95" s="1056"/>
      <c r="UV95" s="1056"/>
      <c r="UW95" s="1056"/>
      <c r="UX95" s="1056"/>
      <c r="UY95" s="1056"/>
      <c r="UZ95" s="1056"/>
      <c r="VA95" s="1056"/>
      <c r="VB95" s="1056"/>
      <c r="VC95" s="1056"/>
      <c r="VD95" s="1056"/>
      <c r="VE95" s="1056"/>
      <c r="VF95" s="1056"/>
      <c r="VG95" s="1056"/>
      <c r="VH95" s="1056"/>
      <c r="VI95" s="1056"/>
      <c r="VJ95" s="1056"/>
      <c r="VK95" s="1056"/>
      <c r="VL95" s="1056"/>
      <c r="VM95" s="1056"/>
      <c r="VN95" s="1056"/>
      <c r="VO95" s="1056"/>
      <c r="VP95" s="1056"/>
      <c r="VQ95" s="1056"/>
      <c r="VR95" s="1056"/>
      <c r="VS95" s="1056"/>
      <c r="VT95" s="1056"/>
      <c r="VU95" s="1056"/>
      <c r="VV95" s="1056"/>
      <c r="VW95" s="1056"/>
      <c r="VX95" s="1056"/>
      <c r="VY95" s="1056"/>
      <c r="VZ95" s="1056"/>
      <c r="WA95" s="1056"/>
      <c r="WB95" s="1056"/>
      <c r="WC95" s="1056"/>
      <c r="WD95" s="1056"/>
      <c r="WE95" s="1056"/>
      <c r="WF95" s="1056"/>
      <c r="WG95" s="1056"/>
      <c r="WH95" s="1056"/>
      <c r="WI95" s="1056"/>
      <c r="WJ95" s="1056"/>
      <c r="WK95" s="1056"/>
      <c r="WL95" s="1056"/>
      <c r="WM95" s="1056"/>
      <c r="WN95" s="1056"/>
      <c r="WO95" s="1056"/>
      <c r="WP95" s="1056"/>
      <c r="WQ95" s="1056"/>
      <c r="WR95" s="1056"/>
      <c r="WS95" s="1056"/>
      <c r="WT95" s="1056"/>
      <c r="WU95" s="1056"/>
      <c r="WV95" s="1056"/>
      <c r="WW95" s="1056"/>
      <c r="WX95" s="1056"/>
      <c r="WY95" s="1056"/>
      <c r="WZ95" s="1056"/>
      <c r="XA95" s="1056"/>
      <c r="XB95" s="1056"/>
      <c r="XC95" s="1056"/>
      <c r="XD95" s="1056"/>
      <c r="XE95" s="1056"/>
      <c r="XF95" s="1056"/>
      <c r="XG95" s="1056"/>
      <c r="XH95" s="1056"/>
      <c r="XI95" s="1056"/>
      <c r="XJ95" s="1056"/>
      <c r="XK95" s="1056"/>
      <c r="XL95" s="1056"/>
      <c r="XM95" s="1056"/>
      <c r="XN95" s="1056"/>
      <c r="XO95" s="1056"/>
      <c r="XP95" s="1056"/>
      <c r="XQ95" s="1056"/>
      <c r="XR95" s="1056"/>
      <c r="XS95" s="1056"/>
      <c r="XT95" s="1056"/>
      <c r="XU95" s="1056"/>
      <c r="XV95" s="1056"/>
      <c r="XW95" s="1056"/>
      <c r="XX95" s="1056"/>
      <c r="XY95" s="1056"/>
      <c r="XZ95" s="1056"/>
      <c r="YA95" s="1056"/>
      <c r="YB95" s="1056"/>
      <c r="YC95" s="1056"/>
      <c r="YD95" s="1056"/>
      <c r="YE95" s="1056"/>
      <c r="YF95" s="1056"/>
      <c r="YG95" s="1056"/>
      <c r="YH95" s="1056"/>
      <c r="YI95" s="1056"/>
      <c r="YJ95" s="1056"/>
      <c r="YK95" s="1056"/>
      <c r="YL95" s="1056"/>
      <c r="YM95" s="1056"/>
      <c r="YN95" s="1056"/>
      <c r="YO95" s="1056"/>
      <c r="YP95" s="1056"/>
      <c r="YQ95" s="1056"/>
      <c r="YR95" s="1056"/>
      <c r="YS95" s="1056"/>
      <c r="YT95" s="1056"/>
      <c r="YU95" s="1056"/>
      <c r="YV95" s="1056"/>
      <c r="YW95" s="1056"/>
      <c r="YX95" s="1056"/>
      <c r="YY95" s="1056"/>
      <c r="YZ95" s="1056"/>
      <c r="ZA95" s="1056"/>
      <c r="ZB95" s="1056"/>
      <c r="ZC95" s="1056"/>
      <c r="ZD95" s="1056"/>
      <c r="ZE95" s="1056"/>
      <c r="ZF95" s="1056"/>
      <c r="ZG95" s="1056"/>
      <c r="ZH95" s="1056"/>
      <c r="ZI95" s="1056"/>
      <c r="ZJ95" s="1056"/>
      <c r="ZK95" s="1056"/>
      <c r="ZL95" s="1056"/>
      <c r="ZM95" s="1056"/>
      <c r="ZN95" s="1056"/>
      <c r="ZO95" s="1056"/>
      <c r="ZP95" s="1056"/>
      <c r="ZQ95" s="1056"/>
      <c r="ZR95" s="1056"/>
      <c r="ZS95" s="1056"/>
      <c r="ZT95" s="1056"/>
      <c r="ZU95" s="1056"/>
      <c r="ZV95" s="1056"/>
      <c r="ZW95" s="1056"/>
      <c r="ZX95" s="1056"/>
      <c r="ZY95" s="1056"/>
      <c r="ZZ95" s="1056"/>
      <c r="AAA95" s="1056"/>
      <c r="AAB95" s="1056"/>
      <c r="AAC95" s="1056"/>
      <c r="AAD95" s="1056"/>
      <c r="AAE95" s="1056"/>
      <c r="AAF95" s="1056"/>
      <c r="AAG95" s="1056"/>
      <c r="AAH95" s="1056"/>
      <c r="AAI95" s="1056"/>
      <c r="AAJ95" s="1056"/>
      <c r="AAK95" s="1056"/>
      <c r="AAL95" s="1056"/>
      <c r="AAM95" s="1056"/>
      <c r="AAN95" s="1056"/>
      <c r="AAO95" s="1056"/>
      <c r="AAP95" s="1056"/>
      <c r="AAQ95" s="1056"/>
      <c r="AAR95" s="1056"/>
      <c r="AAS95" s="1056"/>
      <c r="AAT95" s="1056"/>
      <c r="AAU95" s="1056"/>
      <c r="AAV95" s="1056"/>
      <c r="AAW95" s="1056"/>
      <c r="AAX95" s="1056"/>
      <c r="AAY95" s="1056"/>
      <c r="AAZ95" s="1056"/>
      <c r="ABA95" s="1056"/>
      <c r="ABB95" s="1056"/>
      <c r="ABC95" s="1056"/>
      <c r="ABD95" s="1056"/>
      <c r="ABE95" s="1056"/>
      <c r="ABF95" s="1056"/>
      <c r="ABG95" s="1056"/>
      <c r="ABH95" s="1056"/>
      <c r="ABI95" s="1056"/>
      <c r="ABJ95" s="1056"/>
      <c r="ABK95" s="1056"/>
      <c r="ABL95" s="1056"/>
      <c r="ABM95" s="1056"/>
      <c r="ABN95" s="1056"/>
      <c r="ABO95" s="1056"/>
      <c r="ABP95" s="1056"/>
      <c r="ABQ95" s="1056"/>
      <c r="ABR95" s="1056"/>
      <c r="ABS95" s="1056"/>
      <c r="ABT95" s="1056"/>
      <c r="ABU95" s="1056"/>
      <c r="ABV95" s="1056"/>
      <c r="ABW95" s="1056"/>
      <c r="ABX95" s="1056"/>
      <c r="ABY95" s="1056"/>
      <c r="ABZ95" s="1056"/>
      <c r="ACA95" s="1056"/>
      <c r="ACB95" s="1056"/>
      <c r="ACC95" s="1056"/>
      <c r="ACD95" s="1056"/>
      <c r="ACE95" s="1056"/>
      <c r="ACF95" s="1056"/>
      <c r="ACG95" s="1056"/>
      <c r="ACH95" s="1056"/>
      <c r="ACI95" s="1056"/>
      <c r="ACJ95" s="1056"/>
      <c r="ACK95" s="1056"/>
      <c r="ACL95" s="1056"/>
      <c r="ACM95" s="1056"/>
      <c r="ACN95" s="1056"/>
      <c r="ACO95" s="1056"/>
      <c r="ACP95" s="1056"/>
      <c r="ACQ95" s="1056"/>
      <c r="ACR95" s="1056"/>
      <c r="ACS95" s="1056"/>
      <c r="ACT95" s="1056"/>
      <c r="ACU95" s="1056"/>
      <c r="ACV95" s="1056"/>
      <c r="ACW95" s="1056"/>
      <c r="ACX95" s="1056"/>
      <c r="ACY95" s="1056"/>
      <c r="ACZ95" s="1056"/>
      <c r="ADA95" s="1056"/>
      <c r="ADB95" s="1056"/>
      <c r="ADC95" s="1056"/>
      <c r="ADD95" s="1056"/>
      <c r="ADE95" s="1056"/>
      <c r="ADF95" s="1056"/>
      <c r="ADG95" s="1056"/>
      <c r="ADH95" s="1056"/>
      <c r="ADI95" s="1056"/>
      <c r="ADJ95" s="1056"/>
      <c r="ADK95" s="1056"/>
      <c r="ADL95" s="1056"/>
      <c r="ADM95" s="1056"/>
      <c r="ADN95" s="1056"/>
      <c r="ADO95" s="1056"/>
      <c r="ADP95" s="1056"/>
      <c r="ADQ95" s="1056"/>
      <c r="ADR95" s="1056"/>
      <c r="ADS95" s="1056"/>
      <c r="ADT95" s="1056"/>
      <c r="ADU95" s="1056"/>
      <c r="ADV95" s="1056"/>
      <c r="ADW95" s="1056"/>
      <c r="ADX95" s="1056"/>
      <c r="ADY95" s="1056"/>
      <c r="ADZ95" s="1056"/>
      <c r="AEA95" s="1056"/>
      <c r="AEB95" s="1056"/>
      <c r="AEC95" s="1056"/>
      <c r="AED95" s="1056"/>
      <c r="AEE95" s="1056"/>
      <c r="AEF95" s="1056"/>
      <c r="AEG95" s="1056"/>
      <c r="AEH95" s="1056"/>
      <c r="AEI95" s="1056"/>
      <c r="AEJ95" s="1056"/>
      <c r="AEK95" s="1056"/>
      <c r="AEL95" s="1056"/>
      <c r="AEM95" s="1056"/>
      <c r="AEN95" s="1056"/>
      <c r="AEO95" s="1056"/>
      <c r="AEP95" s="1056"/>
      <c r="AEQ95" s="1056"/>
      <c r="AER95" s="1056"/>
      <c r="AES95" s="1056"/>
      <c r="AET95" s="1056"/>
      <c r="AEU95" s="1056"/>
      <c r="AEV95" s="1056"/>
      <c r="AEW95" s="1056"/>
      <c r="AEX95" s="1056"/>
      <c r="AEY95" s="1056"/>
      <c r="AEZ95" s="1056"/>
      <c r="AFA95" s="1056"/>
      <c r="AFB95" s="1056"/>
      <c r="AFC95" s="1056"/>
      <c r="AFD95" s="1056"/>
      <c r="AFE95" s="1056"/>
      <c r="AFF95" s="1056"/>
      <c r="AFG95" s="1056"/>
      <c r="AFH95" s="1056"/>
      <c r="AFI95" s="1056"/>
      <c r="AFJ95" s="1056"/>
      <c r="AFK95" s="1056"/>
      <c r="AFL95" s="1056"/>
      <c r="AFM95" s="1056"/>
      <c r="AFN95" s="1056"/>
      <c r="AFO95" s="1056"/>
      <c r="AFP95" s="1056"/>
      <c r="AFQ95" s="1056"/>
      <c r="AFR95" s="1056"/>
      <c r="AFS95" s="1056"/>
      <c r="AFT95" s="1056"/>
      <c r="AFU95" s="1056"/>
      <c r="AFV95" s="1056"/>
      <c r="AFW95" s="1056"/>
      <c r="AFX95" s="1056"/>
      <c r="AFY95" s="1056"/>
      <c r="AFZ95" s="1056"/>
      <c r="AGA95" s="1056"/>
      <c r="AGB95" s="1056"/>
      <c r="AGC95" s="1056"/>
      <c r="AGD95" s="1056"/>
      <c r="AGE95" s="1056"/>
      <c r="AGF95" s="1056"/>
      <c r="AGG95" s="1056"/>
      <c r="AGH95" s="1056"/>
      <c r="AGI95" s="1056"/>
      <c r="AGJ95" s="1056"/>
      <c r="AGK95" s="1056"/>
      <c r="AGL95" s="1056"/>
      <c r="AGM95" s="1056"/>
      <c r="AGN95" s="1056"/>
      <c r="AGO95" s="1056"/>
      <c r="AGP95" s="1056"/>
      <c r="AGQ95" s="1056"/>
      <c r="AGR95" s="1056"/>
      <c r="AGS95" s="1056"/>
      <c r="AGT95" s="1056"/>
      <c r="AGU95" s="1056"/>
      <c r="AGV95" s="1056"/>
      <c r="AGW95" s="1056"/>
      <c r="AGX95" s="1056"/>
      <c r="AGY95" s="1056"/>
      <c r="AGZ95" s="1056"/>
      <c r="AHA95" s="1056"/>
      <c r="AHB95" s="1056"/>
      <c r="AHC95" s="1056"/>
      <c r="AHD95" s="1056"/>
      <c r="AHE95" s="1056"/>
      <c r="AHF95" s="1056"/>
      <c r="AHG95" s="1056"/>
      <c r="AHH95" s="1056"/>
      <c r="AHI95" s="1056"/>
      <c r="AHJ95" s="1056"/>
      <c r="AHK95" s="1056"/>
      <c r="AHL95" s="1056"/>
      <c r="AHM95" s="1056"/>
      <c r="AHN95" s="1056"/>
      <c r="AHO95" s="1056"/>
      <c r="AHP95" s="1056"/>
      <c r="AHQ95" s="1056"/>
      <c r="AHR95" s="1056"/>
      <c r="AHS95" s="1056"/>
      <c r="AHT95" s="1056"/>
      <c r="AHU95" s="1056"/>
      <c r="AHV95" s="1056"/>
      <c r="AHW95" s="1056"/>
      <c r="AHX95" s="1056"/>
      <c r="AHY95" s="1056"/>
      <c r="AHZ95" s="1056"/>
      <c r="AIA95" s="1056"/>
      <c r="AIB95" s="1056"/>
      <c r="AIC95" s="1056"/>
      <c r="AID95" s="1056"/>
      <c r="AIE95" s="1056"/>
      <c r="AIF95" s="1056"/>
      <c r="AIG95" s="1056"/>
      <c r="AIH95" s="1056"/>
      <c r="AII95" s="1056"/>
      <c r="AIJ95" s="1056"/>
      <c r="AIK95" s="1056"/>
      <c r="AIL95" s="1056"/>
      <c r="AIM95" s="1056"/>
      <c r="AIN95" s="1056"/>
      <c r="AIO95" s="1056"/>
      <c r="AIP95" s="1056"/>
      <c r="AIQ95" s="1056"/>
      <c r="AIR95" s="1056"/>
      <c r="AIS95" s="1056"/>
      <c r="AIT95" s="1056"/>
      <c r="AIU95" s="1056"/>
      <c r="AIV95" s="1056"/>
      <c r="AIW95" s="1056"/>
      <c r="AIX95" s="1056"/>
      <c r="AIY95" s="1056"/>
      <c r="AIZ95" s="1056"/>
      <c r="AJA95" s="1056"/>
      <c r="AJB95" s="1056"/>
      <c r="AJC95" s="1056"/>
      <c r="AJD95" s="1056"/>
      <c r="AJE95" s="1056"/>
      <c r="AJF95" s="1056"/>
      <c r="AJG95" s="1056"/>
      <c r="AJH95" s="1056"/>
      <c r="AJI95" s="1056"/>
      <c r="AJJ95" s="1056"/>
      <c r="AJK95" s="1056"/>
      <c r="AJL95" s="1056"/>
      <c r="AJM95" s="1056"/>
      <c r="AJN95" s="1056"/>
      <c r="AJO95" s="1056"/>
      <c r="AJP95" s="1056"/>
      <c r="AJQ95" s="1056"/>
      <c r="AJR95" s="1056"/>
      <c r="AJS95" s="1056"/>
      <c r="AJT95" s="1056"/>
      <c r="AJU95" s="1056"/>
      <c r="AJV95" s="1056"/>
      <c r="AJW95" s="1056"/>
      <c r="AJX95" s="1056"/>
      <c r="AJY95" s="1056"/>
      <c r="AJZ95" s="1056"/>
      <c r="AKA95" s="1056"/>
      <c r="AKB95" s="1056"/>
      <c r="AKC95" s="1056"/>
      <c r="AKD95" s="1056"/>
      <c r="AKE95" s="1056"/>
      <c r="AKF95" s="1056"/>
      <c r="AKG95" s="1056"/>
      <c r="AKH95" s="1056"/>
      <c r="AKI95" s="1056"/>
      <c r="AKJ95" s="1056"/>
      <c r="AKK95" s="1056"/>
      <c r="AKL95" s="1056"/>
      <c r="AKM95" s="1056"/>
      <c r="AKN95" s="1056"/>
      <c r="AKO95" s="1056"/>
      <c r="AKP95" s="1056"/>
      <c r="AKQ95" s="1056"/>
      <c r="AKR95" s="1056"/>
      <c r="AKS95" s="1056"/>
      <c r="AKT95" s="1056"/>
      <c r="AKU95" s="1056"/>
      <c r="AKV95" s="1056"/>
      <c r="AKW95" s="1056"/>
      <c r="AKX95" s="1056"/>
      <c r="AKY95" s="1056"/>
      <c r="AKZ95" s="1056"/>
      <c r="ALA95" s="1056"/>
      <c r="ALB95" s="1056"/>
      <c r="ALC95" s="1056"/>
      <c r="ALD95" s="1056"/>
      <c r="ALE95" s="1056"/>
      <c r="ALF95" s="1056"/>
      <c r="ALG95" s="1056"/>
      <c r="ALH95" s="1056"/>
      <c r="ALI95" s="1056"/>
      <c r="ALJ95" s="1056"/>
      <c r="ALK95" s="1056"/>
      <c r="ALL95" s="1056"/>
      <c r="ALM95" s="1056"/>
      <c r="ALN95" s="1056"/>
      <c r="ALO95" s="1056"/>
      <c r="ALP95" s="1056"/>
      <c r="ALQ95" s="1056"/>
      <c r="ALR95" s="1056"/>
      <c r="ALS95" s="1056"/>
      <c r="ALT95" s="1056"/>
      <c r="ALU95" s="1056"/>
      <c r="ALV95" s="1056"/>
      <c r="ALW95" s="1056"/>
      <c r="ALX95" s="1056"/>
      <c r="ALY95" s="1056"/>
      <c r="ALZ95" s="1056"/>
      <c r="AMA95" s="1056"/>
      <c r="AMB95" s="1056"/>
      <c r="AMC95" s="1056"/>
      <c r="AMD95" s="1056"/>
      <c r="AME95" s="1056"/>
      <c r="AMF95" s="1056"/>
      <c r="AMG95" s="1056"/>
      <c r="AMH95" s="1056"/>
      <c r="AMI95" s="1056"/>
      <c r="AMJ95" s="1056"/>
      <c r="AMK95" s="1056"/>
      <c r="AML95" s="1056"/>
      <c r="AMM95" s="1056"/>
      <c r="AMN95" s="1056"/>
      <c r="AMO95" s="1056"/>
      <c r="AMP95" s="1056"/>
      <c r="AMQ95" s="1056"/>
      <c r="AMR95" s="1056"/>
      <c r="AMS95" s="1056"/>
      <c r="AMT95" s="1056"/>
      <c r="AMU95" s="1056"/>
      <c r="AMV95" s="1056"/>
      <c r="AMW95" s="1056"/>
      <c r="AMX95" s="1056"/>
      <c r="AMY95" s="1056"/>
      <c r="AMZ95" s="1056"/>
      <c r="ANA95" s="1056"/>
      <c r="ANB95" s="1056"/>
      <c r="ANC95" s="1056"/>
      <c r="AND95" s="1056"/>
      <c r="ANE95" s="1056"/>
      <c r="ANF95" s="1056"/>
      <c r="ANG95" s="1056"/>
      <c r="ANH95" s="1056"/>
      <c r="ANI95" s="1056"/>
      <c r="ANJ95" s="1056"/>
      <c r="ANK95" s="1056"/>
      <c r="ANL95" s="1056"/>
      <c r="ANM95" s="1056"/>
      <c r="ANN95" s="1056"/>
      <c r="ANO95" s="1056"/>
      <c r="ANP95" s="1056"/>
      <c r="ANQ95" s="1056"/>
      <c r="ANR95" s="1056"/>
      <c r="ANS95" s="1056"/>
      <c r="ANT95" s="1056"/>
      <c r="ANU95" s="1056"/>
      <c r="ANV95" s="1056"/>
      <c r="ANW95" s="1056"/>
      <c r="ANX95" s="1056"/>
      <c r="ANY95" s="1056"/>
      <c r="ANZ95" s="1056"/>
      <c r="AOA95" s="1056"/>
      <c r="AOB95" s="1056"/>
      <c r="AOC95" s="1056"/>
      <c r="AOD95" s="1056"/>
      <c r="AOE95" s="1056"/>
      <c r="AOF95" s="1056"/>
      <c r="AOG95" s="1056"/>
      <c r="AOH95" s="1056"/>
      <c r="AOI95" s="1056"/>
      <c r="AOJ95" s="1056"/>
      <c r="AOK95" s="1056"/>
      <c r="AOL95" s="1056"/>
      <c r="AOM95" s="1056"/>
      <c r="AON95" s="1056"/>
      <c r="AOO95" s="1056"/>
      <c r="AOP95" s="1056"/>
      <c r="AOQ95" s="1056"/>
      <c r="AOR95" s="1056"/>
      <c r="AOS95" s="1056"/>
      <c r="AOT95" s="1056"/>
      <c r="AOU95" s="1056"/>
      <c r="AOV95" s="1056"/>
      <c r="AOW95" s="1056"/>
      <c r="AOX95" s="1056"/>
      <c r="AOY95" s="1056"/>
      <c r="AOZ95" s="1056"/>
      <c r="APA95" s="1056"/>
      <c r="APB95" s="1056"/>
      <c r="APC95" s="1056"/>
      <c r="APD95" s="1056"/>
      <c r="APE95" s="1056"/>
      <c r="APF95" s="1056"/>
      <c r="APG95" s="1056"/>
      <c r="APH95" s="1056"/>
      <c r="API95" s="1056"/>
      <c r="APJ95" s="1056"/>
      <c r="APK95" s="1056"/>
      <c r="APL95" s="1056"/>
      <c r="APM95" s="1056"/>
      <c r="APN95" s="1056"/>
      <c r="APO95" s="1056"/>
      <c r="APP95" s="1056"/>
      <c r="APQ95" s="1056"/>
      <c r="APR95" s="1056"/>
      <c r="APS95" s="1056"/>
      <c r="APT95" s="1056"/>
      <c r="APU95" s="1056"/>
      <c r="APV95" s="1056"/>
      <c r="APW95" s="1056"/>
      <c r="APX95" s="1056"/>
      <c r="APY95" s="1056"/>
      <c r="APZ95" s="1056"/>
      <c r="AQA95" s="1056"/>
      <c r="AQB95" s="1056"/>
      <c r="AQC95" s="1056"/>
      <c r="AQD95" s="1056"/>
      <c r="AQE95" s="1056"/>
      <c r="AQF95" s="1056"/>
      <c r="AQG95" s="1056"/>
      <c r="AQH95" s="1056"/>
      <c r="AQI95" s="1056"/>
      <c r="AQJ95" s="1056"/>
      <c r="AQK95" s="1056"/>
      <c r="AQL95" s="1056"/>
      <c r="AQM95" s="1056"/>
      <c r="AQN95" s="1056"/>
      <c r="AQO95" s="1056"/>
      <c r="AQP95" s="1056"/>
      <c r="AQQ95" s="1056"/>
      <c r="AQR95" s="1056"/>
      <c r="AQS95" s="1056"/>
      <c r="AQT95" s="1056"/>
      <c r="AQU95" s="1056"/>
      <c r="AQV95" s="1056"/>
      <c r="AQW95" s="1056"/>
      <c r="AQX95" s="1056"/>
      <c r="AQY95" s="1056"/>
      <c r="AQZ95" s="1056"/>
      <c r="ARA95" s="1056"/>
      <c r="ARB95" s="1056"/>
      <c r="ARC95" s="1056"/>
      <c r="ARD95" s="1056"/>
      <c r="ARE95" s="1056"/>
      <c r="ARF95" s="1056"/>
      <c r="ARG95" s="1056"/>
      <c r="ARH95" s="1056"/>
      <c r="ARI95" s="1056"/>
      <c r="ARJ95" s="1056"/>
      <c r="ARK95" s="1056"/>
      <c r="ARL95" s="1056"/>
      <c r="ARM95" s="1056"/>
      <c r="ARN95" s="1056"/>
      <c r="ARO95" s="1056"/>
      <c r="ARP95" s="1056"/>
      <c r="ARQ95" s="1056"/>
      <c r="ARR95" s="1056"/>
      <c r="ARS95" s="1056"/>
      <c r="ART95" s="1056"/>
      <c r="ARU95" s="1056"/>
      <c r="ARV95" s="1056"/>
      <c r="ARW95" s="1056"/>
      <c r="ARX95" s="1056"/>
      <c r="ARY95" s="1056"/>
      <c r="ARZ95" s="1056"/>
      <c r="ASA95" s="1056"/>
      <c r="ASB95" s="1056"/>
      <c r="ASC95" s="1056"/>
      <c r="ASD95" s="1056"/>
      <c r="ASE95" s="1056"/>
      <c r="ASF95" s="1056"/>
      <c r="ASG95" s="1056"/>
      <c r="ASH95" s="1056"/>
      <c r="ASI95" s="1056"/>
      <c r="ASJ95" s="1056"/>
      <c r="ASK95" s="1056"/>
      <c r="ASL95" s="1056"/>
      <c r="ASM95" s="1056"/>
      <c r="ASN95" s="1056"/>
      <c r="ASO95" s="1056"/>
      <c r="ASP95" s="1056"/>
      <c r="ASQ95" s="1056"/>
      <c r="ASR95" s="1056"/>
      <c r="ASS95" s="1056"/>
      <c r="AST95" s="1056"/>
      <c r="ASU95" s="1056"/>
      <c r="ASV95" s="1056"/>
      <c r="ASW95" s="1056"/>
      <c r="ASX95" s="1056"/>
      <c r="ASY95" s="1056"/>
      <c r="ASZ95" s="1056"/>
      <c r="ATA95" s="1056"/>
      <c r="ATB95" s="1056"/>
      <c r="ATC95" s="1056"/>
      <c r="ATD95" s="1056"/>
      <c r="ATE95" s="1056"/>
      <c r="ATF95" s="1056"/>
      <c r="ATG95" s="1056"/>
      <c r="ATH95" s="1056"/>
      <c r="ATI95" s="1056"/>
      <c r="ATJ95" s="1056"/>
      <c r="ATK95" s="1056"/>
      <c r="ATL95" s="1056"/>
      <c r="ATM95" s="1056"/>
      <c r="ATN95" s="1056"/>
      <c r="ATO95" s="1056"/>
      <c r="ATP95" s="1056"/>
      <c r="ATQ95" s="1056"/>
      <c r="ATR95" s="1056"/>
      <c r="ATS95" s="1056"/>
      <c r="ATT95" s="1056"/>
      <c r="ATU95" s="1056"/>
      <c r="ATV95" s="1056"/>
      <c r="ATW95" s="1056"/>
      <c r="ATX95" s="1056"/>
      <c r="ATY95" s="1056"/>
      <c r="ATZ95" s="1056"/>
      <c r="AUA95" s="1056"/>
      <c r="AUB95" s="1056"/>
      <c r="AUC95" s="1056"/>
      <c r="AUD95" s="1056"/>
      <c r="AUE95" s="1056"/>
      <c r="AUF95" s="1056"/>
      <c r="AUG95" s="1056"/>
      <c r="AUH95" s="1056"/>
      <c r="AUI95" s="1056"/>
      <c r="AUJ95" s="1056"/>
      <c r="AUK95" s="1056"/>
      <c r="AUL95" s="1056"/>
      <c r="AUM95" s="1056"/>
      <c r="AUN95" s="1056"/>
      <c r="AUO95" s="1056"/>
      <c r="AUP95" s="1056"/>
      <c r="AUQ95" s="1056"/>
      <c r="AUR95" s="1056"/>
      <c r="AUS95" s="1056"/>
      <c r="AUT95" s="1056"/>
      <c r="AUU95" s="1056"/>
      <c r="AUV95" s="1056"/>
      <c r="AUW95" s="1056"/>
      <c r="AUX95" s="1056"/>
      <c r="AUY95" s="1056"/>
      <c r="AUZ95" s="1056"/>
      <c r="AVA95" s="1056"/>
      <c r="AVB95" s="1056"/>
      <c r="AVC95" s="1056"/>
      <c r="AVD95" s="1056"/>
      <c r="AVE95" s="1056"/>
      <c r="AVF95" s="1056"/>
      <c r="AVG95" s="1056"/>
      <c r="AVH95" s="1056"/>
      <c r="AVI95" s="1056"/>
      <c r="AVJ95" s="1056"/>
      <c r="AVK95" s="1056"/>
      <c r="AVL95" s="1056"/>
      <c r="AVM95" s="1056"/>
      <c r="AVN95" s="1056"/>
      <c r="AVO95" s="1056"/>
      <c r="AVP95" s="1056"/>
      <c r="AVQ95" s="1056"/>
      <c r="AVR95" s="1056"/>
      <c r="AVS95" s="1056"/>
      <c r="AVT95" s="1056"/>
      <c r="AVU95" s="1056"/>
      <c r="AVV95" s="1056"/>
      <c r="AVW95" s="1056"/>
      <c r="AVX95" s="1056"/>
      <c r="AVY95" s="1056"/>
      <c r="AVZ95" s="1056"/>
      <c r="AWA95" s="1056"/>
      <c r="AWB95" s="1056"/>
      <c r="AWC95" s="1056"/>
      <c r="AWD95" s="1056"/>
      <c r="AWE95" s="1056"/>
      <c r="AWF95" s="1056"/>
      <c r="AWG95" s="1056"/>
      <c r="AWH95" s="1056"/>
      <c r="AWI95" s="1056"/>
      <c r="AWJ95" s="1056"/>
      <c r="AWK95" s="1056"/>
      <c r="AWL95" s="1056"/>
      <c r="AWM95" s="1056"/>
      <c r="AWN95" s="1056"/>
      <c r="AWO95" s="1056"/>
      <c r="AWP95" s="1056"/>
      <c r="AWQ95" s="1056"/>
      <c r="AWR95" s="1056"/>
      <c r="AWS95" s="1056"/>
      <c r="AWT95" s="1056"/>
      <c r="AWU95" s="1056"/>
      <c r="AWV95" s="1056"/>
      <c r="AWW95" s="1056"/>
      <c r="AWX95" s="1056"/>
      <c r="AWY95" s="1056"/>
      <c r="AWZ95" s="1056"/>
      <c r="AXA95" s="1056"/>
      <c r="AXB95" s="1056"/>
      <c r="AXC95" s="1056"/>
      <c r="AXD95" s="1056"/>
      <c r="AXE95" s="1056"/>
      <c r="AXF95" s="1056"/>
      <c r="AXG95" s="1056"/>
      <c r="AXH95" s="1056"/>
      <c r="AXI95" s="1056"/>
      <c r="AXJ95" s="1056"/>
      <c r="AXK95" s="1056"/>
      <c r="AXL95" s="1056"/>
      <c r="AXM95" s="1056"/>
      <c r="AXN95" s="1056"/>
      <c r="AXO95" s="1056"/>
      <c r="AXP95" s="1056"/>
      <c r="AXQ95" s="1056"/>
      <c r="AXR95" s="1056"/>
      <c r="AXS95" s="1056"/>
      <c r="AXT95" s="1056"/>
      <c r="AXU95" s="1056"/>
      <c r="AXV95" s="1056"/>
      <c r="AXW95" s="1056"/>
      <c r="AXX95" s="1056"/>
      <c r="AXY95" s="1056"/>
      <c r="AXZ95" s="1056"/>
      <c r="AYA95" s="1056"/>
      <c r="AYB95" s="1056"/>
      <c r="AYC95" s="1056"/>
      <c r="AYD95" s="1056"/>
      <c r="AYE95" s="1056"/>
      <c r="AYF95" s="1056"/>
      <c r="AYG95" s="1056"/>
      <c r="AYH95" s="1056"/>
      <c r="AYI95" s="1056"/>
      <c r="AYJ95" s="1056"/>
      <c r="AYK95" s="1056"/>
      <c r="AYL95" s="1056"/>
      <c r="AYM95" s="1056"/>
      <c r="AYN95" s="1056"/>
      <c r="AYO95" s="1056"/>
      <c r="AYP95" s="1056"/>
      <c r="AYQ95" s="1056"/>
      <c r="AYR95" s="1056"/>
      <c r="AYS95" s="1056"/>
      <c r="AYT95" s="1056"/>
      <c r="AYU95" s="1056"/>
      <c r="AYV95" s="1056"/>
      <c r="AYW95" s="1056"/>
      <c r="AYX95" s="1056"/>
      <c r="AYY95" s="1056"/>
      <c r="AYZ95" s="1056"/>
      <c r="AZA95" s="1056"/>
      <c r="AZB95" s="1056"/>
      <c r="AZC95" s="1056"/>
      <c r="AZD95" s="1056"/>
      <c r="AZE95" s="1056"/>
      <c r="AZF95" s="1056"/>
      <c r="AZG95" s="1056"/>
      <c r="AZH95" s="1056"/>
      <c r="AZI95" s="1056"/>
      <c r="AZJ95" s="1056"/>
      <c r="AZK95" s="1056"/>
      <c r="AZL95" s="1056"/>
      <c r="AZM95" s="1056"/>
      <c r="AZN95" s="1056"/>
      <c r="AZO95" s="1056"/>
      <c r="AZP95" s="1056"/>
      <c r="AZQ95" s="1056"/>
      <c r="AZR95" s="1056"/>
      <c r="AZS95" s="1056"/>
      <c r="AZT95" s="1056"/>
      <c r="AZU95" s="1056"/>
      <c r="AZV95" s="1056"/>
      <c r="AZW95" s="1056"/>
      <c r="AZX95" s="1056"/>
      <c r="AZY95" s="1056"/>
      <c r="AZZ95" s="1056"/>
      <c r="BAA95" s="1056"/>
      <c r="BAB95" s="1056"/>
      <c r="BAC95" s="1056"/>
      <c r="BAD95" s="1056"/>
      <c r="BAE95" s="1056"/>
      <c r="BAF95" s="1056"/>
      <c r="BAG95" s="1056"/>
      <c r="BAH95" s="1056"/>
      <c r="BAI95" s="1056"/>
      <c r="BAJ95" s="1056"/>
      <c r="BAK95" s="1056"/>
      <c r="BAL95" s="1056"/>
      <c r="BAM95" s="1056"/>
      <c r="BAN95" s="1056"/>
      <c r="BAO95" s="1056"/>
      <c r="BAP95" s="1056"/>
      <c r="BAQ95" s="1056"/>
      <c r="BAR95" s="1056"/>
      <c r="BAS95" s="1056"/>
      <c r="BAT95" s="1056"/>
      <c r="BAU95" s="1056"/>
      <c r="BAV95" s="1056"/>
      <c r="BAW95" s="1056"/>
      <c r="BAX95" s="1056"/>
      <c r="BAY95" s="1056"/>
      <c r="BAZ95" s="1056"/>
      <c r="BBA95" s="1056"/>
      <c r="BBB95" s="1056"/>
      <c r="BBC95" s="1056"/>
      <c r="BBD95" s="1056"/>
      <c r="BBE95" s="1056"/>
      <c r="BBF95" s="1056"/>
      <c r="BBG95" s="1056"/>
      <c r="BBH95" s="1056"/>
      <c r="BBI95" s="1056"/>
      <c r="BBJ95" s="1056"/>
      <c r="BBK95" s="1056"/>
      <c r="BBL95" s="1056"/>
      <c r="BBM95" s="1056"/>
      <c r="BBN95" s="1056"/>
      <c r="BBO95" s="1056"/>
      <c r="BBP95" s="1056"/>
      <c r="BBQ95" s="1056"/>
      <c r="BBR95" s="1056"/>
      <c r="BBS95" s="1056"/>
      <c r="BBT95" s="1056"/>
      <c r="BBU95" s="1056"/>
      <c r="BBV95" s="1056"/>
      <c r="BBW95" s="1056"/>
      <c r="BBX95" s="1056"/>
      <c r="BBY95" s="1056"/>
      <c r="BBZ95" s="1056"/>
      <c r="BCA95" s="1056"/>
      <c r="BCB95" s="1056"/>
      <c r="BCC95" s="1056"/>
      <c r="BCD95" s="1056"/>
      <c r="BCE95" s="1056"/>
      <c r="BCF95" s="1056"/>
      <c r="BCG95" s="1056"/>
      <c r="BCH95" s="1056"/>
      <c r="BCI95" s="1056"/>
      <c r="BCJ95" s="1056"/>
      <c r="BCK95" s="1056"/>
      <c r="BCL95" s="1056"/>
      <c r="BCM95" s="1056"/>
      <c r="BCN95" s="1056"/>
      <c r="BCO95" s="1056"/>
      <c r="BCP95" s="1056"/>
      <c r="BCQ95" s="1056"/>
      <c r="BCR95" s="1056"/>
      <c r="BCS95" s="1056"/>
      <c r="BCT95" s="1056"/>
      <c r="BCU95" s="1056"/>
      <c r="BCV95" s="1056"/>
      <c r="BCW95" s="1056"/>
      <c r="BCX95" s="1056"/>
      <c r="BCY95" s="1056"/>
      <c r="BCZ95" s="1056"/>
      <c r="BDA95" s="1056"/>
      <c r="BDB95" s="1056"/>
      <c r="BDC95" s="1056"/>
      <c r="BDD95" s="1056"/>
      <c r="BDE95" s="1056"/>
      <c r="BDF95" s="1056"/>
      <c r="BDG95" s="1056"/>
      <c r="BDH95" s="1056"/>
      <c r="BDI95" s="1056"/>
      <c r="BDJ95" s="1056"/>
      <c r="BDK95" s="1056"/>
      <c r="BDL95" s="1056"/>
      <c r="BDM95" s="1056"/>
      <c r="BDN95" s="1056"/>
      <c r="BDO95" s="1056"/>
      <c r="BDP95" s="1056"/>
      <c r="BDQ95" s="1056"/>
      <c r="BDR95" s="1056"/>
      <c r="BDS95" s="1056"/>
      <c r="BDT95" s="1056"/>
      <c r="BDU95" s="1056"/>
      <c r="BDV95" s="1056"/>
      <c r="BDW95" s="1056"/>
      <c r="BDX95" s="1056"/>
      <c r="BDY95" s="1056"/>
      <c r="BDZ95" s="1056"/>
      <c r="BEA95" s="1056"/>
      <c r="BEB95" s="1056"/>
      <c r="BEC95" s="1056"/>
      <c r="BED95" s="1056"/>
      <c r="BEE95" s="1056"/>
      <c r="BEF95" s="1056"/>
      <c r="BEG95" s="1056"/>
      <c r="BEH95" s="1056"/>
      <c r="BEI95" s="1056"/>
      <c r="BEJ95" s="1056"/>
      <c r="BEK95" s="1056"/>
      <c r="BEL95" s="1056"/>
      <c r="BEM95" s="1056"/>
      <c r="BEN95" s="1056"/>
      <c r="BEO95" s="1056"/>
      <c r="BEP95" s="1056"/>
      <c r="BEQ95" s="1056"/>
      <c r="BER95" s="1056"/>
      <c r="BES95" s="1056"/>
      <c r="BET95" s="1056"/>
      <c r="BEU95" s="1056"/>
      <c r="BEV95" s="1056"/>
      <c r="BEW95" s="1056"/>
      <c r="BEX95" s="1056"/>
      <c r="BEY95" s="1056"/>
      <c r="BEZ95" s="1056"/>
      <c r="BFA95" s="1056"/>
      <c r="BFB95" s="1056"/>
      <c r="BFC95" s="1056"/>
      <c r="BFD95" s="1056"/>
      <c r="BFE95" s="1056"/>
      <c r="BFF95" s="1056"/>
      <c r="BFG95" s="1056"/>
      <c r="BFH95" s="1056"/>
      <c r="BFI95" s="1056"/>
      <c r="BFJ95" s="1056"/>
      <c r="BFK95" s="1056"/>
      <c r="BFL95" s="1056"/>
      <c r="BFM95" s="1056"/>
      <c r="BFN95" s="1056"/>
      <c r="BFO95" s="1056"/>
      <c r="BFP95" s="1056"/>
      <c r="BFQ95" s="1056"/>
      <c r="BFR95" s="1056"/>
      <c r="BFS95" s="1056"/>
      <c r="BFT95" s="1056"/>
      <c r="BFU95" s="1056"/>
      <c r="BFV95" s="1056"/>
      <c r="BFW95" s="1056"/>
      <c r="BFX95" s="1056"/>
      <c r="BFY95" s="1056"/>
      <c r="BFZ95" s="1056"/>
      <c r="BGA95" s="1056"/>
      <c r="BGB95" s="1056"/>
      <c r="BGC95" s="1056"/>
      <c r="BGD95" s="1056"/>
      <c r="BGE95" s="1056"/>
      <c r="BGF95" s="1056"/>
      <c r="BGG95" s="1056"/>
      <c r="BGH95" s="1056"/>
      <c r="BGI95" s="1056"/>
      <c r="BGJ95" s="1056"/>
      <c r="BGK95" s="1056"/>
      <c r="BGL95" s="1056"/>
      <c r="BGM95" s="1056"/>
      <c r="BGN95" s="1056"/>
      <c r="BGO95" s="1056"/>
      <c r="BGP95" s="1056"/>
      <c r="BGQ95" s="1056"/>
      <c r="BGR95" s="1056"/>
      <c r="BGS95" s="1056"/>
      <c r="BGT95" s="1056"/>
      <c r="BGU95" s="1056"/>
      <c r="BGV95" s="1056"/>
      <c r="BGW95" s="1056"/>
      <c r="BGX95" s="1056"/>
      <c r="BGY95" s="1056"/>
      <c r="BGZ95" s="1056"/>
      <c r="BHA95" s="1056"/>
      <c r="BHB95" s="1056"/>
      <c r="BHC95" s="1056"/>
      <c r="BHD95" s="1056"/>
      <c r="BHE95" s="1056"/>
      <c r="BHF95" s="1056"/>
      <c r="BHG95" s="1056"/>
      <c r="BHH95" s="1056"/>
      <c r="BHI95" s="1056"/>
      <c r="BHJ95" s="1056"/>
      <c r="BHK95" s="1056"/>
      <c r="BHL95" s="1056"/>
      <c r="BHM95" s="1056"/>
      <c r="BHN95" s="1056"/>
      <c r="BHO95" s="1056"/>
      <c r="BHP95" s="1056"/>
      <c r="BHQ95" s="1056"/>
      <c r="BHR95" s="1056"/>
      <c r="BHS95" s="1056"/>
      <c r="BHT95" s="1056"/>
      <c r="BHU95" s="1056"/>
      <c r="BHV95" s="1056"/>
      <c r="BHW95" s="1056"/>
      <c r="BHX95" s="1056"/>
      <c r="BHY95" s="1056"/>
      <c r="BHZ95" s="1056"/>
      <c r="BIA95" s="1056"/>
      <c r="BIB95" s="1056"/>
      <c r="BIC95" s="1056"/>
      <c r="BID95" s="1056"/>
      <c r="BIE95" s="1056"/>
      <c r="BIF95" s="1056"/>
      <c r="BIG95" s="1056"/>
      <c r="BIH95" s="1056"/>
      <c r="BII95" s="1056"/>
      <c r="BIJ95" s="1056"/>
      <c r="BIK95" s="1056"/>
      <c r="BIL95" s="1056"/>
      <c r="BIM95" s="1056"/>
      <c r="BIN95" s="1056"/>
      <c r="BIO95" s="1056"/>
      <c r="BIP95" s="1056"/>
      <c r="BIQ95" s="1056"/>
      <c r="BIR95" s="1056"/>
      <c r="BIS95" s="1056"/>
      <c r="BIT95" s="1056"/>
      <c r="BIU95" s="1056"/>
      <c r="BIV95" s="1056"/>
      <c r="BIW95" s="1056"/>
      <c r="BIX95" s="1056"/>
      <c r="BIY95" s="1056"/>
      <c r="BIZ95" s="1056"/>
      <c r="BJA95" s="1056"/>
      <c r="BJB95" s="1056"/>
      <c r="BJC95" s="1056"/>
      <c r="BJD95" s="1056"/>
      <c r="BJE95" s="1056"/>
      <c r="BJF95" s="1056"/>
      <c r="BJG95" s="1056"/>
      <c r="BJH95" s="1056"/>
      <c r="BJI95" s="1056"/>
      <c r="BJJ95" s="1056"/>
      <c r="BJK95" s="1056"/>
      <c r="BJL95" s="1056"/>
      <c r="BJM95" s="1056"/>
      <c r="BJN95" s="1056"/>
      <c r="BJO95" s="1056"/>
      <c r="BJP95" s="1056"/>
      <c r="BJQ95" s="1056"/>
      <c r="BJR95" s="1056"/>
      <c r="BJS95" s="1056"/>
      <c r="BJT95" s="1056"/>
      <c r="BJU95" s="1056"/>
      <c r="BJV95" s="1056"/>
      <c r="BJW95" s="1056"/>
      <c r="BJX95" s="1056"/>
      <c r="BJY95" s="1056"/>
      <c r="BJZ95" s="1056"/>
      <c r="BKA95" s="1056"/>
      <c r="BKB95" s="1056"/>
      <c r="BKC95" s="1056"/>
      <c r="BKD95" s="1056"/>
      <c r="BKE95" s="1056"/>
      <c r="BKF95" s="1056"/>
      <c r="BKG95" s="1056"/>
      <c r="BKH95" s="1056"/>
      <c r="BKI95" s="1056"/>
      <c r="BKJ95" s="1056"/>
      <c r="BKK95" s="1056"/>
      <c r="BKL95" s="1056"/>
      <c r="BKM95" s="1056"/>
      <c r="BKN95" s="1056"/>
      <c r="BKO95" s="1056"/>
      <c r="BKP95" s="1056"/>
      <c r="BKQ95" s="1056"/>
      <c r="BKR95" s="1056"/>
      <c r="BKS95" s="1056"/>
      <c r="BKT95" s="1056"/>
      <c r="BKU95" s="1056"/>
      <c r="BKV95" s="1056"/>
      <c r="BKW95" s="1056"/>
      <c r="BKX95" s="1056"/>
      <c r="BKY95" s="1056"/>
      <c r="BKZ95" s="1056"/>
      <c r="BLA95" s="1056"/>
      <c r="BLB95" s="1056"/>
      <c r="BLC95" s="1056"/>
      <c r="BLD95" s="1056"/>
      <c r="BLE95" s="1056"/>
      <c r="BLF95" s="1056"/>
      <c r="BLG95" s="1056"/>
      <c r="BLH95" s="1056"/>
      <c r="BLI95" s="1056"/>
      <c r="BLJ95" s="1056"/>
      <c r="BLK95" s="1056"/>
      <c r="BLL95" s="1056"/>
      <c r="BLM95" s="1056"/>
      <c r="BLN95" s="1056"/>
      <c r="BLO95" s="1056"/>
      <c r="BLP95" s="1056"/>
      <c r="BLQ95" s="1056"/>
      <c r="BLR95" s="1056"/>
      <c r="BLS95" s="1056"/>
      <c r="BLT95" s="1056"/>
      <c r="BLU95" s="1056"/>
      <c r="BLV95" s="1056"/>
      <c r="BLW95" s="1056"/>
      <c r="BLX95" s="1056"/>
      <c r="BLY95" s="1056"/>
      <c r="BLZ95" s="1056"/>
      <c r="BMA95" s="1056"/>
      <c r="BMB95" s="1056"/>
      <c r="BMC95" s="1056"/>
      <c r="BMD95" s="1056"/>
      <c r="BME95" s="1056"/>
      <c r="BMF95" s="1056"/>
      <c r="BMG95" s="1056"/>
      <c r="BMH95" s="1056"/>
      <c r="BMI95" s="1056"/>
      <c r="BMJ95" s="1056"/>
      <c r="BMK95" s="1056"/>
      <c r="BML95" s="1056"/>
      <c r="BMM95" s="1056"/>
      <c r="BMN95" s="1056"/>
      <c r="BMO95" s="1056"/>
      <c r="BMP95" s="1056"/>
      <c r="BMQ95" s="1056"/>
      <c r="BMR95" s="1056"/>
      <c r="BMS95" s="1056"/>
      <c r="BMT95" s="1056"/>
      <c r="BMU95" s="1056"/>
      <c r="BMV95" s="1056"/>
      <c r="BMW95" s="1056"/>
      <c r="BMX95" s="1056"/>
      <c r="BMY95" s="1056"/>
      <c r="BMZ95" s="1056"/>
      <c r="BNA95" s="1056"/>
      <c r="BNB95" s="1056"/>
      <c r="BNC95" s="1056"/>
      <c r="BND95" s="1056"/>
      <c r="BNE95" s="1056"/>
      <c r="BNF95" s="1056"/>
      <c r="BNG95" s="1056"/>
      <c r="BNH95" s="1056"/>
      <c r="BNI95" s="1056"/>
      <c r="BNJ95" s="1056"/>
      <c r="BNK95" s="1056"/>
      <c r="BNL95" s="1056"/>
      <c r="BNM95" s="1056"/>
      <c r="BNN95" s="1056"/>
      <c r="BNO95" s="1056"/>
      <c r="BNP95" s="1056"/>
      <c r="BNQ95" s="1056"/>
      <c r="BNR95" s="1056"/>
      <c r="BNS95" s="1056"/>
      <c r="BNT95" s="1056"/>
      <c r="BNU95" s="1056"/>
      <c r="BNV95" s="1056"/>
      <c r="BNW95" s="1056"/>
      <c r="BNX95" s="1056"/>
      <c r="BNY95" s="1056"/>
      <c r="BNZ95" s="1056"/>
      <c r="BOA95" s="1056"/>
      <c r="BOB95" s="1056"/>
      <c r="BOC95" s="1056"/>
      <c r="BOD95" s="1056"/>
      <c r="BOE95" s="1056"/>
      <c r="BOF95" s="1056"/>
      <c r="BOG95" s="1056"/>
      <c r="BOH95" s="1056"/>
      <c r="BOI95" s="1056"/>
      <c r="BOJ95" s="1056"/>
      <c r="BOK95" s="1056"/>
      <c r="BOL95" s="1056"/>
      <c r="BOM95" s="1056"/>
      <c r="BON95" s="1056"/>
      <c r="BOO95" s="1056"/>
      <c r="BOP95" s="1056"/>
      <c r="BOQ95" s="1056"/>
      <c r="BOR95" s="1056"/>
      <c r="BOS95" s="1056"/>
      <c r="BOT95" s="1056"/>
      <c r="BOU95" s="1056"/>
      <c r="BOV95" s="1056"/>
      <c r="BOW95" s="1056"/>
      <c r="BOX95" s="1056"/>
      <c r="BOY95" s="1056"/>
      <c r="BOZ95" s="1056"/>
      <c r="BPA95" s="1056"/>
      <c r="BPB95" s="1056"/>
      <c r="BPC95" s="1056"/>
      <c r="BPD95" s="1056"/>
      <c r="BPE95" s="1056"/>
      <c r="BPF95" s="1056"/>
      <c r="BPG95" s="1056"/>
      <c r="BPH95" s="1056"/>
      <c r="BPI95" s="1056"/>
      <c r="BPJ95" s="1056"/>
      <c r="BPK95" s="1056"/>
      <c r="BPL95" s="1056"/>
      <c r="BPM95" s="1056"/>
      <c r="BPN95" s="1056"/>
      <c r="BPO95" s="1056"/>
      <c r="BPP95" s="1056"/>
      <c r="BPQ95" s="1056"/>
      <c r="BPR95" s="1056"/>
      <c r="BPS95" s="1056"/>
      <c r="BPT95" s="1056"/>
      <c r="BPU95" s="1056"/>
      <c r="BPV95" s="1056"/>
      <c r="BPW95" s="1056"/>
      <c r="BPX95" s="1056"/>
      <c r="BPY95" s="1056"/>
      <c r="BPZ95" s="1056"/>
      <c r="BQA95" s="1056"/>
      <c r="BQB95" s="1056"/>
      <c r="BQC95" s="1056"/>
      <c r="BQD95" s="1056"/>
      <c r="BQE95" s="1056"/>
      <c r="BQF95" s="1056"/>
      <c r="BQG95" s="1056"/>
      <c r="BQH95" s="1056"/>
      <c r="BQI95" s="1056"/>
      <c r="BQJ95" s="1056"/>
      <c r="BQK95" s="1056"/>
      <c r="BQL95" s="1056"/>
      <c r="BQM95" s="1056"/>
      <c r="BQN95" s="1056"/>
      <c r="BQO95" s="1056"/>
      <c r="BQP95" s="1056"/>
      <c r="BQQ95" s="1056"/>
      <c r="BQR95" s="1056"/>
      <c r="BQS95" s="1056"/>
      <c r="BQT95" s="1056"/>
      <c r="BQU95" s="1056"/>
      <c r="BQV95" s="1056"/>
      <c r="BQW95" s="1056"/>
      <c r="BQX95" s="1056"/>
      <c r="BQY95" s="1056"/>
      <c r="BQZ95" s="1056"/>
      <c r="BRA95" s="1056"/>
      <c r="BRB95" s="1056"/>
      <c r="BRC95" s="1056"/>
      <c r="BRD95" s="1056"/>
      <c r="BRE95" s="1056"/>
      <c r="BRF95" s="1056"/>
      <c r="BRG95" s="1056"/>
      <c r="BRH95" s="1056"/>
      <c r="BRI95" s="1056"/>
      <c r="BRJ95" s="1056"/>
      <c r="BRK95" s="1056"/>
      <c r="BRL95" s="1056"/>
      <c r="BRM95" s="1056"/>
      <c r="BRN95" s="1056"/>
      <c r="BRO95" s="1056"/>
      <c r="BRP95" s="1056"/>
      <c r="BRQ95" s="1056"/>
      <c r="BRR95" s="1056"/>
      <c r="BRS95" s="1056"/>
      <c r="BRT95" s="1056"/>
      <c r="BRU95" s="1056"/>
      <c r="BRV95" s="1056"/>
      <c r="BRW95" s="1056"/>
      <c r="BRX95" s="1056"/>
      <c r="BRY95" s="1056"/>
      <c r="BRZ95" s="1056"/>
      <c r="BSA95" s="1056"/>
      <c r="BSB95" s="1056"/>
      <c r="BSC95" s="1056"/>
      <c r="BSD95" s="1056"/>
      <c r="BSE95" s="1056"/>
      <c r="BSF95" s="1056"/>
      <c r="BSG95" s="1056"/>
      <c r="BSH95" s="1056"/>
      <c r="BSI95" s="1056"/>
      <c r="BSJ95" s="1056"/>
      <c r="BSK95" s="1056"/>
      <c r="BSL95" s="1056"/>
      <c r="BSM95" s="1056"/>
      <c r="BSN95" s="1056"/>
      <c r="BSO95" s="1056"/>
      <c r="BSP95" s="1056"/>
      <c r="BSQ95" s="1056"/>
      <c r="BSR95" s="1056"/>
      <c r="BSS95" s="1056"/>
      <c r="BST95" s="1056"/>
      <c r="BSU95" s="1056"/>
      <c r="BSV95" s="1056"/>
      <c r="BSW95" s="1056"/>
      <c r="BSX95" s="1056"/>
      <c r="BSY95" s="1056"/>
      <c r="BSZ95" s="1056"/>
      <c r="BTA95" s="1056"/>
      <c r="BTB95" s="1056"/>
      <c r="BTC95" s="1056"/>
      <c r="BTD95" s="1056"/>
      <c r="BTE95" s="1056"/>
      <c r="BTF95" s="1056"/>
      <c r="BTG95" s="1056"/>
      <c r="BTH95" s="1056"/>
      <c r="BTI95" s="1056"/>
    </row>
    <row r="96" spans="1:1881" s="1060" customFormat="1" ht="115.5" hidden="1" customHeight="1" thickBot="1" x14ac:dyDescent="0.35">
      <c r="A96" s="1059">
        <v>587</v>
      </c>
      <c r="B96" s="1062" t="s">
        <v>1026</v>
      </c>
      <c r="C96" s="1062" t="s">
        <v>1027</v>
      </c>
      <c r="D96" s="1052" t="s">
        <v>1380</v>
      </c>
      <c r="E96" s="1053" t="e">
        <f>HLOOKUP($D$2,'2020 Data(H)'!$C$1:$AI$426,237,FALSE)</f>
        <v>#N/A</v>
      </c>
      <c r="F96" s="287">
        <v>0</v>
      </c>
      <c r="G96" s="722"/>
      <c r="H96" s="1054"/>
      <c r="I96" s="1055"/>
      <c r="J96" s="1056"/>
      <c r="K96" s="1056"/>
      <c r="L96" s="1057"/>
      <c r="M96" s="1056"/>
      <c r="N96" s="1058"/>
      <c r="O96" s="1056"/>
      <c r="P96" s="1056"/>
      <c r="Q96" s="1056"/>
      <c r="R96" s="1056"/>
      <c r="S96" s="1056"/>
      <c r="T96" s="1056"/>
      <c r="U96" s="1056"/>
      <c r="V96" s="1056"/>
      <c r="W96" s="1056"/>
      <c r="X96" s="1056"/>
      <c r="Y96" s="1056"/>
      <c r="Z96" s="1059"/>
      <c r="AA96" s="1059"/>
      <c r="AB96" s="1059"/>
      <c r="AC96" s="1059"/>
      <c r="AD96" s="1059"/>
      <c r="AE96" s="1059"/>
      <c r="AF96" s="1059"/>
      <c r="AG96" s="1059"/>
      <c r="AH96" s="1059"/>
      <c r="AI96" s="1059"/>
      <c r="AJ96" s="1059"/>
      <c r="AK96" s="1059"/>
      <c r="AL96" s="1059"/>
      <c r="AM96" s="1059"/>
      <c r="AN96" s="1059"/>
      <c r="AO96" s="1059"/>
      <c r="AP96" s="1059"/>
      <c r="AQ96" s="1059"/>
      <c r="AR96" s="1059"/>
      <c r="AS96" s="1056"/>
      <c r="AT96" s="1056"/>
      <c r="AU96" s="1056"/>
      <c r="AV96" s="1056"/>
      <c r="AW96" s="1056"/>
      <c r="AX96" s="1056"/>
      <c r="AY96" s="1056"/>
      <c r="AZ96" s="1056"/>
      <c r="BA96" s="1056"/>
      <c r="BB96" s="1056"/>
      <c r="BC96" s="1056"/>
      <c r="BD96" s="1056"/>
      <c r="BE96" s="1056"/>
      <c r="BF96" s="1056"/>
      <c r="BG96" s="1056"/>
      <c r="BH96" s="1056"/>
      <c r="BI96" s="1056"/>
      <c r="BJ96" s="1056"/>
      <c r="BK96" s="1056"/>
      <c r="BL96" s="1056"/>
      <c r="BM96" s="1056"/>
      <c r="BN96" s="1056"/>
      <c r="BO96" s="1056"/>
      <c r="BP96" s="1056"/>
      <c r="BQ96" s="1056"/>
      <c r="BR96" s="1056"/>
      <c r="BS96" s="1056"/>
      <c r="BT96" s="1056"/>
      <c r="BU96" s="1056"/>
      <c r="BV96" s="1056"/>
      <c r="BW96" s="1056"/>
      <c r="BX96" s="1056"/>
      <c r="BY96" s="1056"/>
      <c r="BZ96" s="1056"/>
      <c r="CA96" s="1056"/>
      <c r="CB96" s="1056"/>
      <c r="CC96" s="1056"/>
      <c r="CD96" s="1056"/>
      <c r="CE96" s="1056"/>
      <c r="CF96" s="1056"/>
      <c r="CG96" s="1056"/>
      <c r="CH96" s="1056"/>
      <c r="CI96" s="1056"/>
      <c r="CJ96" s="1056"/>
      <c r="CK96" s="1056"/>
      <c r="CL96" s="1056"/>
      <c r="CM96" s="1056"/>
      <c r="CN96" s="1056"/>
      <c r="CO96" s="1056"/>
      <c r="CP96" s="1056"/>
      <c r="CQ96" s="1056"/>
      <c r="CR96" s="1056"/>
      <c r="CS96" s="1056"/>
      <c r="CT96" s="1056"/>
      <c r="CU96" s="1056"/>
      <c r="CV96" s="1056"/>
      <c r="CW96" s="1056"/>
      <c r="CX96" s="1056"/>
      <c r="CY96" s="1056"/>
      <c r="CZ96" s="1056"/>
      <c r="DA96" s="1056"/>
      <c r="DB96" s="1056"/>
      <c r="DC96" s="1056"/>
      <c r="DD96" s="1056"/>
      <c r="DE96" s="1056"/>
      <c r="DF96" s="1056"/>
      <c r="DG96" s="1056"/>
      <c r="DH96" s="1056"/>
      <c r="DI96" s="1056"/>
      <c r="DJ96" s="1056"/>
      <c r="DK96" s="1056"/>
      <c r="DL96" s="1056"/>
      <c r="DM96" s="1056"/>
      <c r="DN96" s="1056"/>
      <c r="DO96" s="1056"/>
      <c r="DP96" s="1056"/>
      <c r="DQ96" s="1056"/>
      <c r="DR96" s="1056"/>
      <c r="DS96" s="1056"/>
      <c r="DT96" s="1056"/>
      <c r="DU96" s="1056"/>
      <c r="DV96" s="1056"/>
      <c r="DW96" s="1056"/>
      <c r="DX96" s="1056"/>
      <c r="DY96" s="1056"/>
      <c r="DZ96" s="1056"/>
      <c r="EA96" s="1056"/>
      <c r="EB96" s="1056"/>
      <c r="EC96" s="1056"/>
      <c r="ED96" s="1056"/>
      <c r="EE96" s="1056"/>
      <c r="EF96" s="1056"/>
      <c r="EG96" s="1056"/>
      <c r="EH96" s="1056"/>
      <c r="EI96" s="1056"/>
      <c r="EJ96" s="1056"/>
      <c r="EK96" s="1056"/>
      <c r="EL96" s="1056"/>
      <c r="EM96" s="1056"/>
      <c r="EN96" s="1056"/>
      <c r="EO96" s="1056"/>
      <c r="EP96" s="1056"/>
      <c r="EQ96" s="1056"/>
      <c r="ER96" s="1056"/>
      <c r="ES96" s="1056"/>
      <c r="ET96" s="1056"/>
      <c r="EU96" s="1056"/>
      <c r="EV96" s="1056"/>
      <c r="EW96" s="1056"/>
      <c r="EX96" s="1056"/>
      <c r="EY96" s="1056"/>
      <c r="EZ96" s="1056"/>
      <c r="FA96" s="1056"/>
      <c r="FB96" s="1056"/>
      <c r="FC96" s="1056"/>
      <c r="FD96" s="1056"/>
      <c r="FE96" s="1056"/>
      <c r="FF96" s="1056"/>
      <c r="FG96" s="1056"/>
      <c r="FH96" s="1056"/>
      <c r="FI96" s="1056"/>
      <c r="FJ96" s="1056"/>
      <c r="FK96" s="1056"/>
      <c r="FL96" s="1056"/>
      <c r="FM96" s="1056"/>
      <c r="FN96" s="1056"/>
      <c r="FO96" s="1056"/>
      <c r="FP96" s="1056"/>
      <c r="FQ96" s="1056"/>
      <c r="FR96" s="1056"/>
      <c r="FS96" s="1056"/>
      <c r="FT96" s="1056"/>
      <c r="FU96" s="1056"/>
      <c r="FV96" s="1056"/>
      <c r="FW96" s="1056"/>
      <c r="FX96" s="1056"/>
      <c r="FY96" s="1056"/>
      <c r="FZ96" s="1056"/>
      <c r="GA96" s="1056"/>
      <c r="GB96" s="1056"/>
      <c r="GC96" s="1056"/>
      <c r="GD96" s="1056"/>
      <c r="GE96" s="1056"/>
      <c r="GF96" s="1056"/>
      <c r="GG96" s="1056"/>
      <c r="GH96" s="1056"/>
      <c r="GI96" s="1056"/>
      <c r="GJ96" s="1056"/>
      <c r="GK96" s="1056"/>
      <c r="GL96" s="1056"/>
      <c r="GM96" s="1056"/>
      <c r="GN96" s="1056"/>
      <c r="GO96" s="1056"/>
      <c r="GP96" s="1056"/>
      <c r="GQ96" s="1056"/>
      <c r="GR96" s="1056"/>
      <c r="GS96" s="1056"/>
      <c r="GT96" s="1056"/>
      <c r="GU96" s="1056"/>
      <c r="GV96" s="1056"/>
      <c r="GW96" s="1056"/>
      <c r="GX96" s="1056"/>
      <c r="GY96" s="1056"/>
      <c r="GZ96" s="1056"/>
      <c r="HA96" s="1056"/>
      <c r="HB96" s="1056"/>
      <c r="HC96" s="1056"/>
      <c r="HD96" s="1056"/>
      <c r="HE96" s="1056"/>
      <c r="HF96" s="1056"/>
      <c r="HG96" s="1056"/>
      <c r="HH96" s="1056"/>
      <c r="HI96" s="1056"/>
      <c r="HJ96" s="1056"/>
      <c r="HK96" s="1056"/>
      <c r="HL96" s="1056"/>
      <c r="HM96" s="1056"/>
      <c r="HN96" s="1056"/>
      <c r="HO96" s="1056"/>
      <c r="HP96" s="1056"/>
      <c r="HQ96" s="1056"/>
      <c r="HR96" s="1056"/>
      <c r="HS96" s="1056"/>
      <c r="HT96" s="1056"/>
      <c r="HU96" s="1056"/>
      <c r="HV96" s="1056"/>
      <c r="HW96" s="1056"/>
      <c r="HX96" s="1056"/>
      <c r="HY96" s="1056"/>
      <c r="HZ96" s="1056"/>
      <c r="IA96" s="1056"/>
      <c r="IB96" s="1056"/>
      <c r="IC96" s="1056"/>
      <c r="ID96" s="1056"/>
      <c r="IE96" s="1056"/>
      <c r="IF96" s="1056"/>
      <c r="IG96" s="1056"/>
      <c r="IH96" s="1056"/>
      <c r="II96" s="1056"/>
      <c r="IJ96" s="1056"/>
      <c r="IK96" s="1056"/>
      <c r="IL96" s="1056"/>
      <c r="IM96" s="1056"/>
      <c r="IN96" s="1056"/>
      <c r="IO96" s="1056"/>
      <c r="IP96" s="1056"/>
      <c r="IQ96" s="1056"/>
      <c r="IR96" s="1056"/>
      <c r="IS96" s="1056"/>
      <c r="IT96" s="1056"/>
      <c r="IU96" s="1056"/>
      <c r="IV96" s="1056"/>
      <c r="IW96" s="1056"/>
      <c r="IX96" s="1056"/>
      <c r="IY96" s="1056"/>
      <c r="IZ96" s="1056"/>
      <c r="JA96" s="1056"/>
      <c r="JB96" s="1056"/>
      <c r="JC96" s="1056"/>
      <c r="JD96" s="1056"/>
      <c r="JE96" s="1056"/>
      <c r="JF96" s="1056"/>
      <c r="JG96" s="1056"/>
      <c r="JH96" s="1056"/>
      <c r="JI96" s="1056"/>
      <c r="JJ96" s="1056"/>
      <c r="JK96" s="1056"/>
      <c r="JL96" s="1056"/>
      <c r="JM96" s="1056"/>
      <c r="JN96" s="1056"/>
      <c r="JO96" s="1056"/>
      <c r="JP96" s="1056"/>
      <c r="JQ96" s="1056"/>
      <c r="JR96" s="1056"/>
      <c r="JS96" s="1056"/>
      <c r="JT96" s="1056"/>
      <c r="JU96" s="1056"/>
      <c r="JV96" s="1056"/>
      <c r="JW96" s="1056"/>
      <c r="JX96" s="1056"/>
      <c r="JY96" s="1056"/>
      <c r="JZ96" s="1056"/>
      <c r="KA96" s="1056"/>
      <c r="KB96" s="1056"/>
      <c r="KC96" s="1056"/>
      <c r="KD96" s="1056"/>
      <c r="KE96" s="1056"/>
      <c r="KF96" s="1056"/>
      <c r="KG96" s="1056"/>
      <c r="KH96" s="1056"/>
      <c r="KI96" s="1056"/>
      <c r="KJ96" s="1056"/>
      <c r="KK96" s="1056"/>
      <c r="KL96" s="1056"/>
      <c r="KM96" s="1056"/>
      <c r="KN96" s="1056"/>
      <c r="KO96" s="1056"/>
      <c r="KP96" s="1056"/>
      <c r="KQ96" s="1056"/>
      <c r="KR96" s="1056"/>
      <c r="KS96" s="1056"/>
      <c r="KT96" s="1056"/>
      <c r="KU96" s="1056"/>
      <c r="KV96" s="1056"/>
      <c r="KW96" s="1056"/>
      <c r="KX96" s="1056"/>
      <c r="KY96" s="1056"/>
      <c r="KZ96" s="1056"/>
      <c r="LA96" s="1056"/>
      <c r="LB96" s="1056"/>
      <c r="LC96" s="1056"/>
      <c r="LD96" s="1056"/>
      <c r="LE96" s="1056"/>
      <c r="LF96" s="1056"/>
      <c r="LG96" s="1056"/>
      <c r="LH96" s="1056"/>
      <c r="LI96" s="1056"/>
      <c r="LJ96" s="1056"/>
      <c r="LK96" s="1056"/>
      <c r="LL96" s="1056"/>
      <c r="LM96" s="1056"/>
      <c r="LN96" s="1056"/>
      <c r="LO96" s="1056"/>
      <c r="LP96" s="1056"/>
      <c r="LQ96" s="1056"/>
      <c r="LR96" s="1056"/>
      <c r="LS96" s="1056"/>
      <c r="LT96" s="1056"/>
      <c r="LU96" s="1056"/>
      <c r="LV96" s="1056"/>
      <c r="LW96" s="1056"/>
      <c r="LX96" s="1056"/>
      <c r="LY96" s="1056"/>
      <c r="LZ96" s="1056"/>
      <c r="MA96" s="1056"/>
      <c r="MB96" s="1056"/>
      <c r="MC96" s="1056"/>
      <c r="MD96" s="1056"/>
      <c r="ME96" s="1056"/>
      <c r="MF96" s="1056"/>
      <c r="MG96" s="1056"/>
      <c r="MH96" s="1056"/>
      <c r="MI96" s="1056"/>
      <c r="MJ96" s="1056"/>
      <c r="MK96" s="1056"/>
      <c r="ML96" s="1056"/>
      <c r="MM96" s="1056"/>
      <c r="MN96" s="1056"/>
      <c r="MO96" s="1056"/>
      <c r="MP96" s="1056"/>
      <c r="MQ96" s="1056"/>
      <c r="MR96" s="1056"/>
      <c r="MS96" s="1056"/>
      <c r="MT96" s="1056"/>
      <c r="MU96" s="1056"/>
      <c r="MV96" s="1056"/>
      <c r="MW96" s="1056"/>
      <c r="MX96" s="1056"/>
      <c r="MY96" s="1056"/>
      <c r="MZ96" s="1056"/>
      <c r="NA96" s="1056"/>
      <c r="NB96" s="1056"/>
      <c r="NC96" s="1056"/>
      <c r="ND96" s="1056"/>
      <c r="NE96" s="1056"/>
      <c r="NF96" s="1056"/>
      <c r="NG96" s="1056"/>
      <c r="NH96" s="1056"/>
      <c r="NI96" s="1056"/>
      <c r="NJ96" s="1056"/>
      <c r="NK96" s="1056"/>
      <c r="NL96" s="1056"/>
      <c r="NM96" s="1056"/>
      <c r="NN96" s="1056"/>
      <c r="NO96" s="1056"/>
      <c r="NP96" s="1056"/>
      <c r="NQ96" s="1056"/>
      <c r="NR96" s="1056"/>
      <c r="NS96" s="1056"/>
      <c r="NT96" s="1056"/>
      <c r="NU96" s="1056"/>
      <c r="NV96" s="1056"/>
      <c r="NW96" s="1056"/>
      <c r="NX96" s="1056"/>
      <c r="NY96" s="1056"/>
      <c r="NZ96" s="1056"/>
      <c r="OA96" s="1056"/>
      <c r="OB96" s="1056"/>
      <c r="OC96" s="1056"/>
      <c r="OD96" s="1056"/>
      <c r="OE96" s="1056"/>
      <c r="OF96" s="1056"/>
      <c r="OG96" s="1056"/>
      <c r="OH96" s="1056"/>
      <c r="OI96" s="1056"/>
      <c r="OJ96" s="1056"/>
      <c r="OK96" s="1056"/>
      <c r="OL96" s="1056"/>
      <c r="OM96" s="1056"/>
      <c r="ON96" s="1056"/>
      <c r="OO96" s="1056"/>
      <c r="OP96" s="1056"/>
      <c r="OQ96" s="1056"/>
      <c r="OR96" s="1056"/>
      <c r="OS96" s="1056"/>
      <c r="OT96" s="1056"/>
      <c r="OU96" s="1056"/>
      <c r="OV96" s="1056"/>
      <c r="OW96" s="1056"/>
      <c r="OX96" s="1056"/>
      <c r="OY96" s="1056"/>
      <c r="OZ96" s="1056"/>
      <c r="PA96" s="1056"/>
      <c r="PB96" s="1056"/>
      <c r="PC96" s="1056"/>
      <c r="PD96" s="1056"/>
      <c r="PE96" s="1056"/>
      <c r="PF96" s="1056"/>
      <c r="PG96" s="1056"/>
      <c r="PH96" s="1056"/>
      <c r="PI96" s="1056"/>
      <c r="PJ96" s="1056"/>
      <c r="PK96" s="1056"/>
      <c r="PL96" s="1056"/>
      <c r="PM96" s="1056"/>
      <c r="PN96" s="1056"/>
      <c r="PO96" s="1056"/>
      <c r="PP96" s="1056"/>
      <c r="PQ96" s="1056"/>
      <c r="PR96" s="1056"/>
      <c r="PS96" s="1056"/>
      <c r="PT96" s="1056"/>
      <c r="PU96" s="1056"/>
      <c r="PV96" s="1056"/>
      <c r="PW96" s="1056"/>
      <c r="PX96" s="1056"/>
      <c r="PY96" s="1056"/>
      <c r="PZ96" s="1056"/>
      <c r="QA96" s="1056"/>
      <c r="QB96" s="1056"/>
      <c r="QC96" s="1056"/>
      <c r="QD96" s="1056"/>
      <c r="QE96" s="1056"/>
      <c r="QF96" s="1056"/>
      <c r="QG96" s="1056"/>
      <c r="QH96" s="1056"/>
      <c r="QI96" s="1056"/>
      <c r="QJ96" s="1056"/>
      <c r="QK96" s="1056"/>
      <c r="QL96" s="1056"/>
      <c r="QM96" s="1056"/>
      <c r="QN96" s="1056"/>
      <c r="QO96" s="1056"/>
      <c r="QP96" s="1056"/>
      <c r="QQ96" s="1056"/>
      <c r="QR96" s="1056"/>
      <c r="QS96" s="1056"/>
      <c r="QT96" s="1056"/>
      <c r="QU96" s="1056"/>
      <c r="QV96" s="1056"/>
      <c r="QW96" s="1056"/>
      <c r="QX96" s="1056"/>
      <c r="QY96" s="1056"/>
      <c r="QZ96" s="1056"/>
      <c r="RA96" s="1056"/>
      <c r="RB96" s="1056"/>
      <c r="RC96" s="1056"/>
      <c r="RD96" s="1056"/>
      <c r="RE96" s="1056"/>
      <c r="RF96" s="1056"/>
      <c r="RG96" s="1056"/>
      <c r="RH96" s="1056"/>
      <c r="RI96" s="1056"/>
      <c r="RJ96" s="1056"/>
      <c r="RK96" s="1056"/>
      <c r="RL96" s="1056"/>
      <c r="RM96" s="1056"/>
      <c r="RN96" s="1056"/>
      <c r="RO96" s="1056"/>
      <c r="RP96" s="1056"/>
      <c r="RQ96" s="1056"/>
      <c r="RR96" s="1056"/>
      <c r="RS96" s="1056"/>
      <c r="RT96" s="1056"/>
      <c r="RU96" s="1056"/>
      <c r="RV96" s="1056"/>
      <c r="RW96" s="1056"/>
      <c r="RX96" s="1056"/>
      <c r="RY96" s="1056"/>
      <c r="RZ96" s="1056"/>
      <c r="SA96" s="1056"/>
      <c r="SB96" s="1056"/>
      <c r="SC96" s="1056"/>
      <c r="SD96" s="1056"/>
      <c r="SE96" s="1056"/>
      <c r="SF96" s="1056"/>
      <c r="SG96" s="1056"/>
      <c r="SH96" s="1056"/>
      <c r="SI96" s="1056"/>
      <c r="SJ96" s="1056"/>
      <c r="SK96" s="1056"/>
      <c r="SL96" s="1056"/>
      <c r="SM96" s="1056"/>
      <c r="SN96" s="1056"/>
      <c r="SO96" s="1056"/>
      <c r="SP96" s="1056"/>
      <c r="SQ96" s="1056"/>
      <c r="SR96" s="1056"/>
      <c r="SS96" s="1056"/>
      <c r="ST96" s="1056"/>
      <c r="SU96" s="1056"/>
      <c r="SV96" s="1056"/>
      <c r="SW96" s="1056"/>
      <c r="SX96" s="1056"/>
      <c r="SY96" s="1056"/>
      <c r="SZ96" s="1056"/>
      <c r="TA96" s="1056"/>
      <c r="TB96" s="1056"/>
      <c r="TC96" s="1056"/>
      <c r="TD96" s="1056"/>
      <c r="TE96" s="1056"/>
      <c r="TF96" s="1056"/>
      <c r="TG96" s="1056"/>
      <c r="TH96" s="1056"/>
      <c r="TI96" s="1056"/>
      <c r="TJ96" s="1056"/>
      <c r="TK96" s="1056"/>
      <c r="TL96" s="1056"/>
      <c r="TM96" s="1056"/>
      <c r="TN96" s="1056"/>
      <c r="TO96" s="1056"/>
      <c r="TP96" s="1056"/>
      <c r="TQ96" s="1056"/>
      <c r="TR96" s="1056"/>
      <c r="TS96" s="1056"/>
      <c r="TT96" s="1056"/>
      <c r="TU96" s="1056"/>
      <c r="TV96" s="1056"/>
      <c r="TW96" s="1056"/>
      <c r="TX96" s="1056"/>
      <c r="TY96" s="1056"/>
      <c r="TZ96" s="1056"/>
      <c r="UA96" s="1056"/>
      <c r="UB96" s="1056"/>
      <c r="UC96" s="1056"/>
      <c r="UD96" s="1056"/>
      <c r="UE96" s="1056"/>
      <c r="UF96" s="1056"/>
      <c r="UG96" s="1056"/>
      <c r="UH96" s="1056"/>
      <c r="UI96" s="1056"/>
      <c r="UJ96" s="1056"/>
      <c r="UK96" s="1056"/>
      <c r="UL96" s="1056"/>
      <c r="UM96" s="1056"/>
      <c r="UN96" s="1056"/>
      <c r="UO96" s="1056"/>
      <c r="UP96" s="1056"/>
      <c r="UQ96" s="1056"/>
      <c r="UR96" s="1056"/>
      <c r="US96" s="1056"/>
      <c r="UT96" s="1056"/>
      <c r="UU96" s="1056"/>
      <c r="UV96" s="1056"/>
      <c r="UW96" s="1056"/>
      <c r="UX96" s="1056"/>
      <c r="UY96" s="1056"/>
      <c r="UZ96" s="1056"/>
      <c r="VA96" s="1056"/>
      <c r="VB96" s="1056"/>
      <c r="VC96" s="1056"/>
      <c r="VD96" s="1056"/>
      <c r="VE96" s="1056"/>
      <c r="VF96" s="1056"/>
      <c r="VG96" s="1056"/>
      <c r="VH96" s="1056"/>
      <c r="VI96" s="1056"/>
      <c r="VJ96" s="1056"/>
      <c r="VK96" s="1056"/>
      <c r="VL96" s="1056"/>
      <c r="VM96" s="1056"/>
      <c r="VN96" s="1056"/>
      <c r="VO96" s="1056"/>
      <c r="VP96" s="1056"/>
      <c r="VQ96" s="1056"/>
      <c r="VR96" s="1056"/>
      <c r="VS96" s="1056"/>
      <c r="VT96" s="1056"/>
      <c r="VU96" s="1056"/>
      <c r="VV96" s="1056"/>
      <c r="VW96" s="1056"/>
      <c r="VX96" s="1056"/>
      <c r="VY96" s="1056"/>
      <c r="VZ96" s="1056"/>
      <c r="WA96" s="1056"/>
      <c r="WB96" s="1056"/>
      <c r="WC96" s="1056"/>
      <c r="WD96" s="1056"/>
      <c r="WE96" s="1056"/>
      <c r="WF96" s="1056"/>
      <c r="WG96" s="1056"/>
      <c r="WH96" s="1056"/>
      <c r="WI96" s="1056"/>
      <c r="WJ96" s="1056"/>
      <c r="WK96" s="1056"/>
      <c r="WL96" s="1056"/>
      <c r="WM96" s="1056"/>
      <c r="WN96" s="1056"/>
      <c r="WO96" s="1056"/>
      <c r="WP96" s="1056"/>
      <c r="WQ96" s="1056"/>
      <c r="WR96" s="1056"/>
      <c r="WS96" s="1056"/>
      <c r="WT96" s="1056"/>
      <c r="WU96" s="1056"/>
      <c r="WV96" s="1056"/>
      <c r="WW96" s="1056"/>
      <c r="WX96" s="1056"/>
      <c r="WY96" s="1056"/>
      <c r="WZ96" s="1056"/>
      <c r="XA96" s="1056"/>
      <c r="XB96" s="1056"/>
      <c r="XC96" s="1056"/>
      <c r="XD96" s="1056"/>
      <c r="XE96" s="1056"/>
      <c r="XF96" s="1056"/>
      <c r="XG96" s="1056"/>
      <c r="XH96" s="1056"/>
      <c r="XI96" s="1056"/>
      <c r="XJ96" s="1056"/>
      <c r="XK96" s="1056"/>
      <c r="XL96" s="1056"/>
      <c r="XM96" s="1056"/>
      <c r="XN96" s="1056"/>
      <c r="XO96" s="1056"/>
      <c r="XP96" s="1056"/>
      <c r="XQ96" s="1056"/>
      <c r="XR96" s="1056"/>
      <c r="XS96" s="1056"/>
      <c r="XT96" s="1056"/>
      <c r="XU96" s="1056"/>
      <c r="XV96" s="1056"/>
      <c r="XW96" s="1056"/>
      <c r="XX96" s="1056"/>
      <c r="XY96" s="1056"/>
      <c r="XZ96" s="1056"/>
      <c r="YA96" s="1056"/>
      <c r="YB96" s="1056"/>
      <c r="YC96" s="1056"/>
      <c r="YD96" s="1056"/>
      <c r="YE96" s="1056"/>
      <c r="YF96" s="1056"/>
      <c r="YG96" s="1056"/>
      <c r="YH96" s="1056"/>
      <c r="YI96" s="1056"/>
      <c r="YJ96" s="1056"/>
      <c r="YK96" s="1056"/>
      <c r="YL96" s="1056"/>
      <c r="YM96" s="1056"/>
      <c r="YN96" s="1056"/>
      <c r="YO96" s="1056"/>
      <c r="YP96" s="1056"/>
      <c r="YQ96" s="1056"/>
      <c r="YR96" s="1056"/>
      <c r="YS96" s="1056"/>
      <c r="YT96" s="1056"/>
      <c r="YU96" s="1056"/>
      <c r="YV96" s="1056"/>
      <c r="YW96" s="1056"/>
      <c r="YX96" s="1056"/>
      <c r="YY96" s="1056"/>
      <c r="YZ96" s="1056"/>
      <c r="ZA96" s="1056"/>
      <c r="ZB96" s="1056"/>
      <c r="ZC96" s="1056"/>
      <c r="ZD96" s="1056"/>
      <c r="ZE96" s="1056"/>
      <c r="ZF96" s="1056"/>
      <c r="ZG96" s="1056"/>
      <c r="ZH96" s="1056"/>
      <c r="ZI96" s="1056"/>
      <c r="ZJ96" s="1056"/>
      <c r="ZK96" s="1056"/>
      <c r="ZL96" s="1056"/>
      <c r="ZM96" s="1056"/>
      <c r="ZN96" s="1056"/>
      <c r="ZO96" s="1056"/>
      <c r="ZP96" s="1056"/>
      <c r="ZQ96" s="1056"/>
      <c r="ZR96" s="1056"/>
      <c r="ZS96" s="1056"/>
      <c r="ZT96" s="1056"/>
      <c r="ZU96" s="1056"/>
      <c r="ZV96" s="1056"/>
      <c r="ZW96" s="1056"/>
      <c r="ZX96" s="1056"/>
      <c r="ZY96" s="1056"/>
      <c r="ZZ96" s="1056"/>
      <c r="AAA96" s="1056"/>
      <c r="AAB96" s="1056"/>
      <c r="AAC96" s="1056"/>
      <c r="AAD96" s="1056"/>
      <c r="AAE96" s="1056"/>
      <c r="AAF96" s="1056"/>
      <c r="AAG96" s="1056"/>
      <c r="AAH96" s="1056"/>
      <c r="AAI96" s="1056"/>
      <c r="AAJ96" s="1056"/>
      <c r="AAK96" s="1056"/>
      <c r="AAL96" s="1056"/>
      <c r="AAM96" s="1056"/>
      <c r="AAN96" s="1056"/>
      <c r="AAO96" s="1056"/>
      <c r="AAP96" s="1056"/>
      <c r="AAQ96" s="1056"/>
      <c r="AAR96" s="1056"/>
      <c r="AAS96" s="1056"/>
      <c r="AAT96" s="1056"/>
      <c r="AAU96" s="1056"/>
      <c r="AAV96" s="1056"/>
      <c r="AAW96" s="1056"/>
      <c r="AAX96" s="1056"/>
      <c r="AAY96" s="1056"/>
      <c r="AAZ96" s="1056"/>
      <c r="ABA96" s="1056"/>
      <c r="ABB96" s="1056"/>
      <c r="ABC96" s="1056"/>
      <c r="ABD96" s="1056"/>
      <c r="ABE96" s="1056"/>
      <c r="ABF96" s="1056"/>
      <c r="ABG96" s="1056"/>
      <c r="ABH96" s="1056"/>
      <c r="ABI96" s="1056"/>
      <c r="ABJ96" s="1056"/>
      <c r="ABK96" s="1056"/>
      <c r="ABL96" s="1056"/>
      <c r="ABM96" s="1056"/>
      <c r="ABN96" s="1056"/>
      <c r="ABO96" s="1056"/>
      <c r="ABP96" s="1056"/>
      <c r="ABQ96" s="1056"/>
      <c r="ABR96" s="1056"/>
      <c r="ABS96" s="1056"/>
      <c r="ABT96" s="1056"/>
      <c r="ABU96" s="1056"/>
      <c r="ABV96" s="1056"/>
      <c r="ABW96" s="1056"/>
      <c r="ABX96" s="1056"/>
      <c r="ABY96" s="1056"/>
      <c r="ABZ96" s="1056"/>
      <c r="ACA96" s="1056"/>
      <c r="ACB96" s="1056"/>
      <c r="ACC96" s="1056"/>
      <c r="ACD96" s="1056"/>
      <c r="ACE96" s="1056"/>
      <c r="ACF96" s="1056"/>
      <c r="ACG96" s="1056"/>
      <c r="ACH96" s="1056"/>
      <c r="ACI96" s="1056"/>
      <c r="ACJ96" s="1056"/>
      <c r="ACK96" s="1056"/>
      <c r="ACL96" s="1056"/>
      <c r="ACM96" s="1056"/>
      <c r="ACN96" s="1056"/>
      <c r="ACO96" s="1056"/>
      <c r="ACP96" s="1056"/>
      <c r="ACQ96" s="1056"/>
      <c r="ACR96" s="1056"/>
      <c r="ACS96" s="1056"/>
      <c r="ACT96" s="1056"/>
      <c r="ACU96" s="1056"/>
      <c r="ACV96" s="1056"/>
      <c r="ACW96" s="1056"/>
      <c r="ACX96" s="1056"/>
      <c r="ACY96" s="1056"/>
      <c r="ACZ96" s="1056"/>
      <c r="ADA96" s="1056"/>
      <c r="ADB96" s="1056"/>
      <c r="ADC96" s="1056"/>
      <c r="ADD96" s="1056"/>
      <c r="ADE96" s="1056"/>
      <c r="ADF96" s="1056"/>
      <c r="ADG96" s="1056"/>
      <c r="ADH96" s="1056"/>
      <c r="ADI96" s="1056"/>
      <c r="ADJ96" s="1056"/>
      <c r="ADK96" s="1056"/>
      <c r="ADL96" s="1056"/>
      <c r="ADM96" s="1056"/>
      <c r="ADN96" s="1056"/>
      <c r="ADO96" s="1056"/>
      <c r="ADP96" s="1056"/>
      <c r="ADQ96" s="1056"/>
      <c r="ADR96" s="1056"/>
      <c r="ADS96" s="1056"/>
      <c r="ADT96" s="1056"/>
      <c r="ADU96" s="1056"/>
      <c r="ADV96" s="1056"/>
      <c r="ADW96" s="1056"/>
      <c r="ADX96" s="1056"/>
      <c r="ADY96" s="1056"/>
      <c r="ADZ96" s="1056"/>
      <c r="AEA96" s="1056"/>
      <c r="AEB96" s="1056"/>
      <c r="AEC96" s="1056"/>
      <c r="AED96" s="1056"/>
      <c r="AEE96" s="1056"/>
      <c r="AEF96" s="1056"/>
      <c r="AEG96" s="1056"/>
      <c r="AEH96" s="1056"/>
      <c r="AEI96" s="1056"/>
      <c r="AEJ96" s="1056"/>
      <c r="AEK96" s="1056"/>
      <c r="AEL96" s="1056"/>
      <c r="AEM96" s="1056"/>
      <c r="AEN96" s="1056"/>
      <c r="AEO96" s="1056"/>
      <c r="AEP96" s="1056"/>
      <c r="AEQ96" s="1056"/>
      <c r="AER96" s="1056"/>
      <c r="AES96" s="1056"/>
      <c r="AET96" s="1056"/>
      <c r="AEU96" s="1056"/>
      <c r="AEV96" s="1056"/>
      <c r="AEW96" s="1056"/>
      <c r="AEX96" s="1056"/>
      <c r="AEY96" s="1056"/>
      <c r="AEZ96" s="1056"/>
      <c r="AFA96" s="1056"/>
      <c r="AFB96" s="1056"/>
      <c r="AFC96" s="1056"/>
      <c r="AFD96" s="1056"/>
      <c r="AFE96" s="1056"/>
      <c r="AFF96" s="1056"/>
      <c r="AFG96" s="1056"/>
      <c r="AFH96" s="1056"/>
      <c r="AFI96" s="1056"/>
      <c r="AFJ96" s="1056"/>
      <c r="AFK96" s="1056"/>
      <c r="AFL96" s="1056"/>
      <c r="AFM96" s="1056"/>
      <c r="AFN96" s="1056"/>
      <c r="AFO96" s="1056"/>
      <c r="AFP96" s="1056"/>
      <c r="AFQ96" s="1056"/>
      <c r="AFR96" s="1056"/>
      <c r="AFS96" s="1056"/>
      <c r="AFT96" s="1056"/>
      <c r="AFU96" s="1056"/>
      <c r="AFV96" s="1056"/>
      <c r="AFW96" s="1056"/>
      <c r="AFX96" s="1056"/>
      <c r="AFY96" s="1056"/>
      <c r="AFZ96" s="1056"/>
      <c r="AGA96" s="1056"/>
      <c r="AGB96" s="1056"/>
      <c r="AGC96" s="1056"/>
      <c r="AGD96" s="1056"/>
      <c r="AGE96" s="1056"/>
      <c r="AGF96" s="1056"/>
      <c r="AGG96" s="1056"/>
      <c r="AGH96" s="1056"/>
      <c r="AGI96" s="1056"/>
      <c r="AGJ96" s="1056"/>
      <c r="AGK96" s="1056"/>
      <c r="AGL96" s="1056"/>
      <c r="AGM96" s="1056"/>
      <c r="AGN96" s="1056"/>
      <c r="AGO96" s="1056"/>
      <c r="AGP96" s="1056"/>
      <c r="AGQ96" s="1056"/>
      <c r="AGR96" s="1056"/>
      <c r="AGS96" s="1056"/>
      <c r="AGT96" s="1056"/>
      <c r="AGU96" s="1056"/>
      <c r="AGV96" s="1056"/>
      <c r="AGW96" s="1056"/>
      <c r="AGX96" s="1056"/>
      <c r="AGY96" s="1056"/>
      <c r="AGZ96" s="1056"/>
      <c r="AHA96" s="1056"/>
      <c r="AHB96" s="1056"/>
      <c r="AHC96" s="1056"/>
      <c r="AHD96" s="1056"/>
      <c r="AHE96" s="1056"/>
      <c r="AHF96" s="1056"/>
      <c r="AHG96" s="1056"/>
      <c r="AHH96" s="1056"/>
      <c r="AHI96" s="1056"/>
      <c r="AHJ96" s="1056"/>
      <c r="AHK96" s="1056"/>
      <c r="AHL96" s="1056"/>
      <c r="AHM96" s="1056"/>
      <c r="AHN96" s="1056"/>
      <c r="AHO96" s="1056"/>
      <c r="AHP96" s="1056"/>
      <c r="AHQ96" s="1056"/>
      <c r="AHR96" s="1056"/>
      <c r="AHS96" s="1056"/>
      <c r="AHT96" s="1056"/>
      <c r="AHU96" s="1056"/>
      <c r="AHV96" s="1056"/>
      <c r="AHW96" s="1056"/>
      <c r="AHX96" s="1056"/>
      <c r="AHY96" s="1056"/>
      <c r="AHZ96" s="1056"/>
      <c r="AIA96" s="1056"/>
      <c r="AIB96" s="1056"/>
      <c r="AIC96" s="1056"/>
      <c r="AID96" s="1056"/>
      <c r="AIE96" s="1056"/>
      <c r="AIF96" s="1056"/>
      <c r="AIG96" s="1056"/>
      <c r="AIH96" s="1056"/>
      <c r="AII96" s="1056"/>
      <c r="AIJ96" s="1056"/>
      <c r="AIK96" s="1056"/>
      <c r="AIL96" s="1056"/>
      <c r="AIM96" s="1056"/>
      <c r="AIN96" s="1056"/>
      <c r="AIO96" s="1056"/>
      <c r="AIP96" s="1056"/>
      <c r="AIQ96" s="1056"/>
      <c r="AIR96" s="1056"/>
      <c r="AIS96" s="1056"/>
      <c r="AIT96" s="1056"/>
      <c r="AIU96" s="1056"/>
      <c r="AIV96" s="1056"/>
      <c r="AIW96" s="1056"/>
      <c r="AIX96" s="1056"/>
      <c r="AIY96" s="1056"/>
      <c r="AIZ96" s="1056"/>
      <c r="AJA96" s="1056"/>
      <c r="AJB96" s="1056"/>
      <c r="AJC96" s="1056"/>
      <c r="AJD96" s="1056"/>
      <c r="AJE96" s="1056"/>
      <c r="AJF96" s="1056"/>
      <c r="AJG96" s="1056"/>
      <c r="AJH96" s="1056"/>
      <c r="AJI96" s="1056"/>
      <c r="AJJ96" s="1056"/>
      <c r="AJK96" s="1056"/>
      <c r="AJL96" s="1056"/>
      <c r="AJM96" s="1056"/>
      <c r="AJN96" s="1056"/>
      <c r="AJO96" s="1056"/>
      <c r="AJP96" s="1056"/>
      <c r="AJQ96" s="1056"/>
      <c r="AJR96" s="1056"/>
      <c r="AJS96" s="1056"/>
      <c r="AJT96" s="1056"/>
      <c r="AJU96" s="1056"/>
      <c r="AJV96" s="1056"/>
      <c r="AJW96" s="1056"/>
      <c r="AJX96" s="1056"/>
      <c r="AJY96" s="1056"/>
      <c r="AJZ96" s="1056"/>
      <c r="AKA96" s="1056"/>
      <c r="AKB96" s="1056"/>
      <c r="AKC96" s="1056"/>
      <c r="AKD96" s="1056"/>
      <c r="AKE96" s="1056"/>
      <c r="AKF96" s="1056"/>
      <c r="AKG96" s="1056"/>
      <c r="AKH96" s="1056"/>
      <c r="AKI96" s="1056"/>
      <c r="AKJ96" s="1056"/>
      <c r="AKK96" s="1056"/>
      <c r="AKL96" s="1056"/>
      <c r="AKM96" s="1056"/>
      <c r="AKN96" s="1056"/>
      <c r="AKO96" s="1056"/>
      <c r="AKP96" s="1056"/>
      <c r="AKQ96" s="1056"/>
      <c r="AKR96" s="1056"/>
      <c r="AKS96" s="1056"/>
      <c r="AKT96" s="1056"/>
      <c r="AKU96" s="1056"/>
      <c r="AKV96" s="1056"/>
      <c r="AKW96" s="1056"/>
      <c r="AKX96" s="1056"/>
      <c r="AKY96" s="1056"/>
      <c r="AKZ96" s="1056"/>
      <c r="ALA96" s="1056"/>
      <c r="ALB96" s="1056"/>
      <c r="ALC96" s="1056"/>
      <c r="ALD96" s="1056"/>
      <c r="ALE96" s="1056"/>
      <c r="ALF96" s="1056"/>
      <c r="ALG96" s="1056"/>
      <c r="ALH96" s="1056"/>
      <c r="ALI96" s="1056"/>
      <c r="ALJ96" s="1056"/>
      <c r="ALK96" s="1056"/>
      <c r="ALL96" s="1056"/>
      <c r="ALM96" s="1056"/>
      <c r="ALN96" s="1056"/>
      <c r="ALO96" s="1056"/>
      <c r="ALP96" s="1056"/>
      <c r="ALQ96" s="1056"/>
      <c r="ALR96" s="1056"/>
      <c r="ALS96" s="1056"/>
      <c r="ALT96" s="1056"/>
      <c r="ALU96" s="1056"/>
      <c r="ALV96" s="1056"/>
      <c r="ALW96" s="1056"/>
      <c r="ALX96" s="1056"/>
      <c r="ALY96" s="1056"/>
      <c r="ALZ96" s="1056"/>
      <c r="AMA96" s="1056"/>
      <c r="AMB96" s="1056"/>
      <c r="AMC96" s="1056"/>
      <c r="AMD96" s="1056"/>
      <c r="AME96" s="1056"/>
      <c r="AMF96" s="1056"/>
      <c r="AMG96" s="1056"/>
      <c r="AMH96" s="1056"/>
      <c r="AMI96" s="1056"/>
      <c r="AMJ96" s="1056"/>
      <c r="AMK96" s="1056"/>
      <c r="AML96" s="1056"/>
      <c r="AMM96" s="1056"/>
      <c r="AMN96" s="1056"/>
      <c r="AMO96" s="1056"/>
      <c r="AMP96" s="1056"/>
      <c r="AMQ96" s="1056"/>
      <c r="AMR96" s="1056"/>
      <c r="AMS96" s="1056"/>
      <c r="AMT96" s="1056"/>
      <c r="AMU96" s="1056"/>
      <c r="AMV96" s="1056"/>
      <c r="AMW96" s="1056"/>
      <c r="AMX96" s="1056"/>
      <c r="AMY96" s="1056"/>
      <c r="AMZ96" s="1056"/>
      <c r="ANA96" s="1056"/>
      <c r="ANB96" s="1056"/>
      <c r="ANC96" s="1056"/>
      <c r="AND96" s="1056"/>
      <c r="ANE96" s="1056"/>
      <c r="ANF96" s="1056"/>
      <c r="ANG96" s="1056"/>
      <c r="ANH96" s="1056"/>
      <c r="ANI96" s="1056"/>
      <c r="ANJ96" s="1056"/>
      <c r="ANK96" s="1056"/>
      <c r="ANL96" s="1056"/>
      <c r="ANM96" s="1056"/>
      <c r="ANN96" s="1056"/>
      <c r="ANO96" s="1056"/>
      <c r="ANP96" s="1056"/>
      <c r="ANQ96" s="1056"/>
      <c r="ANR96" s="1056"/>
      <c r="ANS96" s="1056"/>
      <c r="ANT96" s="1056"/>
      <c r="ANU96" s="1056"/>
      <c r="ANV96" s="1056"/>
      <c r="ANW96" s="1056"/>
      <c r="ANX96" s="1056"/>
      <c r="ANY96" s="1056"/>
      <c r="ANZ96" s="1056"/>
      <c r="AOA96" s="1056"/>
      <c r="AOB96" s="1056"/>
      <c r="AOC96" s="1056"/>
      <c r="AOD96" s="1056"/>
      <c r="AOE96" s="1056"/>
      <c r="AOF96" s="1056"/>
      <c r="AOG96" s="1056"/>
      <c r="AOH96" s="1056"/>
      <c r="AOI96" s="1056"/>
      <c r="AOJ96" s="1056"/>
      <c r="AOK96" s="1056"/>
      <c r="AOL96" s="1056"/>
      <c r="AOM96" s="1056"/>
      <c r="AON96" s="1056"/>
      <c r="AOO96" s="1056"/>
      <c r="AOP96" s="1056"/>
      <c r="AOQ96" s="1056"/>
      <c r="AOR96" s="1056"/>
      <c r="AOS96" s="1056"/>
      <c r="AOT96" s="1056"/>
      <c r="AOU96" s="1056"/>
      <c r="AOV96" s="1056"/>
      <c r="AOW96" s="1056"/>
      <c r="AOX96" s="1056"/>
      <c r="AOY96" s="1056"/>
      <c r="AOZ96" s="1056"/>
      <c r="APA96" s="1056"/>
      <c r="APB96" s="1056"/>
      <c r="APC96" s="1056"/>
      <c r="APD96" s="1056"/>
      <c r="APE96" s="1056"/>
      <c r="APF96" s="1056"/>
      <c r="APG96" s="1056"/>
      <c r="APH96" s="1056"/>
      <c r="API96" s="1056"/>
      <c r="APJ96" s="1056"/>
      <c r="APK96" s="1056"/>
      <c r="APL96" s="1056"/>
      <c r="APM96" s="1056"/>
      <c r="APN96" s="1056"/>
      <c r="APO96" s="1056"/>
      <c r="APP96" s="1056"/>
      <c r="APQ96" s="1056"/>
      <c r="APR96" s="1056"/>
      <c r="APS96" s="1056"/>
      <c r="APT96" s="1056"/>
      <c r="APU96" s="1056"/>
      <c r="APV96" s="1056"/>
      <c r="APW96" s="1056"/>
      <c r="APX96" s="1056"/>
      <c r="APY96" s="1056"/>
      <c r="APZ96" s="1056"/>
      <c r="AQA96" s="1056"/>
      <c r="AQB96" s="1056"/>
      <c r="AQC96" s="1056"/>
      <c r="AQD96" s="1056"/>
      <c r="AQE96" s="1056"/>
      <c r="AQF96" s="1056"/>
      <c r="AQG96" s="1056"/>
      <c r="AQH96" s="1056"/>
      <c r="AQI96" s="1056"/>
      <c r="AQJ96" s="1056"/>
      <c r="AQK96" s="1056"/>
      <c r="AQL96" s="1056"/>
      <c r="AQM96" s="1056"/>
      <c r="AQN96" s="1056"/>
      <c r="AQO96" s="1056"/>
      <c r="AQP96" s="1056"/>
      <c r="AQQ96" s="1056"/>
      <c r="AQR96" s="1056"/>
      <c r="AQS96" s="1056"/>
      <c r="AQT96" s="1056"/>
      <c r="AQU96" s="1056"/>
      <c r="AQV96" s="1056"/>
      <c r="AQW96" s="1056"/>
      <c r="AQX96" s="1056"/>
      <c r="AQY96" s="1056"/>
      <c r="AQZ96" s="1056"/>
      <c r="ARA96" s="1056"/>
      <c r="ARB96" s="1056"/>
      <c r="ARC96" s="1056"/>
      <c r="ARD96" s="1056"/>
      <c r="ARE96" s="1056"/>
      <c r="ARF96" s="1056"/>
      <c r="ARG96" s="1056"/>
      <c r="ARH96" s="1056"/>
      <c r="ARI96" s="1056"/>
      <c r="ARJ96" s="1056"/>
      <c r="ARK96" s="1056"/>
      <c r="ARL96" s="1056"/>
      <c r="ARM96" s="1056"/>
      <c r="ARN96" s="1056"/>
      <c r="ARO96" s="1056"/>
      <c r="ARP96" s="1056"/>
      <c r="ARQ96" s="1056"/>
      <c r="ARR96" s="1056"/>
      <c r="ARS96" s="1056"/>
      <c r="ART96" s="1056"/>
      <c r="ARU96" s="1056"/>
      <c r="ARV96" s="1056"/>
      <c r="ARW96" s="1056"/>
      <c r="ARX96" s="1056"/>
      <c r="ARY96" s="1056"/>
      <c r="ARZ96" s="1056"/>
      <c r="ASA96" s="1056"/>
      <c r="ASB96" s="1056"/>
      <c r="ASC96" s="1056"/>
      <c r="ASD96" s="1056"/>
      <c r="ASE96" s="1056"/>
      <c r="ASF96" s="1056"/>
      <c r="ASG96" s="1056"/>
      <c r="ASH96" s="1056"/>
      <c r="ASI96" s="1056"/>
      <c r="ASJ96" s="1056"/>
      <c r="ASK96" s="1056"/>
      <c r="ASL96" s="1056"/>
      <c r="ASM96" s="1056"/>
      <c r="ASN96" s="1056"/>
      <c r="ASO96" s="1056"/>
      <c r="ASP96" s="1056"/>
      <c r="ASQ96" s="1056"/>
      <c r="ASR96" s="1056"/>
      <c r="ASS96" s="1056"/>
      <c r="AST96" s="1056"/>
      <c r="ASU96" s="1056"/>
      <c r="ASV96" s="1056"/>
      <c r="ASW96" s="1056"/>
      <c r="ASX96" s="1056"/>
      <c r="ASY96" s="1056"/>
      <c r="ASZ96" s="1056"/>
      <c r="ATA96" s="1056"/>
      <c r="ATB96" s="1056"/>
      <c r="ATC96" s="1056"/>
      <c r="ATD96" s="1056"/>
      <c r="ATE96" s="1056"/>
      <c r="ATF96" s="1056"/>
      <c r="ATG96" s="1056"/>
      <c r="ATH96" s="1056"/>
      <c r="ATI96" s="1056"/>
      <c r="ATJ96" s="1056"/>
      <c r="ATK96" s="1056"/>
      <c r="ATL96" s="1056"/>
      <c r="ATM96" s="1056"/>
      <c r="ATN96" s="1056"/>
      <c r="ATO96" s="1056"/>
      <c r="ATP96" s="1056"/>
      <c r="ATQ96" s="1056"/>
      <c r="ATR96" s="1056"/>
      <c r="ATS96" s="1056"/>
      <c r="ATT96" s="1056"/>
      <c r="ATU96" s="1056"/>
      <c r="ATV96" s="1056"/>
      <c r="ATW96" s="1056"/>
      <c r="ATX96" s="1056"/>
      <c r="ATY96" s="1056"/>
      <c r="ATZ96" s="1056"/>
      <c r="AUA96" s="1056"/>
      <c r="AUB96" s="1056"/>
      <c r="AUC96" s="1056"/>
      <c r="AUD96" s="1056"/>
      <c r="AUE96" s="1056"/>
      <c r="AUF96" s="1056"/>
      <c r="AUG96" s="1056"/>
      <c r="AUH96" s="1056"/>
      <c r="AUI96" s="1056"/>
      <c r="AUJ96" s="1056"/>
      <c r="AUK96" s="1056"/>
      <c r="AUL96" s="1056"/>
      <c r="AUM96" s="1056"/>
      <c r="AUN96" s="1056"/>
      <c r="AUO96" s="1056"/>
      <c r="AUP96" s="1056"/>
      <c r="AUQ96" s="1056"/>
      <c r="AUR96" s="1056"/>
      <c r="AUS96" s="1056"/>
      <c r="AUT96" s="1056"/>
      <c r="AUU96" s="1056"/>
      <c r="AUV96" s="1056"/>
      <c r="AUW96" s="1056"/>
      <c r="AUX96" s="1056"/>
      <c r="AUY96" s="1056"/>
      <c r="AUZ96" s="1056"/>
      <c r="AVA96" s="1056"/>
      <c r="AVB96" s="1056"/>
      <c r="AVC96" s="1056"/>
      <c r="AVD96" s="1056"/>
      <c r="AVE96" s="1056"/>
      <c r="AVF96" s="1056"/>
      <c r="AVG96" s="1056"/>
      <c r="AVH96" s="1056"/>
      <c r="AVI96" s="1056"/>
      <c r="AVJ96" s="1056"/>
      <c r="AVK96" s="1056"/>
      <c r="AVL96" s="1056"/>
      <c r="AVM96" s="1056"/>
      <c r="AVN96" s="1056"/>
      <c r="AVO96" s="1056"/>
      <c r="AVP96" s="1056"/>
      <c r="AVQ96" s="1056"/>
      <c r="AVR96" s="1056"/>
      <c r="AVS96" s="1056"/>
      <c r="AVT96" s="1056"/>
      <c r="AVU96" s="1056"/>
      <c r="AVV96" s="1056"/>
      <c r="AVW96" s="1056"/>
      <c r="AVX96" s="1056"/>
      <c r="AVY96" s="1056"/>
      <c r="AVZ96" s="1056"/>
      <c r="AWA96" s="1056"/>
      <c r="AWB96" s="1056"/>
      <c r="AWC96" s="1056"/>
      <c r="AWD96" s="1056"/>
      <c r="AWE96" s="1056"/>
      <c r="AWF96" s="1056"/>
      <c r="AWG96" s="1056"/>
      <c r="AWH96" s="1056"/>
      <c r="AWI96" s="1056"/>
      <c r="AWJ96" s="1056"/>
      <c r="AWK96" s="1056"/>
      <c r="AWL96" s="1056"/>
      <c r="AWM96" s="1056"/>
      <c r="AWN96" s="1056"/>
      <c r="AWO96" s="1056"/>
      <c r="AWP96" s="1056"/>
      <c r="AWQ96" s="1056"/>
      <c r="AWR96" s="1056"/>
      <c r="AWS96" s="1056"/>
      <c r="AWT96" s="1056"/>
      <c r="AWU96" s="1056"/>
      <c r="AWV96" s="1056"/>
      <c r="AWW96" s="1056"/>
      <c r="AWX96" s="1056"/>
      <c r="AWY96" s="1056"/>
      <c r="AWZ96" s="1056"/>
      <c r="AXA96" s="1056"/>
      <c r="AXB96" s="1056"/>
      <c r="AXC96" s="1056"/>
      <c r="AXD96" s="1056"/>
      <c r="AXE96" s="1056"/>
      <c r="AXF96" s="1056"/>
      <c r="AXG96" s="1056"/>
      <c r="AXH96" s="1056"/>
      <c r="AXI96" s="1056"/>
      <c r="AXJ96" s="1056"/>
      <c r="AXK96" s="1056"/>
      <c r="AXL96" s="1056"/>
      <c r="AXM96" s="1056"/>
      <c r="AXN96" s="1056"/>
      <c r="AXO96" s="1056"/>
      <c r="AXP96" s="1056"/>
      <c r="AXQ96" s="1056"/>
      <c r="AXR96" s="1056"/>
      <c r="AXS96" s="1056"/>
      <c r="AXT96" s="1056"/>
      <c r="AXU96" s="1056"/>
      <c r="AXV96" s="1056"/>
      <c r="AXW96" s="1056"/>
      <c r="AXX96" s="1056"/>
      <c r="AXY96" s="1056"/>
      <c r="AXZ96" s="1056"/>
      <c r="AYA96" s="1056"/>
      <c r="AYB96" s="1056"/>
      <c r="AYC96" s="1056"/>
      <c r="AYD96" s="1056"/>
      <c r="AYE96" s="1056"/>
      <c r="AYF96" s="1056"/>
      <c r="AYG96" s="1056"/>
      <c r="AYH96" s="1056"/>
      <c r="AYI96" s="1056"/>
      <c r="AYJ96" s="1056"/>
      <c r="AYK96" s="1056"/>
      <c r="AYL96" s="1056"/>
      <c r="AYM96" s="1056"/>
      <c r="AYN96" s="1056"/>
      <c r="AYO96" s="1056"/>
      <c r="AYP96" s="1056"/>
      <c r="AYQ96" s="1056"/>
      <c r="AYR96" s="1056"/>
      <c r="AYS96" s="1056"/>
      <c r="AYT96" s="1056"/>
      <c r="AYU96" s="1056"/>
      <c r="AYV96" s="1056"/>
      <c r="AYW96" s="1056"/>
      <c r="AYX96" s="1056"/>
      <c r="AYY96" s="1056"/>
      <c r="AYZ96" s="1056"/>
      <c r="AZA96" s="1056"/>
      <c r="AZB96" s="1056"/>
      <c r="AZC96" s="1056"/>
      <c r="AZD96" s="1056"/>
      <c r="AZE96" s="1056"/>
      <c r="AZF96" s="1056"/>
      <c r="AZG96" s="1056"/>
      <c r="AZH96" s="1056"/>
      <c r="AZI96" s="1056"/>
      <c r="AZJ96" s="1056"/>
      <c r="AZK96" s="1056"/>
      <c r="AZL96" s="1056"/>
      <c r="AZM96" s="1056"/>
      <c r="AZN96" s="1056"/>
      <c r="AZO96" s="1056"/>
      <c r="AZP96" s="1056"/>
      <c r="AZQ96" s="1056"/>
      <c r="AZR96" s="1056"/>
      <c r="AZS96" s="1056"/>
      <c r="AZT96" s="1056"/>
      <c r="AZU96" s="1056"/>
      <c r="AZV96" s="1056"/>
      <c r="AZW96" s="1056"/>
      <c r="AZX96" s="1056"/>
      <c r="AZY96" s="1056"/>
      <c r="AZZ96" s="1056"/>
      <c r="BAA96" s="1056"/>
      <c r="BAB96" s="1056"/>
      <c r="BAC96" s="1056"/>
      <c r="BAD96" s="1056"/>
      <c r="BAE96" s="1056"/>
      <c r="BAF96" s="1056"/>
      <c r="BAG96" s="1056"/>
      <c r="BAH96" s="1056"/>
      <c r="BAI96" s="1056"/>
      <c r="BAJ96" s="1056"/>
      <c r="BAK96" s="1056"/>
      <c r="BAL96" s="1056"/>
      <c r="BAM96" s="1056"/>
      <c r="BAN96" s="1056"/>
      <c r="BAO96" s="1056"/>
      <c r="BAP96" s="1056"/>
      <c r="BAQ96" s="1056"/>
      <c r="BAR96" s="1056"/>
      <c r="BAS96" s="1056"/>
      <c r="BAT96" s="1056"/>
      <c r="BAU96" s="1056"/>
      <c r="BAV96" s="1056"/>
      <c r="BAW96" s="1056"/>
      <c r="BAX96" s="1056"/>
      <c r="BAY96" s="1056"/>
      <c r="BAZ96" s="1056"/>
      <c r="BBA96" s="1056"/>
      <c r="BBB96" s="1056"/>
      <c r="BBC96" s="1056"/>
      <c r="BBD96" s="1056"/>
      <c r="BBE96" s="1056"/>
      <c r="BBF96" s="1056"/>
      <c r="BBG96" s="1056"/>
      <c r="BBH96" s="1056"/>
      <c r="BBI96" s="1056"/>
      <c r="BBJ96" s="1056"/>
      <c r="BBK96" s="1056"/>
      <c r="BBL96" s="1056"/>
      <c r="BBM96" s="1056"/>
      <c r="BBN96" s="1056"/>
      <c r="BBO96" s="1056"/>
      <c r="BBP96" s="1056"/>
      <c r="BBQ96" s="1056"/>
      <c r="BBR96" s="1056"/>
      <c r="BBS96" s="1056"/>
      <c r="BBT96" s="1056"/>
      <c r="BBU96" s="1056"/>
      <c r="BBV96" s="1056"/>
      <c r="BBW96" s="1056"/>
      <c r="BBX96" s="1056"/>
      <c r="BBY96" s="1056"/>
      <c r="BBZ96" s="1056"/>
      <c r="BCA96" s="1056"/>
      <c r="BCB96" s="1056"/>
      <c r="BCC96" s="1056"/>
      <c r="BCD96" s="1056"/>
      <c r="BCE96" s="1056"/>
      <c r="BCF96" s="1056"/>
      <c r="BCG96" s="1056"/>
      <c r="BCH96" s="1056"/>
      <c r="BCI96" s="1056"/>
      <c r="BCJ96" s="1056"/>
      <c r="BCK96" s="1056"/>
      <c r="BCL96" s="1056"/>
      <c r="BCM96" s="1056"/>
      <c r="BCN96" s="1056"/>
      <c r="BCO96" s="1056"/>
      <c r="BCP96" s="1056"/>
      <c r="BCQ96" s="1056"/>
      <c r="BCR96" s="1056"/>
      <c r="BCS96" s="1056"/>
      <c r="BCT96" s="1056"/>
      <c r="BCU96" s="1056"/>
      <c r="BCV96" s="1056"/>
      <c r="BCW96" s="1056"/>
      <c r="BCX96" s="1056"/>
      <c r="BCY96" s="1056"/>
      <c r="BCZ96" s="1056"/>
      <c r="BDA96" s="1056"/>
      <c r="BDB96" s="1056"/>
      <c r="BDC96" s="1056"/>
      <c r="BDD96" s="1056"/>
      <c r="BDE96" s="1056"/>
      <c r="BDF96" s="1056"/>
      <c r="BDG96" s="1056"/>
      <c r="BDH96" s="1056"/>
      <c r="BDI96" s="1056"/>
      <c r="BDJ96" s="1056"/>
      <c r="BDK96" s="1056"/>
      <c r="BDL96" s="1056"/>
      <c r="BDM96" s="1056"/>
      <c r="BDN96" s="1056"/>
      <c r="BDO96" s="1056"/>
      <c r="BDP96" s="1056"/>
      <c r="BDQ96" s="1056"/>
      <c r="BDR96" s="1056"/>
      <c r="BDS96" s="1056"/>
      <c r="BDT96" s="1056"/>
      <c r="BDU96" s="1056"/>
      <c r="BDV96" s="1056"/>
      <c r="BDW96" s="1056"/>
      <c r="BDX96" s="1056"/>
      <c r="BDY96" s="1056"/>
      <c r="BDZ96" s="1056"/>
      <c r="BEA96" s="1056"/>
      <c r="BEB96" s="1056"/>
      <c r="BEC96" s="1056"/>
      <c r="BED96" s="1056"/>
      <c r="BEE96" s="1056"/>
      <c r="BEF96" s="1056"/>
      <c r="BEG96" s="1056"/>
      <c r="BEH96" s="1056"/>
      <c r="BEI96" s="1056"/>
      <c r="BEJ96" s="1056"/>
      <c r="BEK96" s="1056"/>
      <c r="BEL96" s="1056"/>
      <c r="BEM96" s="1056"/>
      <c r="BEN96" s="1056"/>
      <c r="BEO96" s="1056"/>
      <c r="BEP96" s="1056"/>
      <c r="BEQ96" s="1056"/>
      <c r="BER96" s="1056"/>
      <c r="BES96" s="1056"/>
      <c r="BET96" s="1056"/>
      <c r="BEU96" s="1056"/>
      <c r="BEV96" s="1056"/>
      <c r="BEW96" s="1056"/>
      <c r="BEX96" s="1056"/>
      <c r="BEY96" s="1056"/>
      <c r="BEZ96" s="1056"/>
      <c r="BFA96" s="1056"/>
      <c r="BFB96" s="1056"/>
      <c r="BFC96" s="1056"/>
      <c r="BFD96" s="1056"/>
      <c r="BFE96" s="1056"/>
      <c r="BFF96" s="1056"/>
      <c r="BFG96" s="1056"/>
      <c r="BFH96" s="1056"/>
      <c r="BFI96" s="1056"/>
      <c r="BFJ96" s="1056"/>
      <c r="BFK96" s="1056"/>
      <c r="BFL96" s="1056"/>
      <c r="BFM96" s="1056"/>
      <c r="BFN96" s="1056"/>
      <c r="BFO96" s="1056"/>
      <c r="BFP96" s="1056"/>
      <c r="BFQ96" s="1056"/>
      <c r="BFR96" s="1056"/>
      <c r="BFS96" s="1056"/>
      <c r="BFT96" s="1056"/>
      <c r="BFU96" s="1056"/>
      <c r="BFV96" s="1056"/>
      <c r="BFW96" s="1056"/>
      <c r="BFX96" s="1056"/>
      <c r="BFY96" s="1056"/>
      <c r="BFZ96" s="1056"/>
      <c r="BGA96" s="1056"/>
      <c r="BGB96" s="1056"/>
      <c r="BGC96" s="1056"/>
      <c r="BGD96" s="1056"/>
      <c r="BGE96" s="1056"/>
      <c r="BGF96" s="1056"/>
      <c r="BGG96" s="1056"/>
      <c r="BGH96" s="1056"/>
      <c r="BGI96" s="1056"/>
      <c r="BGJ96" s="1056"/>
      <c r="BGK96" s="1056"/>
      <c r="BGL96" s="1056"/>
      <c r="BGM96" s="1056"/>
      <c r="BGN96" s="1056"/>
      <c r="BGO96" s="1056"/>
      <c r="BGP96" s="1056"/>
      <c r="BGQ96" s="1056"/>
      <c r="BGR96" s="1056"/>
      <c r="BGS96" s="1056"/>
      <c r="BGT96" s="1056"/>
      <c r="BGU96" s="1056"/>
      <c r="BGV96" s="1056"/>
      <c r="BGW96" s="1056"/>
      <c r="BGX96" s="1056"/>
      <c r="BGY96" s="1056"/>
      <c r="BGZ96" s="1056"/>
      <c r="BHA96" s="1056"/>
      <c r="BHB96" s="1056"/>
      <c r="BHC96" s="1056"/>
      <c r="BHD96" s="1056"/>
      <c r="BHE96" s="1056"/>
      <c r="BHF96" s="1056"/>
      <c r="BHG96" s="1056"/>
      <c r="BHH96" s="1056"/>
      <c r="BHI96" s="1056"/>
      <c r="BHJ96" s="1056"/>
      <c r="BHK96" s="1056"/>
      <c r="BHL96" s="1056"/>
      <c r="BHM96" s="1056"/>
      <c r="BHN96" s="1056"/>
      <c r="BHO96" s="1056"/>
      <c r="BHP96" s="1056"/>
      <c r="BHQ96" s="1056"/>
      <c r="BHR96" s="1056"/>
      <c r="BHS96" s="1056"/>
      <c r="BHT96" s="1056"/>
      <c r="BHU96" s="1056"/>
      <c r="BHV96" s="1056"/>
      <c r="BHW96" s="1056"/>
      <c r="BHX96" s="1056"/>
      <c r="BHY96" s="1056"/>
      <c r="BHZ96" s="1056"/>
      <c r="BIA96" s="1056"/>
      <c r="BIB96" s="1056"/>
      <c r="BIC96" s="1056"/>
      <c r="BID96" s="1056"/>
      <c r="BIE96" s="1056"/>
      <c r="BIF96" s="1056"/>
      <c r="BIG96" s="1056"/>
      <c r="BIH96" s="1056"/>
      <c r="BII96" s="1056"/>
      <c r="BIJ96" s="1056"/>
      <c r="BIK96" s="1056"/>
      <c r="BIL96" s="1056"/>
      <c r="BIM96" s="1056"/>
      <c r="BIN96" s="1056"/>
      <c r="BIO96" s="1056"/>
      <c r="BIP96" s="1056"/>
      <c r="BIQ96" s="1056"/>
      <c r="BIR96" s="1056"/>
      <c r="BIS96" s="1056"/>
      <c r="BIT96" s="1056"/>
      <c r="BIU96" s="1056"/>
      <c r="BIV96" s="1056"/>
      <c r="BIW96" s="1056"/>
      <c r="BIX96" s="1056"/>
      <c r="BIY96" s="1056"/>
      <c r="BIZ96" s="1056"/>
      <c r="BJA96" s="1056"/>
      <c r="BJB96" s="1056"/>
      <c r="BJC96" s="1056"/>
      <c r="BJD96" s="1056"/>
      <c r="BJE96" s="1056"/>
      <c r="BJF96" s="1056"/>
      <c r="BJG96" s="1056"/>
      <c r="BJH96" s="1056"/>
      <c r="BJI96" s="1056"/>
      <c r="BJJ96" s="1056"/>
      <c r="BJK96" s="1056"/>
      <c r="BJL96" s="1056"/>
      <c r="BJM96" s="1056"/>
      <c r="BJN96" s="1056"/>
      <c r="BJO96" s="1056"/>
      <c r="BJP96" s="1056"/>
      <c r="BJQ96" s="1056"/>
      <c r="BJR96" s="1056"/>
      <c r="BJS96" s="1056"/>
      <c r="BJT96" s="1056"/>
      <c r="BJU96" s="1056"/>
      <c r="BJV96" s="1056"/>
      <c r="BJW96" s="1056"/>
      <c r="BJX96" s="1056"/>
      <c r="BJY96" s="1056"/>
      <c r="BJZ96" s="1056"/>
      <c r="BKA96" s="1056"/>
      <c r="BKB96" s="1056"/>
      <c r="BKC96" s="1056"/>
      <c r="BKD96" s="1056"/>
      <c r="BKE96" s="1056"/>
      <c r="BKF96" s="1056"/>
      <c r="BKG96" s="1056"/>
      <c r="BKH96" s="1056"/>
      <c r="BKI96" s="1056"/>
      <c r="BKJ96" s="1056"/>
      <c r="BKK96" s="1056"/>
      <c r="BKL96" s="1056"/>
      <c r="BKM96" s="1056"/>
      <c r="BKN96" s="1056"/>
      <c r="BKO96" s="1056"/>
      <c r="BKP96" s="1056"/>
      <c r="BKQ96" s="1056"/>
      <c r="BKR96" s="1056"/>
      <c r="BKS96" s="1056"/>
      <c r="BKT96" s="1056"/>
      <c r="BKU96" s="1056"/>
      <c r="BKV96" s="1056"/>
      <c r="BKW96" s="1056"/>
      <c r="BKX96" s="1056"/>
      <c r="BKY96" s="1056"/>
      <c r="BKZ96" s="1056"/>
      <c r="BLA96" s="1056"/>
      <c r="BLB96" s="1056"/>
      <c r="BLC96" s="1056"/>
      <c r="BLD96" s="1056"/>
      <c r="BLE96" s="1056"/>
      <c r="BLF96" s="1056"/>
      <c r="BLG96" s="1056"/>
      <c r="BLH96" s="1056"/>
      <c r="BLI96" s="1056"/>
      <c r="BLJ96" s="1056"/>
      <c r="BLK96" s="1056"/>
      <c r="BLL96" s="1056"/>
      <c r="BLM96" s="1056"/>
      <c r="BLN96" s="1056"/>
      <c r="BLO96" s="1056"/>
      <c r="BLP96" s="1056"/>
      <c r="BLQ96" s="1056"/>
      <c r="BLR96" s="1056"/>
      <c r="BLS96" s="1056"/>
      <c r="BLT96" s="1056"/>
      <c r="BLU96" s="1056"/>
      <c r="BLV96" s="1056"/>
      <c r="BLW96" s="1056"/>
      <c r="BLX96" s="1056"/>
      <c r="BLY96" s="1056"/>
      <c r="BLZ96" s="1056"/>
      <c r="BMA96" s="1056"/>
      <c r="BMB96" s="1056"/>
      <c r="BMC96" s="1056"/>
      <c r="BMD96" s="1056"/>
      <c r="BME96" s="1056"/>
      <c r="BMF96" s="1056"/>
      <c r="BMG96" s="1056"/>
      <c r="BMH96" s="1056"/>
      <c r="BMI96" s="1056"/>
      <c r="BMJ96" s="1056"/>
      <c r="BMK96" s="1056"/>
      <c r="BML96" s="1056"/>
      <c r="BMM96" s="1056"/>
      <c r="BMN96" s="1056"/>
      <c r="BMO96" s="1056"/>
      <c r="BMP96" s="1056"/>
      <c r="BMQ96" s="1056"/>
      <c r="BMR96" s="1056"/>
      <c r="BMS96" s="1056"/>
      <c r="BMT96" s="1056"/>
      <c r="BMU96" s="1056"/>
      <c r="BMV96" s="1056"/>
      <c r="BMW96" s="1056"/>
      <c r="BMX96" s="1056"/>
      <c r="BMY96" s="1056"/>
      <c r="BMZ96" s="1056"/>
      <c r="BNA96" s="1056"/>
      <c r="BNB96" s="1056"/>
      <c r="BNC96" s="1056"/>
      <c r="BND96" s="1056"/>
      <c r="BNE96" s="1056"/>
      <c r="BNF96" s="1056"/>
      <c r="BNG96" s="1056"/>
      <c r="BNH96" s="1056"/>
      <c r="BNI96" s="1056"/>
      <c r="BNJ96" s="1056"/>
      <c r="BNK96" s="1056"/>
      <c r="BNL96" s="1056"/>
      <c r="BNM96" s="1056"/>
      <c r="BNN96" s="1056"/>
      <c r="BNO96" s="1056"/>
      <c r="BNP96" s="1056"/>
      <c r="BNQ96" s="1056"/>
      <c r="BNR96" s="1056"/>
      <c r="BNS96" s="1056"/>
      <c r="BNT96" s="1056"/>
      <c r="BNU96" s="1056"/>
      <c r="BNV96" s="1056"/>
      <c r="BNW96" s="1056"/>
      <c r="BNX96" s="1056"/>
      <c r="BNY96" s="1056"/>
      <c r="BNZ96" s="1056"/>
      <c r="BOA96" s="1056"/>
      <c r="BOB96" s="1056"/>
      <c r="BOC96" s="1056"/>
      <c r="BOD96" s="1056"/>
      <c r="BOE96" s="1056"/>
      <c r="BOF96" s="1056"/>
      <c r="BOG96" s="1056"/>
      <c r="BOH96" s="1056"/>
      <c r="BOI96" s="1056"/>
      <c r="BOJ96" s="1056"/>
      <c r="BOK96" s="1056"/>
      <c r="BOL96" s="1056"/>
      <c r="BOM96" s="1056"/>
      <c r="BON96" s="1056"/>
      <c r="BOO96" s="1056"/>
      <c r="BOP96" s="1056"/>
      <c r="BOQ96" s="1056"/>
      <c r="BOR96" s="1056"/>
      <c r="BOS96" s="1056"/>
      <c r="BOT96" s="1056"/>
      <c r="BOU96" s="1056"/>
      <c r="BOV96" s="1056"/>
      <c r="BOW96" s="1056"/>
      <c r="BOX96" s="1056"/>
      <c r="BOY96" s="1056"/>
      <c r="BOZ96" s="1056"/>
      <c r="BPA96" s="1056"/>
      <c r="BPB96" s="1056"/>
      <c r="BPC96" s="1056"/>
      <c r="BPD96" s="1056"/>
      <c r="BPE96" s="1056"/>
      <c r="BPF96" s="1056"/>
      <c r="BPG96" s="1056"/>
      <c r="BPH96" s="1056"/>
      <c r="BPI96" s="1056"/>
      <c r="BPJ96" s="1056"/>
      <c r="BPK96" s="1056"/>
      <c r="BPL96" s="1056"/>
      <c r="BPM96" s="1056"/>
      <c r="BPN96" s="1056"/>
      <c r="BPO96" s="1056"/>
      <c r="BPP96" s="1056"/>
      <c r="BPQ96" s="1056"/>
      <c r="BPR96" s="1056"/>
      <c r="BPS96" s="1056"/>
      <c r="BPT96" s="1056"/>
      <c r="BPU96" s="1056"/>
      <c r="BPV96" s="1056"/>
      <c r="BPW96" s="1056"/>
      <c r="BPX96" s="1056"/>
      <c r="BPY96" s="1056"/>
      <c r="BPZ96" s="1056"/>
      <c r="BQA96" s="1056"/>
      <c r="BQB96" s="1056"/>
      <c r="BQC96" s="1056"/>
      <c r="BQD96" s="1056"/>
      <c r="BQE96" s="1056"/>
      <c r="BQF96" s="1056"/>
      <c r="BQG96" s="1056"/>
      <c r="BQH96" s="1056"/>
      <c r="BQI96" s="1056"/>
      <c r="BQJ96" s="1056"/>
      <c r="BQK96" s="1056"/>
      <c r="BQL96" s="1056"/>
      <c r="BQM96" s="1056"/>
      <c r="BQN96" s="1056"/>
      <c r="BQO96" s="1056"/>
      <c r="BQP96" s="1056"/>
      <c r="BQQ96" s="1056"/>
      <c r="BQR96" s="1056"/>
      <c r="BQS96" s="1056"/>
      <c r="BQT96" s="1056"/>
      <c r="BQU96" s="1056"/>
      <c r="BQV96" s="1056"/>
      <c r="BQW96" s="1056"/>
      <c r="BQX96" s="1056"/>
      <c r="BQY96" s="1056"/>
      <c r="BQZ96" s="1056"/>
      <c r="BRA96" s="1056"/>
      <c r="BRB96" s="1056"/>
      <c r="BRC96" s="1056"/>
      <c r="BRD96" s="1056"/>
      <c r="BRE96" s="1056"/>
      <c r="BRF96" s="1056"/>
      <c r="BRG96" s="1056"/>
      <c r="BRH96" s="1056"/>
      <c r="BRI96" s="1056"/>
      <c r="BRJ96" s="1056"/>
      <c r="BRK96" s="1056"/>
      <c r="BRL96" s="1056"/>
      <c r="BRM96" s="1056"/>
      <c r="BRN96" s="1056"/>
      <c r="BRO96" s="1056"/>
      <c r="BRP96" s="1056"/>
      <c r="BRQ96" s="1056"/>
      <c r="BRR96" s="1056"/>
      <c r="BRS96" s="1056"/>
      <c r="BRT96" s="1056"/>
      <c r="BRU96" s="1056"/>
      <c r="BRV96" s="1056"/>
      <c r="BRW96" s="1056"/>
      <c r="BRX96" s="1056"/>
      <c r="BRY96" s="1056"/>
      <c r="BRZ96" s="1056"/>
      <c r="BSA96" s="1056"/>
      <c r="BSB96" s="1056"/>
      <c r="BSC96" s="1056"/>
      <c r="BSD96" s="1056"/>
      <c r="BSE96" s="1056"/>
      <c r="BSF96" s="1056"/>
      <c r="BSG96" s="1056"/>
      <c r="BSH96" s="1056"/>
      <c r="BSI96" s="1056"/>
      <c r="BSJ96" s="1056"/>
      <c r="BSK96" s="1056"/>
      <c r="BSL96" s="1056"/>
      <c r="BSM96" s="1056"/>
      <c r="BSN96" s="1056"/>
      <c r="BSO96" s="1056"/>
      <c r="BSP96" s="1056"/>
      <c r="BSQ96" s="1056"/>
      <c r="BSR96" s="1056"/>
      <c r="BSS96" s="1056"/>
      <c r="BST96" s="1056"/>
      <c r="BSU96" s="1056"/>
      <c r="BSV96" s="1056"/>
      <c r="BSW96" s="1056"/>
      <c r="BSX96" s="1056"/>
      <c r="BSY96" s="1056"/>
      <c r="BSZ96" s="1056"/>
      <c r="BTA96" s="1056"/>
      <c r="BTB96" s="1056"/>
      <c r="BTC96" s="1056"/>
      <c r="BTD96" s="1056"/>
      <c r="BTE96" s="1056"/>
      <c r="BTF96" s="1056"/>
      <c r="BTG96" s="1056"/>
      <c r="BTH96" s="1056"/>
      <c r="BTI96" s="1056"/>
    </row>
    <row r="97" spans="1:1881" s="1060" customFormat="1" ht="115.5" hidden="1" customHeight="1" thickBot="1" x14ac:dyDescent="0.35">
      <c r="A97" s="1059">
        <v>588</v>
      </c>
      <c r="B97" s="1062" t="s">
        <v>1026</v>
      </c>
      <c r="C97" s="1062" t="s">
        <v>1027</v>
      </c>
      <c r="D97" s="1052" t="s">
        <v>1381</v>
      </c>
      <c r="E97" s="1053" t="e">
        <f>HLOOKUP($D$2,'2020 Data(H)'!$C$1:$AI$426,238,FALSE)</f>
        <v>#N/A</v>
      </c>
      <c r="F97" s="287">
        <v>0</v>
      </c>
      <c r="G97" s="722"/>
      <c r="H97" s="1054"/>
      <c r="I97" s="1055"/>
      <c r="J97" s="1056"/>
      <c r="K97" s="1056"/>
      <c r="L97" s="1057"/>
      <c r="M97" s="1056"/>
      <c r="N97" s="1058"/>
      <c r="O97" s="1056"/>
      <c r="P97" s="1056"/>
      <c r="Q97" s="1056"/>
      <c r="R97" s="1056"/>
      <c r="S97" s="1056"/>
      <c r="T97" s="1056"/>
      <c r="U97" s="1056"/>
      <c r="V97" s="1056"/>
      <c r="W97" s="1056"/>
      <c r="X97" s="1056"/>
      <c r="Y97" s="1056"/>
      <c r="Z97" s="1059"/>
      <c r="AA97" s="1059"/>
      <c r="AB97" s="1059"/>
      <c r="AC97" s="1059"/>
      <c r="AD97" s="1059"/>
      <c r="AE97" s="1059"/>
      <c r="AF97" s="1059"/>
      <c r="AG97" s="1059"/>
      <c r="AH97" s="1059"/>
      <c r="AI97" s="1059"/>
      <c r="AJ97" s="1059"/>
      <c r="AK97" s="1059"/>
      <c r="AL97" s="1059"/>
      <c r="AM97" s="1059"/>
      <c r="AN97" s="1059"/>
      <c r="AO97" s="1059"/>
      <c r="AP97" s="1059"/>
      <c r="AQ97" s="1059"/>
      <c r="AR97" s="1059"/>
      <c r="AS97" s="1056"/>
      <c r="AT97" s="1056"/>
      <c r="AU97" s="1056"/>
      <c r="AV97" s="1056"/>
      <c r="AW97" s="1056"/>
      <c r="AX97" s="1056"/>
      <c r="AY97" s="1056"/>
      <c r="AZ97" s="1056"/>
      <c r="BA97" s="1056"/>
      <c r="BB97" s="1056"/>
      <c r="BC97" s="1056"/>
      <c r="BD97" s="1056"/>
      <c r="BE97" s="1056"/>
      <c r="BF97" s="1056"/>
      <c r="BG97" s="1056"/>
      <c r="BH97" s="1056"/>
      <c r="BI97" s="1056"/>
      <c r="BJ97" s="1056"/>
      <c r="BK97" s="1056"/>
      <c r="BL97" s="1056"/>
      <c r="BM97" s="1056"/>
      <c r="BN97" s="1056"/>
      <c r="BO97" s="1056"/>
      <c r="BP97" s="1056"/>
      <c r="BQ97" s="1056"/>
      <c r="BR97" s="1056"/>
      <c r="BS97" s="1056"/>
      <c r="BT97" s="1056"/>
      <c r="BU97" s="1056"/>
      <c r="BV97" s="1056"/>
      <c r="BW97" s="1056"/>
      <c r="BX97" s="1056"/>
      <c r="BY97" s="1056"/>
      <c r="BZ97" s="1056"/>
      <c r="CA97" s="1056"/>
      <c r="CB97" s="1056"/>
      <c r="CC97" s="1056"/>
      <c r="CD97" s="1056"/>
      <c r="CE97" s="1056"/>
      <c r="CF97" s="1056"/>
      <c r="CG97" s="1056"/>
      <c r="CH97" s="1056"/>
      <c r="CI97" s="1056"/>
      <c r="CJ97" s="1056"/>
      <c r="CK97" s="1056"/>
      <c r="CL97" s="1056"/>
      <c r="CM97" s="1056"/>
      <c r="CN97" s="1056"/>
      <c r="CO97" s="1056"/>
      <c r="CP97" s="1056"/>
      <c r="CQ97" s="1056"/>
      <c r="CR97" s="1056"/>
      <c r="CS97" s="1056"/>
      <c r="CT97" s="1056"/>
      <c r="CU97" s="1056"/>
      <c r="CV97" s="1056"/>
      <c r="CW97" s="1056"/>
      <c r="CX97" s="1056"/>
      <c r="CY97" s="1056"/>
      <c r="CZ97" s="1056"/>
      <c r="DA97" s="1056"/>
      <c r="DB97" s="1056"/>
      <c r="DC97" s="1056"/>
      <c r="DD97" s="1056"/>
      <c r="DE97" s="1056"/>
      <c r="DF97" s="1056"/>
      <c r="DG97" s="1056"/>
      <c r="DH97" s="1056"/>
      <c r="DI97" s="1056"/>
      <c r="DJ97" s="1056"/>
      <c r="DK97" s="1056"/>
      <c r="DL97" s="1056"/>
      <c r="DM97" s="1056"/>
      <c r="DN97" s="1056"/>
      <c r="DO97" s="1056"/>
      <c r="DP97" s="1056"/>
      <c r="DQ97" s="1056"/>
      <c r="DR97" s="1056"/>
      <c r="DS97" s="1056"/>
      <c r="DT97" s="1056"/>
      <c r="DU97" s="1056"/>
      <c r="DV97" s="1056"/>
      <c r="DW97" s="1056"/>
      <c r="DX97" s="1056"/>
      <c r="DY97" s="1056"/>
      <c r="DZ97" s="1056"/>
      <c r="EA97" s="1056"/>
      <c r="EB97" s="1056"/>
      <c r="EC97" s="1056"/>
      <c r="ED97" s="1056"/>
      <c r="EE97" s="1056"/>
      <c r="EF97" s="1056"/>
      <c r="EG97" s="1056"/>
      <c r="EH97" s="1056"/>
      <c r="EI97" s="1056"/>
      <c r="EJ97" s="1056"/>
      <c r="EK97" s="1056"/>
      <c r="EL97" s="1056"/>
      <c r="EM97" s="1056"/>
      <c r="EN97" s="1056"/>
      <c r="EO97" s="1056"/>
      <c r="EP97" s="1056"/>
      <c r="EQ97" s="1056"/>
      <c r="ER97" s="1056"/>
      <c r="ES97" s="1056"/>
      <c r="ET97" s="1056"/>
      <c r="EU97" s="1056"/>
      <c r="EV97" s="1056"/>
      <c r="EW97" s="1056"/>
      <c r="EX97" s="1056"/>
      <c r="EY97" s="1056"/>
      <c r="EZ97" s="1056"/>
      <c r="FA97" s="1056"/>
      <c r="FB97" s="1056"/>
      <c r="FC97" s="1056"/>
      <c r="FD97" s="1056"/>
      <c r="FE97" s="1056"/>
      <c r="FF97" s="1056"/>
      <c r="FG97" s="1056"/>
      <c r="FH97" s="1056"/>
      <c r="FI97" s="1056"/>
      <c r="FJ97" s="1056"/>
      <c r="FK97" s="1056"/>
      <c r="FL97" s="1056"/>
      <c r="FM97" s="1056"/>
      <c r="FN97" s="1056"/>
      <c r="FO97" s="1056"/>
      <c r="FP97" s="1056"/>
      <c r="FQ97" s="1056"/>
      <c r="FR97" s="1056"/>
      <c r="FS97" s="1056"/>
      <c r="FT97" s="1056"/>
      <c r="FU97" s="1056"/>
      <c r="FV97" s="1056"/>
      <c r="FW97" s="1056"/>
      <c r="FX97" s="1056"/>
      <c r="FY97" s="1056"/>
      <c r="FZ97" s="1056"/>
      <c r="GA97" s="1056"/>
      <c r="GB97" s="1056"/>
      <c r="GC97" s="1056"/>
      <c r="GD97" s="1056"/>
      <c r="GE97" s="1056"/>
      <c r="GF97" s="1056"/>
      <c r="GG97" s="1056"/>
      <c r="GH97" s="1056"/>
      <c r="GI97" s="1056"/>
      <c r="GJ97" s="1056"/>
      <c r="GK97" s="1056"/>
      <c r="GL97" s="1056"/>
      <c r="GM97" s="1056"/>
      <c r="GN97" s="1056"/>
      <c r="GO97" s="1056"/>
      <c r="GP97" s="1056"/>
      <c r="GQ97" s="1056"/>
      <c r="GR97" s="1056"/>
      <c r="GS97" s="1056"/>
      <c r="GT97" s="1056"/>
      <c r="GU97" s="1056"/>
      <c r="GV97" s="1056"/>
      <c r="GW97" s="1056"/>
      <c r="GX97" s="1056"/>
      <c r="GY97" s="1056"/>
      <c r="GZ97" s="1056"/>
      <c r="HA97" s="1056"/>
      <c r="HB97" s="1056"/>
      <c r="HC97" s="1056"/>
      <c r="HD97" s="1056"/>
      <c r="HE97" s="1056"/>
      <c r="HF97" s="1056"/>
      <c r="HG97" s="1056"/>
      <c r="HH97" s="1056"/>
      <c r="HI97" s="1056"/>
      <c r="HJ97" s="1056"/>
      <c r="HK97" s="1056"/>
      <c r="HL97" s="1056"/>
      <c r="HM97" s="1056"/>
      <c r="HN97" s="1056"/>
      <c r="HO97" s="1056"/>
      <c r="HP97" s="1056"/>
      <c r="HQ97" s="1056"/>
      <c r="HR97" s="1056"/>
      <c r="HS97" s="1056"/>
      <c r="HT97" s="1056"/>
      <c r="HU97" s="1056"/>
      <c r="HV97" s="1056"/>
      <c r="HW97" s="1056"/>
      <c r="HX97" s="1056"/>
      <c r="HY97" s="1056"/>
      <c r="HZ97" s="1056"/>
      <c r="IA97" s="1056"/>
      <c r="IB97" s="1056"/>
      <c r="IC97" s="1056"/>
      <c r="ID97" s="1056"/>
      <c r="IE97" s="1056"/>
      <c r="IF97" s="1056"/>
      <c r="IG97" s="1056"/>
      <c r="IH97" s="1056"/>
      <c r="II97" s="1056"/>
      <c r="IJ97" s="1056"/>
      <c r="IK97" s="1056"/>
      <c r="IL97" s="1056"/>
      <c r="IM97" s="1056"/>
      <c r="IN97" s="1056"/>
      <c r="IO97" s="1056"/>
      <c r="IP97" s="1056"/>
      <c r="IQ97" s="1056"/>
      <c r="IR97" s="1056"/>
      <c r="IS97" s="1056"/>
      <c r="IT97" s="1056"/>
      <c r="IU97" s="1056"/>
      <c r="IV97" s="1056"/>
      <c r="IW97" s="1056"/>
      <c r="IX97" s="1056"/>
      <c r="IY97" s="1056"/>
      <c r="IZ97" s="1056"/>
      <c r="JA97" s="1056"/>
      <c r="JB97" s="1056"/>
      <c r="JC97" s="1056"/>
      <c r="JD97" s="1056"/>
      <c r="JE97" s="1056"/>
      <c r="JF97" s="1056"/>
      <c r="JG97" s="1056"/>
      <c r="JH97" s="1056"/>
      <c r="JI97" s="1056"/>
      <c r="JJ97" s="1056"/>
      <c r="JK97" s="1056"/>
      <c r="JL97" s="1056"/>
      <c r="JM97" s="1056"/>
      <c r="JN97" s="1056"/>
      <c r="JO97" s="1056"/>
      <c r="JP97" s="1056"/>
      <c r="JQ97" s="1056"/>
      <c r="JR97" s="1056"/>
      <c r="JS97" s="1056"/>
      <c r="JT97" s="1056"/>
      <c r="JU97" s="1056"/>
      <c r="JV97" s="1056"/>
      <c r="JW97" s="1056"/>
      <c r="JX97" s="1056"/>
      <c r="JY97" s="1056"/>
      <c r="JZ97" s="1056"/>
      <c r="KA97" s="1056"/>
      <c r="KB97" s="1056"/>
      <c r="KC97" s="1056"/>
      <c r="KD97" s="1056"/>
      <c r="KE97" s="1056"/>
      <c r="KF97" s="1056"/>
      <c r="KG97" s="1056"/>
      <c r="KH97" s="1056"/>
      <c r="KI97" s="1056"/>
      <c r="KJ97" s="1056"/>
      <c r="KK97" s="1056"/>
      <c r="KL97" s="1056"/>
      <c r="KM97" s="1056"/>
      <c r="KN97" s="1056"/>
      <c r="KO97" s="1056"/>
      <c r="KP97" s="1056"/>
      <c r="KQ97" s="1056"/>
      <c r="KR97" s="1056"/>
      <c r="KS97" s="1056"/>
      <c r="KT97" s="1056"/>
      <c r="KU97" s="1056"/>
      <c r="KV97" s="1056"/>
      <c r="KW97" s="1056"/>
      <c r="KX97" s="1056"/>
      <c r="KY97" s="1056"/>
      <c r="KZ97" s="1056"/>
      <c r="LA97" s="1056"/>
      <c r="LB97" s="1056"/>
      <c r="LC97" s="1056"/>
      <c r="LD97" s="1056"/>
      <c r="LE97" s="1056"/>
      <c r="LF97" s="1056"/>
      <c r="LG97" s="1056"/>
      <c r="LH97" s="1056"/>
      <c r="LI97" s="1056"/>
      <c r="LJ97" s="1056"/>
      <c r="LK97" s="1056"/>
      <c r="LL97" s="1056"/>
      <c r="LM97" s="1056"/>
      <c r="LN97" s="1056"/>
      <c r="LO97" s="1056"/>
      <c r="LP97" s="1056"/>
      <c r="LQ97" s="1056"/>
      <c r="LR97" s="1056"/>
      <c r="LS97" s="1056"/>
      <c r="LT97" s="1056"/>
      <c r="LU97" s="1056"/>
      <c r="LV97" s="1056"/>
      <c r="LW97" s="1056"/>
      <c r="LX97" s="1056"/>
      <c r="LY97" s="1056"/>
      <c r="LZ97" s="1056"/>
      <c r="MA97" s="1056"/>
      <c r="MB97" s="1056"/>
      <c r="MC97" s="1056"/>
      <c r="MD97" s="1056"/>
      <c r="ME97" s="1056"/>
      <c r="MF97" s="1056"/>
      <c r="MG97" s="1056"/>
      <c r="MH97" s="1056"/>
      <c r="MI97" s="1056"/>
      <c r="MJ97" s="1056"/>
      <c r="MK97" s="1056"/>
      <c r="ML97" s="1056"/>
      <c r="MM97" s="1056"/>
      <c r="MN97" s="1056"/>
      <c r="MO97" s="1056"/>
      <c r="MP97" s="1056"/>
      <c r="MQ97" s="1056"/>
      <c r="MR97" s="1056"/>
      <c r="MS97" s="1056"/>
      <c r="MT97" s="1056"/>
      <c r="MU97" s="1056"/>
      <c r="MV97" s="1056"/>
      <c r="MW97" s="1056"/>
      <c r="MX97" s="1056"/>
      <c r="MY97" s="1056"/>
      <c r="MZ97" s="1056"/>
      <c r="NA97" s="1056"/>
      <c r="NB97" s="1056"/>
      <c r="NC97" s="1056"/>
      <c r="ND97" s="1056"/>
      <c r="NE97" s="1056"/>
      <c r="NF97" s="1056"/>
      <c r="NG97" s="1056"/>
      <c r="NH97" s="1056"/>
      <c r="NI97" s="1056"/>
      <c r="NJ97" s="1056"/>
      <c r="NK97" s="1056"/>
      <c r="NL97" s="1056"/>
      <c r="NM97" s="1056"/>
      <c r="NN97" s="1056"/>
      <c r="NO97" s="1056"/>
      <c r="NP97" s="1056"/>
      <c r="NQ97" s="1056"/>
      <c r="NR97" s="1056"/>
      <c r="NS97" s="1056"/>
      <c r="NT97" s="1056"/>
      <c r="NU97" s="1056"/>
      <c r="NV97" s="1056"/>
      <c r="NW97" s="1056"/>
      <c r="NX97" s="1056"/>
      <c r="NY97" s="1056"/>
      <c r="NZ97" s="1056"/>
      <c r="OA97" s="1056"/>
      <c r="OB97" s="1056"/>
      <c r="OC97" s="1056"/>
      <c r="OD97" s="1056"/>
      <c r="OE97" s="1056"/>
      <c r="OF97" s="1056"/>
      <c r="OG97" s="1056"/>
      <c r="OH97" s="1056"/>
      <c r="OI97" s="1056"/>
      <c r="OJ97" s="1056"/>
      <c r="OK97" s="1056"/>
      <c r="OL97" s="1056"/>
      <c r="OM97" s="1056"/>
      <c r="ON97" s="1056"/>
      <c r="OO97" s="1056"/>
      <c r="OP97" s="1056"/>
      <c r="OQ97" s="1056"/>
      <c r="OR97" s="1056"/>
      <c r="OS97" s="1056"/>
      <c r="OT97" s="1056"/>
      <c r="OU97" s="1056"/>
      <c r="OV97" s="1056"/>
      <c r="OW97" s="1056"/>
      <c r="OX97" s="1056"/>
      <c r="OY97" s="1056"/>
      <c r="OZ97" s="1056"/>
      <c r="PA97" s="1056"/>
      <c r="PB97" s="1056"/>
      <c r="PC97" s="1056"/>
      <c r="PD97" s="1056"/>
      <c r="PE97" s="1056"/>
      <c r="PF97" s="1056"/>
      <c r="PG97" s="1056"/>
      <c r="PH97" s="1056"/>
      <c r="PI97" s="1056"/>
      <c r="PJ97" s="1056"/>
      <c r="PK97" s="1056"/>
      <c r="PL97" s="1056"/>
      <c r="PM97" s="1056"/>
      <c r="PN97" s="1056"/>
      <c r="PO97" s="1056"/>
      <c r="PP97" s="1056"/>
      <c r="PQ97" s="1056"/>
      <c r="PR97" s="1056"/>
      <c r="PS97" s="1056"/>
      <c r="PT97" s="1056"/>
      <c r="PU97" s="1056"/>
      <c r="PV97" s="1056"/>
      <c r="PW97" s="1056"/>
      <c r="PX97" s="1056"/>
      <c r="PY97" s="1056"/>
      <c r="PZ97" s="1056"/>
      <c r="QA97" s="1056"/>
      <c r="QB97" s="1056"/>
      <c r="QC97" s="1056"/>
      <c r="QD97" s="1056"/>
      <c r="QE97" s="1056"/>
      <c r="QF97" s="1056"/>
      <c r="QG97" s="1056"/>
      <c r="QH97" s="1056"/>
      <c r="QI97" s="1056"/>
      <c r="QJ97" s="1056"/>
      <c r="QK97" s="1056"/>
      <c r="QL97" s="1056"/>
      <c r="QM97" s="1056"/>
      <c r="QN97" s="1056"/>
      <c r="QO97" s="1056"/>
      <c r="QP97" s="1056"/>
      <c r="QQ97" s="1056"/>
      <c r="QR97" s="1056"/>
      <c r="QS97" s="1056"/>
      <c r="QT97" s="1056"/>
      <c r="QU97" s="1056"/>
      <c r="QV97" s="1056"/>
      <c r="QW97" s="1056"/>
      <c r="QX97" s="1056"/>
      <c r="QY97" s="1056"/>
      <c r="QZ97" s="1056"/>
      <c r="RA97" s="1056"/>
      <c r="RB97" s="1056"/>
      <c r="RC97" s="1056"/>
      <c r="RD97" s="1056"/>
      <c r="RE97" s="1056"/>
      <c r="RF97" s="1056"/>
      <c r="RG97" s="1056"/>
      <c r="RH97" s="1056"/>
      <c r="RI97" s="1056"/>
      <c r="RJ97" s="1056"/>
      <c r="RK97" s="1056"/>
      <c r="RL97" s="1056"/>
      <c r="RM97" s="1056"/>
      <c r="RN97" s="1056"/>
      <c r="RO97" s="1056"/>
      <c r="RP97" s="1056"/>
      <c r="RQ97" s="1056"/>
      <c r="RR97" s="1056"/>
      <c r="RS97" s="1056"/>
      <c r="RT97" s="1056"/>
      <c r="RU97" s="1056"/>
      <c r="RV97" s="1056"/>
      <c r="RW97" s="1056"/>
      <c r="RX97" s="1056"/>
      <c r="RY97" s="1056"/>
      <c r="RZ97" s="1056"/>
      <c r="SA97" s="1056"/>
      <c r="SB97" s="1056"/>
      <c r="SC97" s="1056"/>
      <c r="SD97" s="1056"/>
      <c r="SE97" s="1056"/>
      <c r="SF97" s="1056"/>
      <c r="SG97" s="1056"/>
      <c r="SH97" s="1056"/>
      <c r="SI97" s="1056"/>
      <c r="SJ97" s="1056"/>
      <c r="SK97" s="1056"/>
      <c r="SL97" s="1056"/>
      <c r="SM97" s="1056"/>
      <c r="SN97" s="1056"/>
      <c r="SO97" s="1056"/>
      <c r="SP97" s="1056"/>
      <c r="SQ97" s="1056"/>
      <c r="SR97" s="1056"/>
      <c r="SS97" s="1056"/>
      <c r="ST97" s="1056"/>
      <c r="SU97" s="1056"/>
      <c r="SV97" s="1056"/>
      <c r="SW97" s="1056"/>
      <c r="SX97" s="1056"/>
      <c r="SY97" s="1056"/>
      <c r="SZ97" s="1056"/>
      <c r="TA97" s="1056"/>
      <c r="TB97" s="1056"/>
      <c r="TC97" s="1056"/>
      <c r="TD97" s="1056"/>
      <c r="TE97" s="1056"/>
      <c r="TF97" s="1056"/>
      <c r="TG97" s="1056"/>
      <c r="TH97" s="1056"/>
      <c r="TI97" s="1056"/>
      <c r="TJ97" s="1056"/>
      <c r="TK97" s="1056"/>
      <c r="TL97" s="1056"/>
      <c r="TM97" s="1056"/>
      <c r="TN97" s="1056"/>
      <c r="TO97" s="1056"/>
      <c r="TP97" s="1056"/>
      <c r="TQ97" s="1056"/>
      <c r="TR97" s="1056"/>
      <c r="TS97" s="1056"/>
      <c r="TT97" s="1056"/>
      <c r="TU97" s="1056"/>
      <c r="TV97" s="1056"/>
      <c r="TW97" s="1056"/>
      <c r="TX97" s="1056"/>
      <c r="TY97" s="1056"/>
      <c r="TZ97" s="1056"/>
      <c r="UA97" s="1056"/>
      <c r="UB97" s="1056"/>
      <c r="UC97" s="1056"/>
      <c r="UD97" s="1056"/>
      <c r="UE97" s="1056"/>
      <c r="UF97" s="1056"/>
      <c r="UG97" s="1056"/>
      <c r="UH97" s="1056"/>
      <c r="UI97" s="1056"/>
      <c r="UJ97" s="1056"/>
      <c r="UK97" s="1056"/>
      <c r="UL97" s="1056"/>
      <c r="UM97" s="1056"/>
      <c r="UN97" s="1056"/>
      <c r="UO97" s="1056"/>
      <c r="UP97" s="1056"/>
      <c r="UQ97" s="1056"/>
      <c r="UR97" s="1056"/>
      <c r="US97" s="1056"/>
      <c r="UT97" s="1056"/>
      <c r="UU97" s="1056"/>
      <c r="UV97" s="1056"/>
      <c r="UW97" s="1056"/>
      <c r="UX97" s="1056"/>
      <c r="UY97" s="1056"/>
      <c r="UZ97" s="1056"/>
      <c r="VA97" s="1056"/>
      <c r="VB97" s="1056"/>
      <c r="VC97" s="1056"/>
      <c r="VD97" s="1056"/>
      <c r="VE97" s="1056"/>
      <c r="VF97" s="1056"/>
      <c r="VG97" s="1056"/>
      <c r="VH97" s="1056"/>
      <c r="VI97" s="1056"/>
      <c r="VJ97" s="1056"/>
      <c r="VK97" s="1056"/>
      <c r="VL97" s="1056"/>
      <c r="VM97" s="1056"/>
      <c r="VN97" s="1056"/>
      <c r="VO97" s="1056"/>
      <c r="VP97" s="1056"/>
      <c r="VQ97" s="1056"/>
      <c r="VR97" s="1056"/>
      <c r="VS97" s="1056"/>
      <c r="VT97" s="1056"/>
      <c r="VU97" s="1056"/>
      <c r="VV97" s="1056"/>
      <c r="VW97" s="1056"/>
      <c r="VX97" s="1056"/>
      <c r="VY97" s="1056"/>
      <c r="VZ97" s="1056"/>
      <c r="WA97" s="1056"/>
      <c r="WB97" s="1056"/>
      <c r="WC97" s="1056"/>
      <c r="WD97" s="1056"/>
      <c r="WE97" s="1056"/>
      <c r="WF97" s="1056"/>
      <c r="WG97" s="1056"/>
      <c r="WH97" s="1056"/>
      <c r="WI97" s="1056"/>
      <c r="WJ97" s="1056"/>
      <c r="WK97" s="1056"/>
      <c r="WL97" s="1056"/>
      <c r="WM97" s="1056"/>
      <c r="WN97" s="1056"/>
      <c r="WO97" s="1056"/>
      <c r="WP97" s="1056"/>
      <c r="WQ97" s="1056"/>
      <c r="WR97" s="1056"/>
      <c r="WS97" s="1056"/>
      <c r="WT97" s="1056"/>
      <c r="WU97" s="1056"/>
      <c r="WV97" s="1056"/>
      <c r="WW97" s="1056"/>
      <c r="WX97" s="1056"/>
      <c r="WY97" s="1056"/>
      <c r="WZ97" s="1056"/>
      <c r="XA97" s="1056"/>
      <c r="XB97" s="1056"/>
      <c r="XC97" s="1056"/>
      <c r="XD97" s="1056"/>
      <c r="XE97" s="1056"/>
      <c r="XF97" s="1056"/>
      <c r="XG97" s="1056"/>
      <c r="XH97" s="1056"/>
      <c r="XI97" s="1056"/>
      <c r="XJ97" s="1056"/>
      <c r="XK97" s="1056"/>
      <c r="XL97" s="1056"/>
      <c r="XM97" s="1056"/>
      <c r="XN97" s="1056"/>
      <c r="XO97" s="1056"/>
      <c r="XP97" s="1056"/>
      <c r="XQ97" s="1056"/>
      <c r="XR97" s="1056"/>
      <c r="XS97" s="1056"/>
      <c r="XT97" s="1056"/>
      <c r="XU97" s="1056"/>
      <c r="XV97" s="1056"/>
      <c r="XW97" s="1056"/>
      <c r="XX97" s="1056"/>
      <c r="XY97" s="1056"/>
      <c r="XZ97" s="1056"/>
      <c r="YA97" s="1056"/>
      <c r="YB97" s="1056"/>
      <c r="YC97" s="1056"/>
      <c r="YD97" s="1056"/>
      <c r="YE97" s="1056"/>
      <c r="YF97" s="1056"/>
      <c r="YG97" s="1056"/>
      <c r="YH97" s="1056"/>
      <c r="YI97" s="1056"/>
      <c r="YJ97" s="1056"/>
      <c r="YK97" s="1056"/>
      <c r="YL97" s="1056"/>
      <c r="YM97" s="1056"/>
      <c r="YN97" s="1056"/>
      <c r="YO97" s="1056"/>
      <c r="YP97" s="1056"/>
      <c r="YQ97" s="1056"/>
      <c r="YR97" s="1056"/>
      <c r="YS97" s="1056"/>
      <c r="YT97" s="1056"/>
      <c r="YU97" s="1056"/>
      <c r="YV97" s="1056"/>
      <c r="YW97" s="1056"/>
      <c r="YX97" s="1056"/>
      <c r="YY97" s="1056"/>
      <c r="YZ97" s="1056"/>
      <c r="ZA97" s="1056"/>
      <c r="ZB97" s="1056"/>
      <c r="ZC97" s="1056"/>
      <c r="ZD97" s="1056"/>
      <c r="ZE97" s="1056"/>
      <c r="ZF97" s="1056"/>
      <c r="ZG97" s="1056"/>
      <c r="ZH97" s="1056"/>
      <c r="ZI97" s="1056"/>
      <c r="ZJ97" s="1056"/>
      <c r="ZK97" s="1056"/>
      <c r="ZL97" s="1056"/>
      <c r="ZM97" s="1056"/>
      <c r="ZN97" s="1056"/>
      <c r="ZO97" s="1056"/>
      <c r="ZP97" s="1056"/>
      <c r="ZQ97" s="1056"/>
      <c r="ZR97" s="1056"/>
      <c r="ZS97" s="1056"/>
      <c r="ZT97" s="1056"/>
      <c r="ZU97" s="1056"/>
      <c r="ZV97" s="1056"/>
      <c r="ZW97" s="1056"/>
      <c r="ZX97" s="1056"/>
      <c r="ZY97" s="1056"/>
      <c r="ZZ97" s="1056"/>
      <c r="AAA97" s="1056"/>
      <c r="AAB97" s="1056"/>
      <c r="AAC97" s="1056"/>
      <c r="AAD97" s="1056"/>
      <c r="AAE97" s="1056"/>
      <c r="AAF97" s="1056"/>
      <c r="AAG97" s="1056"/>
      <c r="AAH97" s="1056"/>
      <c r="AAI97" s="1056"/>
      <c r="AAJ97" s="1056"/>
      <c r="AAK97" s="1056"/>
      <c r="AAL97" s="1056"/>
      <c r="AAM97" s="1056"/>
      <c r="AAN97" s="1056"/>
      <c r="AAO97" s="1056"/>
      <c r="AAP97" s="1056"/>
      <c r="AAQ97" s="1056"/>
      <c r="AAR97" s="1056"/>
      <c r="AAS97" s="1056"/>
      <c r="AAT97" s="1056"/>
      <c r="AAU97" s="1056"/>
      <c r="AAV97" s="1056"/>
      <c r="AAW97" s="1056"/>
      <c r="AAX97" s="1056"/>
      <c r="AAY97" s="1056"/>
      <c r="AAZ97" s="1056"/>
      <c r="ABA97" s="1056"/>
      <c r="ABB97" s="1056"/>
      <c r="ABC97" s="1056"/>
      <c r="ABD97" s="1056"/>
      <c r="ABE97" s="1056"/>
      <c r="ABF97" s="1056"/>
      <c r="ABG97" s="1056"/>
      <c r="ABH97" s="1056"/>
      <c r="ABI97" s="1056"/>
      <c r="ABJ97" s="1056"/>
      <c r="ABK97" s="1056"/>
      <c r="ABL97" s="1056"/>
      <c r="ABM97" s="1056"/>
      <c r="ABN97" s="1056"/>
      <c r="ABO97" s="1056"/>
      <c r="ABP97" s="1056"/>
      <c r="ABQ97" s="1056"/>
      <c r="ABR97" s="1056"/>
      <c r="ABS97" s="1056"/>
      <c r="ABT97" s="1056"/>
      <c r="ABU97" s="1056"/>
      <c r="ABV97" s="1056"/>
      <c r="ABW97" s="1056"/>
      <c r="ABX97" s="1056"/>
      <c r="ABY97" s="1056"/>
      <c r="ABZ97" s="1056"/>
      <c r="ACA97" s="1056"/>
      <c r="ACB97" s="1056"/>
      <c r="ACC97" s="1056"/>
      <c r="ACD97" s="1056"/>
      <c r="ACE97" s="1056"/>
      <c r="ACF97" s="1056"/>
      <c r="ACG97" s="1056"/>
      <c r="ACH97" s="1056"/>
      <c r="ACI97" s="1056"/>
      <c r="ACJ97" s="1056"/>
      <c r="ACK97" s="1056"/>
      <c r="ACL97" s="1056"/>
      <c r="ACM97" s="1056"/>
      <c r="ACN97" s="1056"/>
      <c r="ACO97" s="1056"/>
      <c r="ACP97" s="1056"/>
      <c r="ACQ97" s="1056"/>
      <c r="ACR97" s="1056"/>
      <c r="ACS97" s="1056"/>
      <c r="ACT97" s="1056"/>
      <c r="ACU97" s="1056"/>
      <c r="ACV97" s="1056"/>
      <c r="ACW97" s="1056"/>
      <c r="ACX97" s="1056"/>
      <c r="ACY97" s="1056"/>
      <c r="ACZ97" s="1056"/>
      <c r="ADA97" s="1056"/>
      <c r="ADB97" s="1056"/>
      <c r="ADC97" s="1056"/>
      <c r="ADD97" s="1056"/>
      <c r="ADE97" s="1056"/>
      <c r="ADF97" s="1056"/>
      <c r="ADG97" s="1056"/>
      <c r="ADH97" s="1056"/>
      <c r="ADI97" s="1056"/>
      <c r="ADJ97" s="1056"/>
      <c r="ADK97" s="1056"/>
      <c r="ADL97" s="1056"/>
      <c r="ADM97" s="1056"/>
      <c r="ADN97" s="1056"/>
      <c r="ADO97" s="1056"/>
      <c r="ADP97" s="1056"/>
      <c r="ADQ97" s="1056"/>
      <c r="ADR97" s="1056"/>
      <c r="ADS97" s="1056"/>
      <c r="ADT97" s="1056"/>
      <c r="ADU97" s="1056"/>
      <c r="ADV97" s="1056"/>
      <c r="ADW97" s="1056"/>
      <c r="ADX97" s="1056"/>
      <c r="ADY97" s="1056"/>
      <c r="ADZ97" s="1056"/>
      <c r="AEA97" s="1056"/>
      <c r="AEB97" s="1056"/>
      <c r="AEC97" s="1056"/>
      <c r="AED97" s="1056"/>
      <c r="AEE97" s="1056"/>
      <c r="AEF97" s="1056"/>
      <c r="AEG97" s="1056"/>
      <c r="AEH97" s="1056"/>
      <c r="AEI97" s="1056"/>
      <c r="AEJ97" s="1056"/>
      <c r="AEK97" s="1056"/>
      <c r="AEL97" s="1056"/>
      <c r="AEM97" s="1056"/>
      <c r="AEN97" s="1056"/>
      <c r="AEO97" s="1056"/>
      <c r="AEP97" s="1056"/>
      <c r="AEQ97" s="1056"/>
      <c r="AER97" s="1056"/>
      <c r="AES97" s="1056"/>
      <c r="AET97" s="1056"/>
      <c r="AEU97" s="1056"/>
      <c r="AEV97" s="1056"/>
      <c r="AEW97" s="1056"/>
      <c r="AEX97" s="1056"/>
      <c r="AEY97" s="1056"/>
      <c r="AEZ97" s="1056"/>
      <c r="AFA97" s="1056"/>
      <c r="AFB97" s="1056"/>
      <c r="AFC97" s="1056"/>
      <c r="AFD97" s="1056"/>
      <c r="AFE97" s="1056"/>
      <c r="AFF97" s="1056"/>
      <c r="AFG97" s="1056"/>
      <c r="AFH97" s="1056"/>
      <c r="AFI97" s="1056"/>
      <c r="AFJ97" s="1056"/>
      <c r="AFK97" s="1056"/>
      <c r="AFL97" s="1056"/>
      <c r="AFM97" s="1056"/>
      <c r="AFN97" s="1056"/>
      <c r="AFO97" s="1056"/>
      <c r="AFP97" s="1056"/>
      <c r="AFQ97" s="1056"/>
      <c r="AFR97" s="1056"/>
      <c r="AFS97" s="1056"/>
      <c r="AFT97" s="1056"/>
      <c r="AFU97" s="1056"/>
      <c r="AFV97" s="1056"/>
      <c r="AFW97" s="1056"/>
      <c r="AFX97" s="1056"/>
      <c r="AFY97" s="1056"/>
      <c r="AFZ97" s="1056"/>
      <c r="AGA97" s="1056"/>
      <c r="AGB97" s="1056"/>
      <c r="AGC97" s="1056"/>
      <c r="AGD97" s="1056"/>
      <c r="AGE97" s="1056"/>
      <c r="AGF97" s="1056"/>
      <c r="AGG97" s="1056"/>
      <c r="AGH97" s="1056"/>
      <c r="AGI97" s="1056"/>
      <c r="AGJ97" s="1056"/>
      <c r="AGK97" s="1056"/>
      <c r="AGL97" s="1056"/>
      <c r="AGM97" s="1056"/>
      <c r="AGN97" s="1056"/>
      <c r="AGO97" s="1056"/>
      <c r="AGP97" s="1056"/>
      <c r="AGQ97" s="1056"/>
      <c r="AGR97" s="1056"/>
      <c r="AGS97" s="1056"/>
      <c r="AGT97" s="1056"/>
      <c r="AGU97" s="1056"/>
      <c r="AGV97" s="1056"/>
      <c r="AGW97" s="1056"/>
      <c r="AGX97" s="1056"/>
      <c r="AGY97" s="1056"/>
      <c r="AGZ97" s="1056"/>
      <c r="AHA97" s="1056"/>
      <c r="AHB97" s="1056"/>
      <c r="AHC97" s="1056"/>
      <c r="AHD97" s="1056"/>
      <c r="AHE97" s="1056"/>
      <c r="AHF97" s="1056"/>
      <c r="AHG97" s="1056"/>
      <c r="AHH97" s="1056"/>
      <c r="AHI97" s="1056"/>
      <c r="AHJ97" s="1056"/>
      <c r="AHK97" s="1056"/>
      <c r="AHL97" s="1056"/>
      <c r="AHM97" s="1056"/>
      <c r="AHN97" s="1056"/>
      <c r="AHO97" s="1056"/>
      <c r="AHP97" s="1056"/>
      <c r="AHQ97" s="1056"/>
      <c r="AHR97" s="1056"/>
      <c r="AHS97" s="1056"/>
      <c r="AHT97" s="1056"/>
      <c r="AHU97" s="1056"/>
      <c r="AHV97" s="1056"/>
      <c r="AHW97" s="1056"/>
      <c r="AHX97" s="1056"/>
      <c r="AHY97" s="1056"/>
      <c r="AHZ97" s="1056"/>
      <c r="AIA97" s="1056"/>
      <c r="AIB97" s="1056"/>
      <c r="AIC97" s="1056"/>
      <c r="AID97" s="1056"/>
      <c r="AIE97" s="1056"/>
      <c r="AIF97" s="1056"/>
      <c r="AIG97" s="1056"/>
      <c r="AIH97" s="1056"/>
      <c r="AII97" s="1056"/>
      <c r="AIJ97" s="1056"/>
      <c r="AIK97" s="1056"/>
      <c r="AIL97" s="1056"/>
      <c r="AIM97" s="1056"/>
      <c r="AIN97" s="1056"/>
      <c r="AIO97" s="1056"/>
      <c r="AIP97" s="1056"/>
      <c r="AIQ97" s="1056"/>
      <c r="AIR97" s="1056"/>
      <c r="AIS97" s="1056"/>
      <c r="AIT97" s="1056"/>
      <c r="AIU97" s="1056"/>
      <c r="AIV97" s="1056"/>
      <c r="AIW97" s="1056"/>
      <c r="AIX97" s="1056"/>
      <c r="AIY97" s="1056"/>
      <c r="AIZ97" s="1056"/>
      <c r="AJA97" s="1056"/>
      <c r="AJB97" s="1056"/>
      <c r="AJC97" s="1056"/>
      <c r="AJD97" s="1056"/>
      <c r="AJE97" s="1056"/>
      <c r="AJF97" s="1056"/>
      <c r="AJG97" s="1056"/>
      <c r="AJH97" s="1056"/>
      <c r="AJI97" s="1056"/>
      <c r="AJJ97" s="1056"/>
      <c r="AJK97" s="1056"/>
      <c r="AJL97" s="1056"/>
      <c r="AJM97" s="1056"/>
      <c r="AJN97" s="1056"/>
      <c r="AJO97" s="1056"/>
      <c r="AJP97" s="1056"/>
      <c r="AJQ97" s="1056"/>
      <c r="AJR97" s="1056"/>
      <c r="AJS97" s="1056"/>
      <c r="AJT97" s="1056"/>
      <c r="AJU97" s="1056"/>
      <c r="AJV97" s="1056"/>
      <c r="AJW97" s="1056"/>
      <c r="AJX97" s="1056"/>
      <c r="AJY97" s="1056"/>
      <c r="AJZ97" s="1056"/>
      <c r="AKA97" s="1056"/>
      <c r="AKB97" s="1056"/>
      <c r="AKC97" s="1056"/>
      <c r="AKD97" s="1056"/>
      <c r="AKE97" s="1056"/>
      <c r="AKF97" s="1056"/>
      <c r="AKG97" s="1056"/>
      <c r="AKH97" s="1056"/>
      <c r="AKI97" s="1056"/>
      <c r="AKJ97" s="1056"/>
      <c r="AKK97" s="1056"/>
      <c r="AKL97" s="1056"/>
      <c r="AKM97" s="1056"/>
      <c r="AKN97" s="1056"/>
      <c r="AKO97" s="1056"/>
      <c r="AKP97" s="1056"/>
      <c r="AKQ97" s="1056"/>
      <c r="AKR97" s="1056"/>
      <c r="AKS97" s="1056"/>
      <c r="AKT97" s="1056"/>
      <c r="AKU97" s="1056"/>
      <c r="AKV97" s="1056"/>
      <c r="AKW97" s="1056"/>
      <c r="AKX97" s="1056"/>
      <c r="AKY97" s="1056"/>
      <c r="AKZ97" s="1056"/>
      <c r="ALA97" s="1056"/>
      <c r="ALB97" s="1056"/>
      <c r="ALC97" s="1056"/>
      <c r="ALD97" s="1056"/>
      <c r="ALE97" s="1056"/>
      <c r="ALF97" s="1056"/>
      <c r="ALG97" s="1056"/>
      <c r="ALH97" s="1056"/>
      <c r="ALI97" s="1056"/>
      <c r="ALJ97" s="1056"/>
      <c r="ALK97" s="1056"/>
      <c r="ALL97" s="1056"/>
      <c r="ALM97" s="1056"/>
      <c r="ALN97" s="1056"/>
      <c r="ALO97" s="1056"/>
      <c r="ALP97" s="1056"/>
      <c r="ALQ97" s="1056"/>
      <c r="ALR97" s="1056"/>
      <c r="ALS97" s="1056"/>
      <c r="ALT97" s="1056"/>
      <c r="ALU97" s="1056"/>
      <c r="ALV97" s="1056"/>
      <c r="ALW97" s="1056"/>
      <c r="ALX97" s="1056"/>
      <c r="ALY97" s="1056"/>
      <c r="ALZ97" s="1056"/>
      <c r="AMA97" s="1056"/>
      <c r="AMB97" s="1056"/>
      <c r="AMC97" s="1056"/>
      <c r="AMD97" s="1056"/>
      <c r="AME97" s="1056"/>
      <c r="AMF97" s="1056"/>
      <c r="AMG97" s="1056"/>
      <c r="AMH97" s="1056"/>
      <c r="AMI97" s="1056"/>
      <c r="AMJ97" s="1056"/>
      <c r="AMK97" s="1056"/>
      <c r="AML97" s="1056"/>
      <c r="AMM97" s="1056"/>
      <c r="AMN97" s="1056"/>
      <c r="AMO97" s="1056"/>
      <c r="AMP97" s="1056"/>
      <c r="AMQ97" s="1056"/>
      <c r="AMR97" s="1056"/>
      <c r="AMS97" s="1056"/>
      <c r="AMT97" s="1056"/>
      <c r="AMU97" s="1056"/>
      <c r="AMV97" s="1056"/>
      <c r="AMW97" s="1056"/>
      <c r="AMX97" s="1056"/>
      <c r="AMY97" s="1056"/>
      <c r="AMZ97" s="1056"/>
      <c r="ANA97" s="1056"/>
      <c r="ANB97" s="1056"/>
      <c r="ANC97" s="1056"/>
      <c r="AND97" s="1056"/>
      <c r="ANE97" s="1056"/>
      <c r="ANF97" s="1056"/>
      <c r="ANG97" s="1056"/>
      <c r="ANH97" s="1056"/>
      <c r="ANI97" s="1056"/>
      <c r="ANJ97" s="1056"/>
      <c r="ANK97" s="1056"/>
      <c r="ANL97" s="1056"/>
      <c r="ANM97" s="1056"/>
      <c r="ANN97" s="1056"/>
      <c r="ANO97" s="1056"/>
      <c r="ANP97" s="1056"/>
      <c r="ANQ97" s="1056"/>
      <c r="ANR97" s="1056"/>
      <c r="ANS97" s="1056"/>
      <c r="ANT97" s="1056"/>
      <c r="ANU97" s="1056"/>
      <c r="ANV97" s="1056"/>
      <c r="ANW97" s="1056"/>
      <c r="ANX97" s="1056"/>
      <c r="ANY97" s="1056"/>
      <c r="ANZ97" s="1056"/>
      <c r="AOA97" s="1056"/>
      <c r="AOB97" s="1056"/>
      <c r="AOC97" s="1056"/>
      <c r="AOD97" s="1056"/>
      <c r="AOE97" s="1056"/>
      <c r="AOF97" s="1056"/>
      <c r="AOG97" s="1056"/>
      <c r="AOH97" s="1056"/>
      <c r="AOI97" s="1056"/>
      <c r="AOJ97" s="1056"/>
      <c r="AOK97" s="1056"/>
      <c r="AOL97" s="1056"/>
      <c r="AOM97" s="1056"/>
      <c r="AON97" s="1056"/>
      <c r="AOO97" s="1056"/>
      <c r="AOP97" s="1056"/>
      <c r="AOQ97" s="1056"/>
      <c r="AOR97" s="1056"/>
      <c r="AOS97" s="1056"/>
      <c r="AOT97" s="1056"/>
      <c r="AOU97" s="1056"/>
      <c r="AOV97" s="1056"/>
      <c r="AOW97" s="1056"/>
      <c r="AOX97" s="1056"/>
      <c r="AOY97" s="1056"/>
      <c r="AOZ97" s="1056"/>
      <c r="APA97" s="1056"/>
      <c r="APB97" s="1056"/>
      <c r="APC97" s="1056"/>
      <c r="APD97" s="1056"/>
      <c r="APE97" s="1056"/>
      <c r="APF97" s="1056"/>
      <c r="APG97" s="1056"/>
      <c r="APH97" s="1056"/>
      <c r="API97" s="1056"/>
      <c r="APJ97" s="1056"/>
      <c r="APK97" s="1056"/>
      <c r="APL97" s="1056"/>
      <c r="APM97" s="1056"/>
      <c r="APN97" s="1056"/>
      <c r="APO97" s="1056"/>
      <c r="APP97" s="1056"/>
      <c r="APQ97" s="1056"/>
      <c r="APR97" s="1056"/>
      <c r="APS97" s="1056"/>
      <c r="APT97" s="1056"/>
      <c r="APU97" s="1056"/>
      <c r="APV97" s="1056"/>
      <c r="APW97" s="1056"/>
      <c r="APX97" s="1056"/>
      <c r="APY97" s="1056"/>
      <c r="APZ97" s="1056"/>
      <c r="AQA97" s="1056"/>
      <c r="AQB97" s="1056"/>
      <c r="AQC97" s="1056"/>
      <c r="AQD97" s="1056"/>
      <c r="AQE97" s="1056"/>
      <c r="AQF97" s="1056"/>
      <c r="AQG97" s="1056"/>
      <c r="AQH97" s="1056"/>
      <c r="AQI97" s="1056"/>
      <c r="AQJ97" s="1056"/>
      <c r="AQK97" s="1056"/>
      <c r="AQL97" s="1056"/>
      <c r="AQM97" s="1056"/>
      <c r="AQN97" s="1056"/>
      <c r="AQO97" s="1056"/>
      <c r="AQP97" s="1056"/>
      <c r="AQQ97" s="1056"/>
      <c r="AQR97" s="1056"/>
      <c r="AQS97" s="1056"/>
      <c r="AQT97" s="1056"/>
      <c r="AQU97" s="1056"/>
      <c r="AQV97" s="1056"/>
      <c r="AQW97" s="1056"/>
      <c r="AQX97" s="1056"/>
      <c r="AQY97" s="1056"/>
      <c r="AQZ97" s="1056"/>
      <c r="ARA97" s="1056"/>
      <c r="ARB97" s="1056"/>
      <c r="ARC97" s="1056"/>
      <c r="ARD97" s="1056"/>
      <c r="ARE97" s="1056"/>
      <c r="ARF97" s="1056"/>
      <c r="ARG97" s="1056"/>
      <c r="ARH97" s="1056"/>
      <c r="ARI97" s="1056"/>
      <c r="ARJ97" s="1056"/>
      <c r="ARK97" s="1056"/>
      <c r="ARL97" s="1056"/>
      <c r="ARM97" s="1056"/>
      <c r="ARN97" s="1056"/>
      <c r="ARO97" s="1056"/>
      <c r="ARP97" s="1056"/>
      <c r="ARQ97" s="1056"/>
      <c r="ARR97" s="1056"/>
      <c r="ARS97" s="1056"/>
      <c r="ART97" s="1056"/>
      <c r="ARU97" s="1056"/>
      <c r="ARV97" s="1056"/>
      <c r="ARW97" s="1056"/>
      <c r="ARX97" s="1056"/>
      <c r="ARY97" s="1056"/>
      <c r="ARZ97" s="1056"/>
      <c r="ASA97" s="1056"/>
      <c r="ASB97" s="1056"/>
      <c r="ASC97" s="1056"/>
      <c r="ASD97" s="1056"/>
      <c r="ASE97" s="1056"/>
      <c r="ASF97" s="1056"/>
      <c r="ASG97" s="1056"/>
      <c r="ASH97" s="1056"/>
      <c r="ASI97" s="1056"/>
      <c r="ASJ97" s="1056"/>
      <c r="ASK97" s="1056"/>
      <c r="ASL97" s="1056"/>
      <c r="ASM97" s="1056"/>
      <c r="ASN97" s="1056"/>
      <c r="ASO97" s="1056"/>
      <c r="ASP97" s="1056"/>
      <c r="ASQ97" s="1056"/>
      <c r="ASR97" s="1056"/>
      <c r="ASS97" s="1056"/>
      <c r="AST97" s="1056"/>
      <c r="ASU97" s="1056"/>
      <c r="ASV97" s="1056"/>
      <c r="ASW97" s="1056"/>
      <c r="ASX97" s="1056"/>
      <c r="ASY97" s="1056"/>
      <c r="ASZ97" s="1056"/>
      <c r="ATA97" s="1056"/>
      <c r="ATB97" s="1056"/>
      <c r="ATC97" s="1056"/>
      <c r="ATD97" s="1056"/>
      <c r="ATE97" s="1056"/>
      <c r="ATF97" s="1056"/>
      <c r="ATG97" s="1056"/>
      <c r="ATH97" s="1056"/>
      <c r="ATI97" s="1056"/>
      <c r="ATJ97" s="1056"/>
      <c r="ATK97" s="1056"/>
      <c r="ATL97" s="1056"/>
      <c r="ATM97" s="1056"/>
      <c r="ATN97" s="1056"/>
      <c r="ATO97" s="1056"/>
      <c r="ATP97" s="1056"/>
      <c r="ATQ97" s="1056"/>
      <c r="ATR97" s="1056"/>
      <c r="ATS97" s="1056"/>
      <c r="ATT97" s="1056"/>
      <c r="ATU97" s="1056"/>
      <c r="ATV97" s="1056"/>
      <c r="ATW97" s="1056"/>
      <c r="ATX97" s="1056"/>
      <c r="ATY97" s="1056"/>
      <c r="ATZ97" s="1056"/>
      <c r="AUA97" s="1056"/>
      <c r="AUB97" s="1056"/>
      <c r="AUC97" s="1056"/>
      <c r="AUD97" s="1056"/>
      <c r="AUE97" s="1056"/>
      <c r="AUF97" s="1056"/>
      <c r="AUG97" s="1056"/>
      <c r="AUH97" s="1056"/>
      <c r="AUI97" s="1056"/>
      <c r="AUJ97" s="1056"/>
      <c r="AUK97" s="1056"/>
      <c r="AUL97" s="1056"/>
      <c r="AUM97" s="1056"/>
      <c r="AUN97" s="1056"/>
      <c r="AUO97" s="1056"/>
      <c r="AUP97" s="1056"/>
      <c r="AUQ97" s="1056"/>
      <c r="AUR97" s="1056"/>
      <c r="AUS97" s="1056"/>
      <c r="AUT97" s="1056"/>
      <c r="AUU97" s="1056"/>
      <c r="AUV97" s="1056"/>
      <c r="AUW97" s="1056"/>
      <c r="AUX97" s="1056"/>
      <c r="AUY97" s="1056"/>
      <c r="AUZ97" s="1056"/>
      <c r="AVA97" s="1056"/>
      <c r="AVB97" s="1056"/>
      <c r="AVC97" s="1056"/>
      <c r="AVD97" s="1056"/>
      <c r="AVE97" s="1056"/>
      <c r="AVF97" s="1056"/>
      <c r="AVG97" s="1056"/>
      <c r="AVH97" s="1056"/>
      <c r="AVI97" s="1056"/>
      <c r="AVJ97" s="1056"/>
      <c r="AVK97" s="1056"/>
      <c r="AVL97" s="1056"/>
      <c r="AVM97" s="1056"/>
      <c r="AVN97" s="1056"/>
      <c r="AVO97" s="1056"/>
      <c r="AVP97" s="1056"/>
      <c r="AVQ97" s="1056"/>
      <c r="AVR97" s="1056"/>
      <c r="AVS97" s="1056"/>
      <c r="AVT97" s="1056"/>
      <c r="AVU97" s="1056"/>
      <c r="AVV97" s="1056"/>
      <c r="AVW97" s="1056"/>
      <c r="AVX97" s="1056"/>
      <c r="AVY97" s="1056"/>
      <c r="AVZ97" s="1056"/>
      <c r="AWA97" s="1056"/>
      <c r="AWB97" s="1056"/>
      <c r="AWC97" s="1056"/>
      <c r="AWD97" s="1056"/>
      <c r="AWE97" s="1056"/>
      <c r="AWF97" s="1056"/>
      <c r="AWG97" s="1056"/>
      <c r="AWH97" s="1056"/>
      <c r="AWI97" s="1056"/>
      <c r="AWJ97" s="1056"/>
      <c r="AWK97" s="1056"/>
      <c r="AWL97" s="1056"/>
      <c r="AWM97" s="1056"/>
      <c r="AWN97" s="1056"/>
      <c r="AWO97" s="1056"/>
      <c r="AWP97" s="1056"/>
      <c r="AWQ97" s="1056"/>
      <c r="AWR97" s="1056"/>
      <c r="AWS97" s="1056"/>
      <c r="AWT97" s="1056"/>
      <c r="AWU97" s="1056"/>
      <c r="AWV97" s="1056"/>
      <c r="AWW97" s="1056"/>
      <c r="AWX97" s="1056"/>
      <c r="AWY97" s="1056"/>
      <c r="AWZ97" s="1056"/>
      <c r="AXA97" s="1056"/>
      <c r="AXB97" s="1056"/>
      <c r="AXC97" s="1056"/>
      <c r="AXD97" s="1056"/>
      <c r="AXE97" s="1056"/>
      <c r="AXF97" s="1056"/>
      <c r="AXG97" s="1056"/>
      <c r="AXH97" s="1056"/>
      <c r="AXI97" s="1056"/>
      <c r="AXJ97" s="1056"/>
      <c r="AXK97" s="1056"/>
      <c r="AXL97" s="1056"/>
      <c r="AXM97" s="1056"/>
      <c r="AXN97" s="1056"/>
      <c r="AXO97" s="1056"/>
      <c r="AXP97" s="1056"/>
      <c r="AXQ97" s="1056"/>
      <c r="AXR97" s="1056"/>
      <c r="AXS97" s="1056"/>
      <c r="AXT97" s="1056"/>
      <c r="AXU97" s="1056"/>
      <c r="AXV97" s="1056"/>
      <c r="AXW97" s="1056"/>
      <c r="AXX97" s="1056"/>
      <c r="AXY97" s="1056"/>
      <c r="AXZ97" s="1056"/>
      <c r="AYA97" s="1056"/>
      <c r="AYB97" s="1056"/>
      <c r="AYC97" s="1056"/>
      <c r="AYD97" s="1056"/>
      <c r="AYE97" s="1056"/>
      <c r="AYF97" s="1056"/>
      <c r="AYG97" s="1056"/>
      <c r="AYH97" s="1056"/>
      <c r="AYI97" s="1056"/>
      <c r="AYJ97" s="1056"/>
      <c r="AYK97" s="1056"/>
      <c r="AYL97" s="1056"/>
      <c r="AYM97" s="1056"/>
      <c r="AYN97" s="1056"/>
      <c r="AYO97" s="1056"/>
      <c r="AYP97" s="1056"/>
      <c r="AYQ97" s="1056"/>
      <c r="AYR97" s="1056"/>
      <c r="AYS97" s="1056"/>
      <c r="AYT97" s="1056"/>
      <c r="AYU97" s="1056"/>
      <c r="AYV97" s="1056"/>
      <c r="AYW97" s="1056"/>
      <c r="AYX97" s="1056"/>
      <c r="AYY97" s="1056"/>
      <c r="AYZ97" s="1056"/>
      <c r="AZA97" s="1056"/>
      <c r="AZB97" s="1056"/>
      <c r="AZC97" s="1056"/>
      <c r="AZD97" s="1056"/>
      <c r="AZE97" s="1056"/>
      <c r="AZF97" s="1056"/>
      <c r="AZG97" s="1056"/>
      <c r="AZH97" s="1056"/>
      <c r="AZI97" s="1056"/>
      <c r="AZJ97" s="1056"/>
      <c r="AZK97" s="1056"/>
      <c r="AZL97" s="1056"/>
      <c r="AZM97" s="1056"/>
      <c r="AZN97" s="1056"/>
      <c r="AZO97" s="1056"/>
      <c r="AZP97" s="1056"/>
      <c r="AZQ97" s="1056"/>
      <c r="AZR97" s="1056"/>
      <c r="AZS97" s="1056"/>
      <c r="AZT97" s="1056"/>
      <c r="AZU97" s="1056"/>
      <c r="AZV97" s="1056"/>
      <c r="AZW97" s="1056"/>
      <c r="AZX97" s="1056"/>
      <c r="AZY97" s="1056"/>
      <c r="AZZ97" s="1056"/>
      <c r="BAA97" s="1056"/>
      <c r="BAB97" s="1056"/>
      <c r="BAC97" s="1056"/>
      <c r="BAD97" s="1056"/>
      <c r="BAE97" s="1056"/>
      <c r="BAF97" s="1056"/>
      <c r="BAG97" s="1056"/>
      <c r="BAH97" s="1056"/>
      <c r="BAI97" s="1056"/>
      <c r="BAJ97" s="1056"/>
      <c r="BAK97" s="1056"/>
      <c r="BAL97" s="1056"/>
      <c r="BAM97" s="1056"/>
      <c r="BAN97" s="1056"/>
      <c r="BAO97" s="1056"/>
      <c r="BAP97" s="1056"/>
      <c r="BAQ97" s="1056"/>
      <c r="BAR97" s="1056"/>
      <c r="BAS97" s="1056"/>
      <c r="BAT97" s="1056"/>
      <c r="BAU97" s="1056"/>
      <c r="BAV97" s="1056"/>
      <c r="BAW97" s="1056"/>
      <c r="BAX97" s="1056"/>
      <c r="BAY97" s="1056"/>
      <c r="BAZ97" s="1056"/>
      <c r="BBA97" s="1056"/>
      <c r="BBB97" s="1056"/>
      <c r="BBC97" s="1056"/>
      <c r="BBD97" s="1056"/>
      <c r="BBE97" s="1056"/>
      <c r="BBF97" s="1056"/>
      <c r="BBG97" s="1056"/>
      <c r="BBH97" s="1056"/>
      <c r="BBI97" s="1056"/>
      <c r="BBJ97" s="1056"/>
      <c r="BBK97" s="1056"/>
      <c r="BBL97" s="1056"/>
      <c r="BBM97" s="1056"/>
      <c r="BBN97" s="1056"/>
      <c r="BBO97" s="1056"/>
      <c r="BBP97" s="1056"/>
      <c r="BBQ97" s="1056"/>
      <c r="BBR97" s="1056"/>
      <c r="BBS97" s="1056"/>
      <c r="BBT97" s="1056"/>
      <c r="BBU97" s="1056"/>
      <c r="BBV97" s="1056"/>
      <c r="BBW97" s="1056"/>
      <c r="BBX97" s="1056"/>
      <c r="BBY97" s="1056"/>
      <c r="BBZ97" s="1056"/>
      <c r="BCA97" s="1056"/>
      <c r="BCB97" s="1056"/>
      <c r="BCC97" s="1056"/>
      <c r="BCD97" s="1056"/>
      <c r="BCE97" s="1056"/>
      <c r="BCF97" s="1056"/>
      <c r="BCG97" s="1056"/>
      <c r="BCH97" s="1056"/>
      <c r="BCI97" s="1056"/>
      <c r="BCJ97" s="1056"/>
      <c r="BCK97" s="1056"/>
      <c r="BCL97" s="1056"/>
      <c r="BCM97" s="1056"/>
      <c r="BCN97" s="1056"/>
      <c r="BCO97" s="1056"/>
      <c r="BCP97" s="1056"/>
      <c r="BCQ97" s="1056"/>
      <c r="BCR97" s="1056"/>
      <c r="BCS97" s="1056"/>
      <c r="BCT97" s="1056"/>
      <c r="BCU97" s="1056"/>
      <c r="BCV97" s="1056"/>
      <c r="BCW97" s="1056"/>
      <c r="BCX97" s="1056"/>
      <c r="BCY97" s="1056"/>
      <c r="BCZ97" s="1056"/>
      <c r="BDA97" s="1056"/>
      <c r="BDB97" s="1056"/>
      <c r="BDC97" s="1056"/>
      <c r="BDD97" s="1056"/>
      <c r="BDE97" s="1056"/>
      <c r="BDF97" s="1056"/>
      <c r="BDG97" s="1056"/>
      <c r="BDH97" s="1056"/>
      <c r="BDI97" s="1056"/>
      <c r="BDJ97" s="1056"/>
      <c r="BDK97" s="1056"/>
      <c r="BDL97" s="1056"/>
      <c r="BDM97" s="1056"/>
      <c r="BDN97" s="1056"/>
      <c r="BDO97" s="1056"/>
      <c r="BDP97" s="1056"/>
      <c r="BDQ97" s="1056"/>
      <c r="BDR97" s="1056"/>
      <c r="BDS97" s="1056"/>
      <c r="BDT97" s="1056"/>
      <c r="BDU97" s="1056"/>
      <c r="BDV97" s="1056"/>
      <c r="BDW97" s="1056"/>
      <c r="BDX97" s="1056"/>
      <c r="BDY97" s="1056"/>
      <c r="BDZ97" s="1056"/>
      <c r="BEA97" s="1056"/>
      <c r="BEB97" s="1056"/>
      <c r="BEC97" s="1056"/>
      <c r="BED97" s="1056"/>
      <c r="BEE97" s="1056"/>
      <c r="BEF97" s="1056"/>
      <c r="BEG97" s="1056"/>
      <c r="BEH97" s="1056"/>
      <c r="BEI97" s="1056"/>
      <c r="BEJ97" s="1056"/>
      <c r="BEK97" s="1056"/>
      <c r="BEL97" s="1056"/>
      <c r="BEM97" s="1056"/>
      <c r="BEN97" s="1056"/>
      <c r="BEO97" s="1056"/>
      <c r="BEP97" s="1056"/>
      <c r="BEQ97" s="1056"/>
      <c r="BER97" s="1056"/>
      <c r="BES97" s="1056"/>
      <c r="BET97" s="1056"/>
      <c r="BEU97" s="1056"/>
      <c r="BEV97" s="1056"/>
      <c r="BEW97" s="1056"/>
      <c r="BEX97" s="1056"/>
      <c r="BEY97" s="1056"/>
      <c r="BEZ97" s="1056"/>
      <c r="BFA97" s="1056"/>
      <c r="BFB97" s="1056"/>
      <c r="BFC97" s="1056"/>
      <c r="BFD97" s="1056"/>
      <c r="BFE97" s="1056"/>
      <c r="BFF97" s="1056"/>
      <c r="BFG97" s="1056"/>
      <c r="BFH97" s="1056"/>
      <c r="BFI97" s="1056"/>
      <c r="BFJ97" s="1056"/>
      <c r="BFK97" s="1056"/>
      <c r="BFL97" s="1056"/>
      <c r="BFM97" s="1056"/>
      <c r="BFN97" s="1056"/>
      <c r="BFO97" s="1056"/>
      <c r="BFP97" s="1056"/>
      <c r="BFQ97" s="1056"/>
      <c r="BFR97" s="1056"/>
      <c r="BFS97" s="1056"/>
      <c r="BFT97" s="1056"/>
      <c r="BFU97" s="1056"/>
      <c r="BFV97" s="1056"/>
      <c r="BFW97" s="1056"/>
      <c r="BFX97" s="1056"/>
      <c r="BFY97" s="1056"/>
      <c r="BFZ97" s="1056"/>
      <c r="BGA97" s="1056"/>
      <c r="BGB97" s="1056"/>
      <c r="BGC97" s="1056"/>
      <c r="BGD97" s="1056"/>
      <c r="BGE97" s="1056"/>
      <c r="BGF97" s="1056"/>
      <c r="BGG97" s="1056"/>
      <c r="BGH97" s="1056"/>
      <c r="BGI97" s="1056"/>
      <c r="BGJ97" s="1056"/>
      <c r="BGK97" s="1056"/>
      <c r="BGL97" s="1056"/>
      <c r="BGM97" s="1056"/>
      <c r="BGN97" s="1056"/>
      <c r="BGO97" s="1056"/>
      <c r="BGP97" s="1056"/>
      <c r="BGQ97" s="1056"/>
      <c r="BGR97" s="1056"/>
      <c r="BGS97" s="1056"/>
      <c r="BGT97" s="1056"/>
      <c r="BGU97" s="1056"/>
      <c r="BGV97" s="1056"/>
      <c r="BGW97" s="1056"/>
      <c r="BGX97" s="1056"/>
      <c r="BGY97" s="1056"/>
      <c r="BGZ97" s="1056"/>
      <c r="BHA97" s="1056"/>
      <c r="BHB97" s="1056"/>
      <c r="BHC97" s="1056"/>
      <c r="BHD97" s="1056"/>
      <c r="BHE97" s="1056"/>
      <c r="BHF97" s="1056"/>
      <c r="BHG97" s="1056"/>
      <c r="BHH97" s="1056"/>
      <c r="BHI97" s="1056"/>
      <c r="BHJ97" s="1056"/>
      <c r="BHK97" s="1056"/>
      <c r="BHL97" s="1056"/>
      <c r="BHM97" s="1056"/>
      <c r="BHN97" s="1056"/>
      <c r="BHO97" s="1056"/>
      <c r="BHP97" s="1056"/>
      <c r="BHQ97" s="1056"/>
      <c r="BHR97" s="1056"/>
      <c r="BHS97" s="1056"/>
      <c r="BHT97" s="1056"/>
      <c r="BHU97" s="1056"/>
      <c r="BHV97" s="1056"/>
      <c r="BHW97" s="1056"/>
      <c r="BHX97" s="1056"/>
      <c r="BHY97" s="1056"/>
      <c r="BHZ97" s="1056"/>
      <c r="BIA97" s="1056"/>
      <c r="BIB97" s="1056"/>
      <c r="BIC97" s="1056"/>
      <c r="BID97" s="1056"/>
      <c r="BIE97" s="1056"/>
      <c r="BIF97" s="1056"/>
      <c r="BIG97" s="1056"/>
      <c r="BIH97" s="1056"/>
      <c r="BII97" s="1056"/>
      <c r="BIJ97" s="1056"/>
      <c r="BIK97" s="1056"/>
      <c r="BIL97" s="1056"/>
      <c r="BIM97" s="1056"/>
      <c r="BIN97" s="1056"/>
      <c r="BIO97" s="1056"/>
      <c r="BIP97" s="1056"/>
      <c r="BIQ97" s="1056"/>
      <c r="BIR97" s="1056"/>
      <c r="BIS97" s="1056"/>
      <c r="BIT97" s="1056"/>
      <c r="BIU97" s="1056"/>
      <c r="BIV97" s="1056"/>
      <c r="BIW97" s="1056"/>
      <c r="BIX97" s="1056"/>
      <c r="BIY97" s="1056"/>
      <c r="BIZ97" s="1056"/>
      <c r="BJA97" s="1056"/>
      <c r="BJB97" s="1056"/>
      <c r="BJC97" s="1056"/>
      <c r="BJD97" s="1056"/>
      <c r="BJE97" s="1056"/>
      <c r="BJF97" s="1056"/>
      <c r="BJG97" s="1056"/>
      <c r="BJH97" s="1056"/>
      <c r="BJI97" s="1056"/>
      <c r="BJJ97" s="1056"/>
      <c r="BJK97" s="1056"/>
      <c r="BJL97" s="1056"/>
      <c r="BJM97" s="1056"/>
      <c r="BJN97" s="1056"/>
      <c r="BJO97" s="1056"/>
      <c r="BJP97" s="1056"/>
      <c r="BJQ97" s="1056"/>
      <c r="BJR97" s="1056"/>
      <c r="BJS97" s="1056"/>
      <c r="BJT97" s="1056"/>
      <c r="BJU97" s="1056"/>
      <c r="BJV97" s="1056"/>
      <c r="BJW97" s="1056"/>
      <c r="BJX97" s="1056"/>
      <c r="BJY97" s="1056"/>
      <c r="BJZ97" s="1056"/>
      <c r="BKA97" s="1056"/>
      <c r="BKB97" s="1056"/>
      <c r="BKC97" s="1056"/>
      <c r="BKD97" s="1056"/>
      <c r="BKE97" s="1056"/>
      <c r="BKF97" s="1056"/>
      <c r="BKG97" s="1056"/>
      <c r="BKH97" s="1056"/>
      <c r="BKI97" s="1056"/>
      <c r="BKJ97" s="1056"/>
      <c r="BKK97" s="1056"/>
      <c r="BKL97" s="1056"/>
      <c r="BKM97" s="1056"/>
      <c r="BKN97" s="1056"/>
      <c r="BKO97" s="1056"/>
      <c r="BKP97" s="1056"/>
      <c r="BKQ97" s="1056"/>
      <c r="BKR97" s="1056"/>
      <c r="BKS97" s="1056"/>
      <c r="BKT97" s="1056"/>
      <c r="BKU97" s="1056"/>
      <c r="BKV97" s="1056"/>
      <c r="BKW97" s="1056"/>
      <c r="BKX97" s="1056"/>
      <c r="BKY97" s="1056"/>
      <c r="BKZ97" s="1056"/>
      <c r="BLA97" s="1056"/>
      <c r="BLB97" s="1056"/>
      <c r="BLC97" s="1056"/>
      <c r="BLD97" s="1056"/>
      <c r="BLE97" s="1056"/>
      <c r="BLF97" s="1056"/>
      <c r="BLG97" s="1056"/>
      <c r="BLH97" s="1056"/>
      <c r="BLI97" s="1056"/>
      <c r="BLJ97" s="1056"/>
      <c r="BLK97" s="1056"/>
      <c r="BLL97" s="1056"/>
      <c r="BLM97" s="1056"/>
      <c r="BLN97" s="1056"/>
      <c r="BLO97" s="1056"/>
      <c r="BLP97" s="1056"/>
      <c r="BLQ97" s="1056"/>
      <c r="BLR97" s="1056"/>
      <c r="BLS97" s="1056"/>
      <c r="BLT97" s="1056"/>
      <c r="BLU97" s="1056"/>
      <c r="BLV97" s="1056"/>
      <c r="BLW97" s="1056"/>
      <c r="BLX97" s="1056"/>
      <c r="BLY97" s="1056"/>
      <c r="BLZ97" s="1056"/>
      <c r="BMA97" s="1056"/>
      <c r="BMB97" s="1056"/>
      <c r="BMC97" s="1056"/>
      <c r="BMD97" s="1056"/>
      <c r="BME97" s="1056"/>
      <c r="BMF97" s="1056"/>
      <c r="BMG97" s="1056"/>
      <c r="BMH97" s="1056"/>
      <c r="BMI97" s="1056"/>
      <c r="BMJ97" s="1056"/>
      <c r="BMK97" s="1056"/>
      <c r="BML97" s="1056"/>
      <c r="BMM97" s="1056"/>
      <c r="BMN97" s="1056"/>
      <c r="BMO97" s="1056"/>
      <c r="BMP97" s="1056"/>
      <c r="BMQ97" s="1056"/>
      <c r="BMR97" s="1056"/>
      <c r="BMS97" s="1056"/>
      <c r="BMT97" s="1056"/>
      <c r="BMU97" s="1056"/>
      <c r="BMV97" s="1056"/>
      <c r="BMW97" s="1056"/>
      <c r="BMX97" s="1056"/>
      <c r="BMY97" s="1056"/>
      <c r="BMZ97" s="1056"/>
      <c r="BNA97" s="1056"/>
      <c r="BNB97" s="1056"/>
      <c r="BNC97" s="1056"/>
      <c r="BND97" s="1056"/>
      <c r="BNE97" s="1056"/>
      <c r="BNF97" s="1056"/>
      <c r="BNG97" s="1056"/>
      <c r="BNH97" s="1056"/>
      <c r="BNI97" s="1056"/>
      <c r="BNJ97" s="1056"/>
      <c r="BNK97" s="1056"/>
      <c r="BNL97" s="1056"/>
      <c r="BNM97" s="1056"/>
      <c r="BNN97" s="1056"/>
      <c r="BNO97" s="1056"/>
      <c r="BNP97" s="1056"/>
      <c r="BNQ97" s="1056"/>
      <c r="BNR97" s="1056"/>
      <c r="BNS97" s="1056"/>
      <c r="BNT97" s="1056"/>
      <c r="BNU97" s="1056"/>
      <c r="BNV97" s="1056"/>
      <c r="BNW97" s="1056"/>
      <c r="BNX97" s="1056"/>
      <c r="BNY97" s="1056"/>
      <c r="BNZ97" s="1056"/>
      <c r="BOA97" s="1056"/>
      <c r="BOB97" s="1056"/>
      <c r="BOC97" s="1056"/>
      <c r="BOD97" s="1056"/>
      <c r="BOE97" s="1056"/>
      <c r="BOF97" s="1056"/>
      <c r="BOG97" s="1056"/>
      <c r="BOH97" s="1056"/>
      <c r="BOI97" s="1056"/>
      <c r="BOJ97" s="1056"/>
      <c r="BOK97" s="1056"/>
      <c r="BOL97" s="1056"/>
      <c r="BOM97" s="1056"/>
      <c r="BON97" s="1056"/>
      <c r="BOO97" s="1056"/>
      <c r="BOP97" s="1056"/>
      <c r="BOQ97" s="1056"/>
      <c r="BOR97" s="1056"/>
      <c r="BOS97" s="1056"/>
      <c r="BOT97" s="1056"/>
      <c r="BOU97" s="1056"/>
      <c r="BOV97" s="1056"/>
      <c r="BOW97" s="1056"/>
      <c r="BOX97" s="1056"/>
      <c r="BOY97" s="1056"/>
      <c r="BOZ97" s="1056"/>
      <c r="BPA97" s="1056"/>
      <c r="BPB97" s="1056"/>
      <c r="BPC97" s="1056"/>
      <c r="BPD97" s="1056"/>
      <c r="BPE97" s="1056"/>
      <c r="BPF97" s="1056"/>
      <c r="BPG97" s="1056"/>
      <c r="BPH97" s="1056"/>
      <c r="BPI97" s="1056"/>
      <c r="BPJ97" s="1056"/>
      <c r="BPK97" s="1056"/>
      <c r="BPL97" s="1056"/>
      <c r="BPM97" s="1056"/>
      <c r="BPN97" s="1056"/>
      <c r="BPO97" s="1056"/>
      <c r="BPP97" s="1056"/>
      <c r="BPQ97" s="1056"/>
      <c r="BPR97" s="1056"/>
      <c r="BPS97" s="1056"/>
      <c r="BPT97" s="1056"/>
      <c r="BPU97" s="1056"/>
      <c r="BPV97" s="1056"/>
      <c r="BPW97" s="1056"/>
      <c r="BPX97" s="1056"/>
      <c r="BPY97" s="1056"/>
      <c r="BPZ97" s="1056"/>
      <c r="BQA97" s="1056"/>
      <c r="BQB97" s="1056"/>
      <c r="BQC97" s="1056"/>
      <c r="BQD97" s="1056"/>
      <c r="BQE97" s="1056"/>
      <c r="BQF97" s="1056"/>
      <c r="BQG97" s="1056"/>
      <c r="BQH97" s="1056"/>
      <c r="BQI97" s="1056"/>
      <c r="BQJ97" s="1056"/>
      <c r="BQK97" s="1056"/>
      <c r="BQL97" s="1056"/>
      <c r="BQM97" s="1056"/>
      <c r="BQN97" s="1056"/>
      <c r="BQO97" s="1056"/>
      <c r="BQP97" s="1056"/>
      <c r="BQQ97" s="1056"/>
      <c r="BQR97" s="1056"/>
      <c r="BQS97" s="1056"/>
      <c r="BQT97" s="1056"/>
      <c r="BQU97" s="1056"/>
      <c r="BQV97" s="1056"/>
      <c r="BQW97" s="1056"/>
      <c r="BQX97" s="1056"/>
      <c r="BQY97" s="1056"/>
      <c r="BQZ97" s="1056"/>
      <c r="BRA97" s="1056"/>
      <c r="BRB97" s="1056"/>
      <c r="BRC97" s="1056"/>
      <c r="BRD97" s="1056"/>
      <c r="BRE97" s="1056"/>
      <c r="BRF97" s="1056"/>
      <c r="BRG97" s="1056"/>
      <c r="BRH97" s="1056"/>
      <c r="BRI97" s="1056"/>
      <c r="BRJ97" s="1056"/>
      <c r="BRK97" s="1056"/>
      <c r="BRL97" s="1056"/>
      <c r="BRM97" s="1056"/>
      <c r="BRN97" s="1056"/>
      <c r="BRO97" s="1056"/>
      <c r="BRP97" s="1056"/>
      <c r="BRQ97" s="1056"/>
      <c r="BRR97" s="1056"/>
      <c r="BRS97" s="1056"/>
      <c r="BRT97" s="1056"/>
      <c r="BRU97" s="1056"/>
      <c r="BRV97" s="1056"/>
      <c r="BRW97" s="1056"/>
      <c r="BRX97" s="1056"/>
      <c r="BRY97" s="1056"/>
      <c r="BRZ97" s="1056"/>
      <c r="BSA97" s="1056"/>
      <c r="BSB97" s="1056"/>
      <c r="BSC97" s="1056"/>
      <c r="BSD97" s="1056"/>
      <c r="BSE97" s="1056"/>
      <c r="BSF97" s="1056"/>
      <c r="BSG97" s="1056"/>
      <c r="BSH97" s="1056"/>
      <c r="BSI97" s="1056"/>
      <c r="BSJ97" s="1056"/>
      <c r="BSK97" s="1056"/>
      <c r="BSL97" s="1056"/>
      <c r="BSM97" s="1056"/>
      <c r="BSN97" s="1056"/>
      <c r="BSO97" s="1056"/>
      <c r="BSP97" s="1056"/>
      <c r="BSQ97" s="1056"/>
      <c r="BSR97" s="1056"/>
      <c r="BSS97" s="1056"/>
      <c r="BST97" s="1056"/>
      <c r="BSU97" s="1056"/>
      <c r="BSV97" s="1056"/>
      <c r="BSW97" s="1056"/>
      <c r="BSX97" s="1056"/>
      <c r="BSY97" s="1056"/>
      <c r="BSZ97" s="1056"/>
      <c r="BTA97" s="1056"/>
      <c r="BTB97" s="1056"/>
      <c r="BTC97" s="1056"/>
      <c r="BTD97" s="1056"/>
      <c r="BTE97" s="1056"/>
      <c r="BTF97" s="1056"/>
      <c r="BTG97" s="1056"/>
      <c r="BTH97" s="1056"/>
      <c r="BTI97" s="1056"/>
    </row>
    <row r="98" spans="1:1881" s="1060" customFormat="1" ht="82.5" hidden="1" customHeight="1" thickBot="1" x14ac:dyDescent="0.35">
      <c r="A98" s="333">
        <v>647</v>
      </c>
      <c r="B98" s="1063" t="s">
        <v>409</v>
      </c>
      <c r="C98" s="1064" t="s">
        <v>411</v>
      </c>
      <c r="D98" s="1065" t="s">
        <v>412</v>
      </c>
      <c r="E98" s="1053" t="e">
        <f>HLOOKUP($D$2,'2020 Data(H)'!$C$1:$AI$426,306,FALSE)</f>
        <v>#N/A</v>
      </c>
      <c r="F98" s="287">
        <v>0</v>
      </c>
      <c r="G98" s="722">
        <f>IF(F98&lt;0,"Error: Enter as positive.",)</f>
        <v>0</v>
      </c>
      <c r="H98" s="1066"/>
      <c r="I98" s="1055"/>
      <c r="J98" s="1056"/>
      <c r="K98" s="1056"/>
      <c r="L98" s="1057"/>
      <c r="M98" s="1056"/>
      <c r="N98" s="1058"/>
      <c r="O98" s="1056"/>
      <c r="P98" s="1056"/>
      <c r="Q98" s="1056"/>
      <c r="R98" s="1056"/>
      <c r="S98" s="1056"/>
      <c r="T98" s="1056"/>
      <c r="U98" s="1056"/>
      <c r="V98" s="1056"/>
      <c r="W98" s="1056"/>
      <c r="X98" s="1056"/>
      <c r="Y98" s="1056"/>
      <c r="Z98" s="333"/>
      <c r="AA98" s="333"/>
      <c r="AB98" s="333"/>
      <c r="AC98" s="333"/>
      <c r="AD98" s="333"/>
      <c r="AE98" s="333"/>
      <c r="AF98" s="333"/>
      <c r="AG98" s="333"/>
      <c r="AH98" s="333"/>
      <c r="AI98" s="333"/>
      <c r="AJ98" s="333"/>
      <c r="AK98" s="333"/>
      <c r="AL98" s="333"/>
      <c r="AM98" s="333"/>
      <c r="AN98" s="333"/>
      <c r="AO98" s="333"/>
      <c r="AP98" s="333"/>
      <c r="AQ98" s="333"/>
      <c r="AR98" s="333"/>
      <c r="AS98" s="1056"/>
      <c r="AT98" s="1056"/>
      <c r="AU98" s="1056"/>
      <c r="AV98" s="1056"/>
      <c r="AW98" s="1056"/>
      <c r="AX98" s="1056"/>
      <c r="AY98" s="1056"/>
      <c r="AZ98" s="1056"/>
      <c r="BA98" s="1056"/>
      <c r="BB98" s="1056"/>
      <c r="BC98" s="1056"/>
      <c r="BD98" s="1056"/>
      <c r="BE98" s="1056"/>
      <c r="BF98" s="1056"/>
      <c r="BG98" s="1056"/>
      <c r="BH98" s="1056"/>
      <c r="BI98" s="1056"/>
      <c r="BJ98" s="1056"/>
      <c r="BK98" s="1056"/>
      <c r="BL98" s="1056"/>
      <c r="BM98" s="1056"/>
      <c r="BN98" s="1056"/>
      <c r="BO98" s="1056"/>
      <c r="BP98" s="1056"/>
      <c r="BQ98" s="1056"/>
      <c r="BR98" s="1056"/>
      <c r="BS98" s="1056"/>
      <c r="BT98" s="1056"/>
      <c r="BU98" s="1056"/>
      <c r="BV98" s="1056"/>
      <c r="BW98" s="1056"/>
      <c r="BX98" s="1056"/>
      <c r="BY98" s="1056"/>
      <c r="BZ98" s="1056"/>
      <c r="CA98" s="1056"/>
      <c r="CB98" s="1056"/>
      <c r="CC98" s="1056"/>
      <c r="CD98" s="1056"/>
      <c r="CE98" s="1056"/>
      <c r="CF98" s="1056"/>
      <c r="CG98" s="1056"/>
      <c r="CH98" s="1056"/>
      <c r="CI98" s="1056"/>
      <c r="CJ98" s="1056"/>
      <c r="CK98" s="1056"/>
      <c r="CL98" s="1056"/>
      <c r="CM98" s="1056"/>
      <c r="CN98" s="1056"/>
      <c r="CO98" s="1056"/>
      <c r="CP98" s="1056"/>
      <c r="CQ98" s="1056"/>
      <c r="CR98" s="1056"/>
      <c r="CS98" s="1056"/>
      <c r="CT98" s="1056"/>
      <c r="CU98" s="1056"/>
      <c r="CV98" s="1056"/>
      <c r="CW98" s="1056"/>
      <c r="CX98" s="1056"/>
      <c r="CY98" s="1056"/>
      <c r="CZ98" s="1056"/>
      <c r="DA98" s="1056"/>
      <c r="DB98" s="1056"/>
      <c r="DC98" s="1056"/>
      <c r="DD98" s="1056"/>
      <c r="DE98" s="1056"/>
      <c r="DF98" s="1056"/>
      <c r="DG98" s="1056"/>
      <c r="DH98" s="1056"/>
      <c r="DI98" s="1056"/>
      <c r="DJ98" s="1056"/>
      <c r="DK98" s="1056"/>
      <c r="DL98" s="1056"/>
      <c r="DM98" s="1056"/>
      <c r="DN98" s="1056"/>
      <c r="DO98" s="1056"/>
      <c r="DP98" s="1056"/>
      <c r="DQ98" s="1056"/>
      <c r="DR98" s="1056"/>
      <c r="DS98" s="1056"/>
      <c r="DT98" s="1056"/>
      <c r="DU98" s="1056"/>
      <c r="DV98" s="1056"/>
      <c r="DW98" s="1056"/>
      <c r="DX98" s="1056"/>
      <c r="DY98" s="1056"/>
      <c r="DZ98" s="1056"/>
      <c r="EA98" s="1056"/>
      <c r="EB98" s="1056"/>
      <c r="EC98" s="1056"/>
      <c r="ED98" s="1056"/>
      <c r="EE98" s="1056"/>
      <c r="EF98" s="1056"/>
      <c r="EG98" s="1056"/>
      <c r="EH98" s="1056"/>
      <c r="EI98" s="1056"/>
      <c r="EJ98" s="1056"/>
      <c r="EK98" s="1056"/>
      <c r="EL98" s="1056"/>
      <c r="EM98" s="1056"/>
      <c r="EN98" s="1056"/>
      <c r="EO98" s="1056"/>
      <c r="EP98" s="1056"/>
      <c r="EQ98" s="1056"/>
      <c r="ER98" s="1056"/>
      <c r="ES98" s="1056"/>
      <c r="ET98" s="1056"/>
      <c r="EU98" s="1056"/>
      <c r="EV98" s="1056"/>
      <c r="EW98" s="1056"/>
      <c r="EX98" s="1056"/>
      <c r="EY98" s="1056"/>
      <c r="EZ98" s="1056"/>
      <c r="FA98" s="1056"/>
      <c r="FB98" s="1056"/>
      <c r="FC98" s="1056"/>
      <c r="FD98" s="1056"/>
      <c r="FE98" s="1056"/>
      <c r="FF98" s="1056"/>
      <c r="FG98" s="1056"/>
      <c r="FH98" s="1056"/>
      <c r="FI98" s="1056"/>
      <c r="FJ98" s="1056"/>
      <c r="FK98" s="1056"/>
      <c r="FL98" s="1056"/>
      <c r="FM98" s="1056"/>
      <c r="FN98" s="1056"/>
      <c r="FO98" s="1056"/>
      <c r="FP98" s="1056"/>
      <c r="FQ98" s="1056"/>
      <c r="FR98" s="1056"/>
      <c r="FS98" s="1056"/>
      <c r="FT98" s="1056"/>
      <c r="FU98" s="1056"/>
      <c r="FV98" s="1056"/>
      <c r="FW98" s="1056"/>
      <c r="FX98" s="1056"/>
      <c r="FY98" s="1056"/>
      <c r="FZ98" s="1056"/>
      <c r="GA98" s="1056"/>
      <c r="GB98" s="1056"/>
      <c r="GC98" s="1056"/>
      <c r="GD98" s="1056"/>
      <c r="GE98" s="1056"/>
      <c r="GF98" s="1056"/>
      <c r="GG98" s="1056"/>
      <c r="GH98" s="1056"/>
      <c r="GI98" s="1056"/>
      <c r="GJ98" s="1056"/>
      <c r="GK98" s="1056"/>
      <c r="GL98" s="1056"/>
      <c r="GM98" s="1056"/>
      <c r="GN98" s="1056"/>
      <c r="GO98" s="1056"/>
      <c r="GP98" s="1056"/>
      <c r="GQ98" s="1056"/>
      <c r="GR98" s="1056"/>
      <c r="GS98" s="1056"/>
      <c r="GT98" s="1056"/>
      <c r="GU98" s="1056"/>
      <c r="GV98" s="1056"/>
      <c r="GW98" s="1056"/>
      <c r="GX98" s="1056"/>
      <c r="GY98" s="1056"/>
      <c r="GZ98" s="1056"/>
      <c r="HA98" s="1056"/>
      <c r="HB98" s="1056"/>
      <c r="HC98" s="1056"/>
      <c r="HD98" s="1056"/>
      <c r="HE98" s="1056"/>
      <c r="HF98" s="1056"/>
      <c r="HG98" s="1056"/>
      <c r="HH98" s="1056"/>
      <c r="HI98" s="1056"/>
      <c r="HJ98" s="1056"/>
      <c r="HK98" s="1056"/>
      <c r="HL98" s="1056"/>
      <c r="HM98" s="1056"/>
      <c r="HN98" s="1056"/>
      <c r="HO98" s="1056"/>
      <c r="HP98" s="1056"/>
      <c r="HQ98" s="1056"/>
      <c r="HR98" s="1056"/>
      <c r="HS98" s="1056"/>
      <c r="HT98" s="1056"/>
      <c r="HU98" s="1056"/>
      <c r="HV98" s="1056"/>
      <c r="HW98" s="1056"/>
      <c r="HX98" s="1056"/>
      <c r="HY98" s="1056"/>
      <c r="HZ98" s="1056"/>
      <c r="IA98" s="1056"/>
      <c r="IB98" s="1056"/>
      <c r="IC98" s="1056"/>
      <c r="ID98" s="1056"/>
      <c r="IE98" s="1056"/>
      <c r="IF98" s="1056"/>
      <c r="IG98" s="1056"/>
      <c r="IH98" s="1056"/>
      <c r="II98" s="1056"/>
      <c r="IJ98" s="1056"/>
      <c r="IK98" s="1056"/>
      <c r="IL98" s="1056"/>
      <c r="IM98" s="1056"/>
      <c r="IN98" s="1056"/>
      <c r="IO98" s="1056"/>
      <c r="IP98" s="1056"/>
      <c r="IQ98" s="1056"/>
      <c r="IR98" s="1056"/>
      <c r="IS98" s="1056"/>
      <c r="IT98" s="1056"/>
      <c r="IU98" s="1056"/>
      <c r="IV98" s="1056"/>
      <c r="IW98" s="1056"/>
      <c r="IX98" s="1056"/>
      <c r="IY98" s="1056"/>
      <c r="IZ98" s="1056"/>
      <c r="JA98" s="1056"/>
      <c r="JB98" s="1056"/>
      <c r="JC98" s="1056"/>
      <c r="JD98" s="1056"/>
      <c r="JE98" s="1056"/>
      <c r="JF98" s="1056"/>
      <c r="JG98" s="1056"/>
      <c r="JH98" s="1056"/>
      <c r="JI98" s="1056"/>
      <c r="JJ98" s="1056"/>
      <c r="JK98" s="1056"/>
      <c r="JL98" s="1056"/>
      <c r="JM98" s="1056"/>
      <c r="JN98" s="1056"/>
      <c r="JO98" s="1056"/>
      <c r="JP98" s="1056"/>
      <c r="JQ98" s="1056"/>
      <c r="JR98" s="1056"/>
      <c r="JS98" s="1056"/>
      <c r="JT98" s="1056"/>
      <c r="JU98" s="1056"/>
      <c r="JV98" s="1056"/>
      <c r="JW98" s="1056"/>
      <c r="JX98" s="1056"/>
      <c r="JY98" s="1056"/>
      <c r="JZ98" s="1056"/>
      <c r="KA98" s="1056"/>
      <c r="KB98" s="1056"/>
      <c r="KC98" s="1056"/>
      <c r="KD98" s="1056"/>
      <c r="KE98" s="1056"/>
      <c r="KF98" s="1056"/>
      <c r="KG98" s="1056"/>
      <c r="KH98" s="1056"/>
      <c r="KI98" s="1056"/>
      <c r="KJ98" s="1056"/>
      <c r="KK98" s="1056"/>
      <c r="KL98" s="1056"/>
      <c r="KM98" s="1056"/>
      <c r="KN98" s="1056"/>
      <c r="KO98" s="1056"/>
      <c r="KP98" s="1056"/>
      <c r="KQ98" s="1056"/>
      <c r="KR98" s="1056"/>
      <c r="KS98" s="1056"/>
      <c r="KT98" s="1056"/>
      <c r="KU98" s="1056"/>
      <c r="KV98" s="1056"/>
      <c r="KW98" s="1056"/>
      <c r="KX98" s="1056"/>
      <c r="KY98" s="1056"/>
      <c r="KZ98" s="1056"/>
      <c r="LA98" s="1056"/>
      <c r="LB98" s="1056"/>
      <c r="LC98" s="1056"/>
      <c r="LD98" s="1056"/>
      <c r="LE98" s="1056"/>
      <c r="LF98" s="1056"/>
      <c r="LG98" s="1056"/>
      <c r="LH98" s="1056"/>
      <c r="LI98" s="1056"/>
      <c r="LJ98" s="1056"/>
      <c r="LK98" s="1056"/>
      <c r="LL98" s="1056"/>
      <c r="LM98" s="1056"/>
      <c r="LN98" s="1056"/>
      <c r="LO98" s="1056"/>
      <c r="LP98" s="1056"/>
      <c r="LQ98" s="1056"/>
      <c r="LR98" s="1056"/>
      <c r="LS98" s="1056"/>
      <c r="LT98" s="1056"/>
      <c r="LU98" s="1056"/>
      <c r="LV98" s="1056"/>
      <c r="LW98" s="1056"/>
      <c r="LX98" s="1056"/>
      <c r="LY98" s="1056"/>
      <c r="LZ98" s="1056"/>
      <c r="MA98" s="1056"/>
      <c r="MB98" s="1056"/>
      <c r="MC98" s="1056"/>
      <c r="MD98" s="1056"/>
      <c r="ME98" s="1056"/>
      <c r="MF98" s="1056"/>
      <c r="MG98" s="1056"/>
      <c r="MH98" s="1056"/>
      <c r="MI98" s="1056"/>
      <c r="MJ98" s="1056"/>
      <c r="MK98" s="1056"/>
      <c r="ML98" s="1056"/>
      <c r="MM98" s="1056"/>
      <c r="MN98" s="1056"/>
      <c r="MO98" s="1056"/>
      <c r="MP98" s="1056"/>
      <c r="MQ98" s="1056"/>
      <c r="MR98" s="1056"/>
      <c r="MS98" s="1056"/>
      <c r="MT98" s="1056"/>
      <c r="MU98" s="1056"/>
      <c r="MV98" s="1056"/>
      <c r="MW98" s="1056"/>
      <c r="MX98" s="1056"/>
      <c r="MY98" s="1056"/>
      <c r="MZ98" s="1056"/>
      <c r="NA98" s="1056"/>
      <c r="NB98" s="1056"/>
      <c r="NC98" s="1056"/>
      <c r="ND98" s="1056"/>
      <c r="NE98" s="1056"/>
      <c r="NF98" s="1056"/>
      <c r="NG98" s="1056"/>
      <c r="NH98" s="1056"/>
      <c r="NI98" s="1056"/>
      <c r="NJ98" s="1056"/>
      <c r="NK98" s="1056"/>
      <c r="NL98" s="1056"/>
      <c r="NM98" s="1056"/>
      <c r="NN98" s="1056"/>
      <c r="NO98" s="1056"/>
      <c r="NP98" s="1056"/>
      <c r="NQ98" s="1056"/>
      <c r="NR98" s="1056"/>
      <c r="NS98" s="1056"/>
      <c r="NT98" s="1056"/>
      <c r="NU98" s="1056"/>
      <c r="NV98" s="1056"/>
      <c r="NW98" s="1056"/>
      <c r="NX98" s="1056"/>
      <c r="NY98" s="1056"/>
      <c r="NZ98" s="1056"/>
      <c r="OA98" s="1056"/>
      <c r="OB98" s="1056"/>
      <c r="OC98" s="1056"/>
      <c r="OD98" s="1056"/>
      <c r="OE98" s="1056"/>
      <c r="OF98" s="1056"/>
      <c r="OG98" s="1056"/>
      <c r="OH98" s="1056"/>
      <c r="OI98" s="1056"/>
      <c r="OJ98" s="1056"/>
      <c r="OK98" s="1056"/>
      <c r="OL98" s="1056"/>
      <c r="OM98" s="1056"/>
      <c r="ON98" s="1056"/>
      <c r="OO98" s="1056"/>
      <c r="OP98" s="1056"/>
      <c r="OQ98" s="1056"/>
      <c r="OR98" s="1056"/>
      <c r="OS98" s="1056"/>
      <c r="OT98" s="1056"/>
      <c r="OU98" s="1056"/>
      <c r="OV98" s="1056"/>
      <c r="OW98" s="1056"/>
      <c r="OX98" s="1056"/>
      <c r="OY98" s="1056"/>
      <c r="OZ98" s="1056"/>
      <c r="PA98" s="1056"/>
      <c r="PB98" s="1056"/>
      <c r="PC98" s="1056"/>
      <c r="PD98" s="1056"/>
      <c r="PE98" s="1056"/>
      <c r="PF98" s="1056"/>
      <c r="PG98" s="1056"/>
      <c r="PH98" s="1056"/>
      <c r="PI98" s="1056"/>
      <c r="PJ98" s="1056"/>
      <c r="PK98" s="1056"/>
      <c r="PL98" s="1056"/>
      <c r="PM98" s="1056"/>
      <c r="PN98" s="1056"/>
      <c r="PO98" s="1056"/>
      <c r="PP98" s="1056"/>
      <c r="PQ98" s="1056"/>
      <c r="PR98" s="1056"/>
      <c r="PS98" s="1056"/>
      <c r="PT98" s="1056"/>
      <c r="PU98" s="1056"/>
      <c r="PV98" s="1056"/>
      <c r="PW98" s="1056"/>
      <c r="PX98" s="1056"/>
      <c r="PY98" s="1056"/>
      <c r="PZ98" s="1056"/>
      <c r="QA98" s="1056"/>
      <c r="QB98" s="1056"/>
      <c r="QC98" s="1056"/>
      <c r="QD98" s="1056"/>
      <c r="QE98" s="1056"/>
      <c r="QF98" s="1056"/>
      <c r="QG98" s="1056"/>
      <c r="QH98" s="1056"/>
      <c r="QI98" s="1056"/>
      <c r="QJ98" s="1056"/>
      <c r="QK98" s="1056"/>
      <c r="QL98" s="1056"/>
      <c r="QM98" s="1056"/>
      <c r="QN98" s="1056"/>
      <c r="QO98" s="1056"/>
      <c r="QP98" s="1056"/>
      <c r="QQ98" s="1056"/>
      <c r="QR98" s="1056"/>
      <c r="QS98" s="1056"/>
      <c r="QT98" s="1056"/>
      <c r="QU98" s="1056"/>
      <c r="QV98" s="1056"/>
      <c r="QW98" s="1056"/>
      <c r="QX98" s="1056"/>
      <c r="QY98" s="1056"/>
      <c r="QZ98" s="1056"/>
      <c r="RA98" s="1056"/>
      <c r="RB98" s="1056"/>
      <c r="RC98" s="1056"/>
      <c r="RD98" s="1056"/>
      <c r="RE98" s="1056"/>
      <c r="RF98" s="1056"/>
      <c r="RG98" s="1056"/>
      <c r="RH98" s="1056"/>
      <c r="RI98" s="1056"/>
      <c r="RJ98" s="1056"/>
      <c r="RK98" s="1056"/>
      <c r="RL98" s="1056"/>
      <c r="RM98" s="1056"/>
      <c r="RN98" s="1056"/>
      <c r="RO98" s="1056"/>
      <c r="RP98" s="1056"/>
      <c r="RQ98" s="1056"/>
      <c r="RR98" s="1056"/>
      <c r="RS98" s="1056"/>
      <c r="RT98" s="1056"/>
      <c r="RU98" s="1056"/>
      <c r="RV98" s="1056"/>
      <c r="RW98" s="1056"/>
      <c r="RX98" s="1056"/>
      <c r="RY98" s="1056"/>
      <c r="RZ98" s="1056"/>
      <c r="SA98" s="1056"/>
      <c r="SB98" s="1056"/>
      <c r="SC98" s="1056"/>
      <c r="SD98" s="1056"/>
      <c r="SE98" s="1056"/>
      <c r="SF98" s="1056"/>
      <c r="SG98" s="1056"/>
      <c r="SH98" s="1056"/>
      <c r="SI98" s="1056"/>
      <c r="SJ98" s="1056"/>
      <c r="SK98" s="1056"/>
      <c r="SL98" s="1056"/>
      <c r="SM98" s="1056"/>
      <c r="SN98" s="1056"/>
      <c r="SO98" s="1056"/>
      <c r="SP98" s="1056"/>
      <c r="SQ98" s="1056"/>
      <c r="SR98" s="1056"/>
      <c r="SS98" s="1056"/>
      <c r="ST98" s="1056"/>
      <c r="SU98" s="1056"/>
      <c r="SV98" s="1056"/>
      <c r="SW98" s="1056"/>
      <c r="SX98" s="1056"/>
      <c r="SY98" s="1056"/>
      <c r="SZ98" s="1056"/>
      <c r="TA98" s="1056"/>
      <c r="TB98" s="1056"/>
      <c r="TC98" s="1056"/>
      <c r="TD98" s="1056"/>
      <c r="TE98" s="1056"/>
      <c r="TF98" s="1056"/>
      <c r="TG98" s="1056"/>
      <c r="TH98" s="1056"/>
      <c r="TI98" s="1056"/>
      <c r="TJ98" s="1056"/>
      <c r="TK98" s="1056"/>
      <c r="TL98" s="1056"/>
      <c r="TM98" s="1056"/>
      <c r="TN98" s="1056"/>
      <c r="TO98" s="1056"/>
      <c r="TP98" s="1056"/>
      <c r="TQ98" s="1056"/>
      <c r="TR98" s="1056"/>
      <c r="TS98" s="1056"/>
      <c r="TT98" s="1056"/>
      <c r="TU98" s="1056"/>
      <c r="TV98" s="1056"/>
      <c r="TW98" s="1056"/>
      <c r="TX98" s="1056"/>
      <c r="TY98" s="1056"/>
      <c r="TZ98" s="1056"/>
      <c r="UA98" s="1056"/>
      <c r="UB98" s="1056"/>
      <c r="UC98" s="1056"/>
      <c r="UD98" s="1056"/>
      <c r="UE98" s="1056"/>
      <c r="UF98" s="1056"/>
      <c r="UG98" s="1056"/>
      <c r="UH98" s="1056"/>
      <c r="UI98" s="1056"/>
      <c r="UJ98" s="1056"/>
      <c r="UK98" s="1056"/>
      <c r="UL98" s="1056"/>
      <c r="UM98" s="1056"/>
      <c r="UN98" s="1056"/>
      <c r="UO98" s="1056"/>
      <c r="UP98" s="1056"/>
      <c r="UQ98" s="1056"/>
      <c r="UR98" s="1056"/>
      <c r="US98" s="1056"/>
      <c r="UT98" s="1056"/>
      <c r="UU98" s="1056"/>
      <c r="UV98" s="1056"/>
      <c r="UW98" s="1056"/>
      <c r="UX98" s="1056"/>
      <c r="UY98" s="1056"/>
      <c r="UZ98" s="1056"/>
      <c r="VA98" s="1056"/>
      <c r="VB98" s="1056"/>
      <c r="VC98" s="1056"/>
      <c r="VD98" s="1056"/>
      <c r="VE98" s="1056"/>
      <c r="VF98" s="1056"/>
      <c r="VG98" s="1056"/>
      <c r="VH98" s="1056"/>
      <c r="VI98" s="1056"/>
      <c r="VJ98" s="1056"/>
      <c r="VK98" s="1056"/>
      <c r="VL98" s="1056"/>
      <c r="VM98" s="1056"/>
      <c r="VN98" s="1056"/>
      <c r="VO98" s="1056"/>
      <c r="VP98" s="1056"/>
      <c r="VQ98" s="1056"/>
      <c r="VR98" s="1056"/>
      <c r="VS98" s="1056"/>
      <c r="VT98" s="1056"/>
      <c r="VU98" s="1056"/>
      <c r="VV98" s="1056"/>
      <c r="VW98" s="1056"/>
      <c r="VX98" s="1056"/>
      <c r="VY98" s="1056"/>
      <c r="VZ98" s="1056"/>
      <c r="WA98" s="1056"/>
      <c r="WB98" s="1056"/>
      <c r="WC98" s="1056"/>
      <c r="WD98" s="1056"/>
      <c r="WE98" s="1056"/>
      <c r="WF98" s="1056"/>
      <c r="WG98" s="1056"/>
      <c r="WH98" s="1056"/>
      <c r="WI98" s="1056"/>
      <c r="WJ98" s="1056"/>
      <c r="WK98" s="1056"/>
      <c r="WL98" s="1056"/>
      <c r="WM98" s="1056"/>
      <c r="WN98" s="1056"/>
      <c r="WO98" s="1056"/>
      <c r="WP98" s="1056"/>
      <c r="WQ98" s="1056"/>
      <c r="WR98" s="1056"/>
      <c r="WS98" s="1056"/>
      <c r="WT98" s="1056"/>
      <c r="WU98" s="1056"/>
      <c r="WV98" s="1056"/>
      <c r="WW98" s="1056"/>
      <c r="WX98" s="1056"/>
      <c r="WY98" s="1056"/>
      <c r="WZ98" s="1056"/>
      <c r="XA98" s="1056"/>
      <c r="XB98" s="1056"/>
      <c r="XC98" s="1056"/>
      <c r="XD98" s="1056"/>
      <c r="XE98" s="1056"/>
      <c r="XF98" s="1056"/>
      <c r="XG98" s="1056"/>
      <c r="XH98" s="1056"/>
      <c r="XI98" s="1056"/>
      <c r="XJ98" s="1056"/>
      <c r="XK98" s="1056"/>
      <c r="XL98" s="1056"/>
      <c r="XM98" s="1056"/>
      <c r="XN98" s="1056"/>
      <c r="XO98" s="1056"/>
      <c r="XP98" s="1056"/>
      <c r="XQ98" s="1056"/>
      <c r="XR98" s="1056"/>
      <c r="XS98" s="1056"/>
      <c r="XT98" s="1056"/>
      <c r="XU98" s="1056"/>
      <c r="XV98" s="1056"/>
      <c r="XW98" s="1056"/>
      <c r="XX98" s="1056"/>
      <c r="XY98" s="1056"/>
      <c r="XZ98" s="1056"/>
      <c r="YA98" s="1056"/>
      <c r="YB98" s="1056"/>
      <c r="YC98" s="1056"/>
      <c r="YD98" s="1056"/>
      <c r="YE98" s="1056"/>
      <c r="YF98" s="1056"/>
      <c r="YG98" s="1056"/>
      <c r="YH98" s="1056"/>
      <c r="YI98" s="1056"/>
      <c r="YJ98" s="1056"/>
      <c r="YK98" s="1056"/>
      <c r="YL98" s="1056"/>
      <c r="YM98" s="1056"/>
      <c r="YN98" s="1056"/>
      <c r="YO98" s="1056"/>
      <c r="YP98" s="1056"/>
      <c r="YQ98" s="1056"/>
      <c r="YR98" s="1056"/>
      <c r="YS98" s="1056"/>
      <c r="YT98" s="1056"/>
      <c r="YU98" s="1056"/>
      <c r="YV98" s="1056"/>
      <c r="YW98" s="1056"/>
      <c r="YX98" s="1056"/>
      <c r="YY98" s="1056"/>
      <c r="YZ98" s="1056"/>
      <c r="ZA98" s="1056"/>
      <c r="ZB98" s="1056"/>
      <c r="ZC98" s="1056"/>
      <c r="ZD98" s="1056"/>
      <c r="ZE98" s="1056"/>
      <c r="ZF98" s="1056"/>
      <c r="ZG98" s="1056"/>
      <c r="ZH98" s="1056"/>
      <c r="ZI98" s="1056"/>
      <c r="ZJ98" s="1056"/>
      <c r="ZK98" s="1056"/>
      <c r="ZL98" s="1056"/>
      <c r="ZM98" s="1056"/>
      <c r="ZN98" s="1056"/>
      <c r="ZO98" s="1056"/>
      <c r="ZP98" s="1056"/>
      <c r="ZQ98" s="1056"/>
      <c r="ZR98" s="1056"/>
      <c r="ZS98" s="1056"/>
      <c r="ZT98" s="1056"/>
      <c r="ZU98" s="1056"/>
      <c r="ZV98" s="1056"/>
      <c r="ZW98" s="1056"/>
      <c r="ZX98" s="1056"/>
      <c r="ZY98" s="1056"/>
      <c r="ZZ98" s="1056"/>
      <c r="AAA98" s="1056"/>
      <c r="AAB98" s="1056"/>
      <c r="AAC98" s="1056"/>
      <c r="AAD98" s="1056"/>
      <c r="AAE98" s="1056"/>
      <c r="AAF98" s="1056"/>
      <c r="AAG98" s="1056"/>
      <c r="AAH98" s="1056"/>
      <c r="AAI98" s="1056"/>
      <c r="AAJ98" s="1056"/>
      <c r="AAK98" s="1056"/>
      <c r="AAL98" s="1056"/>
      <c r="AAM98" s="1056"/>
      <c r="AAN98" s="1056"/>
      <c r="AAO98" s="1056"/>
      <c r="AAP98" s="1056"/>
      <c r="AAQ98" s="1056"/>
      <c r="AAR98" s="1056"/>
      <c r="AAS98" s="1056"/>
      <c r="AAT98" s="1056"/>
      <c r="AAU98" s="1056"/>
      <c r="AAV98" s="1056"/>
      <c r="AAW98" s="1056"/>
      <c r="AAX98" s="1056"/>
      <c r="AAY98" s="1056"/>
      <c r="AAZ98" s="1056"/>
      <c r="ABA98" s="1056"/>
      <c r="ABB98" s="1056"/>
      <c r="ABC98" s="1056"/>
      <c r="ABD98" s="1056"/>
      <c r="ABE98" s="1056"/>
      <c r="ABF98" s="1056"/>
      <c r="ABG98" s="1056"/>
      <c r="ABH98" s="1056"/>
      <c r="ABI98" s="1056"/>
      <c r="ABJ98" s="1056"/>
      <c r="ABK98" s="1056"/>
      <c r="ABL98" s="1056"/>
      <c r="ABM98" s="1056"/>
      <c r="ABN98" s="1056"/>
      <c r="ABO98" s="1056"/>
      <c r="ABP98" s="1056"/>
      <c r="ABQ98" s="1056"/>
      <c r="ABR98" s="1056"/>
      <c r="ABS98" s="1056"/>
      <c r="ABT98" s="1056"/>
      <c r="ABU98" s="1056"/>
      <c r="ABV98" s="1056"/>
      <c r="ABW98" s="1056"/>
      <c r="ABX98" s="1056"/>
      <c r="ABY98" s="1056"/>
      <c r="ABZ98" s="1056"/>
      <c r="ACA98" s="1056"/>
      <c r="ACB98" s="1056"/>
      <c r="ACC98" s="1056"/>
      <c r="ACD98" s="1056"/>
      <c r="ACE98" s="1056"/>
      <c r="ACF98" s="1056"/>
      <c r="ACG98" s="1056"/>
      <c r="ACH98" s="1056"/>
      <c r="ACI98" s="1056"/>
      <c r="ACJ98" s="1056"/>
      <c r="ACK98" s="1056"/>
      <c r="ACL98" s="1056"/>
      <c r="ACM98" s="1056"/>
      <c r="ACN98" s="1056"/>
      <c r="ACO98" s="1056"/>
      <c r="ACP98" s="1056"/>
      <c r="ACQ98" s="1056"/>
      <c r="ACR98" s="1056"/>
      <c r="ACS98" s="1056"/>
      <c r="ACT98" s="1056"/>
      <c r="ACU98" s="1056"/>
      <c r="ACV98" s="1056"/>
      <c r="ACW98" s="1056"/>
      <c r="ACX98" s="1056"/>
      <c r="ACY98" s="1056"/>
      <c r="ACZ98" s="1056"/>
      <c r="ADA98" s="1056"/>
      <c r="ADB98" s="1056"/>
      <c r="ADC98" s="1056"/>
      <c r="ADD98" s="1056"/>
      <c r="ADE98" s="1056"/>
      <c r="ADF98" s="1056"/>
      <c r="ADG98" s="1056"/>
      <c r="ADH98" s="1056"/>
      <c r="ADI98" s="1056"/>
      <c r="ADJ98" s="1056"/>
      <c r="ADK98" s="1056"/>
      <c r="ADL98" s="1056"/>
      <c r="ADM98" s="1056"/>
      <c r="ADN98" s="1056"/>
      <c r="ADO98" s="1056"/>
      <c r="ADP98" s="1056"/>
      <c r="ADQ98" s="1056"/>
      <c r="ADR98" s="1056"/>
      <c r="ADS98" s="1056"/>
      <c r="ADT98" s="1056"/>
      <c r="ADU98" s="1056"/>
      <c r="ADV98" s="1056"/>
      <c r="ADW98" s="1056"/>
      <c r="ADX98" s="1056"/>
      <c r="ADY98" s="1056"/>
      <c r="ADZ98" s="1056"/>
      <c r="AEA98" s="1056"/>
      <c r="AEB98" s="1056"/>
      <c r="AEC98" s="1056"/>
      <c r="AED98" s="1056"/>
      <c r="AEE98" s="1056"/>
      <c r="AEF98" s="1056"/>
      <c r="AEG98" s="1056"/>
      <c r="AEH98" s="1056"/>
      <c r="AEI98" s="1056"/>
      <c r="AEJ98" s="1056"/>
      <c r="AEK98" s="1056"/>
      <c r="AEL98" s="1056"/>
      <c r="AEM98" s="1056"/>
      <c r="AEN98" s="1056"/>
      <c r="AEO98" s="1056"/>
      <c r="AEP98" s="1056"/>
      <c r="AEQ98" s="1056"/>
      <c r="AER98" s="1056"/>
      <c r="AES98" s="1056"/>
      <c r="AET98" s="1056"/>
      <c r="AEU98" s="1056"/>
      <c r="AEV98" s="1056"/>
      <c r="AEW98" s="1056"/>
      <c r="AEX98" s="1056"/>
      <c r="AEY98" s="1056"/>
      <c r="AEZ98" s="1056"/>
      <c r="AFA98" s="1056"/>
      <c r="AFB98" s="1056"/>
      <c r="AFC98" s="1056"/>
      <c r="AFD98" s="1056"/>
      <c r="AFE98" s="1056"/>
      <c r="AFF98" s="1056"/>
      <c r="AFG98" s="1056"/>
      <c r="AFH98" s="1056"/>
      <c r="AFI98" s="1056"/>
      <c r="AFJ98" s="1056"/>
      <c r="AFK98" s="1056"/>
      <c r="AFL98" s="1056"/>
      <c r="AFM98" s="1056"/>
      <c r="AFN98" s="1056"/>
      <c r="AFO98" s="1056"/>
      <c r="AFP98" s="1056"/>
      <c r="AFQ98" s="1056"/>
      <c r="AFR98" s="1056"/>
      <c r="AFS98" s="1056"/>
      <c r="AFT98" s="1056"/>
      <c r="AFU98" s="1056"/>
      <c r="AFV98" s="1056"/>
      <c r="AFW98" s="1056"/>
      <c r="AFX98" s="1056"/>
      <c r="AFY98" s="1056"/>
      <c r="AFZ98" s="1056"/>
      <c r="AGA98" s="1056"/>
      <c r="AGB98" s="1056"/>
      <c r="AGC98" s="1056"/>
      <c r="AGD98" s="1056"/>
      <c r="AGE98" s="1056"/>
      <c r="AGF98" s="1056"/>
      <c r="AGG98" s="1056"/>
      <c r="AGH98" s="1056"/>
      <c r="AGI98" s="1056"/>
      <c r="AGJ98" s="1056"/>
      <c r="AGK98" s="1056"/>
      <c r="AGL98" s="1056"/>
      <c r="AGM98" s="1056"/>
      <c r="AGN98" s="1056"/>
      <c r="AGO98" s="1056"/>
      <c r="AGP98" s="1056"/>
      <c r="AGQ98" s="1056"/>
      <c r="AGR98" s="1056"/>
      <c r="AGS98" s="1056"/>
      <c r="AGT98" s="1056"/>
      <c r="AGU98" s="1056"/>
      <c r="AGV98" s="1056"/>
      <c r="AGW98" s="1056"/>
      <c r="AGX98" s="1056"/>
      <c r="AGY98" s="1056"/>
      <c r="AGZ98" s="1056"/>
      <c r="AHA98" s="1056"/>
      <c r="AHB98" s="1056"/>
      <c r="AHC98" s="1056"/>
      <c r="AHD98" s="1056"/>
      <c r="AHE98" s="1056"/>
      <c r="AHF98" s="1056"/>
      <c r="AHG98" s="1056"/>
      <c r="AHH98" s="1056"/>
      <c r="AHI98" s="1056"/>
      <c r="AHJ98" s="1056"/>
      <c r="AHK98" s="1056"/>
      <c r="AHL98" s="1056"/>
      <c r="AHM98" s="1056"/>
      <c r="AHN98" s="1056"/>
      <c r="AHO98" s="1056"/>
      <c r="AHP98" s="1056"/>
      <c r="AHQ98" s="1056"/>
      <c r="AHR98" s="1056"/>
      <c r="AHS98" s="1056"/>
      <c r="AHT98" s="1056"/>
      <c r="AHU98" s="1056"/>
      <c r="AHV98" s="1056"/>
      <c r="AHW98" s="1056"/>
      <c r="AHX98" s="1056"/>
      <c r="AHY98" s="1056"/>
      <c r="AHZ98" s="1056"/>
      <c r="AIA98" s="1056"/>
      <c r="AIB98" s="1056"/>
      <c r="AIC98" s="1056"/>
      <c r="AID98" s="1056"/>
      <c r="AIE98" s="1056"/>
      <c r="AIF98" s="1056"/>
      <c r="AIG98" s="1056"/>
      <c r="AIH98" s="1056"/>
      <c r="AII98" s="1056"/>
      <c r="AIJ98" s="1056"/>
      <c r="AIK98" s="1056"/>
      <c r="AIL98" s="1056"/>
      <c r="AIM98" s="1056"/>
      <c r="AIN98" s="1056"/>
      <c r="AIO98" s="1056"/>
      <c r="AIP98" s="1056"/>
      <c r="AIQ98" s="1056"/>
      <c r="AIR98" s="1056"/>
      <c r="AIS98" s="1056"/>
      <c r="AIT98" s="1056"/>
      <c r="AIU98" s="1056"/>
      <c r="AIV98" s="1056"/>
      <c r="AIW98" s="1056"/>
      <c r="AIX98" s="1056"/>
      <c r="AIY98" s="1056"/>
      <c r="AIZ98" s="1056"/>
      <c r="AJA98" s="1056"/>
      <c r="AJB98" s="1056"/>
      <c r="AJC98" s="1056"/>
      <c r="AJD98" s="1056"/>
      <c r="AJE98" s="1056"/>
      <c r="AJF98" s="1056"/>
      <c r="AJG98" s="1056"/>
      <c r="AJH98" s="1056"/>
      <c r="AJI98" s="1056"/>
      <c r="AJJ98" s="1056"/>
      <c r="AJK98" s="1056"/>
      <c r="AJL98" s="1056"/>
      <c r="AJM98" s="1056"/>
      <c r="AJN98" s="1056"/>
      <c r="AJO98" s="1056"/>
      <c r="AJP98" s="1056"/>
      <c r="AJQ98" s="1056"/>
      <c r="AJR98" s="1056"/>
      <c r="AJS98" s="1056"/>
      <c r="AJT98" s="1056"/>
      <c r="AJU98" s="1056"/>
      <c r="AJV98" s="1056"/>
      <c r="AJW98" s="1056"/>
      <c r="AJX98" s="1056"/>
      <c r="AJY98" s="1056"/>
      <c r="AJZ98" s="1056"/>
      <c r="AKA98" s="1056"/>
      <c r="AKB98" s="1056"/>
      <c r="AKC98" s="1056"/>
      <c r="AKD98" s="1056"/>
      <c r="AKE98" s="1056"/>
      <c r="AKF98" s="1056"/>
      <c r="AKG98" s="1056"/>
      <c r="AKH98" s="1056"/>
      <c r="AKI98" s="1056"/>
      <c r="AKJ98" s="1056"/>
      <c r="AKK98" s="1056"/>
      <c r="AKL98" s="1056"/>
      <c r="AKM98" s="1056"/>
      <c r="AKN98" s="1056"/>
      <c r="AKO98" s="1056"/>
      <c r="AKP98" s="1056"/>
      <c r="AKQ98" s="1056"/>
      <c r="AKR98" s="1056"/>
      <c r="AKS98" s="1056"/>
      <c r="AKT98" s="1056"/>
      <c r="AKU98" s="1056"/>
      <c r="AKV98" s="1056"/>
      <c r="AKW98" s="1056"/>
      <c r="AKX98" s="1056"/>
      <c r="AKY98" s="1056"/>
      <c r="AKZ98" s="1056"/>
      <c r="ALA98" s="1056"/>
      <c r="ALB98" s="1056"/>
      <c r="ALC98" s="1056"/>
      <c r="ALD98" s="1056"/>
      <c r="ALE98" s="1056"/>
      <c r="ALF98" s="1056"/>
      <c r="ALG98" s="1056"/>
      <c r="ALH98" s="1056"/>
      <c r="ALI98" s="1056"/>
      <c r="ALJ98" s="1056"/>
      <c r="ALK98" s="1056"/>
      <c r="ALL98" s="1056"/>
      <c r="ALM98" s="1056"/>
      <c r="ALN98" s="1056"/>
      <c r="ALO98" s="1056"/>
      <c r="ALP98" s="1056"/>
      <c r="ALQ98" s="1056"/>
      <c r="ALR98" s="1056"/>
      <c r="ALS98" s="1056"/>
      <c r="ALT98" s="1056"/>
      <c r="ALU98" s="1056"/>
      <c r="ALV98" s="1056"/>
      <c r="ALW98" s="1056"/>
      <c r="ALX98" s="1056"/>
      <c r="ALY98" s="1056"/>
      <c r="ALZ98" s="1056"/>
      <c r="AMA98" s="1056"/>
      <c r="AMB98" s="1056"/>
      <c r="AMC98" s="1056"/>
      <c r="AMD98" s="1056"/>
      <c r="AME98" s="1056"/>
      <c r="AMF98" s="1056"/>
      <c r="AMG98" s="1056"/>
      <c r="AMH98" s="1056"/>
      <c r="AMI98" s="1056"/>
      <c r="AMJ98" s="1056"/>
      <c r="AMK98" s="1056"/>
      <c r="AML98" s="1056"/>
      <c r="AMM98" s="1056"/>
      <c r="AMN98" s="1056"/>
      <c r="AMO98" s="1056"/>
      <c r="AMP98" s="1056"/>
      <c r="AMQ98" s="1056"/>
      <c r="AMR98" s="1056"/>
      <c r="AMS98" s="1056"/>
      <c r="AMT98" s="1056"/>
      <c r="AMU98" s="1056"/>
      <c r="AMV98" s="1056"/>
      <c r="AMW98" s="1056"/>
      <c r="AMX98" s="1056"/>
      <c r="AMY98" s="1056"/>
      <c r="AMZ98" s="1056"/>
      <c r="ANA98" s="1056"/>
      <c r="ANB98" s="1056"/>
      <c r="ANC98" s="1056"/>
      <c r="AND98" s="1056"/>
      <c r="ANE98" s="1056"/>
      <c r="ANF98" s="1056"/>
      <c r="ANG98" s="1056"/>
      <c r="ANH98" s="1056"/>
      <c r="ANI98" s="1056"/>
      <c r="ANJ98" s="1056"/>
      <c r="ANK98" s="1056"/>
      <c r="ANL98" s="1056"/>
      <c r="ANM98" s="1056"/>
      <c r="ANN98" s="1056"/>
      <c r="ANO98" s="1056"/>
      <c r="ANP98" s="1056"/>
      <c r="ANQ98" s="1056"/>
      <c r="ANR98" s="1056"/>
      <c r="ANS98" s="1056"/>
      <c r="ANT98" s="1056"/>
      <c r="ANU98" s="1056"/>
      <c r="ANV98" s="1056"/>
      <c r="ANW98" s="1056"/>
      <c r="ANX98" s="1056"/>
      <c r="ANY98" s="1056"/>
      <c r="ANZ98" s="1056"/>
      <c r="AOA98" s="1056"/>
      <c r="AOB98" s="1056"/>
      <c r="AOC98" s="1056"/>
      <c r="AOD98" s="1056"/>
      <c r="AOE98" s="1056"/>
      <c r="AOF98" s="1056"/>
      <c r="AOG98" s="1056"/>
      <c r="AOH98" s="1056"/>
      <c r="AOI98" s="1056"/>
      <c r="AOJ98" s="1056"/>
      <c r="AOK98" s="1056"/>
      <c r="AOL98" s="1056"/>
      <c r="AOM98" s="1056"/>
      <c r="AON98" s="1056"/>
      <c r="AOO98" s="1056"/>
      <c r="AOP98" s="1056"/>
      <c r="AOQ98" s="1056"/>
      <c r="AOR98" s="1056"/>
      <c r="AOS98" s="1056"/>
      <c r="AOT98" s="1056"/>
      <c r="AOU98" s="1056"/>
      <c r="AOV98" s="1056"/>
      <c r="AOW98" s="1056"/>
      <c r="AOX98" s="1056"/>
      <c r="AOY98" s="1056"/>
      <c r="AOZ98" s="1056"/>
      <c r="APA98" s="1056"/>
      <c r="APB98" s="1056"/>
      <c r="APC98" s="1056"/>
      <c r="APD98" s="1056"/>
      <c r="APE98" s="1056"/>
      <c r="APF98" s="1056"/>
      <c r="APG98" s="1056"/>
      <c r="APH98" s="1056"/>
      <c r="API98" s="1056"/>
      <c r="APJ98" s="1056"/>
      <c r="APK98" s="1056"/>
      <c r="APL98" s="1056"/>
      <c r="APM98" s="1056"/>
      <c r="APN98" s="1056"/>
      <c r="APO98" s="1056"/>
      <c r="APP98" s="1056"/>
      <c r="APQ98" s="1056"/>
      <c r="APR98" s="1056"/>
      <c r="APS98" s="1056"/>
      <c r="APT98" s="1056"/>
      <c r="APU98" s="1056"/>
      <c r="APV98" s="1056"/>
      <c r="APW98" s="1056"/>
      <c r="APX98" s="1056"/>
      <c r="APY98" s="1056"/>
      <c r="APZ98" s="1056"/>
      <c r="AQA98" s="1056"/>
      <c r="AQB98" s="1056"/>
      <c r="AQC98" s="1056"/>
      <c r="AQD98" s="1056"/>
      <c r="AQE98" s="1056"/>
      <c r="AQF98" s="1056"/>
      <c r="AQG98" s="1056"/>
      <c r="AQH98" s="1056"/>
      <c r="AQI98" s="1056"/>
      <c r="AQJ98" s="1056"/>
      <c r="AQK98" s="1056"/>
      <c r="AQL98" s="1056"/>
      <c r="AQM98" s="1056"/>
      <c r="AQN98" s="1056"/>
      <c r="AQO98" s="1056"/>
      <c r="AQP98" s="1056"/>
      <c r="AQQ98" s="1056"/>
      <c r="AQR98" s="1056"/>
      <c r="AQS98" s="1056"/>
      <c r="AQT98" s="1056"/>
      <c r="AQU98" s="1056"/>
      <c r="AQV98" s="1056"/>
      <c r="AQW98" s="1056"/>
      <c r="AQX98" s="1056"/>
      <c r="AQY98" s="1056"/>
      <c r="AQZ98" s="1056"/>
      <c r="ARA98" s="1056"/>
      <c r="ARB98" s="1056"/>
      <c r="ARC98" s="1056"/>
      <c r="ARD98" s="1056"/>
      <c r="ARE98" s="1056"/>
      <c r="ARF98" s="1056"/>
      <c r="ARG98" s="1056"/>
      <c r="ARH98" s="1056"/>
      <c r="ARI98" s="1056"/>
      <c r="ARJ98" s="1056"/>
      <c r="ARK98" s="1056"/>
      <c r="ARL98" s="1056"/>
      <c r="ARM98" s="1056"/>
      <c r="ARN98" s="1056"/>
      <c r="ARO98" s="1056"/>
      <c r="ARP98" s="1056"/>
      <c r="ARQ98" s="1056"/>
      <c r="ARR98" s="1056"/>
      <c r="ARS98" s="1056"/>
      <c r="ART98" s="1056"/>
      <c r="ARU98" s="1056"/>
      <c r="ARV98" s="1056"/>
      <c r="ARW98" s="1056"/>
      <c r="ARX98" s="1056"/>
      <c r="ARY98" s="1056"/>
      <c r="ARZ98" s="1056"/>
      <c r="ASA98" s="1056"/>
      <c r="ASB98" s="1056"/>
      <c r="ASC98" s="1056"/>
      <c r="ASD98" s="1056"/>
      <c r="ASE98" s="1056"/>
      <c r="ASF98" s="1056"/>
      <c r="ASG98" s="1056"/>
      <c r="ASH98" s="1056"/>
      <c r="ASI98" s="1056"/>
      <c r="ASJ98" s="1056"/>
      <c r="ASK98" s="1056"/>
      <c r="ASL98" s="1056"/>
      <c r="ASM98" s="1056"/>
      <c r="ASN98" s="1056"/>
      <c r="ASO98" s="1056"/>
      <c r="ASP98" s="1056"/>
      <c r="ASQ98" s="1056"/>
      <c r="ASR98" s="1056"/>
      <c r="ASS98" s="1056"/>
      <c r="AST98" s="1056"/>
      <c r="ASU98" s="1056"/>
      <c r="ASV98" s="1056"/>
      <c r="ASW98" s="1056"/>
      <c r="ASX98" s="1056"/>
      <c r="ASY98" s="1056"/>
      <c r="ASZ98" s="1056"/>
      <c r="ATA98" s="1056"/>
      <c r="ATB98" s="1056"/>
      <c r="ATC98" s="1056"/>
      <c r="ATD98" s="1056"/>
      <c r="ATE98" s="1056"/>
      <c r="ATF98" s="1056"/>
      <c r="ATG98" s="1056"/>
      <c r="ATH98" s="1056"/>
      <c r="ATI98" s="1056"/>
      <c r="ATJ98" s="1056"/>
      <c r="ATK98" s="1056"/>
      <c r="ATL98" s="1056"/>
      <c r="ATM98" s="1056"/>
      <c r="ATN98" s="1056"/>
      <c r="ATO98" s="1056"/>
      <c r="ATP98" s="1056"/>
      <c r="ATQ98" s="1056"/>
      <c r="ATR98" s="1056"/>
      <c r="ATS98" s="1056"/>
      <c r="ATT98" s="1056"/>
      <c r="ATU98" s="1056"/>
      <c r="ATV98" s="1056"/>
      <c r="ATW98" s="1056"/>
      <c r="ATX98" s="1056"/>
      <c r="ATY98" s="1056"/>
      <c r="ATZ98" s="1056"/>
      <c r="AUA98" s="1056"/>
      <c r="AUB98" s="1056"/>
      <c r="AUC98" s="1056"/>
      <c r="AUD98" s="1056"/>
      <c r="AUE98" s="1056"/>
      <c r="AUF98" s="1056"/>
      <c r="AUG98" s="1056"/>
      <c r="AUH98" s="1056"/>
      <c r="AUI98" s="1056"/>
      <c r="AUJ98" s="1056"/>
      <c r="AUK98" s="1056"/>
      <c r="AUL98" s="1056"/>
      <c r="AUM98" s="1056"/>
      <c r="AUN98" s="1056"/>
      <c r="AUO98" s="1056"/>
      <c r="AUP98" s="1056"/>
      <c r="AUQ98" s="1056"/>
      <c r="AUR98" s="1056"/>
      <c r="AUS98" s="1056"/>
      <c r="AUT98" s="1056"/>
      <c r="AUU98" s="1056"/>
      <c r="AUV98" s="1056"/>
      <c r="AUW98" s="1056"/>
      <c r="AUX98" s="1056"/>
      <c r="AUY98" s="1056"/>
      <c r="AUZ98" s="1056"/>
      <c r="AVA98" s="1056"/>
      <c r="AVB98" s="1056"/>
      <c r="AVC98" s="1056"/>
      <c r="AVD98" s="1056"/>
      <c r="AVE98" s="1056"/>
      <c r="AVF98" s="1056"/>
      <c r="AVG98" s="1056"/>
      <c r="AVH98" s="1056"/>
      <c r="AVI98" s="1056"/>
      <c r="AVJ98" s="1056"/>
      <c r="AVK98" s="1056"/>
      <c r="AVL98" s="1056"/>
      <c r="AVM98" s="1056"/>
      <c r="AVN98" s="1056"/>
      <c r="AVO98" s="1056"/>
      <c r="AVP98" s="1056"/>
      <c r="AVQ98" s="1056"/>
      <c r="AVR98" s="1056"/>
      <c r="AVS98" s="1056"/>
      <c r="AVT98" s="1056"/>
      <c r="AVU98" s="1056"/>
      <c r="AVV98" s="1056"/>
      <c r="AVW98" s="1056"/>
      <c r="AVX98" s="1056"/>
      <c r="AVY98" s="1056"/>
      <c r="AVZ98" s="1056"/>
      <c r="AWA98" s="1056"/>
      <c r="AWB98" s="1056"/>
      <c r="AWC98" s="1056"/>
      <c r="AWD98" s="1056"/>
      <c r="AWE98" s="1056"/>
      <c r="AWF98" s="1056"/>
      <c r="AWG98" s="1056"/>
      <c r="AWH98" s="1056"/>
      <c r="AWI98" s="1056"/>
      <c r="AWJ98" s="1056"/>
      <c r="AWK98" s="1056"/>
      <c r="AWL98" s="1056"/>
      <c r="AWM98" s="1056"/>
      <c r="AWN98" s="1056"/>
      <c r="AWO98" s="1056"/>
      <c r="AWP98" s="1056"/>
      <c r="AWQ98" s="1056"/>
      <c r="AWR98" s="1056"/>
      <c r="AWS98" s="1056"/>
      <c r="AWT98" s="1056"/>
      <c r="AWU98" s="1056"/>
      <c r="AWV98" s="1056"/>
      <c r="AWW98" s="1056"/>
      <c r="AWX98" s="1056"/>
      <c r="AWY98" s="1056"/>
      <c r="AWZ98" s="1056"/>
      <c r="AXA98" s="1056"/>
      <c r="AXB98" s="1056"/>
      <c r="AXC98" s="1056"/>
      <c r="AXD98" s="1056"/>
      <c r="AXE98" s="1056"/>
      <c r="AXF98" s="1056"/>
      <c r="AXG98" s="1056"/>
      <c r="AXH98" s="1056"/>
      <c r="AXI98" s="1056"/>
      <c r="AXJ98" s="1056"/>
      <c r="AXK98" s="1056"/>
      <c r="AXL98" s="1056"/>
      <c r="AXM98" s="1056"/>
      <c r="AXN98" s="1056"/>
      <c r="AXO98" s="1056"/>
      <c r="AXP98" s="1056"/>
      <c r="AXQ98" s="1056"/>
      <c r="AXR98" s="1056"/>
      <c r="AXS98" s="1056"/>
      <c r="AXT98" s="1056"/>
      <c r="AXU98" s="1056"/>
      <c r="AXV98" s="1056"/>
      <c r="AXW98" s="1056"/>
      <c r="AXX98" s="1056"/>
      <c r="AXY98" s="1056"/>
      <c r="AXZ98" s="1056"/>
      <c r="AYA98" s="1056"/>
      <c r="AYB98" s="1056"/>
      <c r="AYC98" s="1056"/>
      <c r="AYD98" s="1056"/>
      <c r="AYE98" s="1056"/>
      <c r="AYF98" s="1056"/>
      <c r="AYG98" s="1056"/>
      <c r="AYH98" s="1056"/>
      <c r="AYI98" s="1056"/>
      <c r="AYJ98" s="1056"/>
      <c r="AYK98" s="1056"/>
      <c r="AYL98" s="1056"/>
      <c r="AYM98" s="1056"/>
      <c r="AYN98" s="1056"/>
      <c r="AYO98" s="1056"/>
      <c r="AYP98" s="1056"/>
      <c r="AYQ98" s="1056"/>
      <c r="AYR98" s="1056"/>
      <c r="AYS98" s="1056"/>
      <c r="AYT98" s="1056"/>
      <c r="AYU98" s="1056"/>
      <c r="AYV98" s="1056"/>
      <c r="AYW98" s="1056"/>
      <c r="AYX98" s="1056"/>
      <c r="AYY98" s="1056"/>
      <c r="AYZ98" s="1056"/>
      <c r="AZA98" s="1056"/>
      <c r="AZB98" s="1056"/>
      <c r="AZC98" s="1056"/>
      <c r="AZD98" s="1056"/>
      <c r="AZE98" s="1056"/>
      <c r="AZF98" s="1056"/>
      <c r="AZG98" s="1056"/>
      <c r="AZH98" s="1056"/>
      <c r="AZI98" s="1056"/>
      <c r="AZJ98" s="1056"/>
      <c r="AZK98" s="1056"/>
      <c r="AZL98" s="1056"/>
      <c r="AZM98" s="1056"/>
      <c r="AZN98" s="1056"/>
      <c r="AZO98" s="1056"/>
      <c r="AZP98" s="1056"/>
      <c r="AZQ98" s="1056"/>
      <c r="AZR98" s="1056"/>
      <c r="AZS98" s="1056"/>
      <c r="AZT98" s="1056"/>
      <c r="AZU98" s="1056"/>
      <c r="AZV98" s="1056"/>
      <c r="AZW98" s="1056"/>
      <c r="AZX98" s="1056"/>
      <c r="AZY98" s="1056"/>
      <c r="AZZ98" s="1056"/>
      <c r="BAA98" s="1056"/>
      <c r="BAB98" s="1056"/>
      <c r="BAC98" s="1056"/>
      <c r="BAD98" s="1056"/>
      <c r="BAE98" s="1056"/>
      <c r="BAF98" s="1056"/>
      <c r="BAG98" s="1056"/>
      <c r="BAH98" s="1056"/>
      <c r="BAI98" s="1056"/>
      <c r="BAJ98" s="1056"/>
      <c r="BAK98" s="1056"/>
      <c r="BAL98" s="1056"/>
      <c r="BAM98" s="1056"/>
      <c r="BAN98" s="1056"/>
      <c r="BAO98" s="1056"/>
      <c r="BAP98" s="1056"/>
      <c r="BAQ98" s="1056"/>
      <c r="BAR98" s="1056"/>
      <c r="BAS98" s="1056"/>
      <c r="BAT98" s="1056"/>
      <c r="BAU98" s="1056"/>
      <c r="BAV98" s="1056"/>
      <c r="BAW98" s="1056"/>
      <c r="BAX98" s="1056"/>
      <c r="BAY98" s="1056"/>
      <c r="BAZ98" s="1056"/>
      <c r="BBA98" s="1056"/>
      <c r="BBB98" s="1056"/>
      <c r="BBC98" s="1056"/>
      <c r="BBD98" s="1056"/>
      <c r="BBE98" s="1056"/>
      <c r="BBF98" s="1056"/>
      <c r="BBG98" s="1056"/>
      <c r="BBH98" s="1056"/>
      <c r="BBI98" s="1056"/>
      <c r="BBJ98" s="1056"/>
      <c r="BBK98" s="1056"/>
      <c r="BBL98" s="1056"/>
      <c r="BBM98" s="1056"/>
      <c r="BBN98" s="1056"/>
      <c r="BBO98" s="1056"/>
      <c r="BBP98" s="1056"/>
      <c r="BBQ98" s="1056"/>
      <c r="BBR98" s="1056"/>
      <c r="BBS98" s="1056"/>
      <c r="BBT98" s="1056"/>
      <c r="BBU98" s="1056"/>
      <c r="BBV98" s="1056"/>
      <c r="BBW98" s="1056"/>
      <c r="BBX98" s="1056"/>
      <c r="BBY98" s="1056"/>
      <c r="BBZ98" s="1056"/>
      <c r="BCA98" s="1056"/>
      <c r="BCB98" s="1056"/>
      <c r="BCC98" s="1056"/>
      <c r="BCD98" s="1056"/>
      <c r="BCE98" s="1056"/>
      <c r="BCF98" s="1056"/>
      <c r="BCG98" s="1056"/>
      <c r="BCH98" s="1056"/>
      <c r="BCI98" s="1056"/>
      <c r="BCJ98" s="1056"/>
      <c r="BCK98" s="1056"/>
      <c r="BCL98" s="1056"/>
      <c r="BCM98" s="1056"/>
      <c r="BCN98" s="1056"/>
      <c r="BCO98" s="1056"/>
      <c r="BCP98" s="1056"/>
      <c r="BCQ98" s="1056"/>
      <c r="BCR98" s="1056"/>
      <c r="BCS98" s="1056"/>
      <c r="BCT98" s="1056"/>
      <c r="BCU98" s="1056"/>
      <c r="BCV98" s="1056"/>
      <c r="BCW98" s="1056"/>
      <c r="BCX98" s="1056"/>
      <c r="BCY98" s="1056"/>
      <c r="BCZ98" s="1056"/>
      <c r="BDA98" s="1056"/>
      <c r="BDB98" s="1056"/>
      <c r="BDC98" s="1056"/>
      <c r="BDD98" s="1056"/>
      <c r="BDE98" s="1056"/>
      <c r="BDF98" s="1056"/>
      <c r="BDG98" s="1056"/>
      <c r="BDH98" s="1056"/>
      <c r="BDI98" s="1056"/>
      <c r="BDJ98" s="1056"/>
      <c r="BDK98" s="1056"/>
      <c r="BDL98" s="1056"/>
      <c r="BDM98" s="1056"/>
      <c r="BDN98" s="1056"/>
      <c r="BDO98" s="1056"/>
      <c r="BDP98" s="1056"/>
      <c r="BDQ98" s="1056"/>
      <c r="BDR98" s="1056"/>
      <c r="BDS98" s="1056"/>
      <c r="BDT98" s="1056"/>
      <c r="BDU98" s="1056"/>
      <c r="BDV98" s="1056"/>
      <c r="BDW98" s="1056"/>
      <c r="BDX98" s="1056"/>
      <c r="BDY98" s="1056"/>
      <c r="BDZ98" s="1056"/>
      <c r="BEA98" s="1056"/>
      <c r="BEB98" s="1056"/>
      <c r="BEC98" s="1056"/>
      <c r="BED98" s="1056"/>
      <c r="BEE98" s="1056"/>
      <c r="BEF98" s="1056"/>
      <c r="BEG98" s="1056"/>
      <c r="BEH98" s="1056"/>
      <c r="BEI98" s="1056"/>
      <c r="BEJ98" s="1056"/>
      <c r="BEK98" s="1056"/>
      <c r="BEL98" s="1056"/>
      <c r="BEM98" s="1056"/>
      <c r="BEN98" s="1056"/>
      <c r="BEO98" s="1056"/>
      <c r="BEP98" s="1056"/>
      <c r="BEQ98" s="1056"/>
      <c r="BER98" s="1056"/>
      <c r="BES98" s="1056"/>
      <c r="BET98" s="1056"/>
      <c r="BEU98" s="1056"/>
      <c r="BEV98" s="1056"/>
      <c r="BEW98" s="1056"/>
      <c r="BEX98" s="1056"/>
      <c r="BEY98" s="1056"/>
      <c r="BEZ98" s="1056"/>
      <c r="BFA98" s="1056"/>
      <c r="BFB98" s="1056"/>
      <c r="BFC98" s="1056"/>
      <c r="BFD98" s="1056"/>
      <c r="BFE98" s="1056"/>
      <c r="BFF98" s="1056"/>
      <c r="BFG98" s="1056"/>
      <c r="BFH98" s="1056"/>
      <c r="BFI98" s="1056"/>
      <c r="BFJ98" s="1056"/>
      <c r="BFK98" s="1056"/>
      <c r="BFL98" s="1056"/>
      <c r="BFM98" s="1056"/>
      <c r="BFN98" s="1056"/>
      <c r="BFO98" s="1056"/>
      <c r="BFP98" s="1056"/>
      <c r="BFQ98" s="1056"/>
      <c r="BFR98" s="1056"/>
      <c r="BFS98" s="1056"/>
      <c r="BFT98" s="1056"/>
      <c r="BFU98" s="1056"/>
      <c r="BFV98" s="1056"/>
      <c r="BFW98" s="1056"/>
      <c r="BFX98" s="1056"/>
      <c r="BFY98" s="1056"/>
      <c r="BFZ98" s="1056"/>
      <c r="BGA98" s="1056"/>
      <c r="BGB98" s="1056"/>
      <c r="BGC98" s="1056"/>
      <c r="BGD98" s="1056"/>
      <c r="BGE98" s="1056"/>
      <c r="BGF98" s="1056"/>
      <c r="BGG98" s="1056"/>
      <c r="BGH98" s="1056"/>
      <c r="BGI98" s="1056"/>
      <c r="BGJ98" s="1056"/>
      <c r="BGK98" s="1056"/>
      <c r="BGL98" s="1056"/>
      <c r="BGM98" s="1056"/>
      <c r="BGN98" s="1056"/>
      <c r="BGO98" s="1056"/>
      <c r="BGP98" s="1056"/>
      <c r="BGQ98" s="1056"/>
      <c r="BGR98" s="1056"/>
      <c r="BGS98" s="1056"/>
      <c r="BGT98" s="1056"/>
      <c r="BGU98" s="1056"/>
      <c r="BGV98" s="1056"/>
      <c r="BGW98" s="1056"/>
      <c r="BGX98" s="1056"/>
      <c r="BGY98" s="1056"/>
      <c r="BGZ98" s="1056"/>
      <c r="BHA98" s="1056"/>
      <c r="BHB98" s="1056"/>
      <c r="BHC98" s="1056"/>
      <c r="BHD98" s="1056"/>
      <c r="BHE98" s="1056"/>
      <c r="BHF98" s="1056"/>
      <c r="BHG98" s="1056"/>
      <c r="BHH98" s="1056"/>
      <c r="BHI98" s="1056"/>
      <c r="BHJ98" s="1056"/>
      <c r="BHK98" s="1056"/>
      <c r="BHL98" s="1056"/>
      <c r="BHM98" s="1056"/>
      <c r="BHN98" s="1056"/>
      <c r="BHO98" s="1056"/>
      <c r="BHP98" s="1056"/>
      <c r="BHQ98" s="1056"/>
      <c r="BHR98" s="1056"/>
      <c r="BHS98" s="1056"/>
      <c r="BHT98" s="1056"/>
      <c r="BHU98" s="1056"/>
      <c r="BHV98" s="1056"/>
      <c r="BHW98" s="1056"/>
      <c r="BHX98" s="1056"/>
      <c r="BHY98" s="1056"/>
      <c r="BHZ98" s="1056"/>
      <c r="BIA98" s="1056"/>
      <c r="BIB98" s="1056"/>
      <c r="BIC98" s="1056"/>
      <c r="BID98" s="1056"/>
      <c r="BIE98" s="1056"/>
      <c r="BIF98" s="1056"/>
      <c r="BIG98" s="1056"/>
      <c r="BIH98" s="1056"/>
      <c r="BII98" s="1056"/>
      <c r="BIJ98" s="1056"/>
      <c r="BIK98" s="1056"/>
      <c r="BIL98" s="1056"/>
      <c r="BIM98" s="1056"/>
      <c r="BIN98" s="1056"/>
      <c r="BIO98" s="1056"/>
      <c r="BIP98" s="1056"/>
      <c r="BIQ98" s="1056"/>
      <c r="BIR98" s="1056"/>
      <c r="BIS98" s="1056"/>
      <c r="BIT98" s="1056"/>
      <c r="BIU98" s="1056"/>
      <c r="BIV98" s="1056"/>
      <c r="BIW98" s="1056"/>
      <c r="BIX98" s="1056"/>
      <c r="BIY98" s="1056"/>
      <c r="BIZ98" s="1056"/>
      <c r="BJA98" s="1056"/>
      <c r="BJB98" s="1056"/>
      <c r="BJC98" s="1056"/>
      <c r="BJD98" s="1056"/>
      <c r="BJE98" s="1056"/>
      <c r="BJF98" s="1056"/>
      <c r="BJG98" s="1056"/>
      <c r="BJH98" s="1056"/>
      <c r="BJI98" s="1056"/>
      <c r="BJJ98" s="1056"/>
      <c r="BJK98" s="1056"/>
      <c r="BJL98" s="1056"/>
      <c r="BJM98" s="1056"/>
      <c r="BJN98" s="1056"/>
      <c r="BJO98" s="1056"/>
      <c r="BJP98" s="1056"/>
      <c r="BJQ98" s="1056"/>
      <c r="BJR98" s="1056"/>
      <c r="BJS98" s="1056"/>
      <c r="BJT98" s="1056"/>
      <c r="BJU98" s="1056"/>
      <c r="BJV98" s="1056"/>
      <c r="BJW98" s="1056"/>
      <c r="BJX98" s="1056"/>
      <c r="BJY98" s="1056"/>
      <c r="BJZ98" s="1056"/>
      <c r="BKA98" s="1056"/>
      <c r="BKB98" s="1056"/>
      <c r="BKC98" s="1056"/>
      <c r="BKD98" s="1056"/>
      <c r="BKE98" s="1056"/>
      <c r="BKF98" s="1056"/>
      <c r="BKG98" s="1056"/>
      <c r="BKH98" s="1056"/>
      <c r="BKI98" s="1056"/>
      <c r="BKJ98" s="1056"/>
      <c r="BKK98" s="1056"/>
      <c r="BKL98" s="1056"/>
      <c r="BKM98" s="1056"/>
      <c r="BKN98" s="1056"/>
      <c r="BKO98" s="1056"/>
      <c r="BKP98" s="1056"/>
      <c r="BKQ98" s="1056"/>
      <c r="BKR98" s="1056"/>
      <c r="BKS98" s="1056"/>
      <c r="BKT98" s="1056"/>
      <c r="BKU98" s="1056"/>
      <c r="BKV98" s="1056"/>
      <c r="BKW98" s="1056"/>
      <c r="BKX98" s="1056"/>
      <c r="BKY98" s="1056"/>
      <c r="BKZ98" s="1056"/>
      <c r="BLA98" s="1056"/>
      <c r="BLB98" s="1056"/>
      <c r="BLC98" s="1056"/>
      <c r="BLD98" s="1056"/>
      <c r="BLE98" s="1056"/>
      <c r="BLF98" s="1056"/>
      <c r="BLG98" s="1056"/>
      <c r="BLH98" s="1056"/>
      <c r="BLI98" s="1056"/>
      <c r="BLJ98" s="1056"/>
      <c r="BLK98" s="1056"/>
      <c r="BLL98" s="1056"/>
      <c r="BLM98" s="1056"/>
      <c r="BLN98" s="1056"/>
      <c r="BLO98" s="1056"/>
      <c r="BLP98" s="1056"/>
      <c r="BLQ98" s="1056"/>
      <c r="BLR98" s="1056"/>
      <c r="BLS98" s="1056"/>
      <c r="BLT98" s="1056"/>
      <c r="BLU98" s="1056"/>
      <c r="BLV98" s="1056"/>
      <c r="BLW98" s="1056"/>
      <c r="BLX98" s="1056"/>
      <c r="BLY98" s="1056"/>
      <c r="BLZ98" s="1056"/>
      <c r="BMA98" s="1056"/>
      <c r="BMB98" s="1056"/>
      <c r="BMC98" s="1056"/>
      <c r="BMD98" s="1056"/>
      <c r="BME98" s="1056"/>
      <c r="BMF98" s="1056"/>
      <c r="BMG98" s="1056"/>
      <c r="BMH98" s="1056"/>
      <c r="BMI98" s="1056"/>
      <c r="BMJ98" s="1056"/>
      <c r="BMK98" s="1056"/>
      <c r="BML98" s="1056"/>
      <c r="BMM98" s="1056"/>
      <c r="BMN98" s="1056"/>
      <c r="BMO98" s="1056"/>
      <c r="BMP98" s="1056"/>
      <c r="BMQ98" s="1056"/>
      <c r="BMR98" s="1056"/>
      <c r="BMS98" s="1056"/>
      <c r="BMT98" s="1056"/>
      <c r="BMU98" s="1056"/>
      <c r="BMV98" s="1056"/>
      <c r="BMW98" s="1056"/>
      <c r="BMX98" s="1056"/>
      <c r="BMY98" s="1056"/>
      <c r="BMZ98" s="1056"/>
      <c r="BNA98" s="1056"/>
      <c r="BNB98" s="1056"/>
      <c r="BNC98" s="1056"/>
      <c r="BND98" s="1056"/>
      <c r="BNE98" s="1056"/>
      <c r="BNF98" s="1056"/>
      <c r="BNG98" s="1056"/>
      <c r="BNH98" s="1056"/>
      <c r="BNI98" s="1056"/>
      <c r="BNJ98" s="1056"/>
      <c r="BNK98" s="1056"/>
      <c r="BNL98" s="1056"/>
      <c r="BNM98" s="1056"/>
      <c r="BNN98" s="1056"/>
      <c r="BNO98" s="1056"/>
      <c r="BNP98" s="1056"/>
      <c r="BNQ98" s="1056"/>
      <c r="BNR98" s="1056"/>
      <c r="BNS98" s="1056"/>
      <c r="BNT98" s="1056"/>
      <c r="BNU98" s="1056"/>
      <c r="BNV98" s="1056"/>
      <c r="BNW98" s="1056"/>
      <c r="BNX98" s="1056"/>
      <c r="BNY98" s="1056"/>
      <c r="BNZ98" s="1056"/>
      <c r="BOA98" s="1056"/>
      <c r="BOB98" s="1056"/>
      <c r="BOC98" s="1056"/>
      <c r="BOD98" s="1056"/>
      <c r="BOE98" s="1056"/>
      <c r="BOF98" s="1056"/>
      <c r="BOG98" s="1056"/>
      <c r="BOH98" s="1056"/>
      <c r="BOI98" s="1056"/>
      <c r="BOJ98" s="1056"/>
      <c r="BOK98" s="1056"/>
      <c r="BOL98" s="1056"/>
      <c r="BOM98" s="1056"/>
      <c r="BON98" s="1056"/>
      <c r="BOO98" s="1056"/>
      <c r="BOP98" s="1056"/>
      <c r="BOQ98" s="1056"/>
      <c r="BOR98" s="1056"/>
      <c r="BOS98" s="1056"/>
      <c r="BOT98" s="1056"/>
      <c r="BOU98" s="1056"/>
      <c r="BOV98" s="1056"/>
      <c r="BOW98" s="1056"/>
      <c r="BOX98" s="1056"/>
      <c r="BOY98" s="1056"/>
      <c r="BOZ98" s="1056"/>
      <c r="BPA98" s="1056"/>
      <c r="BPB98" s="1056"/>
      <c r="BPC98" s="1056"/>
      <c r="BPD98" s="1056"/>
      <c r="BPE98" s="1056"/>
      <c r="BPF98" s="1056"/>
      <c r="BPG98" s="1056"/>
      <c r="BPH98" s="1056"/>
      <c r="BPI98" s="1056"/>
      <c r="BPJ98" s="1056"/>
      <c r="BPK98" s="1056"/>
      <c r="BPL98" s="1056"/>
      <c r="BPM98" s="1056"/>
      <c r="BPN98" s="1056"/>
      <c r="BPO98" s="1056"/>
      <c r="BPP98" s="1056"/>
      <c r="BPQ98" s="1056"/>
      <c r="BPR98" s="1056"/>
      <c r="BPS98" s="1056"/>
      <c r="BPT98" s="1056"/>
      <c r="BPU98" s="1056"/>
      <c r="BPV98" s="1056"/>
      <c r="BPW98" s="1056"/>
      <c r="BPX98" s="1056"/>
      <c r="BPY98" s="1056"/>
      <c r="BPZ98" s="1056"/>
      <c r="BQA98" s="1056"/>
      <c r="BQB98" s="1056"/>
      <c r="BQC98" s="1056"/>
      <c r="BQD98" s="1056"/>
      <c r="BQE98" s="1056"/>
      <c r="BQF98" s="1056"/>
      <c r="BQG98" s="1056"/>
      <c r="BQH98" s="1056"/>
      <c r="BQI98" s="1056"/>
      <c r="BQJ98" s="1056"/>
      <c r="BQK98" s="1056"/>
      <c r="BQL98" s="1056"/>
      <c r="BQM98" s="1056"/>
      <c r="BQN98" s="1056"/>
      <c r="BQO98" s="1056"/>
      <c r="BQP98" s="1056"/>
      <c r="BQQ98" s="1056"/>
      <c r="BQR98" s="1056"/>
      <c r="BQS98" s="1056"/>
      <c r="BQT98" s="1056"/>
      <c r="BQU98" s="1056"/>
      <c r="BQV98" s="1056"/>
      <c r="BQW98" s="1056"/>
      <c r="BQX98" s="1056"/>
      <c r="BQY98" s="1056"/>
      <c r="BQZ98" s="1056"/>
      <c r="BRA98" s="1056"/>
      <c r="BRB98" s="1056"/>
      <c r="BRC98" s="1056"/>
      <c r="BRD98" s="1056"/>
      <c r="BRE98" s="1056"/>
      <c r="BRF98" s="1056"/>
      <c r="BRG98" s="1056"/>
      <c r="BRH98" s="1056"/>
      <c r="BRI98" s="1056"/>
      <c r="BRJ98" s="1056"/>
      <c r="BRK98" s="1056"/>
      <c r="BRL98" s="1056"/>
      <c r="BRM98" s="1056"/>
      <c r="BRN98" s="1056"/>
      <c r="BRO98" s="1056"/>
      <c r="BRP98" s="1056"/>
      <c r="BRQ98" s="1056"/>
      <c r="BRR98" s="1056"/>
      <c r="BRS98" s="1056"/>
      <c r="BRT98" s="1056"/>
      <c r="BRU98" s="1056"/>
      <c r="BRV98" s="1056"/>
      <c r="BRW98" s="1056"/>
      <c r="BRX98" s="1056"/>
      <c r="BRY98" s="1056"/>
      <c r="BRZ98" s="1056"/>
      <c r="BSA98" s="1056"/>
      <c r="BSB98" s="1056"/>
      <c r="BSC98" s="1056"/>
      <c r="BSD98" s="1056"/>
      <c r="BSE98" s="1056"/>
      <c r="BSF98" s="1056"/>
      <c r="BSG98" s="1056"/>
      <c r="BSH98" s="1056"/>
      <c r="BSI98" s="1056"/>
      <c r="BSJ98" s="1056"/>
      <c r="BSK98" s="1056"/>
      <c r="BSL98" s="1056"/>
      <c r="BSM98" s="1056"/>
      <c r="BSN98" s="1056"/>
      <c r="BSO98" s="1056"/>
      <c r="BSP98" s="1056"/>
      <c r="BSQ98" s="1056"/>
      <c r="BSR98" s="1056"/>
      <c r="BSS98" s="1056"/>
      <c r="BST98" s="1056"/>
      <c r="BSU98" s="1056"/>
      <c r="BSV98" s="1056"/>
      <c r="BSW98" s="1056"/>
      <c r="BSX98" s="1056"/>
      <c r="BSY98" s="1056"/>
      <c r="BSZ98" s="1056"/>
      <c r="BTA98" s="1056"/>
      <c r="BTB98" s="1056"/>
      <c r="BTC98" s="1056"/>
      <c r="BTD98" s="1056"/>
      <c r="BTE98" s="1056"/>
      <c r="BTF98" s="1056"/>
      <c r="BTG98" s="1056"/>
      <c r="BTH98" s="1056"/>
      <c r="BTI98" s="1056"/>
    </row>
    <row r="99" spans="1:1881" s="1060" customFormat="1" ht="25.5" hidden="1" customHeight="1" thickBot="1" x14ac:dyDescent="0.35">
      <c r="A99" s="1059"/>
      <c r="B99" s="820" t="s">
        <v>11</v>
      </c>
      <c r="C99" s="820"/>
      <c r="D99" s="822"/>
      <c r="E99" s="818"/>
      <c r="F99" s="823"/>
      <c r="G99" s="824"/>
      <c r="H99" s="764"/>
      <c r="I99" s="1055"/>
      <c r="J99" s="1056"/>
      <c r="K99" s="1056"/>
      <c r="L99" s="1057"/>
      <c r="M99" s="1056"/>
      <c r="N99" s="1058"/>
      <c r="O99" s="1056"/>
      <c r="P99" s="1056"/>
      <c r="Q99" s="1056"/>
      <c r="R99" s="1056"/>
      <c r="S99" s="1056"/>
      <c r="T99" s="1056"/>
      <c r="U99" s="1056"/>
      <c r="V99" s="1056"/>
      <c r="W99" s="1056"/>
      <c r="X99" s="1056"/>
      <c r="Y99" s="1056"/>
      <c r="Z99" s="1059"/>
      <c r="AA99" s="1059"/>
      <c r="AB99" s="1059"/>
      <c r="AC99" s="1059"/>
      <c r="AD99" s="1059"/>
      <c r="AE99" s="1059"/>
      <c r="AF99" s="1059"/>
      <c r="AG99" s="1059"/>
      <c r="AH99" s="1059"/>
      <c r="AI99" s="1059"/>
      <c r="AJ99" s="1059"/>
      <c r="AK99" s="1059"/>
      <c r="AL99" s="1059"/>
      <c r="AM99" s="1059"/>
      <c r="AN99" s="1059"/>
      <c r="AO99" s="1059"/>
      <c r="AP99" s="1059"/>
      <c r="AQ99" s="1059"/>
      <c r="AR99" s="1059"/>
      <c r="AS99" s="1056"/>
      <c r="AT99" s="1056"/>
      <c r="AU99" s="1056"/>
      <c r="AV99" s="1056"/>
      <c r="AW99" s="1056"/>
      <c r="AX99" s="1056"/>
      <c r="AY99" s="1056"/>
      <c r="AZ99" s="1056"/>
      <c r="BA99" s="1056"/>
      <c r="BB99" s="1056"/>
      <c r="BC99" s="1056"/>
      <c r="BD99" s="1056"/>
      <c r="BE99" s="1056"/>
      <c r="BF99" s="1056"/>
      <c r="BG99" s="1056"/>
      <c r="BH99" s="1056"/>
      <c r="BI99" s="1056"/>
      <c r="BJ99" s="1056"/>
      <c r="BK99" s="1056"/>
      <c r="BL99" s="1056"/>
      <c r="BM99" s="1056"/>
      <c r="BN99" s="1056"/>
      <c r="BO99" s="1056"/>
      <c r="BP99" s="1056"/>
      <c r="BQ99" s="1056"/>
      <c r="BR99" s="1056"/>
      <c r="BS99" s="1056"/>
      <c r="BT99" s="1056"/>
      <c r="BU99" s="1056"/>
      <c r="BV99" s="1056"/>
      <c r="BW99" s="1056"/>
      <c r="BX99" s="1056"/>
      <c r="BY99" s="1056"/>
      <c r="BZ99" s="1056"/>
      <c r="CA99" s="1056"/>
      <c r="CB99" s="1056"/>
      <c r="CC99" s="1056"/>
      <c r="CD99" s="1056"/>
      <c r="CE99" s="1056"/>
      <c r="CF99" s="1056"/>
      <c r="CG99" s="1056"/>
      <c r="CH99" s="1056"/>
      <c r="CI99" s="1056"/>
      <c r="CJ99" s="1056"/>
      <c r="CK99" s="1056"/>
      <c r="CL99" s="1056"/>
      <c r="CM99" s="1056"/>
      <c r="CN99" s="1056"/>
      <c r="CO99" s="1056"/>
      <c r="CP99" s="1056"/>
      <c r="CQ99" s="1056"/>
      <c r="CR99" s="1056"/>
      <c r="CS99" s="1056"/>
      <c r="CT99" s="1056"/>
      <c r="CU99" s="1056"/>
      <c r="CV99" s="1056"/>
      <c r="CW99" s="1056"/>
      <c r="CX99" s="1056"/>
      <c r="CY99" s="1056"/>
      <c r="CZ99" s="1056"/>
      <c r="DA99" s="1056"/>
      <c r="DB99" s="1056"/>
      <c r="DC99" s="1056"/>
      <c r="DD99" s="1056"/>
      <c r="DE99" s="1056"/>
      <c r="DF99" s="1056"/>
      <c r="DG99" s="1056"/>
      <c r="DH99" s="1056"/>
      <c r="DI99" s="1056"/>
      <c r="DJ99" s="1056"/>
      <c r="DK99" s="1056"/>
      <c r="DL99" s="1056"/>
      <c r="DM99" s="1056"/>
      <c r="DN99" s="1056"/>
      <c r="DO99" s="1056"/>
      <c r="DP99" s="1056"/>
      <c r="DQ99" s="1056"/>
      <c r="DR99" s="1056"/>
      <c r="DS99" s="1056"/>
      <c r="DT99" s="1056"/>
      <c r="DU99" s="1056"/>
      <c r="DV99" s="1056"/>
      <c r="DW99" s="1056"/>
      <c r="DX99" s="1056"/>
      <c r="DY99" s="1056"/>
      <c r="DZ99" s="1056"/>
      <c r="EA99" s="1056"/>
      <c r="EB99" s="1056"/>
      <c r="EC99" s="1056"/>
      <c r="ED99" s="1056"/>
      <c r="EE99" s="1056"/>
      <c r="EF99" s="1056"/>
      <c r="EG99" s="1056"/>
      <c r="EH99" s="1056"/>
      <c r="EI99" s="1056"/>
      <c r="EJ99" s="1056"/>
      <c r="EK99" s="1056"/>
      <c r="EL99" s="1056"/>
      <c r="EM99" s="1056"/>
      <c r="EN99" s="1056"/>
      <c r="EO99" s="1056"/>
      <c r="EP99" s="1056"/>
      <c r="EQ99" s="1056"/>
      <c r="ER99" s="1056"/>
      <c r="ES99" s="1056"/>
      <c r="ET99" s="1056"/>
      <c r="EU99" s="1056"/>
      <c r="EV99" s="1056"/>
      <c r="EW99" s="1056"/>
      <c r="EX99" s="1056"/>
      <c r="EY99" s="1056"/>
      <c r="EZ99" s="1056"/>
      <c r="FA99" s="1056"/>
      <c r="FB99" s="1056"/>
      <c r="FC99" s="1056"/>
      <c r="FD99" s="1056"/>
      <c r="FE99" s="1056"/>
      <c r="FF99" s="1056"/>
      <c r="FG99" s="1056"/>
      <c r="FH99" s="1056"/>
      <c r="FI99" s="1056"/>
      <c r="FJ99" s="1056"/>
      <c r="FK99" s="1056"/>
      <c r="FL99" s="1056"/>
      <c r="FM99" s="1056"/>
      <c r="FN99" s="1056"/>
      <c r="FO99" s="1056"/>
      <c r="FP99" s="1056"/>
      <c r="FQ99" s="1056"/>
      <c r="FR99" s="1056"/>
      <c r="FS99" s="1056"/>
      <c r="FT99" s="1056"/>
      <c r="FU99" s="1056"/>
      <c r="FV99" s="1056"/>
      <c r="FW99" s="1056"/>
      <c r="FX99" s="1056"/>
      <c r="FY99" s="1056"/>
      <c r="FZ99" s="1056"/>
      <c r="GA99" s="1056"/>
      <c r="GB99" s="1056"/>
      <c r="GC99" s="1056"/>
      <c r="GD99" s="1056"/>
      <c r="GE99" s="1056"/>
      <c r="GF99" s="1056"/>
      <c r="GG99" s="1056"/>
      <c r="GH99" s="1056"/>
      <c r="GI99" s="1056"/>
      <c r="GJ99" s="1056"/>
      <c r="GK99" s="1056"/>
      <c r="GL99" s="1056"/>
      <c r="GM99" s="1056"/>
      <c r="GN99" s="1056"/>
      <c r="GO99" s="1056"/>
      <c r="GP99" s="1056"/>
      <c r="GQ99" s="1056"/>
      <c r="GR99" s="1056"/>
      <c r="GS99" s="1056"/>
      <c r="GT99" s="1056"/>
      <c r="GU99" s="1056"/>
      <c r="GV99" s="1056"/>
      <c r="GW99" s="1056"/>
      <c r="GX99" s="1056"/>
      <c r="GY99" s="1056"/>
      <c r="GZ99" s="1056"/>
      <c r="HA99" s="1056"/>
      <c r="HB99" s="1056"/>
      <c r="HC99" s="1056"/>
      <c r="HD99" s="1056"/>
      <c r="HE99" s="1056"/>
      <c r="HF99" s="1056"/>
      <c r="HG99" s="1056"/>
      <c r="HH99" s="1056"/>
      <c r="HI99" s="1056"/>
      <c r="HJ99" s="1056"/>
      <c r="HK99" s="1056"/>
      <c r="HL99" s="1056"/>
      <c r="HM99" s="1056"/>
      <c r="HN99" s="1056"/>
      <c r="HO99" s="1056"/>
      <c r="HP99" s="1056"/>
      <c r="HQ99" s="1056"/>
      <c r="HR99" s="1056"/>
      <c r="HS99" s="1056"/>
      <c r="HT99" s="1056"/>
      <c r="HU99" s="1056"/>
      <c r="HV99" s="1056"/>
      <c r="HW99" s="1056"/>
      <c r="HX99" s="1056"/>
      <c r="HY99" s="1056"/>
      <c r="HZ99" s="1056"/>
      <c r="IA99" s="1056"/>
      <c r="IB99" s="1056"/>
      <c r="IC99" s="1056"/>
      <c r="ID99" s="1056"/>
      <c r="IE99" s="1056"/>
      <c r="IF99" s="1056"/>
      <c r="IG99" s="1056"/>
      <c r="IH99" s="1056"/>
      <c r="II99" s="1056"/>
      <c r="IJ99" s="1056"/>
      <c r="IK99" s="1056"/>
      <c r="IL99" s="1056"/>
      <c r="IM99" s="1056"/>
      <c r="IN99" s="1056"/>
      <c r="IO99" s="1056"/>
      <c r="IP99" s="1056"/>
      <c r="IQ99" s="1056"/>
      <c r="IR99" s="1056"/>
      <c r="IS99" s="1056"/>
      <c r="IT99" s="1056"/>
      <c r="IU99" s="1056"/>
      <c r="IV99" s="1056"/>
      <c r="IW99" s="1056"/>
      <c r="IX99" s="1056"/>
      <c r="IY99" s="1056"/>
      <c r="IZ99" s="1056"/>
      <c r="JA99" s="1056"/>
      <c r="JB99" s="1056"/>
      <c r="JC99" s="1056"/>
      <c r="JD99" s="1056"/>
      <c r="JE99" s="1056"/>
      <c r="JF99" s="1056"/>
      <c r="JG99" s="1056"/>
      <c r="JH99" s="1056"/>
      <c r="JI99" s="1056"/>
      <c r="JJ99" s="1056"/>
      <c r="JK99" s="1056"/>
      <c r="JL99" s="1056"/>
      <c r="JM99" s="1056"/>
      <c r="JN99" s="1056"/>
      <c r="JO99" s="1056"/>
      <c r="JP99" s="1056"/>
      <c r="JQ99" s="1056"/>
      <c r="JR99" s="1056"/>
      <c r="JS99" s="1056"/>
      <c r="JT99" s="1056"/>
      <c r="JU99" s="1056"/>
      <c r="JV99" s="1056"/>
      <c r="JW99" s="1056"/>
      <c r="JX99" s="1056"/>
      <c r="JY99" s="1056"/>
      <c r="JZ99" s="1056"/>
      <c r="KA99" s="1056"/>
      <c r="KB99" s="1056"/>
      <c r="KC99" s="1056"/>
      <c r="KD99" s="1056"/>
      <c r="KE99" s="1056"/>
      <c r="KF99" s="1056"/>
      <c r="KG99" s="1056"/>
      <c r="KH99" s="1056"/>
      <c r="KI99" s="1056"/>
      <c r="KJ99" s="1056"/>
      <c r="KK99" s="1056"/>
      <c r="KL99" s="1056"/>
      <c r="KM99" s="1056"/>
      <c r="KN99" s="1056"/>
      <c r="KO99" s="1056"/>
      <c r="KP99" s="1056"/>
      <c r="KQ99" s="1056"/>
      <c r="KR99" s="1056"/>
      <c r="KS99" s="1056"/>
      <c r="KT99" s="1056"/>
      <c r="KU99" s="1056"/>
      <c r="KV99" s="1056"/>
      <c r="KW99" s="1056"/>
      <c r="KX99" s="1056"/>
      <c r="KY99" s="1056"/>
      <c r="KZ99" s="1056"/>
      <c r="LA99" s="1056"/>
      <c r="LB99" s="1056"/>
      <c r="LC99" s="1056"/>
      <c r="LD99" s="1056"/>
      <c r="LE99" s="1056"/>
      <c r="LF99" s="1056"/>
      <c r="LG99" s="1056"/>
      <c r="LH99" s="1056"/>
      <c r="LI99" s="1056"/>
      <c r="LJ99" s="1056"/>
      <c r="LK99" s="1056"/>
      <c r="LL99" s="1056"/>
      <c r="LM99" s="1056"/>
      <c r="LN99" s="1056"/>
      <c r="LO99" s="1056"/>
      <c r="LP99" s="1056"/>
      <c r="LQ99" s="1056"/>
      <c r="LR99" s="1056"/>
      <c r="LS99" s="1056"/>
      <c r="LT99" s="1056"/>
      <c r="LU99" s="1056"/>
      <c r="LV99" s="1056"/>
      <c r="LW99" s="1056"/>
      <c r="LX99" s="1056"/>
      <c r="LY99" s="1056"/>
      <c r="LZ99" s="1056"/>
      <c r="MA99" s="1056"/>
      <c r="MB99" s="1056"/>
      <c r="MC99" s="1056"/>
      <c r="MD99" s="1056"/>
      <c r="ME99" s="1056"/>
      <c r="MF99" s="1056"/>
      <c r="MG99" s="1056"/>
      <c r="MH99" s="1056"/>
      <c r="MI99" s="1056"/>
      <c r="MJ99" s="1056"/>
      <c r="MK99" s="1056"/>
      <c r="ML99" s="1056"/>
      <c r="MM99" s="1056"/>
      <c r="MN99" s="1056"/>
      <c r="MO99" s="1056"/>
      <c r="MP99" s="1056"/>
      <c r="MQ99" s="1056"/>
      <c r="MR99" s="1056"/>
      <c r="MS99" s="1056"/>
      <c r="MT99" s="1056"/>
      <c r="MU99" s="1056"/>
      <c r="MV99" s="1056"/>
      <c r="MW99" s="1056"/>
      <c r="MX99" s="1056"/>
      <c r="MY99" s="1056"/>
      <c r="MZ99" s="1056"/>
      <c r="NA99" s="1056"/>
      <c r="NB99" s="1056"/>
      <c r="NC99" s="1056"/>
      <c r="ND99" s="1056"/>
      <c r="NE99" s="1056"/>
      <c r="NF99" s="1056"/>
      <c r="NG99" s="1056"/>
      <c r="NH99" s="1056"/>
      <c r="NI99" s="1056"/>
      <c r="NJ99" s="1056"/>
      <c r="NK99" s="1056"/>
      <c r="NL99" s="1056"/>
      <c r="NM99" s="1056"/>
      <c r="NN99" s="1056"/>
      <c r="NO99" s="1056"/>
      <c r="NP99" s="1056"/>
      <c r="NQ99" s="1056"/>
      <c r="NR99" s="1056"/>
      <c r="NS99" s="1056"/>
      <c r="NT99" s="1056"/>
      <c r="NU99" s="1056"/>
      <c r="NV99" s="1056"/>
      <c r="NW99" s="1056"/>
      <c r="NX99" s="1056"/>
      <c r="NY99" s="1056"/>
      <c r="NZ99" s="1056"/>
      <c r="OA99" s="1056"/>
      <c r="OB99" s="1056"/>
      <c r="OC99" s="1056"/>
      <c r="OD99" s="1056"/>
      <c r="OE99" s="1056"/>
      <c r="OF99" s="1056"/>
      <c r="OG99" s="1056"/>
      <c r="OH99" s="1056"/>
      <c r="OI99" s="1056"/>
      <c r="OJ99" s="1056"/>
      <c r="OK99" s="1056"/>
      <c r="OL99" s="1056"/>
      <c r="OM99" s="1056"/>
      <c r="ON99" s="1056"/>
      <c r="OO99" s="1056"/>
      <c r="OP99" s="1056"/>
      <c r="OQ99" s="1056"/>
      <c r="OR99" s="1056"/>
      <c r="OS99" s="1056"/>
      <c r="OT99" s="1056"/>
      <c r="OU99" s="1056"/>
      <c r="OV99" s="1056"/>
      <c r="OW99" s="1056"/>
      <c r="OX99" s="1056"/>
      <c r="OY99" s="1056"/>
      <c r="OZ99" s="1056"/>
      <c r="PA99" s="1056"/>
      <c r="PB99" s="1056"/>
      <c r="PC99" s="1056"/>
      <c r="PD99" s="1056"/>
      <c r="PE99" s="1056"/>
      <c r="PF99" s="1056"/>
      <c r="PG99" s="1056"/>
      <c r="PH99" s="1056"/>
      <c r="PI99" s="1056"/>
      <c r="PJ99" s="1056"/>
      <c r="PK99" s="1056"/>
      <c r="PL99" s="1056"/>
      <c r="PM99" s="1056"/>
      <c r="PN99" s="1056"/>
      <c r="PO99" s="1056"/>
      <c r="PP99" s="1056"/>
      <c r="PQ99" s="1056"/>
      <c r="PR99" s="1056"/>
      <c r="PS99" s="1056"/>
      <c r="PT99" s="1056"/>
      <c r="PU99" s="1056"/>
      <c r="PV99" s="1056"/>
      <c r="PW99" s="1056"/>
      <c r="PX99" s="1056"/>
      <c r="PY99" s="1056"/>
      <c r="PZ99" s="1056"/>
      <c r="QA99" s="1056"/>
      <c r="QB99" s="1056"/>
      <c r="QC99" s="1056"/>
      <c r="QD99" s="1056"/>
      <c r="QE99" s="1056"/>
      <c r="QF99" s="1056"/>
      <c r="QG99" s="1056"/>
      <c r="QH99" s="1056"/>
      <c r="QI99" s="1056"/>
      <c r="QJ99" s="1056"/>
      <c r="QK99" s="1056"/>
      <c r="QL99" s="1056"/>
      <c r="QM99" s="1056"/>
      <c r="QN99" s="1056"/>
      <c r="QO99" s="1056"/>
      <c r="QP99" s="1056"/>
      <c r="QQ99" s="1056"/>
      <c r="QR99" s="1056"/>
      <c r="QS99" s="1056"/>
      <c r="QT99" s="1056"/>
      <c r="QU99" s="1056"/>
      <c r="QV99" s="1056"/>
      <c r="QW99" s="1056"/>
      <c r="QX99" s="1056"/>
      <c r="QY99" s="1056"/>
      <c r="QZ99" s="1056"/>
      <c r="RA99" s="1056"/>
      <c r="RB99" s="1056"/>
      <c r="RC99" s="1056"/>
      <c r="RD99" s="1056"/>
      <c r="RE99" s="1056"/>
      <c r="RF99" s="1056"/>
      <c r="RG99" s="1056"/>
      <c r="RH99" s="1056"/>
      <c r="RI99" s="1056"/>
      <c r="RJ99" s="1056"/>
      <c r="RK99" s="1056"/>
      <c r="RL99" s="1056"/>
      <c r="RM99" s="1056"/>
      <c r="RN99" s="1056"/>
      <c r="RO99" s="1056"/>
      <c r="RP99" s="1056"/>
      <c r="RQ99" s="1056"/>
      <c r="RR99" s="1056"/>
      <c r="RS99" s="1056"/>
      <c r="RT99" s="1056"/>
      <c r="RU99" s="1056"/>
      <c r="RV99" s="1056"/>
      <c r="RW99" s="1056"/>
      <c r="RX99" s="1056"/>
      <c r="RY99" s="1056"/>
      <c r="RZ99" s="1056"/>
      <c r="SA99" s="1056"/>
      <c r="SB99" s="1056"/>
      <c r="SC99" s="1056"/>
      <c r="SD99" s="1056"/>
      <c r="SE99" s="1056"/>
      <c r="SF99" s="1056"/>
      <c r="SG99" s="1056"/>
      <c r="SH99" s="1056"/>
      <c r="SI99" s="1056"/>
      <c r="SJ99" s="1056"/>
      <c r="SK99" s="1056"/>
      <c r="SL99" s="1056"/>
      <c r="SM99" s="1056"/>
      <c r="SN99" s="1056"/>
      <c r="SO99" s="1056"/>
      <c r="SP99" s="1056"/>
      <c r="SQ99" s="1056"/>
      <c r="SR99" s="1056"/>
      <c r="SS99" s="1056"/>
      <c r="ST99" s="1056"/>
      <c r="SU99" s="1056"/>
      <c r="SV99" s="1056"/>
      <c r="SW99" s="1056"/>
      <c r="SX99" s="1056"/>
      <c r="SY99" s="1056"/>
      <c r="SZ99" s="1056"/>
      <c r="TA99" s="1056"/>
      <c r="TB99" s="1056"/>
      <c r="TC99" s="1056"/>
      <c r="TD99" s="1056"/>
      <c r="TE99" s="1056"/>
      <c r="TF99" s="1056"/>
      <c r="TG99" s="1056"/>
      <c r="TH99" s="1056"/>
      <c r="TI99" s="1056"/>
      <c r="TJ99" s="1056"/>
      <c r="TK99" s="1056"/>
      <c r="TL99" s="1056"/>
      <c r="TM99" s="1056"/>
      <c r="TN99" s="1056"/>
      <c r="TO99" s="1056"/>
      <c r="TP99" s="1056"/>
      <c r="TQ99" s="1056"/>
      <c r="TR99" s="1056"/>
      <c r="TS99" s="1056"/>
      <c r="TT99" s="1056"/>
      <c r="TU99" s="1056"/>
      <c r="TV99" s="1056"/>
      <c r="TW99" s="1056"/>
      <c r="TX99" s="1056"/>
      <c r="TY99" s="1056"/>
      <c r="TZ99" s="1056"/>
      <c r="UA99" s="1056"/>
      <c r="UB99" s="1056"/>
      <c r="UC99" s="1056"/>
      <c r="UD99" s="1056"/>
      <c r="UE99" s="1056"/>
      <c r="UF99" s="1056"/>
      <c r="UG99" s="1056"/>
      <c r="UH99" s="1056"/>
      <c r="UI99" s="1056"/>
      <c r="UJ99" s="1056"/>
      <c r="UK99" s="1056"/>
      <c r="UL99" s="1056"/>
      <c r="UM99" s="1056"/>
      <c r="UN99" s="1056"/>
      <c r="UO99" s="1056"/>
      <c r="UP99" s="1056"/>
      <c r="UQ99" s="1056"/>
      <c r="UR99" s="1056"/>
      <c r="US99" s="1056"/>
      <c r="UT99" s="1056"/>
      <c r="UU99" s="1056"/>
      <c r="UV99" s="1056"/>
      <c r="UW99" s="1056"/>
      <c r="UX99" s="1056"/>
      <c r="UY99" s="1056"/>
      <c r="UZ99" s="1056"/>
      <c r="VA99" s="1056"/>
      <c r="VB99" s="1056"/>
      <c r="VC99" s="1056"/>
      <c r="VD99" s="1056"/>
      <c r="VE99" s="1056"/>
      <c r="VF99" s="1056"/>
      <c r="VG99" s="1056"/>
      <c r="VH99" s="1056"/>
      <c r="VI99" s="1056"/>
      <c r="VJ99" s="1056"/>
      <c r="VK99" s="1056"/>
      <c r="VL99" s="1056"/>
      <c r="VM99" s="1056"/>
      <c r="VN99" s="1056"/>
      <c r="VO99" s="1056"/>
      <c r="VP99" s="1056"/>
      <c r="VQ99" s="1056"/>
      <c r="VR99" s="1056"/>
      <c r="VS99" s="1056"/>
      <c r="VT99" s="1056"/>
      <c r="VU99" s="1056"/>
      <c r="VV99" s="1056"/>
      <c r="VW99" s="1056"/>
      <c r="VX99" s="1056"/>
      <c r="VY99" s="1056"/>
      <c r="VZ99" s="1056"/>
      <c r="WA99" s="1056"/>
      <c r="WB99" s="1056"/>
      <c r="WC99" s="1056"/>
      <c r="WD99" s="1056"/>
      <c r="WE99" s="1056"/>
      <c r="WF99" s="1056"/>
      <c r="WG99" s="1056"/>
      <c r="WH99" s="1056"/>
      <c r="WI99" s="1056"/>
      <c r="WJ99" s="1056"/>
      <c r="WK99" s="1056"/>
      <c r="WL99" s="1056"/>
      <c r="WM99" s="1056"/>
      <c r="WN99" s="1056"/>
      <c r="WO99" s="1056"/>
      <c r="WP99" s="1056"/>
      <c r="WQ99" s="1056"/>
      <c r="WR99" s="1056"/>
      <c r="WS99" s="1056"/>
      <c r="WT99" s="1056"/>
      <c r="WU99" s="1056"/>
      <c r="WV99" s="1056"/>
      <c r="WW99" s="1056"/>
      <c r="WX99" s="1056"/>
      <c r="WY99" s="1056"/>
      <c r="WZ99" s="1056"/>
      <c r="XA99" s="1056"/>
      <c r="XB99" s="1056"/>
      <c r="XC99" s="1056"/>
      <c r="XD99" s="1056"/>
      <c r="XE99" s="1056"/>
      <c r="XF99" s="1056"/>
      <c r="XG99" s="1056"/>
      <c r="XH99" s="1056"/>
      <c r="XI99" s="1056"/>
      <c r="XJ99" s="1056"/>
      <c r="XK99" s="1056"/>
      <c r="XL99" s="1056"/>
      <c r="XM99" s="1056"/>
      <c r="XN99" s="1056"/>
      <c r="XO99" s="1056"/>
      <c r="XP99" s="1056"/>
      <c r="XQ99" s="1056"/>
      <c r="XR99" s="1056"/>
      <c r="XS99" s="1056"/>
      <c r="XT99" s="1056"/>
      <c r="XU99" s="1056"/>
      <c r="XV99" s="1056"/>
      <c r="XW99" s="1056"/>
      <c r="XX99" s="1056"/>
      <c r="XY99" s="1056"/>
      <c r="XZ99" s="1056"/>
      <c r="YA99" s="1056"/>
      <c r="YB99" s="1056"/>
      <c r="YC99" s="1056"/>
      <c r="YD99" s="1056"/>
      <c r="YE99" s="1056"/>
      <c r="YF99" s="1056"/>
      <c r="YG99" s="1056"/>
      <c r="YH99" s="1056"/>
      <c r="YI99" s="1056"/>
      <c r="YJ99" s="1056"/>
      <c r="YK99" s="1056"/>
      <c r="YL99" s="1056"/>
      <c r="YM99" s="1056"/>
      <c r="YN99" s="1056"/>
      <c r="YO99" s="1056"/>
      <c r="YP99" s="1056"/>
      <c r="YQ99" s="1056"/>
      <c r="YR99" s="1056"/>
      <c r="YS99" s="1056"/>
      <c r="YT99" s="1056"/>
      <c r="YU99" s="1056"/>
      <c r="YV99" s="1056"/>
      <c r="YW99" s="1056"/>
      <c r="YX99" s="1056"/>
      <c r="YY99" s="1056"/>
      <c r="YZ99" s="1056"/>
      <c r="ZA99" s="1056"/>
      <c r="ZB99" s="1056"/>
      <c r="ZC99" s="1056"/>
      <c r="ZD99" s="1056"/>
      <c r="ZE99" s="1056"/>
      <c r="ZF99" s="1056"/>
      <c r="ZG99" s="1056"/>
      <c r="ZH99" s="1056"/>
      <c r="ZI99" s="1056"/>
      <c r="ZJ99" s="1056"/>
      <c r="ZK99" s="1056"/>
      <c r="ZL99" s="1056"/>
      <c r="ZM99" s="1056"/>
      <c r="ZN99" s="1056"/>
      <c r="ZO99" s="1056"/>
      <c r="ZP99" s="1056"/>
      <c r="ZQ99" s="1056"/>
      <c r="ZR99" s="1056"/>
      <c r="ZS99" s="1056"/>
      <c r="ZT99" s="1056"/>
      <c r="ZU99" s="1056"/>
      <c r="ZV99" s="1056"/>
      <c r="ZW99" s="1056"/>
      <c r="ZX99" s="1056"/>
      <c r="ZY99" s="1056"/>
      <c r="ZZ99" s="1056"/>
      <c r="AAA99" s="1056"/>
      <c r="AAB99" s="1056"/>
      <c r="AAC99" s="1056"/>
      <c r="AAD99" s="1056"/>
      <c r="AAE99" s="1056"/>
      <c r="AAF99" s="1056"/>
      <c r="AAG99" s="1056"/>
      <c r="AAH99" s="1056"/>
      <c r="AAI99" s="1056"/>
      <c r="AAJ99" s="1056"/>
      <c r="AAK99" s="1056"/>
      <c r="AAL99" s="1056"/>
      <c r="AAM99" s="1056"/>
      <c r="AAN99" s="1056"/>
      <c r="AAO99" s="1056"/>
      <c r="AAP99" s="1056"/>
      <c r="AAQ99" s="1056"/>
      <c r="AAR99" s="1056"/>
      <c r="AAS99" s="1056"/>
      <c r="AAT99" s="1056"/>
      <c r="AAU99" s="1056"/>
      <c r="AAV99" s="1056"/>
      <c r="AAW99" s="1056"/>
      <c r="AAX99" s="1056"/>
      <c r="AAY99" s="1056"/>
      <c r="AAZ99" s="1056"/>
      <c r="ABA99" s="1056"/>
      <c r="ABB99" s="1056"/>
      <c r="ABC99" s="1056"/>
      <c r="ABD99" s="1056"/>
      <c r="ABE99" s="1056"/>
      <c r="ABF99" s="1056"/>
      <c r="ABG99" s="1056"/>
      <c r="ABH99" s="1056"/>
      <c r="ABI99" s="1056"/>
      <c r="ABJ99" s="1056"/>
      <c r="ABK99" s="1056"/>
      <c r="ABL99" s="1056"/>
      <c r="ABM99" s="1056"/>
      <c r="ABN99" s="1056"/>
      <c r="ABO99" s="1056"/>
      <c r="ABP99" s="1056"/>
      <c r="ABQ99" s="1056"/>
      <c r="ABR99" s="1056"/>
      <c r="ABS99" s="1056"/>
      <c r="ABT99" s="1056"/>
      <c r="ABU99" s="1056"/>
      <c r="ABV99" s="1056"/>
      <c r="ABW99" s="1056"/>
      <c r="ABX99" s="1056"/>
      <c r="ABY99" s="1056"/>
      <c r="ABZ99" s="1056"/>
      <c r="ACA99" s="1056"/>
      <c r="ACB99" s="1056"/>
      <c r="ACC99" s="1056"/>
      <c r="ACD99" s="1056"/>
      <c r="ACE99" s="1056"/>
      <c r="ACF99" s="1056"/>
      <c r="ACG99" s="1056"/>
      <c r="ACH99" s="1056"/>
      <c r="ACI99" s="1056"/>
      <c r="ACJ99" s="1056"/>
      <c r="ACK99" s="1056"/>
      <c r="ACL99" s="1056"/>
      <c r="ACM99" s="1056"/>
      <c r="ACN99" s="1056"/>
      <c r="ACO99" s="1056"/>
      <c r="ACP99" s="1056"/>
      <c r="ACQ99" s="1056"/>
      <c r="ACR99" s="1056"/>
      <c r="ACS99" s="1056"/>
      <c r="ACT99" s="1056"/>
      <c r="ACU99" s="1056"/>
      <c r="ACV99" s="1056"/>
      <c r="ACW99" s="1056"/>
      <c r="ACX99" s="1056"/>
      <c r="ACY99" s="1056"/>
      <c r="ACZ99" s="1056"/>
      <c r="ADA99" s="1056"/>
      <c r="ADB99" s="1056"/>
      <c r="ADC99" s="1056"/>
      <c r="ADD99" s="1056"/>
      <c r="ADE99" s="1056"/>
      <c r="ADF99" s="1056"/>
      <c r="ADG99" s="1056"/>
      <c r="ADH99" s="1056"/>
      <c r="ADI99" s="1056"/>
      <c r="ADJ99" s="1056"/>
      <c r="ADK99" s="1056"/>
      <c r="ADL99" s="1056"/>
      <c r="ADM99" s="1056"/>
      <c r="ADN99" s="1056"/>
      <c r="ADO99" s="1056"/>
      <c r="ADP99" s="1056"/>
      <c r="ADQ99" s="1056"/>
      <c r="ADR99" s="1056"/>
      <c r="ADS99" s="1056"/>
      <c r="ADT99" s="1056"/>
      <c r="ADU99" s="1056"/>
      <c r="ADV99" s="1056"/>
      <c r="ADW99" s="1056"/>
      <c r="ADX99" s="1056"/>
      <c r="ADY99" s="1056"/>
      <c r="ADZ99" s="1056"/>
      <c r="AEA99" s="1056"/>
      <c r="AEB99" s="1056"/>
      <c r="AEC99" s="1056"/>
      <c r="AED99" s="1056"/>
      <c r="AEE99" s="1056"/>
      <c r="AEF99" s="1056"/>
      <c r="AEG99" s="1056"/>
      <c r="AEH99" s="1056"/>
      <c r="AEI99" s="1056"/>
      <c r="AEJ99" s="1056"/>
      <c r="AEK99" s="1056"/>
      <c r="AEL99" s="1056"/>
      <c r="AEM99" s="1056"/>
      <c r="AEN99" s="1056"/>
      <c r="AEO99" s="1056"/>
      <c r="AEP99" s="1056"/>
      <c r="AEQ99" s="1056"/>
      <c r="AER99" s="1056"/>
      <c r="AES99" s="1056"/>
      <c r="AET99" s="1056"/>
      <c r="AEU99" s="1056"/>
      <c r="AEV99" s="1056"/>
      <c r="AEW99" s="1056"/>
      <c r="AEX99" s="1056"/>
      <c r="AEY99" s="1056"/>
      <c r="AEZ99" s="1056"/>
      <c r="AFA99" s="1056"/>
      <c r="AFB99" s="1056"/>
      <c r="AFC99" s="1056"/>
      <c r="AFD99" s="1056"/>
      <c r="AFE99" s="1056"/>
      <c r="AFF99" s="1056"/>
      <c r="AFG99" s="1056"/>
      <c r="AFH99" s="1056"/>
      <c r="AFI99" s="1056"/>
      <c r="AFJ99" s="1056"/>
      <c r="AFK99" s="1056"/>
      <c r="AFL99" s="1056"/>
      <c r="AFM99" s="1056"/>
      <c r="AFN99" s="1056"/>
      <c r="AFO99" s="1056"/>
      <c r="AFP99" s="1056"/>
      <c r="AFQ99" s="1056"/>
      <c r="AFR99" s="1056"/>
      <c r="AFS99" s="1056"/>
      <c r="AFT99" s="1056"/>
      <c r="AFU99" s="1056"/>
      <c r="AFV99" s="1056"/>
      <c r="AFW99" s="1056"/>
      <c r="AFX99" s="1056"/>
      <c r="AFY99" s="1056"/>
      <c r="AFZ99" s="1056"/>
      <c r="AGA99" s="1056"/>
      <c r="AGB99" s="1056"/>
      <c r="AGC99" s="1056"/>
      <c r="AGD99" s="1056"/>
      <c r="AGE99" s="1056"/>
      <c r="AGF99" s="1056"/>
      <c r="AGG99" s="1056"/>
      <c r="AGH99" s="1056"/>
      <c r="AGI99" s="1056"/>
      <c r="AGJ99" s="1056"/>
      <c r="AGK99" s="1056"/>
      <c r="AGL99" s="1056"/>
      <c r="AGM99" s="1056"/>
      <c r="AGN99" s="1056"/>
      <c r="AGO99" s="1056"/>
      <c r="AGP99" s="1056"/>
      <c r="AGQ99" s="1056"/>
      <c r="AGR99" s="1056"/>
      <c r="AGS99" s="1056"/>
      <c r="AGT99" s="1056"/>
      <c r="AGU99" s="1056"/>
      <c r="AGV99" s="1056"/>
      <c r="AGW99" s="1056"/>
      <c r="AGX99" s="1056"/>
      <c r="AGY99" s="1056"/>
      <c r="AGZ99" s="1056"/>
      <c r="AHA99" s="1056"/>
      <c r="AHB99" s="1056"/>
      <c r="AHC99" s="1056"/>
      <c r="AHD99" s="1056"/>
      <c r="AHE99" s="1056"/>
      <c r="AHF99" s="1056"/>
      <c r="AHG99" s="1056"/>
      <c r="AHH99" s="1056"/>
      <c r="AHI99" s="1056"/>
      <c r="AHJ99" s="1056"/>
      <c r="AHK99" s="1056"/>
      <c r="AHL99" s="1056"/>
      <c r="AHM99" s="1056"/>
      <c r="AHN99" s="1056"/>
      <c r="AHO99" s="1056"/>
      <c r="AHP99" s="1056"/>
      <c r="AHQ99" s="1056"/>
      <c r="AHR99" s="1056"/>
      <c r="AHS99" s="1056"/>
      <c r="AHT99" s="1056"/>
      <c r="AHU99" s="1056"/>
      <c r="AHV99" s="1056"/>
      <c r="AHW99" s="1056"/>
      <c r="AHX99" s="1056"/>
      <c r="AHY99" s="1056"/>
      <c r="AHZ99" s="1056"/>
      <c r="AIA99" s="1056"/>
      <c r="AIB99" s="1056"/>
      <c r="AIC99" s="1056"/>
      <c r="AID99" s="1056"/>
      <c r="AIE99" s="1056"/>
      <c r="AIF99" s="1056"/>
      <c r="AIG99" s="1056"/>
      <c r="AIH99" s="1056"/>
      <c r="AII99" s="1056"/>
      <c r="AIJ99" s="1056"/>
      <c r="AIK99" s="1056"/>
      <c r="AIL99" s="1056"/>
      <c r="AIM99" s="1056"/>
      <c r="AIN99" s="1056"/>
      <c r="AIO99" s="1056"/>
      <c r="AIP99" s="1056"/>
      <c r="AIQ99" s="1056"/>
      <c r="AIR99" s="1056"/>
      <c r="AIS99" s="1056"/>
      <c r="AIT99" s="1056"/>
      <c r="AIU99" s="1056"/>
      <c r="AIV99" s="1056"/>
      <c r="AIW99" s="1056"/>
      <c r="AIX99" s="1056"/>
      <c r="AIY99" s="1056"/>
      <c r="AIZ99" s="1056"/>
      <c r="AJA99" s="1056"/>
      <c r="AJB99" s="1056"/>
      <c r="AJC99" s="1056"/>
      <c r="AJD99" s="1056"/>
      <c r="AJE99" s="1056"/>
      <c r="AJF99" s="1056"/>
      <c r="AJG99" s="1056"/>
      <c r="AJH99" s="1056"/>
      <c r="AJI99" s="1056"/>
      <c r="AJJ99" s="1056"/>
      <c r="AJK99" s="1056"/>
      <c r="AJL99" s="1056"/>
      <c r="AJM99" s="1056"/>
      <c r="AJN99" s="1056"/>
      <c r="AJO99" s="1056"/>
      <c r="AJP99" s="1056"/>
      <c r="AJQ99" s="1056"/>
      <c r="AJR99" s="1056"/>
      <c r="AJS99" s="1056"/>
      <c r="AJT99" s="1056"/>
      <c r="AJU99" s="1056"/>
      <c r="AJV99" s="1056"/>
      <c r="AJW99" s="1056"/>
      <c r="AJX99" s="1056"/>
      <c r="AJY99" s="1056"/>
      <c r="AJZ99" s="1056"/>
      <c r="AKA99" s="1056"/>
      <c r="AKB99" s="1056"/>
      <c r="AKC99" s="1056"/>
      <c r="AKD99" s="1056"/>
      <c r="AKE99" s="1056"/>
      <c r="AKF99" s="1056"/>
      <c r="AKG99" s="1056"/>
      <c r="AKH99" s="1056"/>
      <c r="AKI99" s="1056"/>
      <c r="AKJ99" s="1056"/>
      <c r="AKK99" s="1056"/>
      <c r="AKL99" s="1056"/>
      <c r="AKM99" s="1056"/>
      <c r="AKN99" s="1056"/>
      <c r="AKO99" s="1056"/>
      <c r="AKP99" s="1056"/>
      <c r="AKQ99" s="1056"/>
      <c r="AKR99" s="1056"/>
      <c r="AKS99" s="1056"/>
      <c r="AKT99" s="1056"/>
      <c r="AKU99" s="1056"/>
      <c r="AKV99" s="1056"/>
      <c r="AKW99" s="1056"/>
      <c r="AKX99" s="1056"/>
      <c r="AKY99" s="1056"/>
      <c r="AKZ99" s="1056"/>
      <c r="ALA99" s="1056"/>
      <c r="ALB99" s="1056"/>
      <c r="ALC99" s="1056"/>
      <c r="ALD99" s="1056"/>
      <c r="ALE99" s="1056"/>
      <c r="ALF99" s="1056"/>
      <c r="ALG99" s="1056"/>
      <c r="ALH99" s="1056"/>
      <c r="ALI99" s="1056"/>
      <c r="ALJ99" s="1056"/>
      <c r="ALK99" s="1056"/>
      <c r="ALL99" s="1056"/>
      <c r="ALM99" s="1056"/>
      <c r="ALN99" s="1056"/>
      <c r="ALO99" s="1056"/>
      <c r="ALP99" s="1056"/>
      <c r="ALQ99" s="1056"/>
      <c r="ALR99" s="1056"/>
      <c r="ALS99" s="1056"/>
      <c r="ALT99" s="1056"/>
      <c r="ALU99" s="1056"/>
      <c r="ALV99" s="1056"/>
      <c r="ALW99" s="1056"/>
      <c r="ALX99" s="1056"/>
      <c r="ALY99" s="1056"/>
      <c r="ALZ99" s="1056"/>
      <c r="AMA99" s="1056"/>
      <c r="AMB99" s="1056"/>
      <c r="AMC99" s="1056"/>
      <c r="AMD99" s="1056"/>
      <c r="AME99" s="1056"/>
      <c r="AMF99" s="1056"/>
      <c r="AMG99" s="1056"/>
      <c r="AMH99" s="1056"/>
      <c r="AMI99" s="1056"/>
      <c r="AMJ99" s="1056"/>
      <c r="AMK99" s="1056"/>
      <c r="AML99" s="1056"/>
      <c r="AMM99" s="1056"/>
      <c r="AMN99" s="1056"/>
      <c r="AMO99" s="1056"/>
      <c r="AMP99" s="1056"/>
      <c r="AMQ99" s="1056"/>
      <c r="AMR99" s="1056"/>
      <c r="AMS99" s="1056"/>
      <c r="AMT99" s="1056"/>
      <c r="AMU99" s="1056"/>
      <c r="AMV99" s="1056"/>
      <c r="AMW99" s="1056"/>
      <c r="AMX99" s="1056"/>
      <c r="AMY99" s="1056"/>
      <c r="AMZ99" s="1056"/>
      <c r="ANA99" s="1056"/>
      <c r="ANB99" s="1056"/>
      <c r="ANC99" s="1056"/>
      <c r="AND99" s="1056"/>
      <c r="ANE99" s="1056"/>
      <c r="ANF99" s="1056"/>
      <c r="ANG99" s="1056"/>
      <c r="ANH99" s="1056"/>
      <c r="ANI99" s="1056"/>
      <c r="ANJ99" s="1056"/>
      <c r="ANK99" s="1056"/>
      <c r="ANL99" s="1056"/>
      <c r="ANM99" s="1056"/>
      <c r="ANN99" s="1056"/>
      <c r="ANO99" s="1056"/>
      <c r="ANP99" s="1056"/>
      <c r="ANQ99" s="1056"/>
      <c r="ANR99" s="1056"/>
      <c r="ANS99" s="1056"/>
      <c r="ANT99" s="1056"/>
      <c r="ANU99" s="1056"/>
      <c r="ANV99" s="1056"/>
      <c r="ANW99" s="1056"/>
      <c r="ANX99" s="1056"/>
      <c r="ANY99" s="1056"/>
      <c r="ANZ99" s="1056"/>
      <c r="AOA99" s="1056"/>
      <c r="AOB99" s="1056"/>
      <c r="AOC99" s="1056"/>
      <c r="AOD99" s="1056"/>
      <c r="AOE99" s="1056"/>
      <c r="AOF99" s="1056"/>
      <c r="AOG99" s="1056"/>
      <c r="AOH99" s="1056"/>
      <c r="AOI99" s="1056"/>
      <c r="AOJ99" s="1056"/>
      <c r="AOK99" s="1056"/>
      <c r="AOL99" s="1056"/>
      <c r="AOM99" s="1056"/>
      <c r="AON99" s="1056"/>
      <c r="AOO99" s="1056"/>
      <c r="AOP99" s="1056"/>
      <c r="AOQ99" s="1056"/>
      <c r="AOR99" s="1056"/>
      <c r="AOS99" s="1056"/>
      <c r="AOT99" s="1056"/>
      <c r="AOU99" s="1056"/>
      <c r="AOV99" s="1056"/>
      <c r="AOW99" s="1056"/>
      <c r="AOX99" s="1056"/>
      <c r="AOY99" s="1056"/>
      <c r="AOZ99" s="1056"/>
      <c r="APA99" s="1056"/>
      <c r="APB99" s="1056"/>
      <c r="APC99" s="1056"/>
      <c r="APD99" s="1056"/>
      <c r="APE99" s="1056"/>
      <c r="APF99" s="1056"/>
      <c r="APG99" s="1056"/>
      <c r="APH99" s="1056"/>
      <c r="API99" s="1056"/>
      <c r="APJ99" s="1056"/>
      <c r="APK99" s="1056"/>
      <c r="APL99" s="1056"/>
      <c r="APM99" s="1056"/>
      <c r="APN99" s="1056"/>
      <c r="APO99" s="1056"/>
      <c r="APP99" s="1056"/>
      <c r="APQ99" s="1056"/>
      <c r="APR99" s="1056"/>
      <c r="APS99" s="1056"/>
      <c r="APT99" s="1056"/>
      <c r="APU99" s="1056"/>
      <c r="APV99" s="1056"/>
      <c r="APW99" s="1056"/>
      <c r="APX99" s="1056"/>
      <c r="APY99" s="1056"/>
      <c r="APZ99" s="1056"/>
      <c r="AQA99" s="1056"/>
      <c r="AQB99" s="1056"/>
      <c r="AQC99" s="1056"/>
      <c r="AQD99" s="1056"/>
      <c r="AQE99" s="1056"/>
      <c r="AQF99" s="1056"/>
      <c r="AQG99" s="1056"/>
      <c r="AQH99" s="1056"/>
      <c r="AQI99" s="1056"/>
      <c r="AQJ99" s="1056"/>
      <c r="AQK99" s="1056"/>
      <c r="AQL99" s="1056"/>
      <c r="AQM99" s="1056"/>
      <c r="AQN99" s="1056"/>
      <c r="AQO99" s="1056"/>
      <c r="AQP99" s="1056"/>
      <c r="AQQ99" s="1056"/>
      <c r="AQR99" s="1056"/>
      <c r="AQS99" s="1056"/>
      <c r="AQT99" s="1056"/>
      <c r="AQU99" s="1056"/>
      <c r="AQV99" s="1056"/>
      <c r="AQW99" s="1056"/>
      <c r="AQX99" s="1056"/>
      <c r="AQY99" s="1056"/>
      <c r="AQZ99" s="1056"/>
      <c r="ARA99" s="1056"/>
      <c r="ARB99" s="1056"/>
      <c r="ARC99" s="1056"/>
      <c r="ARD99" s="1056"/>
      <c r="ARE99" s="1056"/>
      <c r="ARF99" s="1056"/>
      <c r="ARG99" s="1056"/>
      <c r="ARH99" s="1056"/>
      <c r="ARI99" s="1056"/>
      <c r="ARJ99" s="1056"/>
      <c r="ARK99" s="1056"/>
      <c r="ARL99" s="1056"/>
      <c r="ARM99" s="1056"/>
      <c r="ARN99" s="1056"/>
      <c r="ARO99" s="1056"/>
      <c r="ARP99" s="1056"/>
      <c r="ARQ99" s="1056"/>
      <c r="ARR99" s="1056"/>
      <c r="ARS99" s="1056"/>
      <c r="ART99" s="1056"/>
      <c r="ARU99" s="1056"/>
      <c r="ARV99" s="1056"/>
      <c r="ARW99" s="1056"/>
      <c r="ARX99" s="1056"/>
      <c r="ARY99" s="1056"/>
      <c r="ARZ99" s="1056"/>
      <c r="ASA99" s="1056"/>
      <c r="ASB99" s="1056"/>
      <c r="ASC99" s="1056"/>
      <c r="ASD99" s="1056"/>
      <c r="ASE99" s="1056"/>
      <c r="ASF99" s="1056"/>
      <c r="ASG99" s="1056"/>
      <c r="ASH99" s="1056"/>
      <c r="ASI99" s="1056"/>
      <c r="ASJ99" s="1056"/>
      <c r="ASK99" s="1056"/>
      <c r="ASL99" s="1056"/>
      <c r="ASM99" s="1056"/>
      <c r="ASN99" s="1056"/>
      <c r="ASO99" s="1056"/>
      <c r="ASP99" s="1056"/>
      <c r="ASQ99" s="1056"/>
      <c r="ASR99" s="1056"/>
      <c r="ASS99" s="1056"/>
      <c r="AST99" s="1056"/>
      <c r="ASU99" s="1056"/>
      <c r="ASV99" s="1056"/>
      <c r="ASW99" s="1056"/>
      <c r="ASX99" s="1056"/>
      <c r="ASY99" s="1056"/>
      <c r="ASZ99" s="1056"/>
      <c r="ATA99" s="1056"/>
      <c r="ATB99" s="1056"/>
      <c r="ATC99" s="1056"/>
      <c r="ATD99" s="1056"/>
      <c r="ATE99" s="1056"/>
      <c r="ATF99" s="1056"/>
      <c r="ATG99" s="1056"/>
      <c r="ATH99" s="1056"/>
      <c r="ATI99" s="1056"/>
      <c r="ATJ99" s="1056"/>
      <c r="ATK99" s="1056"/>
      <c r="ATL99" s="1056"/>
      <c r="ATM99" s="1056"/>
      <c r="ATN99" s="1056"/>
      <c r="ATO99" s="1056"/>
      <c r="ATP99" s="1056"/>
      <c r="ATQ99" s="1056"/>
      <c r="ATR99" s="1056"/>
      <c r="ATS99" s="1056"/>
      <c r="ATT99" s="1056"/>
      <c r="ATU99" s="1056"/>
      <c r="ATV99" s="1056"/>
      <c r="ATW99" s="1056"/>
      <c r="ATX99" s="1056"/>
      <c r="ATY99" s="1056"/>
      <c r="ATZ99" s="1056"/>
      <c r="AUA99" s="1056"/>
      <c r="AUB99" s="1056"/>
      <c r="AUC99" s="1056"/>
      <c r="AUD99" s="1056"/>
      <c r="AUE99" s="1056"/>
      <c r="AUF99" s="1056"/>
      <c r="AUG99" s="1056"/>
      <c r="AUH99" s="1056"/>
      <c r="AUI99" s="1056"/>
      <c r="AUJ99" s="1056"/>
      <c r="AUK99" s="1056"/>
      <c r="AUL99" s="1056"/>
      <c r="AUM99" s="1056"/>
      <c r="AUN99" s="1056"/>
      <c r="AUO99" s="1056"/>
      <c r="AUP99" s="1056"/>
      <c r="AUQ99" s="1056"/>
      <c r="AUR99" s="1056"/>
      <c r="AUS99" s="1056"/>
      <c r="AUT99" s="1056"/>
      <c r="AUU99" s="1056"/>
      <c r="AUV99" s="1056"/>
      <c r="AUW99" s="1056"/>
      <c r="AUX99" s="1056"/>
      <c r="AUY99" s="1056"/>
      <c r="AUZ99" s="1056"/>
      <c r="AVA99" s="1056"/>
      <c r="AVB99" s="1056"/>
      <c r="AVC99" s="1056"/>
      <c r="AVD99" s="1056"/>
      <c r="AVE99" s="1056"/>
      <c r="AVF99" s="1056"/>
      <c r="AVG99" s="1056"/>
      <c r="AVH99" s="1056"/>
      <c r="AVI99" s="1056"/>
      <c r="AVJ99" s="1056"/>
      <c r="AVK99" s="1056"/>
      <c r="AVL99" s="1056"/>
      <c r="AVM99" s="1056"/>
      <c r="AVN99" s="1056"/>
      <c r="AVO99" s="1056"/>
      <c r="AVP99" s="1056"/>
      <c r="AVQ99" s="1056"/>
      <c r="AVR99" s="1056"/>
      <c r="AVS99" s="1056"/>
      <c r="AVT99" s="1056"/>
      <c r="AVU99" s="1056"/>
      <c r="AVV99" s="1056"/>
      <c r="AVW99" s="1056"/>
      <c r="AVX99" s="1056"/>
      <c r="AVY99" s="1056"/>
      <c r="AVZ99" s="1056"/>
      <c r="AWA99" s="1056"/>
      <c r="AWB99" s="1056"/>
      <c r="AWC99" s="1056"/>
      <c r="AWD99" s="1056"/>
      <c r="AWE99" s="1056"/>
      <c r="AWF99" s="1056"/>
      <c r="AWG99" s="1056"/>
      <c r="AWH99" s="1056"/>
      <c r="AWI99" s="1056"/>
      <c r="AWJ99" s="1056"/>
      <c r="AWK99" s="1056"/>
      <c r="AWL99" s="1056"/>
      <c r="AWM99" s="1056"/>
      <c r="AWN99" s="1056"/>
      <c r="AWO99" s="1056"/>
      <c r="AWP99" s="1056"/>
      <c r="AWQ99" s="1056"/>
      <c r="AWR99" s="1056"/>
      <c r="AWS99" s="1056"/>
      <c r="AWT99" s="1056"/>
      <c r="AWU99" s="1056"/>
      <c r="AWV99" s="1056"/>
      <c r="AWW99" s="1056"/>
      <c r="AWX99" s="1056"/>
      <c r="AWY99" s="1056"/>
      <c r="AWZ99" s="1056"/>
      <c r="AXA99" s="1056"/>
      <c r="AXB99" s="1056"/>
      <c r="AXC99" s="1056"/>
      <c r="AXD99" s="1056"/>
      <c r="AXE99" s="1056"/>
      <c r="AXF99" s="1056"/>
      <c r="AXG99" s="1056"/>
      <c r="AXH99" s="1056"/>
      <c r="AXI99" s="1056"/>
      <c r="AXJ99" s="1056"/>
      <c r="AXK99" s="1056"/>
      <c r="AXL99" s="1056"/>
      <c r="AXM99" s="1056"/>
      <c r="AXN99" s="1056"/>
      <c r="AXO99" s="1056"/>
      <c r="AXP99" s="1056"/>
      <c r="AXQ99" s="1056"/>
      <c r="AXR99" s="1056"/>
      <c r="AXS99" s="1056"/>
      <c r="AXT99" s="1056"/>
      <c r="AXU99" s="1056"/>
      <c r="AXV99" s="1056"/>
      <c r="AXW99" s="1056"/>
      <c r="AXX99" s="1056"/>
      <c r="AXY99" s="1056"/>
      <c r="AXZ99" s="1056"/>
      <c r="AYA99" s="1056"/>
      <c r="AYB99" s="1056"/>
      <c r="AYC99" s="1056"/>
      <c r="AYD99" s="1056"/>
      <c r="AYE99" s="1056"/>
      <c r="AYF99" s="1056"/>
      <c r="AYG99" s="1056"/>
      <c r="AYH99" s="1056"/>
      <c r="AYI99" s="1056"/>
      <c r="AYJ99" s="1056"/>
      <c r="AYK99" s="1056"/>
      <c r="AYL99" s="1056"/>
      <c r="AYM99" s="1056"/>
      <c r="AYN99" s="1056"/>
      <c r="AYO99" s="1056"/>
      <c r="AYP99" s="1056"/>
      <c r="AYQ99" s="1056"/>
      <c r="AYR99" s="1056"/>
      <c r="AYS99" s="1056"/>
      <c r="AYT99" s="1056"/>
      <c r="AYU99" s="1056"/>
      <c r="AYV99" s="1056"/>
      <c r="AYW99" s="1056"/>
      <c r="AYX99" s="1056"/>
      <c r="AYY99" s="1056"/>
      <c r="AYZ99" s="1056"/>
      <c r="AZA99" s="1056"/>
      <c r="AZB99" s="1056"/>
      <c r="AZC99" s="1056"/>
      <c r="AZD99" s="1056"/>
      <c r="AZE99" s="1056"/>
      <c r="AZF99" s="1056"/>
      <c r="AZG99" s="1056"/>
      <c r="AZH99" s="1056"/>
      <c r="AZI99" s="1056"/>
      <c r="AZJ99" s="1056"/>
      <c r="AZK99" s="1056"/>
      <c r="AZL99" s="1056"/>
      <c r="AZM99" s="1056"/>
      <c r="AZN99" s="1056"/>
      <c r="AZO99" s="1056"/>
      <c r="AZP99" s="1056"/>
      <c r="AZQ99" s="1056"/>
      <c r="AZR99" s="1056"/>
      <c r="AZS99" s="1056"/>
      <c r="AZT99" s="1056"/>
      <c r="AZU99" s="1056"/>
      <c r="AZV99" s="1056"/>
      <c r="AZW99" s="1056"/>
      <c r="AZX99" s="1056"/>
      <c r="AZY99" s="1056"/>
      <c r="AZZ99" s="1056"/>
      <c r="BAA99" s="1056"/>
      <c r="BAB99" s="1056"/>
      <c r="BAC99" s="1056"/>
      <c r="BAD99" s="1056"/>
      <c r="BAE99" s="1056"/>
      <c r="BAF99" s="1056"/>
      <c r="BAG99" s="1056"/>
      <c r="BAH99" s="1056"/>
      <c r="BAI99" s="1056"/>
      <c r="BAJ99" s="1056"/>
      <c r="BAK99" s="1056"/>
      <c r="BAL99" s="1056"/>
      <c r="BAM99" s="1056"/>
      <c r="BAN99" s="1056"/>
      <c r="BAO99" s="1056"/>
      <c r="BAP99" s="1056"/>
      <c r="BAQ99" s="1056"/>
      <c r="BAR99" s="1056"/>
      <c r="BAS99" s="1056"/>
      <c r="BAT99" s="1056"/>
      <c r="BAU99" s="1056"/>
      <c r="BAV99" s="1056"/>
      <c r="BAW99" s="1056"/>
      <c r="BAX99" s="1056"/>
      <c r="BAY99" s="1056"/>
      <c r="BAZ99" s="1056"/>
      <c r="BBA99" s="1056"/>
      <c r="BBB99" s="1056"/>
      <c r="BBC99" s="1056"/>
      <c r="BBD99" s="1056"/>
      <c r="BBE99" s="1056"/>
      <c r="BBF99" s="1056"/>
      <c r="BBG99" s="1056"/>
      <c r="BBH99" s="1056"/>
      <c r="BBI99" s="1056"/>
      <c r="BBJ99" s="1056"/>
      <c r="BBK99" s="1056"/>
      <c r="BBL99" s="1056"/>
      <c r="BBM99" s="1056"/>
      <c r="BBN99" s="1056"/>
      <c r="BBO99" s="1056"/>
      <c r="BBP99" s="1056"/>
      <c r="BBQ99" s="1056"/>
      <c r="BBR99" s="1056"/>
      <c r="BBS99" s="1056"/>
      <c r="BBT99" s="1056"/>
      <c r="BBU99" s="1056"/>
      <c r="BBV99" s="1056"/>
      <c r="BBW99" s="1056"/>
      <c r="BBX99" s="1056"/>
      <c r="BBY99" s="1056"/>
      <c r="BBZ99" s="1056"/>
      <c r="BCA99" s="1056"/>
      <c r="BCB99" s="1056"/>
      <c r="BCC99" s="1056"/>
      <c r="BCD99" s="1056"/>
      <c r="BCE99" s="1056"/>
      <c r="BCF99" s="1056"/>
      <c r="BCG99" s="1056"/>
      <c r="BCH99" s="1056"/>
      <c r="BCI99" s="1056"/>
      <c r="BCJ99" s="1056"/>
      <c r="BCK99" s="1056"/>
      <c r="BCL99" s="1056"/>
      <c r="BCM99" s="1056"/>
      <c r="BCN99" s="1056"/>
      <c r="BCO99" s="1056"/>
      <c r="BCP99" s="1056"/>
      <c r="BCQ99" s="1056"/>
      <c r="BCR99" s="1056"/>
      <c r="BCS99" s="1056"/>
      <c r="BCT99" s="1056"/>
      <c r="BCU99" s="1056"/>
      <c r="BCV99" s="1056"/>
      <c r="BCW99" s="1056"/>
      <c r="BCX99" s="1056"/>
      <c r="BCY99" s="1056"/>
      <c r="BCZ99" s="1056"/>
      <c r="BDA99" s="1056"/>
      <c r="BDB99" s="1056"/>
      <c r="BDC99" s="1056"/>
      <c r="BDD99" s="1056"/>
      <c r="BDE99" s="1056"/>
      <c r="BDF99" s="1056"/>
      <c r="BDG99" s="1056"/>
      <c r="BDH99" s="1056"/>
      <c r="BDI99" s="1056"/>
      <c r="BDJ99" s="1056"/>
      <c r="BDK99" s="1056"/>
      <c r="BDL99" s="1056"/>
      <c r="BDM99" s="1056"/>
      <c r="BDN99" s="1056"/>
      <c r="BDO99" s="1056"/>
      <c r="BDP99" s="1056"/>
      <c r="BDQ99" s="1056"/>
      <c r="BDR99" s="1056"/>
      <c r="BDS99" s="1056"/>
      <c r="BDT99" s="1056"/>
      <c r="BDU99" s="1056"/>
      <c r="BDV99" s="1056"/>
      <c r="BDW99" s="1056"/>
      <c r="BDX99" s="1056"/>
      <c r="BDY99" s="1056"/>
      <c r="BDZ99" s="1056"/>
      <c r="BEA99" s="1056"/>
      <c r="BEB99" s="1056"/>
      <c r="BEC99" s="1056"/>
      <c r="BED99" s="1056"/>
      <c r="BEE99" s="1056"/>
      <c r="BEF99" s="1056"/>
      <c r="BEG99" s="1056"/>
      <c r="BEH99" s="1056"/>
      <c r="BEI99" s="1056"/>
      <c r="BEJ99" s="1056"/>
      <c r="BEK99" s="1056"/>
      <c r="BEL99" s="1056"/>
      <c r="BEM99" s="1056"/>
      <c r="BEN99" s="1056"/>
      <c r="BEO99" s="1056"/>
      <c r="BEP99" s="1056"/>
      <c r="BEQ99" s="1056"/>
      <c r="BER99" s="1056"/>
      <c r="BES99" s="1056"/>
      <c r="BET99" s="1056"/>
      <c r="BEU99" s="1056"/>
      <c r="BEV99" s="1056"/>
      <c r="BEW99" s="1056"/>
      <c r="BEX99" s="1056"/>
      <c r="BEY99" s="1056"/>
      <c r="BEZ99" s="1056"/>
      <c r="BFA99" s="1056"/>
      <c r="BFB99" s="1056"/>
      <c r="BFC99" s="1056"/>
      <c r="BFD99" s="1056"/>
      <c r="BFE99" s="1056"/>
      <c r="BFF99" s="1056"/>
      <c r="BFG99" s="1056"/>
      <c r="BFH99" s="1056"/>
      <c r="BFI99" s="1056"/>
      <c r="BFJ99" s="1056"/>
      <c r="BFK99" s="1056"/>
      <c r="BFL99" s="1056"/>
      <c r="BFM99" s="1056"/>
      <c r="BFN99" s="1056"/>
      <c r="BFO99" s="1056"/>
      <c r="BFP99" s="1056"/>
      <c r="BFQ99" s="1056"/>
      <c r="BFR99" s="1056"/>
      <c r="BFS99" s="1056"/>
      <c r="BFT99" s="1056"/>
      <c r="BFU99" s="1056"/>
      <c r="BFV99" s="1056"/>
      <c r="BFW99" s="1056"/>
      <c r="BFX99" s="1056"/>
      <c r="BFY99" s="1056"/>
      <c r="BFZ99" s="1056"/>
      <c r="BGA99" s="1056"/>
      <c r="BGB99" s="1056"/>
      <c r="BGC99" s="1056"/>
      <c r="BGD99" s="1056"/>
      <c r="BGE99" s="1056"/>
      <c r="BGF99" s="1056"/>
      <c r="BGG99" s="1056"/>
      <c r="BGH99" s="1056"/>
      <c r="BGI99" s="1056"/>
      <c r="BGJ99" s="1056"/>
      <c r="BGK99" s="1056"/>
      <c r="BGL99" s="1056"/>
      <c r="BGM99" s="1056"/>
      <c r="BGN99" s="1056"/>
      <c r="BGO99" s="1056"/>
      <c r="BGP99" s="1056"/>
      <c r="BGQ99" s="1056"/>
      <c r="BGR99" s="1056"/>
      <c r="BGS99" s="1056"/>
      <c r="BGT99" s="1056"/>
      <c r="BGU99" s="1056"/>
      <c r="BGV99" s="1056"/>
      <c r="BGW99" s="1056"/>
      <c r="BGX99" s="1056"/>
      <c r="BGY99" s="1056"/>
      <c r="BGZ99" s="1056"/>
      <c r="BHA99" s="1056"/>
      <c r="BHB99" s="1056"/>
      <c r="BHC99" s="1056"/>
      <c r="BHD99" s="1056"/>
      <c r="BHE99" s="1056"/>
      <c r="BHF99" s="1056"/>
      <c r="BHG99" s="1056"/>
      <c r="BHH99" s="1056"/>
      <c r="BHI99" s="1056"/>
      <c r="BHJ99" s="1056"/>
      <c r="BHK99" s="1056"/>
      <c r="BHL99" s="1056"/>
      <c r="BHM99" s="1056"/>
      <c r="BHN99" s="1056"/>
      <c r="BHO99" s="1056"/>
      <c r="BHP99" s="1056"/>
      <c r="BHQ99" s="1056"/>
      <c r="BHR99" s="1056"/>
      <c r="BHS99" s="1056"/>
      <c r="BHT99" s="1056"/>
      <c r="BHU99" s="1056"/>
      <c r="BHV99" s="1056"/>
      <c r="BHW99" s="1056"/>
      <c r="BHX99" s="1056"/>
      <c r="BHY99" s="1056"/>
      <c r="BHZ99" s="1056"/>
      <c r="BIA99" s="1056"/>
      <c r="BIB99" s="1056"/>
      <c r="BIC99" s="1056"/>
      <c r="BID99" s="1056"/>
      <c r="BIE99" s="1056"/>
      <c r="BIF99" s="1056"/>
      <c r="BIG99" s="1056"/>
      <c r="BIH99" s="1056"/>
      <c r="BII99" s="1056"/>
      <c r="BIJ99" s="1056"/>
      <c r="BIK99" s="1056"/>
      <c r="BIL99" s="1056"/>
      <c r="BIM99" s="1056"/>
      <c r="BIN99" s="1056"/>
      <c r="BIO99" s="1056"/>
      <c r="BIP99" s="1056"/>
      <c r="BIQ99" s="1056"/>
      <c r="BIR99" s="1056"/>
      <c r="BIS99" s="1056"/>
      <c r="BIT99" s="1056"/>
      <c r="BIU99" s="1056"/>
      <c r="BIV99" s="1056"/>
      <c r="BIW99" s="1056"/>
      <c r="BIX99" s="1056"/>
      <c r="BIY99" s="1056"/>
      <c r="BIZ99" s="1056"/>
      <c r="BJA99" s="1056"/>
      <c r="BJB99" s="1056"/>
      <c r="BJC99" s="1056"/>
      <c r="BJD99" s="1056"/>
      <c r="BJE99" s="1056"/>
      <c r="BJF99" s="1056"/>
      <c r="BJG99" s="1056"/>
      <c r="BJH99" s="1056"/>
      <c r="BJI99" s="1056"/>
      <c r="BJJ99" s="1056"/>
      <c r="BJK99" s="1056"/>
      <c r="BJL99" s="1056"/>
      <c r="BJM99" s="1056"/>
      <c r="BJN99" s="1056"/>
      <c r="BJO99" s="1056"/>
      <c r="BJP99" s="1056"/>
      <c r="BJQ99" s="1056"/>
      <c r="BJR99" s="1056"/>
      <c r="BJS99" s="1056"/>
      <c r="BJT99" s="1056"/>
      <c r="BJU99" s="1056"/>
      <c r="BJV99" s="1056"/>
      <c r="BJW99" s="1056"/>
      <c r="BJX99" s="1056"/>
      <c r="BJY99" s="1056"/>
      <c r="BJZ99" s="1056"/>
      <c r="BKA99" s="1056"/>
      <c r="BKB99" s="1056"/>
      <c r="BKC99" s="1056"/>
      <c r="BKD99" s="1056"/>
      <c r="BKE99" s="1056"/>
      <c r="BKF99" s="1056"/>
      <c r="BKG99" s="1056"/>
      <c r="BKH99" s="1056"/>
      <c r="BKI99" s="1056"/>
      <c r="BKJ99" s="1056"/>
      <c r="BKK99" s="1056"/>
      <c r="BKL99" s="1056"/>
      <c r="BKM99" s="1056"/>
      <c r="BKN99" s="1056"/>
      <c r="BKO99" s="1056"/>
      <c r="BKP99" s="1056"/>
      <c r="BKQ99" s="1056"/>
      <c r="BKR99" s="1056"/>
      <c r="BKS99" s="1056"/>
      <c r="BKT99" s="1056"/>
      <c r="BKU99" s="1056"/>
      <c r="BKV99" s="1056"/>
      <c r="BKW99" s="1056"/>
      <c r="BKX99" s="1056"/>
      <c r="BKY99" s="1056"/>
      <c r="BKZ99" s="1056"/>
      <c r="BLA99" s="1056"/>
      <c r="BLB99" s="1056"/>
      <c r="BLC99" s="1056"/>
      <c r="BLD99" s="1056"/>
      <c r="BLE99" s="1056"/>
      <c r="BLF99" s="1056"/>
      <c r="BLG99" s="1056"/>
      <c r="BLH99" s="1056"/>
      <c r="BLI99" s="1056"/>
      <c r="BLJ99" s="1056"/>
      <c r="BLK99" s="1056"/>
      <c r="BLL99" s="1056"/>
      <c r="BLM99" s="1056"/>
      <c r="BLN99" s="1056"/>
      <c r="BLO99" s="1056"/>
      <c r="BLP99" s="1056"/>
      <c r="BLQ99" s="1056"/>
      <c r="BLR99" s="1056"/>
      <c r="BLS99" s="1056"/>
      <c r="BLT99" s="1056"/>
      <c r="BLU99" s="1056"/>
      <c r="BLV99" s="1056"/>
      <c r="BLW99" s="1056"/>
      <c r="BLX99" s="1056"/>
      <c r="BLY99" s="1056"/>
      <c r="BLZ99" s="1056"/>
      <c r="BMA99" s="1056"/>
      <c r="BMB99" s="1056"/>
      <c r="BMC99" s="1056"/>
      <c r="BMD99" s="1056"/>
      <c r="BME99" s="1056"/>
      <c r="BMF99" s="1056"/>
      <c r="BMG99" s="1056"/>
      <c r="BMH99" s="1056"/>
      <c r="BMI99" s="1056"/>
      <c r="BMJ99" s="1056"/>
      <c r="BMK99" s="1056"/>
      <c r="BML99" s="1056"/>
      <c r="BMM99" s="1056"/>
      <c r="BMN99" s="1056"/>
      <c r="BMO99" s="1056"/>
      <c r="BMP99" s="1056"/>
      <c r="BMQ99" s="1056"/>
      <c r="BMR99" s="1056"/>
      <c r="BMS99" s="1056"/>
      <c r="BMT99" s="1056"/>
      <c r="BMU99" s="1056"/>
      <c r="BMV99" s="1056"/>
      <c r="BMW99" s="1056"/>
      <c r="BMX99" s="1056"/>
      <c r="BMY99" s="1056"/>
      <c r="BMZ99" s="1056"/>
      <c r="BNA99" s="1056"/>
      <c r="BNB99" s="1056"/>
      <c r="BNC99" s="1056"/>
      <c r="BND99" s="1056"/>
      <c r="BNE99" s="1056"/>
      <c r="BNF99" s="1056"/>
      <c r="BNG99" s="1056"/>
      <c r="BNH99" s="1056"/>
      <c r="BNI99" s="1056"/>
      <c r="BNJ99" s="1056"/>
      <c r="BNK99" s="1056"/>
      <c r="BNL99" s="1056"/>
      <c r="BNM99" s="1056"/>
      <c r="BNN99" s="1056"/>
      <c r="BNO99" s="1056"/>
      <c r="BNP99" s="1056"/>
      <c r="BNQ99" s="1056"/>
      <c r="BNR99" s="1056"/>
      <c r="BNS99" s="1056"/>
      <c r="BNT99" s="1056"/>
      <c r="BNU99" s="1056"/>
      <c r="BNV99" s="1056"/>
      <c r="BNW99" s="1056"/>
      <c r="BNX99" s="1056"/>
      <c r="BNY99" s="1056"/>
      <c r="BNZ99" s="1056"/>
      <c r="BOA99" s="1056"/>
      <c r="BOB99" s="1056"/>
      <c r="BOC99" s="1056"/>
      <c r="BOD99" s="1056"/>
      <c r="BOE99" s="1056"/>
      <c r="BOF99" s="1056"/>
      <c r="BOG99" s="1056"/>
      <c r="BOH99" s="1056"/>
      <c r="BOI99" s="1056"/>
      <c r="BOJ99" s="1056"/>
      <c r="BOK99" s="1056"/>
      <c r="BOL99" s="1056"/>
      <c r="BOM99" s="1056"/>
      <c r="BON99" s="1056"/>
      <c r="BOO99" s="1056"/>
      <c r="BOP99" s="1056"/>
      <c r="BOQ99" s="1056"/>
      <c r="BOR99" s="1056"/>
      <c r="BOS99" s="1056"/>
      <c r="BOT99" s="1056"/>
      <c r="BOU99" s="1056"/>
      <c r="BOV99" s="1056"/>
      <c r="BOW99" s="1056"/>
      <c r="BOX99" s="1056"/>
      <c r="BOY99" s="1056"/>
      <c r="BOZ99" s="1056"/>
      <c r="BPA99" s="1056"/>
      <c r="BPB99" s="1056"/>
      <c r="BPC99" s="1056"/>
      <c r="BPD99" s="1056"/>
      <c r="BPE99" s="1056"/>
      <c r="BPF99" s="1056"/>
      <c r="BPG99" s="1056"/>
      <c r="BPH99" s="1056"/>
      <c r="BPI99" s="1056"/>
      <c r="BPJ99" s="1056"/>
      <c r="BPK99" s="1056"/>
      <c r="BPL99" s="1056"/>
      <c r="BPM99" s="1056"/>
      <c r="BPN99" s="1056"/>
      <c r="BPO99" s="1056"/>
      <c r="BPP99" s="1056"/>
      <c r="BPQ99" s="1056"/>
      <c r="BPR99" s="1056"/>
      <c r="BPS99" s="1056"/>
      <c r="BPT99" s="1056"/>
      <c r="BPU99" s="1056"/>
      <c r="BPV99" s="1056"/>
      <c r="BPW99" s="1056"/>
      <c r="BPX99" s="1056"/>
      <c r="BPY99" s="1056"/>
      <c r="BPZ99" s="1056"/>
      <c r="BQA99" s="1056"/>
      <c r="BQB99" s="1056"/>
      <c r="BQC99" s="1056"/>
      <c r="BQD99" s="1056"/>
      <c r="BQE99" s="1056"/>
      <c r="BQF99" s="1056"/>
      <c r="BQG99" s="1056"/>
      <c r="BQH99" s="1056"/>
      <c r="BQI99" s="1056"/>
      <c r="BQJ99" s="1056"/>
      <c r="BQK99" s="1056"/>
      <c r="BQL99" s="1056"/>
      <c r="BQM99" s="1056"/>
      <c r="BQN99" s="1056"/>
      <c r="BQO99" s="1056"/>
      <c r="BQP99" s="1056"/>
      <c r="BQQ99" s="1056"/>
      <c r="BQR99" s="1056"/>
      <c r="BQS99" s="1056"/>
      <c r="BQT99" s="1056"/>
      <c r="BQU99" s="1056"/>
      <c r="BQV99" s="1056"/>
      <c r="BQW99" s="1056"/>
      <c r="BQX99" s="1056"/>
      <c r="BQY99" s="1056"/>
      <c r="BQZ99" s="1056"/>
      <c r="BRA99" s="1056"/>
      <c r="BRB99" s="1056"/>
      <c r="BRC99" s="1056"/>
      <c r="BRD99" s="1056"/>
      <c r="BRE99" s="1056"/>
      <c r="BRF99" s="1056"/>
      <c r="BRG99" s="1056"/>
      <c r="BRH99" s="1056"/>
      <c r="BRI99" s="1056"/>
      <c r="BRJ99" s="1056"/>
      <c r="BRK99" s="1056"/>
      <c r="BRL99" s="1056"/>
      <c r="BRM99" s="1056"/>
      <c r="BRN99" s="1056"/>
      <c r="BRO99" s="1056"/>
      <c r="BRP99" s="1056"/>
      <c r="BRQ99" s="1056"/>
      <c r="BRR99" s="1056"/>
      <c r="BRS99" s="1056"/>
      <c r="BRT99" s="1056"/>
      <c r="BRU99" s="1056"/>
      <c r="BRV99" s="1056"/>
      <c r="BRW99" s="1056"/>
      <c r="BRX99" s="1056"/>
      <c r="BRY99" s="1056"/>
      <c r="BRZ99" s="1056"/>
      <c r="BSA99" s="1056"/>
      <c r="BSB99" s="1056"/>
      <c r="BSC99" s="1056"/>
      <c r="BSD99" s="1056"/>
      <c r="BSE99" s="1056"/>
      <c r="BSF99" s="1056"/>
      <c r="BSG99" s="1056"/>
      <c r="BSH99" s="1056"/>
      <c r="BSI99" s="1056"/>
      <c r="BSJ99" s="1056"/>
      <c r="BSK99" s="1056"/>
      <c r="BSL99" s="1056"/>
      <c r="BSM99" s="1056"/>
      <c r="BSN99" s="1056"/>
      <c r="BSO99" s="1056"/>
      <c r="BSP99" s="1056"/>
      <c r="BSQ99" s="1056"/>
      <c r="BSR99" s="1056"/>
      <c r="BSS99" s="1056"/>
      <c r="BST99" s="1056"/>
      <c r="BSU99" s="1056"/>
      <c r="BSV99" s="1056"/>
      <c r="BSW99" s="1056"/>
      <c r="BSX99" s="1056"/>
      <c r="BSY99" s="1056"/>
      <c r="BSZ99" s="1056"/>
      <c r="BTA99" s="1056"/>
      <c r="BTB99" s="1056"/>
      <c r="BTC99" s="1056"/>
      <c r="BTD99" s="1056"/>
      <c r="BTE99" s="1056"/>
      <c r="BTF99" s="1056"/>
      <c r="BTG99" s="1056"/>
      <c r="BTH99" s="1056"/>
      <c r="BTI99" s="1056"/>
    </row>
    <row r="100" spans="1:1881" s="1060" customFormat="1" ht="76.5" hidden="1" customHeight="1" thickBot="1" x14ac:dyDescent="0.35">
      <c r="A100" s="1059">
        <v>148</v>
      </c>
      <c r="B100" s="1051" t="s">
        <v>950</v>
      </c>
      <c r="C100" s="1062" t="s">
        <v>948</v>
      </c>
      <c r="D100" s="1062" t="s">
        <v>949</v>
      </c>
      <c r="E100" s="1053" t="e">
        <f>HLOOKUP($D$2,'2020 Data(H)'!$C$1:$AI$426,68,FALSE)</f>
        <v>#N/A</v>
      </c>
      <c r="F100" s="287">
        <v>0</v>
      </c>
      <c r="G100" s="734"/>
      <c r="H100" s="764"/>
      <c r="I100" s="1055"/>
      <c r="J100" s="1056"/>
      <c r="K100" s="1056"/>
      <c r="L100" s="1057"/>
      <c r="M100" s="1056"/>
      <c r="N100" s="1058"/>
      <c r="O100" s="1056"/>
      <c r="P100" s="1056"/>
      <c r="Q100" s="1056"/>
      <c r="R100" s="1056"/>
      <c r="S100" s="1056"/>
      <c r="T100" s="1056"/>
      <c r="U100" s="1056"/>
      <c r="V100" s="1056"/>
      <c r="W100" s="1056"/>
      <c r="X100" s="1056"/>
      <c r="Y100" s="1056"/>
      <c r="Z100" s="1059"/>
      <c r="AA100" s="1059"/>
      <c r="AB100" s="1059"/>
      <c r="AC100" s="1059"/>
      <c r="AD100" s="1059"/>
      <c r="AE100" s="1059"/>
      <c r="AF100" s="1059"/>
      <c r="AG100" s="1059"/>
      <c r="AH100" s="1059"/>
      <c r="AI100" s="1059"/>
      <c r="AJ100" s="1059"/>
      <c r="AK100" s="1059"/>
      <c r="AL100" s="1059"/>
      <c r="AM100" s="1059"/>
      <c r="AN100" s="1059"/>
      <c r="AO100" s="1059"/>
      <c r="AP100" s="1059"/>
      <c r="AQ100" s="1059"/>
      <c r="AR100" s="1059"/>
      <c r="AS100" s="1056"/>
      <c r="AT100" s="1056"/>
      <c r="AU100" s="1056"/>
      <c r="AV100" s="1056"/>
      <c r="AW100" s="1056"/>
      <c r="AX100" s="1056"/>
      <c r="AY100" s="1056"/>
      <c r="AZ100" s="1056"/>
      <c r="BA100" s="1056"/>
      <c r="BB100" s="1056"/>
      <c r="BC100" s="1056"/>
      <c r="BD100" s="1056"/>
      <c r="BE100" s="1056"/>
      <c r="BF100" s="1056"/>
      <c r="BG100" s="1056"/>
      <c r="BH100" s="1056"/>
      <c r="BI100" s="1056"/>
      <c r="BJ100" s="1056"/>
      <c r="BK100" s="1056"/>
      <c r="BL100" s="1056"/>
      <c r="BM100" s="1056"/>
      <c r="BN100" s="1056"/>
      <c r="BO100" s="1056"/>
      <c r="BP100" s="1056"/>
      <c r="BQ100" s="1056"/>
      <c r="BR100" s="1056"/>
      <c r="BS100" s="1056"/>
      <c r="BT100" s="1056"/>
      <c r="BU100" s="1056"/>
      <c r="BV100" s="1056"/>
      <c r="BW100" s="1056"/>
      <c r="BX100" s="1056"/>
      <c r="BY100" s="1056"/>
      <c r="BZ100" s="1056"/>
      <c r="CA100" s="1056"/>
      <c r="CB100" s="1056"/>
      <c r="CC100" s="1056"/>
      <c r="CD100" s="1056"/>
      <c r="CE100" s="1056"/>
      <c r="CF100" s="1056"/>
      <c r="CG100" s="1056"/>
      <c r="CH100" s="1056"/>
      <c r="CI100" s="1056"/>
      <c r="CJ100" s="1056"/>
      <c r="CK100" s="1056"/>
      <c r="CL100" s="1056"/>
      <c r="CM100" s="1056"/>
      <c r="CN100" s="1056"/>
      <c r="CO100" s="1056"/>
      <c r="CP100" s="1056"/>
      <c r="CQ100" s="1056"/>
      <c r="CR100" s="1056"/>
      <c r="CS100" s="1056"/>
      <c r="CT100" s="1056"/>
      <c r="CU100" s="1056"/>
      <c r="CV100" s="1056"/>
      <c r="CW100" s="1056"/>
      <c r="CX100" s="1056"/>
      <c r="CY100" s="1056"/>
      <c r="CZ100" s="1056"/>
      <c r="DA100" s="1056"/>
      <c r="DB100" s="1056"/>
      <c r="DC100" s="1056"/>
      <c r="DD100" s="1056"/>
      <c r="DE100" s="1056"/>
      <c r="DF100" s="1056"/>
      <c r="DG100" s="1056"/>
      <c r="DH100" s="1056"/>
      <c r="DI100" s="1056"/>
      <c r="DJ100" s="1056"/>
      <c r="DK100" s="1056"/>
      <c r="DL100" s="1056"/>
      <c r="DM100" s="1056"/>
      <c r="DN100" s="1056"/>
      <c r="DO100" s="1056"/>
      <c r="DP100" s="1056"/>
      <c r="DQ100" s="1056"/>
      <c r="DR100" s="1056"/>
      <c r="DS100" s="1056"/>
      <c r="DT100" s="1056"/>
      <c r="DU100" s="1056"/>
      <c r="DV100" s="1056"/>
      <c r="DW100" s="1056"/>
      <c r="DX100" s="1056"/>
      <c r="DY100" s="1056"/>
      <c r="DZ100" s="1056"/>
      <c r="EA100" s="1056"/>
      <c r="EB100" s="1056"/>
      <c r="EC100" s="1056"/>
      <c r="ED100" s="1056"/>
      <c r="EE100" s="1056"/>
      <c r="EF100" s="1056"/>
      <c r="EG100" s="1056"/>
      <c r="EH100" s="1056"/>
      <c r="EI100" s="1056"/>
      <c r="EJ100" s="1056"/>
      <c r="EK100" s="1056"/>
      <c r="EL100" s="1056"/>
      <c r="EM100" s="1056"/>
      <c r="EN100" s="1056"/>
      <c r="EO100" s="1056"/>
      <c r="EP100" s="1056"/>
      <c r="EQ100" s="1056"/>
      <c r="ER100" s="1056"/>
      <c r="ES100" s="1056"/>
      <c r="ET100" s="1056"/>
      <c r="EU100" s="1056"/>
      <c r="EV100" s="1056"/>
      <c r="EW100" s="1056"/>
      <c r="EX100" s="1056"/>
      <c r="EY100" s="1056"/>
      <c r="EZ100" s="1056"/>
      <c r="FA100" s="1056"/>
      <c r="FB100" s="1056"/>
      <c r="FC100" s="1056"/>
      <c r="FD100" s="1056"/>
      <c r="FE100" s="1056"/>
      <c r="FF100" s="1056"/>
      <c r="FG100" s="1056"/>
      <c r="FH100" s="1056"/>
      <c r="FI100" s="1056"/>
      <c r="FJ100" s="1056"/>
      <c r="FK100" s="1056"/>
      <c r="FL100" s="1056"/>
      <c r="FM100" s="1056"/>
      <c r="FN100" s="1056"/>
      <c r="FO100" s="1056"/>
      <c r="FP100" s="1056"/>
      <c r="FQ100" s="1056"/>
      <c r="FR100" s="1056"/>
      <c r="FS100" s="1056"/>
      <c r="FT100" s="1056"/>
      <c r="FU100" s="1056"/>
      <c r="FV100" s="1056"/>
      <c r="FW100" s="1056"/>
      <c r="FX100" s="1056"/>
      <c r="FY100" s="1056"/>
      <c r="FZ100" s="1056"/>
      <c r="GA100" s="1056"/>
      <c r="GB100" s="1056"/>
      <c r="GC100" s="1056"/>
      <c r="GD100" s="1056"/>
      <c r="GE100" s="1056"/>
      <c r="GF100" s="1056"/>
      <c r="GG100" s="1056"/>
      <c r="GH100" s="1056"/>
      <c r="GI100" s="1056"/>
      <c r="GJ100" s="1056"/>
      <c r="GK100" s="1056"/>
      <c r="GL100" s="1056"/>
      <c r="GM100" s="1056"/>
      <c r="GN100" s="1056"/>
      <c r="GO100" s="1056"/>
      <c r="GP100" s="1056"/>
      <c r="GQ100" s="1056"/>
      <c r="GR100" s="1056"/>
      <c r="GS100" s="1056"/>
      <c r="GT100" s="1056"/>
      <c r="GU100" s="1056"/>
      <c r="GV100" s="1056"/>
      <c r="GW100" s="1056"/>
      <c r="GX100" s="1056"/>
      <c r="GY100" s="1056"/>
      <c r="GZ100" s="1056"/>
      <c r="HA100" s="1056"/>
      <c r="HB100" s="1056"/>
      <c r="HC100" s="1056"/>
      <c r="HD100" s="1056"/>
      <c r="HE100" s="1056"/>
      <c r="HF100" s="1056"/>
      <c r="HG100" s="1056"/>
      <c r="HH100" s="1056"/>
      <c r="HI100" s="1056"/>
      <c r="HJ100" s="1056"/>
      <c r="HK100" s="1056"/>
      <c r="HL100" s="1056"/>
      <c r="HM100" s="1056"/>
      <c r="HN100" s="1056"/>
      <c r="HO100" s="1056"/>
      <c r="HP100" s="1056"/>
      <c r="HQ100" s="1056"/>
      <c r="HR100" s="1056"/>
      <c r="HS100" s="1056"/>
      <c r="HT100" s="1056"/>
      <c r="HU100" s="1056"/>
      <c r="HV100" s="1056"/>
      <c r="HW100" s="1056"/>
      <c r="HX100" s="1056"/>
      <c r="HY100" s="1056"/>
      <c r="HZ100" s="1056"/>
      <c r="IA100" s="1056"/>
      <c r="IB100" s="1056"/>
      <c r="IC100" s="1056"/>
      <c r="ID100" s="1056"/>
      <c r="IE100" s="1056"/>
      <c r="IF100" s="1056"/>
      <c r="IG100" s="1056"/>
      <c r="IH100" s="1056"/>
      <c r="II100" s="1056"/>
      <c r="IJ100" s="1056"/>
      <c r="IK100" s="1056"/>
      <c r="IL100" s="1056"/>
      <c r="IM100" s="1056"/>
      <c r="IN100" s="1056"/>
      <c r="IO100" s="1056"/>
      <c r="IP100" s="1056"/>
      <c r="IQ100" s="1056"/>
      <c r="IR100" s="1056"/>
      <c r="IS100" s="1056"/>
      <c r="IT100" s="1056"/>
      <c r="IU100" s="1056"/>
      <c r="IV100" s="1056"/>
      <c r="IW100" s="1056"/>
      <c r="IX100" s="1056"/>
      <c r="IY100" s="1056"/>
      <c r="IZ100" s="1056"/>
      <c r="JA100" s="1056"/>
      <c r="JB100" s="1056"/>
      <c r="JC100" s="1056"/>
      <c r="JD100" s="1056"/>
      <c r="JE100" s="1056"/>
      <c r="JF100" s="1056"/>
      <c r="JG100" s="1056"/>
      <c r="JH100" s="1056"/>
      <c r="JI100" s="1056"/>
      <c r="JJ100" s="1056"/>
      <c r="JK100" s="1056"/>
      <c r="JL100" s="1056"/>
      <c r="JM100" s="1056"/>
      <c r="JN100" s="1056"/>
      <c r="JO100" s="1056"/>
      <c r="JP100" s="1056"/>
      <c r="JQ100" s="1056"/>
      <c r="JR100" s="1056"/>
      <c r="JS100" s="1056"/>
      <c r="JT100" s="1056"/>
      <c r="JU100" s="1056"/>
      <c r="JV100" s="1056"/>
      <c r="JW100" s="1056"/>
      <c r="JX100" s="1056"/>
      <c r="JY100" s="1056"/>
      <c r="JZ100" s="1056"/>
      <c r="KA100" s="1056"/>
      <c r="KB100" s="1056"/>
      <c r="KC100" s="1056"/>
      <c r="KD100" s="1056"/>
      <c r="KE100" s="1056"/>
      <c r="KF100" s="1056"/>
      <c r="KG100" s="1056"/>
      <c r="KH100" s="1056"/>
      <c r="KI100" s="1056"/>
      <c r="KJ100" s="1056"/>
      <c r="KK100" s="1056"/>
      <c r="KL100" s="1056"/>
      <c r="KM100" s="1056"/>
      <c r="KN100" s="1056"/>
      <c r="KO100" s="1056"/>
      <c r="KP100" s="1056"/>
      <c r="KQ100" s="1056"/>
      <c r="KR100" s="1056"/>
      <c r="KS100" s="1056"/>
      <c r="KT100" s="1056"/>
      <c r="KU100" s="1056"/>
      <c r="KV100" s="1056"/>
      <c r="KW100" s="1056"/>
      <c r="KX100" s="1056"/>
      <c r="KY100" s="1056"/>
      <c r="KZ100" s="1056"/>
      <c r="LA100" s="1056"/>
      <c r="LB100" s="1056"/>
      <c r="LC100" s="1056"/>
      <c r="LD100" s="1056"/>
      <c r="LE100" s="1056"/>
      <c r="LF100" s="1056"/>
      <c r="LG100" s="1056"/>
      <c r="LH100" s="1056"/>
      <c r="LI100" s="1056"/>
      <c r="LJ100" s="1056"/>
      <c r="LK100" s="1056"/>
      <c r="LL100" s="1056"/>
      <c r="LM100" s="1056"/>
      <c r="LN100" s="1056"/>
      <c r="LO100" s="1056"/>
      <c r="LP100" s="1056"/>
      <c r="LQ100" s="1056"/>
      <c r="LR100" s="1056"/>
      <c r="LS100" s="1056"/>
      <c r="LT100" s="1056"/>
      <c r="LU100" s="1056"/>
      <c r="LV100" s="1056"/>
      <c r="LW100" s="1056"/>
      <c r="LX100" s="1056"/>
      <c r="LY100" s="1056"/>
      <c r="LZ100" s="1056"/>
      <c r="MA100" s="1056"/>
      <c r="MB100" s="1056"/>
      <c r="MC100" s="1056"/>
      <c r="MD100" s="1056"/>
      <c r="ME100" s="1056"/>
      <c r="MF100" s="1056"/>
      <c r="MG100" s="1056"/>
      <c r="MH100" s="1056"/>
      <c r="MI100" s="1056"/>
      <c r="MJ100" s="1056"/>
      <c r="MK100" s="1056"/>
      <c r="ML100" s="1056"/>
      <c r="MM100" s="1056"/>
      <c r="MN100" s="1056"/>
      <c r="MO100" s="1056"/>
      <c r="MP100" s="1056"/>
      <c r="MQ100" s="1056"/>
      <c r="MR100" s="1056"/>
      <c r="MS100" s="1056"/>
      <c r="MT100" s="1056"/>
      <c r="MU100" s="1056"/>
      <c r="MV100" s="1056"/>
      <c r="MW100" s="1056"/>
      <c r="MX100" s="1056"/>
      <c r="MY100" s="1056"/>
      <c r="MZ100" s="1056"/>
      <c r="NA100" s="1056"/>
      <c r="NB100" s="1056"/>
      <c r="NC100" s="1056"/>
      <c r="ND100" s="1056"/>
      <c r="NE100" s="1056"/>
      <c r="NF100" s="1056"/>
      <c r="NG100" s="1056"/>
      <c r="NH100" s="1056"/>
      <c r="NI100" s="1056"/>
      <c r="NJ100" s="1056"/>
      <c r="NK100" s="1056"/>
      <c r="NL100" s="1056"/>
      <c r="NM100" s="1056"/>
      <c r="NN100" s="1056"/>
      <c r="NO100" s="1056"/>
      <c r="NP100" s="1056"/>
      <c r="NQ100" s="1056"/>
      <c r="NR100" s="1056"/>
      <c r="NS100" s="1056"/>
      <c r="NT100" s="1056"/>
      <c r="NU100" s="1056"/>
      <c r="NV100" s="1056"/>
      <c r="NW100" s="1056"/>
      <c r="NX100" s="1056"/>
      <c r="NY100" s="1056"/>
      <c r="NZ100" s="1056"/>
      <c r="OA100" s="1056"/>
      <c r="OB100" s="1056"/>
      <c r="OC100" s="1056"/>
      <c r="OD100" s="1056"/>
      <c r="OE100" s="1056"/>
      <c r="OF100" s="1056"/>
      <c r="OG100" s="1056"/>
      <c r="OH100" s="1056"/>
      <c r="OI100" s="1056"/>
      <c r="OJ100" s="1056"/>
      <c r="OK100" s="1056"/>
      <c r="OL100" s="1056"/>
      <c r="OM100" s="1056"/>
      <c r="ON100" s="1056"/>
      <c r="OO100" s="1056"/>
      <c r="OP100" s="1056"/>
      <c r="OQ100" s="1056"/>
      <c r="OR100" s="1056"/>
      <c r="OS100" s="1056"/>
      <c r="OT100" s="1056"/>
      <c r="OU100" s="1056"/>
      <c r="OV100" s="1056"/>
      <c r="OW100" s="1056"/>
      <c r="OX100" s="1056"/>
      <c r="OY100" s="1056"/>
      <c r="OZ100" s="1056"/>
      <c r="PA100" s="1056"/>
      <c r="PB100" s="1056"/>
      <c r="PC100" s="1056"/>
      <c r="PD100" s="1056"/>
      <c r="PE100" s="1056"/>
      <c r="PF100" s="1056"/>
      <c r="PG100" s="1056"/>
      <c r="PH100" s="1056"/>
      <c r="PI100" s="1056"/>
      <c r="PJ100" s="1056"/>
      <c r="PK100" s="1056"/>
      <c r="PL100" s="1056"/>
      <c r="PM100" s="1056"/>
      <c r="PN100" s="1056"/>
      <c r="PO100" s="1056"/>
      <c r="PP100" s="1056"/>
      <c r="PQ100" s="1056"/>
      <c r="PR100" s="1056"/>
      <c r="PS100" s="1056"/>
      <c r="PT100" s="1056"/>
      <c r="PU100" s="1056"/>
      <c r="PV100" s="1056"/>
      <c r="PW100" s="1056"/>
      <c r="PX100" s="1056"/>
      <c r="PY100" s="1056"/>
      <c r="PZ100" s="1056"/>
      <c r="QA100" s="1056"/>
      <c r="QB100" s="1056"/>
      <c r="QC100" s="1056"/>
      <c r="QD100" s="1056"/>
      <c r="QE100" s="1056"/>
      <c r="QF100" s="1056"/>
      <c r="QG100" s="1056"/>
      <c r="QH100" s="1056"/>
      <c r="QI100" s="1056"/>
      <c r="QJ100" s="1056"/>
      <c r="QK100" s="1056"/>
      <c r="QL100" s="1056"/>
      <c r="QM100" s="1056"/>
      <c r="QN100" s="1056"/>
      <c r="QO100" s="1056"/>
      <c r="QP100" s="1056"/>
      <c r="QQ100" s="1056"/>
      <c r="QR100" s="1056"/>
      <c r="QS100" s="1056"/>
      <c r="QT100" s="1056"/>
      <c r="QU100" s="1056"/>
      <c r="QV100" s="1056"/>
      <c r="QW100" s="1056"/>
      <c r="QX100" s="1056"/>
      <c r="QY100" s="1056"/>
      <c r="QZ100" s="1056"/>
      <c r="RA100" s="1056"/>
      <c r="RB100" s="1056"/>
      <c r="RC100" s="1056"/>
      <c r="RD100" s="1056"/>
      <c r="RE100" s="1056"/>
      <c r="RF100" s="1056"/>
      <c r="RG100" s="1056"/>
      <c r="RH100" s="1056"/>
      <c r="RI100" s="1056"/>
      <c r="RJ100" s="1056"/>
      <c r="RK100" s="1056"/>
      <c r="RL100" s="1056"/>
      <c r="RM100" s="1056"/>
      <c r="RN100" s="1056"/>
      <c r="RO100" s="1056"/>
      <c r="RP100" s="1056"/>
      <c r="RQ100" s="1056"/>
      <c r="RR100" s="1056"/>
      <c r="RS100" s="1056"/>
      <c r="RT100" s="1056"/>
      <c r="RU100" s="1056"/>
      <c r="RV100" s="1056"/>
      <c r="RW100" s="1056"/>
      <c r="RX100" s="1056"/>
      <c r="RY100" s="1056"/>
      <c r="RZ100" s="1056"/>
      <c r="SA100" s="1056"/>
      <c r="SB100" s="1056"/>
      <c r="SC100" s="1056"/>
      <c r="SD100" s="1056"/>
      <c r="SE100" s="1056"/>
      <c r="SF100" s="1056"/>
      <c r="SG100" s="1056"/>
      <c r="SH100" s="1056"/>
      <c r="SI100" s="1056"/>
      <c r="SJ100" s="1056"/>
      <c r="SK100" s="1056"/>
      <c r="SL100" s="1056"/>
      <c r="SM100" s="1056"/>
      <c r="SN100" s="1056"/>
      <c r="SO100" s="1056"/>
      <c r="SP100" s="1056"/>
      <c r="SQ100" s="1056"/>
      <c r="SR100" s="1056"/>
      <c r="SS100" s="1056"/>
      <c r="ST100" s="1056"/>
      <c r="SU100" s="1056"/>
      <c r="SV100" s="1056"/>
      <c r="SW100" s="1056"/>
      <c r="SX100" s="1056"/>
      <c r="SY100" s="1056"/>
      <c r="SZ100" s="1056"/>
      <c r="TA100" s="1056"/>
      <c r="TB100" s="1056"/>
      <c r="TC100" s="1056"/>
      <c r="TD100" s="1056"/>
      <c r="TE100" s="1056"/>
      <c r="TF100" s="1056"/>
      <c r="TG100" s="1056"/>
      <c r="TH100" s="1056"/>
      <c r="TI100" s="1056"/>
      <c r="TJ100" s="1056"/>
      <c r="TK100" s="1056"/>
      <c r="TL100" s="1056"/>
      <c r="TM100" s="1056"/>
      <c r="TN100" s="1056"/>
      <c r="TO100" s="1056"/>
      <c r="TP100" s="1056"/>
      <c r="TQ100" s="1056"/>
      <c r="TR100" s="1056"/>
      <c r="TS100" s="1056"/>
      <c r="TT100" s="1056"/>
      <c r="TU100" s="1056"/>
      <c r="TV100" s="1056"/>
      <c r="TW100" s="1056"/>
      <c r="TX100" s="1056"/>
      <c r="TY100" s="1056"/>
      <c r="TZ100" s="1056"/>
      <c r="UA100" s="1056"/>
      <c r="UB100" s="1056"/>
      <c r="UC100" s="1056"/>
      <c r="UD100" s="1056"/>
      <c r="UE100" s="1056"/>
      <c r="UF100" s="1056"/>
      <c r="UG100" s="1056"/>
      <c r="UH100" s="1056"/>
      <c r="UI100" s="1056"/>
      <c r="UJ100" s="1056"/>
      <c r="UK100" s="1056"/>
      <c r="UL100" s="1056"/>
      <c r="UM100" s="1056"/>
      <c r="UN100" s="1056"/>
      <c r="UO100" s="1056"/>
      <c r="UP100" s="1056"/>
      <c r="UQ100" s="1056"/>
      <c r="UR100" s="1056"/>
      <c r="US100" s="1056"/>
      <c r="UT100" s="1056"/>
      <c r="UU100" s="1056"/>
      <c r="UV100" s="1056"/>
      <c r="UW100" s="1056"/>
      <c r="UX100" s="1056"/>
      <c r="UY100" s="1056"/>
      <c r="UZ100" s="1056"/>
      <c r="VA100" s="1056"/>
      <c r="VB100" s="1056"/>
      <c r="VC100" s="1056"/>
      <c r="VD100" s="1056"/>
      <c r="VE100" s="1056"/>
      <c r="VF100" s="1056"/>
      <c r="VG100" s="1056"/>
      <c r="VH100" s="1056"/>
      <c r="VI100" s="1056"/>
      <c r="VJ100" s="1056"/>
      <c r="VK100" s="1056"/>
      <c r="VL100" s="1056"/>
      <c r="VM100" s="1056"/>
      <c r="VN100" s="1056"/>
      <c r="VO100" s="1056"/>
      <c r="VP100" s="1056"/>
      <c r="VQ100" s="1056"/>
      <c r="VR100" s="1056"/>
      <c r="VS100" s="1056"/>
      <c r="VT100" s="1056"/>
      <c r="VU100" s="1056"/>
      <c r="VV100" s="1056"/>
      <c r="VW100" s="1056"/>
      <c r="VX100" s="1056"/>
      <c r="VY100" s="1056"/>
      <c r="VZ100" s="1056"/>
      <c r="WA100" s="1056"/>
      <c r="WB100" s="1056"/>
      <c r="WC100" s="1056"/>
      <c r="WD100" s="1056"/>
      <c r="WE100" s="1056"/>
      <c r="WF100" s="1056"/>
      <c r="WG100" s="1056"/>
      <c r="WH100" s="1056"/>
      <c r="WI100" s="1056"/>
      <c r="WJ100" s="1056"/>
      <c r="WK100" s="1056"/>
      <c r="WL100" s="1056"/>
      <c r="WM100" s="1056"/>
      <c r="WN100" s="1056"/>
      <c r="WO100" s="1056"/>
      <c r="WP100" s="1056"/>
      <c r="WQ100" s="1056"/>
      <c r="WR100" s="1056"/>
      <c r="WS100" s="1056"/>
      <c r="WT100" s="1056"/>
      <c r="WU100" s="1056"/>
      <c r="WV100" s="1056"/>
      <c r="WW100" s="1056"/>
      <c r="WX100" s="1056"/>
      <c r="WY100" s="1056"/>
      <c r="WZ100" s="1056"/>
      <c r="XA100" s="1056"/>
      <c r="XB100" s="1056"/>
      <c r="XC100" s="1056"/>
      <c r="XD100" s="1056"/>
      <c r="XE100" s="1056"/>
      <c r="XF100" s="1056"/>
      <c r="XG100" s="1056"/>
      <c r="XH100" s="1056"/>
      <c r="XI100" s="1056"/>
      <c r="XJ100" s="1056"/>
      <c r="XK100" s="1056"/>
      <c r="XL100" s="1056"/>
      <c r="XM100" s="1056"/>
      <c r="XN100" s="1056"/>
      <c r="XO100" s="1056"/>
      <c r="XP100" s="1056"/>
      <c r="XQ100" s="1056"/>
      <c r="XR100" s="1056"/>
      <c r="XS100" s="1056"/>
      <c r="XT100" s="1056"/>
      <c r="XU100" s="1056"/>
      <c r="XV100" s="1056"/>
      <c r="XW100" s="1056"/>
      <c r="XX100" s="1056"/>
      <c r="XY100" s="1056"/>
      <c r="XZ100" s="1056"/>
      <c r="YA100" s="1056"/>
      <c r="YB100" s="1056"/>
      <c r="YC100" s="1056"/>
      <c r="YD100" s="1056"/>
      <c r="YE100" s="1056"/>
      <c r="YF100" s="1056"/>
      <c r="YG100" s="1056"/>
      <c r="YH100" s="1056"/>
      <c r="YI100" s="1056"/>
      <c r="YJ100" s="1056"/>
      <c r="YK100" s="1056"/>
      <c r="YL100" s="1056"/>
      <c r="YM100" s="1056"/>
      <c r="YN100" s="1056"/>
      <c r="YO100" s="1056"/>
      <c r="YP100" s="1056"/>
      <c r="YQ100" s="1056"/>
      <c r="YR100" s="1056"/>
      <c r="YS100" s="1056"/>
      <c r="YT100" s="1056"/>
      <c r="YU100" s="1056"/>
      <c r="YV100" s="1056"/>
      <c r="YW100" s="1056"/>
      <c r="YX100" s="1056"/>
      <c r="YY100" s="1056"/>
      <c r="YZ100" s="1056"/>
      <c r="ZA100" s="1056"/>
      <c r="ZB100" s="1056"/>
      <c r="ZC100" s="1056"/>
      <c r="ZD100" s="1056"/>
      <c r="ZE100" s="1056"/>
      <c r="ZF100" s="1056"/>
      <c r="ZG100" s="1056"/>
      <c r="ZH100" s="1056"/>
      <c r="ZI100" s="1056"/>
      <c r="ZJ100" s="1056"/>
      <c r="ZK100" s="1056"/>
      <c r="ZL100" s="1056"/>
      <c r="ZM100" s="1056"/>
      <c r="ZN100" s="1056"/>
      <c r="ZO100" s="1056"/>
      <c r="ZP100" s="1056"/>
      <c r="ZQ100" s="1056"/>
      <c r="ZR100" s="1056"/>
      <c r="ZS100" s="1056"/>
      <c r="ZT100" s="1056"/>
      <c r="ZU100" s="1056"/>
      <c r="ZV100" s="1056"/>
      <c r="ZW100" s="1056"/>
      <c r="ZX100" s="1056"/>
      <c r="ZY100" s="1056"/>
      <c r="ZZ100" s="1056"/>
      <c r="AAA100" s="1056"/>
      <c r="AAB100" s="1056"/>
      <c r="AAC100" s="1056"/>
      <c r="AAD100" s="1056"/>
      <c r="AAE100" s="1056"/>
      <c r="AAF100" s="1056"/>
      <c r="AAG100" s="1056"/>
      <c r="AAH100" s="1056"/>
      <c r="AAI100" s="1056"/>
      <c r="AAJ100" s="1056"/>
      <c r="AAK100" s="1056"/>
      <c r="AAL100" s="1056"/>
      <c r="AAM100" s="1056"/>
      <c r="AAN100" s="1056"/>
      <c r="AAO100" s="1056"/>
      <c r="AAP100" s="1056"/>
      <c r="AAQ100" s="1056"/>
      <c r="AAR100" s="1056"/>
      <c r="AAS100" s="1056"/>
      <c r="AAT100" s="1056"/>
      <c r="AAU100" s="1056"/>
      <c r="AAV100" s="1056"/>
      <c r="AAW100" s="1056"/>
      <c r="AAX100" s="1056"/>
      <c r="AAY100" s="1056"/>
      <c r="AAZ100" s="1056"/>
      <c r="ABA100" s="1056"/>
      <c r="ABB100" s="1056"/>
      <c r="ABC100" s="1056"/>
      <c r="ABD100" s="1056"/>
      <c r="ABE100" s="1056"/>
      <c r="ABF100" s="1056"/>
      <c r="ABG100" s="1056"/>
      <c r="ABH100" s="1056"/>
      <c r="ABI100" s="1056"/>
      <c r="ABJ100" s="1056"/>
      <c r="ABK100" s="1056"/>
      <c r="ABL100" s="1056"/>
      <c r="ABM100" s="1056"/>
      <c r="ABN100" s="1056"/>
      <c r="ABO100" s="1056"/>
      <c r="ABP100" s="1056"/>
      <c r="ABQ100" s="1056"/>
      <c r="ABR100" s="1056"/>
      <c r="ABS100" s="1056"/>
      <c r="ABT100" s="1056"/>
      <c r="ABU100" s="1056"/>
      <c r="ABV100" s="1056"/>
      <c r="ABW100" s="1056"/>
      <c r="ABX100" s="1056"/>
      <c r="ABY100" s="1056"/>
      <c r="ABZ100" s="1056"/>
      <c r="ACA100" s="1056"/>
      <c r="ACB100" s="1056"/>
      <c r="ACC100" s="1056"/>
      <c r="ACD100" s="1056"/>
      <c r="ACE100" s="1056"/>
      <c r="ACF100" s="1056"/>
      <c r="ACG100" s="1056"/>
      <c r="ACH100" s="1056"/>
      <c r="ACI100" s="1056"/>
      <c r="ACJ100" s="1056"/>
      <c r="ACK100" s="1056"/>
      <c r="ACL100" s="1056"/>
      <c r="ACM100" s="1056"/>
      <c r="ACN100" s="1056"/>
      <c r="ACO100" s="1056"/>
      <c r="ACP100" s="1056"/>
      <c r="ACQ100" s="1056"/>
      <c r="ACR100" s="1056"/>
      <c r="ACS100" s="1056"/>
      <c r="ACT100" s="1056"/>
      <c r="ACU100" s="1056"/>
      <c r="ACV100" s="1056"/>
      <c r="ACW100" s="1056"/>
      <c r="ACX100" s="1056"/>
      <c r="ACY100" s="1056"/>
      <c r="ACZ100" s="1056"/>
      <c r="ADA100" s="1056"/>
      <c r="ADB100" s="1056"/>
      <c r="ADC100" s="1056"/>
      <c r="ADD100" s="1056"/>
      <c r="ADE100" s="1056"/>
      <c r="ADF100" s="1056"/>
      <c r="ADG100" s="1056"/>
      <c r="ADH100" s="1056"/>
      <c r="ADI100" s="1056"/>
      <c r="ADJ100" s="1056"/>
      <c r="ADK100" s="1056"/>
      <c r="ADL100" s="1056"/>
      <c r="ADM100" s="1056"/>
      <c r="ADN100" s="1056"/>
      <c r="ADO100" s="1056"/>
      <c r="ADP100" s="1056"/>
      <c r="ADQ100" s="1056"/>
      <c r="ADR100" s="1056"/>
      <c r="ADS100" s="1056"/>
      <c r="ADT100" s="1056"/>
      <c r="ADU100" s="1056"/>
      <c r="ADV100" s="1056"/>
      <c r="ADW100" s="1056"/>
      <c r="ADX100" s="1056"/>
      <c r="ADY100" s="1056"/>
      <c r="ADZ100" s="1056"/>
      <c r="AEA100" s="1056"/>
      <c r="AEB100" s="1056"/>
      <c r="AEC100" s="1056"/>
      <c r="AED100" s="1056"/>
      <c r="AEE100" s="1056"/>
      <c r="AEF100" s="1056"/>
      <c r="AEG100" s="1056"/>
      <c r="AEH100" s="1056"/>
      <c r="AEI100" s="1056"/>
      <c r="AEJ100" s="1056"/>
      <c r="AEK100" s="1056"/>
      <c r="AEL100" s="1056"/>
      <c r="AEM100" s="1056"/>
      <c r="AEN100" s="1056"/>
      <c r="AEO100" s="1056"/>
      <c r="AEP100" s="1056"/>
      <c r="AEQ100" s="1056"/>
      <c r="AER100" s="1056"/>
      <c r="AES100" s="1056"/>
      <c r="AET100" s="1056"/>
      <c r="AEU100" s="1056"/>
      <c r="AEV100" s="1056"/>
      <c r="AEW100" s="1056"/>
      <c r="AEX100" s="1056"/>
      <c r="AEY100" s="1056"/>
      <c r="AEZ100" s="1056"/>
      <c r="AFA100" s="1056"/>
      <c r="AFB100" s="1056"/>
      <c r="AFC100" s="1056"/>
      <c r="AFD100" s="1056"/>
      <c r="AFE100" s="1056"/>
      <c r="AFF100" s="1056"/>
      <c r="AFG100" s="1056"/>
      <c r="AFH100" s="1056"/>
      <c r="AFI100" s="1056"/>
      <c r="AFJ100" s="1056"/>
      <c r="AFK100" s="1056"/>
      <c r="AFL100" s="1056"/>
      <c r="AFM100" s="1056"/>
      <c r="AFN100" s="1056"/>
      <c r="AFO100" s="1056"/>
      <c r="AFP100" s="1056"/>
      <c r="AFQ100" s="1056"/>
      <c r="AFR100" s="1056"/>
      <c r="AFS100" s="1056"/>
      <c r="AFT100" s="1056"/>
      <c r="AFU100" s="1056"/>
      <c r="AFV100" s="1056"/>
      <c r="AFW100" s="1056"/>
      <c r="AFX100" s="1056"/>
      <c r="AFY100" s="1056"/>
      <c r="AFZ100" s="1056"/>
      <c r="AGA100" s="1056"/>
      <c r="AGB100" s="1056"/>
      <c r="AGC100" s="1056"/>
      <c r="AGD100" s="1056"/>
      <c r="AGE100" s="1056"/>
      <c r="AGF100" s="1056"/>
      <c r="AGG100" s="1056"/>
      <c r="AGH100" s="1056"/>
      <c r="AGI100" s="1056"/>
      <c r="AGJ100" s="1056"/>
      <c r="AGK100" s="1056"/>
      <c r="AGL100" s="1056"/>
      <c r="AGM100" s="1056"/>
      <c r="AGN100" s="1056"/>
      <c r="AGO100" s="1056"/>
      <c r="AGP100" s="1056"/>
      <c r="AGQ100" s="1056"/>
      <c r="AGR100" s="1056"/>
      <c r="AGS100" s="1056"/>
      <c r="AGT100" s="1056"/>
      <c r="AGU100" s="1056"/>
      <c r="AGV100" s="1056"/>
      <c r="AGW100" s="1056"/>
      <c r="AGX100" s="1056"/>
      <c r="AGY100" s="1056"/>
      <c r="AGZ100" s="1056"/>
      <c r="AHA100" s="1056"/>
      <c r="AHB100" s="1056"/>
      <c r="AHC100" s="1056"/>
      <c r="AHD100" s="1056"/>
      <c r="AHE100" s="1056"/>
      <c r="AHF100" s="1056"/>
      <c r="AHG100" s="1056"/>
      <c r="AHH100" s="1056"/>
      <c r="AHI100" s="1056"/>
      <c r="AHJ100" s="1056"/>
      <c r="AHK100" s="1056"/>
      <c r="AHL100" s="1056"/>
      <c r="AHM100" s="1056"/>
      <c r="AHN100" s="1056"/>
      <c r="AHO100" s="1056"/>
      <c r="AHP100" s="1056"/>
      <c r="AHQ100" s="1056"/>
      <c r="AHR100" s="1056"/>
      <c r="AHS100" s="1056"/>
      <c r="AHT100" s="1056"/>
      <c r="AHU100" s="1056"/>
      <c r="AHV100" s="1056"/>
      <c r="AHW100" s="1056"/>
      <c r="AHX100" s="1056"/>
      <c r="AHY100" s="1056"/>
      <c r="AHZ100" s="1056"/>
      <c r="AIA100" s="1056"/>
      <c r="AIB100" s="1056"/>
      <c r="AIC100" s="1056"/>
      <c r="AID100" s="1056"/>
      <c r="AIE100" s="1056"/>
      <c r="AIF100" s="1056"/>
      <c r="AIG100" s="1056"/>
      <c r="AIH100" s="1056"/>
      <c r="AII100" s="1056"/>
      <c r="AIJ100" s="1056"/>
      <c r="AIK100" s="1056"/>
      <c r="AIL100" s="1056"/>
      <c r="AIM100" s="1056"/>
      <c r="AIN100" s="1056"/>
      <c r="AIO100" s="1056"/>
      <c r="AIP100" s="1056"/>
      <c r="AIQ100" s="1056"/>
      <c r="AIR100" s="1056"/>
      <c r="AIS100" s="1056"/>
      <c r="AIT100" s="1056"/>
      <c r="AIU100" s="1056"/>
      <c r="AIV100" s="1056"/>
      <c r="AIW100" s="1056"/>
      <c r="AIX100" s="1056"/>
      <c r="AIY100" s="1056"/>
      <c r="AIZ100" s="1056"/>
      <c r="AJA100" s="1056"/>
      <c r="AJB100" s="1056"/>
      <c r="AJC100" s="1056"/>
      <c r="AJD100" s="1056"/>
      <c r="AJE100" s="1056"/>
      <c r="AJF100" s="1056"/>
      <c r="AJG100" s="1056"/>
      <c r="AJH100" s="1056"/>
      <c r="AJI100" s="1056"/>
      <c r="AJJ100" s="1056"/>
      <c r="AJK100" s="1056"/>
      <c r="AJL100" s="1056"/>
      <c r="AJM100" s="1056"/>
      <c r="AJN100" s="1056"/>
      <c r="AJO100" s="1056"/>
      <c r="AJP100" s="1056"/>
      <c r="AJQ100" s="1056"/>
      <c r="AJR100" s="1056"/>
      <c r="AJS100" s="1056"/>
      <c r="AJT100" s="1056"/>
      <c r="AJU100" s="1056"/>
      <c r="AJV100" s="1056"/>
      <c r="AJW100" s="1056"/>
      <c r="AJX100" s="1056"/>
      <c r="AJY100" s="1056"/>
      <c r="AJZ100" s="1056"/>
      <c r="AKA100" s="1056"/>
      <c r="AKB100" s="1056"/>
      <c r="AKC100" s="1056"/>
      <c r="AKD100" s="1056"/>
      <c r="AKE100" s="1056"/>
      <c r="AKF100" s="1056"/>
      <c r="AKG100" s="1056"/>
      <c r="AKH100" s="1056"/>
      <c r="AKI100" s="1056"/>
      <c r="AKJ100" s="1056"/>
      <c r="AKK100" s="1056"/>
      <c r="AKL100" s="1056"/>
      <c r="AKM100" s="1056"/>
      <c r="AKN100" s="1056"/>
      <c r="AKO100" s="1056"/>
      <c r="AKP100" s="1056"/>
      <c r="AKQ100" s="1056"/>
      <c r="AKR100" s="1056"/>
      <c r="AKS100" s="1056"/>
      <c r="AKT100" s="1056"/>
      <c r="AKU100" s="1056"/>
      <c r="AKV100" s="1056"/>
      <c r="AKW100" s="1056"/>
      <c r="AKX100" s="1056"/>
      <c r="AKY100" s="1056"/>
      <c r="AKZ100" s="1056"/>
      <c r="ALA100" s="1056"/>
      <c r="ALB100" s="1056"/>
      <c r="ALC100" s="1056"/>
      <c r="ALD100" s="1056"/>
      <c r="ALE100" s="1056"/>
      <c r="ALF100" s="1056"/>
      <c r="ALG100" s="1056"/>
      <c r="ALH100" s="1056"/>
      <c r="ALI100" s="1056"/>
      <c r="ALJ100" s="1056"/>
      <c r="ALK100" s="1056"/>
      <c r="ALL100" s="1056"/>
      <c r="ALM100" s="1056"/>
      <c r="ALN100" s="1056"/>
      <c r="ALO100" s="1056"/>
      <c r="ALP100" s="1056"/>
      <c r="ALQ100" s="1056"/>
      <c r="ALR100" s="1056"/>
      <c r="ALS100" s="1056"/>
      <c r="ALT100" s="1056"/>
      <c r="ALU100" s="1056"/>
      <c r="ALV100" s="1056"/>
      <c r="ALW100" s="1056"/>
      <c r="ALX100" s="1056"/>
      <c r="ALY100" s="1056"/>
      <c r="ALZ100" s="1056"/>
      <c r="AMA100" s="1056"/>
      <c r="AMB100" s="1056"/>
      <c r="AMC100" s="1056"/>
      <c r="AMD100" s="1056"/>
      <c r="AME100" s="1056"/>
      <c r="AMF100" s="1056"/>
      <c r="AMG100" s="1056"/>
      <c r="AMH100" s="1056"/>
      <c r="AMI100" s="1056"/>
      <c r="AMJ100" s="1056"/>
      <c r="AMK100" s="1056"/>
      <c r="AML100" s="1056"/>
      <c r="AMM100" s="1056"/>
      <c r="AMN100" s="1056"/>
      <c r="AMO100" s="1056"/>
      <c r="AMP100" s="1056"/>
      <c r="AMQ100" s="1056"/>
      <c r="AMR100" s="1056"/>
      <c r="AMS100" s="1056"/>
      <c r="AMT100" s="1056"/>
      <c r="AMU100" s="1056"/>
      <c r="AMV100" s="1056"/>
      <c r="AMW100" s="1056"/>
      <c r="AMX100" s="1056"/>
      <c r="AMY100" s="1056"/>
      <c r="AMZ100" s="1056"/>
      <c r="ANA100" s="1056"/>
      <c r="ANB100" s="1056"/>
      <c r="ANC100" s="1056"/>
      <c r="AND100" s="1056"/>
      <c r="ANE100" s="1056"/>
      <c r="ANF100" s="1056"/>
      <c r="ANG100" s="1056"/>
      <c r="ANH100" s="1056"/>
      <c r="ANI100" s="1056"/>
      <c r="ANJ100" s="1056"/>
      <c r="ANK100" s="1056"/>
      <c r="ANL100" s="1056"/>
      <c r="ANM100" s="1056"/>
      <c r="ANN100" s="1056"/>
      <c r="ANO100" s="1056"/>
      <c r="ANP100" s="1056"/>
      <c r="ANQ100" s="1056"/>
      <c r="ANR100" s="1056"/>
      <c r="ANS100" s="1056"/>
      <c r="ANT100" s="1056"/>
      <c r="ANU100" s="1056"/>
      <c r="ANV100" s="1056"/>
      <c r="ANW100" s="1056"/>
      <c r="ANX100" s="1056"/>
      <c r="ANY100" s="1056"/>
      <c r="ANZ100" s="1056"/>
      <c r="AOA100" s="1056"/>
      <c r="AOB100" s="1056"/>
      <c r="AOC100" s="1056"/>
      <c r="AOD100" s="1056"/>
      <c r="AOE100" s="1056"/>
      <c r="AOF100" s="1056"/>
      <c r="AOG100" s="1056"/>
      <c r="AOH100" s="1056"/>
      <c r="AOI100" s="1056"/>
      <c r="AOJ100" s="1056"/>
      <c r="AOK100" s="1056"/>
      <c r="AOL100" s="1056"/>
      <c r="AOM100" s="1056"/>
      <c r="AON100" s="1056"/>
      <c r="AOO100" s="1056"/>
      <c r="AOP100" s="1056"/>
      <c r="AOQ100" s="1056"/>
      <c r="AOR100" s="1056"/>
      <c r="AOS100" s="1056"/>
      <c r="AOT100" s="1056"/>
      <c r="AOU100" s="1056"/>
      <c r="AOV100" s="1056"/>
      <c r="AOW100" s="1056"/>
      <c r="AOX100" s="1056"/>
      <c r="AOY100" s="1056"/>
      <c r="AOZ100" s="1056"/>
      <c r="APA100" s="1056"/>
      <c r="APB100" s="1056"/>
      <c r="APC100" s="1056"/>
      <c r="APD100" s="1056"/>
      <c r="APE100" s="1056"/>
      <c r="APF100" s="1056"/>
      <c r="APG100" s="1056"/>
      <c r="APH100" s="1056"/>
      <c r="API100" s="1056"/>
      <c r="APJ100" s="1056"/>
      <c r="APK100" s="1056"/>
      <c r="APL100" s="1056"/>
      <c r="APM100" s="1056"/>
      <c r="APN100" s="1056"/>
      <c r="APO100" s="1056"/>
      <c r="APP100" s="1056"/>
      <c r="APQ100" s="1056"/>
      <c r="APR100" s="1056"/>
      <c r="APS100" s="1056"/>
      <c r="APT100" s="1056"/>
      <c r="APU100" s="1056"/>
      <c r="APV100" s="1056"/>
      <c r="APW100" s="1056"/>
      <c r="APX100" s="1056"/>
      <c r="APY100" s="1056"/>
      <c r="APZ100" s="1056"/>
      <c r="AQA100" s="1056"/>
      <c r="AQB100" s="1056"/>
      <c r="AQC100" s="1056"/>
      <c r="AQD100" s="1056"/>
      <c r="AQE100" s="1056"/>
      <c r="AQF100" s="1056"/>
      <c r="AQG100" s="1056"/>
      <c r="AQH100" s="1056"/>
      <c r="AQI100" s="1056"/>
      <c r="AQJ100" s="1056"/>
      <c r="AQK100" s="1056"/>
      <c r="AQL100" s="1056"/>
      <c r="AQM100" s="1056"/>
      <c r="AQN100" s="1056"/>
      <c r="AQO100" s="1056"/>
      <c r="AQP100" s="1056"/>
      <c r="AQQ100" s="1056"/>
      <c r="AQR100" s="1056"/>
      <c r="AQS100" s="1056"/>
      <c r="AQT100" s="1056"/>
      <c r="AQU100" s="1056"/>
      <c r="AQV100" s="1056"/>
      <c r="AQW100" s="1056"/>
      <c r="AQX100" s="1056"/>
      <c r="AQY100" s="1056"/>
      <c r="AQZ100" s="1056"/>
      <c r="ARA100" s="1056"/>
      <c r="ARB100" s="1056"/>
      <c r="ARC100" s="1056"/>
      <c r="ARD100" s="1056"/>
      <c r="ARE100" s="1056"/>
      <c r="ARF100" s="1056"/>
      <c r="ARG100" s="1056"/>
      <c r="ARH100" s="1056"/>
      <c r="ARI100" s="1056"/>
      <c r="ARJ100" s="1056"/>
      <c r="ARK100" s="1056"/>
      <c r="ARL100" s="1056"/>
      <c r="ARM100" s="1056"/>
      <c r="ARN100" s="1056"/>
      <c r="ARO100" s="1056"/>
      <c r="ARP100" s="1056"/>
      <c r="ARQ100" s="1056"/>
      <c r="ARR100" s="1056"/>
      <c r="ARS100" s="1056"/>
      <c r="ART100" s="1056"/>
      <c r="ARU100" s="1056"/>
      <c r="ARV100" s="1056"/>
      <c r="ARW100" s="1056"/>
      <c r="ARX100" s="1056"/>
      <c r="ARY100" s="1056"/>
      <c r="ARZ100" s="1056"/>
      <c r="ASA100" s="1056"/>
      <c r="ASB100" s="1056"/>
      <c r="ASC100" s="1056"/>
      <c r="ASD100" s="1056"/>
      <c r="ASE100" s="1056"/>
      <c r="ASF100" s="1056"/>
      <c r="ASG100" s="1056"/>
      <c r="ASH100" s="1056"/>
      <c r="ASI100" s="1056"/>
      <c r="ASJ100" s="1056"/>
      <c r="ASK100" s="1056"/>
      <c r="ASL100" s="1056"/>
      <c r="ASM100" s="1056"/>
      <c r="ASN100" s="1056"/>
      <c r="ASO100" s="1056"/>
      <c r="ASP100" s="1056"/>
      <c r="ASQ100" s="1056"/>
      <c r="ASR100" s="1056"/>
      <c r="ASS100" s="1056"/>
      <c r="AST100" s="1056"/>
      <c r="ASU100" s="1056"/>
      <c r="ASV100" s="1056"/>
      <c r="ASW100" s="1056"/>
      <c r="ASX100" s="1056"/>
      <c r="ASY100" s="1056"/>
      <c r="ASZ100" s="1056"/>
      <c r="ATA100" s="1056"/>
      <c r="ATB100" s="1056"/>
      <c r="ATC100" s="1056"/>
      <c r="ATD100" s="1056"/>
      <c r="ATE100" s="1056"/>
      <c r="ATF100" s="1056"/>
      <c r="ATG100" s="1056"/>
      <c r="ATH100" s="1056"/>
      <c r="ATI100" s="1056"/>
      <c r="ATJ100" s="1056"/>
      <c r="ATK100" s="1056"/>
      <c r="ATL100" s="1056"/>
      <c r="ATM100" s="1056"/>
      <c r="ATN100" s="1056"/>
      <c r="ATO100" s="1056"/>
      <c r="ATP100" s="1056"/>
      <c r="ATQ100" s="1056"/>
      <c r="ATR100" s="1056"/>
      <c r="ATS100" s="1056"/>
      <c r="ATT100" s="1056"/>
      <c r="ATU100" s="1056"/>
      <c r="ATV100" s="1056"/>
      <c r="ATW100" s="1056"/>
      <c r="ATX100" s="1056"/>
      <c r="ATY100" s="1056"/>
      <c r="ATZ100" s="1056"/>
      <c r="AUA100" s="1056"/>
      <c r="AUB100" s="1056"/>
      <c r="AUC100" s="1056"/>
      <c r="AUD100" s="1056"/>
      <c r="AUE100" s="1056"/>
      <c r="AUF100" s="1056"/>
      <c r="AUG100" s="1056"/>
      <c r="AUH100" s="1056"/>
      <c r="AUI100" s="1056"/>
      <c r="AUJ100" s="1056"/>
      <c r="AUK100" s="1056"/>
      <c r="AUL100" s="1056"/>
      <c r="AUM100" s="1056"/>
      <c r="AUN100" s="1056"/>
      <c r="AUO100" s="1056"/>
      <c r="AUP100" s="1056"/>
      <c r="AUQ100" s="1056"/>
      <c r="AUR100" s="1056"/>
      <c r="AUS100" s="1056"/>
      <c r="AUT100" s="1056"/>
      <c r="AUU100" s="1056"/>
      <c r="AUV100" s="1056"/>
      <c r="AUW100" s="1056"/>
      <c r="AUX100" s="1056"/>
      <c r="AUY100" s="1056"/>
      <c r="AUZ100" s="1056"/>
      <c r="AVA100" s="1056"/>
      <c r="AVB100" s="1056"/>
      <c r="AVC100" s="1056"/>
      <c r="AVD100" s="1056"/>
      <c r="AVE100" s="1056"/>
      <c r="AVF100" s="1056"/>
      <c r="AVG100" s="1056"/>
      <c r="AVH100" s="1056"/>
      <c r="AVI100" s="1056"/>
      <c r="AVJ100" s="1056"/>
      <c r="AVK100" s="1056"/>
      <c r="AVL100" s="1056"/>
      <c r="AVM100" s="1056"/>
      <c r="AVN100" s="1056"/>
      <c r="AVO100" s="1056"/>
      <c r="AVP100" s="1056"/>
      <c r="AVQ100" s="1056"/>
      <c r="AVR100" s="1056"/>
      <c r="AVS100" s="1056"/>
      <c r="AVT100" s="1056"/>
      <c r="AVU100" s="1056"/>
      <c r="AVV100" s="1056"/>
      <c r="AVW100" s="1056"/>
      <c r="AVX100" s="1056"/>
      <c r="AVY100" s="1056"/>
      <c r="AVZ100" s="1056"/>
      <c r="AWA100" s="1056"/>
      <c r="AWB100" s="1056"/>
      <c r="AWC100" s="1056"/>
      <c r="AWD100" s="1056"/>
      <c r="AWE100" s="1056"/>
      <c r="AWF100" s="1056"/>
      <c r="AWG100" s="1056"/>
      <c r="AWH100" s="1056"/>
      <c r="AWI100" s="1056"/>
      <c r="AWJ100" s="1056"/>
      <c r="AWK100" s="1056"/>
      <c r="AWL100" s="1056"/>
      <c r="AWM100" s="1056"/>
      <c r="AWN100" s="1056"/>
      <c r="AWO100" s="1056"/>
      <c r="AWP100" s="1056"/>
      <c r="AWQ100" s="1056"/>
      <c r="AWR100" s="1056"/>
      <c r="AWS100" s="1056"/>
      <c r="AWT100" s="1056"/>
      <c r="AWU100" s="1056"/>
      <c r="AWV100" s="1056"/>
      <c r="AWW100" s="1056"/>
      <c r="AWX100" s="1056"/>
      <c r="AWY100" s="1056"/>
      <c r="AWZ100" s="1056"/>
      <c r="AXA100" s="1056"/>
      <c r="AXB100" s="1056"/>
      <c r="AXC100" s="1056"/>
      <c r="AXD100" s="1056"/>
      <c r="AXE100" s="1056"/>
      <c r="AXF100" s="1056"/>
      <c r="AXG100" s="1056"/>
      <c r="AXH100" s="1056"/>
      <c r="AXI100" s="1056"/>
      <c r="AXJ100" s="1056"/>
      <c r="AXK100" s="1056"/>
      <c r="AXL100" s="1056"/>
      <c r="AXM100" s="1056"/>
      <c r="AXN100" s="1056"/>
      <c r="AXO100" s="1056"/>
      <c r="AXP100" s="1056"/>
      <c r="AXQ100" s="1056"/>
      <c r="AXR100" s="1056"/>
      <c r="AXS100" s="1056"/>
      <c r="AXT100" s="1056"/>
      <c r="AXU100" s="1056"/>
      <c r="AXV100" s="1056"/>
      <c r="AXW100" s="1056"/>
      <c r="AXX100" s="1056"/>
      <c r="AXY100" s="1056"/>
      <c r="AXZ100" s="1056"/>
      <c r="AYA100" s="1056"/>
      <c r="AYB100" s="1056"/>
      <c r="AYC100" s="1056"/>
      <c r="AYD100" s="1056"/>
      <c r="AYE100" s="1056"/>
      <c r="AYF100" s="1056"/>
      <c r="AYG100" s="1056"/>
      <c r="AYH100" s="1056"/>
      <c r="AYI100" s="1056"/>
      <c r="AYJ100" s="1056"/>
      <c r="AYK100" s="1056"/>
      <c r="AYL100" s="1056"/>
      <c r="AYM100" s="1056"/>
      <c r="AYN100" s="1056"/>
      <c r="AYO100" s="1056"/>
      <c r="AYP100" s="1056"/>
      <c r="AYQ100" s="1056"/>
      <c r="AYR100" s="1056"/>
      <c r="AYS100" s="1056"/>
      <c r="AYT100" s="1056"/>
      <c r="AYU100" s="1056"/>
      <c r="AYV100" s="1056"/>
      <c r="AYW100" s="1056"/>
      <c r="AYX100" s="1056"/>
      <c r="AYY100" s="1056"/>
      <c r="AYZ100" s="1056"/>
      <c r="AZA100" s="1056"/>
      <c r="AZB100" s="1056"/>
      <c r="AZC100" s="1056"/>
      <c r="AZD100" s="1056"/>
      <c r="AZE100" s="1056"/>
      <c r="AZF100" s="1056"/>
      <c r="AZG100" s="1056"/>
      <c r="AZH100" s="1056"/>
      <c r="AZI100" s="1056"/>
      <c r="AZJ100" s="1056"/>
      <c r="AZK100" s="1056"/>
      <c r="AZL100" s="1056"/>
      <c r="AZM100" s="1056"/>
      <c r="AZN100" s="1056"/>
      <c r="AZO100" s="1056"/>
      <c r="AZP100" s="1056"/>
      <c r="AZQ100" s="1056"/>
      <c r="AZR100" s="1056"/>
      <c r="AZS100" s="1056"/>
      <c r="AZT100" s="1056"/>
      <c r="AZU100" s="1056"/>
      <c r="AZV100" s="1056"/>
      <c r="AZW100" s="1056"/>
      <c r="AZX100" s="1056"/>
      <c r="AZY100" s="1056"/>
      <c r="AZZ100" s="1056"/>
      <c r="BAA100" s="1056"/>
      <c r="BAB100" s="1056"/>
      <c r="BAC100" s="1056"/>
      <c r="BAD100" s="1056"/>
      <c r="BAE100" s="1056"/>
      <c r="BAF100" s="1056"/>
      <c r="BAG100" s="1056"/>
      <c r="BAH100" s="1056"/>
      <c r="BAI100" s="1056"/>
      <c r="BAJ100" s="1056"/>
      <c r="BAK100" s="1056"/>
      <c r="BAL100" s="1056"/>
      <c r="BAM100" s="1056"/>
      <c r="BAN100" s="1056"/>
      <c r="BAO100" s="1056"/>
      <c r="BAP100" s="1056"/>
      <c r="BAQ100" s="1056"/>
      <c r="BAR100" s="1056"/>
      <c r="BAS100" s="1056"/>
      <c r="BAT100" s="1056"/>
      <c r="BAU100" s="1056"/>
      <c r="BAV100" s="1056"/>
      <c r="BAW100" s="1056"/>
      <c r="BAX100" s="1056"/>
      <c r="BAY100" s="1056"/>
      <c r="BAZ100" s="1056"/>
      <c r="BBA100" s="1056"/>
      <c r="BBB100" s="1056"/>
      <c r="BBC100" s="1056"/>
      <c r="BBD100" s="1056"/>
      <c r="BBE100" s="1056"/>
      <c r="BBF100" s="1056"/>
      <c r="BBG100" s="1056"/>
      <c r="BBH100" s="1056"/>
      <c r="BBI100" s="1056"/>
      <c r="BBJ100" s="1056"/>
      <c r="BBK100" s="1056"/>
      <c r="BBL100" s="1056"/>
      <c r="BBM100" s="1056"/>
      <c r="BBN100" s="1056"/>
      <c r="BBO100" s="1056"/>
      <c r="BBP100" s="1056"/>
      <c r="BBQ100" s="1056"/>
      <c r="BBR100" s="1056"/>
      <c r="BBS100" s="1056"/>
      <c r="BBT100" s="1056"/>
      <c r="BBU100" s="1056"/>
      <c r="BBV100" s="1056"/>
      <c r="BBW100" s="1056"/>
      <c r="BBX100" s="1056"/>
      <c r="BBY100" s="1056"/>
      <c r="BBZ100" s="1056"/>
      <c r="BCA100" s="1056"/>
      <c r="BCB100" s="1056"/>
      <c r="BCC100" s="1056"/>
      <c r="BCD100" s="1056"/>
      <c r="BCE100" s="1056"/>
      <c r="BCF100" s="1056"/>
      <c r="BCG100" s="1056"/>
      <c r="BCH100" s="1056"/>
      <c r="BCI100" s="1056"/>
      <c r="BCJ100" s="1056"/>
      <c r="BCK100" s="1056"/>
      <c r="BCL100" s="1056"/>
      <c r="BCM100" s="1056"/>
      <c r="BCN100" s="1056"/>
      <c r="BCO100" s="1056"/>
      <c r="BCP100" s="1056"/>
      <c r="BCQ100" s="1056"/>
      <c r="BCR100" s="1056"/>
      <c r="BCS100" s="1056"/>
      <c r="BCT100" s="1056"/>
      <c r="BCU100" s="1056"/>
      <c r="BCV100" s="1056"/>
      <c r="BCW100" s="1056"/>
      <c r="BCX100" s="1056"/>
      <c r="BCY100" s="1056"/>
      <c r="BCZ100" s="1056"/>
      <c r="BDA100" s="1056"/>
      <c r="BDB100" s="1056"/>
      <c r="BDC100" s="1056"/>
      <c r="BDD100" s="1056"/>
      <c r="BDE100" s="1056"/>
      <c r="BDF100" s="1056"/>
      <c r="BDG100" s="1056"/>
      <c r="BDH100" s="1056"/>
      <c r="BDI100" s="1056"/>
      <c r="BDJ100" s="1056"/>
      <c r="BDK100" s="1056"/>
      <c r="BDL100" s="1056"/>
      <c r="BDM100" s="1056"/>
      <c r="BDN100" s="1056"/>
      <c r="BDO100" s="1056"/>
      <c r="BDP100" s="1056"/>
      <c r="BDQ100" s="1056"/>
      <c r="BDR100" s="1056"/>
      <c r="BDS100" s="1056"/>
      <c r="BDT100" s="1056"/>
      <c r="BDU100" s="1056"/>
      <c r="BDV100" s="1056"/>
      <c r="BDW100" s="1056"/>
      <c r="BDX100" s="1056"/>
      <c r="BDY100" s="1056"/>
      <c r="BDZ100" s="1056"/>
      <c r="BEA100" s="1056"/>
      <c r="BEB100" s="1056"/>
      <c r="BEC100" s="1056"/>
      <c r="BED100" s="1056"/>
      <c r="BEE100" s="1056"/>
      <c r="BEF100" s="1056"/>
      <c r="BEG100" s="1056"/>
      <c r="BEH100" s="1056"/>
      <c r="BEI100" s="1056"/>
      <c r="BEJ100" s="1056"/>
      <c r="BEK100" s="1056"/>
      <c r="BEL100" s="1056"/>
      <c r="BEM100" s="1056"/>
      <c r="BEN100" s="1056"/>
      <c r="BEO100" s="1056"/>
      <c r="BEP100" s="1056"/>
      <c r="BEQ100" s="1056"/>
      <c r="BER100" s="1056"/>
      <c r="BES100" s="1056"/>
      <c r="BET100" s="1056"/>
      <c r="BEU100" s="1056"/>
      <c r="BEV100" s="1056"/>
      <c r="BEW100" s="1056"/>
      <c r="BEX100" s="1056"/>
      <c r="BEY100" s="1056"/>
      <c r="BEZ100" s="1056"/>
      <c r="BFA100" s="1056"/>
      <c r="BFB100" s="1056"/>
      <c r="BFC100" s="1056"/>
      <c r="BFD100" s="1056"/>
      <c r="BFE100" s="1056"/>
      <c r="BFF100" s="1056"/>
      <c r="BFG100" s="1056"/>
      <c r="BFH100" s="1056"/>
      <c r="BFI100" s="1056"/>
      <c r="BFJ100" s="1056"/>
      <c r="BFK100" s="1056"/>
      <c r="BFL100" s="1056"/>
      <c r="BFM100" s="1056"/>
      <c r="BFN100" s="1056"/>
      <c r="BFO100" s="1056"/>
      <c r="BFP100" s="1056"/>
      <c r="BFQ100" s="1056"/>
      <c r="BFR100" s="1056"/>
      <c r="BFS100" s="1056"/>
      <c r="BFT100" s="1056"/>
      <c r="BFU100" s="1056"/>
      <c r="BFV100" s="1056"/>
      <c r="BFW100" s="1056"/>
      <c r="BFX100" s="1056"/>
      <c r="BFY100" s="1056"/>
      <c r="BFZ100" s="1056"/>
      <c r="BGA100" s="1056"/>
      <c r="BGB100" s="1056"/>
      <c r="BGC100" s="1056"/>
      <c r="BGD100" s="1056"/>
      <c r="BGE100" s="1056"/>
      <c r="BGF100" s="1056"/>
      <c r="BGG100" s="1056"/>
      <c r="BGH100" s="1056"/>
      <c r="BGI100" s="1056"/>
      <c r="BGJ100" s="1056"/>
      <c r="BGK100" s="1056"/>
      <c r="BGL100" s="1056"/>
      <c r="BGM100" s="1056"/>
      <c r="BGN100" s="1056"/>
      <c r="BGO100" s="1056"/>
      <c r="BGP100" s="1056"/>
      <c r="BGQ100" s="1056"/>
      <c r="BGR100" s="1056"/>
      <c r="BGS100" s="1056"/>
      <c r="BGT100" s="1056"/>
      <c r="BGU100" s="1056"/>
      <c r="BGV100" s="1056"/>
      <c r="BGW100" s="1056"/>
      <c r="BGX100" s="1056"/>
      <c r="BGY100" s="1056"/>
      <c r="BGZ100" s="1056"/>
      <c r="BHA100" s="1056"/>
      <c r="BHB100" s="1056"/>
      <c r="BHC100" s="1056"/>
      <c r="BHD100" s="1056"/>
      <c r="BHE100" s="1056"/>
      <c r="BHF100" s="1056"/>
      <c r="BHG100" s="1056"/>
      <c r="BHH100" s="1056"/>
      <c r="BHI100" s="1056"/>
      <c r="BHJ100" s="1056"/>
      <c r="BHK100" s="1056"/>
      <c r="BHL100" s="1056"/>
      <c r="BHM100" s="1056"/>
      <c r="BHN100" s="1056"/>
      <c r="BHO100" s="1056"/>
      <c r="BHP100" s="1056"/>
      <c r="BHQ100" s="1056"/>
      <c r="BHR100" s="1056"/>
      <c r="BHS100" s="1056"/>
      <c r="BHT100" s="1056"/>
      <c r="BHU100" s="1056"/>
      <c r="BHV100" s="1056"/>
      <c r="BHW100" s="1056"/>
      <c r="BHX100" s="1056"/>
      <c r="BHY100" s="1056"/>
      <c r="BHZ100" s="1056"/>
      <c r="BIA100" s="1056"/>
      <c r="BIB100" s="1056"/>
      <c r="BIC100" s="1056"/>
      <c r="BID100" s="1056"/>
      <c r="BIE100" s="1056"/>
      <c r="BIF100" s="1056"/>
      <c r="BIG100" s="1056"/>
      <c r="BIH100" s="1056"/>
      <c r="BII100" s="1056"/>
      <c r="BIJ100" s="1056"/>
      <c r="BIK100" s="1056"/>
      <c r="BIL100" s="1056"/>
      <c r="BIM100" s="1056"/>
      <c r="BIN100" s="1056"/>
      <c r="BIO100" s="1056"/>
      <c r="BIP100" s="1056"/>
      <c r="BIQ100" s="1056"/>
      <c r="BIR100" s="1056"/>
      <c r="BIS100" s="1056"/>
      <c r="BIT100" s="1056"/>
      <c r="BIU100" s="1056"/>
      <c r="BIV100" s="1056"/>
      <c r="BIW100" s="1056"/>
      <c r="BIX100" s="1056"/>
      <c r="BIY100" s="1056"/>
      <c r="BIZ100" s="1056"/>
      <c r="BJA100" s="1056"/>
      <c r="BJB100" s="1056"/>
      <c r="BJC100" s="1056"/>
      <c r="BJD100" s="1056"/>
      <c r="BJE100" s="1056"/>
      <c r="BJF100" s="1056"/>
      <c r="BJG100" s="1056"/>
      <c r="BJH100" s="1056"/>
      <c r="BJI100" s="1056"/>
      <c r="BJJ100" s="1056"/>
      <c r="BJK100" s="1056"/>
      <c r="BJL100" s="1056"/>
      <c r="BJM100" s="1056"/>
      <c r="BJN100" s="1056"/>
      <c r="BJO100" s="1056"/>
      <c r="BJP100" s="1056"/>
      <c r="BJQ100" s="1056"/>
      <c r="BJR100" s="1056"/>
      <c r="BJS100" s="1056"/>
      <c r="BJT100" s="1056"/>
      <c r="BJU100" s="1056"/>
      <c r="BJV100" s="1056"/>
      <c r="BJW100" s="1056"/>
      <c r="BJX100" s="1056"/>
      <c r="BJY100" s="1056"/>
      <c r="BJZ100" s="1056"/>
      <c r="BKA100" s="1056"/>
      <c r="BKB100" s="1056"/>
      <c r="BKC100" s="1056"/>
      <c r="BKD100" s="1056"/>
      <c r="BKE100" s="1056"/>
      <c r="BKF100" s="1056"/>
      <c r="BKG100" s="1056"/>
      <c r="BKH100" s="1056"/>
      <c r="BKI100" s="1056"/>
      <c r="BKJ100" s="1056"/>
      <c r="BKK100" s="1056"/>
      <c r="BKL100" s="1056"/>
      <c r="BKM100" s="1056"/>
      <c r="BKN100" s="1056"/>
      <c r="BKO100" s="1056"/>
      <c r="BKP100" s="1056"/>
      <c r="BKQ100" s="1056"/>
      <c r="BKR100" s="1056"/>
      <c r="BKS100" s="1056"/>
      <c r="BKT100" s="1056"/>
      <c r="BKU100" s="1056"/>
      <c r="BKV100" s="1056"/>
      <c r="BKW100" s="1056"/>
      <c r="BKX100" s="1056"/>
      <c r="BKY100" s="1056"/>
      <c r="BKZ100" s="1056"/>
      <c r="BLA100" s="1056"/>
      <c r="BLB100" s="1056"/>
      <c r="BLC100" s="1056"/>
      <c r="BLD100" s="1056"/>
      <c r="BLE100" s="1056"/>
      <c r="BLF100" s="1056"/>
      <c r="BLG100" s="1056"/>
      <c r="BLH100" s="1056"/>
      <c r="BLI100" s="1056"/>
      <c r="BLJ100" s="1056"/>
      <c r="BLK100" s="1056"/>
      <c r="BLL100" s="1056"/>
      <c r="BLM100" s="1056"/>
      <c r="BLN100" s="1056"/>
      <c r="BLO100" s="1056"/>
      <c r="BLP100" s="1056"/>
      <c r="BLQ100" s="1056"/>
      <c r="BLR100" s="1056"/>
      <c r="BLS100" s="1056"/>
      <c r="BLT100" s="1056"/>
      <c r="BLU100" s="1056"/>
      <c r="BLV100" s="1056"/>
      <c r="BLW100" s="1056"/>
      <c r="BLX100" s="1056"/>
      <c r="BLY100" s="1056"/>
      <c r="BLZ100" s="1056"/>
      <c r="BMA100" s="1056"/>
      <c r="BMB100" s="1056"/>
      <c r="BMC100" s="1056"/>
      <c r="BMD100" s="1056"/>
      <c r="BME100" s="1056"/>
      <c r="BMF100" s="1056"/>
      <c r="BMG100" s="1056"/>
      <c r="BMH100" s="1056"/>
      <c r="BMI100" s="1056"/>
      <c r="BMJ100" s="1056"/>
      <c r="BMK100" s="1056"/>
      <c r="BML100" s="1056"/>
      <c r="BMM100" s="1056"/>
      <c r="BMN100" s="1056"/>
      <c r="BMO100" s="1056"/>
      <c r="BMP100" s="1056"/>
      <c r="BMQ100" s="1056"/>
      <c r="BMR100" s="1056"/>
      <c r="BMS100" s="1056"/>
      <c r="BMT100" s="1056"/>
      <c r="BMU100" s="1056"/>
      <c r="BMV100" s="1056"/>
      <c r="BMW100" s="1056"/>
      <c r="BMX100" s="1056"/>
      <c r="BMY100" s="1056"/>
      <c r="BMZ100" s="1056"/>
      <c r="BNA100" s="1056"/>
      <c r="BNB100" s="1056"/>
      <c r="BNC100" s="1056"/>
      <c r="BND100" s="1056"/>
      <c r="BNE100" s="1056"/>
      <c r="BNF100" s="1056"/>
      <c r="BNG100" s="1056"/>
      <c r="BNH100" s="1056"/>
      <c r="BNI100" s="1056"/>
      <c r="BNJ100" s="1056"/>
      <c r="BNK100" s="1056"/>
      <c r="BNL100" s="1056"/>
      <c r="BNM100" s="1056"/>
      <c r="BNN100" s="1056"/>
      <c r="BNO100" s="1056"/>
      <c r="BNP100" s="1056"/>
      <c r="BNQ100" s="1056"/>
      <c r="BNR100" s="1056"/>
      <c r="BNS100" s="1056"/>
      <c r="BNT100" s="1056"/>
      <c r="BNU100" s="1056"/>
      <c r="BNV100" s="1056"/>
      <c r="BNW100" s="1056"/>
      <c r="BNX100" s="1056"/>
      <c r="BNY100" s="1056"/>
      <c r="BNZ100" s="1056"/>
      <c r="BOA100" s="1056"/>
      <c r="BOB100" s="1056"/>
      <c r="BOC100" s="1056"/>
      <c r="BOD100" s="1056"/>
      <c r="BOE100" s="1056"/>
      <c r="BOF100" s="1056"/>
      <c r="BOG100" s="1056"/>
      <c r="BOH100" s="1056"/>
      <c r="BOI100" s="1056"/>
      <c r="BOJ100" s="1056"/>
      <c r="BOK100" s="1056"/>
      <c r="BOL100" s="1056"/>
      <c r="BOM100" s="1056"/>
      <c r="BON100" s="1056"/>
      <c r="BOO100" s="1056"/>
      <c r="BOP100" s="1056"/>
      <c r="BOQ100" s="1056"/>
      <c r="BOR100" s="1056"/>
      <c r="BOS100" s="1056"/>
      <c r="BOT100" s="1056"/>
      <c r="BOU100" s="1056"/>
      <c r="BOV100" s="1056"/>
      <c r="BOW100" s="1056"/>
      <c r="BOX100" s="1056"/>
      <c r="BOY100" s="1056"/>
      <c r="BOZ100" s="1056"/>
      <c r="BPA100" s="1056"/>
      <c r="BPB100" s="1056"/>
      <c r="BPC100" s="1056"/>
      <c r="BPD100" s="1056"/>
      <c r="BPE100" s="1056"/>
      <c r="BPF100" s="1056"/>
      <c r="BPG100" s="1056"/>
      <c r="BPH100" s="1056"/>
      <c r="BPI100" s="1056"/>
      <c r="BPJ100" s="1056"/>
      <c r="BPK100" s="1056"/>
      <c r="BPL100" s="1056"/>
      <c r="BPM100" s="1056"/>
      <c r="BPN100" s="1056"/>
      <c r="BPO100" s="1056"/>
      <c r="BPP100" s="1056"/>
      <c r="BPQ100" s="1056"/>
      <c r="BPR100" s="1056"/>
      <c r="BPS100" s="1056"/>
      <c r="BPT100" s="1056"/>
      <c r="BPU100" s="1056"/>
      <c r="BPV100" s="1056"/>
      <c r="BPW100" s="1056"/>
      <c r="BPX100" s="1056"/>
      <c r="BPY100" s="1056"/>
      <c r="BPZ100" s="1056"/>
      <c r="BQA100" s="1056"/>
      <c r="BQB100" s="1056"/>
      <c r="BQC100" s="1056"/>
      <c r="BQD100" s="1056"/>
      <c r="BQE100" s="1056"/>
      <c r="BQF100" s="1056"/>
      <c r="BQG100" s="1056"/>
      <c r="BQH100" s="1056"/>
      <c r="BQI100" s="1056"/>
      <c r="BQJ100" s="1056"/>
      <c r="BQK100" s="1056"/>
      <c r="BQL100" s="1056"/>
      <c r="BQM100" s="1056"/>
      <c r="BQN100" s="1056"/>
      <c r="BQO100" s="1056"/>
      <c r="BQP100" s="1056"/>
      <c r="BQQ100" s="1056"/>
      <c r="BQR100" s="1056"/>
      <c r="BQS100" s="1056"/>
      <c r="BQT100" s="1056"/>
      <c r="BQU100" s="1056"/>
      <c r="BQV100" s="1056"/>
      <c r="BQW100" s="1056"/>
      <c r="BQX100" s="1056"/>
      <c r="BQY100" s="1056"/>
      <c r="BQZ100" s="1056"/>
      <c r="BRA100" s="1056"/>
      <c r="BRB100" s="1056"/>
      <c r="BRC100" s="1056"/>
      <c r="BRD100" s="1056"/>
      <c r="BRE100" s="1056"/>
      <c r="BRF100" s="1056"/>
      <c r="BRG100" s="1056"/>
      <c r="BRH100" s="1056"/>
      <c r="BRI100" s="1056"/>
      <c r="BRJ100" s="1056"/>
      <c r="BRK100" s="1056"/>
      <c r="BRL100" s="1056"/>
      <c r="BRM100" s="1056"/>
      <c r="BRN100" s="1056"/>
      <c r="BRO100" s="1056"/>
      <c r="BRP100" s="1056"/>
      <c r="BRQ100" s="1056"/>
      <c r="BRR100" s="1056"/>
      <c r="BRS100" s="1056"/>
      <c r="BRT100" s="1056"/>
      <c r="BRU100" s="1056"/>
      <c r="BRV100" s="1056"/>
      <c r="BRW100" s="1056"/>
      <c r="BRX100" s="1056"/>
      <c r="BRY100" s="1056"/>
      <c r="BRZ100" s="1056"/>
      <c r="BSA100" s="1056"/>
      <c r="BSB100" s="1056"/>
      <c r="BSC100" s="1056"/>
      <c r="BSD100" s="1056"/>
      <c r="BSE100" s="1056"/>
      <c r="BSF100" s="1056"/>
      <c r="BSG100" s="1056"/>
      <c r="BSH100" s="1056"/>
      <c r="BSI100" s="1056"/>
      <c r="BSJ100" s="1056"/>
      <c r="BSK100" s="1056"/>
      <c r="BSL100" s="1056"/>
      <c r="BSM100" s="1056"/>
      <c r="BSN100" s="1056"/>
      <c r="BSO100" s="1056"/>
      <c r="BSP100" s="1056"/>
      <c r="BSQ100" s="1056"/>
      <c r="BSR100" s="1056"/>
      <c r="BSS100" s="1056"/>
      <c r="BST100" s="1056"/>
      <c r="BSU100" s="1056"/>
      <c r="BSV100" s="1056"/>
      <c r="BSW100" s="1056"/>
      <c r="BSX100" s="1056"/>
      <c r="BSY100" s="1056"/>
      <c r="BSZ100" s="1056"/>
      <c r="BTA100" s="1056"/>
      <c r="BTB100" s="1056"/>
      <c r="BTC100" s="1056"/>
      <c r="BTD100" s="1056"/>
      <c r="BTE100" s="1056"/>
      <c r="BTF100" s="1056"/>
      <c r="BTG100" s="1056"/>
      <c r="BTH100" s="1056"/>
      <c r="BTI100" s="1056"/>
    </row>
    <row r="101" spans="1:1881" s="1060" customFormat="1" ht="78" hidden="1" customHeight="1" thickBot="1" x14ac:dyDescent="0.35">
      <c r="A101" s="1059">
        <v>171</v>
      </c>
      <c r="B101" s="1051" t="s">
        <v>313</v>
      </c>
      <c r="C101" s="1051" t="s">
        <v>312</v>
      </c>
      <c r="D101" s="743" t="s">
        <v>1382</v>
      </c>
      <c r="E101" s="1053" t="e">
        <f>HLOOKUP($D$2,'2020 Data(H)'!$C$1:$AI$426,71,FALSE)</f>
        <v>#N/A</v>
      </c>
      <c r="F101" s="1067">
        <v>0</v>
      </c>
      <c r="G101" s="722">
        <f>IF(F101&lt;0,"Error: Enter as positive.",)</f>
        <v>0</v>
      </c>
      <c r="H101" s="764"/>
      <c r="I101" s="1055"/>
      <c r="J101" s="1068"/>
      <c r="K101" s="1056"/>
      <c r="L101" s="1057"/>
      <c r="M101" s="1056"/>
      <c r="N101" s="1058"/>
      <c r="O101" s="1056"/>
      <c r="P101" s="1056"/>
      <c r="Q101" s="1056"/>
      <c r="R101" s="1056"/>
      <c r="S101" s="1056"/>
      <c r="T101" s="1056"/>
      <c r="U101" s="1056"/>
      <c r="V101" s="1056"/>
      <c r="W101" s="1056"/>
      <c r="X101" s="1056"/>
      <c r="Y101" s="1056"/>
      <c r="Z101" s="1059"/>
      <c r="AA101" s="1059"/>
      <c r="AB101" s="1059"/>
      <c r="AC101" s="1059"/>
      <c r="AD101" s="1059"/>
      <c r="AE101" s="1059"/>
      <c r="AF101" s="1059"/>
      <c r="AG101" s="1059"/>
      <c r="AH101" s="1059"/>
      <c r="AI101" s="1059"/>
      <c r="AJ101" s="1059"/>
      <c r="AK101" s="1059"/>
      <c r="AL101" s="1059"/>
      <c r="AM101" s="1059"/>
      <c r="AN101" s="1059"/>
      <c r="AO101" s="1059"/>
      <c r="AP101" s="1059"/>
      <c r="AQ101" s="1059"/>
      <c r="AR101" s="1059"/>
      <c r="AS101" s="1056"/>
      <c r="AT101" s="1056"/>
      <c r="AU101" s="1056"/>
      <c r="AV101" s="1056"/>
      <c r="AW101" s="1056"/>
      <c r="AX101" s="1056"/>
      <c r="AY101" s="1056"/>
      <c r="AZ101" s="1056"/>
      <c r="BA101" s="1056"/>
      <c r="BB101" s="1056"/>
      <c r="BC101" s="1056"/>
      <c r="BD101" s="1056"/>
      <c r="BE101" s="1056"/>
      <c r="BF101" s="1056"/>
      <c r="BG101" s="1056"/>
      <c r="BH101" s="1056"/>
      <c r="BI101" s="1056"/>
      <c r="BJ101" s="1056"/>
      <c r="BK101" s="1056"/>
      <c r="BL101" s="1056"/>
      <c r="BM101" s="1056"/>
      <c r="BN101" s="1056"/>
      <c r="BO101" s="1056"/>
      <c r="BP101" s="1056"/>
      <c r="BQ101" s="1056"/>
      <c r="BR101" s="1056"/>
      <c r="BS101" s="1056"/>
      <c r="BT101" s="1056"/>
      <c r="BU101" s="1056"/>
      <c r="BV101" s="1056"/>
      <c r="BW101" s="1056"/>
      <c r="BX101" s="1056"/>
      <c r="BY101" s="1056"/>
      <c r="BZ101" s="1056"/>
      <c r="CA101" s="1056"/>
      <c r="CB101" s="1056"/>
      <c r="CC101" s="1056"/>
      <c r="CD101" s="1056"/>
      <c r="CE101" s="1056"/>
      <c r="CF101" s="1056"/>
      <c r="CG101" s="1056"/>
      <c r="CH101" s="1056"/>
      <c r="CI101" s="1056"/>
      <c r="CJ101" s="1056"/>
      <c r="CK101" s="1056"/>
      <c r="CL101" s="1056"/>
      <c r="CM101" s="1056"/>
      <c r="CN101" s="1056"/>
      <c r="CO101" s="1056"/>
      <c r="CP101" s="1056"/>
      <c r="CQ101" s="1056"/>
      <c r="CR101" s="1056"/>
      <c r="CS101" s="1056"/>
      <c r="CT101" s="1056"/>
      <c r="CU101" s="1056"/>
      <c r="CV101" s="1056"/>
      <c r="CW101" s="1056"/>
      <c r="CX101" s="1056"/>
      <c r="CY101" s="1056"/>
      <c r="CZ101" s="1056"/>
      <c r="DA101" s="1056"/>
      <c r="DB101" s="1056"/>
      <c r="DC101" s="1056"/>
      <c r="DD101" s="1056"/>
      <c r="DE101" s="1056"/>
      <c r="DF101" s="1056"/>
      <c r="DG101" s="1056"/>
      <c r="DH101" s="1056"/>
      <c r="DI101" s="1056"/>
      <c r="DJ101" s="1056"/>
      <c r="DK101" s="1056"/>
      <c r="DL101" s="1056"/>
      <c r="DM101" s="1056"/>
      <c r="DN101" s="1056"/>
      <c r="DO101" s="1056"/>
      <c r="DP101" s="1056"/>
      <c r="DQ101" s="1056"/>
      <c r="DR101" s="1056"/>
      <c r="DS101" s="1056"/>
      <c r="DT101" s="1056"/>
      <c r="DU101" s="1056"/>
      <c r="DV101" s="1056"/>
      <c r="DW101" s="1056"/>
      <c r="DX101" s="1056"/>
      <c r="DY101" s="1056"/>
      <c r="DZ101" s="1056"/>
      <c r="EA101" s="1056"/>
      <c r="EB101" s="1056"/>
      <c r="EC101" s="1056"/>
      <c r="ED101" s="1056"/>
      <c r="EE101" s="1056"/>
      <c r="EF101" s="1056"/>
      <c r="EG101" s="1056"/>
      <c r="EH101" s="1056"/>
      <c r="EI101" s="1056"/>
      <c r="EJ101" s="1056"/>
      <c r="EK101" s="1056"/>
      <c r="EL101" s="1056"/>
      <c r="EM101" s="1056"/>
      <c r="EN101" s="1056"/>
      <c r="EO101" s="1056"/>
      <c r="EP101" s="1056"/>
      <c r="EQ101" s="1056"/>
      <c r="ER101" s="1056"/>
      <c r="ES101" s="1056"/>
      <c r="ET101" s="1056"/>
      <c r="EU101" s="1056"/>
      <c r="EV101" s="1056"/>
      <c r="EW101" s="1056"/>
      <c r="EX101" s="1056"/>
      <c r="EY101" s="1056"/>
      <c r="EZ101" s="1056"/>
      <c r="FA101" s="1056"/>
      <c r="FB101" s="1056"/>
      <c r="FC101" s="1056"/>
      <c r="FD101" s="1056"/>
      <c r="FE101" s="1056"/>
      <c r="FF101" s="1056"/>
      <c r="FG101" s="1056"/>
      <c r="FH101" s="1056"/>
      <c r="FI101" s="1056"/>
      <c r="FJ101" s="1056"/>
      <c r="FK101" s="1056"/>
      <c r="FL101" s="1056"/>
      <c r="FM101" s="1056"/>
      <c r="FN101" s="1056"/>
      <c r="FO101" s="1056"/>
      <c r="FP101" s="1056"/>
      <c r="FQ101" s="1056"/>
      <c r="FR101" s="1056"/>
      <c r="FS101" s="1056"/>
      <c r="FT101" s="1056"/>
      <c r="FU101" s="1056"/>
      <c r="FV101" s="1056"/>
      <c r="FW101" s="1056"/>
      <c r="FX101" s="1056"/>
      <c r="FY101" s="1056"/>
      <c r="FZ101" s="1056"/>
      <c r="GA101" s="1056"/>
      <c r="GB101" s="1056"/>
      <c r="GC101" s="1056"/>
      <c r="GD101" s="1056"/>
      <c r="GE101" s="1056"/>
      <c r="GF101" s="1056"/>
      <c r="GG101" s="1056"/>
      <c r="GH101" s="1056"/>
      <c r="GI101" s="1056"/>
      <c r="GJ101" s="1056"/>
      <c r="GK101" s="1056"/>
      <c r="GL101" s="1056"/>
      <c r="GM101" s="1056"/>
      <c r="GN101" s="1056"/>
      <c r="GO101" s="1056"/>
      <c r="GP101" s="1056"/>
      <c r="GQ101" s="1056"/>
      <c r="GR101" s="1056"/>
      <c r="GS101" s="1056"/>
      <c r="GT101" s="1056"/>
      <c r="GU101" s="1056"/>
      <c r="GV101" s="1056"/>
      <c r="GW101" s="1056"/>
      <c r="GX101" s="1056"/>
      <c r="GY101" s="1056"/>
      <c r="GZ101" s="1056"/>
      <c r="HA101" s="1056"/>
      <c r="HB101" s="1056"/>
      <c r="HC101" s="1056"/>
      <c r="HD101" s="1056"/>
      <c r="HE101" s="1056"/>
      <c r="HF101" s="1056"/>
      <c r="HG101" s="1056"/>
      <c r="HH101" s="1056"/>
      <c r="HI101" s="1056"/>
      <c r="HJ101" s="1056"/>
      <c r="HK101" s="1056"/>
      <c r="HL101" s="1056"/>
      <c r="HM101" s="1056"/>
      <c r="HN101" s="1056"/>
      <c r="HO101" s="1056"/>
      <c r="HP101" s="1056"/>
      <c r="HQ101" s="1056"/>
      <c r="HR101" s="1056"/>
      <c r="HS101" s="1056"/>
      <c r="HT101" s="1056"/>
      <c r="HU101" s="1056"/>
      <c r="HV101" s="1056"/>
      <c r="HW101" s="1056"/>
      <c r="HX101" s="1056"/>
      <c r="HY101" s="1056"/>
      <c r="HZ101" s="1056"/>
      <c r="IA101" s="1056"/>
      <c r="IB101" s="1056"/>
      <c r="IC101" s="1056"/>
      <c r="ID101" s="1056"/>
      <c r="IE101" s="1056"/>
      <c r="IF101" s="1056"/>
      <c r="IG101" s="1056"/>
      <c r="IH101" s="1056"/>
      <c r="II101" s="1056"/>
      <c r="IJ101" s="1056"/>
      <c r="IK101" s="1056"/>
      <c r="IL101" s="1056"/>
      <c r="IM101" s="1056"/>
      <c r="IN101" s="1056"/>
      <c r="IO101" s="1056"/>
      <c r="IP101" s="1056"/>
      <c r="IQ101" s="1056"/>
      <c r="IR101" s="1056"/>
      <c r="IS101" s="1056"/>
      <c r="IT101" s="1056"/>
      <c r="IU101" s="1056"/>
      <c r="IV101" s="1056"/>
      <c r="IW101" s="1056"/>
      <c r="IX101" s="1056"/>
      <c r="IY101" s="1056"/>
      <c r="IZ101" s="1056"/>
      <c r="JA101" s="1056"/>
      <c r="JB101" s="1056"/>
      <c r="JC101" s="1056"/>
      <c r="JD101" s="1056"/>
      <c r="JE101" s="1056"/>
      <c r="JF101" s="1056"/>
      <c r="JG101" s="1056"/>
      <c r="JH101" s="1056"/>
      <c r="JI101" s="1056"/>
      <c r="JJ101" s="1056"/>
      <c r="JK101" s="1056"/>
      <c r="JL101" s="1056"/>
      <c r="JM101" s="1056"/>
      <c r="JN101" s="1056"/>
      <c r="JO101" s="1056"/>
      <c r="JP101" s="1056"/>
      <c r="JQ101" s="1056"/>
      <c r="JR101" s="1056"/>
      <c r="JS101" s="1056"/>
      <c r="JT101" s="1056"/>
      <c r="JU101" s="1056"/>
      <c r="JV101" s="1056"/>
      <c r="JW101" s="1056"/>
      <c r="JX101" s="1056"/>
      <c r="JY101" s="1056"/>
      <c r="JZ101" s="1056"/>
      <c r="KA101" s="1056"/>
      <c r="KB101" s="1056"/>
      <c r="KC101" s="1056"/>
      <c r="KD101" s="1056"/>
      <c r="KE101" s="1056"/>
      <c r="KF101" s="1056"/>
      <c r="KG101" s="1056"/>
      <c r="KH101" s="1056"/>
      <c r="KI101" s="1056"/>
      <c r="KJ101" s="1056"/>
      <c r="KK101" s="1056"/>
      <c r="KL101" s="1056"/>
      <c r="KM101" s="1056"/>
      <c r="KN101" s="1056"/>
      <c r="KO101" s="1056"/>
      <c r="KP101" s="1056"/>
      <c r="KQ101" s="1056"/>
      <c r="KR101" s="1056"/>
      <c r="KS101" s="1056"/>
      <c r="KT101" s="1056"/>
      <c r="KU101" s="1056"/>
      <c r="KV101" s="1056"/>
      <c r="KW101" s="1056"/>
      <c r="KX101" s="1056"/>
      <c r="KY101" s="1056"/>
      <c r="KZ101" s="1056"/>
      <c r="LA101" s="1056"/>
      <c r="LB101" s="1056"/>
      <c r="LC101" s="1056"/>
      <c r="LD101" s="1056"/>
      <c r="LE101" s="1056"/>
      <c r="LF101" s="1056"/>
      <c r="LG101" s="1056"/>
      <c r="LH101" s="1056"/>
      <c r="LI101" s="1056"/>
      <c r="LJ101" s="1056"/>
      <c r="LK101" s="1056"/>
      <c r="LL101" s="1056"/>
      <c r="LM101" s="1056"/>
      <c r="LN101" s="1056"/>
      <c r="LO101" s="1056"/>
      <c r="LP101" s="1056"/>
      <c r="LQ101" s="1056"/>
      <c r="LR101" s="1056"/>
      <c r="LS101" s="1056"/>
      <c r="LT101" s="1056"/>
      <c r="LU101" s="1056"/>
      <c r="LV101" s="1056"/>
      <c r="LW101" s="1056"/>
      <c r="LX101" s="1056"/>
      <c r="LY101" s="1056"/>
      <c r="LZ101" s="1056"/>
      <c r="MA101" s="1056"/>
      <c r="MB101" s="1056"/>
      <c r="MC101" s="1056"/>
      <c r="MD101" s="1056"/>
      <c r="ME101" s="1056"/>
      <c r="MF101" s="1056"/>
      <c r="MG101" s="1056"/>
      <c r="MH101" s="1056"/>
      <c r="MI101" s="1056"/>
      <c r="MJ101" s="1056"/>
      <c r="MK101" s="1056"/>
      <c r="ML101" s="1056"/>
      <c r="MM101" s="1056"/>
      <c r="MN101" s="1056"/>
      <c r="MO101" s="1056"/>
      <c r="MP101" s="1056"/>
      <c r="MQ101" s="1056"/>
      <c r="MR101" s="1056"/>
      <c r="MS101" s="1056"/>
      <c r="MT101" s="1056"/>
      <c r="MU101" s="1056"/>
      <c r="MV101" s="1056"/>
      <c r="MW101" s="1056"/>
      <c r="MX101" s="1056"/>
      <c r="MY101" s="1056"/>
      <c r="MZ101" s="1056"/>
      <c r="NA101" s="1056"/>
      <c r="NB101" s="1056"/>
      <c r="NC101" s="1056"/>
      <c r="ND101" s="1056"/>
      <c r="NE101" s="1056"/>
      <c r="NF101" s="1056"/>
      <c r="NG101" s="1056"/>
      <c r="NH101" s="1056"/>
      <c r="NI101" s="1056"/>
      <c r="NJ101" s="1056"/>
      <c r="NK101" s="1056"/>
      <c r="NL101" s="1056"/>
      <c r="NM101" s="1056"/>
      <c r="NN101" s="1056"/>
      <c r="NO101" s="1056"/>
      <c r="NP101" s="1056"/>
      <c r="NQ101" s="1056"/>
      <c r="NR101" s="1056"/>
      <c r="NS101" s="1056"/>
      <c r="NT101" s="1056"/>
      <c r="NU101" s="1056"/>
      <c r="NV101" s="1056"/>
      <c r="NW101" s="1056"/>
      <c r="NX101" s="1056"/>
      <c r="NY101" s="1056"/>
      <c r="NZ101" s="1056"/>
      <c r="OA101" s="1056"/>
      <c r="OB101" s="1056"/>
      <c r="OC101" s="1056"/>
      <c r="OD101" s="1056"/>
      <c r="OE101" s="1056"/>
      <c r="OF101" s="1056"/>
      <c r="OG101" s="1056"/>
      <c r="OH101" s="1056"/>
      <c r="OI101" s="1056"/>
      <c r="OJ101" s="1056"/>
      <c r="OK101" s="1056"/>
      <c r="OL101" s="1056"/>
      <c r="OM101" s="1056"/>
      <c r="ON101" s="1056"/>
      <c r="OO101" s="1056"/>
      <c r="OP101" s="1056"/>
      <c r="OQ101" s="1056"/>
      <c r="OR101" s="1056"/>
      <c r="OS101" s="1056"/>
      <c r="OT101" s="1056"/>
      <c r="OU101" s="1056"/>
      <c r="OV101" s="1056"/>
      <c r="OW101" s="1056"/>
      <c r="OX101" s="1056"/>
      <c r="OY101" s="1056"/>
      <c r="OZ101" s="1056"/>
      <c r="PA101" s="1056"/>
      <c r="PB101" s="1056"/>
      <c r="PC101" s="1056"/>
      <c r="PD101" s="1056"/>
      <c r="PE101" s="1056"/>
      <c r="PF101" s="1056"/>
      <c r="PG101" s="1056"/>
      <c r="PH101" s="1056"/>
      <c r="PI101" s="1056"/>
      <c r="PJ101" s="1056"/>
      <c r="PK101" s="1056"/>
      <c r="PL101" s="1056"/>
      <c r="PM101" s="1056"/>
      <c r="PN101" s="1056"/>
      <c r="PO101" s="1056"/>
      <c r="PP101" s="1056"/>
      <c r="PQ101" s="1056"/>
      <c r="PR101" s="1056"/>
      <c r="PS101" s="1056"/>
      <c r="PT101" s="1056"/>
      <c r="PU101" s="1056"/>
      <c r="PV101" s="1056"/>
      <c r="PW101" s="1056"/>
      <c r="PX101" s="1056"/>
      <c r="PY101" s="1056"/>
      <c r="PZ101" s="1056"/>
      <c r="QA101" s="1056"/>
      <c r="QB101" s="1056"/>
      <c r="QC101" s="1056"/>
      <c r="QD101" s="1056"/>
      <c r="QE101" s="1056"/>
      <c r="QF101" s="1056"/>
      <c r="QG101" s="1056"/>
      <c r="QH101" s="1056"/>
      <c r="QI101" s="1056"/>
      <c r="QJ101" s="1056"/>
      <c r="QK101" s="1056"/>
      <c r="QL101" s="1056"/>
      <c r="QM101" s="1056"/>
      <c r="QN101" s="1056"/>
      <c r="QO101" s="1056"/>
      <c r="QP101" s="1056"/>
      <c r="QQ101" s="1056"/>
      <c r="QR101" s="1056"/>
      <c r="QS101" s="1056"/>
      <c r="QT101" s="1056"/>
      <c r="QU101" s="1056"/>
      <c r="QV101" s="1056"/>
      <c r="QW101" s="1056"/>
      <c r="QX101" s="1056"/>
      <c r="QY101" s="1056"/>
      <c r="QZ101" s="1056"/>
      <c r="RA101" s="1056"/>
      <c r="RB101" s="1056"/>
      <c r="RC101" s="1056"/>
      <c r="RD101" s="1056"/>
      <c r="RE101" s="1056"/>
      <c r="RF101" s="1056"/>
      <c r="RG101" s="1056"/>
      <c r="RH101" s="1056"/>
      <c r="RI101" s="1056"/>
      <c r="RJ101" s="1056"/>
      <c r="RK101" s="1056"/>
      <c r="RL101" s="1056"/>
      <c r="RM101" s="1056"/>
      <c r="RN101" s="1056"/>
      <c r="RO101" s="1056"/>
      <c r="RP101" s="1056"/>
      <c r="RQ101" s="1056"/>
      <c r="RR101" s="1056"/>
      <c r="RS101" s="1056"/>
      <c r="RT101" s="1056"/>
      <c r="RU101" s="1056"/>
      <c r="RV101" s="1056"/>
      <c r="RW101" s="1056"/>
      <c r="RX101" s="1056"/>
      <c r="RY101" s="1056"/>
      <c r="RZ101" s="1056"/>
      <c r="SA101" s="1056"/>
      <c r="SB101" s="1056"/>
      <c r="SC101" s="1056"/>
      <c r="SD101" s="1056"/>
      <c r="SE101" s="1056"/>
      <c r="SF101" s="1056"/>
      <c r="SG101" s="1056"/>
      <c r="SH101" s="1056"/>
      <c r="SI101" s="1056"/>
      <c r="SJ101" s="1056"/>
      <c r="SK101" s="1056"/>
      <c r="SL101" s="1056"/>
      <c r="SM101" s="1056"/>
      <c r="SN101" s="1056"/>
      <c r="SO101" s="1056"/>
      <c r="SP101" s="1056"/>
      <c r="SQ101" s="1056"/>
      <c r="SR101" s="1056"/>
      <c r="SS101" s="1056"/>
      <c r="ST101" s="1056"/>
      <c r="SU101" s="1056"/>
      <c r="SV101" s="1056"/>
      <c r="SW101" s="1056"/>
      <c r="SX101" s="1056"/>
      <c r="SY101" s="1056"/>
      <c r="SZ101" s="1056"/>
      <c r="TA101" s="1056"/>
      <c r="TB101" s="1056"/>
      <c r="TC101" s="1056"/>
      <c r="TD101" s="1056"/>
      <c r="TE101" s="1056"/>
      <c r="TF101" s="1056"/>
      <c r="TG101" s="1056"/>
      <c r="TH101" s="1056"/>
      <c r="TI101" s="1056"/>
      <c r="TJ101" s="1056"/>
      <c r="TK101" s="1056"/>
      <c r="TL101" s="1056"/>
      <c r="TM101" s="1056"/>
      <c r="TN101" s="1056"/>
      <c r="TO101" s="1056"/>
      <c r="TP101" s="1056"/>
      <c r="TQ101" s="1056"/>
      <c r="TR101" s="1056"/>
      <c r="TS101" s="1056"/>
      <c r="TT101" s="1056"/>
      <c r="TU101" s="1056"/>
      <c r="TV101" s="1056"/>
      <c r="TW101" s="1056"/>
      <c r="TX101" s="1056"/>
      <c r="TY101" s="1056"/>
      <c r="TZ101" s="1056"/>
      <c r="UA101" s="1056"/>
      <c r="UB101" s="1056"/>
      <c r="UC101" s="1056"/>
      <c r="UD101" s="1056"/>
      <c r="UE101" s="1056"/>
      <c r="UF101" s="1056"/>
      <c r="UG101" s="1056"/>
      <c r="UH101" s="1056"/>
      <c r="UI101" s="1056"/>
      <c r="UJ101" s="1056"/>
      <c r="UK101" s="1056"/>
      <c r="UL101" s="1056"/>
      <c r="UM101" s="1056"/>
      <c r="UN101" s="1056"/>
      <c r="UO101" s="1056"/>
      <c r="UP101" s="1056"/>
      <c r="UQ101" s="1056"/>
      <c r="UR101" s="1056"/>
      <c r="US101" s="1056"/>
      <c r="UT101" s="1056"/>
      <c r="UU101" s="1056"/>
      <c r="UV101" s="1056"/>
      <c r="UW101" s="1056"/>
      <c r="UX101" s="1056"/>
      <c r="UY101" s="1056"/>
      <c r="UZ101" s="1056"/>
      <c r="VA101" s="1056"/>
      <c r="VB101" s="1056"/>
      <c r="VC101" s="1056"/>
      <c r="VD101" s="1056"/>
      <c r="VE101" s="1056"/>
      <c r="VF101" s="1056"/>
      <c r="VG101" s="1056"/>
      <c r="VH101" s="1056"/>
      <c r="VI101" s="1056"/>
      <c r="VJ101" s="1056"/>
      <c r="VK101" s="1056"/>
      <c r="VL101" s="1056"/>
      <c r="VM101" s="1056"/>
      <c r="VN101" s="1056"/>
      <c r="VO101" s="1056"/>
      <c r="VP101" s="1056"/>
      <c r="VQ101" s="1056"/>
      <c r="VR101" s="1056"/>
      <c r="VS101" s="1056"/>
      <c r="VT101" s="1056"/>
      <c r="VU101" s="1056"/>
      <c r="VV101" s="1056"/>
      <c r="VW101" s="1056"/>
      <c r="VX101" s="1056"/>
      <c r="VY101" s="1056"/>
      <c r="VZ101" s="1056"/>
      <c r="WA101" s="1056"/>
      <c r="WB101" s="1056"/>
      <c r="WC101" s="1056"/>
      <c r="WD101" s="1056"/>
      <c r="WE101" s="1056"/>
      <c r="WF101" s="1056"/>
      <c r="WG101" s="1056"/>
      <c r="WH101" s="1056"/>
      <c r="WI101" s="1056"/>
      <c r="WJ101" s="1056"/>
      <c r="WK101" s="1056"/>
      <c r="WL101" s="1056"/>
      <c r="WM101" s="1056"/>
      <c r="WN101" s="1056"/>
      <c r="WO101" s="1056"/>
      <c r="WP101" s="1056"/>
      <c r="WQ101" s="1056"/>
      <c r="WR101" s="1056"/>
      <c r="WS101" s="1056"/>
      <c r="WT101" s="1056"/>
      <c r="WU101" s="1056"/>
      <c r="WV101" s="1056"/>
      <c r="WW101" s="1056"/>
      <c r="WX101" s="1056"/>
      <c r="WY101" s="1056"/>
      <c r="WZ101" s="1056"/>
      <c r="XA101" s="1056"/>
      <c r="XB101" s="1056"/>
      <c r="XC101" s="1056"/>
      <c r="XD101" s="1056"/>
      <c r="XE101" s="1056"/>
      <c r="XF101" s="1056"/>
      <c r="XG101" s="1056"/>
      <c r="XH101" s="1056"/>
      <c r="XI101" s="1056"/>
      <c r="XJ101" s="1056"/>
      <c r="XK101" s="1056"/>
      <c r="XL101" s="1056"/>
      <c r="XM101" s="1056"/>
      <c r="XN101" s="1056"/>
      <c r="XO101" s="1056"/>
      <c r="XP101" s="1056"/>
      <c r="XQ101" s="1056"/>
      <c r="XR101" s="1056"/>
      <c r="XS101" s="1056"/>
      <c r="XT101" s="1056"/>
      <c r="XU101" s="1056"/>
      <c r="XV101" s="1056"/>
      <c r="XW101" s="1056"/>
      <c r="XX101" s="1056"/>
      <c r="XY101" s="1056"/>
      <c r="XZ101" s="1056"/>
      <c r="YA101" s="1056"/>
      <c r="YB101" s="1056"/>
      <c r="YC101" s="1056"/>
      <c r="YD101" s="1056"/>
      <c r="YE101" s="1056"/>
      <c r="YF101" s="1056"/>
      <c r="YG101" s="1056"/>
      <c r="YH101" s="1056"/>
      <c r="YI101" s="1056"/>
      <c r="YJ101" s="1056"/>
      <c r="YK101" s="1056"/>
      <c r="YL101" s="1056"/>
      <c r="YM101" s="1056"/>
      <c r="YN101" s="1056"/>
      <c r="YO101" s="1056"/>
      <c r="YP101" s="1056"/>
      <c r="YQ101" s="1056"/>
      <c r="YR101" s="1056"/>
      <c r="YS101" s="1056"/>
      <c r="YT101" s="1056"/>
      <c r="YU101" s="1056"/>
      <c r="YV101" s="1056"/>
      <c r="YW101" s="1056"/>
      <c r="YX101" s="1056"/>
      <c r="YY101" s="1056"/>
      <c r="YZ101" s="1056"/>
      <c r="ZA101" s="1056"/>
      <c r="ZB101" s="1056"/>
      <c r="ZC101" s="1056"/>
      <c r="ZD101" s="1056"/>
      <c r="ZE101" s="1056"/>
      <c r="ZF101" s="1056"/>
      <c r="ZG101" s="1056"/>
      <c r="ZH101" s="1056"/>
      <c r="ZI101" s="1056"/>
      <c r="ZJ101" s="1056"/>
      <c r="ZK101" s="1056"/>
      <c r="ZL101" s="1056"/>
      <c r="ZM101" s="1056"/>
      <c r="ZN101" s="1056"/>
      <c r="ZO101" s="1056"/>
      <c r="ZP101" s="1056"/>
      <c r="ZQ101" s="1056"/>
      <c r="ZR101" s="1056"/>
      <c r="ZS101" s="1056"/>
      <c r="ZT101" s="1056"/>
      <c r="ZU101" s="1056"/>
      <c r="ZV101" s="1056"/>
      <c r="ZW101" s="1056"/>
      <c r="ZX101" s="1056"/>
      <c r="ZY101" s="1056"/>
      <c r="ZZ101" s="1056"/>
      <c r="AAA101" s="1056"/>
      <c r="AAB101" s="1056"/>
      <c r="AAC101" s="1056"/>
      <c r="AAD101" s="1056"/>
      <c r="AAE101" s="1056"/>
      <c r="AAF101" s="1056"/>
      <c r="AAG101" s="1056"/>
      <c r="AAH101" s="1056"/>
      <c r="AAI101" s="1056"/>
      <c r="AAJ101" s="1056"/>
      <c r="AAK101" s="1056"/>
      <c r="AAL101" s="1056"/>
      <c r="AAM101" s="1056"/>
      <c r="AAN101" s="1056"/>
      <c r="AAO101" s="1056"/>
      <c r="AAP101" s="1056"/>
      <c r="AAQ101" s="1056"/>
      <c r="AAR101" s="1056"/>
      <c r="AAS101" s="1056"/>
      <c r="AAT101" s="1056"/>
      <c r="AAU101" s="1056"/>
      <c r="AAV101" s="1056"/>
      <c r="AAW101" s="1056"/>
      <c r="AAX101" s="1056"/>
      <c r="AAY101" s="1056"/>
      <c r="AAZ101" s="1056"/>
      <c r="ABA101" s="1056"/>
      <c r="ABB101" s="1056"/>
      <c r="ABC101" s="1056"/>
      <c r="ABD101" s="1056"/>
      <c r="ABE101" s="1056"/>
      <c r="ABF101" s="1056"/>
      <c r="ABG101" s="1056"/>
      <c r="ABH101" s="1056"/>
      <c r="ABI101" s="1056"/>
      <c r="ABJ101" s="1056"/>
      <c r="ABK101" s="1056"/>
      <c r="ABL101" s="1056"/>
      <c r="ABM101" s="1056"/>
      <c r="ABN101" s="1056"/>
      <c r="ABO101" s="1056"/>
      <c r="ABP101" s="1056"/>
      <c r="ABQ101" s="1056"/>
      <c r="ABR101" s="1056"/>
      <c r="ABS101" s="1056"/>
      <c r="ABT101" s="1056"/>
      <c r="ABU101" s="1056"/>
      <c r="ABV101" s="1056"/>
      <c r="ABW101" s="1056"/>
      <c r="ABX101" s="1056"/>
      <c r="ABY101" s="1056"/>
      <c r="ABZ101" s="1056"/>
      <c r="ACA101" s="1056"/>
      <c r="ACB101" s="1056"/>
      <c r="ACC101" s="1056"/>
      <c r="ACD101" s="1056"/>
      <c r="ACE101" s="1056"/>
      <c r="ACF101" s="1056"/>
      <c r="ACG101" s="1056"/>
      <c r="ACH101" s="1056"/>
      <c r="ACI101" s="1056"/>
      <c r="ACJ101" s="1056"/>
      <c r="ACK101" s="1056"/>
      <c r="ACL101" s="1056"/>
      <c r="ACM101" s="1056"/>
      <c r="ACN101" s="1056"/>
      <c r="ACO101" s="1056"/>
      <c r="ACP101" s="1056"/>
      <c r="ACQ101" s="1056"/>
      <c r="ACR101" s="1056"/>
      <c r="ACS101" s="1056"/>
      <c r="ACT101" s="1056"/>
      <c r="ACU101" s="1056"/>
      <c r="ACV101" s="1056"/>
      <c r="ACW101" s="1056"/>
      <c r="ACX101" s="1056"/>
      <c r="ACY101" s="1056"/>
      <c r="ACZ101" s="1056"/>
      <c r="ADA101" s="1056"/>
      <c r="ADB101" s="1056"/>
      <c r="ADC101" s="1056"/>
      <c r="ADD101" s="1056"/>
      <c r="ADE101" s="1056"/>
      <c r="ADF101" s="1056"/>
      <c r="ADG101" s="1056"/>
      <c r="ADH101" s="1056"/>
      <c r="ADI101" s="1056"/>
      <c r="ADJ101" s="1056"/>
      <c r="ADK101" s="1056"/>
      <c r="ADL101" s="1056"/>
      <c r="ADM101" s="1056"/>
      <c r="ADN101" s="1056"/>
      <c r="ADO101" s="1056"/>
      <c r="ADP101" s="1056"/>
      <c r="ADQ101" s="1056"/>
      <c r="ADR101" s="1056"/>
      <c r="ADS101" s="1056"/>
      <c r="ADT101" s="1056"/>
      <c r="ADU101" s="1056"/>
      <c r="ADV101" s="1056"/>
      <c r="ADW101" s="1056"/>
      <c r="ADX101" s="1056"/>
      <c r="ADY101" s="1056"/>
      <c r="ADZ101" s="1056"/>
      <c r="AEA101" s="1056"/>
      <c r="AEB101" s="1056"/>
      <c r="AEC101" s="1056"/>
      <c r="AED101" s="1056"/>
      <c r="AEE101" s="1056"/>
      <c r="AEF101" s="1056"/>
      <c r="AEG101" s="1056"/>
      <c r="AEH101" s="1056"/>
      <c r="AEI101" s="1056"/>
      <c r="AEJ101" s="1056"/>
      <c r="AEK101" s="1056"/>
      <c r="AEL101" s="1056"/>
      <c r="AEM101" s="1056"/>
      <c r="AEN101" s="1056"/>
      <c r="AEO101" s="1056"/>
      <c r="AEP101" s="1056"/>
      <c r="AEQ101" s="1056"/>
      <c r="AER101" s="1056"/>
      <c r="AES101" s="1056"/>
      <c r="AET101" s="1056"/>
      <c r="AEU101" s="1056"/>
      <c r="AEV101" s="1056"/>
      <c r="AEW101" s="1056"/>
      <c r="AEX101" s="1056"/>
      <c r="AEY101" s="1056"/>
      <c r="AEZ101" s="1056"/>
      <c r="AFA101" s="1056"/>
      <c r="AFB101" s="1056"/>
      <c r="AFC101" s="1056"/>
      <c r="AFD101" s="1056"/>
      <c r="AFE101" s="1056"/>
      <c r="AFF101" s="1056"/>
      <c r="AFG101" s="1056"/>
      <c r="AFH101" s="1056"/>
      <c r="AFI101" s="1056"/>
      <c r="AFJ101" s="1056"/>
      <c r="AFK101" s="1056"/>
      <c r="AFL101" s="1056"/>
      <c r="AFM101" s="1056"/>
      <c r="AFN101" s="1056"/>
      <c r="AFO101" s="1056"/>
      <c r="AFP101" s="1056"/>
      <c r="AFQ101" s="1056"/>
      <c r="AFR101" s="1056"/>
      <c r="AFS101" s="1056"/>
      <c r="AFT101" s="1056"/>
      <c r="AFU101" s="1056"/>
      <c r="AFV101" s="1056"/>
      <c r="AFW101" s="1056"/>
      <c r="AFX101" s="1056"/>
      <c r="AFY101" s="1056"/>
      <c r="AFZ101" s="1056"/>
      <c r="AGA101" s="1056"/>
      <c r="AGB101" s="1056"/>
      <c r="AGC101" s="1056"/>
      <c r="AGD101" s="1056"/>
      <c r="AGE101" s="1056"/>
      <c r="AGF101" s="1056"/>
      <c r="AGG101" s="1056"/>
      <c r="AGH101" s="1056"/>
      <c r="AGI101" s="1056"/>
      <c r="AGJ101" s="1056"/>
      <c r="AGK101" s="1056"/>
      <c r="AGL101" s="1056"/>
      <c r="AGM101" s="1056"/>
      <c r="AGN101" s="1056"/>
      <c r="AGO101" s="1056"/>
      <c r="AGP101" s="1056"/>
      <c r="AGQ101" s="1056"/>
      <c r="AGR101" s="1056"/>
      <c r="AGS101" s="1056"/>
      <c r="AGT101" s="1056"/>
      <c r="AGU101" s="1056"/>
      <c r="AGV101" s="1056"/>
      <c r="AGW101" s="1056"/>
      <c r="AGX101" s="1056"/>
      <c r="AGY101" s="1056"/>
      <c r="AGZ101" s="1056"/>
      <c r="AHA101" s="1056"/>
      <c r="AHB101" s="1056"/>
      <c r="AHC101" s="1056"/>
      <c r="AHD101" s="1056"/>
      <c r="AHE101" s="1056"/>
      <c r="AHF101" s="1056"/>
      <c r="AHG101" s="1056"/>
      <c r="AHH101" s="1056"/>
      <c r="AHI101" s="1056"/>
      <c r="AHJ101" s="1056"/>
      <c r="AHK101" s="1056"/>
      <c r="AHL101" s="1056"/>
      <c r="AHM101" s="1056"/>
      <c r="AHN101" s="1056"/>
      <c r="AHO101" s="1056"/>
      <c r="AHP101" s="1056"/>
      <c r="AHQ101" s="1056"/>
      <c r="AHR101" s="1056"/>
      <c r="AHS101" s="1056"/>
      <c r="AHT101" s="1056"/>
      <c r="AHU101" s="1056"/>
      <c r="AHV101" s="1056"/>
      <c r="AHW101" s="1056"/>
      <c r="AHX101" s="1056"/>
      <c r="AHY101" s="1056"/>
      <c r="AHZ101" s="1056"/>
      <c r="AIA101" s="1056"/>
      <c r="AIB101" s="1056"/>
      <c r="AIC101" s="1056"/>
      <c r="AID101" s="1056"/>
      <c r="AIE101" s="1056"/>
      <c r="AIF101" s="1056"/>
      <c r="AIG101" s="1056"/>
      <c r="AIH101" s="1056"/>
      <c r="AII101" s="1056"/>
      <c r="AIJ101" s="1056"/>
      <c r="AIK101" s="1056"/>
      <c r="AIL101" s="1056"/>
      <c r="AIM101" s="1056"/>
      <c r="AIN101" s="1056"/>
      <c r="AIO101" s="1056"/>
      <c r="AIP101" s="1056"/>
      <c r="AIQ101" s="1056"/>
      <c r="AIR101" s="1056"/>
      <c r="AIS101" s="1056"/>
      <c r="AIT101" s="1056"/>
      <c r="AIU101" s="1056"/>
      <c r="AIV101" s="1056"/>
      <c r="AIW101" s="1056"/>
      <c r="AIX101" s="1056"/>
      <c r="AIY101" s="1056"/>
      <c r="AIZ101" s="1056"/>
      <c r="AJA101" s="1056"/>
      <c r="AJB101" s="1056"/>
      <c r="AJC101" s="1056"/>
      <c r="AJD101" s="1056"/>
      <c r="AJE101" s="1056"/>
      <c r="AJF101" s="1056"/>
      <c r="AJG101" s="1056"/>
      <c r="AJH101" s="1056"/>
      <c r="AJI101" s="1056"/>
      <c r="AJJ101" s="1056"/>
      <c r="AJK101" s="1056"/>
      <c r="AJL101" s="1056"/>
      <c r="AJM101" s="1056"/>
      <c r="AJN101" s="1056"/>
      <c r="AJO101" s="1056"/>
      <c r="AJP101" s="1056"/>
      <c r="AJQ101" s="1056"/>
      <c r="AJR101" s="1056"/>
      <c r="AJS101" s="1056"/>
      <c r="AJT101" s="1056"/>
      <c r="AJU101" s="1056"/>
      <c r="AJV101" s="1056"/>
      <c r="AJW101" s="1056"/>
      <c r="AJX101" s="1056"/>
      <c r="AJY101" s="1056"/>
      <c r="AJZ101" s="1056"/>
      <c r="AKA101" s="1056"/>
      <c r="AKB101" s="1056"/>
      <c r="AKC101" s="1056"/>
      <c r="AKD101" s="1056"/>
      <c r="AKE101" s="1056"/>
      <c r="AKF101" s="1056"/>
      <c r="AKG101" s="1056"/>
      <c r="AKH101" s="1056"/>
      <c r="AKI101" s="1056"/>
      <c r="AKJ101" s="1056"/>
      <c r="AKK101" s="1056"/>
      <c r="AKL101" s="1056"/>
      <c r="AKM101" s="1056"/>
      <c r="AKN101" s="1056"/>
      <c r="AKO101" s="1056"/>
      <c r="AKP101" s="1056"/>
      <c r="AKQ101" s="1056"/>
      <c r="AKR101" s="1056"/>
      <c r="AKS101" s="1056"/>
      <c r="AKT101" s="1056"/>
      <c r="AKU101" s="1056"/>
      <c r="AKV101" s="1056"/>
      <c r="AKW101" s="1056"/>
      <c r="AKX101" s="1056"/>
      <c r="AKY101" s="1056"/>
      <c r="AKZ101" s="1056"/>
      <c r="ALA101" s="1056"/>
      <c r="ALB101" s="1056"/>
      <c r="ALC101" s="1056"/>
      <c r="ALD101" s="1056"/>
      <c r="ALE101" s="1056"/>
      <c r="ALF101" s="1056"/>
      <c r="ALG101" s="1056"/>
      <c r="ALH101" s="1056"/>
      <c r="ALI101" s="1056"/>
      <c r="ALJ101" s="1056"/>
      <c r="ALK101" s="1056"/>
      <c r="ALL101" s="1056"/>
      <c r="ALM101" s="1056"/>
      <c r="ALN101" s="1056"/>
      <c r="ALO101" s="1056"/>
      <c r="ALP101" s="1056"/>
      <c r="ALQ101" s="1056"/>
      <c r="ALR101" s="1056"/>
      <c r="ALS101" s="1056"/>
      <c r="ALT101" s="1056"/>
      <c r="ALU101" s="1056"/>
      <c r="ALV101" s="1056"/>
      <c r="ALW101" s="1056"/>
      <c r="ALX101" s="1056"/>
      <c r="ALY101" s="1056"/>
      <c r="ALZ101" s="1056"/>
      <c r="AMA101" s="1056"/>
      <c r="AMB101" s="1056"/>
      <c r="AMC101" s="1056"/>
      <c r="AMD101" s="1056"/>
      <c r="AME101" s="1056"/>
      <c r="AMF101" s="1056"/>
      <c r="AMG101" s="1056"/>
      <c r="AMH101" s="1056"/>
      <c r="AMI101" s="1056"/>
      <c r="AMJ101" s="1056"/>
      <c r="AMK101" s="1056"/>
      <c r="AML101" s="1056"/>
      <c r="AMM101" s="1056"/>
      <c r="AMN101" s="1056"/>
      <c r="AMO101" s="1056"/>
      <c r="AMP101" s="1056"/>
      <c r="AMQ101" s="1056"/>
      <c r="AMR101" s="1056"/>
      <c r="AMS101" s="1056"/>
      <c r="AMT101" s="1056"/>
      <c r="AMU101" s="1056"/>
      <c r="AMV101" s="1056"/>
      <c r="AMW101" s="1056"/>
      <c r="AMX101" s="1056"/>
      <c r="AMY101" s="1056"/>
      <c r="AMZ101" s="1056"/>
      <c r="ANA101" s="1056"/>
      <c r="ANB101" s="1056"/>
      <c r="ANC101" s="1056"/>
      <c r="AND101" s="1056"/>
      <c r="ANE101" s="1056"/>
      <c r="ANF101" s="1056"/>
      <c r="ANG101" s="1056"/>
      <c r="ANH101" s="1056"/>
      <c r="ANI101" s="1056"/>
      <c r="ANJ101" s="1056"/>
      <c r="ANK101" s="1056"/>
      <c r="ANL101" s="1056"/>
      <c r="ANM101" s="1056"/>
      <c r="ANN101" s="1056"/>
      <c r="ANO101" s="1056"/>
      <c r="ANP101" s="1056"/>
      <c r="ANQ101" s="1056"/>
      <c r="ANR101" s="1056"/>
      <c r="ANS101" s="1056"/>
      <c r="ANT101" s="1056"/>
      <c r="ANU101" s="1056"/>
      <c r="ANV101" s="1056"/>
      <c r="ANW101" s="1056"/>
      <c r="ANX101" s="1056"/>
      <c r="ANY101" s="1056"/>
      <c r="ANZ101" s="1056"/>
      <c r="AOA101" s="1056"/>
      <c r="AOB101" s="1056"/>
      <c r="AOC101" s="1056"/>
      <c r="AOD101" s="1056"/>
      <c r="AOE101" s="1056"/>
      <c r="AOF101" s="1056"/>
      <c r="AOG101" s="1056"/>
      <c r="AOH101" s="1056"/>
      <c r="AOI101" s="1056"/>
      <c r="AOJ101" s="1056"/>
      <c r="AOK101" s="1056"/>
      <c r="AOL101" s="1056"/>
      <c r="AOM101" s="1056"/>
      <c r="AON101" s="1056"/>
      <c r="AOO101" s="1056"/>
      <c r="AOP101" s="1056"/>
      <c r="AOQ101" s="1056"/>
      <c r="AOR101" s="1056"/>
      <c r="AOS101" s="1056"/>
      <c r="AOT101" s="1056"/>
      <c r="AOU101" s="1056"/>
      <c r="AOV101" s="1056"/>
      <c r="AOW101" s="1056"/>
      <c r="AOX101" s="1056"/>
      <c r="AOY101" s="1056"/>
      <c r="AOZ101" s="1056"/>
      <c r="APA101" s="1056"/>
      <c r="APB101" s="1056"/>
      <c r="APC101" s="1056"/>
      <c r="APD101" s="1056"/>
      <c r="APE101" s="1056"/>
      <c r="APF101" s="1056"/>
      <c r="APG101" s="1056"/>
      <c r="APH101" s="1056"/>
      <c r="API101" s="1056"/>
      <c r="APJ101" s="1056"/>
      <c r="APK101" s="1056"/>
      <c r="APL101" s="1056"/>
      <c r="APM101" s="1056"/>
      <c r="APN101" s="1056"/>
      <c r="APO101" s="1056"/>
      <c r="APP101" s="1056"/>
      <c r="APQ101" s="1056"/>
      <c r="APR101" s="1056"/>
      <c r="APS101" s="1056"/>
      <c r="APT101" s="1056"/>
      <c r="APU101" s="1056"/>
      <c r="APV101" s="1056"/>
      <c r="APW101" s="1056"/>
      <c r="APX101" s="1056"/>
      <c r="APY101" s="1056"/>
      <c r="APZ101" s="1056"/>
      <c r="AQA101" s="1056"/>
      <c r="AQB101" s="1056"/>
      <c r="AQC101" s="1056"/>
      <c r="AQD101" s="1056"/>
      <c r="AQE101" s="1056"/>
      <c r="AQF101" s="1056"/>
      <c r="AQG101" s="1056"/>
      <c r="AQH101" s="1056"/>
      <c r="AQI101" s="1056"/>
      <c r="AQJ101" s="1056"/>
      <c r="AQK101" s="1056"/>
      <c r="AQL101" s="1056"/>
      <c r="AQM101" s="1056"/>
      <c r="AQN101" s="1056"/>
      <c r="AQO101" s="1056"/>
      <c r="AQP101" s="1056"/>
      <c r="AQQ101" s="1056"/>
      <c r="AQR101" s="1056"/>
      <c r="AQS101" s="1056"/>
      <c r="AQT101" s="1056"/>
      <c r="AQU101" s="1056"/>
      <c r="AQV101" s="1056"/>
      <c r="AQW101" s="1056"/>
      <c r="AQX101" s="1056"/>
      <c r="AQY101" s="1056"/>
      <c r="AQZ101" s="1056"/>
      <c r="ARA101" s="1056"/>
      <c r="ARB101" s="1056"/>
      <c r="ARC101" s="1056"/>
      <c r="ARD101" s="1056"/>
      <c r="ARE101" s="1056"/>
      <c r="ARF101" s="1056"/>
      <c r="ARG101" s="1056"/>
      <c r="ARH101" s="1056"/>
      <c r="ARI101" s="1056"/>
      <c r="ARJ101" s="1056"/>
      <c r="ARK101" s="1056"/>
      <c r="ARL101" s="1056"/>
      <c r="ARM101" s="1056"/>
      <c r="ARN101" s="1056"/>
      <c r="ARO101" s="1056"/>
      <c r="ARP101" s="1056"/>
      <c r="ARQ101" s="1056"/>
      <c r="ARR101" s="1056"/>
      <c r="ARS101" s="1056"/>
      <c r="ART101" s="1056"/>
      <c r="ARU101" s="1056"/>
      <c r="ARV101" s="1056"/>
      <c r="ARW101" s="1056"/>
      <c r="ARX101" s="1056"/>
      <c r="ARY101" s="1056"/>
      <c r="ARZ101" s="1056"/>
      <c r="ASA101" s="1056"/>
      <c r="ASB101" s="1056"/>
      <c r="ASC101" s="1056"/>
      <c r="ASD101" s="1056"/>
      <c r="ASE101" s="1056"/>
      <c r="ASF101" s="1056"/>
      <c r="ASG101" s="1056"/>
      <c r="ASH101" s="1056"/>
      <c r="ASI101" s="1056"/>
      <c r="ASJ101" s="1056"/>
      <c r="ASK101" s="1056"/>
      <c r="ASL101" s="1056"/>
      <c r="ASM101" s="1056"/>
      <c r="ASN101" s="1056"/>
      <c r="ASO101" s="1056"/>
      <c r="ASP101" s="1056"/>
      <c r="ASQ101" s="1056"/>
      <c r="ASR101" s="1056"/>
      <c r="ASS101" s="1056"/>
      <c r="AST101" s="1056"/>
      <c r="ASU101" s="1056"/>
      <c r="ASV101" s="1056"/>
      <c r="ASW101" s="1056"/>
      <c r="ASX101" s="1056"/>
      <c r="ASY101" s="1056"/>
      <c r="ASZ101" s="1056"/>
      <c r="ATA101" s="1056"/>
      <c r="ATB101" s="1056"/>
      <c r="ATC101" s="1056"/>
      <c r="ATD101" s="1056"/>
      <c r="ATE101" s="1056"/>
      <c r="ATF101" s="1056"/>
      <c r="ATG101" s="1056"/>
      <c r="ATH101" s="1056"/>
      <c r="ATI101" s="1056"/>
      <c r="ATJ101" s="1056"/>
      <c r="ATK101" s="1056"/>
      <c r="ATL101" s="1056"/>
      <c r="ATM101" s="1056"/>
      <c r="ATN101" s="1056"/>
      <c r="ATO101" s="1056"/>
      <c r="ATP101" s="1056"/>
      <c r="ATQ101" s="1056"/>
      <c r="ATR101" s="1056"/>
      <c r="ATS101" s="1056"/>
      <c r="ATT101" s="1056"/>
      <c r="ATU101" s="1056"/>
      <c r="ATV101" s="1056"/>
      <c r="ATW101" s="1056"/>
      <c r="ATX101" s="1056"/>
      <c r="ATY101" s="1056"/>
      <c r="ATZ101" s="1056"/>
      <c r="AUA101" s="1056"/>
      <c r="AUB101" s="1056"/>
      <c r="AUC101" s="1056"/>
      <c r="AUD101" s="1056"/>
      <c r="AUE101" s="1056"/>
      <c r="AUF101" s="1056"/>
      <c r="AUG101" s="1056"/>
      <c r="AUH101" s="1056"/>
      <c r="AUI101" s="1056"/>
      <c r="AUJ101" s="1056"/>
      <c r="AUK101" s="1056"/>
      <c r="AUL101" s="1056"/>
      <c r="AUM101" s="1056"/>
      <c r="AUN101" s="1056"/>
      <c r="AUO101" s="1056"/>
      <c r="AUP101" s="1056"/>
      <c r="AUQ101" s="1056"/>
      <c r="AUR101" s="1056"/>
      <c r="AUS101" s="1056"/>
      <c r="AUT101" s="1056"/>
      <c r="AUU101" s="1056"/>
      <c r="AUV101" s="1056"/>
      <c r="AUW101" s="1056"/>
      <c r="AUX101" s="1056"/>
      <c r="AUY101" s="1056"/>
      <c r="AUZ101" s="1056"/>
      <c r="AVA101" s="1056"/>
      <c r="AVB101" s="1056"/>
      <c r="AVC101" s="1056"/>
      <c r="AVD101" s="1056"/>
      <c r="AVE101" s="1056"/>
      <c r="AVF101" s="1056"/>
      <c r="AVG101" s="1056"/>
      <c r="AVH101" s="1056"/>
      <c r="AVI101" s="1056"/>
      <c r="AVJ101" s="1056"/>
      <c r="AVK101" s="1056"/>
      <c r="AVL101" s="1056"/>
      <c r="AVM101" s="1056"/>
      <c r="AVN101" s="1056"/>
      <c r="AVO101" s="1056"/>
      <c r="AVP101" s="1056"/>
      <c r="AVQ101" s="1056"/>
      <c r="AVR101" s="1056"/>
      <c r="AVS101" s="1056"/>
      <c r="AVT101" s="1056"/>
      <c r="AVU101" s="1056"/>
      <c r="AVV101" s="1056"/>
      <c r="AVW101" s="1056"/>
      <c r="AVX101" s="1056"/>
      <c r="AVY101" s="1056"/>
      <c r="AVZ101" s="1056"/>
      <c r="AWA101" s="1056"/>
      <c r="AWB101" s="1056"/>
      <c r="AWC101" s="1056"/>
      <c r="AWD101" s="1056"/>
      <c r="AWE101" s="1056"/>
      <c r="AWF101" s="1056"/>
      <c r="AWG101" s="1056"/>
      <c r="AWH101" s="1056"/>
      <c r="AWI101" s="1056"/>
      <c r="AWJ101" s="1056"/>
      <c r="AWK101" s="1056"/>
      <c r="AWL101" s="1056"/>
      <c r="AWM101" s="1056"/>
      <c r="AWN101" s="1056"/>
      <c r="AWO101" s="1056"/>
      <c r="AWP101" s="1056"/>
      <c r="AWQ101" s="1056"/>
      <c r="AWR101" s="1056"/>
      <c r="AWS101" s="1056"/>
      <c r="AWT101" s="1056"/>
      <c r="AWU101" s="1056"/>
      <c r="AWV101" s="1056"/>
      <c r="AWW101" s="1056"/>
      <c r="AWX101" s="1056"/>
      <c r="AWY101" s="1056"/>
      <c r="AWZ101" s="1056"/>
      <c r="AXA101" s="1056"/>
      <c r="AXB101" s="1056"/>
      <c r="AXC101" s="1056"/>
      <c r="AXD101" s="1056"/>
      <c r="AXE101" s="1056"/>
      <c r="AXF101" s="1056"/>
      <c r="AXG101" s="1056"/>
      <c r="AXH101" s="1056"/>
      <c r="AXI101" s="1056"/>
      <c r="AXJ101" s="1056"/>
      <c r="AXK101" s="1056"/>
      <c r="AXL101" s="1056"/>
      <c r="AXM101" s="1056"/>
      <c r="AXN101" s="1056"/>
      <c r="AXO101" s="1056"/>
      <c r="AXP101" s="1056"/>
      <c r="AXQ101" s="1056"/>
      <c r="AXR101" s="1056"/>
      <c r="AXS101" s="1056"/>
      <c r="AXT101" s="1056"/>
      <c r="AXU101" s="1056"/>
      <c r="AXV101" s="1056"/>
      <c r="AXW101" s="1056"/>
      <c r="AXX101" s="1056"/>
      <c r="AXY101" s="1056"/>
      <c r="AXZ101" s="1056"/>
      <c r="AYA101" s="1056"/>
      <c r="AYB101" s="1056"/>
      <c r="AYC101" s="1056"/>
      <c r="AYD101" s="1056"/>
      <c r="AYE101" s="1056"/>
      <c r="AYF101" s="1056"/>
      <c r="AYG101" s="1056"/>
      <c r="AYH101" s="1056"/>
      <c r="AYI101" s="1056"/>
      <c r="AYJ101" s="1056"/>
      <c r="AYK101" s="1056"/>
      <c r="AYL101" s="1056"/>
      <c r="AYM101" s="1056"/>
      <c r="AYN101" s="1056"/>
      <c r="AYO101" s="1056"/>
      <c r="AYP101" s="1056"/>
      <c r="AYQ101" s="1056"/>
      <c r="AYR101" s="1056"/>
      <c r="AYS101" s="1056"/>
      <c r="AYT101" s="1056"/>
      <c r="AYU101" s="1056"/>
      <c r="AYV101" s="1056"/>
      <c r="AYW101" s="1056"/>
      <c r="AYX101" s="1056"/>
      <c r="AYY101" s="1056"/>
      <c r="AYZ101" s="1056"/>
      <c r="AZA101" s="1056"/>
      <c r="AZB101" s="1056"/>
      <c r="AZC101" s="1056"/>
      <c r="AZD101" s="1056"/>
      <c r="AZE101" s="1056"/>
      <c r="AZF101" s="1056"/>
      <c r="AZG101" s="1056"/>
      <c r="AZH101" s="1056"/>
      <c r="AZI101" s="1056"/>
      <c r="AZJ101" s="1056"/>
      <c r="AZK101" s="1056"/>
      <c r="AZL101" s="1056"/>
      <c r="AZM101" s="1056"/>
      <c r="AZN101" s="1056"/>
      <c r="AZO101" s="1056"/>
      <c r="AZP101" s="1056"/>
      <c r="AZQ101" s="1056"/>
      <c r="AZR101" s="1056"/>
      <c r="AZS101" s="1056"/>
      <c r="AZT101" s="1056"/>
      <c r="AZU101" s="1056"/>
      <c r="AZV101" s="1056"/>
      <c r="AZW101" s="1056"/>
      <c r="AZX101" s="1056"/>
      <c r="AZY101" s="1056"/>
      <c r="AZZ101" s="1056"/>
      <c r="BAA101" s="1056"/>
      <c r="BAB101" s="1056"/>
      <c r="BAC101" s="1056"/>
      <c r="BAD101" s="1056"/>
      <c r="BAE101" s="1056"/>
      <c r="BAF101" s="1056"/>
      <c r="BAG101" s="1056"/>
      <c r="BAH101" s="1056"/>
      <c r="BAI101" s="1056"/>
      <c r="BAJ101" s="1056"/>
      <c r="BAK101" s="1056"/>
      <c r="BAL101" s="1056"/>
      <c r="BAM101" s="1056"/>
      <c r="BAN101" s="1056"/>
      <c r="BAO101" s="1056"/>
      <c r="BAP101" s="1056"/>
      <c r="BAQ101" s="1056"/>
      <c r="BAR101" s="1056"/>
      <c r="BAS101" s="1056"/>
      <c r="BAT101" s="1056"/>
      <c r="BAU101" s="1056"/>
      <c r="BAV101" s="1056"/>
      <c r="BAW101" s="1056"/>
      <c r="BAX101" s="1056"/>
      <c r="BAY101" s="1056"/>
      <c r="BAZ101" s="1056"/>
      <c r="BBA101" s="1056"/>
      <c r="BBB101" s="1056"/>
      <c r="BBC101" s="1056"/>
      <c r="BBD101" s="1056"/>
      <c r="BBE101" s="1056"/>
      <c r="BBF101" s="1056"/>
      <c r="BBG101" s="1056"/>
      <c r="BBH101" s="1056"/>
      <c r="BBI101" s="1056"/>
      <c r="BBJ101" s="1056"/>
      <c r="BBK101" s="1056"/>
      <c r="BBL101" s="1056"/>
      <c r="BBM101" s="1056"/>
      <c r="BBN101" s="1056"/>
      <c r="BBO101" s="1056"/>
      <c r="BBP101" s="1056"/>
      <c r="BBQ101" s="1056"/>
      <c r="BBR101" s="1056"/>
      <c r="BBS101" s="1056"/>
      <c r="BBT101" s="1056"/>
      <c r="BBU101" s="1056"/>
      <c r="BBV101" s="1056"/>
      <c r="BBW101" s="1056"/>
      <c r="BBX101" s="1056"/>
      <c r="BBY101" s="1056"/>
      <c r="BBZ101" s="1056"/>
      <c r="BCA101" s="1056"/>
      <c r="BCB101" s="1056"/>
      <c r="BCC101" s="1056"/>
      <c r="BCD101" s="1056"/>
      <c r="BCE101" s="1056"/>
      <c r="BCF101" s="1056"/>
      <c r="BCG101" s="1056"/>
      <c r="BCH101" s="1056"/>
      <c r="BCI101" s="1056"/>
      <c r="BCJ101" s="1056"/>
      <c r="BCK101" s="1056"/>
      <c r="BCL101" s="1056"/>
      <c r="BCM101" s="1056"/>
      <c r="BCN101" s="1056"/>
      <c r="BCO101" s="1056"/>
      <c r="BCP101" s="1056"/>
      <c r="BCQ101" s="1056"/>
      <c r="BCR101" s="1056"/>
      <c r="BCS101" s="1056"/>
      <c r="BCT101" s="1056"/>
      <c r="BCU101" s="1056"/>
      <c r="BCV101" s="1056"/>
      <c r="BCW101" s="1056"/>
      <c r="BCX101" s="1056"/>
      <c r="BCY101" s="1056"/>
      <c r="BCZ101" s="1056"/>
      <c r="BDA101" s="1056"/>
      <c r="BDB101" s="1056"/>
      <c r="BDC101" s="1056"/>
      <c r="BDD101" s="1056"/>
      <c r="BDE101" s="1056"/>
      <c r="BDF101" s="1056"/>
      <c r="BDG101" s="1056"/>
      <c r="BDH101" s="1056"/>
      <c r="BDI101" s="1056"/>
      <c r="BDJ101" s="1056"/>
      <c r="BDK101" s="1056"/>
      <c r="BDL101" s="1056"/>
      <c r="BDM101" s="1056"/>
      <c r="BDN101" s="1056"/>
      <c r="BDO101" s="1056"/>
      <c r="BDP101" s="1056"/>
      <c r="BDQ101" s="1056"/>
      <c r="BDR101" s="1056"/>
      <c r="BDS101" s="1056"/>
      <c r="BDT101" s="1056"/>
      <c r="BDU101" s="1056"/>
      <c r="BDV101" s="1056"/>
      <c r="BDW101" s="1056"/>
      <c r="BDX101" s="1056"/>
      <c r="BDY101" s="1056"/>
      <c r="BDZ101" s="1056"/>
      <c r="BEA101" s="1056"/>
      <c r="BEB101" s="1056"/>
      <c r="BEC101" s="1056"/>
      <c r="BED101" s="1056"/>
      <c r="BEE101" s="1056"/>
      <c r="BEF101" s="1056"/>
      <c r="BEG101" s="1056"/>
      <c r="BEH101" s="1056"/>
      <c r="BEI101" s="1056"/>
      <c r="BEJ101" s="1056"/>
      <c r="BEK101" s="1056"/>
      <c r="BEL101" s="1056"/>
      <c r="BEM101" s="1056"/>
      <c r="BEN101" s="1056"/>
      <c r="BEO101" s="1056"/>
      <c r="BEP101" s="1056"/>
      <c r="BEQ101" s="1056"/>
      <c r="BER101" s="1056"/>
      <c r="BES101" s="1056"/>
      <c r="BET101" s="1056"/>
      <c r="BEU101" s="1056"/>
      <c r="BEV101" s="1056"/>
      <c r="BEW101" s="1056"/>
      <c r="BEX101" s="1056"/>
      <c r="BEY101" s="1056"/>
      <c r="BEZ101" s="1056"/>
      <c r="BFA101" s="1056"/>
      <c r="BFB101" s="1056"/>
      <c r="BFC101" s="1056"/>
      <c r="BFD101" s="1056"/>
      <c r="BFE101" s="1056"/>
      <c r="BFF101" s="1056"/>
      <c r="BFG101" s="1056"/>
      <c r="BFH101" s="1056"/>
      <c r="BFI101" s="1056"/>
      <c r="BFJ101" s="1056"/>
      <c r="BFK101" s="1056"/>
      <c r="BFL101" s="1056"/>
      <c r="BFM101" s="1056"/>
      <c r="BFN101" s="1056"/>
      <c r="BFO101" s="1056"/>
      <c r="BFP101" s="1056"/>
      <c r="BFQ101" s="1056"/>
      <c r="BFR101" s="1056"/>
      <c r="BFS101" s="1056"/>
      <c r="BFT101" s="1056"/>
      <c r="BFU101" s="1056"/>
      <c r="BFV101" s="1056"/>
      <c r="BFW101" s="1056"/>
      <c r="BFX101" s="1056"/>
      <c r="BFY101" s="1056"/>
      <c r="BFZ101" s="1056"/>
      <c r="BGA101" s="1056"/>
      <c r="BGB101" s="1056"/>
      <c r="BGC101" s="1056"/>
      <c r="BGD101" s="1056"/>
      <c r="BGE101" s="1056"/>
      <c r="BGF101" s="1056"/>
      <c r="BGG101" s="1056"/>
      <c r="BGH101" s="1056"/>
      <c r="BGI101" s="1056"/>
      <c r="BGJ101" s="1056"/>
      <c r="BGK101" s="1056"/>
      <c r="BGL101" s="1056"/>
      <c r="BGM101" s="1056"/>
      <c r="BGN101" s="1056"/>
      <c r="BGO101" s="1056"/>
      <c r="BGP101" s="1056"/>
      <c r="BGQ101" s="1056"/>
      <c r="BGR101" s="1056"/>
      <c r="BGS101" s="1056"/>
      <c r="BGT101" s="1056"/>
      <c r="BGU101" s="1056"/>
      <c r="BGV101" s="1056"/>
      <c r="BGW101" s="1056"/>
      <c r="BGX101" s="1056"/>
      <c r="BGY101" s="1056"/>
      <c r="BGZ101" s="1056"/>
      <c r="BHA101" s="1056"/>
      <c r="BHB101" s="1056"/>
      <c r="BHC101" s="1056"/>
      <c r="BHD101" s="1056"/>
      <c r="BHE101" s="1056"/>
      <c r="BHF101" s="1056"/>
      <c r="BHG101" s="1056"/>
      <c r="BHH101" s="1056"/>
      <c r="BHI101" s="1056"/>
      <c r="BHJ101" s="1056"/>
      <c r="BHK101" s="1056"/>
      <c r="BHL101" s="1056"/>
      <c r="BHM101" s="1056"/>
      <c r="BHN101" s="1056"/>
      <c r="BHO101" s="1056"/>
      <c r="BHP101" s="1056"/>
      <c r="BHQ101" s="1056"/>
      <c r="BHR101" s="1056"/>
      <c r="BHS101" s="1056"/>
      <c r="BHT101" s="1056"/>
      <c r="BHU101" s="1056"/>
      <c r="BHV101" s="1056"/>
      <c r="BHW101" s="1056"/>
      <c r="BHX101" s="1056"/>
      <c r="BHY101" s="1056"/>
      <c r="BHZ101" s="1056"/>
      <c r="BIA101" s="1056"/>
      <c r="BIB101" s="1056"/>
      <c r="BIC101" s="1056"/>
      <c r="BID101" s="1056"/>
      <c r="BIE101" s="1056"/>
      <c r="BIF101" s="1056"/>
      <c r="BIG101" s="1056"/>
      <c r="BIH101" s="1056"/>
      <c r="BII101" s="1056"/>
      <c r="BIJ101" s="1056"/>
      <c r="BIK101" s="1056"/>
      <c r="BIL101" s="1056"/>
      <c r="BIM101" s="1056"/>
      <c r="BIN101" s="1056"/>
      <c r="BIO101" s="1056"/>
      <c r="BIP101" s="1056"/>
      <c r="BIQ101" s="1056"/>
      <c r="BIR101" s="1056"/>
      <c r="BIS101" s="1056"/>
      <c r="BIT101" s="1056"/>
      <c r="BIU101" s="1056"/>
      <c r="BIV101" s="1056"/>
      <c r="BIW101" s="1056"/>
      <c r="BIX101" s="1056"/>
      <c r="BIY101" s="1056"/>
      <c r="BIZ101" s="1056"/>
      <c r="BJA101" s="1056"/>
      <c r="BJB101" s="1056"/>
      <c r="BJC101" s="1056"/>
      <c r="BJD101" s="1056"/>
      <c r="BJE101" s="1056"/>
      <c r="BJF101" s="1056"/>
      <c r="BJG101" s="1056"/>
      <c r="BJH101" s="1056"/>
      <c r="BJI101" s="1056"/>
      <c r="BJJ101" s="1056"/>
      <c r="BJK101" s="1056"/>
      <c r="BJL101" s="1056"/>
      <c r="BJM101" s="1056"/>
      <c r="BJN101" s="1056"/>
      <c r="BJO101" s="1056"/>
      <c r="BJP101" s="1056"/>
      <c r="BJQ101" s="1056"/>
      <c r="BJR101" s="1056"/>
      <c r="BJS101" s="1056"/>
      <c r="BJT101" s="1056"/>
      <c r="BJU101" s="1056"/>
      <c r="BJV101" s="1056"/>
      <c r="BJW101" s="1056"/>
      <c r="BJX101" s="1056"/>
      <c r="BJY101" s="1056"/>
      <c r="BJZ101" s="1056"/>
      <c r="BKA101" s="1056"/>
      <c r="BKB101" s="1056"/>
      <c r="BKC101" s="1056"/>
      <c r="BKD101" s="1056"/>
      <c r="BKE101" s="1056"/>
      <c r="BKF101" s="1056"/>
      <c r="BKG101" s="1056"/>
      <c r="BKH101" s="1056"/>
      <c r="BKI101" s="1056"/>
      <c r="BKJ101" s="1056"/>
      <c r="BKK101" s="1056"/>
      <c r="BKL101" s="1056"/>
      <c r="BKM101" s="1056"/>
      <c r="BKN101" s="1056"/>
      <c r="BKO101" s="1056"/>
      <c r="BKP101" s="1056"/>
      <c r="BKQ101" s="1056"/>
      <c r="BKR101" s="1056"/>
      <c r="BKS101" s="1056"/>
      <c r="BKT101" s="1056"/>
      <c r="BKU101" s="1056"/>
      <c r="BKV101" s="1056"/>
      <c r="BKW101" s="1056"/>
      <c r="BKX101" s="1056"/>
      <c r="BKY101" s="1056"/>
      <c r="BKZ101" s="1056"/>
      <c r="BLA101" s="1056"/>
      <c r="BLB101" s="1056"/>
      <c r="BLC101" s="1056"/>
      <c r="BLD101" s="1056"/>
      <c r="BLE101" s="1056"/>
      <c r="BLF101" s="1056"/>
      <c r="BLG101" s="1056"/>
      <c r="BLH101" s="1056"/>
      <c r="BLI101" s="1056"/>
      <c r="BLJ101" s="1056"/>
      <c r="BLK101" s="1056"/>
      <c r="BLL101" s="1056"/>
      <c r="BLM101" s="1056"/>
      <c r="BLN101" s="1056"/>
      <c r="BLO101" s="1056"/>
      <c r="BLP101" s="1056"/>
      <c r="BLQ101" s="1056"/>
      <c r="BLR101" s="1056"/>
      <c r="BLS101" s="1056"/>
      <c r="BLT101" s="1056"/>
      <c r="BLU101" s="1056"/>
      <c r="BLV101" s="1056"/>
      <c r="BLW101" s="1056"/>
      <c r="BLX101" s="1056"/>
      <c r="BLY101" s="1056"/>
      <c r="BLZ101" s="1056"/>
      <c r="BMA101" s="1056"/>
      <c r="BMB101" s="1056"/>
      <c r="BMC101" s="1056"/>
      <c r="BMD101" s="1056"/>
      <c r="BME101" s="1056"/>
      <c r="BMF101" s="1056"/>
      <c r="BMG101" s="1056"/>
      <c r="BMH101" s="1056"/>
      <c r="BMI101" s="1056"/>
      <c r="BMJ101" s="1056"/>
      <c r="BMK101" s="1056"/>
      <c r="BML101" s="1056"/>
      <c r="BMM101" s="1056"/>
      <c r="BMN101" s="1056"/>
      <c r="BMO101" s="1056"/>
      <c r="BMP101" s="1056"/>
      <c r="BMQ101" s="1056"/>
      <c r="BMR101" s="1056"/>
      <c r="BMS101" s="1056"/>
      <c r="BMT101" s="1056"/>
      <c r="BMU101" s="1056"/>
      <c r="BMV101" s="1056"/>
      <c r="BMW101" s="1056"/>
      <c r="BMX101" s="1056"/>
      <c r="BMY101" s="1056"/>
      <c r="BMZ101" s="1056"/>
      <c r="BNA101" s="1056"/>
      <c r="BNB101" s="1056"/>
      <c r="BNC101" s="1056"/>
      <c r="BND101" s="1056"/>
      <c r="BNE101" s="1056"/>
      <c r="BNF101" s="1056"/>
      <c r="BNG101" s="1056"/>
      <c r="BNH101" s="1056"/>
      <c r="BNI101" s="1056"/>
      <c r="BNJ101" s="1056"/>
      <c r="BNK101" s="1056"/>
      <c r="BNL101" s="1056"/>
      <c r="BNM101" s="1056"/>
      <c r="BNN101" s="1056"/>
      <c r="BNO101" s="1056"/>
      <c r="BNP101" s="1056"/>
      <c r="BNQ101" s="1056"/>
      <c r="BNR101" s="1056"/>
      <c r="BNS101" s="1056"/>
      <c r="BNT101" s="1056"/>
      <c r="BNU101" s="1056"/>
      <c r="BNV101" s="1056"/>
      <c r="BNW101" s="1056"/>
      <c r="BNX101" s="1056"/>
      <c r="BNY101" s="1056"/>
      <c r="BNZ101" s="1056"/>
      <c r="BOA101" s="1056"/>
      <c r="BOB101" s="1056"/>
      <c r="BOC101" s="1056"/>
      <c r="BOD101" s="1056"/>
      <c r="BOE101" s="1056"/>
      <c r="BOF101" s="1056"/>
      <c r="BOG101" s="1056"/>
      <c r="BOH101" s="1056"/>
      <c r="BOI101" s="1056"/>
      <c r="BOJ101" s="1056"/>
      <c r="BOK101" s="1056"/>
      <c r="BOL101" s="1056"/>
      <c r="BOM101" s="1056"/>
      <c r="BON101" s="1056"/>
      <c r="BOO101" s="1056"/>
      <c r="BOP101" s="1056"/>
      <c r="BOQ101" s="1056"/>
      <c r="BOR101" s="1056"/>
      <c r="BOS101" s="1056"/>
      <c r="BOT101" s="1056"/>
      <c r="BOU101" s="1056"/>
      <c r="BOV101" s="1056"/>
      <c r="BOW101" s="1056"/>
      <c r="BOX101" s="1056"/>
      <c r="BOY101" s="1056"/>
      <c r="BOZ101" s="1056"/>
      <c r="BPA101" s="1056"/>
      <c r="BPB101" s="1056"/>
      <c r="BPC101" s="1056"/>
      <c r="BPD101" s="1056"/>
      <c r="BPE101" s="1056"/>
      <c r="BPF101" s="1056"/>
      <c r="BPG101" s="1056"/>
      <c r="BPH101" s="1056"/>
      <c r="BPI101" s="1056"/>
      <c r="BPJ101" s="1056"/>
      <c r="BPK101" s="1056"/>
      <c r="BPL101" s="1056"/>
      <c r="BPM101" s="1056"/>
      <c r="BPN101" s="1056"/>
      <c r="BPO101" s="1056"/>
      <c r="BPP101" s="1056"/>
      <c r="BPQ101" s="1056"/>
      <c r="BPR101" s="1056"/>
      <c r="BPS101" s="1056"/>
      <c r="BPT101" s="1056"/>
      <c r="BPU101" s="1056"/>
      <c r="BPV101" s="1056"/>
      <c r="BPW101" s="1056"/>
      <c r="BPX101" s="1056"/>
      <c r="BPY101" s="1056"/>
      <c r="BPZ101" s="1056"/>
      <c r="BQA101" s="1056"/>
      <c r="BQB101" s="1056"/>
      <c r="BQC101" s="1056"/>
      <c r="BQD101" s="1056"/>
      <c r="BQE101" s="1056"/>
      <c r="BQF101" s="1056"/>
      <c r="BQG101" s="1056"/>
      <c r="BQH101" s="1056"/>
      <c r="BQI101" s="1056"/>
      <c r="BQJ101" s="1056"/>
      <c r="BQK101" s="1056"/>
      <c r="BQL101" s="1056"/>
      <c r="BQM101" s="1056"/>
      <c r="BQN101" s="1056"/>
      <c r="BQO101" s="1056"/>
      <c r="BQP101" s="1056"/>
      <c r="BQQ101" s="1056"/>
      <c r="BQR101" s="1056"/>
      <c r="BQS101" s="1056"/>
      <c r="BQT101" s="1056"/>
      <c r="BQU101" s="1056"/>
      <c r="BQV101" s="1056"/>
      <c r="BQW101" s="1056"/>
      <c r="BQX101" s="1056"/>
      <c r="BQY101" s="1056"/>
      <c r="BQZ101" s="1056"/>
      <c r="BRA101" s="1056"/>
      <c r="BRB101" s="1056"/>
      <c r="BRC101" s="1056"/>
      <c r="BRD101" s="1056"/>
      <c r="BRE101" s="1056"/>
      <c r="BRF101" s="1056"/>
      <c r="BRG101" s="1056"/>
      <c r="BRH101" s="1056"/>
      <c r="BRI101" s="1056"/>
      <c r="BRJ101" s="1056"/>
      <c r="BRK101" s="1056"/>
      <c r="BRL101" s="1056"/>
      <c r="BRM101" s="1056"/>
      <c r="BRN101" s="1056"/>
      <c r="BRO101" s="1056"/>
      <c r="BRP101" s="1056"/>
      <c r="BRQ101" s="1056"/>
      <c r="BRR101" s="1056"/>
      <c r="BRS101" s="1056"/>
      <c r="BRT101" s="1056"/>
      <c r="BRU101" s="1056"/>
      <c r="BRV101" s="1056"/>
      <c r="BRW101" s="1056"/>
      <c r="BRX101" s="1056"/>
      <c r="BRY101" s="1056"/>
      <c r="BRZ101" s="1056"/>
      <c r="BSA101" s="1056"/>
      <c r="BSB101" s="1056"/>
      <c r="BSC101" s="1056"/>
      <c r="BSD101" s="1056"/>
      <c r="BSE101" s="1056"/>
      <c r="BSF101" s="1056"/>
      <c r="BSG101" s="1056"/>
      <c r="BSH101" s="1056"/>
      <c r="BSI101" s="1056"/>
      <c r="BSJ101" s="1056"/>
      <c r="BSK101" s="1056"/>
      <c r="BSL101" s="1056"/>
      <c r="BSM101" s="1056"/>
      <c r="BSN101" s="1056"/>
      <c r="BSO101" s="1056"/>
      <c r="BSP101" s="1056"/>
      <c r="BSQ101" s="1056"/>
      <c r="BSR101" s="1056"/>
      <c r="BSS101" s="1056"/>
      <c r="BST101" s="1056"/>
      <c r="BSU101" s="1056"/>
      <c r="BSV101" s="1056"/>
      <c r="BSW101" s="1056"/>
      <c r="BSX101" s="1056"/>
      <c r="BSY101" s="1056"/>
      <c r="BSZ101" s="1056"/>
      <c r="BTA101" s="1056"/>
      <c r="BTB101" s="1056"/>
      <c r="BTC101" s="1056"/>
      <c r="BTD101" s="1056"/>
      <c r="BTE101" s="1056"/>
      <c r="BTF101" s="1056"/>
      <c r="BTG101" s="1056"/>
      <c r="BTH101" s="1056"/>
      <c r="BTI101" s="1056"/>
    </row>
    <row r="102" spans="1:1881" s="1060" customFormat="1" ht="30.75" hidden="1" customHeight="1" thickBot="1" x14ac:dyDescent="0.35">
      <c r="A102" s="1059"/>
      <c r="B102" s="819" t="s">
        <v>1014</v>
      </c>
      <c r="C102" s="818"/>
      <c r="D102" s="818"/>
      <c r="E102" s="818"/>
      <c r="F102" s="818"/>
      <c r="G102" s="818"/>
      <c r="H102" s="764"/>
      <c r="I102" s="1055"/>
      <c r="J102" s="1068"/>
      <c r="K102" s="1056"/>
      <c r="L102" s="1057"/>
      <c r="M102" s="1056"/>
      <c r="N102" s="1058"/>
      <c r="O102" s="1056"/>
      <c r="P102" s="1056"/>
      <c r="Q102" s="1056"/>
      <c r="R102" s="1056"/>
      <c r="S102" s="1056"/>
      <c r="T102" s="1056"/>
      <c r="U102" s="1056"/>
      <c r="V102" s="1056"/>
      <c r="W102" s="1056"/>
      <c r="X102" s="1056"/>
      <c r="Y102" s="1056"/>
      <c r="Z102" s="1059"/>
      <c r="AA102" s="1059"/>
      <c r="AB102" s="1059"/>
      <c r="AC102" s="1059"/>
      <c r="AD102" s="1059"/>
      <c r="AE102" s="1059"/>
      <c r="AF102" s="1059"/>
      <c r="AG102" s="1059"/>
      <c r="AH102" s="1059"/>
      <c r="AI102" s="1059"/>
      <c r="AJ102" s="1059"/>
      <c r="AK102" s="1059"/>
      <c r="AL102" s="1059"/>
      <c r="AM102" s="1059"/>
      <c r="AN102" s="1059"/>
      <c r="AO102" s="1059"/>
      <c r="AP102" s="1059"/>
      <c r="AQ102" s="1059"/>
      <c r="AR102" s="1059"/>
      <c r="AS102" s="1056"/>
      <c r="AT102" s="1056"/>
      <c r="AU102" s="1056"/>
      <c r="AV102" s="1056"/>
      <c r="AW102" s="1056"/>
      <c r="AX102" s="1056"/>
      <c r="AY102" s="1056"/>
      <c r="AZ102" s="1056"/>
      <c r="BA102" s="1056"/>
      <c r="BB102" s="1056"/>
      <c r="BC102" s="1056"/>
      <c r="BD102" s="1056"/>
      <c r="BE102" s="1056"/>
      <c r="BF102" s="1056"/>
      <c r="BG102" s="1056"/>
      <c r="BH102" s="1056"/>
      <c r="BI102" s="1056"/>
      <c r="BJ102" s="1056"/>
      <c r="BK102" s="1056"/>
      <c r="BL102" s="1056"/>
      <c r="BM102" s="1056"/>
      <c r="BN102" s="1056"/>
      <c r="BO102" s="1056"/>
      <c r="BP102" s="1056"/>
      <c r="BQ102" s="1056"/>
      <c r="BR102" s="1056"/>
      <c r="BS102" s="1056"/>
      <c r="BT102" s="1056"/>
      <c r="BU102" s="1056"/>
      <c r="BV102" s="1056"/>
      <c r="BW102" s="1056"/>
      <c r="BX102" s="1056"/>
      <c r="BY102" s="1056"/>
      <c r="BZ102" s="1056"/>
      <c r="CA102" s="1056"/>
      <c r="CB102" s="1056"/>
      <c r="CC102" s="1056"/>
      <c r="CD102" s="1056"/>
      <c r="CE102" s="1056"/>
      <c r="CF102" s="1056"/>
      <c r="CG102" s="1056"/>
      <c r="CH102" s="1056"/>
      <c r="CI102" s="1056"/>
      <c r="CJ102" s="1056"/>
      <c r="CK102" s="1056"/>
      <c r="CL102" s="1056"/>
      <c r="CM102" s="1056"/>
      <c r="CN102" s="1056"/>
      <c r="CO102" s="1056"/>
      <c r="CP102" s="1056"/>
      <c r="CQ102" s="1056"/>
      <c r="CR102" s="1056"/>
      <c r="CS102" s="1056"/>
      <c r="CT102" s="1056"/>
      <c r="CU102" s="1056"/>
      <c r="CV102" s="1056"/>
      <c r="CW102" s="1056"/>
      <c r="CX102" s="1056"/>
      <c r="CY102" s="1056"/>
      <c r="CZ102" s="1056"/>
      <c r="DA102" s="1056"/>
      <c r="DB102" s="1056"/>
      <c r="DC102" s="1056"/>
      <c r="DD102" s="1056"/>
      <c r="DE102" s="1056"/>
      <c r="DF102" s="1056"/>
      <c r="DG102" s="1056"/>
      <c r="DH102" s="1056"/>
      <c r="DI102" s="1056"/>
      <c r="DJ102" s="1056"/>
      <c r="DK102" s="1056"/>
      <c r="DL102" s="1056"/>
      <c r="DM102" s="1056"/>
      <c r="DN102" s="1056"/>
      <c r="DO102" s="1056"/>
      <c r="DP102" s="1056"/>
      <c r="DQ102" s="1056"/>
      <c r="DR102" s="1056"/>
      <c r="DS102" s="1056"/>
      <c r="DT102" s="1056"/>
      <c r="DU102" s="1056"/>
      <c r="DV102" s="1056"/>
      <c r="DW102" s="1056"/>
      <c r="DX102" s="1056"/>
      <c r="DY102" s="1056"/>
      <c r="DZ102" s="1056"/>
      <c r="EA102" s="1056"/>
      <c r="EB102" s="1056"/>
      <c r="EC102" s="1056"/>
      <c r="ED102" s="1056"/>
      <c r="EE102" s="1056"/>
      <c r="EF102" s="1056"/>
      <c r="EG102" s="1056"/>
      <c r="EH102" s="1056"/>
      <c r="EI102" s="1056"/>
      <c r="EJ102" s="1056"/>
      <c r="EK102" s="1056"/>
      <c r="EL102" s="1056"/>
      <c r="EM102" s="1056"/>
      <c r="EN102" s="1056"/>
      <c r="EO102" s="1056"/>
      <c r="EP102" s="1056"/>
      <c r="EQ102" s="1056"/>
      <c r="ER102" s="1056"/>
      <c r="ES102" s="1056"/>
      <c r="ET102" s="1056"/>
      <c r="EU102" s="1056"/>
      <c r="EV102" s="1056"/>
      <c r="EW102" s="1056"/>
      <c r="EX102" s="1056"/>
      <c r="EY102" s="1056"/>
      <c r="EZ102" s="1056"/>
      <c r="FA102" s="1056"/>
      <c r="FB102" s="1056"/>
      <c r="FC102" s="1056"/>
      <c r="FD102" s="1056"/>
      <c r="FE102" s="1056"/>
      <c r="FF102" s="1056"/>
      <c r="FG102" s="1056"/>
      <c r="FH102" s="1056"/>
      <c r="FI102" s="1056"/>
      <c r="FJ102" s="1056"/>
      <c r="FK102" s="1056"/>
      <c r="FL102" s="1056"/>
      <c r="FM102" s="1056"/>
      <c r="FN102" s="1056"/>
      <c r="FO102" s="1056"/>
      <c r="FP102" s="1056"/>
      <c r="FQ102" s="1056"/>
      <c r="FR102" s="1056"/>
      <c r="FS102" s="1056"/>
      <c r="FT102" s="1056"/>
      <c r="FU102" s="1056"/>
      <c r="FV102" s="1056"/>
      <c r="FW102" s="1056"/>
      <c r="FX102" s="1056"/>
      <c r="FY102" s="1056"/>
      <c r="FZ102" s="1056"/>
      <c r="GA102" s="1056"/>
      <c r="GB102" s="1056"/>
      <c r="GC102" s="1056"/>
      <c r="GD102" s="1056"/>
      <c r="GE102" s="1056"/>
      <c r="GF102" s="1056"/>
      <c r="GG102" s="1056"/>
      <c r="GH102" s="1056"/>
      <c r="GI102" s="1056"/>
      <c r="GJ102" s="1056"/>
      <c r="GK102" s="1056"/>
      <c r="GL102" s="1056"/>
      <c r="GM102" s="1056"/>
      <c r="GN102" s="1056"/>
      <c r="GO102" s="1056"/>
      <c r="GP102" s="1056"/>
      <c r="GQ102" s="1056"/>
      <c r="GR102" s="1056"/>
      <c r="GS102" s="1056"/>
      <c r="GT102" s="1056"/>
      <c r="GU102" s="1056"/>
      <c r="GV102" s="1056"/>
      <c r="GW102" s="1056"/>
      <c r="GX102" s="1056"/>
      <c r="GY102" s="1056"/>
      <c r="GZ102" s="1056"/>
      <c r="HA102" s="1056"/>
      <c r="HB102" s="1056"/>
      <c r="HC102" s="1056"/>
      <c r="HD102" s="1056"/>
      <c r="HE102" s="1056"/>
      <c r="HF102" s="1056"/>
      <c r="HG102" s="1056"/>
      <c r="HH102" s="1056"/>
      <c r="HI102" s="1056"/>
      <c r="HJ102" s="1056"/>
      <c r="HK102" s="1056"/>
      <c r="HL102" s="1056"/>
      <c r="HM102" s="1056"/>
      <c r="HN102" s="1056"/>
      <c r="HO102" s="1056"/>
      <c r="HP102" s="1056"/>
      <c r="HQ102" s="1056"/>
      <c r="HR102" s="1056"/>
      <c r="HS102" s="1056"/>
      <c r="HT102" s="1056"/>
      <c r="HU102" s="1056"/>
      <c r="HV102" s="1056"/>
      <c r="HW102" s="1056"/>
      <c r="HX102" s="1056"/>
      <c r="HY102" s="1056"/>
      <c r="HZ102" s="1056"/>
      <c r="IA102" s="1056"/>
      <c r="IB102" s="1056"/>
      <c r="IC102" s="1056"/>
      <c r="ID102" s="1056"/>
      <c r="IE102" s="1056"/>
      <c r="IF102" s="1056"/>
      <c r="IG102" s="1056"/>
      <c r="IH102" s="1056"/>
      <c r="II102" s="1056"/>
      <c r="IJ102" s="1056"/>
      <c r="IK102" s="1056"/>
      <c r="IL102" s="1056"/>
      <c r="IM102" s="1056"/>
      <c r="IN102" s="1056"/>
      <c r="IO102" s="1056"/>
      <c r="IP102" s="1056"/>
      <c r="IQ102" s="1056"/>
      <c r="IR102" s="1056"/>
      <c r="IS102" s="1056"/>
      <c r="IT102" s="1056"/>
      <c r="IU102" s="1056"/>
      <c r="IV102" s="1056"/>
      <c r="IW102" s="1056"/>
      <c r="IX102" s="1056"/>
      <c r="IY102" s="1056"/>
      <c r="IZ102" s="1056"/>
      <c r="JA102" s="1056"/>
      <c r="JB102" s="1056"/>
      <c r="JC102" s="1056"/>
      <c r="JD102" s="1056"/>
      <c r="JE102" s="1056"/>
      <c r="JF102" s="1056"/>
      <c r="JG102" s="1056"/>
      <c r="JH102" s="1056"/>
      <c r="JI102" s="1056"/>
      <c r="JJ102" s="1056"/>
      <c r="JK102" s="1056"/>
      <c r="JL102" s="1056"/>
      <c r="JM102" s="1056"/>
      <c r="JN102" s="1056"/>
      <c r="JO102" s="1056"/>
      <c r="JP102" s="1056"/>
      <c r="JQ102" s="1056"/>
      <c r="JR102" s="1056"/>
      <c r="JS102" s="1056"/>
      <c r="JT102" s="1056"/>
      <c r="JU102" s="1056"/>
      <c r="JV102" s="1056"/>
      <c r="JW102" s="1056"/>
      <c r="JX102" s="1056"/>
      <c r="JY102" s="1056"/>
      <c r="JZ102" s="1056"/>
      <c r="KA102" s="1056"/>
      <c r="KB102" s="1056"/>
      <c r="KC102" s="1056"/>
      <c r="KD102" s="1056"/>
      <c r="KE102" s="1056"/>
      <c r="KF102" s="1056"/>
      <c r="KG102" s="1056"/>
      <c r="KH102" s="1056"/>
      <c r="KI102" s="1056"/>
      <c r="KJ102" s="1056"/>
      <c r="KK102" s="1056"/>
      <c r="KL102" s="1056"/>
      <c r="KM102" s="1056"/>
      <c r="KN102" s="1056"/>
      <c r="KO102" s="1056"/>
      <c r="KP102" s="1056"/>
      <c r="KQ102" s="1056"/>
      <c r="KR102" s="1056"/>
      <c r="KS102" s="1056"/>
      <c r="KT102" s="1056"/>
      <c r="KU102" s="1056"/>
      <c r="KV102" s="1056"/>
      <c r="KW102" s="1056"/>
      <c r="KX102" s="1056"/>
      <c r="KY102" s="1056"/>
      <c r="KZ102" s="1056"/>
      <c r="LA102" s="1056"/>
      <c r="LB102" s="1056"/>
      <c r="LC102" s="1056"/>
      <c r="LD102" s="1056"/>
      <c r="LE102" s="1056"/>
      <c r="LF102" s="1056"/>
      <c r="LG102" s="1056"/>
      <c r="LH102" s="1056"/>
      <c r="LI102" s="1056"/>
      <c r="LJ102" s="1056"/>
      <c r="LK102" s="1056"/>
      <c r="LL102" s="1056"/>
      <c r="LM102" s="1056"/>
      <c r="LN102" s="1056"/>
      <c r="LO102" s="1056"/>
      <c r="LP102" s="1056"/>
      <c r="LQ102" s="1056"/>
      <c r="LR102" s="1056"/>
      <c r="LS102" s="1056"/>
      <c r="LT102" s="1056"/>
      <c r="LU102" s="1056"/>
      <c r="LV102" s="1056"/>
      <c r="LW102" s="1056"/>
      <c r="LX102" s="1056"/>
      <c r="LY102" s="1056"/>
      <c r="LZ102" s="1056"/>
      <c r="MA102" s="1056"/>
      <c r="MB102" s="1056"/>
      <c r="MC102" s="1056"/>
      <c r="MD102" s="1056"/>
      <c r="ME102" s="1056"/>
      <c r="MF102" s="1056"/>
      <c r="MG102" s="1056"/>
      <c r="MH102" s="1056"/>
      <c r="MI102" s="1056"/>
      <c r="MJ102" s="1056"/>
      <c r="MK102" s="1056"/>
      <c r="ML102" s="1056"/>
      <c r="MM102" s="1056"/>
      <c r="MN102" s="1056"/>
      <c r="MO102" s="1056"/>
      <c r="MP102" s="1056"/>
      <c r="MQ102" s="1056"/>
      <c r="MR102" s="1056"/>
      <c r="MS102" s="1056"/>
      <c r="MT102" s="1056"/>
      <c r="MU102" s="1056"/>
      <c r="MV102" s="1056"/>
      <c r="MW102" s="1056"/>
      <c r="MX102" s="1056"/>
      <c r="MY102" s="1056"/>
      <c r="MZ102" s="1056"/>
      <c r="NA102" s="1056"/>
      <c r="NB102" s="1056"/>
      <c r="NC102" s="1056"/>
      <c r="ND102" s="1056"/>
      <c r="NE102" s="1056"/>
      <c r="NF102" s="1056"/>
      <c r="NG102" s="1056"/>
      <c r="NH102" s="1056"/>
      <c r="NI102" s="1056"/>
      <c r="NJ102" s="1056"/>
      <c r="NK102" s="1056"/>
      <c r="NL102" s="1056"/>
      <c r="NM102" s="1056"/>
      <c r="NN102" s="1056"/>
      <c r="NO102" s="1056"/>
      <c r="NP102" s="1056"/>
      <c r="NQ102" s="1056"/>
      <c r="NR102" s="1056"/>
      <c r="NS102" s="1056"/>
      <c r="NT102" s="1056"/>
      <c r="NU102" s="1056"/>
      <c r="NV102" s="1056"/>
      <c r="NW102" s="1056"/>
      <c r="NX102" s="1056"/>
      <c r="NY102" s="1056"/>
      <c r="NZ102" s="1056"/>
      <c r="OA102" s="1056"/>
      <c r="OB102" s="1056"/>
      <c r="OC102" s="1056"/>
      <c r="OD102" s="1056"/>
      <c r="OE102" s="1056"/>
      <c r="OF102" s="1056"/>
      <c r="OG102" s="1056"/>
      <c r="OH102" s="1056"/>
      <c r="OI102" s="1056"/>
      <c r="OJ102" s="1056"/>
      <c r="OK102" s="1056"/>
      <c r="OL102" s="1056"/>
      <c r="OM102" s="1056"/>
      <c r="ON102" s="1056"/>
      <c r="OO102" s="1056"/>
      <c r="OP102" s="1056"/>
      <c r="OQ102" s="1056"/>
      <c r="OR102" s="1056"/>
      <c r="OS102" s="1056"/>
      <c r="OT102" s="1056"/>
      <c r="OU102" s="1056"/>
      <c r="OV102" s="1056"/>
      <c r="OW102" s="1056"/>
      <c r="OX102" s="1056"/>
      <c r="OY102" s="1056"/>
      <c r="OZ102" s="1056"/>
      <c r="PA102" s="1056"/>
      <c r="PB102" s="1056"/>
      <c r="PC102" s="1056"/>
      <c r="PD102" s="1056"/>
      <c r="PE102" s="1056"/>
      <c r="PF102" s="1056"/>
      <c r="PG102" s="1056"/>
      <c r="PH102" s="1056"/>
      <c r="PI102" s="1056"/>
      <c r="PJ102" s="1056"/>
      <c r="PK102" s="1056"/>
      <c r="PL102" s="1056"/>
      <c r="PM102" s="1056"/>
      <c r="PN102" s="1056"/>
      <c r="PO102" s="1056"/>
      <c r="PP102" s="1056"/>
      <c r="PQ102" s="1056"/>
      <c r="PR102" s="1056"/>
      <c r="PS102" s="1056"/>
      <c r="PT102" s="1056"/>
      <c r="PU102" s="1056"/>
      <c r="PV102" s="1056"/>
      <c r="PW102" s="1056"/>
      <c r="PX102" s="1056"/>
      <c r="PY102" s="1056"/>
      <c r="PZ102" s="1056"/>
      <c r="QA102" s="1056"/>
      <c r="QB102" s="1056"/>
      <c r="QC102" s="1056"/>
      <c r="QD102" s="1056"/>
      <c r="QE102" s="1056"/>
      <c r="QF102" s="1056"/>
      <c r="QG102" s="1056"/>
      <c r="QH102" s="1056"/>
      <c r="QI102" s="1056"/>
      <c r="QJ102" s="1056"/>
      <c r="QK102" s="1056"/>
      <c r="QL102" s="1056"/>
      <c r="QM102" s="1056"/>
      <c r="QN102" s="1056"/>
      <c r="QO102" s="1056"/>
      <c r="QP102" s="1056"/>
      <c r="QQ102" s="1056"/>
      <c r="QR102" s="1056"/>
      <c r="QS102" s="1056"/>
      <c r="QT102" s="1056"/>
      <c r="QU102" s="1056"/>
      <c r="QV102" s="1056"/>
      <c r="QW102" s="1056"/>
      <c r="QX102" s="1056"/>
      <c r="QY102" s="1056"/>
      <c r="QZ102" s="1056"/>
      <c r="RA102" s="1056"/>
      <c r="RB102" s="1056"/>
      <c r="RC102" s="1056"/>
      <c r="RD102" s="1056"/>
      <c r="RE102" s="1056"/>
      <c r="RF102" s="1056"/>
      <c r="RG102" s="1056"/>
      <c r="RH102" s="1056"/>
      <c r="RI102" s="1056"/>
      <c r="RJ102" s="1056"/>
      <c r="RK102" s="1056"/>
      <c r="RL102" s="1056"/>
      <c r="RM102" s="1056"/>
      <c r="RN102" s="1056"/>
      <c r="RO102" s="1056"/>
      <c r="RP102" s="1056"/>
      <c r="RQ102" s="1056"/>
      <c r="RR102" s="1056"/>
      <c r="RS102" s="1056"/>
      <c r="RT102" s="1056"/>
      <c r="RU102" s="1056"/>
      <c r="RV102" s="1056"/>
      <c r="RW102" s="1056"/>
      <c r="RX102" s="1056"/>
      <c r="RY102" s="1056"/>
      <c r="RZ102" s="1056"/>
      <c r="SA102" s="1056"/>
      <c r="SB102" s="1056"/>
      <c r="SC102" s="1056"/>
      <c r="SD102" s="1056"/>
      <c r="SE102" s="1056"/>
      <c r="SF102" s="1056"/>
      <c r="SG102" s="1056"/>
      <c r="SH102" s="1056"/>
      <c r="SI102" s="1056"/>
      <c r="SJ102" s="1056"/>
      <c r="SK102" s="1056"/>
      <c r="SL102" s="1056"/>
      <c r="SM102" s="1056"/>
      <c r="SN102" s="1056"/>
      <c r="SO102" s="1056"/>
      <c r="SP102" s="1056"/>
      <c r="SQ102" s="1056"/>
      <c r="SR102" s="1056"/>
      <c r="SS102" s="1056"/>
      <c r="ST102" s="1056"/>
      <c r="SU102" s="1056"/>
      <c r="SV102" s="1056"/>
      <c r="SW102" s="1056"/>
      <c r="SX102" s="1056"/>
      <c r="SY102" s="1056"/>
      <c r="SZ102" s="1056"/>
      <c r="TA102" s="1056"/>
      <c r="TB102" s="1056"/>
      <c r="TC102" s="1056"/>
      <c r="TD102" s="1056"/>
      <c r="TE102" s="1056"/>
      <c r="TF102" s="1056"/>
      <c r="TG102" s="1056"/>
      <c r="TH102" s="1056"/>
      <c r="TI102" s="1056"/>
      <c r="TJ102" s="1056"/>
      <c r="TK102" s="1056"/>
      <c r="TL102" s="1056"/>
      <c r="TM102" s="1056"/>
      <c r="TN102" s="1056"/>
      <c r="TO102" s="1056"/>
      <c r="TP102" s="1056"/>
      <c r="TQ102" s="1056"/>
      <c r="TR102" s="1056"/>
      <c r="TS102" s="1056"/>
      <c r="TT102" s="1056"/>
      <c r="TU102" s="1056"/>
      <c r="TV102" s="1056"/>
      <c r="TW102" s="1056"/>
      <c r="TX102" s="1056"/>
      <c r="TY102" s="1056"/>
      <c r="TZ102" s="1056"/>
      <c r="UA102" s="1056"/>
      <c r="UB102" s="1056"/>
      <c r="UC102" s="1056"/>
      <c r="UD102" s="1056"/>
      <c r="UE102" s="1056"/>
      <c r="UF102" s="1056"/>
      <c r="UG102" s="1056"/>
      <c r="UH102" s="1056"/>
      <c r="UI102" s="1056"/>
      <c r="UJ102" s="1056"/>
      <c r="UK102" s="1056"/>
      <c r="UL102" s="1056"/>
      <c r="UM102" s="1056"/>
      <c r="UN102" s="1056"/>
      <c r="UO102" s="1056"/>
      <c r="UP102" s="1056"/>
      <c r="UQ102" s="1056"/>
      <c r="UR102" s="1056"/>
      <c r="US102" s="1056"/>
      <c r="UT102" s="1056"/>
      <c r="UU102" s="1056"/>
      <c r="UV102" s="1056"/>
      <c r="UW102" s="1056"/>
      <c r="UX102" s="1056"/>
      <c r="UY102" s="1056"/>
      <c r="UZ102" s="1056"/>
      <c r="VA102" s="1056"/>
      <c r="VB102" s="1056"/>
      <c r="VC102" s="1056"/>
      <c r="VD102" s="1056"/>
      <c r="VE102" s="1056"/>
      <c r="VF102" s="1056"/>
      <c r="VG102" s="1056"/>
      <c r="VH102" s="1056"/>
      <c r="VI102" s="1056"/>
      <c r="VJ102" s="1056"/>
      <c r="VK102" s="1056"/>
      <c r="VL102" s="1056"/>
      <c r="VM102" s="1056"/>
      <c r="VN102" s="1056"/>
      <c r="VO102" s="1056"/>
      <c r="VP102" s="1056"/>
      <c r="VQ102" s="1056"/>
      <c r="VR102" s="1056"/>
      <c r="VS102" s="1056"/>
      <c r="VT102" s="1056"/>
      <c r="VU102" s="1056"/>
      <c r="VV102" s="1056"/>
      <c r="VW102" s="1056"/>
      <c r="VX102" s="1056"/>
      <c r="VY102" s="1056"/>
      <c r="VZ102" s="1056"/>
      <c r="WA102" s="1056"/>
      <c r="WB102" s="1056"/>
      <c r="WC102" s="1056"/>
      <c r="WD102" s="1056"/>
      <c r="WE102" s="1056"/>
      <c r="WF102" s="1056"/>
      <c r="WG102" s="1056"/>
      <c r="WH102" s="1056"/>
      <c r="WI102" s="1056"/>
      <c r="WJ102" s="1056"/>
      <c r="WK102" s="1056"/>
      <c r="WL102" s="1056"/>
      <c r="WM102" s="1056"/>
      <c r="WN102" s="1056"/>
      <c r="WO102" s="1056"/>
      <c r="WP102" s="1056"/>
      <c r="WQ102" s="1056"/>
      <c r="WR102" s="1056"/>
      <c r="WS102" s="1056"/>
      <c r="WT102" s="1056"/>
      <c r="WU102" s="1056"/>
      <c r="WV102" s="1056"/>
      <c r="WW102" s="1056"/>
      <c r="WX102" s="1056"/>
      <c r="WY102" s="1056"/>
      <c r="WZ102" s="1056"/>
      <c r="XA102" s="1056"/>
      <c r="XB102" s="1056"/>
      <c r="XC102" s="1056"/>
      <c r="XD102" s="1056"/>
      <c r="XE102" s="1056"/>
      <c r="XF102" s="1056"/>
      <c r="XG102" s="1056"/>
      <c r="XH102" s="1056"/>
      <c r="XI102" s="1056"/>
      <c r="XJ102" s="1056"/>
      <c r="XK102" s="1056"/>
      <c r="XL102" s="1056"/>
      <c r="XM102" s="1056"/>
      <c r="XN102" s="1056"/>
      <c r="XO102" s="1056"/>
      <c r="XP102" s="1056"/>
      <c r="XQ102" s="1056"/>
      <c r="XR102" s="1056"/>
      <c r="XS102" s="1056"/>
      <c r="XT102" s="1056"/>
      <c r="XU102" s="1056"/>
      <c r="XV102" s="1056"/>
      <c r="XW102" s="1056"/>
      <c r="XX102" s="1056"/>
      <c r="XY102" s="1056"/>
      <c r="XZ102" s="1056"/>
      <c r="YA102" s="1056"/>
      <c r="YB102" s="1056"/>
      <c r="YC102" s="1056"/>
      <c r="YD102" s="1056"/>
      <c r="YE102" s="1056"/>
      <c r="YF102" s="1056"/>
      <c r="YG102" s="1056"/>
      <c r="YH102" s="1056"/>
      <c r="YI102" s="1056"/>
      <c r="YJ102" s="1056"/>
      <c r="YK102" s="1056"/>
      <c r="YL102" s="1056"/>
      <c r="YM102" s="1056"/>
      <c r="YN102" s="1056"/>
      <c r="YO102" s="1056"/>
      <c r="YP102" s="1056"/>
      <c r="YQ102" s="1056"/>
      <c r="YR102" s="1056"/>
      <c r="YS102" s="1056"/>
      <c r="YT102" s="1056"/>
      <c r="YU102" s="1056"/>
      <c r="YV102" s="1056"/>
      <c r="YW102" s="1056"/>
      <c r="YX102" s="1056"/>
      <c r="YY102" s="1056"/>
      <c r="YZ102" s="1056"/>
      <c r="ZA102" s="1056"/>
      <c r="ZB102" s="1056"/>
      <c r="ZC102" s="1056"/>
      <c r="ZD102" s="1056"/>
      <c r="ZE102" s="1056"/>
      <c r="ZF102" s="1056"/>
      <c r="ZG102" s="1056"/>
      <c r="ZH102" s="1056"/>
      <c r="ZI102" s="1056"/>
      <c r="ZJ102" s="1056"/>
      <c r="ZK102" s="1056"/>
      <c r="ZL102" s="1056"/>
      <c r="ZM102" s="1056"/>
      <c r="ZN102" s="1056"/>
      <c r="ZO102" s="1056"/>
      <c r="ZP102" s="1056"/>
      <c r="ZQ102" s="1056"/>
      <c r="ZR102" s="1056"/>
      <c r="ZS102" s="1056"/>
      <c r="ZT102" s="1056"/>
      <c r="ZU102" s="1056"/>
      <c r="ZV102" s="1056"/>
      <c r="ZW102" s="1056"/>
      <c r="ZX102" s="1056"/>
      <c r="ZY102" s="1056"/>
      <c r="ZZ102" s="1056"/>
      <c r="AAA102" s="1056"/>
      <c r="AAB102" s="1056"/>
      <c r="AAC102" s="1056"/>
      <c r="AAD102" s="1056"/>
      <c r="AAE102" s="1056"/>
      <c r="AAF102" s="1056"/>
      <c r="AAG102" s="1056"/>
      <c r="AAH102" s="1056"/>
      <c r="AAI102" s="1056"/>
      <c r="AAJ102" s="1056"/>
      <c r="AAK102" s="1056"/>
      <c r="AAL102" s="1056"/>
      <c r="AAM102" s="1056"/>
      <c r="AAN102" s="1056"/>
      <c r="AAO102" s="1056"/>
      <c r="AAP102" s="1056"/>
      <c r="AAQ102" s="1056"/>
      <c r="AAR102" s="1056"/>
      <c r="AAS102" s="1056"/>
      <c r="AAT102" s="1056"/>
      <c r="AAU102" s="1056"/>
      <c r="AAV102" s="1056"/>
      <c r="AAW102" s="1056"/>
      <c r="AAX102" s="1056"/>
      <c r="AAY102" s="1056"/>
      <c r="AAZ102" s="1056"/>
      <c r="ABA102" s="1056"/>
      <c r="ABB102" s="1056"/>
      <c r="ABC102" s="1056"/>
      <c r="ABD102" s="1056"/>
      <c r="ABE102" s="1056"/>
      <c r="ABF102" s="1056"/>
      <c r="ABG102" s="1056"/>
      <c r="ABH102" s="1056"/>
      <c r="ABI102" s="1056"/>
      <c r="ABJ102" s="1056"/>
      <c r="ABK102" s="1056"/>
      <c r="ABL102" s="1056"/>
      <c r="ABM102" s="1056"/>
      <c r="ABN102" s="1056"/>
      <c r="ABO102" s="1056"/>
      <c r="ABP102" s="1056"/>
      <c r="ABQ102" s="1056"/>
      <c r="ABR102" s="1056"/>
      <c r="ABS102" s="1056"/>
      <c r="ABT102" s="1056"/>
      <c r="ABU102" s="1056"/>
      <c r="ABV102" s="1056"/>
      <c r="ABW102" s="1056"/>
      <c r="ABX102" s="1056"/>
      <c r="ABY102" s="1056"/>
      <c r="ABZ102" s="1056"/>
      <c r="ACA102" s="1056"/>
      <c r="ACB102" s="1056"/>
      <c r="ACC102" s="1056"/>
      <c r="ACD102" s="1056"/>
      <c r="ACE102" s="1056"/>
      <c r="ACF102" s="1056"/>
      <c r="ACG102" s="1056"/>
      <c r="ACH102" s="1056"/>
      <c r="ACI102" s="1056"/>
      <c r="ACJ102" s="1056"/>
      <c r="ACK102" s="1056"/>
      <c r="ACL102" s="1056"/>
      <c r="ACM102" s="1056"/>
      <c r="ACN102" s="1056"/>
      <c r="ACO102" s="1056"/>
      <c r="ACP102" s="1056"/>
      <c r="ACQ102" s="1056"/>
      <c r="ACR102" s="1056"/>
      <c r="ACS102" s="1056"/>
      <c r="ACT102" s="1056"/>
      <c r="ACU102" s="1056"/>
      <c r="ACV102" s="1056"/>
      <c r="ACW102" s="1056"/>
      <c r="ACX102" s="1056"/>
      <c r="ACY102" s="1056"/>
      <c r="ACZ102" s="1056"/>
      <c r="ADA102" s="1056"/>
      <c r="ADB102" s="1056"/>
      <c r="ADC102" s="1056"/>
      <c r="ADD102" s="1056"/>
      <c r="ADE102" s="1056"/>
      <c r="ADF102" s="1056"/>
      <c r="ADG102" s="1056"/>
      <c r="ADH102" s="1056"/>
      <c r="ADI102" s="1056"/>
      <c r="ADJ102" s="1056"/>
      <c r="ADK102" s="1056"/>
      <c r="ADL102" s="1056"/>
      <c r="ADM102" s="1056"/>
      <c r="ADN102" s="1056"/>
      <c r="ADO102" s="1056"/>
      <c r="ADP102" s="1056"/>
      <c r="ADQ102" s="1056"/>
      <c r="ADR102" s="1056"/>
      <c r="ADS102" s="1056"/>
      <c r="ADT102" s="1056"/>
      <c r="ADU102" s="1056"/>
      <c r="ADV102" s="1056"/>
      <c r="ADW102" s="1056"/>
      <c r="ADX102" s="1056"/>
      <c r="ADY102" s="1056"/>
      <c r="ADZ102" s="1056"/>
      <c r="AEA102" s="1056"/>
      <c r="AEB102" s="1056"/>
      <c r="AEC102" s="1056"/>
      <c r="AED102" s="1056"/>
      <c r="AEE102" s="1056"/>
      <c r="AEF102" s="1056"/>
      <c r="AEG102" s="1056"/>
      <c r="AEH102" s="1056"/>
      <c r="AEI102" s="1056"/>
      <c r="AEJ102" s="1056"/>
      <c r="AEK102" s="1056"/>
      <c r="AEL102" s="1056"/>
      <c r="AEM102" s="1056"/>
      <c r="AEN102" s="1056"/>
      <c r="AEO102" s="1056"/>
      <c r="AEP102" s="1056"/>
      <c r="AEQ102" s="1056"/>
      <c r="AER102" s="1056"/>
      <c r="AES102" s="1056"/>
      <c r="AET102" s="1056"/>
      <c r="AEU102" s="1056"/>
      <c r="AEV102" s="1056"/>
      <c r="AEW102" s="1056"/>
      <c r="AEX102" s="1056"/>
      <c r="AEY102" s="1056"/>
      <c r="AEZ102" s="1056"/>
      <c r="AFA102" s="1056"/>
      <c r="AFB102" s="1056"/>
      <c r="AFC102" s="1056"/>
      <c r="AFD102" s="1056"/>
      <c r="AFE102" s="1056"/>
      <c r="AFF102" s="1056"/>
      <c r="AFG102" s="1056"/>
      <c r="AFH102" s="1056"/>
      <c r="AFI102" s="1056"/>
      <c r="AFJ102" s="1056"/>
      <c r="AFK102" s="1056"/>
      <c r="AFL102" s="1056"/>
      <c r="AFM102" s="1056"/>
      <c r="AFN102" s="1056"/>
      <c r="AFO102" s="1056"/>
      <c r="AFP102" s="1056"/>
      <c r="AFQ102" s="1056"/>
      <c r="AFR102" s="1056"/>
      <c r="AFS102" s="1056"/>
      <c r="AFT102" s="1056"/>
      <c r="AFU102" s="1056"/>
      <c r="AFV102" s="1056"/>
      <c r="AFW102" s="1056"/>
      <c r="AFX102" s="1056"/>
      <c r="AFY102" s="1056"/>
      <c r="AFZ102" s="1056"/>
      <c r="AGA102" s="1056"/>
      <c r="AGB102" s="1056"/>
      <c r="AGC102" s="1056"/>
      <c r="AGD102" s="1056"/>
      <c r="AGE102" s="1056"/>
      <c r="AGF102" s="1056"/>
      <c r="AGG102" s="1056"/>
      <c r="AGH102" s="1056"/>
      <c r="AGI102" s="1056"/>
      <c r="AGJ102" s="1056"/>
      <c r="AGK102" s="1056"/>
      <c r="AGL102" s="1056"/>
      <c r="AGM102" s="1056"/>
      <c r="AGN102" s="1056"/>
      <c r="AGO102" s="1056"/>
      <c r="AGP102" s="1056"/>
      <c r="AGQ102" s="1056"/>
      <c r="AGR102" s="1056"/>
      <c r="AGS102" s="1056"/>
      <c r="AGT102" s="1056"/>
      <c r="AGU102" s="1056"/>
      <c r="AGV102" s="1056"/>
      <c r="AGW102" s="1056"/>
      <c r="AGX102" s="1056"/>
      <c r="AGY102" s="1056"/>
      <c r="AGZ102" s="1056"/>
      <c r="AHA102" s="1056"/>
      <c r="AHB102" s="1056"/>
      <c r="AHC102" s="1056"/>
      <c r="AHD102" s="1056"/>
      <c r="AHE102" s="1056"/>
      <c r="AHF102" s="1056"/>
      <c r="AHG102" s="1056"/>
      <c r="AHH102" s="1056"/>
      <c r="AHI102" s="1056"/>
      <c r="AHJ102" s="1056"/>
      <c r="AHK102" s="1056"/>
      <c r="AHL102" s="1056"/>
      <c r="AHM102" s="1056"/>
      <c r="AHN102" s="1056"/>
      <c r="AHO102" s="1056"/>
      <c r="AHP102" s="1056"/>
      <c r="AHQ102" s="1056"/>
      <c r="AHR102" s="1056"/>
      <c r="AHS102" s="1056"/>
      <c r="AHT102" s="1056"/>
      <c r="AHU102" s="1056"/>
      <c r="AHV102" s="1056"/>
      <c r="AHW102" s="1056"/>
      <c r="AHX102" s="1056"/>
      <c r="AHY102" s="1056"/>
      <c r="AHZ102" s="1056"/>
      <c r="AIA102" s="1056"/>
      <c r="AIB102" s="1056"/>
      <c r="AIC102" s="1056"/>
      <c r="AID102" s="1056"/>
      <c r="AIE102" s="1056"/>
      <c r="AIF102" s="1056"/>
      <c r="AIG102" s="1056"/>
      <c r="AIH102" s="1056"/>
      <c r="AII102" s="1056"/>
      <c r="AIJ102" s="1056"/>
      <c r="AIK102" s="1056"/>
      <c r="AIL102" s="1056"/>
      <c r="AIM102" s="1056"/>
      <c r="AIN102" s="1056"/>
      <c r="AIO102" s="1056"/>
      <c r="AIP102" s="1056"/>
      <c r="AIQ102" s="1056"/>
      <c r="AIR102" s="1056"/>
      <c r="AIS102" s="1056"/>
      <c r="AIT102" s="1056"/>
      <c r="AIU102" s="1056"/>
      <c r="AIV102" s="1056"/>
      <c r="AIW102" s="1056"/>
      <c r="AIX102" s="1056"/>
      <c r="AIY102" s="1056"/>
      <c r="AIZ102" s="1056"/>
      <c r="AJA102" s="1056"/>
      <c r="AJB102" s="1056"/>
      <c r="AJC102" s="1056"/>
      <c r="AJD102" s="1056"/>
      <c r="AJE102" s="1056"/>
      <c r="AJF102" s="1056"/>
      <c r="AJG102" s="1056"/>
      <c r="AJH102" s="1056"/>
      <c r="AJI102" s="1056"/>
      <c r="AJJ102" s="1056"/>
      <c r="AJK102" s="1056"/>
      <c r="AJL102" s="1056"/>
      <c r="AJM102" s="1056"/>
      <c r="AJN102" s="1056"/>
      <c r="AJO102" s="1056"/>
      <c r="AJP102" s="1056"/>
      <c r="AJQ102" s="1056"/>
      <c r="AJR102" s="1056"/>
      <c r="AJS102" s="1056"/>
      <c r="AJT102" s="1056"/>
      <c r="AJU102" s="1056"/>
      <c r="AJV102" s="1056"/>
      <c r="AJW102" s="1056"/>
      <c r="AJX102" s="1056"/>
      <c r="AJY102" s="1056"/>
      <c r="AJZ102" s="1056"/>
      <c r="AKA102" s="1056"/>
      <c r="AKB102" s="1056"/>
      <c r="AKC102" s="1056"/>
      <c r="AKD102" s="1056"/>
      <c r="AKE102" s="1056"/>
      <c r="AKF102" s="1056"/>
      <c r="AKG102" s="1056"/>
      <c r="AKH102" s="1056"/>
      <c r="AKI102" s="1056"/>
      <c r="AKJ102" s="1056"/>
      <c r="AKK102" s="1056"/>
      <c r="AKL102" s="1056"/>
      <c r="AKM102" s="1056"/>
      <c r="AKN102" s="1056"/>
      <c r="AKO102" s="1056"/>
      <c r="AKP102" s="1056"/>
      <c r="AKQ102" s="1056"/>
      <c r="AKR102" s="1056"/>
      <c r="AKS102" s="1056"/>
      <c r="AKT102" s="1056"/>
      <c r="AKU102" s="1056"/>
      <c r="AKV102" s="1056"/>
      <c r="AKW102" s="1056"/>
      <c r="AKX102" s="1056"/>
      <c r="AKY102" s="1056"/>
      <c r="AKZ102" s="1056"/>
      <c r="ALA102" s="1056"/>
      <c r="ALB102" s="1056"/>
      <c r="ALC102" s="1056"/>
      <c r="ALD102" s="1056"/>
      <c r="ALE102" s="1056"/>
      <c r="ALF102" s="1056"/>
      <c r="ALG102" s="1056"/>
      <c r="ALH102" s="1056"/>
      <c r="ALI102" s="1056"/>
      <c r="ALJ102" s="1056"/>
      <c r="ALK102" s="1056"/>
      <c r="ALL102" s="1056"/>
      <c r="ALM102" s="1056"/>
      <c r="ALN102" s="1056"/>
      <c r="ALO102" s="1056"/>
      <c r="ALP102" s="1056"/>
      <c r="ALQ102" s="1056"/>
      <c r="ALR102" s="1056"/>
      <c r="ALS102" s="1056"/>
      <c r="ALT102" s="1056"/>
      <c r="ALU102" s="1056"/>
      <c r="ALV102" s="1056"/>
      <c r="ALW102" s="1056"/>
      <c r="ALX102" s="1056"/>
      <c r="ALY102" s="1056"/>
      <c r="ALZ102" s="1056"/>
      <c r="AMA102" s="1056"/>
      <c r="AMB102" s="1056"/>
      <c r="AMC102" s="1056"/>
      <c r="AMD102" s="1056"/>
      <c r="AME102" s="1056"/>
      <c r="AMF102" s="1056"/>
      <c r="AMG102" s="1056"/>
      <c r="AMH102" s="1056"/>
      <c r="AMI102" s="1056"/>
      <c r="AMJ102" s="1056"/>
      <c r="AMK102" s="1056"/>
      <c r="AML102" s="1056"/>
      <c r="AMM102" s="1056"/>
      <c r="AMN102" s="1056"/>
      <c r="AMO102" s="1056"/>
      <c r="AMP102" s="1056"/>
      <c r="AMQ102" s="1056"/>
      <c r="AMR102" s="1056"/>
      <c r="AMS102" s="1056"/>
      <c r="AMT102" s="1056"/>
      <c r="AMU102" s="1056"/>
      <c r="AMV102" s="1056"/>
      <c r="AMW102" s="1056"/>
      <c r="AMX102" s="1056"/>
      <c r="AMY102" s="1056"/>
      <c r="AMZ102" s="1056"/>
      <c r="ANA102" s="1056"/>
      <c r="ANB102" s="1056"/>
      <c r="ANC102" s="1056"/>
      <c r="AND102" s="1056"/>
      <c r="ANE102" s="1056"/>
      <c r="ANF102" s="1056"/>
      <c r="ANG102" s="1056"/>
      <c r="ANH102" s="1056"/>
      <c r="ANI102" s="1056"/>
      <c r="ANJ102" s="1056"/>
      <c r="ANK102" s="1056"/>
      <c r="ANL102" s="1056"/>
      <c r="ANM102" s="1056"/>
      <c r="ANN102" s="1056"/>
      <c r="ANO102" s="1056"/>
      <c r="ANP102" s="1056"/>
      <c r="ANQ102" s="1056"/>
      <c r="ANR102" s="1056"/>
      <c r="ANS102" s="1056"/>
      <c r="ANT102" s="1056"/>
      <c r="ANU102" s="1056"/>
      <c r="ANV102" s="1056"/>
      <c r="ANW102" s="1056"/>
      <c r="ANX102" s="1056"/>
      <c r="ANY102" s="1056"/>
      <c r="ANZ102" s="1056"/>
      <c r="AOA102" s="1056"/>
      <c r="AOB102" s="1056"/>
      <c r="AOC102" s="1056"/>
      <c r="AOD102" s="1056"/>
      <c r="AOE102" s="1056"/>
      <c r="AOF102" s="1056"/>
      <c r="AOG102" s="1056"/>
      <c r="AOH102" s="1056"/>
      <c r="AOI102" s="1056"/>
      <c r="AOJ102" s="1056"/>
      <c r="AOK102" s="1056"/>
      <c r="AOL102" s="1056"/>
      <c r="AOM102" s="1056"/>
      <c r="AON102" s="1056"/>
      <c r="AOO102" s="1056"/>
      <c r="AOP102" s="1056"/>
      <c r="AOQ102" s="1056"/>
      <c r="AOR102" s="1056"/>
      <c r="AOS102" s="1056"/>
      <c r="AOT102" s="1056"/>
      <c r="AOU102" s="1056"/>
      <c r="AOV102" s="1056"/>
      <c r="AOW102" s="1056"/>
      <c r="AOX102" s="1056"/>
      <c r="AOY102" s="1056"/>
      <c r="AOZ102" s="1056"/>
      <c r="APA102" s="1056"/>
      <c r="APB102" s="1056"/>
      <c r="APC102" s="1056"/>
      <c r="APD102" s="1056"/>
      <c r="APE102" s="1056"/>
      <c r="APF102" s="1056"/>
      <c r="APG102" s="1056"/>
      <c r="APH102" s="1056"/>
      <c r="API102" s="1056"/>
      <c r="APJ102" s="1056"/>
      <c r="APK102" s="1056"/>
      <c r="APL102" s="1056"/>
      <c r="APM102" s="1056"/>
      <c r="APN102" s="1056"/>
      <c r="APO102" s="1056"/>
      <c r="APP102" s="1056"/>
      <c r="APQ102" s="1056"/>
      <c r="APR102" s="1056"/>
      <c r="APS102" s="1056"/>
      <c r="APT102" s="1056"/>
      <c r="APU102" s="1056"/>
      <c r="APV102" s="1056"/>
      <c r="APW102" s="1056"/>
      <c r="APX102" s="1056"/>
      <c r="APY102" s="1056"/>
      <c r="APZ102" s="1056"/>
      <c r="AQA102" s="1056"/>
      <c r="AQB102" s="1056"/>
      <c r="AQC102" s="1056"/>
      <c r="AQD102" s="1056"/>
      <c r="AQE102" s="1056"/>
      <c r="AQF102" s="1056"/>
      <c r="AQG102" s="1056"/>
      <c r="AQH102" s="1056"/>
      <c r="AQI102" s="1056"/>
      <c r="AQJ102" s="1056"/>
      <c r="AQK102" s="1056"/>
      <c r="AQL102" s="1056"/>
      <c r="AQM102" s="1056"/>
      <c r="AQN102" s="1056"/>
      <c r="AQO102" s="1056"/>
      <c r="AQP102" s="1056"/>
      <c r="AQQ102" s="1056"/>
      <c r="AQR102" s="1056"/>
      <c r="AQS102" s="1056"/>
      <c r="AQT102" s="1056"/>
      <c r="AQU102" s="1056"/>
      <c r="AQV102" s="1056"/>
      <c r="AQW102" s="1056"/>
      <c r="AQX102" s="1056"/>
      <c r="AQY102" s="1056"/>
      <c r="AQZ102" s="1056"/>
      <c r="ARA102" s="1056"/>
      <c r="ARB102" s="1056"/>
      <c r="ARC102" s="1056"/>
      <c r="ARD102" s="1056"/>
      <c r="ARE102" s="1056"/>
      <c r="ARF102" s="1056"/>
      <c r="ARG102" s="1056"/>
      <c r="ARH102" s="1056"/>
      <c r="ARI102" s="1056"/>
      <c r="ARJ102" s="1056"/>
      <c r="ARK102" s="1056"/>
      <c r="ARL102" s="1056"/>
      <c r="ARM102" s="1056"/>
      <c r="ARN102" s="1056"/>
      <c r="ARO102" s="1056"/>
      <c r="ARP102" s="1056"/>
      <c r="ARQ102" s="1056"/>
      <c r="ARR102" s="1056"/>
      <c r="ARS102" s="1056"/>
      <c r="ART102" s="1056"/>
      <c r="ARU102" s="1056"/>
      <c r="ARV102" s="1056"/>
      <c r="ARW102" s="1056"/>
      <c r="ARX102" s="1056"/>
      <c r="ARY102" s="1056"/>
      <c r="ARZ102" s="1056"/>
      <c r="ASA102" s="1056"/>
      <c r="ASB102" s="1056"/>
      <c r="ASC102" s="1056"/>
      <c r="ASD102" s="1056"/>
      <c r="ASE102" s="1056"/>
      <c r="ASF102" s="1056"/>
      <c r="ASG102" s="1056"/>
      <c r="ASH102" s="1056"/>
      <c r="ASI102" s="1056"/>
      <c r="ASJ102" s="1056"/>
      <c r="ASK102" s="1056"/>
      <c r="ASL102" s="1056"/>
      <c r="ASM102" s="1056"/>
      <c r="ASN102" s="1056"/>
      <c r="ASO102" s="1056"/>
      <c r="ASP102" s="1056"/>
      <c r="ASQ102" s="1056"/>
      <c r="ASR102" s="1056"/>
      <c r="ASS102" s="1056"/>
      <c r="AST102" s="1056"/>
      <c r="ASU102" s="1056"/>
      <c r="ASV102" s="1056"/>
      <c r="ASW102" s="1056"/>
      <c r="ASX102" s="1056"/>
      <c r="ASY102" s="1056"/>
      <c r="ASZ102" s="1056"/>
      <c r="ATA102" s="1056"/>
      <c r="ATB102" s="1056"/>
      <c r="ATC102" s="1056"/>
      <c r="ATD102" s="1056"/>
      <c r="ATE102" s="1056"/>
      <c r="ATF102" s="1056"/>
      <c r="ATG102" s="1056"/>
      <c r="ATH102" s="1056"/>
      <c r="ATI102" s="1056"/>
      <c r="ATJ102" s="1056"/>
      <c r="ATK102" s="1056"/>
      <c r="ATL102" s="1056"/>
      <c r="ATM102" s="1056"/>
      <c r="ATN102" s="1056"/>
      <c r="ATO102" s="1056"/>
      <c r="ATP102" s="1056"/>
      <c r="ATQ102" s="1056"/>
      <c r="ATR102" s="1056"/>
      <c r="ATS102" s="1056"/>
      <c r="ATT102" s="1056"/>
      <c r="ATU102" s="1056"/>
      <c r="ATV102" s="1056"/>
      <c r="ATW102" s="1056"/>
      <c r="ATX102" s="1056"/>
      <c r="ATY102" s="1056"/>
      <c r="ATZ102" s="1056"/>
      <c r="AUA102" s="1056"/>
      <c r="AUB102" s="1056"/>
      <c r="AUC102" s="1056"/>
      <c r="AUD102" s="1056"/>
      <c r="AUE102" s="1056"/>
      <c r="AUF102" s="1056"/>
      <c r="AUG102" s="1056"/>
      <c r="AUH102" s="1056"/>
      <c r="AUI102" s="1056"/>
      <c r="AUJ102" s="1056"/>
      <c r="AUK102" s="1056"/>
      <c r="AUL102" s="1056"/>
      <c r="AUM102" s="1056"/>
      <c r="AUN102" s="1056"/>
      <c r="AUO102" s="1056"/>
      <c r="AUP102" s="1056"/>
      <c r="AUQ102" s="1056"/>
      <c r="AUR102" s="1056"/>
      <c r="AUS102" s="1056"/>
      <c r="AUT102" s="1056"/>
      <c r="AUU102" s="1056"/>
      <c r="AUV102" s="1056"/>
      <c r="AUW102" s="1056"/>
      <c r="AUX102" s="1056"/>
      <c r="AUY102" s="1056"/>
      <c r="AUZ102" s="1056"/>
      <c r="AVA102" s="1056"/>
      <c r="AVB102" s="1056"/>
      <c r="AVC102" s="1056"/>
      <c r="AVD102" s="1056"/>
      <c r="AVE102" s="1056"/>
      <c r="AVF102" s="1056"/>
      <c r="AVG102" s="1056"/>
      <c r="AVH102" s="1056"/>
      <c r="AVI102" s="1056"/>
      <c r="AVJ102" s="1056"/>
      <c r="AVK102" s="1056"/>
      <c r="AVL102" s="1056"/>
      <c r="AVM102" s="1056"/>
      <c r="AVN102" s="1056"/>
      <c r="AVO102" s="1056"/>
      <c r="AVP102" s="1056"/>
      <c r="AVQ102" s="1056"/>
      <c r="AVR102" s="1056"/>
      <c r="AVS102" s="1056"/>
      <c r="AVT102" s="1056"/>
      <c r="AVU102" s="1056"/>
      <c r="AVV102" s="1056"/>
      <c r="AVW102" s="1056"/>
      <c r="AVX102" s="1056"/>
      <c r="AVY102" s="1056"/>
      <c r="AVZ102" s="1056"/>
      <c r="AWA102" s="1056"/>
      <c r="AWB102" s="1056"/>
      <c r="AWC102" s="1056"/>
      <c r="AWD102" s="1056"/>
      <c r="AWE102" s="1056"/>
      <c r="AWF102" s="1056"/>
      <c r="AWG102" s="1056"/>
      <c r="AWH102" s="1056"/>
      <c r="AWI102" s="1056"/>
      <c r="AWJ102" s="1056"/>
      <c r="AWK102" s="1056"/>
      <c r="AWL102" s="1056"/>
      <c r="AWM102" s="1056"/>
      <c r="AWN102" s="1056"/>
      <c r="AWO102" s="1056"/>
      <c r="AWP102" s="1056"/>
      <c r="AWQ102" s="1056"/>
      <c r="AWR102" s="1056"/>
      <c r="AWS102" s="1056"/>
      <c r="AWT102" s="1056"/>
      <c r="AWU102" s="1056"/>
      <c r="AWV102" s="1056"/>
      <c r="AWW102" s="1056"/>
      <c r="AWX102" s="1056"/>
      <c r="AWY102" s="1056"/>
      <c r="AWZ102" s="1056"/>
      <c r="AXA102" s="1056"/>
      <c r="AXB102" s="1056"/>
      <c r="AXC102" s="1056"/>
      <c r="AXD102" s="1056"/>
      <c r="AXE102" s="1056"/>
      <c r="AXF102" s="1056"/>
      <c r="AXG102" s="1056"/>
      <c r="AXH102" s="1056"/>
      <c r="AXI102" s="1056"/>
      <c r="AXJ102" s="1056"/>
      <c r="AXK102" s="1056"/>
      <c r="AXL102" s="1056"/>
      <c r="AXM102" s="1056"/>
      <c r="AXN102" s="1056"/>
      <c r="AXO102" s="1056"/>
      <c r="AXP102" s="1056"/>
      <c r="AXQ102" s="1056"/>
      <c r="AXR102" s="1056"/>
      <c r="AXS102" s="1056"/>
      <c r="AXT102" s="1056"/>
      <c r="AXU102" s="1056"/>
      <c r="AXV102" s="1056"/>
      <c r="AXW102" s="1056"/>
      <c r="AXX102" s="1056"/>
      <c r="AXY102" s="1056"/>
      <c r="AXZ102" s="1056"/>
      <c r="AYA102" s="1056"/>
      <c r="AYB102" s="1056"/>
      <c r="AYC102" s="1056"/>
      <c r="AYD102" s="1056"/>
      <c r="AYE102" s="1056"/>
      <c r="AYF102" s="1056"/>
      <c r="AYG102" s="1056"/>
      <c r="AYH102" s="1056"/>
      <c r="AYI102" s="1056"/>
      <c r="AYJ102" s="1056"/>
      <c r="AYK102" s="1056"/>
      <c r="AYL102" s="1056"/>
      <c r="AYM102" s="1056"/>
      <c r="AYN102" s="1056"/>
      <c r="AYO102" s="1056"/>
      <c r="AYP102" s="1056"/>
      <c r="AYQ102" s="1056"/>
      <c r="AYR102" s="1056"/>
      <c r="AYS102" s="1056"/>
      <c r="AYT102" s="1056"/>
      <c r="AYU102" s="1056"/>
      <c r="AYV102" s="1056"/>
      <c r="AYW102" s="1056"/>
      <c r="AYX102" s="1056"/>
      <c r="AYY102" s="1056"/>
      <c r="AYZ102" s="1056"/>
      <c r="AZA102" s="1056"/>
      <c r="AZB102" s="1056"/>
      <c r="AZC102" s="1056"/>
      <c r="AZD102" s="1056"/>
      <c r="AZE102" s="1056"/>
      <c r="AZF102" s="1056"/>
      <c r="AZG102" s="1056"/>
      <c r="AZH102" s="1056"/>
      <c r="AZI102" s="1056"/>
      <c r="AZJ102" s="1056"/>
      <c r="AZK102" s="1056"/>
      <c r="AZL102" s="1056"/>
      <c r="AZM102" s="1056"/>
      <c r="AZN102" s="1056"/>
      <c r="AZO102" s="1056"/>
      <c r="AZP102" s="1056"/>
      <c r="AZQ102" s="1056"/>
      <c r="AZR102" s="1056"/>
      <c r="AZS102" s="1056"/>
      <c r="AZT102" s="1056"/>
      <c r="AZU102" s="1056"/>
      <c r="AZV102" s="1056"/>
      <c r="AZW102" s="1056"/>
      <c r="AZX102" s="1056"/>
      <c r="AZY102" s="1056"/>
      <c r="AZZ102" s="1056"/>
      <c r="BAA102" s="1056"/>
      <c r="BAB102" s="1056"/>
      <c r="BAC102" s="1056"/>
      <c r="BAD102" s="1056"/>
      <c r="BAE102" s="1056"/>
      <c r="BAF102" s="1056"/>
      <c r="BAG102" s="1056"/>
      <c r="BAH102" s="1056"/>
      <c r="BAI102" s="1056"/>
      <c r="BAJ102" s="1056"/>
      <c r="BAK102" s="1056"/>
      <c r="BAL102" s="1056"/>
      <c r="BAM102" s="1056"/>
      <c r="BAN102" s="1056"/>
      <c r="BAO102" s="1056"/>
      <c r="BAP102" s="1056"/>
      <c r="BAQ102" s="1056"/>
      <c r="BAR102" s="1056"/>
      <c r="BAS102" s="1056"/>
      <c r="BAT102" s="1056"/>
      <c r="BAU102" s="1056"/>
      <c r="BAV102" s="1056"/>
      <c r="BAW102" s="1056"/>
      <c r="BAX102" s="1056"/>
      <c r="BAY102" s="1056"/>
      <c r="BAZ102" s="1056"/>
      <c r="BBA102" s="1056"/>
      <c r="BBB102" s="1056"/>
      <c r="BBC102" s="1056"/>
      <c r="BBD102" s="1056"/>
      <c r="BBE102" s="1056"/>
      <c r="BBF102" s="1056"/>
      <c r="BBG102" s="1056"/>
      <c r="BBH102" s="1056"/>
      <c r="BBI102" s="1056"/>
      <c r="BBJ102" s="1056"/>
      <c r="BBK102" s="1056"/>
      <c r="BBL102" s="1056"/>
      <c r="BBM102" s="1056"/>
      <c r="BBN102" s="1056"/>
      <c r="BBO102" s="1056"/>
      <c r="BBP102" s="1056"/>
      <c r="BBQ102" s="1056"/>
      <c r="BBR102" s="1056"/>
      <c r="BBS102" s="1056"/>
      <c r="BBT102" s="1056"/>
      <c r="BBU102" s="1056"/>
      <c r="BBV102" s="1056"/>
      <c r="BBW102" s="1056"/>
      <c r="BBX102" s="1056"/>
      <c r="BBY102" s="1056"/>
      <c r="BBZ102" s="1056"/>
      <c r="BCA102" s="1056"/>
      <c r="BCB102" s="1056"/>
      <c r="BCC102" s="1056"/>
      <c r="BCD102" s="1056"/>
      <c r="BCE102" s="1056"/>
      <c r="BCF102" s="1056"/>
      <c r="BCG102" s="1056"/>
      <c r="BCH102" s="1056"/>
      <c r="BCI102" s="1056"/>
      <c r="BCJ102" s="1056"/>
      <c r="BCK102" s="1056"/>
      <c r="BCL102" s="1056"/>
      <c r="BCM102" s="1056"/>
      <c r="BCN102" s="1056"/>
      <c r="BCO102" s="1056"/>
      <c r="BCP102" s="1056"/>
      <c r="BCQ102" s="1056"/>
      <c r="BCR102" s="1056"/>
      <c r="BCS102" s="1056"/>
      <c r="BCT102" s="1056"/>
      <c r="BCU102" s="1056"/>
      <c r="BCV102" s="1056"/>
      <c r="BCW102" s="1056"/>
      <c r="BCX102" s="1056"/>
      <c r="BCY102" s="1056"/>
      <c r="BCZ102" s="1056"/>
      <c r="BDA102" s="1056"/>
      <c r="BDB102" s="1056"/>
      <c r="BDC102" s="1056"/>
      <c r="BDD102" s="1056"/>
      <c r="BDE102" s="1056"/>
      <c r="BDF102" s="1056"/>
      <c r="BDG102" s="1056"/>
      <c r="BDH102" s="1056"/>
      <c r="BDI102" s="1056"/>
      <c r="BDJ102" s="1056"/>
      <c r="BDK102" s="1056"/>
      <c r="BDL102" s="1056"/>
      <c r="BDM102" s="1056"/>
      <c r="BDN102" s="1056"/>
      <c r="BDO102" s="1056"/>
      <c r="BDP102" s="1056"/>
      <c r="BDQ102" s="1056"/>
      <c r="BDR102" s="1056"/>
      <c r="BDS102" s="1056"/>
      <c r="BDT102" s="1056"/>
      <c r="BDU102" s="1056"/>
      <c r="BDV102" s="1056"/>
      <c r="BDW102" s="1056"/>
      <c r="BDX102" s="1056"/>
      <c r="BDY102" s="1056"/>
      <c r="BDZ102" s="1056"/>
      <c r="BEA102" s="1056"/>
      <c r="BEB102" s="1056"/>
      <c r="BEC102" s="1056"/>
      <c r="BED102" s="1056"/>
      <c r="BEE102" s="1056"/>
      <c r="BEF102" s="1056"/>
      <c r="BEG102" s="1056"/>
      <c r="BEH102" s="1056"/>
      <c r="BEI102" s="1056"/>
      <c r="BEJ102" s="1056"/>
      <c r="BEK102" s="1056"/>
      <c r="BEL102" s="1056"/>
      <c r="BEM102" s="1056"/>
      <c r="BEN102" s="1056"/>
      <c r="BEO102" s="1056"/>
      <c r="BEP102" s="1056"/>
      <c r="BEQ102" s="1056"/>
      <c r="BER102" s="1056"/>
      <c r="BES102" s="1056"/>
      <c r="BET102" s="1056"/>
      <c r="BEU102" s="1056"/>
      <c r="BEV102" s="1056"/>
      <c r="BEW102" s="1056"/>
      <c r="BEX102" s="1056"/>
      <c r="BEY102" s="1056"/>
      <c r="BEZ102" s="1056"/>
      <c r="BFA102" s="1056"/>
      <c r="BFB102" s="1056"/>
      <c r="BFC102" s="1056"/>
      <c r="BFD102" s="1056"/>
      <c r="BFE102" s="1056"/>
      <c r="BFF102" s="1056"/>
      <c r="BFG102" s="1056"/>
      <c r="BFH102" s="1056"/>
      <c r="BFI102" s="1056"/>
      <c r="BFJ102" s="1056"/>
      <c r="BFK102" s="1056"/>
      <c r="BFL102" s="1056"/>
      <c r="BFM102" s="1056"/>
      <c r="BFN102" s="1056"/>
      <c r="BFO102" s="1056"/>
      <c r="BFP102" s="1056"/>
      <c r="BFQ102" s="1056"/>
      <c r="BFR102" s="1056"/>
      <c r="BFS102" s="1056"/>
      <c r="BFT102" s="1056"/>
      <c r="BFU102" s="1056"/>
      <c r="BFV102" s="1056"/>
      <c r="BFW102" s="1056"/>
      <c r="BFX102" s="1056"/>
      <c r="BFY102" s="1056"/>
      <c r="BFZ102" s="1056"/>
      <c r="BGA102" s="1056"/>
      <c r="BGB102" s="1056"/>
      <c r="BGC102" s="1056"/>
      <c r="BGD102" s="1056"/>
      <c r="BGE102" s="1056"/>
      <c r="BGF102" s="1056"/>
      <c r="BGG102" s="1056"/>
      <c r="BGH102" s="1056"/>
      <c r="BGI102" s="1056"/>
      <c r="BGJ102" s="1056"/>
      <c r="BGK102" s="1056"/>
      <c r="BGL102" s="1056"/>
      <c r="BGM102" s="1056"/>
      <c r="BGN102" s="1056"/>
      <c r="BGO102" s="1056"/>
      <c r="BGP102" s="1056"/>
      <c r="BGQ102" s="1056"/>
      <c r="BGR102" s="1056"/>
      <c r="BGS102" s="1056"/>
      <c r="BGT102" s="1056"/>
      <c r="BGU102" s="1056"/>
      <c r="BGV102" s="1056"/>
      <c r="BGW102" s="1056"/>
      <c r="BGX102" s="1056"/>
      <c r="BGY102" s="1056"/>
      <c r="BGZ102" s="1056"/>
      <c r="BHA102" s="1056"/>
      <c r="BHB102" s="1056"/>
      <c r="BHC102" s="1056"/>
      <c r="BHD102" s="1056"/>
      <c r="BHE102" s="1056"/>
      <c r="BHF102" s="1056"/>
      <c r="BHG102" s="1056"/>
      <c r="BHH102" s="1056"/>
      <c r="BHI102" s="1056"/>
      <c r="BHJ102" s="1056"/>
      <c r="BHK102" s="1056"/>
      <c r="BHL102" s="1056"/>
      <c r="BHM102" s="1056"/>
      <c r="BHN102" s="1056"/>
      <c r="BHO102" s="1056"/>
      <c r="BHP102" s="1056"/>
      <c r="BHQ102" s="1056"/>
      <c r="BHR102" s="1056"/>
      <c r="BHS102" s="1056"/>
      <c r="BHT102" s="1056"/>
      <c r="BHU102" s="1056"/>
      <c r="BHV102" s="1056"/>
      <c r="BHW102" s="1056"/>
      <c r="BHX102" s="1056"/>
      <c r="BHY102" s="1056"/>
      <c r="BHZ102" s="1056"/>
      <c r="BIA102" s="1056"/>
      <c r="BIB102" s="1056"/>
      <c r="BIC102" s="1056"/>
      <c r="BID102" s="1056"/>
      <c r="BIE102" s="1056"/>
      <c r="BIF102" s="1056"/>
      <c r="BIG102" s="1056"/>
      <c r="BIH102" s="1056"/>
      <c r="BII102" s="1056"/>
      <c r="BIJ102" s="1056"/>
      <c r="BIK102" s="1056"/>
      <c r="BIL102" s="1056"/>
      <c r="BIM102" s="1056"/>
      <c r="BIN102" s="1056"/>
      <c r="BIO102" s="1056"/>
      <c r="BIP102" s="1056"/>
      <c r="BIQ102" s="1056"/>
      <c r="BIR102" s="1056"/>
      <c r="BIS102" s="1056"/>
      <c r="BIT102" s="1056"/>
      <c r="BIU102" s="1056"/>
      <c r="BIV102" s="1056"/>
      <c r="BIW102" s="1056"/>
      <c r="BIX102" s="1056"/>
      <c r="BIY102" s="1056"/>
      <c r="BIZ102" s="1056"/>
      <c r="BJA102" s="1056"/>
      <c r="BJB102" s="1056"/>
      <c r="BJC102" s="1056"/>
      <c r="BJD102" s="1056"/>
      <c r="BJE102" s="1056"/>
      <c r="BJF102" s="1056"/>
      <c r="BJG102" s="1056"/>
      <c r="BJH102" s="1056"/>
      <c r="BJI102" s="1056"/>
      <c r="BJJ102" s="1056"/>
      <c r="BJK102" s="1056"/>
      <c r="BJL102" s="1056"/>
      <c r="BJM102" s="1056"/>
      <c r="BJN102" s="1056"/>
      <c r="BJO102" s="1056"/>
      <c r="BJP102" s="1056"/>
      <c r="BJQ102" s="1056"/>
      <c r="BJR102" s="1056"/>
      <c r="BJS102" s="1056"/>
      <c r="BJT102" s="1056"/>
      <c r="BJU102" s="1056"/>
      <c r="BJV102" s="1056"/>
      <c r="BJW102" s="1056"/>
      <c r="BJX102" s="1056"/>
      <c r="BJY102" s="1056"/>
      <c r="BJZ102" s="1056"/>
      <c r="BKA102" s="1056"/>
      <c r="BKB102" s="1056"/>
      <c r="BKC102" s="1056"/>
      <c r="BKD102" s="1056"/>
      <c r="BKE102" s="1056"/>
      <c r="BKF102" s="1056"/>
      <c r="BKG102" s="1056"/>
      <c r="BKH102" s="1056"/>
      <c r="BKI102" s="1056"/>
      <c r="BKJ102" s="1056"/>
      <c r="BKK102" s="1056"/>
      <c r="BKL102" s="1056"/>
      <c r="BKM102" s="1056"/>
      <c r="BKN102" s="1056"/>
      <c r="BKO102" s="1056"/>
      <c r="BKP102" s="1056"/>
      <c r="BKQ102" s="1056"/>
      <c r="BKR102" s="1056"/>
      <c r="BKS102" s="1056"/>
      <c r="BKT102" s="1056"/>
      <c r="BKU102" s="1056"/>
      <c r="BKV102" s="1056"/>
      <c r="BKW102" s="1056"/>
      <c r="BKX102" s="1056"/>
      <c r="BKY102" s="1056"/>
      <c r="BKZ102" s="1056"/>
      <c r="BLA102" s="1056"/>
      <c r="BLB102" s="1056"/>
      <c r="BLC102" s="1056"/>
      <c r="BLD102" s="1056"/>
      <c r="BLE102" s="1056"/>
      <c r="BLF102" s="1056"/>
      <c r="BLG102" s="1056"/>
      <c r="BLH102" s="1056"/>
      <c r="BLI102" s="1056"/>
      <c r="BLJ102" s="1056"/>
      <c r="BLK102" s="1056"/>
      <c r="BLL102" s="1056"/>
      <c r="BLM102" s="1056"/>
      <c r="BLN102" s="1056"/>
      <c r="BLO102" s="1056"/>
      <c r="BLP102" s="1056"/>
      <c r="BLQ102" s="1056"/>
      <c r="BLR102" s="1056"/>
      <c r="BLS102" s="1056"/>
      <c r="BLT102" s="1056"/>
      <c r="BLU102" s="1056"/>
      <c r="BLV102" s="1056"/>
      <c r="BLW102" s="1056"/>
      <c r="BLX102" s="1056"/>
      <c r="BLY102" s="1056"/>
      <c r="BLZ102" s="1056"/>
      <c r="BMA102" s="1056"/>
      <c r="BMB102" s="1056"/>
      <c r="BMC102" s="1056"/>
      <c r="BMD102" s="1056"/>
      <c r="BME102" s="1056"/>
      <c r="BMF102" s="1056"/>
      <c r="BMG102" s="1056"/>
      <c r="BMH102" s="1056"/>
      <c r="BMI102" s="1056"/>
      <c r="BMJ102" s="1056"/>
      <c r="BMK102" s="1056"/>
      <c r="BML102" s="1056"/>
      <c r="BMM102" s="1056"/>
      <c r="BMN102" s="1056"/>
      <c r="BMO102" s="1056"/>
      <c r="BMP102" s="1056"/>
      <c r="BMQ102" s="1056"/>
      <c r="BMR102" s="1056"/>
      <c r="BMS102" s="1056"/>
      <c r="BMT102" s="1056"/>
      <c r="BMU102" s="1056"/>
      <c r="BMV102" s="1056"/>
      <c r="BMW102" s="1056"/>
      <c r="BMX102" s="1056"/>
      <c r="BMY102" s="1056"/>
      <c r="BMZ102" s="1056"/>
      <c r="BNA102" s="1056"/>
      <c r="BNB102" s="1056"/>
      <c r="BNC102" s="1056"/>
      <c r="BND102" s="1056"/>
      <c r="BNE102" s="1056"/>
      <c r="BNF102" s="1056"/>
      <c r="BNG102" s="1056"/>
      <c r="BNH102" s="1056"/>
      <c r="BNI102" s="1056"/>
      <c r="BNJ102" s="1056"/>
      <c r="BNK102" s="1056"/>
      <c r="BNL102" s="1056"/>
      <c r="BNM102" s="1056"/>
      <c r="BNN102" s="1056"/>
      <c r="BNO102" s="1056"/>
      <c r="BNP102" s="1056"/>
      <c r="BNQ102" s="1056"/>
      <c r="BNR102" s="1056"/>
      <c r="BNS102" s="1056"/>
      <c r="BNT102" s="1056"/>
      <c r="BNU102" s="1056"/>
      <c r="BNV102" s="1056"/>
      <c r="BNW102" s="1056"/>
      <c r="BNX102" s="1056"/>
      <c r="BNY102" s="1056"/>
      <c r="BNZ102" s="1056"/>
      <c r="BOA102" s="1056"/>
      <c r="BOB102" s="1056"/>
      <c r="BOC102" s="1056"/>
      <c r="BOD102" s="1056"/>
      <c r="BOE102" s="1056"/>
      <c r="BOF102" s="1056"/>
      <c r="BOG102" s="1056"/>
      <c r="BOH102" s="1056"/>
      <c r="BOI102" s="1056"/>
      <c r="BOJ102" s="1056"/>
      <c r="BOK102" s="1056"/>
      <c r="BOL102" s="1056"/>
      <c r="BOM102" s="1056"/>
      <c r="BON102" s="1056"/>
      <c r="BOO102" s="1056"/>
      <c r="BOP102" s="1056"/>
      <c r="BOQ102" s="1056"/>
      <c r="BOR102" s="1056"/>
      <c r="BOS102" s="1056"/>
      <c r="BOT102" s="1056"/>
      <c r="BOU102" s="1056"/>
      <c r="BOV102" s="1056"/>
      <c r="BOW102" s="1056"/>
      <c r="BOX102" s="1056"/>
      <c r="BOY102" s="1056"/>
      <c r="BOZ102" s="1056"/>
      <c r="BPA102" s="1056"/>
      <c r="BPB102" s="1056"/>
      <c r="BPC102" s="1056"/>
      <c r="BPD102" s="1056"/>
      <c r="BPE102" s="1056"/>
      <c r="BPF102" s="1056"/>
      <c r="BPG102" s="1056"/>
      <c r="BPH102" s="1056"/>
      <c r="BPI102" s="1056"/>
      <c r="BPJ102" s="1056"/>
      <c r="BPK102" s="1056"/>
      <c r="BPL102" s="1056"/>
      <c r="BPM102" s="1056"/>
      <c r="BPN102" s="1056"/>
      <c r="BPO102" s="1056"/>
      <c r="BPP102" s="1056"/>
      <c r="BPQ102" s="1056"/>
      <c r="BPR102" s="1056"/>
      <c r="BPS102" s="1056"/>
      <c r="BPT102" s="1056"/>
      <c r="BPU102" s="1056"/>
      <c r="BPV102" s="1056"/>
      <c r="BPW102" s="1056"/>
      <c r="BPX102" s="1056"/>
      <c r="BPY102" s="1056"/>
      <c r="BPZ102" s="1056"/>
      <c r="BQA102" s="1056"/>
      <c r="BQB102" s="1056"/>
      <c r="BQC102" s="1056"/>
      <c r="BQD102" s="1056"/>
      <c r="BQE102" s="1056"/>
      <c r="BQF102" s="1056"/>
      <c r="BQG102" s="1056"/>
      <c r="BQH102" s="1056"/>
      <c r="BQI102" s="1056"/>
      <c r="BQJ102" s="1056"/>
      <c r="BQK102" s="1056"/>
      <c r="BQL102" s="1056"/>
      <c r="BQM102" s="1056"/>
      <c r="BQN102" s="1056"/>
      <c r="BQO102" s="1056"/>
      <c r="BQP102" s="1056"/>
      <c r="BQQ102" s="1056"/>
      <c r="BQR102" s="1056"/>
      <c r="BQS102" s="1056"/>
      <c r="BQT102" s="1056"/>
      <c r="BQU102" s="1056"/>
      <c r="BQV102" s="1056"/>
      <c r="BQW102" s="1056"/>
      <c r="BQX102" s="1056"/>
      <c r="BQY102" s="1056"/>
      <c r="BQZ102" s="1056"/>
      <c r="BRA102" s="1056"/>
      <c r="BRB102" s="1056"/>
      <c r="BRC102" s="1056"/>
      <c r="BRD102" s="1056"/>
      <c r="BRE102" s="1056"/>
      <c r="BRF102" s="1056"/>
      <c r="BRG102" s="1056"/>
      <c r="BRH102" s="1056"/>
      <c r="BRI102" s="1056"/>
      <c r="BRJ102" s="1056"/>
      <c r="BRK102" s="1056"/>
      <c r="BRL102" s="1056"/>
      <c r="BRM102" s="1056"/>
      <c r="BRN102" s="1056"/>
      <c r="BRO102" s="1056"/>
      <c r="BRP102" s="1056"/>
      <c r="BRQ102" s="1056"/>
      <c r="BRR102" s="1056"/>
      <c r="BRS102" s="1056"/>
      <c r="BRT102" s="1056"/>
      <c r="BRU102" s="1056"/>
      <c r="BRV102" s="1056"/>
      <c r="BRW102" s="1056"/>
      <c r="BRX102" s="1056"/>
      <c r="BRY102" s="1056"/>
      <c r="BRZ102" s="1056"/>
      <c r="BSA102" s="1056"/>
      <c r="BSB102" s="1056"/>
      <c r="BSC102" s="1056"/>
      <c r="BSD102" s="1056"/>
      <c r="BSE102" s="1056"/>
      <c r="BSF102" s="1056"/>
      <c r="BSG102" s="1056"/>
      <c r="BSH102" s="1056"/>
      <c r="BSI102" s="1056"/>
      <c r="BSJ102" s="1056"/>
      <c r="BSK102" s="1056"/>
      <c r="BSL102" s="1056"/>
      <c r="BSM102" s="1056"/>
      <c r="BSN102" s="1056"/>
      <c r="BSO102" s="1056"/>
      <c r="BSP102" s="1056"/>
      <c r="BSQ102" s="1056"/>
      <c r="BSR102" s="1056"/>
      <c r="BSS102" s="1056"/>
      <c r="BST102" s="1056"/>
      <c r="BSU102" s="1056"/>
      <c r="BSV102" s="1056"/>
      <c r="BSW102" s="1056"/>
      <c r="BSX102" s="1056"/>
      <c r="BSY102" s="1056"/>
      <c r="BSZ102" s="1056"/>
      <c r="BTA102" s="1056"/>
      <c r="BTB102" s="1056"/>
      <c r="BTC102" s="1056"/>
      <c r="BTD102" s="1056"/>
      <c r="BTE102" s="1056"/>
      <c r="BTF102" s="1056"/>
      <c r="BTG102" s="1056"/>
      <c r="BTH102" s="1056"/>
      <c r="BTI102" s="1056"/>
    </row>
    <row r="103" spans="1:1881" s="1060" customFormat="1" ht="48.75" hidden="1" customHeight="1" thickBot="1" x14ac:dyDescent="0.35">
      <c r="A103" s="1059">
        <v>36</v>
      </c>
      <c r="B103" s="1069" t="s">
        <v>409</v>
      </c>
      <c r="C103" s="802" t="s">
        <v>1030</v>
      </c>
      <c r="D103" s="1070" t="s">
        <v>1053</v>
      </c>
      <c r="E103" s="1053" t="e">
        <f>HLOOKUP($D$2,'2020 Data(H)'!$C$1:$AI$426,24,FALSE)</f>
        <v>#N/A</v>
      </c>
      <c r="F103" s="287">
        <v>0</v>
      </c>
      <c r="G103" s="802"/>
      <c r="H103" s="764"/>
      <c r="I103" s="1055"/>
      <c r="J103" s="1068"/>
      <c r="K103" s="1056"/>
      <c r="L103" s="1057"/>
      <c r="M103" s="1056"/>
      <c r="N103" s="1058"/>
      <c r="O103" s="1056"/>
      <c r="P103" s="1056"/>
      <c r="Q103" s="1056"/>
      <c r="R103" s="1056"/>
      <c r="S103" s="1056"/>
      <c r="T103" s="1056"/>
      <c r="U103" s="1056"/>
      <c r="V103" s="1056"/>
      <c r="W103" s="1056"/>
      <c r="X103" s="1056"/>
      <c r="Y103" s="1056"/>
      <c r="Z103" s="1059"/>
      <c r="AA103" s="1059"/>
      <c r="AB103" s="1059"/>
      <c r="AC103" s="1059"/>
      <c r="AD103" s="1059"/>
      <c r="AE103" s="1059"/>
      <c r="AF103" s="1059"/>
      <c r="AG103" s="1059"/>
      <c r="AH103" s="1059"/>
      <c r="AI103" s="1059"/>
      <c r="AJ103" s="1059"/>
      <c r="AK103" s="1059"/>
      <c r="AL103" s="1059"/>
      <c r="AM103" s="1059"/>
      <c r="AN103" s="1059"/>
      <c r="AO103" s="1059"/>
      <c r="AP103" s="1059"/>
      <c r="AQ103" s="1059"/>
      <c r="AR103" s="1059"/>
      <c r="AS103" s="1056"/>
      <c r="AT103" s="1056"/>
      <c r="AU103" s="1056"/>
      <c r="AV103" s="1056"/>
      <c r="AW103" s="1056"/>
      <c r="AX103" s="1056"/>
      <c r="AY103" s="1056"/>
      <c r="AZ103" s="1056"/>
      <c r="BA103" s="1056"/>
      <c r="BB103" s="1056"/>
      <c r="BC103" s="1056"/>
      <c r="BD103" s="1056"/>
      <c r="BE103" s="1056"/>
      <c r="BF103" s="1056"/>
      <c r="BG103" s="1056"/>
      <c r="BH103" s="1056"/>
      <c r="BI103" s="1056"/>
      <c r="BJ103" s="1056"/>
      <c r="BK103" s="1056"/>
      <c r="BL103" s="1056"/>
      <c r="BM103" s="1056"/>
      <c r="BN103" s="1056"/>
      <c r="BO103" s="1056"/>
      <c r="BP103" s="1056"/>
      <c r="BQ103" s="1056"/>
      <c r="BR103" s="1056"/>
      <c r="BS103" s="1056"/>
      <c r="BT103" s="1056"/>
      <c r="BU103" s="1056"/>
      <c r="BV103" s="1056"/>
      <c r="BW103" s="1056"/>
      <c r="BX103" s="1056"/>
      <c r="BY103" s="1056"/>
      <c r="BZ103" s="1056"/>
      <c r="CA103" s="1056"/>
      <c r="CB103" s="1056"/>
      <c r="CC103" s="1056"/>
      <c r="CD103" s="1056"/>
      <c r="CE103" s="1056"/>
      <c r="CF103" s="1056"/>
      <c r="CG103" s="1056"/>
      <c r="CH103" s="1056"/>
      <c r="CI103" s="1056"/>
      <c r="CJ103" s="1056"/>
      <c r="CK103" s="1056"/>
      <c r="CL103" s="1056"/>
      <c r="CM103" s="1056"/>
      <c r="CN103" s="1056"/>
      <c r="CO103" s="1056"/>
      <c r="CP103" s="1056"/>
      <c r="CQ103" s="1056"/>
      <c r="CR103" s="1056"/>
      <c r="CS103" s="1056"/>
      <c r="CT103" s="1056"/>
      <c r="CU103" s="1056"/>
      <c r="CV103" s="1056"/>
      <c r="CW103" s="1056"/>
      <c r="CX103" s="1056"/>
      <c r="CY103" s="1056"/>
      <c r="CZ103" s="1056"/>
      <c r="DA103" s="1056"/>
      <c r="DB103" s="1056"/>
      <c r="DC103" s="1056"/>
      <c r="DD103" s="1056"/>
      <c r="DE103" s="1056"/>
      <c r="DF103" s="1056"/>
      <c r="DG103" s="1056"/>
      <c r="DH103" s="1056"/>
      <c r="DI103" s="1056"/>
      <c r="DJ103" s="1056"/>
      <c r="DK103" s="1056"/>
      <c r="DL103" s="1056"/>
      <c r="DM103" s="1056"/>
      <c r="DN103" s="1056"/>
      <c r="DO103" s="1056"/>
      <c r="DP103" s="1056"/>
      <c r="DQ103" s="1056"/>
      <c r="DR103" s="1056"/>
      <c r="DS103" s="1056"/>
      <c r="DT103" s="1056"/>
      <c r="DU103" s="1056"/>
      <c r="DV103" s="1056"/>
      <c r="DW103" s="1056"/>
      <c r="DX103" s="1056"/>
      <c r="DY103" s="1056"/>
      <c r="DZ103" s="1056"/>
      <c r="EA103" s="1056"/>
      <c r="EB103" s="1056"/>
      <c r="EC103" s="1056"/>
      <c r="ED103" s="1056"/>
      <c r="EE103" s="1056"/>
      <c r="EF103" s="1056"/>
      <c r="EG103" s="1056"/>
      <c r="EH103" s="1056"/>
      <c r="EI103" s="1056"/>
      <c r="EJ103" s="1056"/>
      <c r="EK103" s="1056"/>
      <c r="EL103" s="1056"/>
      <c r="EM103" s="1056"/>
      <c r="EN103" s="1056"/>
      <c r="EO103" s="1056"/>
      <c r="EP103" s="1056"/>
      <c r="EQ103" s="1056"/>
      <c r="ER103" s="1056"/>
      <c r="ES103" s="1056"/>
      <c r="ET103" s="1056"/>
      <c r="EU103" s="1056"/>
      <c r="EV103" s="1056"/>
      <c r="EW103" s="1056"/>
      <c r="EX103" s="1056"/>
      <c r="EY103" s="1056"/>
      <c r="EZ103" s="1056"/>
      <c r="FA103" s="1056"/>
      <c r="FB103" s="1056"/>
      <c r="FC103" s="1056"/>
      <c r="FD103" s="1056"/>
      <c r="FE103" s="1056"/>
      <c r="FF103" s="1056"/>
      <c r="FG103" s="1056"/>
      <c r="FH103" s="1056"/>
      <c r="FI103" s="1056"/>
      <c r="FJ103" s="1056"/>
      <c r="FK103" s="1056"/>
      <c r="FL103" s="1056"/>
      <c r="FM103" s="1056"/>
      <c r="FN103" s="1056"/>
      <c r="FO103" s="1056"/>
      <c r="FP103" s="1056"/>
      <c r="FQ103" s="1056"/>
      <c r="FR103" s="1056"/>
      <c r="FS103" s="1056"/>
      <c r="FT103" s="1056"/>
      <c r="FU103" s="1056"/>
      <c r="FV103" s="1056"/>
      <c r="FW103" s="1056"/>
      <c r="FX103" s="1056"/>
      <c r="FY103" s="1056"/>
      <c r="FZ103" s="1056"/>
      <c r="GA103" s="1056"/>
      <c r="GB103" s="1056"/>
      <c r="GC103" s="1056"/>
      <c r="GD103" s="1056"/>
      <c r="GE103" s="1056"/>
      <c r="GF103" s="1056"/>
      <c r="GG103" s="1056"/>
      <c r="GH103" s="1056"/>
      <c r="GI103" s="1056"/>
      <c r="GJ103" s="1056"/>
      <c r="GK103" s="1056"/>
      <c r="GL103" s="1056"/>
      <c r="GM103" s="1056"/>
      <c r="GN103" s="1056"/>
      <c r="GO103" s="1056"/>
      <c r="GP103" s="1056"/>
      <c r="GQ103" s="1056"/>
      <c r="GR103" s="1056"/>
      <c r="GS103" s="1056"/>
      <c r="GT103" s="1056"/>
      <c r="GU103" s="1056"/>
      <c r="GV103" s="1056"/>
      <c r="GW103" s="1056"/>
      <c r="GX103" s="1056"/>
      <c r="GY103" s="1056"/>
      <c r="GZ103" s="1056"/>
      <c r="HA103" s="1056"/>
      <c r="HB103" s="1056"/>
      <c r="HC103" s="1056"/>
      <c r="HD103" s="1056"/>
      <c r="HE103" s="1056"/>
      <c r="HF103" s="1056"/>
      <c r="HG103" s="1056"/>
      <c r="HH103" s="1056"/>
      <c r="HI103" s="1056"/>
      <c r="HJ103" s="1056"/>
      <c r="HK103" s="1056"/>
      <c r="HL103" s="1056"/>
      <c r="HM103" s="1056"/>
      <c r="HN103" s="1056"/>
      <c r="HO103" s="1056"/>
      <c r="HP103" s="1056"/>
      <c r="HQ103" s="1056"/>
      <c r="HR103" s="1056"/>
      <c r="HS103" s="1056"/>
      <c r="HT103" s="1056"/>
      <c r="HU103" s="1056"/>
      <c r="HV103" s="1056"/>
      <c r="HW103" s="1056"/>
      <c r="HX103" s="1056"/>
      <c r="HY103" s="1056"/>
      <c r="HZ103" s="1056"/>
      <c r="IA103" s="1056"/>
      <c r="IB103" s="1056"/>
      <c r="IC103" s="1056"/>
      <c r="ID103" s="1056"/>
      <c r="IE103" s="1056"/>
      <c r="IF103" s="1056"/>
      <c r="IG103" s="1056"/>
      <c r="IH103" s="1056"/>
      <c r="II103" s="1056"/>
      <c r="IJ103" s="1056"/>
      <c r="IK103" s="1056"/>
      <c r="IL103" s="1056"/>
      <c r="IM103" s="1056"/>
      <c r="IN103" s="1056"/>
      <c r="IO103" s="1056"/>
      <c r="IP103" s="1056"/>
      <c r="IQ103" s="1056"/>
      <c r="IR103" s="1056"/>
      <c r="IS103" s="1056"/>
      <c r="IT103" s="1056"/>
      <c r="IU103" s="1056"/>
      <c r="IV103" s="1056"/>
      <c r="IW103" s="1056"/>
      <c r="IX103" s="1056"/>
      <c r="IY103" s="1056"/>
      <c r="IZ103" s="1056"/>
      <c r="JA103" s="1056"/>
      <c r="JB103" s="1056"/>
      <c r="JC103" s="1056"/>
      <c r="JD103" s="1056"/>
      <c r="JE103" s="1056"/>
      <c r="JF103" s="1056"/>
      <c r="JG103" s="1056"/>
      <c r="JH103" s="1056"/>
      <c r="JI103" s="1056"/>
      <c r="JJ103" s="1056"/>
      <c r="JK103" s="1056"/>
      <c r="JL103" s="1056"/>
      <c r="JM103" s="1056"/>
      <c r="JN103" s="1056"/>
      <c r="JO103" s="1056"/>
      <c r="JP103" s="1056"/>
      <c r="JQ103" s="1056"/>
      <c r="JR103" s="1056"/>
      <c r="JS103" s="1056"/>
      <c r="JT103" s="1056"/>
      <c r="JU103" s="1056"/>
      <c r="JV103" s="1056"/>
      <c r="JW103" s="1056"/>
      <c r="JX103" s="1056"/>
      <c r="JY103" s="1056"/>
      <c r="JZ103" s="1056"/>
      <c r="KA103" s="1056"/>
      <c r="KB103" s="1056"/>
      <c r="KC103" s="1056"/>
      <c r="KD103" s="1056"/>
      <c r="KE103" s="1056"/>
      <c r="KF103" s="1056"/>
      <c r="KG103" s="1056"/>
      <c r="KH103" s="1056"/>
      <c r="KI103" s="1056"/>
      <c r="KJ103" s="1056"/>
      <c r="KK103" s="1056"/>
      <c r="KL103" s="1056"/>
      <c r="KM103" s="1056"/>
      <c r="KN103" s="1056"/>
      <c r="KO103" s="1056"/>
      <c r="KP103" s="1056"/>
      <c r="KQ103" s="1056"/>
      <c r="KR103" s="1056"/>
      <c r="KS103" s="1056"/>
      <c r="KT103" s="1056"/>
      <c r="KU103" s="1056"/>
      <c r="KV103" s="1056"/>
      <c r="KW103" s="1056"/>
      <c r="KX103" s="1056"/>
      <c r="KY103" s="1056"/>
      <c r="KZ103" s="1056"/>
      <c r="LA103" s="1056"/>
      <c r="LB103" s="1056"/>
      <c r="LC103" s="1056"/>
      <c r="LD103" s="1056"/>
      <c r="LE103" s="1056"/>
      <c r="LF103" s="1056"/>
      <c r="LG103" s="1056"/>
      <c r="LH103" s="1056"/>
      <c r="LI103" s="1056"/>
      <c r="LJ103" s="1056"/>
      <c r="LK103" s="1056"/>
      <c r="LL103" s="1056"/>
      <c r="LM103" s="1056"/>
      <c r="LN103" s="1056"/>
      <c r="LO103" s="1056"/>
      <c r="LP103" s="1056"/>
      <c r="LQ103" s="1056"/>
      <c r="LR103" s="1056"/>
      <c r="LS103" s="1056"/>
      <c r="LT103" s="1056"/>
      <c r="LU103" s="1056"/>
      <c r="LV103" s="1056"/>
      <c r="LW103" s="1056"/>
      <c r="LX103" s="1056"/>
      <c r="LY103" s="1056"/>
      <c r="LZ103" s="1056"/>
      <c r="MA103" s="1056"/>
      <c r="MB103" s="1056"/>
      <c r="MC103" s="1056"/>
      <c r="MD103" s="1056"/>
      <c r="ME103" s="1056"/>
      <c r="MF103" s="1056"/>
      <c r="MG103" s="1056"/>
      <c r="MH103" s="1056"/>
      <c r="MI103" s="1056"/>
      <c r="MJ103" s="1056"/>
      <c r="MK103" s="1056"/>
      <c r="ML103" s="1056"/>
      <c r="MM103" s="1056"/>
      <c r="MN103" s="1056"/>
      <c r="MO103" s="1056"/>
      <c r="MP103" s="1056"/>
      <c r="MQ103" s="1056"/>
      <c r="MR103" s="1056"/>
      <c r="MS103" s="1056"/>
      <c r="MT103" s="1056"/>
      <c r="MU103" s="1056"/>
      <c r="MV103" s="1056"/>
      <c r="MW103" s="1056"/>
      <c r="MX103" s="1056"/>
      <c r="MY103" s="1056"/>
      <c r="MZ103" s="1056"/>
      <c r="NA103" s="1056"/>
      <c r="NB103" s="1056"/>
      <c r="NC103" s="1056"/>
      <c r="ND103" s="1056"/>
      <c r="NE103" s="1056"/>
      <c r="NF103" s="1056"/>
      <c r="NG103" s="1056"/>
      <c r="NH103" s="1056"/>
      <c r="NI103" s="1056"/>
      <c r="NJ103" s="1056"/>
      <c r="NK103" s="1056"/>
      <c r="NL103" s="1056"/>
      <c r="NM103" s="1056"/>
      <c r="NN103" s="1056"/>
      <c r="NO103" s="1056"/>
      <c r="NP103" s="1056"/>
      <c r="NQ103" s="1056"/>
      <c r="NR103" s="1056"/>
      <c r="NS103" s="1056"/>
      <c r="NT103" s="1056"/>
      <c r="NU103" s="1056"/>
      <c r="NV103" s="1056"/>
      <c r="NW103" s="1056"/>
      <c r="NX103" s="1056"/>
      <c r="NY103" s="1056"/>
      <c r="NZ103" s="1056"/>
      <c r="OA103" s="1056"/>
      <c r="OB103" s="1056"/>
      <c r="OC103" s="1056"/>
      <c r="OD103" s="1056"/>
      <c r="OE103" s="1056"/>
      <c r="OF103" s="1056"/>
      <c r="OG103" s="1056"/>
      <c r="OH103" s="1056"/>
      <c r="OI103" s="1056"/>
      <c r="OJ103" s="1056"/>
      <c r="OK103" s="1056"/>
      <c r="OL103" s="1056"/>
      <c r="OM103" s="1056"/>
      <c r="ON103" s="1056"/>
      <c r="OO103" s="1056"/>
      <c r="OP103" s="1056"/>
      <c r="OQ103" s="1056"/>
      <c r="OR103" s="1056"/>
      <c r="OS103" s="1056"/>
      <c r="OT103" s="1056"/>
      <c r="OU103" s="1056"/>
      <c r="OV103" s="1056"/>
      <c r="OW103" s="1056"/>
      <c r="OX103" s="1056"/>
      <c r="OY103" s="1056"/>
      <c r="OZ103" s="1056"/>
      <c r="PA103" s="1056"/>
      <c r="PB103" s="1056"/>
      <c r="PC103" s="1056"/>
      <c r="PD103" s="1056"/>
      <c r="PE103" s="1056"/>
      <c r="PF103" s="1056"/>
      <c r="PG103" s="1056"/>
      <c r="PH103" s="1056"/>
      <c r="PI103" s="1056"/>
      <c r="PJ103" s="1056"/>
      <c r="PK103" s="1056"/>
      <c r="PL103" s="1056"/>
      <c r="PM103" s="1056"/>
      <c r="PN103" s="1056"/>
      <c r="PO103" s="1056"/>
      <c r="PP103" s="1056"/>
      <c r="PQ103" s="1056"/>
      <c r="PR103" s="1056"/>
      <c r="PS103" s="1056"/>
      <c r="PT103" s="1056"/>
      <c r="PU103" s="1056"/>
      <c r="PV103" s="1056"/>
      <c r="PW103" s="1056"/>
      <c r="PX103" s="1056"/>
      <c r="PY103" s="1056"/>
      <c r="PZ103" s="1056"/>
      <c r="QA103" s="1056"/>
      <c r="QB103" s="1056"/>
      <c r="QC103" s="1056"/>
      <c r="QD103" s="1056"/>
      <c r="QE103" s="1056"/>
      <c r="QF103" s="1056"/>
      <c r="QG103" s="1056"/>
      <c r="QH103" s="1056"/>
      <c r="QI103" s="1056"/>
      <c r="QJ103" s="1056"/>
      <c r="QK103" s="1056"/>
      <c r="QL103" s="1056"/>
      <c r="QM103" s="1056"/>
      <c r="QN103" s="1056"/>
      <c r="QO103" s="1056"/>
      <c r="QP103" s="1056"/>
      <c r="QQ103" s="1056"/>
      <c r="QR103" s="1056"/>
      <c r="QS103" s="1056"/>
      <c r="QT103" s="1056"/>
      <c r="QU103" s="1056"/>
      <c r="QV103" s="1056"/>
      <c r="QW103" s="1056"/>
      <c r="QX103" s="1056"/>
      <c r="QY103" s="1056"/>
      <c r="QZ103" s="1056"/>
      <c r="RA103" s="1056"/>
      <c r="RB103" s="1056"/>
      <c r="RC103" s="1056"/>
      <c r="RD103" s="1056"/>
      <c r="RE103" s="1056"/>
      <c r="RF103" s="1056"/>
      <c r="RG103" s="1056"/>
      <c r="RH103" s="1056"/>
      <c r="RI103" s="1056"/>
      <c r="RJ103" s="1056"/>
      <c r="RK103" s="1056"/>
      <c r="RL103" s="1056"/>
      <c r="RM103" s="1056"/>
      <c r="RN103" s="1056"/>
      <c r="RO103" s="1056"/>
      <c r="RP103" s="1056"/>
      <c r="RQ103" s="1056"/>
      <c r="RR103" s="1056"/>
      <c r="RS103" s="1056"/>
      <c r="RT103" s="1056"/>
      <c r="RU103" s="1056"/>
      <c r="RV103" s="1056"/>
      <c r="RW103" s="1056"/>
      <c r="RX103" s="1056"/>
      <c r="RY103" s="1056"/>
      <c r="RZ103" s="1056"/>
      <c r="SA103" s="1056"/>
      <c r="SB103" s="1056"/>
      <c r="SC103" s="1056"/>
      <c r="SD103" s="1056"/>
      <c r="SE103" s="1056"/>
      <c r="SF103" s="1056"/>
      <c r="SG103" s="1056"/>
      <c r="SH103" s="1056"/>
      <c r="SI103" s="1056"/>
      <c r="SJ103" s="1056"/>
      <c r="SK103" s="1056"/>
      <c r="SL103" s="1056"/>
      <c r="SM103" s="1056"/>
      <c r="SN103" s="1056"/>
      <c r="SO103" s="1056"/>
      <c r="SP103" s="1056"/>
      <c r="SQ103" s="1056"/>
      <c r="SR103" s="1056"/>
      <c r="SS103" s="1056"/>
      <c r="ST103" s="1056"/>
      <c r="SU103" s="1056"/>
      <c r="SV103" s="1056"/>
      <c r="SW103" s="1056"/>
      <c r="SX103" s="1056"/>
      <c r="SY103" s="1056"/>
      <c r="SZ103" s="1056"/>
      <c r="TA103" s="1056"/>
      <c r="TB103" s="1056"/>
      <c r="TC103" s="1056"/>
      <c r="TD103" s="1056"/>
      <c r="TE103" s="1056"/>
      <c r="TF103" s="1056"/>
      <c r="TG103" s="1056"/>
      <c r="TH103" s="1056"/>
      <c r="TI103" s="1056"/>
      <c r="TJ103" s="1056"/>
      <c r="TK103" s="1056"/>
      <c r="TL103" s="1056"/>
      <c r="TM103" s="1056"/>
      <c r="TN103" s="1056"/>
      <c r="TO103" s="1056"/>
      <c r="TP103" s="1056"/>
      <c r="TQ103" s="1056"/>
      <c r="TR103" s="1056"/>
      <c r="TS103" s="1056"/>
      <c r="TT103" s="1056"/>
      <c r="TU103" s="1056"/>
      <c r="TV103" s="1056"/>
      <c r="TW103" s="1056"/>
      <c r="TX103" s="1056"/>
      <c r="TY103" s="1056"/>
      <c r="TZ103" s="1056"/>
      <c r="UA103" s="1056"/>
      <c r="UB103" s="1056"/>
      <c r="UC103" s="1056"/>
      <c r="UD103" s="1056"/>
      <c r="UE103" s="1056"/>
      <c r="UF103" s="1056"/>
      <c r="UG103" s="1056"/>
      <c r="UH103" s="1056"/>
      <c r="UI103" s="1056"/>
      <c r="UJ103" s="1056"/>
      <c r="UK103" s="1056"/>
      <c r="UL103" s="1056"/>
      <c r="UM103" s="1056"/>
      <c r="UN103" s="1056"/>
      <c r="UO103" s="1056"/>
      <c r="UP103" s="1056"/>
      <c r="UQ103" s="1056"/>
      <c r="UR103" s="1056"/>
      <c r="US103" s="1056"/>
      <c r="UT103" s="1056"/>
      <c r="UU103" s="1056"/>
      <c r="UV103" s="1056"/>
      <c r="UW103" s="1056"/>
      <c r="UX103" s="1056"/>
      <c r="UY103" s="1056"/>
      <c r="UZ103" s="1056"/>
      <c r="VA103" s="1056"/>
      <c r="VB103" s="1056"/>
      <c r="VC103" s="1056"/>
      <c r="VD103" s="1056"/>
      <c r="VE103" s="1056"/>
      <c r="VF103" s="1056"/>
      <c r="VG103" s="1056"/>
      <c r="VH103" s="1056"/>
      <c r="VI103" s="1056"/>
      <c r="VJ103" s="1056"/>
      <c r="VK103" s="1056"/>
      <c r="VL103" s="1056"/>
      <c r="VM103" s="1056"/>
      <c r="VN103" s="1056"/>
      <c r="VO103" s="1056"/>
      <c r="VP103" s="1056"/>
      <c r="VQ103" s="1056"/>
      <c r="VR103" s="1056"/>
      <c r="VS103" s="1056"/>
      <c r="VT103" s="1056"/>
      <c r="VU103" s="1056"/>
      <c r="VV103" s="1056"/>
      <c r="VW103" s="1056"/>
      <c r="VX103" s="1056"/>
      <c r="VY103" s="1056"/>
      <c r="VZ103" s="1056"/>
      <c r="WA103" s="1056"/>
      <c r="WB103" s="1056"/>
      <c r="WC103" s="1056"/>
      <c r="WD103" s="1056"/>
      <c r="WE103" s="1056"/>
      <c r="WF103" s="1056"/>
      <c r="WG103" s="1056"/>
      <c r="WH103" s="1056"/>
      <c r="WI103" s="1056"/>
      <c r="WJ103" s="1056"/>
      <c r="WK103" s="1056"/>
      <c r="WL103" s="1056"/>
      <c r="WM103" s="1056"/>
      <c r="WN103" s="1056"/>
      <c r="WO103" s="1056"/>
      <c r="WP103" s="1056"/>
      <c r="WQ103" s="1056"/>
      <c r="WR103" s="1056"/>
      <c r="WS103" s="1056"/>
      <c r="WT103" s="1056"/>
      <c r="WU103" s="1056"/>
      <c r="WV103" s="1056"/>
      <c r="WW103" s="1056"/>
      <c r="WX103" s="1056"/>
      <c r="WY103" s="1056"/>
      <c r="WZ103" s="1056"/>
      <c r="XA103" s="1056"/>
      <c r="XB103" s="1056"/>
      <c r="XC103" s="1056"/>
      <c r="XD103" s="1056"/>
      <c r="XE103" s="1056"/>
      <c r="XF103" s="1056"/>
      <c r="XG103" s="1056"/>
      <c r="XH103" s="1056"/>
      <c r="XI103" s="1056"/>
      <c r="XJ103" s="1056"/>
      <c r="XK103" s="1056"/>
      <c r="XL103" s="1056"/>
      <c r="XM103" s="1056"/>
      <c r="XN103" s="1056"/>
      <c r="XO103" s="1056"/>
      <c r="XP103" s="1056"/>
      <c r="XQ103" s="1056"/>
      <c r="XR103" s="1056"/>
      <c r="XS103" s="1056"/>
      <c r="XT103" s="1056"/>
      <c r="XU103" s="1056"/>
      <c r="XV103" s="1056"/>
      <c r="XW103" s="1056"/>
      <c r="XX103" s="1056"/>
      <c r="XY103" s="1056"/>
      <c r="XZ103" s="1056"/>
      <c r="YA103" s="1056"/>
      <c r="YB103" s="1056"/>
      <c r="YC103" s="1056"/>
      <c r="YD103" s="1056"/>
      <c r="YE103" s="1056"/>
      <c r="YF103" s="1056"/>
      <c r="YG103" s="1056"/>
      <c r="YH103" s="1056"/>
      <c r="YI103" s="1056"/>
      <c r="YJ103" s="1056"/>
      <c r="YK103" s="1056"/>
      <c r="YL103" s="1056"/>
      <c r="YM103" s="1056"/>
      <c r="YN103" s="1056"/>
      <c r="YO103" s="1056"/>
      <c r="YP103" s="1056"/>
      <c r="YQ103" s="1056"/>
      <c r="YR103" s="1056"/>
      <c r="YS103" s="1056"/>
      <c r="YT103" s="1056"/>
      <c r="YU103" s="1056"/>
      <c r="YV103" s="1056"/>
      <c r="YW103" s="1056"/>
      <c r="YX103" s="1056"/>
      <c r="YY103" s="1056"/>
      <c r="YZ103" s="1056"/>
      <c r="ZA103" s="1056"/>
      <c r="ZB103" s="1056"/>
      <c r="ZC103" s="1056"/>
      <c r="ZD103" s="1056"/>
      <c r="ZE103" s="1056"/>
      <c r="ZF103" s="1056"/>
      <c r="ZG103" s="1056"/>
      <c r="ZH103" s="1056"/>
      <c r="ZI103" s="1056"/>
      <c r="ZJ103" s="1056"/>
      <c r="ZK103" s="1056"/>
      <c r="ZL103" s="1056"/>
      <c r="ZM103" s="1056"/>
      <c r="ZN103" s="1056"/>
      <c r="ZO103" s="1056"/>
      <c r="ZP103" s="1056"/>
      <c r="ZQ103" s="1056"/>
      <c r="ZR103" s="1056"/>
      <c r="ZS103" s="1056"/>
      <c r="ZT103" s="1056"/>
      <c r="ZU103" s="1056"/>
      <c r="ZV103" s="1056"/>
      <c r="ZW103" s="1056"/>
      <c r="ZX103" s="1056"/>
      <c r="ZY103" s="1056"/>
      <c r="ZZ103" s="1056"/>
      <c r="AAA103" s="1056"/>
      <c r="AAB103" s="1056"/>
      <c r="AAC103" s="1056"/>
      <c r="AAD103" s="1056"/>
      <c r="AAE103" s="1056"/>
      <c r="AAF103" s="1056"/>
      <c r="AAG103" s="1056"/>
      <c r="AAH103" s="1056"/>
      <c r="AAI103" s="1056"/>
      <c r="AAJ103" s="1056"/>
      <c r="AAK103" s="1056"/>
      <c r="AAL103" s="1056"/>
      <c r="AAM103" s="1056"/>
      <c r="AAN103" s="1056"/>
      <c r="AAO103" s="1056"/>
      <c r="AAP103" s="1056"/>
      <c r="AAQ103" s="1056"/>
      <c r="AAR103" s="1056"/>
      <c r="AAS103" s="1056"/>
      <c r="AAT103" s="1056"/>
      <c r="AAU103" s="1056"/>
      <c r="AAV103" s="1056"/>
      <c r="AAW103" s="1056"/>
      <c r="AAX103" s="1056"/>
      <c r="AAY103" s="1056"/>
      <c r="AAZ103" s="1056"/>
      <c r="ABA103" s="1056"/>
      <c r="ABB103" s="1056"/>
      <c r="ABC103" s="1056"/>
      <c r="ABD103" s="1056"/>
      <c r="ABE103" s="1056"/>
      <c r="ABF103" s="1056"/>
      <c r="ABG103" s="1056"/>
      <c r="ABH103" s="1056"/>
      <c r="ABI103" s="1056"/>
      <c r="ABJ103" s="1056"/>
      <c r="ABK103" s="1056"/>
      <c r="ABL103" s="1056"/>
      <c r="ABM103" s="1056"/>
      <c r="ABN103" s="1056"/>
      <c r="ABO103" s="1056"/>
      <c r="ABP103" s="1056"/>
      <c r="ABQ103" s="1056"/>
      <c r="ABR103" s="1056"/>
      <c r="ABS103" s="1056"/>
      <c r="ABT103" s="1056"/>
      <c r="ABU103" s="1056"/>
      <c r="ABV103" s="1056"/>
      <c r="ABW103" s="1056"/>
      <c r="ABX103" s="1056"/>
      <c r="ABY103" s="1056"/>
      <c r="ABZ103" s="1056"/>
      <c r="ACA103" s="1056"/>
      <c r="ACB103" s="1056"/>
      <c r="ACC103" s="1056"/>
      <c r="ACD103" s="1056"/>
      <c r="ACE103" s="1056"/>
      <c r="ACF103" s="1056"/>
      <c r="ACG103" s="1056"/>
      <c r="ACH103" s="1056"/>
      <c r="ACI103" s="1056"/>
      <c r="ACJ103" s="1056"/>
      <c r="ACK103" s="1056"/>
      <c r="ACL103" s="1056"/>
      <c r="ACM103" s="1056"/>
      <c r="ACN103" s="1056"/>
      <c r="ACO103" s="1056"/>
      <c r="ACP103" s="1056"/>
      <c r="ACQ103" s="1056"/>
      <c r="ACR103" s="1056"/>
      <c r="ACS103" s="1056"/>
      <c r="ACT103" s="1056"/>
      <c r="ACU103" s="1056"/>
      <c r="ACV103" s="1056"/>
      <c r="ACW103" s="1056"/>
      <c r="ACX103" s="1056"/>
      <c r="ACY103" s="1056"/>
      <c r="ACZ103" s="1056"/>
      <c r="ADA103" s="1056"/>
      <c r="ADB103" s="1056"/>
      <c r="ADC103" s="1056"/>
      <c r="ADD103" s="1056"/>
      <c r="ADE103" s="1056"/>
      <c r="ADF103" s="1056"/>
      <c r="ADG103" s="1056"/>
      <c r="ADH103" s="1056"/>
      <c r="ADI103" s="1056"/>
      <c r="ADJ103" s="1056"/>
      <c r="ADK103" s="1056"/>
      <c r="ADL103" s="1056"/>
      <c r="ADM103" s="1056"/>
      <c r="ADN103" s="1056"/>
      <c r="ADO103" s="1056"/>
      <c r="ADP103" s="1056"/>
      <c r="ADQ103" s="1056"/>
      <c r="ADR103" s="1056"/>
      <c r="ADS103" s="1056"/>
      <c r="ADT103" s="1056"/>
      <c r="ADU103" s="1056"/>
      <c r="ADV103" s="1056"/>
      <c r="ADW103" s="1056"/>
      <c r="ADX103" s="1056"/>
      <c r="ADY103" s="1056"/>
      <c r="ADZ103" s="1056"/>
      <c r="AEA103" s="1056"/>
      <c r="AEB103" s="1056"/>
      <c r="AEC103" s="1056"/>
      <c r="AED103" s="1056"/>
      <c r="AEE103" s="1056"/>
      <c r="AEF103" s="1056"/>
      <c r="AEG103" s="1056"/>
      <c r="AEH103" s="1056"/>
      <c r="AEI103" s="1056"/>
      <c r="AEJ103" s="1056"/>
      <c r="AEK103" s="1056"/>
      <c r="AEL103" s="1056"/>
      <c r="AEM103" s="1056"/>
      <c r="AEN103" s="1056"/>
      <c r="AEO103" s="1056"/>
      <c r="AEP103" s="1056"/>
      <c r="AEQ103" s="1056"/>
      <c r="AER103" s="1056"/>
      <c r="AES103" s="1056"/>
      <c r="AET103" s="1056"/>
      <c r="AEU103" s="1056"/>
      <c r="AEV103" s="1056"/>
      <c r="AEW103" s="1056"/>
      <c r="AEX103" s="1056"/>
      <c r="AEY103" s="1056"/>
      <c r="AEZ103" s="1056"/>
      <c r="AFA103" s="1056"/>
      <c r="AFB103" s="1056"/>
      <c r="AFC103" s="1056"/>
      <c r="AFD103" s="1056"/>
      <c r="AFE103" s="1056"/>
      <c r="AFF103" s="1056"/>
      <c r="AFG103" s="1056"/>
      <c r="AFH103" s="1056"/>
      <c r="AFI103" s="1056"/>
      <c r="AFJ103" s="1056"/>
      <c r="AFK103" s="1056"/>
      <c r="AFL103" s="1056"/>
      <c r="AFM103" s="1056"/>
      <c r="AFN103" s="1056"/>
      <c r="AFO103" s="1056"/>
      <c r="AFP103" s="1056"/>
      <c r="AFQ103" s="1056"/>
      <c r="AFR103" s="1056"/>
      <c r="AFS103" s="1056"/>
      <c r="AFT103" s="1056"/>
      <c r="AFU103" s="1056"/>
      <c r="AFV103" s="1056"/>
      <c r="AFW103" s="1056"/>
      <c r="AFX103" s="1056"/>
      <c r="AFY103" s="1056"/>
      <c r="AFZ103" s="1056"/>
      <c r="AGA103" s="1056"/>
      <c r="AGB103" s="1056"/>
      <c r="AGC103" s="1056"/>
      <c r="AGD103" s="1056"/>
      <c r="AGE103" s="1056"/>
      <c r="AGF103" s="1056"/>
      <c r="AGG103" s="1056"/>
      <c r="AGH103" s="1056"/>
      <c r="AGI103" s="1056"/>
      <c r="AGJ103" s="1056"/>
      <c r="AGK103" s="1056"/>
      <c r="AGL103" s="1056"/>
      <c r="AGM103" s="1056"/>
      <c r="AGN103" s="1056"/>
      <c r="AGO103" s="1056"/>
      <c r="AGP103" s="1056"/>
      <c r="AGQ103" s="1056"/>
      <c r="AGR103" s="1056"/>
      <c r="AGS103" s="1056"/>
      <c r="AGT103" s="1056"/>
      <c r="AGU103" s="1056"/>
      <c r="AGV103" s="1056"/>
      <c r="AGW103" s="1056"/>
      <c r="AGX103" s="1056"/>
      <c r="AGY103" s="1056"/>
      <c r="AGZ103" s="1056"/>
      <c r="AHA103" s="1056"/>
      <c r="AHB103" s="1056"/>
      <c r="AHC103" s="1056"/>
      <c r="AHD103" s="1056"/>
      <c r="AHE103" s="1056"/>
      <c r="AHF103" s="1056"/>
      <c r="AHG103" s="1056"/>
      <c r="AHH103" s="1056"/>
      <c r="AHI103" s="1056"/>
      <c r="AHJ103" s="1056"/>
      <c r="AHK103" s="1056"/>
      <c r="AHL103" s="1056"/>
      <c r="AHM103" s="1056"/>
      <c r="AHN103" s="1056"/>
      <c r="AHO103" s="1056"/>
      <c r="AHP103" s="1056"/>
      <c r="AHQ103" s="1056"/>
      <c r="AHR103" s="1056"/>
      <c r="AHS103" s="1056"/>
      <c r="AHT103" s="1056"/>
      <c r="AHU103" s="1056"/>
      <c r="AHV103" s="1056"/>
      <c r="AHW103" s="1056"/>
      <c r="AHX103" s="1056"/>
      <c r="AHY103" s="1056"/>
      <c r="AHZ103" s="1056"/>
      <c r="AIA103" s="1056"/>
      <c r="AIB103" s="1056"/>
      <c r="AIC103" s="1056"/>
      <c r="AID103" s="1056"/>
      <c r="AIE103" s="1056"/>
      <c r="AIF103" s="1056"/>
      <c r="AIG103" s="1056"/>
      <c r="AIH103" s="1056"/>
      <c r="AII103" s="1056"/>
      <c r="AIJ103" s="1056"/>
      <c r="AIK103" s="1056"/>
      <c r="AIL103" s="1056"/>
      <c r="AIM103" s="1056"/>
      <c r="AIN103" s="1056"/>
      <c r="AIO103" s="1056"/>
      <c r="AIP103" s="1056"/>
      <c r="AIQ103" s="1056"/>
      <c r="AIR103" s="1056"/>
      <c r="AIS103" s="1056"/>
      <c r="AIT103" s="1056"/>
      <c r="AIU103" s="1056"/>
      <c r="AIV103" s="1056"/>
      <c r="AIW103" s="1056"/>
      <c r="AIX103" s="1056"/>
      <c r="AIY103" s="1056"/>
      <c r="AIZ103" s="1056"/>
      <c r="AJA103" s="1056"/>
      <c r="AJB103" s="1056"/>
      <c r="AJC103" s="1056"/>
      <c r="AJD103" s="1056"/>
      <c r="AJE103" s="1056"/>
      <c r="AJF103" s="1056"/>
      <c r="AJG103" s="1056"/>
      <c r="AJH103" s="1056"/>
      <c r="AJI103" s="1056"/>
      <c r="AJJ103" s="1056"/>
      <c r="AJK103" s="1056"/>
      <c r="AJL103" s="1056"/>
      <c r="AJM103" s="1056"/>
      <c r="AJN103" s="1056"/>
      <c r="AJO103" s="1056"/>
      <c r="AJP103" s="1056"/>
      <c r="AJQ103" s="1056"/>
      <c r="AJR103" s="1056"/>
      <c r="AJS103" s="1056"/>
      <c r="AJT103" s="1056"/>
      <c r="AJU103" s="1056"/>
      <c r="AJV103" s="1056"/>
      <c r="AJW103" s="1056"/>
      <c r="AJX103" s="1056"/>
      <c r="AJY103" s="1056"/>
      <c r="AJZ103" s="1056"/>
      <c r="AKA103" s="1056"/>
      <c r="AKB103" s="1056"/>
      <c r="AKC103" s="1056"/>
      <c r="AKD103" s="1056"/>
      <c r="AKE103" s="1056"/>
      <c r="AKF103" s="1056"/>
      <c r="AKG103" s="1056"/>
      <c r="AKH103" s="1056"/>
      <c r="AKI103" s="1056"/>
      <c r="AKJ103" s="1056"/>
      <c r="AKK103" s="1056"/>
      <c r="AKL103" s="1056"/>
      <c r="AKM103" s="1056"/>
      <c r="AKN103" s="1056"/>
      <c r="AKO103" s="1056"/>
      <c r="AKP103" s="1056"/>
      <c r="AKQ103" s="1056"/>
      <c r="AKR103" s="1056"/>
      <c r="AKS103" s="1056"/>
      <c r="AKT103" s="1056"/>
      <c r="AKU103" s="1056"/>
      <c r="AKV103" s="1056"/>
      <c r="AKW103" s="1056"/>
      <c r="AKX103" s="1056"/>
      <c r="AKY103" s="1056"/>
      <c r="AKZ103" s="1056"/>
      <c r="ALA103" s="1056"/>
      <c r="ALB103" s="1056"/>
      <c r="ALC103" s="1056"/>
      <c r="ALD103" s="1056"/>
      <c r="ALE103" s="1056"/>
      <c r="ALF103" s="1056"/>
      <c r="ALG103" s="1056"/>
      <c r="ALH103" s="1056"/>
      <c r="ALI103" s="1056"/>
      <c r="ALJ103" s="1056"/>
      <c r="ALK103" s="1056"/>
      <c r="ALL103" s="1056"/>
      <c r="ALM103" s="1056"/>
      <c r="ALN103" s="1056"/>
      <c r="ALO103" s="1056"/>
      <c r="ALP103" s="1056"/>
      <c r="ALQ103" s="1056"/>
      <c r="ALR103" s="1056"/>
      <c r="ALS103" s="1056"/>
      <c r="ALT103" s="1056"/>
      <c r="ALU103" s="1056"/>
      <c r="ALV103" s="1056"/>
      <c r="ALW103" s="1056"/>
      <c r="ALX103" s="1056"/>
      <c r="ALY103" s="1056"/>
      <c r="ALZ103" s="1056"/>
      <c r="AMA103" s="1056"/>
      <c r="AMB103" s="1056"/>
      <c r="AMC103" s="1056"/>
      <c r="AMD103" s="1056"/>
      <c r="AME103" s="1056"/>
      <c r="AMF103" s="1056"/>
      <c r="AMG103" s="1056"/>
      <c r="AMH103" s="1056"/>
      <c r="AMI103" s="1056"/>
      <c r="AMJ103" s="1056"/>
      <c r="AMK103" s="1056"/>
      <c r="AML103" s="1056"/>
      <c r="AMM103" s="1056"/>
      <c r="AMN103" s="1056"/>
      <c r="AMO103" s="1056"/>
      <c r="AMP103" s="1056"/>
      <c r="AMQ103" s="1056"/>
      <c r="AMR103" s="1056"/>
      <c r="AMS103" s="1056"/>
      <c r="AMT103" s="1056"/>
      <c r="AMU103" s="1056"/>
      <c r="AMV103" s="1056"/>
      <c r="AMW103" s="1056"/>
      <c r="AMX103" s="1056"/>
      <c r="AMY103" s="1056"/>
      <c r="AMZ103" s="1056"/>
      <c r="ANA103" s="1056"/>
      <c r="ANB103" s="1056"/>
      <c r="ANC103" s="1056"/>
      <c r="AND103" s="1056"/>
      <c r="ANE103" s="1056"/>
      <c r="ANF103" s="1056"/>
      <c r="ANG103" s="1056"/>
      <c r="ANH103" s="1056"/>
      <c r="ANI103" s="1056"/>
      <c r="ANJ103" s="1056"/>
      <c r="ANK103" s="1056"/>
      <c r="ANL103" s="1056"/>
      <c r="ANM103" s="1056"/>
      <c r="ANN103" s="1056"/>
      <c r="ANO103" s="1056"/>
      <c r="ANP103" s="1056"/>
      <c r="ANQ103" s="1056"/>
      <c r="ANR103" s="1056"/>
      <c r="ANS103" s="1056"/>
      <c r="ANT103" s="1056"/>
      <c r="ANU103" s="1056"/>
      <c r="ANV103" s="1056"/>
      <c r="ANW103" s="1056"/>
      <c r="ANX103" s="1056"/>
      <c r="ANY103" s="1056"/>
      <c r="ANZ103" s="1056"/>
      <c r="AOA103" s="1056"/>
      <c r="AOB103" s="1056"/>
      <c r="AOC103" s="1056"/>
      <c r="AOD103" s="1056"/>
      <c r="AOE103" s="1056"/>
      <c r="AOF103" s="1056"/>
      <c r="AOG103" s="1056"/>
      <c r="AOH103" s="1056"/>
      <c r="AOI103" s="1056"/>
      <c r="AOJ103" s="1056"/>
      <c r="AOK103" s="1056"/>
      <c r="AOL103" s="1056"/>
      <c r="AOM103" s="1056"/>
      <c r="AON103" s="1056"/>
      <c r="AOO103" s="1056"/>
      <c r="AOP103" s="1056"/>
      <c r="AOQ103" s="1056"/>
      <c r="AOR103" s="1056"/>
      <c r="AOS103" s="1056"/>
      <c r="AOT103" s="1056"/>
      <c r="AOU103" s="1056"/>
      <c r="AOV103" s="1056"/>
      <c r="AOW103" s="1056"/>
      <c r="AOX103" s="1056"/>
      <c r="AOY103" s="1056"/>
      <c r="AOZ103" s="1056"/>
      <c r="APA103" s="1056"/>
      <c r="APB103" s="1056"/>
      <c r="APC103" s="1056"/>
      <c r="APD103" s="1056"/>
      <c r="APE103" s="1056"/>
      <c r="APF103" s="1056"/>
      <c r="APG103" s="1056"/>
      <c r="APH103" s="1056"/>
      <c r="API103" s="1056"/>
      <c r="APJ103" s="1056"/>
      <c r="APK103" s="1056"/>
      <c r="APL103" s="1056"/>
      <c r="APM103" s="1056"/>
      <c r="APN103" s="1056"/>
      <c r="APO103" s="1056"/>
      <c r="APP103" s="1056"/>
      <c r="APQ103" s="1056"/>
      <c r="APR103" s="1056"/>
      <c r="APS103" s="1056"/>
      <c r="APT103" s="1056"/>
      <c r="APU103" s="1056"/>
      <c r="APV103" s="1056"/>
      <c r="APW103" s="1056"/>
      <c r="APX103" s="1056"/>
      <c r="APY103" s="1056"/>
      <c r="APZ103" s="1056"/>
      <c r="AQA103" s="1056"/>
      <c r="AQB103" s="1056"/>
      <c r="AQC103" s="1056"/>
      <c r="AQD103" s="1056"/>
      <c r="AQE103" s="1056"/>
      <c r="AQF103" s="1056"/>
      <c r="AQG103" s="1056"/>
      <c r="AQH103" s="1056"/>
      <c r="AQI103" s="1056"/>
      <c r="AQJ103" s="1056"/>
      <c r="AQK103" s="1056"/>
      <c r="AQL103" s="1056"/>
      <c r="AQM103" s="1056"/>
      <c r="AQN103" s="1056"/>
      <c r="AQO103" s="1056"/>
      <c r="AQP103" s="1056"/>
      <c r="AQQ103" s="1056"/>
      <c r="AQR103" s="1056"/>
      <c r="AQS103" s="1056"/>
      <c r="AQT103" s="1056"/>
      <c r="AQU103" s="1056"/>
      <c r="AQV103" s="1056"/>
      <c r="AQW103" s="1056"/>
      <c r="AQX103" s="1056"/>
      <c r="AQY103" s="1056"/>
      <c r="AQZ103" s="1056"/>
      <c r="ARA103" s="1056"/>
      <c r="ARB103" s="1056"/>
      <c r="ARC103" s="1056"/>
      <c r="ARD103" s="1056"/>
      <c r="ARE103" s="1056"/>
      <c r="ARF103" s="1056"/>
      <c r="ARG103" s="1056"/>
      <c r="ARH103" s="1056"/>
      <c r="ARI103" s="1056"/>
      <c r="ARJ103" s="1056"/>
      <c r="ARK103" s="1056"/>
      <c r="ARL103" s="1056"/>
      <c r="ARM103" s="1056"/>
      <c r="ARN103" s="1056"/>
      <c r="ARO103" s="1056"/>
      <c r="ARP103" s="1056"/>
      <c r="ARQ103" s="1056"/>
      <c r="ARR103" s="1056"/>
      <c r="ARS103" s="1056"/>
      <c r="ART103" s="1056"/>
      <c r="ARU103" s="1056"/>
      <c r="ARV103" s="1056"/>
      <c r="ARW103" s="1056"/>
      <c r="ARX103" s="1056"/>
      <c r="ARY103" s="1056"/>
      <c r="ARZ103" s="1056"/>
      <c r="ASA103" s="1056"/>
      <c r="ASB103" s="1056"/>
      <c r="ASC103" s="1056"/>
      <c r="ASD103" s="1056"/>
      <c r="ASE103" s="1056"/>
      <c r="ASF103" s="1056"/>
      <c r="ASG103" s="1056"/>
      <c r="ASH103" s="1056"/>
      <c r="ASI103" s="1056"/>
      <c r="ASJ103" s="1056"/>
      <c r="ASK103" s="1056"/>
      <c r="ASL103" s="1056"/>
      <c r="ASM103" s="1056"/>
      <c r="ASN103" s="1056"/>
      <c r="ASO103" s="1056"/>
      <c r="ASP103" s="1056"/>
      <c r="ASQ103" s="1056"/>
      <c r="ASR103" s="1056"/>
      <c r="ASS103" s="1056"/>
      <c r="AST103" s="1056"/>
      <c r="ASU103" s="1056"/>
      <c r="ASV103" s="1056"/>
      <c r="ASW103" s="1056"/>
      <c r="ASX103" s="1056"/>
      <c r="ASY103" s="1056"/>
      <c r="ASZ103" s="1056"/>
      <c r="ATA103" s="1056"/>
      <c r="ATB103" s="1056"/>
      <c r="ATC103" s="1056"/>
      <c r="ATD103" s="1056"/>
      <c r="ATE103" s="1056"/>
      <c r="ATF103" s="1056"/>
      <c r="ATG103" s="1056"/>
      <c r="ATH103" s="1056"/>
      <c r="ATI103" s="1056"/>
      <c r="ATJ103" s="1056"/>
      <c r="ATK103" s="1056"/>
      <c r="ATL103" s="1056"/>
      <c r="ATM103" s="1056"/>
      <c r="ATN103" s="1056"/>
      <c r="ATO103" s="1056"/>
      <c r="ATP103" s="1056"/>
      <c r="ATQ103" s="1056"/>
      <c r="ATR103" s="1056"/>
      <c r="ATS103" s="1056"/>
      <c r="ATT103" s="1056"/>
      <c r="ATU103" s="1056"/>
      <c r="ATV103" s="1056"/>
      <c r="ATW103" s="1056"/>
      <c r="ATX103" s="1056"/>
      <c r="ATY103" s="1056"/>
      <c r="ATZ103" s="1056"/>
      <c r="AUA103" s="1056"/>
      <c r="AUB103" s="1056"/>
      <c r="AUC103" s="1056"/>
      <c r="AUD103" s="1056"/>
      <c r="AUE103" s="1056"/>
      <c r="AUF103" s="1056"/>
      <c r="AUG103" s="1056"/>
      <c r="AUH103" s="1056"/>
      <c r="AUI103" s="1056"/>
      <c r="AUJ103" s="1056"/>
      <c r="AUK103" s="1056"/>
      <c r="AUL103" s="1056"/>
      <c r="AUM103" s="1056"/>
      <c r="AUN103" s="1056"/>
      <c r="AUO103" s="1056"/>
      <c r="AUP103" s="1056"/>
      <c r="AUQ103" s="1056"/>
      <c r="AUR103" s="1056"/>
      <c r="AUS103" s="1056"/>
      <c r="AUT103" s="1056"/>
      <c r="AUU103" s="1056"/>
      <c r="AUV103" s="1056"/>
      <c r="AUW103" s="1056"/>
      <c r="AUX103" s="1056"/>
      <c r="AUY103" s="1056"/>
      <c r="AUZ103" s="1056"/>
      <c r="AVA103" s="1056"/>
      <c r="AVB103" s="1056"/>
      <c r="AVC103" s="1056"/>
      <c r="AVD103" s="1056"/>
      <c r="AVE103" s="1056"/>
      <c r="AVF103" s="1056"/>
      <c r="AVG103" s="1056"/>
      <c r="AVH103" s="1056"/>
      <c r="AVI103" s="1056"/>
      <c r="AVJ103" s="1056"/>
      <c r="AVK103" s="1056"/>
      <c r="AVL103" s="1056"/>
      <c r="AVM103" s="1056"/>
      <c r="AVN103" s="1056"/>
      <c r="AVO103" s="1056"/>
      <c r="AVP103" s="1056"/>
      <c r="AVQ103" s="1056"/>
      <c r="AVR103" s="1056"/>
      <c r="AVS103" s="1056"/>
      <c r="AVT103" s="1056"/>
      <c r="AVU103" s="1056"/>
      <c r="AVV103" s="1056"/>
      <c r="AVW103" s="1056"/>
      <c r="AVX103" s="1056"/>
      <c r="AVY103" s="1056"/>
      <c r="AVZ103" s="1056"/>
      <c r="AWA103" s="1056"/>
      <c r="AWB103" s="1056"/>
      <c r="AWC103" s="1056"/>
      <c r="AWD103" s="1056"/>
      <c r="AWE103" s="1056"/>
      <c r="AWF103" s="1056"/>
      <c r="AWG103" s="1056"/>
      <c r="AWH103" s="1056"/>
      <c r="AWI103" s="1056"/>
      <c r="AWJ103" s="1056"/>
      <c r="AWK103" s="1056"/>
      <c r="AWL103" s="1056"/>
      <c r="AWM103" s="1056"/>
      <c r="AWN103" s="1056"/>
      <c r="AWO103" s="1056"/>
      <c r="AWP103" s="1056"/>
      <c r="AWQ103" s="1056"/>
      <c r="AWR103" s="1056"/>
      <c r="AWS103" s="1056"/>
      <c r="AWT103" s="1056"/>
      <c r="AWU103" s="1056"/>
      <c r="AWV103" s="1056"/>
      <c r="AWW103" s="1056"/>
      <c r="AWX103" s="1056"/>
      <c r="AWY103" s="1056"/>
      <c r="AWZ103" s="1056"/>
      <c r="AXA103" s="1056"/>
      <c r="AXB103" s="1056"/>
      <c r="AXC103" s="1056"/>
      <c r="AXD103" s="1056"/>
      <c r="AXE103" s="1056"/>
      <c r="AXF103" s="1056"/>
      <c r="AXG103" s="1056"/>
      <c r="AXH103" s="1056"/>
      <c r="AXI103" s="1056"/>
      <c r="AXJ103" s="1056"/>
      <c r="AXK103" s="1056"/>
      <c r="AXL103" s="1056"/>
      <c r="AXM103" s="1056"/>
      <c r="AXN103" s="1056"/>
      <c r="AXO103" s="1056"/>
      <c r="AXP103" s="1056"/>
      <c r="AXQ103" s="1056"/>
      <c r="AXR103" s="1056"/>
      <c r="AXS103" s="1056"/>
      <c r="AXT103" s="1056"/>
      <c r="AXU103" s="1056"/>
      <c r="AXV103" s="1056"/>
      <c r="AXW103" s="1056"/>
      <c r="AXX103" s="1056"/>
      <c r="AXY103" s="1056"/>
      <c r="AXZ103" s="1056"/>
      <c r="AYA103" s="1056"/>
      <c r="AYB103" s="1056"/>
      <c r="AYC103" s="1056"/>
      <c r="AYD103" s="1056"/>
      <c r="AYE103" s="1056"/>
      <c r="AYF103" s="1056"/>
      <c r="AYG103" s="1056"/>
      <c r="AYH103" s="1056"/>
      <c r="AYI103" s="1056"/>
      <c r="AYJ103" s="1056"/>
      <c r="AYK103" s="1056"/>
      <c r="AYL103" s="1056"/>
      <c r="AYM103" s="1056"/>
      <c r="AYN103" s="1056"/>
      <c r="AYO103" s="1056"/>
      <c r="AYP103" s="1056"/>
      <c r="AYQ103" s="1056"/>
      <c r="AYR103" s="1056"/>
      <c r="AYS103" s="1056"/>
      <c r="AYT103" s="1056"/>
      <c r="AYU103" s="1056"/>
      <c r="AYV103" s="1056"/>
      <c r="AYW103" s="1056"/>
      <c r="AYX103" s="1056"/>
      <c r="AYY103" s="1056"/>
      <c r="AYZ103" s="1056"/>
      <c r="AZA103" s="1056"/>
      <c r="AZB103" s="1056"/>
      <c r="AZC103" s="1056"/>
      <c r="AZD103" s="1056"/>
      <c r="AZE103" s="1056"/>
      <c r="AZF103" s="1056"/>
      <c r="AZG103" s="1056"/>
      <c r="AZH103" s="1056"/>
      <c r="AZI103" s="1056"/>
      <c r="AZJ103" s="1056"/>
      <c r="AZK103" s="1056"/>
      <c r="AZL103" s="1056"/>
      <c r="AZM103" s="1056"/>
      <c r="AZN103" s="1056"/>
      <c r="AZO103" s="1056"/>
      <c r="AZP103" s="1056"/>
      <c r="AZQ103" s="1056"/>
      <c r="AZR103" s="1056"/>
      <c r="AZS103" s="1056"/>
      <c r="AZT103" s="1056"/>
      <c r="AZU103" s="1056"/>
      <c r="AZV103" s="1056"/>
      <c r="AZW103" s="1056"/>
      <c r="AZX103" s="1056"/>
      <c r="AZY103" s="1056"/>
      <c r="AZZ103" s="1056"/>
      <c r="BAA103" s="1056"/>
      <c r="BAB103" s="1056"/>
      <c r="BAC103" s="1056"/>
      <c r="BAD103" s="1056"/>
      <c r="BAE103" s="1056"/>
      <c r="BAF103" s="1056"/>
      <c r="BAG103" s="1056"/>
      <c r="BAH103" s="1056"/>
      <c r="BAI103" s="1056"/>
      <c r="BAJ103" s="1056"/>
      <c r="BAK103" s="1056"/>
      <c r="BAL103" s="1056"/>
      <c r="BAM103" s="1056"/>
      <c r="BAN103" s="1056"/>
      <c r="BAO103" s="1056"/>
      <c r="BAP103" s="1056"/>
      <c r="BAQ103" s="1056"/>
      <c r="BAR103" s="1056"/>
      <c r="BAS103" s="1056"/>
      <c r="BAT103" s="1056"/>
      <c r="BAU103" s="1056"/>
      <c r="BAV103" s="1056"/>
      <c r="BAW103" s="1056"/>
      <c r="BAX103" s="1056"/>
      <c r="BAY103" s="1056"/>
      <c r="BAZ103" s="1056"/>
      <c r="BBA103" s="1056"/>
      <c r="BBB103" s="1056"/>
      <c r="BBC103" s="1056"/>
      <c r="BBD103" s="1056"/>
      <c r="BBE103" s="1056"/>
      <c r="BBF103" s="1056"/>
      <c r="BBG103" s="1056"/>
      <c r="BBH103" s="1056"/>
      <c r="BBI103" s="1056"/>
      <c r="BBJ103" s="1056"/>
      <c r="BBK103" s="1056"/>
      <c r="BBL103" s="1056"/>
      <c r="BBM103" s="1056"/>
      <c r="BBN103" s="1056"/>
      <c r="BBO103" s="1056"/>
      <c r="BBP103" s="1056"/>
      <c r="BBQ103" s="1056"/>
      <c r="BBR103" s="1056"/>
      <c r="BBS103" s="1056"/>
      <c r="BBT103" s="1056"/>
      <c r="BBU103" s="1056"/>
      <c r="BBV103" s="1056"/>
      <c r="BBW103" s="1056"/>
      <c r="BBX103" s="1056"/>
      <c r="BBY103" s="1056"/>
      <c r="BBZ103" s="1056"/>
      <c r="BCA103" s="1056"/>
      <c r="BCB103" s="1056"/>
      <c r="BCC103" s="1056"/>
      <c r="BCD103" s="1056"/>
      <c r="BCE103" s="1056"/>
      <c r="BCF103" s="1056"/>
      <c r="BCG103" s="1056"/>
      <c r="BCH103" s="1056"/>
      <c r="BCI103" s="1056"/>
      <c r="BCJ103" s="1056"/>
      <c r="BCK103" s="1056"/>
      <c r="BCL103" s="1056"/>
      <c r="BCM103" s="1056"/>
      <c r="BCN103" s="1056"/>
      <c r="BCO103" s="1056"/>
      <c r="BCP103" s="1056"/>
      <c r="BCQ103" s="1056"/>
      <c r="BCR103" s="1056"/>
      <c r="BCS103" s="1056"/>
      <c r="BCT103" s="1056"/>
      <c r="BCU103" s="1056"/>
      <c r="BCV103" s="1056"/>
      <c r="BCW103" s="1056"/>
      <c r="BCX103" s="1056"/>
      <c r="BCY103" s="1056"/>
      <c r="BCZ103" s="1056"/>
      <c r="BDA103" s="1056"/>
      <c r="BDB103" s="1056"/>
      <c r="BDC103" s="1056"/>
      <c r="BDD103" s="1056"/>
      <c r="BDE103" s="1056"/>
      <c r="BDF103" s="1056"/>
      <c r="BDG103" s="1056"/>
      <c r="BDH103" s="1056"/>
      <c r="BDI103" s="1056"/>
      <c r="BDJ103" s="1056"/>
      <c r="BDK103" s="1056"/>
      <c r="BDL103" s="1056"/>
      <c r="BDM103" s="1056"/>
      <c r="BDN103" s="1056"/>
      <c r="BDO103" s="1056"/>
      <c r="BDP103" s="1056"/>
      <c r="BDQ103" s="1056"/>
      <c r="BDR103" s="1056"/>
      <c r="BDS103" s="1056"/>
      <c r="BDT103" s="1056"/>
      <c r="BDU103" s="1056"/>
      <c r="BDV103" s="1056"/>
      <c r="BDW103" s="1056"/>
      <c r="BDX103" s="1056"/>
      <c r="BDY103" s="1056"/>
      <c r="BDZ103" s="1056"/>
      <c r="BEA103" s="1056"/>
      <c r="BEB103" s="1056"/>
      <c r="BEC103" s="1056"/>
      <c r="BED103" s="1056"/>
      <c r="BEE103" s="1056"/>
      <c r="BEF103" s="1056"/>
      <c r="BEG103" s="1056"/>
      <c r="BEH103" s="1056"/>
      <c r="BEI103" s="1056"/>
      <c r="BEJ103" s="1056"/>
      <c r="BEK103" s="1056"/>
      <c r="BEL103" s="1056"/>
      <c r="BEM103" s="1056"/>
      <c r="BEN103" s="1056"/>
      <c r="BEO103" s="1056"/>
      <c r="BEP103" s="1056"/>
      <c r="BEQ103" s="1056"/>
      <c r="BER103" s="1056"/>
      <c r="BES103" s="1056"/>
      <c r="BET103" s="1056"/>
      <c r="BEU103" s="1056"/>
      <c r="BEV103" s="1056"/>
      <c r="BEW103" s="1056"/>
      <c r="BEX103" s="1056"/>
      <c r="BEY103" s="1056"/>
      <c r="BEZ103" s="1056"/>
      <c r="BFA103" s="1056"/>
      <c r="BFB103" s="1056"/>
      <c r="BFC103" s="1056"/>
      <c r="BFD103" s="1056"/>
      <c r="BFE103" s="1056"/>
      <c r="BFF103" s="1056"/>
      <c r="BFG103" s="1056"/>
      <c r="BFH103" s="1056"/>
      <c r="BFI103" s="1056"/>
      <c r="BFJ103" s="1056"/>
      <c r="BFK103" s="1056"/>
      <c r="BFL103" s="1056"/>
      <c r="BFM103" s="1056"/>
      <c r="BFN103" s="1056"/>
      <c r="BFO103" s="1056"/>
      <c r="BFP103" s="1056"/>
      <c r="BFQ103" s="1056"/>
      <c r="BFR103" s="1056"/>
      <c r="BFS103" s="1056"/>
      <c r="BFT103" s="1056"/>
      <c r="BFU103" s="1056"/>
      <c r="BFV103" s="1056"/>
      <c r="BFW103" s="1056"/>
      <c r="BFX103" s="1056"/>
      <c r="BFY103" s="1056"/>
      <c r="BFZ103" s="1056"/>
      <c r="BGA103" s="1056"/>
      <c r="BGB103" s="1056"/>
      <c r="BGC103" s="1056"/>
      <c r="BGD103" s="1056"/>
      <c r="BGE103" s="1056"/>
      <c r="BGF103" s="1056"/>
      <c r="BGG103" s="1056"/>
      <c r="BGH103" s="1056"/>
      <c r="BGI103" s="1056"/>
      <c r="BGJ103" s="1056"/>
      <c r="BGK103" s="1056"/>
      <c r="BGL103" s="1056"/>
      <c r="BGM103" s="1056"/>
      <c r="BGN103" s="1056"/>
      <c r="BGO103" s="1056"/>
      <c r="BGP103" s="1056"/>
      <c r="BGQ103" s="1056"/>
      <c r="BGR103" s="1056"/>
      <c r="BGS103" s="1056"/>
      <c r="BGT103" s="1056"/>
      <c r="BGU103" s="1056"/>
      <c r="BGV103" s="1056"/>
      <c r="BGW103" s="1056"/>
      <c r="BGX103" s="1056"/>
      <c r="BGY103" s="1056"/>
      <c r="BGZ103" s="1056"/>
      <c r="BHA103" s="1056"/>
      <c r="BHB103" s="1056"/>
      <c r="BHC103" s="1056"/>
      <c r="BHD103" s="1056"/>
      <c r="BHE103" s="1056"/>
      <c r="BHF103" s="1056"/>
      <c r="BHG103" s="1056"/>
      <c r="BHH103" s="1056"/>
      <c r="BHI103" s="1056"/>
      <c r="BHJ103" s="1056"/>
      <c r="BHK103" s="1056"/>
      <c r="BHL103" s="1056"/>
      <c r="BHM103" s="1056"/>
      <c r="BHN103" s="1056"/>
      <c r="BHO103" s="1056"/>
      <c r="BHP103" s="1056"/>
      <c r="BHQ103" s="1056"/>
      <c r="BHR103" s="1056"/>
      <c r="BHS103" s="1056"/>
      <c r="BHT103" s="1056"/>
      <c r="BHU103" s="1056"/>
      <c r="BHV103" s="1056"/>
      <c r="BHW103" s="1056"/>
      <c r="BHX103" s="1056"/>
      <c r="BHY103" s="1056"/>
      <c r="BHZ103" s="1056"/>
      <c r="BIA103" s="1056"/>
      <c r="BIB103" s="1056"/>
      <c r="BIC103" s="1056"/>
      <c r="BID103" s="1056"/>
      <c r="BIE103" s="1056"/>
      <c r="BIF103" s="1056"/>
      <c r="BIG103" s="1056"/>
      <c r="BIH103" s="1056"/>
      <c r="BII103" s="1056"/>
      <c r="BIJ103" s="1056"/>
      <c r="BIK103" s="1056"/>
      <c r="BIL103" s="1056"/>
      <c r="BIM103" s="1056"/>
      <c r="BIN103" s="1056"/>
      <c r="BIO103" s="1056"/>
      <c r="BIP103" s="1056"/>
      <c r="BIQ103" s="1056"/>
      <c r="BIR103" s="1056"/>
      <c r="BIS103" s="1056"/>
      <c r="BIT103" s="1056"/>
      <c r="BIU103" s="1056"/>
      <c r="BIV103" s="1056"/>
      <c r="BIW103" s="1056"/>
      <c r="BIX103" s="1056"/>
      <c r="BIY103" s="1056"/>
      <c r="BIZ103" s="1056"/>
      <c r="BJA103" s="1056"/>
      <c r="BJB103" s="1056"/>
      <c r="BJC103" s="1056"/>
      <c r="BJD103" s="1056"/>
      <c r="BJE103" s="1056"/>
      <c r="BJF103" s="1056"/>
      <c r="BJG103" s="1056"/>
      <c r="BJH103" s="1056"/>
      <c r="BJI103" s="1056"/>
      <c r="BJJ103" s="1056"/>
      <c r="BJK103" s="1056"/>
      <c r="BJL103" s="1056"/>
      <c r="BJM103" s="1056"/>
      <c r="BJN103" s="1056"/>
      <c r="BJO103" s="1056"/>
      <c r="BJP103" s="1056"/>
      <c r="BJQ103" s="1056"/>
      <c r="BJR103" s="1056"/>
      <c r="BJS103" s="1056"/>
      <c r="BJT103" s="1056"/>
      <c r="BJU103" s="1056"/>
      <c r="BJV103" s="1056"/>
      <c r="BJW103" s="1056"/>
      <c r="BJX103" s="1056"/>
      <c r="BJY103" s="1056"/>
      <c r="BJZ103" s="1056"/>
      <c r="BKA103" s="1056"/>
      <c r="BKB103" s="1056"/>
      <c r="BKC103" s="1056"/>
      <c r="BKD103" s="1056"/>
      <c r="BKE103" s="1056"/>
      <c r="BKF103" s="1056"/>
      <c r="BKG103" s="1056"/>
      <c r="BKH103" s="1056"/>
      <c r="BKI103" s="1056"/>
      <c r="BKJ103" s="1056"/>
      <c r="BKK103" s="1056"/>
      <c r="BKL103" s="1056"/>
      <c r="BKM103" s="1056"/>
      <c r="BKN103" s="1056"/>
      <c r="BKO103" s="1056"/>
      <c r="BKP103" s="1056"/>
      <c r="BKQ103" s="1056"/>
      <c r="BKR103" s="1056"/>
      <c r="BKS103" s="1056"/>
      <c r="BKT103" s="1056"/>
      <c r="BKU103" s="1056"/>
      <c r="BKV103" s="1056"/>
      <c r="BKW103" s="1056"/>
      <c r="BKX103" s="1056"/>
      <c r="BKY103" s="1056"/>
      <c r="BKZ103" s="1056"/>
      <c r="BLA103" s="1056"/>
      <c r="BLB103" s="1056"/>
      <c r="BLC103" s="1056"/>
      <c r="BLD103" s="1056"/>
      <c r="BLE103" s="1056"/>
      <c r="BLF103" s="1056"/>
      <c r="BLG103" s="1056"/>
      <c r="BLH103" s="1056"/>
      <c r="BLI103" s="1056"/>
      <c r="BLJ103" s="1056"/>
      <c r="BLK103" s="1056"/>
      <c r="BLL103" s="1056"/>
      <c r="BLM103" s="1056"/>
      <c r="BLN103" s="1056"/>
      <c r="BLO103" s="1056"/>
      <c r="BLP103" s="1056"/>
      <c r="BLQ103" s="1056"/>
      <c r="BLR103" s="1056"/>
      <c r="BLS103" s="1056"/>
      <c r="BLT103" s="1056"/>
      <c r="BLU103" s="1056"/>
      <c r="BLV103" s="1056"/>
      <c r="BLW103" s="1056"/>
      <c r="BLX103" s="1056"/>
      <c r="BLY103" s="1056"/>
      <c r="BLZ103" s="1056"/>
      <c r="BMA103" s="1056"/>
      <c r="BMB103" s="1056"/>
      <c r="BMC103" s="1056"/>
      <c r="BMD103" s="1056"/>
      <c r="BME103" s="1056"/>
      <c r="BMF103" s="1056"/>
      <c r="BMG103" s="1056"/>
      <c r="BMH103" s="1056"/>
      <c r="BMI103" s="1056"/>
      <c r="BMJ103" s="1056"/>
      <c r="BMK103" s="1056"/>
      <c r="BML103" s="1056"/>
      <c r="BMM103" s="1056"/>
      <c r="BMN103" s="1056"/>
      <c r="BMO103" s="1056"/>
      <c r="BMP103" s="1056"/>
      <c r="BMQ103" s="1056"/>
      <c r="BMR103" s="1056"/>
      <c r="BMS103" s="1056"/>
      <c r="BMT103" s="1056"/>
      <c r="BMU103" s="1056"/>
      <c r="BMV103" s="1056"/>
      <c r="BMW103" s="1056"/>
      <c r="BMX103" s="1056"/>
      <c r="BMY103" s="1056"/>
      <c r="BMZ103" s="1056"/>
      <c r="BNA103" s="1056"/>
      <c r="BNB103" s="1056"/>
      <c r="BNC103" s="1056"/>
      <c r="BND103" s="1056"/>
      <c r="BNE103" s="1056"/>
      <c r="BNF103" s="1056"/>
      <c r="BNG103" s="1056"/>
      <c r="BNH103" s="1056"/>
      <c r="BNI103" s="1056"/>
      <c r="BNJ103" s="1056"/>
      <c r="BNK103" s="1056"/>
      <c r="BNL103" s="1056"/>
      <c r="BNM103" s="1056"/>
      <c r="BNN103" s="1056"/>
      <c r="BNO103" s="1056"/>
      <c r="BNP103" s="1056"/>
      <c r="BNQ103" s="1056"/>
      <c r="BNR103" s="1056"/>
      <c r="BNS103" s="1056"/>
      <c r="BNT103" s="1056"/>
      <c r="BNU103" s="1056"/>
      <c r="BNV103" s="1056"/>
      <c r="BNW103" s="1056"/>
      <c r="BNX103" s="1056"/>
      <c r="BNY103" s="1056"/>
      <c r="BNZ103" s="1056"/>
      <c r="BOA103" s="1056"/>
      <c r="BOB103" s="1056"/>
      <c r="BOC103" s="1056"/>
      <c r="BOD103" s="1056"/>
      <c r="BOE103" s="1056"/>
      <c r="BOF103" s="1056"/>
      <c r="BOG103" s="1056"/>
      <c r="BOH103" s="1056"/>
      <c r="BOI103" s="1056"/>
      <c r="BOJ103" s="1056"/>
      <c r="BOK103" s="1056"/>
      <c r="BOL103" s="1056"/>
      <c r="BOM103" s="1056"/>
      <c r="BON103" s="1056"/>
      <c r="BOO103" s="1056"/>
      <c r="BOP103" s="1056"/>
      <c r="BOQ103" s="1056"/>
      <c r="BOR103" s="1056"/>
      <c r="BOS103" s="1056"/>
      <c r="BOT103" s="1056"/>
      <c r="BOU103" s="1056"/>
      <c r="BOV103" s="1056"/>
      <c r="BOW103" s="1056"/>
      <c r="BOX103" s="1056"/>
      <c r="BOY103" s="1056"/>
      <c r="BOZ103" s="1056"/>
      <c r="BPA103" s="1056"/>
      <c r="BPB103" s="1056"/>
      <c r="BPC103" s="1056"/>
      <c r="BPD103" s="1056"/>
      <c r="BPE103" s="1056"/>
      <c r="BPF103" s="1056"/>
      <c r="BPG103" s="1056"/>
      <c r="BPH103" s="1056"/>
      <c r="BPI103" s="1056"/>
      <c r="BPJ103" s="1056"/>
      <c r="BPK103" s="1056"/>
      <c r="BPL103" s="1056"/>
      <c r="BPM103" s="1056"/>
      <c r="BPN103" s="1056"/>
      <c r="BPO103" s="1056"/>
      <c r="BPP103" s="1056"/>
      <c r="BPQ103" s="1056"/>
      <c r="BPR103" s="1056"/>
      <c r="BPS103" s="1056"/>
      <c r="BPT103" s="1056"/>
      <c r="BPU103" s="1056"/>
      <c r="BPV103" s="1056"/>
      <c r="BPW103" s="1056"/>
      <c r="BPX103" s="1056"/>
      <c r="BPY103" s="1056"/>
      <c r="BPZ103" s="1056"/>
      <c r="BQA103" s="1056"/>
      <c r="BQB103" s="1056"/>
      <c r="BQC103" s="1056"/>
      <c r="BQD103" s="1056"/>
      <c r="BQE103" s="1056"/>
      <c r="BQF103" s="1056"/>
      <c r="BQG103" s="1056"/>
      <c r="BQH103" s="1056"/>
      <c r="BQI103" s="1056"/>
      <c r="BQJ103" s="1056"/>
      <c r="BQK103" s="1056"/>
      <c r="BQL103" s="1056"/>
      <c r="BQM103" s="1056"/>
      <c r="BQN103" s="1056"/>
      <c r="BQO103" s="1056"/>
      <c r="BQP103" s="1056"/>
      <c r="BQQ103" s="1056"/>
      <c r="BQR103" s="1056"/>
      <c r="BQS103" s="1056"/>
      <c r="BQT103" s="1056"/>
      <c r="BQU103" s="1056"/>
      <c r="BQV103" s="1056"/>
      <c r="BQW103" s="1056"/>
      <c r="BQX103" s="1056"/>
      <c r="BQY103" s="1056"/>
      <c r="BQZ103" s="1056"/>
      <c r="BRA103" s="1056"/>
      <c r="BRB103" s="1056"/>
      <c r="BRC103" s="1056"/>
      <c r="BRD103" s="1056"/>
      <c r="BRE103" s="1056"/>
      <c r="BRF103" s="1056"/>
      <c r="BRG103" s="1056"/>
      <c r="BRH103" s="1056"/>
      <c r="BRI103" s="1056"/>
      <c r="BRJ103" s="1056"/>
      <c r="BRK103" s="1056"/>
      <c r="BRL103" s="1056"/>
      <c r="BRM103" s="1056"/>
      <c r="BRN103" s="1056"/>
      <c r="BRO103" s="1056"/>
      <c r="BRP103" s="1056"/>
      <c r="BRQ103" s="1056"/>
      <c r="BRR103" s="1056"/>
      <c r="BRS103" s="1056"/>
      <c r="BRT103" s="1056"/>
      <c r="BRU103" s="1056"/>
      <c r="BRV103" s="1056"/>
      <c r="BRW103" s="1056"/>
      <c r="BRX103" s="1056"/>
      <c r="BRY103" s="1056"/>
      <c r="BRZ103" s="1056"/>
      <c r="BSA103" s="1056"/>
      <c r="BSB103" s="1056"/>
      <c r="BSC103" s="1056"/>
      <c r="BSD103" s="1056"/>
      <c r="BSE103" s="1056"/>
      <c r="BSF103" s="1056"/>
      <c r="BSG103" s="1056"/>
      <c r="BSH103" s="1056"/>
      <c r="BSI103" s="1056"/>
      <c r="BSJ103" s="1056"/>
      <c r="BSK103" s="1056"/>
      <c r="BSL103" s="1056"/>
      <c r="BSM103" s="1056"/>
      <c r="BSN103" s="1056"/>
      <c r="BSO103" s="1056"/>
      <c r="BSP103" s="1056"/>
      <c r="BSQ103" s="1056"/>
      <c r="BSR103" s="1056"/>
      <c r="BSS103" s="1056"/>
      <c r="BST103" s="1056"/>
      <c r="BSU103" s="1056"/>
      <c r="BSV103" s="1056"/>
      <c r="BSW103" s="1056"/>
      <c r="BSX103" s="1056"/>
      <c r="BSY103" s="1056"/>
      <c r="BSZ103" s="1056"/>
      <c r="BTA103" s="1056"/>
      <c r="BTB103" s="1056"/>
      <c r="BTC103" s="1056"/>
      <c r="BTD103" s="1056"/>
      <c r="BTE103" s="1056"/>
      <c r="BTF103" s="1056"/>
      <c r="BTG103" s="1056"/>
      <c r="BTH103" s="1056"/>
      <c r="BTI103" s="1056"/>
    </row>
    <row r="104" spans="1:1881" s="1060" customFormat="1" ht="56.25" hidden="1" customHeight="1" thickBot="1" x14ac:dyDescent="0.35">
      <c r="A104" s="1059">
        <v>534</v>
      </c>
      <c r="B104" s="1069" t="s">
        <v>409</v>
      </c>
      <c r="C104" s="802" t="s">
        <v>1030</v>
      </c>
      <c r="D104" s="1052" t="s">
        <v>1054</v>
      </c>
      <c r="E104" s="1053" t="e">
        <f>HLOOKUP($D$2,'2020 Data(H)'!$C$1:$AI$426,184,FALSE)</f>
        <v>#N/A</v>
      </c>
      <c r="F104" s="287">
        <v>0</v>
      </c>
      <c r="G104" s="802"/>
      <c r="H104" s="764"/>
      <c r="I104" s="1055"/>
      <c r="J104" s="1068"/>
      <c r="K104" s="1056"/>
      <c r="L104" s="1057"/>
      <c r="M104" s="1056"/>
      <c r="N104" s="1058"/>
      <c r="O104" s="1056"/>
      <c r="P104" s="1056"/>
      <c r="Q104" s="1056"/>
      <c r="R104" s="1056"/>
      <c r="S104" s="1056"/>
      <c r="T104" s="1056"/>
      <c r="U104" s="1056"/>
      <c r="V104" s="1056"/>
      <c r="W104" s="1056"/>
      <c r="X104" s="1056"/>
      <c r="Y104" s="1056"/>
      <c r="Z104" s="1059"/>
      <c r="AA104" s="1059"/>
      <c r="AB104" s="1059"/>
      <c r="AC104" s="1059"/>
      <c r="AD104" s="1059"/>
      <c r="AE104" s="1059"/>
      <c r="AF104" s="1059"/>
      <c r="AG104" s="1059"/>
      <c r="AH104" s="1059"/>
      <c r="AI104" s="1059"/>
      <c r="AJ104" s="1059"/>
      <c r="AK104" s="1059"/>
      <c r="AL104" s="1059"/>
      <c r="AM104" s="1059"/>
      <c r="AN104" s="1059"/>
      <c r="AO104" s="1059"/>
      <c r="AP104" s="1059"/>
      <c r="AQ104" s="1059"/>
      <c r="AR104" s="1059"/>
      <c r="AS104" s="1056"/>
      <c r="AT104" s="1056"/>
      <c r="AU104" s="1056"/>
      <c r="AV104" s="1056"/>
      <c r="AW104" s="1056"/>
      <c r="AX104" s="1056"/>
      <c r="AY104" s="1056"/>
      <c r="AZ104" s="1056"/>
      <c r="BA104" s="1056"/>
      <c r="BB104" s="1056"/>
      <c r="BC104" s="1056"/>
      <c r="BD104" s="1056"/>
      <c r="BE104" s="1056"/>
      <c r="BF104" s="1056"/>
      <c r="BG104" s="1056"/>
      <c r="BH104" s="1056"/>
      <c r="BI104" s="1056"/>
      <c r="BJ104" s="1056"/>
      <c r="BK104" s="1056"/>
      <c r="BL104" s="1056"/>
      <c r="BM104" s="1056"/>
      <c r="BN104" s="1056"/>
      <c r="BO104" s="1056"/>
      <c r="BP104" s="1056"/>
      <c r="BQ104" s="1056"/>
      <c r="BR104" s="1056"/>
      <c r="BS104" s="1056"/>
      <c r="BT104" s="1056"/>
      <c r="BU104" s="1056"/>
      <c r="BV104" s="1056"/>
      <c r="BW104" s="1056"/>
      <c r="BX104" s="1056"/>
      <c r="BY104" s="1056"/>
      <c r="BZ104" s="1056"/>
      <c r="CA104" s="1056"/>
      <c r="CB104" s="1056"/>
      <c r="CC104" s="1056"/>
      <c r="CD104" s="1056"/>
      <c r="CE104" s="1056"/>
      <c r="CF104" s="1056"/>
      <c r="CG104" s="1056"/>
      <c r="CH104" s="1056"/>
      <c r="CI104" s="1056"/>
      <c r="CJ104" s="1056"/>
      <c r="CK104" s="1056"/>
      <c r="CL104" s="1056"/>
      <c r="CM104" s="1056"/>
      <c r="CN104" s="1056"/>
      <c r="CO104" s="1056"/>
      <c r="CP104" s="1056"/>
      <c r="CQ104" s="1056"/>
      <c r="CR104" s="1056"/>
      <c r="CS104" s="1056"/>
      <c r="CT104" s="1056"/>
      <c r="CU104" s="1056"/>
      <c r="CV104" s="1056"/>
      <c r="CW104" s="1056"/>
      <c r="CX104" s="1056"/>
      <c r="CY104" s="1056"/>
      <c r="CZ104" s="1056"/>
      <c r="DA104" s="1056"/>
      <c r="DB104" s="1056"/>
      <c r="DC104" s="1056"/>
      <c r="DD104" s="1056"/>
      <c r="DE104" s="1056"/>
      <c r="DF104" s="1056"/>
      <c r="DG104" s="1056"/>
      <c r="DH104" s="1056"/>
      <c r="DI104" s="1056"/>
      <c r="DJ104" s="1056"/>
      <c r="DK104" s="1056"/>
      <c r="DL104" s="1056"/>
      <c r="DM104" s="1056"/>
      <c r="DN104" s="1056"/>
      <c r="DO104" s="1056"/>
      <c r="DP104" s="1056"/>
      <c r="DQ104" s="1056"/>
      <c r="DR104" s="1056"/>
      <c r="DS104" s="1056"/>
      <c r="DT104" s="1056"/>
      <c r="DU104" s="1056"/>
      <c r="DV104" s="1056"/>
      <c r="DW104" s="1056"/>
      <c r="DX104" s="1056"/>
      <c r="DY104" s="1056"/>
      <c r="DZ104" s="1056"/>
      <c r="EA104" s="1056"/>
      <c r="EB104" s="1056"/>
      <c r="EC104" s="1056"/>
      <c r="ED104" s="1056"/>
      <c r="EE104" s="1056"/>
      <c r="EF104" s="1056"/>
      <c r="EG104" s="1056"/>
      <c r="EH104" s="1056"/>
      <c r="EI104" s="1056"/>
      <c r="EJ104" s="1056"/>
      <c r="EK104" s="1056"/>
      <c r="EL104" s="1056"/>
      <c r="EM104" s="1056"/>
      <c r="EN104" s="1056"/>
      <c r="EO104" s="1056"/>
      <c r="EP104" s="1056"/>
      <c r="EQ104" s="1056"/>
      <c r="ER104" s="1056"/>
      <c r="ES104" s="1056"/>
      <c r="ET104" s="1056"/>
      <c r="EU104" s="1056"/>
      <c r="EV104" s="1056"/>
      <c r="EW104" s="1056"/>
      <c r="EX104" s="1056"/>
      <c r="EY104" s="1056"/>
      <c r="EZ104" s="1056"/>
      <c r="FA104" s="1056"/>
      <c r="FB104" s="1056"/>
      <c r="FC104" s="1056"/>
      <c r="FD104" s="1056"/>
      <c r="FE104" s="1056"/>
      <c r="FF104" s="1056"/>
      <c r="FG104" s="1056"/>
      <c r="FH104" s="1056"/>
      <c r="FI104" s="1056"/>
      <c r="FJ104" s="1056"/>
      <c r="FK104" s="1056"/>
      <c r="FL104" s="1056"/>
      <c r="FM104" s="1056"/>
      <c r="FN104" s="1056"/>
      <c r="FO104" s="1056"/>
      <c r="FP104" s="1056"/>
      <c r="FQ104" s="1056"/>
      <c r="FR104" s="1056"/>
      <c r="FS104" s="1056"/>
      <c r="FT104" s="1056"/>
      <c r="FU104" s="1056"/>
      <c r="FV104" s="1056"/>
      <c r="FW104" s="1056"/>
      <c r="FX104" s="1056"/>
      <c r="FY104" s="1056"/>
      <c r="FZ104" s="1056"/>
      <c r="GA104" s="1056"/>
      <c r="GB104" s="1056"/>
      <c r="GC104" s="1056"/>
      <c r="GD104" s="1056"/>
      <c r="GE104" s="1056"/>
      <c r="GF104" s="1056"/>
      <c r="GG104" s="1056"/>
      <c r="GH104" s="1056"/>
      <c r="GI104" s="1056"/>
      <c r="GJ104" s="1056"/>
      <c r="GK104" s="1056"/>
      <c r="GL104" s="1056"/>
      <c r="GM104" s="1056"/>
      <c r="GN104" s="1056"/>
      <c r="GO104" s="1056"/>
      <c r="GP104" s="1056"/>
      <c r="GQ104" s="1056"/>
      <c r="GR104" s="1056"/>
      <c r="GS104" s="1056"/>
      <c r="GT104" s="1056"/>
      <c r="GU104" s="1056"/>
      <c r="GV104" s="1056"/>
      <c r="GW104" s="1056"/>
      <c r="GX104" s="1056"/>
      <c r="GY104" s="1056"/>
      <c r="GZ104" s="1056"/>
      <c r="HA104" s="1056"/>
      <c r="HB104" s="1056"/>
      <c r="HC104" s="1056"/>
      <c r="HD104" s="1056"/>
      <c r="HE104" s="1056"/>
      <c r="HF104" s="1056"/>
      <c r="HG104" s="1056"/>
      <c r="HH104" s="1056"/>
      <c r="HI104" s="1056"/>
      <c r="HJ104" s="1056"/>
      <c r="HK104" s="1056"/>
      <c r="HL104" s="1056"/>
      <c r="HM104" s="1056"/>
      <c r="HN104" s="1056"/>
      <c r="HO104" s="1056"/>
      <c r="HP104" s="1056"/>
      <c r="HQ104" s="1056"/>
      <c r="HR104" s="1056"/>
      <c r="HS104" s="1056"/>
      <c r="HT104" s="1056"/>
      <c r="HU104" s="1056"/>
      <c r="HV104" s="1056"/>
      <c r="HW104" s="1056"/>
      <c r="HX104" s="1056"/>
      <c r="HY104" s="1056"/>
      <c r="HZ104" s="1056"/>
      <c r="IA104" s="1056"/>
      <c r="IB104" s="1056"/>
      <c r="IC104" s="1056"/>
      <c r="ID104" s="1056"/>
      <c r="IE104" s="1056"/>
      <c r="IF104" s="1056"/>
      <c r="IG104" s="1056"/>
      <c r="IH104" s="1056"/>
      <c r="II104" s="1056"/>
      <c r="IJ104" s="1056"/>
      <c r="IK104" s="1056"/>
      <c r="IL104" s="1056"/>
      <c r="IM104" s="1056"/>
      <c r="IN104" s="1056"/>
      <c r="IO104" s="1056"/>
      <c r="IP104" s="1056"/>
      <c r="IQ104" s="1056"/>
      <c r="IR104" s="1056"/>
      <c r="IS104" s="1056"/>
      <c r="IT104" s="1056"/>
      <c r="IU104" s="1056"/>
      <c r="IV104" s="1056"/>
      <c r="IW104" s="1056"/>
      <c r="IX104" s="1056"/>
      <c r="IY104" s="1056"/>
      <c r="IZ104" s="1056"/>
      <c r="JA104" s="1056"/>
      <c r="JB104" s="1056"/>
      <c r="JC104" s="1056"/>
      <c r="JD104" s="1056"/>
      <c r="JE104" s="1056"/>
      <c r="JF104" s="1056"/>
      <c r="JG104" s="1056"/>
      <c r="JH104" s="1056"/>
      <c r="JI104" s="1056"/>
      <c r="JJ104" s="1056"/>
      <c r="JK104" s="1056"/>
      <c r="JL104" s="1056"/>
      <c r="JM104" s="1056"/>
      <c r="JN104" s="1056"/>
      <c r="JO104" s="1056"/>
      <c r="JP104" s="1056"/>
      <c r="JQ104" s="1056"/>
      <c r="JR104" s="1056"/>
      <c r="JS104" s="1056"/>
      <c r="JT104" s="1056"/>
      <c r="JU104" s="1056"/>
      <c r="JV104" s="1056"/>
      <c r="JW104" s="1056"/>
      <c r="JX104" s="1056"/>
      <c r="JY104" s="1056"/>
      <c r="JZ104" s="1056"/>
      <c r="KA104" s="1056"/>
      <c r="KB104" s="1056"/>
      <c r="KC104" s="1056"/>
      <c r="KD104" s="1056"/>
      <c r="KE104" s="1056"/>
      <c r="KF104" s="1056"/>
      <c r="KG104" s="1056"/>
      <c r="KH104" s="1056"/>
      <c r="KI104" s="1056"/>
      <c r="KJ104" s="1056"/>
      <c r="KK104" s="1056"/>
      <c r="KL104" s="1056"/>
      <c r="KM104" s="1056"/>
      <c r="KN104" s="1056"/>
      <c r="KO104" s="1056"/>
      <c r="KP104" s="1056"/>
      <c r="KQ104" s="1056"/>
      <c r="KR104" s="1056"/>
      <c r="KS104" s="1056"/>
      <c r="KT104" s="1056"/>
      <c r="KU104" s="1056"/>
      <c r="KV104" s="1056"/>
      <c r="KW104" s="1056"/>
      <c r="KX104" s="1056"/>
      <c r="KY104" s="1056"/>
      <c r="KZ104" s="1056"/>
      <c r="LA104" s="1056"/>
      <c r="LB104" s="1056"/>
      <c r="LC104" s="1056"/>
      <c r="LD104" s="1056"/>
      <c r="LE104" s="1056"/>
      <c r="LF104" s="1056"/>
      <c r="LG104" s="1056"/>
      <c r="LH104" s="1056"/>
      <c r="LI104" s="1056"/>
      <c r="LJ104" s="1056"/>
      <c r="LK104" s="1056"/>
      <c r="LL104" s="1056"/>
      <c r="LM104" s="1056"/>
      <c r="LN104" s="1056"/>
      <c r="LO104" s="1056"/>
      <c r="LP104" s="1056"/>
      <c r="LQ104" s="1056"/>
      <c r="LR104" s="1056"/>
      <c r="LS104" s="1056"/>
      <c r="LT104" s="1056"/>
      <c r="LU104" s="1056"/>
      <c r="LV104" s="1056"/>
      <c r="LW104" s="1056"/>
      <c r="LX104" s="1056"/>
      <c r="LY104" s="1056"/>
      <c r="LZ104" s="1056"/>
      <c r="MA104" s="1056"/>
      <c r="MB104" s="1056"/>
      <c r="MC104" s="1056"/>
      <c r="MD104" s="1056"/>
      <c r="ME104" s="1056"/>
      <c r="MF104" s="1056"/>
      <c r="MG104" s="1056"/>
      <c r="MH104" s="1056"/>
      <c r="MI104" s="1056"/>
      <c r="MJ104" s="1056"/>
      <c r="MK104" s="1056"/>
      <c r="ML104" s="1056"/>
      <c r="MM104" s="1056"/>
      <c r="MN104" s="1056"/>
      <c r="MO104" s="1056"/>
      <c r="MP104" s="1056"/>
      <c r="MQ104" s="1056"/>
      <c r="MR104" s="1056"/>
      <c r="MS104" s="1056"/>
      <c r="MT104" s="1056"/>
      <c r="MU104" s="1056"/>
      <c r="MV104" s="1056"/>
      <c r="MW104" s="1056"/>
      <c r="MX104" s="1056"/>
      <c r="MY104" s="1056"/>
      <c r="MZ104" s="1056"/>
      <c r="NA104" s="1056"/>
      <c r="NB104" s="1056"/>
      <c r="NC104" s="1056"/>
      <c r="ND104" s="1056"/>
      <c r="NE104" s="1056"/>
      <c r="NF104" s="1056"/>
      <c r="NG104" s="1056"/>
      <c r="NH104" s="1056"/>
      <c r="NI104" s="1056"/>
      <c r="NJ104" s="1056"/>
      <c r="NK104" s="1056"/>
      <c r="NL104" s="1056"/>
      <c r="NM104" s="1056"/>
      <c r="NN104" s="1056"/>
      <c r="NO104" s="1056"/>
      <c r="NP104" s="1056"/>
      <c r="NQ104" s="1056"/>
      <c r="NR104" s="1056"/>
      <c r="NS104" s="1056"/>
      <c r="NT104" s="1056"/>
      <c r="NU104" s="1056"/>
      <c r="NV104" s="1056"/>
      <c r="NW104" s="1056"/>
      <c r="NX104" s="1056"/>
      <c r="NY104" s="1056"/>
      <c r="NZ104" s="1056"/>
      <c r="OA104" s="1056"/>
      <c r="OB104" s="1056"/>
      <c r="OC104" s="1056"/>
      <c r="OD104" s="1056"/>
      <c r="OE104" s="1056"/>
      <c r="OF104" s="1056"/>
      <c r="OG104" s="1056"/>
      <c r="OH104" s="1056"/>
      <c r="OI104" s="1056"/>
      <c r="OJ104" s="1056"/>
      <c r="OK104" s="1056"/>
      <c r="OL104" s="1056"/>
      <c r="OM104" s="1056"/>
      <c r="ON104" s="1056"/>
      <c r="OO104" s="1056"/>
      <c r="OP104" s="1056"/>
      <c r="OQ104" s="1056"/>
      <c r="OR104" s="1056"/>
      <c r="OS104" s="1056"/>
      <c r="OT104" s="1056"/>
      <c r="OU104" s="1056"/>
      <c r="OV104" s="1056"/>
      <c r="OW104" s="1056"/>
      <c r="OX104" s="1056"/>
      <c r="OY104" s="1056"/>
      <c r="OZ104" s="1056"/>
      <c r="PA104" s="1056"/>
      <c r="PB104" s="1056"/>
      <c r="PC104" s="1056"/>
      <c r="PD104" s="1056"/>
      <c r="PE104" s="1056"/>
      <c r="PF104" s="1056"/>
      <c r="PG104" s="1056"/>
      <c r="PH104" s="1056"/>
      <c r="PI104" s="1056"/>
      <c r="PJ104" s="1056"/>
      <c r="PK104" s="1056"/>
      <c r="PL104" s="1056"/>
      <c r="PM104" s="1056"/>
      <c r="PN104" s="1056"/>
      <c r="PO104" s="1056"/>
      <c r="PP104" s="1056"/>
      <c r="PQ104" s="1056"/>
      <c r="PR104" s="1056"/>
      <c r="PS104" s="1056"/>
      <c r="PT104" s="1056"/>
      <c r="PU104" s="1056"/>
      <c r="PV104" s="1056"/>
      <c r="PW104" s="1056"/>
      <c r="PX104" s="1056"/>
      <c r="PY104" s="1056"/>
      <c r="PZ104" s="1056"/>
      <c r="QA104" s="1056"/>
      <c r="QB104" s="1056"/>
      <c r="QC104" s="1056"/>
      <c r="QD104" s="1056"/>
      <c r="QE104" s="1056"/>
      <c r="QF104" s="1056"/>
      <c r="QG104" s="1056"/>
      <c r="QH104" s="1056"/>
      <c r="QI104" s="1056"/>
      <c r="QJ104" s="1056"/>
      <c r="QK104" s="1056"/>
      <c r="QL104" s="1056"/>
      <c r="QM104" s="1056"/>
      <c r="QN104" s="1056"/>
      <c r="QO104" s="1056"/>
      <c r="QP104" s="1056"/>
      <c r="QQ104" s="1056"/>
      <c r="QR104" s="1056"/>
      <c r="QS104" s="1056"/>
      <c r="QT104" s="1056"/>
      <c r="QU104" s="1056"/>
      <c r="QV104" s="1056"/>
      <c r="QW104" s="1056"/>
      <c r="QX104" s="1056"/>
      <c r="QY104" s="1056"/>
      <c r="QZ104" s="1056"/>
      <c r="RA104" s="1056"/>
      <c r="RB104" s="1056"/>
      <c r="RC104" s="1056"/>
      <c r="RD104" s="1056"/>
      <c r="RE104" s="1056"/>
      <c r="RF104" s="1056"/>
      <c r="RG104" s="1056"/>
      <c r="RH104" s="1056"/>
      <c r="RI104" s="1056"/>
      <c r="RJ104" s="1056"/>
      <c r="RK104" s="1056"/>
      <c r="RL104" s="1056"/>
      <c r="RM104" s="1056"/>
      <c r="RN104" s="1056"/>
      <c r="RO104" s="1056"/>
      <c r="RP104" s="1056"/>
      <c r="RQ104" s="1056"/>
      <c r="RR104" s="1056"/>
      <c r="RS104" s="1056"/>
      <c r="RT104" s="1056"/>
      <c r="RU104" s="1056"/>
      <c r="RV104" s="1056"/>
      <c r="RW104" s="1056"/>
      <c r="RX104" s="1056"/>
      <c r="RY104" s="1056"/>
      <c r="RZ104" s="1056"/>
      <c r="SA104" s="1056"/>
      <c r="SB104" s="1056"/>
      <c r="SC104" s="1056"/>
      <c r="SD104" s="1056"/>
      <c r="SE104" s="1056"/>
      <c r="SF104" s="1056"/>
      <c r="SG104" s="1056"/>
      <c r="SH104" s="1056"/>
      <c r="SI104" s="1056"/>
      <c r="SJ104" s="1056"/>
      <c r="SK104" s="1056"/>
      <c r="SL104" s="1056"/>
      <c r="SM104" s="1056"/>
      <c r="SN104" s="1056"/>
      <c r="SO104" s="1056"/>
      <c r="SP104" s="1056"/>
      <c r="SQ104" s="1056"/>
      <c r="SR104" s="1056"/>
      <c r="SS104" s="1056"/>
      <c r="ST104" s="1056"/>
      <c r="SU104" s="1056"/>
      <c r="SV104" s="1056"/>
      <c r="SW104" s="1056"/>
      <c r="SX104" s="1056"/>
      <c r="SY104" s="1056"/>
      <c r="SZ104" s="1056"/>
      <c r="TA104" s="1056"/>
      <c r="TB104" s="1056"/>
      <c r="TC104" s="1056"/>
      <c r="TD104" s="1056"/>
      <c r="TE104" s="1056"/>
      <c r="TF104" s="1056"/>
      <c r="TG104" s="1056"/>
      <c r="TH104" s="1056"/>
      <c r="TI104" s="1056"/>
      <c r="TJ104" s="1056"/>
      <c r="TK104" s="1056"/>
      <c r="TL104" s="1056"/>
      <c r="TM104" s="1056"/>
      <c r="TN104" s="1056"/>
      <c r="TO104" s="1056"/>
      <c r="TP104" s="1056"/>
      <c r="TQ104" s="1056"/>
      <c r="TR104" s="1056"/>
      <c r="TS104" s="1056"/>
      <c r="TT104" s="1056"/>
      <c r="TU104" s="1056"/>
      <c r="TV104" s="1056"/>
      <c r="TW104" s="1056"/>
      <c r="TX104" s="1056"/>
      <c r="TY104" s="1056"/>
      <c r="TZ104" s="1056"/>
      <c r="UA104" s="1056"/>
      <c r="UB104" s="1056"/>
      <c r="UC104" s="1056"/>
      <c r="UD104" s="1056"/>
      <c r="UE104" s="1056"/>
      <c r="UF104" s="1056"/>
      <c r="UG104" s="1056"/>
      <c r="UH104" s="1056"/>
      <c r="UI104" s="1056"/>
      <c r="UJ104" s="1056"/>
      <c r="UK104" s="1056"/>
      <c r="UL104" s="1056"/>
      <c r="UM104" s="1056"/>
      <c r="UN104" s="1056"/>
      <c r="UO104" s="1056"/>
      <c r="UP104" s="1056"/>
      <c r="UQ104" s="1056"/>
      <c r="UR104" s="1056"/>
      <c r="US104" s="1056"/>
      <c r="UT104" s="1056"/>
      <c r="UU104" s="1056"/>
      <c r="UV104" s="1056"/>
      <c r="UW104" s="1056"/>
      <c r="UX104" s="1056"/>
      <c r="UY104" s="1056"/>
      <c r="UZ104" s="1056"/>
      <c r="VA104" s="1056"/>
      <c r="VB104" s="1056"/>
      <c r="VC104" s="1056"/>
      <c r="VD104" s="1056"/>
      <c r="VE104" s="1056"/>
      <c r="VF104" s="1056"/>
      <c r="VG104" s="1056"/>
      <c r="VH104" s="1056"/>
      <c r="VI104" s="1056"/>
      <c r="VJ104" s="1056"/>
      <c r="VK104" s="1056"/>
      <c r="VL104" s="1056"/>
      <c r="VM104" s="1056"/>
      <c r="VN104" s="1056"/>
      <c r="VO104" s="1056"/>
      <c r="VP104" s="1056"/>
      <c r="VQ104" s="1056"/>
      <c r="VR104" s="1056"/>
      <c r="VS104" s="1056"/>
      <c r="VT104" s="1056"/>
      <c r="VU104" s="1056"/>
      <c r="VV104" s="1056"/>
      <c r="VW104" s="1056"/>
      <c r="VX104" s="1056"/>
      <c r="VY104" s="1056"/>
      <c r="VZ104" s="1056"/>
      <c r="WA104" s="1056"/>
      <c r="WB104" s="1056"/>
      <c r="WC104" s="1056"/>
      <c r="WD104" s="1056"/>
      <c r="WE104" s="1056"/>
      <c r="WF104" s="1056"/>
      <c r="WG104" s="1056"/>
      <c r="WH104" s="1056"/>
      <c r="WI104" s="1056"/>
      <c r="WJ104" s="1056"/>
      <c r="WK104" s="1056"/>
      <c r="WL104" s="1056"/>
      <c r="WM104" s="1056"/>
      <c r="WN104" s="1056"/>
      <c r="WO104" s="1056"/>
      <c r="WP104" s="1056"/>
      <c r="WQ104" s="1056"/>
      <c r="WR104" s="1056"/>
      <c r="WS104" s="1056"/>
      <c r="WT104" s="1056"/>
      <c r="WU104" s="1056"/>
      <c r="WV104" s="1056"/>
      <c r="WW104" s="1056"/>
      <c r="WX104" s="1056"/>
      <c r="WY104" s="1056"/>
      <c r="WZ104" s="1056"/>
      <c r="XA104" s="1056"/>
      <c r="XB104" s="1056"/>
      <c r="XC104" s="1056"/>
      <c r="XD104" s="1056"/>
      <c r="XE104" s="1056"/>
      <c r="XF104" s="1056"/>
      <c r="XG104" s="1056"/>
      <c r="XH104" s="1056"/>
      <c r="XI104" s="1056"/>
      <c r="XJ104" s="1056"/>
      <c r="XK104" s="1056"/>
      <c r="XL104" s="1056"/>
      <c r="XM104" s="1056"/>
      <c r="XN104" s="1056"/>
      <c r="XO104" s="1056"/>
      <c r="XP104" s="1056"/>
      <c r="XQ104" s="1056"/>
      <c r="XR104" s="1056"/>
      <c r="XS104" s="1056"/>
      <c r="XT104" s="1056"/>
      <c r="XU104" s="1056"/>
      <c r="XV104" s="1056"/>
      <c r="XW104" s="1056"/>
      <c r="XX104" s="1056"/>
      <c r="XY104" s="1056"/>
      <c r="XZ104" s="1056"/>
      <c r="YA104" s="1056"/>
      <c r="YB104" s="1056"/>
      <c r="YC104" s="1056"/>
      <c r="YD104" s="1056"/>
      <c r="YE104" s="1056"/>
      <c r="YF104" s="1056"/>
      <c r="YG104" s="1056"/>
      <c r="YH104" s="1056"/>
      <c r="YI104" s="1056"/>
      <c r="YJ104" s="1056"/>
      <c r="YK104" s="1056"/>
      <c r="YL104" s="1056"/>
      <c r="YM104" s="1056"/>
      <c r="YN104" s="1056"/>
      <c r="YO104" s="1056"/>
      <c r="YP104" s="1056"/>
      <c r="YQ104" s="1056"/>
      <c r="YR104" s="1056"/>
      <c r="YS104" s="1056"/>
      <c r="YT104" s="1056"/>
      <c r="YU104" s="1056"/>
      <c r="YV104" s="1056"/>
      <c r="YW104" s="1056"/>
      <c r="YX104" s="1056"/>
      <c r="YY104" s="1056"/>
      <c r="YZ104" s="1056"/>
      <c r="ZA104" s="1056"/>
      <c r="ZB104" s="1056"/>
      <c r="ZC104" s="1056"/>
      <c r="ZD104" s="1056"/>
      <c r="ZE104" s="1056"/>
      <c r="ZF104" s="1056"/>
      <c r="ZG104" s="1056"/>
      <c r="ZH104" s="1056"/>
      <c r="ZI104" s="1056"/>
      <c r="ZJ104" s="1056"/>
      <c r="ZK104" s="1056"/>
      <c r="ZL104" s="1056"/>
      <c r="ZM104" s="1056"/>
      <c r="ZN104" s="1056"/>
      <c r="ZO104" s="1056"/>
      <c r="ZP104" s="1056"/>
      <c r="ZQ104" s="1056"/>
      <c r="ZR104" s="1056"/>
      <c r="ZS104" s="1056"/>
      <c r="ZT104" s="1056"/>
      <c r="ZU104" s="1056"/>
      <c r="ZV104" s="1056"/>
      <c r="ZW104" s="1056"/>
      <c r="ZX104" s="1056"/>
      <c r="ZY104" s="1056"/>
      <c r="ZZ104" s="1056"/>
      <c r="AAA104" s="1056"/>
      <c r="AAB104" s="1056"/>
      <c r="AAC104" s="1056"/>
      <c r="AAD104" s="1056"/>
      <c r="AAE104" s="1056"/>
      <c r="AAF104" s="1056"/>
      <c r="AAG104" s="1056"/>
      <c r="AAH104" s="1056"/>
      <c r="AAI104" s="1056"/>
      <c r="AAJ104" s="1056"/>
      <c r="AAK104" s="1056"/>
      <c r="AAL104" s="1056"/>
      <c r="AAM104" s="1056"/>
      <c r="AAN104" s="1056"/>
      <c r="AAO104" s="1056"/>
      <c r="AAP104" s="1056"/>
      <c r="AAQ104" s="1056"/>
      <c r="AAR104" s="1056"/>
      <c r="AAS104" s="1056"/>
      <c r="AAT104" s="1056"/>
      <c r="AAU104" s="1056"/>
      <c r="AAV104" s="1056"/>
      <c r="AAW104" s="1056"/>
      <c r="AAX104" s="1056"/>
      <c r="AAY104" s="1056"/>
      <c r="AAZ104" s="1056"/>
      <c r="ABA104" s="1056"/>
      <c r="ABB104" s="1056"/>
      <c r="ABC104" s="1056"/>
      <c r="ABD104" s="1056"/>
      <c r="ABE104" s="1056"/>
      <c r="ABF104" s="1056"/>
      <c r="ABG104" s="1056"/>
      <c r="ABH104" s="1056"/>
      <c r="ABI104" s="1056"/>
      <c r="ABJ104" s="1056"/>
      <c r="ABK104" s="1056"/>
      <c r="ABL104" s="1056"/>
      <c r="ABM104" s="1056"/>
      <c r="ABN104" s="1056"/>
      <c r="ABO104" s="1056"/>
      <c r="ABP104" s="1056"/>
      <c r="ABQ104" s="1056"/>
      <c r="ABR104" s="1056"/>
      <c r="ABS104" s="1056"/>
      <c r="ABT104" s="1056"/>
      <c r="ABU104" s="1056"/>
      <c r="ABV104" s="1056"/>
      <c r="ABW104" s="1056"/>
      <c r="ABX104" s="1056"/>
      <c r="ABY104" s="1056"/>
      <c r="ABZ104" s="1056"/>
      <c r="ACA104" s="1056"/>
      <c r="ACB104" s="1056"/>
      <c r="ACC104" s="1056"/>
      <c r="ACD104" s="1056"/>
      <c r="ACE104" s="1056"/>
      <c r="ACF104" s="1056"/>
      <c r="ACG104" s="1056"/>
      <c r="ACH104" s="1056"/>
      <c r="ACI104" s="1056"/>
      <c r="ACJ104" s="1056"/>
      <c r="ACK104" s="1056"/>
      <c r="ACL104" s="1056"/>
      <c r="ACM104" s="1056"/>
      <c r="ACN104" s="1056"/>
      <c r="ACO104" s="1056"/>
      <c r="ACP104" s="1056"/>
      <c r="ACQ104" s="1056"/>
      <c r="ACR104" s="1056"/>
      <c r="ACS104" s="1056"/>
      <c r="ACT104" s="1056"/>
      <c r="ACU104" s="1056"/>
      <c r="ACV104" s="1056"/>
      <c r="ACW104" s="1056"/>
      <c r="ACX104" s="1056"/>
      <c r="ACY104" s="1056"/>
      <c r="ACZ104" s="1056"/>
      <c r="ADA104" s="1056"/>
      <c r="ADB104" s="1056"/>
      <c r="ADC104" s="1056"/>
      <c r="ADD104" s="1056"/>
      <c r="ADE104" s="1056"/>
      <c r="ADF104" s="1056"/>
      <c r="ADG104" s="1056"/>
      <c r="ADH104" s="1056"/>
      <c r="ADI104" s="1056"/>
      <c r="ADJ104" s="1056"/>
      <c r="ADK104" s="1056"/>
      <c r="ADL104" s="1056"/>
      <c r="ADM104" s="1056"/>
      <c r="ADN104" s="1056"/>
      <c r="ADO104" s="1056"/>
      <c r="ADP104" s="1056"/>
      <c r="ADQ104" s="1056"/>
      <c r="ADR104" s="1056"/>
      <c r="ADS104" s="1056"/>
      <c r="ADT104" s="1056"/>
      <c r="ADU104" s="1056"/>
      <c r="ADV104" s="1056"/>
      <c r="ADW104" s="1056"/>
      <c r="ADX104" s="1056"/>
      <c r="ADY104" s="1056"/>
      <c r="ADZ104" s="1056"/>
      <c r="AEA104" s="1056"/>
      <c r="AEB104" s="1056"/>
      <c r="AEC104" s="1056"/>
      <c r="AED104" s="1056"/>
      <c r="AEE104" s="1056"/>
      <c r="AEF104" s="1056"/>
      <c r="AEG104" s="1056"/>
      <c r="AEH104" s="1056"/>
      <c r="AEI104" s="1056"/>
      <c r="AEJ104" s="1056"/>
      <c r="AEK104" s="1056"/>
      <c r="AEL104" s="1056"/>
      <c r="AEM104" s="1056"/>
      <c r="AEN104" s="1056"/>
      <c r="AEO104" s="1056"/>
      <c r="AEP104" s="1056"/>
      <c r="AEQ104" s="1056"/>
      <c r="AER104" s="1056"/>
      <c r="AES104" s="1056"/>
      <c r="AET104" s="1056"/>
      <c r="AEU104" s="1056"/>
      <c r="AEV104" s="1056"/>
      <c r="AEW104" s="1056"/>
      <c r="AEX104" s="1056"/>
      <c r="AEY104" s="1056"/>
      <c r="AEZ104" s="1056"/>
      <c r="AFA104" s="1056"/>
      <c r="AFB104" s="1056"/>
      <c r="AFC104" s="1056"/>
      <c r="AFD104" s="1056"/>
      <c r="AFE104" s="1056"/>
      <c r="AFF104" s="1056"/>
      <c r="AFG104" s="1056"/>
      <c r="AFH104" s="1056"/>
      <c r="AFI104" s="1056"/>
      <c r="AFJ104" s="1056"/>
      <c r="AFK104" s="1056"/>
      <c r="AFL104" s="1056"/>
      <c r="AFM104" s="1056"/>
      <c r="AFN104" s="1056"/>
      <c r="AFO104" s="1056"/>
      <c r="AFP104" s="1056"/>
      <c r="AFQ104" s="1056"/>
      <c r="AFR104" s="1056"/>
      <c r="AFS104" s="1056"/>
      <c r="AFT104" s="1056"/>
      <c r="AFU104" s="1056"/>
      <c r="AFV104" s="1056"/>
      <c r="AFW104" s="1056"/>
      <c r="AFX104" s="1056"/>
      <c r="AFY104" s="1056"/>
      <c r="AFZ104" s="1056"/>
      <c r="AGA104" s="1056"/>
      <c r="AGB104" s="1056"/>
      <c r="AGC104" s="1056"/>
      <c r="AGD104" s="1056"/>
      <c r="AGE104" s="1056"/>
      <c r="AGF104" s="1056"/>
      <c r="AGG104" s="1056"/>
      <c r="AGH104" s="1056"/>
      <c r="AGI104" s="1056"/>
      <c r="AGJ104" s="1056"/>
      <c r="AGK104" s="1056"/>
      <c r="AGL104" s="1056"/>
      <c r="AGM104" s="1056"/>
      <c r="AGN104" s="1056"/>
      <c r="AGO104" s="1056"/>
      <c r="AGP104" s="1056"/>
      <c r="AGQ104" s="1056"/>
      <c r="AGR104" s="1056"/>
      <c r="AGS104" s="1056"/>
      <c r="AGT104" s="1056"/>
      <c r="AGU104" s="1056"/>
      <c r="AGV104" s="1056"/>
      <c r="AGW104" s="1056"/>
      <c r="AGX104" s="1056"/>
      <c r="AGY104" s="1056"/>
      <c r="AGZ104" s="1056"/>
      <c r="AHA104" s="1056"/>
      <c r="AHB104" s="1056"/>
      <c r="AHC104" s="1056"/>
      <c r="AHD104" s="1056"/>
      <c r="AHE104" s="1056"/>
      <c r="AHF104" s="1056"/>
      <c r="AHG104" s="1056"/>
      <c r="AHH104" s="1056"/>
      <c r="AHI104" s="1056"/>
      <c r="AHJ104" s="1056"/>
      <c r="AHK104" s="1056"/>
      <c r="AHL104" s="1056"/>
      <c r="AHM104" s="1056"/>
      <c r="AHN104" s="1056"/>
      <c r="AHO104" s="1056"/>
      <c r="AHP104" s="1056"/>
      <c r="AHQ104" s="1056"/>
      <c r="AHR104" s="1056"/>
      <c r="AHS104" s="1056"/>
      <c r="AHT104" s="1056"/>
      <c r="AHU104" s="1056"/>
      <c r="AHV104" s="1056"/>
      <c r="AHW104" s="1056"/>
      <c r="AHX104" s="1056"/>
      <c r="AHY104" s="1056"/>
      <c r="AHZ104" s="1056"/>
      <c r="AIA104" s="1056"/>
      <c r="AIB104" s="1056"/>
      <c r="AIC104" s="1056"/>
      <c r="AID104" s="1056"/>
      <c r="AIE104" s="1056"/>
      <c r="AIF104" s="1056"/>
      <c r="AIG104" s="1056"/>
      <c r="AIH104" s="1056"/>
      <c r="AII104" s="1056"/>
      <c r="AIJ104" s="1056"/>
      <c r="AIK104" s="1056"/>
      <c r="AIL104" s="1056"/>
      <c r="AIM104" s="1056"/>
      <c r="AIN104" s="1056"/>
      <c r="AIO104" s="1056"/>
      <c r="AIP104" s="1056"/>
      <c r="AIQ104" s="1056"/>
      <c r="AIR104" s="1056"/>
      <c r="AIS104" s="1056"/>
      <c r="AIT104" s="1056"/>
      <c r="AIU104" s="1056"/>
      <c r="AIV104" s="1056"/>
      <c r="AIW104" s="1056"/>
      <c r="AIX104" s="1056"/>
      <c r="AIY104" s="1056"/>
      <c r="AIZ104" s="1056"/>
      <c r="AJA104" s="1056"/>
      <c r="AJB104" s="1056"/>
      <c r="AJC104" s="1056"/>
      <c r="AJD104" s="1056"/>
      <c r="AJE104" s="1056"/>
      <c r="AJF104" s="1056"/>
      <c r="AJG104" s="1056"/>
      <c r="AJH104" s="1056"/>
      <c r="AJI104" s="1056"/>
      <c r="AJJ104" s="1056"/>
      <c r="AJK104" s="1056"/>
      <c r="AJL104" s="1056"/>
      <c r="AJM104" s="1056"/>
      <c r="AJN104" s="1056"/>
      <c r="AJO104" s="1056"/>
      <c r="AJP104" s="1056"/>
      <c r="AJQ104" s="1056"/>
      <c r="AJR104" s="1056"/>
      <c r="AJS104" s="1056"/>
      <c r="AJT104" s="1056"/>
      <c r="AJU104" s="1056"/>
      <c r="AJV104" s="1056"/>
      <c r="AJW104" s="1056"/>
      <c r="AJX104" s="1056"/>
      <c r="AJY104" s="1056"/>
      <c r="AJZ104" s="1056"/>
      <c r="AKA104" s="1056"/>
      <c r="AKB104" s="1056"/>
      <c r="AKC104" s="1056"/>
      <c r="AKD104" s="1056"/>
      <c r="AKE104" s="1056"/>
      <c r="AKF104" s="1056"/>
      <c r="AKG104" s="1056"/>
      <c r="AKH104" s="1056"/>
      <c r="AKI104" s="1056"/>
      <c r="AKJ104" s="1056"/>
      <c r="AKK104" s="1056"/>
      <c r="AKL104" s="1056"/>
      <c r="AKM104" s="1056"/>
      <c r="AKN104" s="1056"/>
      <c r="AKO104" s="1056"/>
      <c r="AKP104" s="1056"/>
      <c r="AKQ104" s="1056"/>
      <c r="AKR104" s="1056"/>
      <c r="AKS104" s="1056"/>
      <c r="AKT104" s="1056"/>
      <c r="AKU104" s="1056"/>
      <c r="AKV104" s="1056"/>
      <c r="AKW104" s="1056"/>
      <c r="AKX104" s="1056"/>
      <c r="AKY104" s="1056"/>
      <c r="AKZ104" s="1056"/>
      <c r="ALA104" s="1056"/>
      <c r="ALB104" s="1056"/>
      <c r="ALC104" s="1056"/>
      <c r="ALD104" s="1056"/>
      <c r="ALE104" s="1056"/>
      <c r="ALF104" s="1056"/>
      <c r="ALG104" s="1056"/>
      <c r="ALH104" s="1056"/>
      <c r="ALI104" s="1056"/>
      <c r="ALJ104" s="1056"/>
      <c r="ALK104" s="1056"/>
      <c r="ALL104" s="1056"/>
      <c r="ALM104" s="1056"/>
      <c r="ALN104" s="1056"/>
      <c r="ALO104" s="1056"/>
      <c r="ALP104" s="1056"/>
      <c r="ALQ104" s="1056"/>
      <c r="ALR104" s="1056"/>
      <c r="ALS104" s="1056"/>
      <c r="ALT104" s="1056"/>
      <c r="ALU104" s="1056"/>
      <c r="ALV104" s="1056"/>
      <c r="ALW104" s="1056"/>
      <c r="ALX104" s="1056"/>
      <c r="ALY104" s="1056"/>
      <c r="ALZ104" s="1056"/>
      <c r="AMA104" s="1056"/>
      <c r="AMB104" s="1056"/>
      <c r="AMC104" s="1056"/>
      <c r="AMD104" s="1056"/>
      <c r="AME104" s="1056"/>
      <c r="AMF104" s="1056"/>
      <c r="AMG104" s="1056"/>
      <c r="AMH104" s="1056"/>
      <c r="AMI104" s="1056"/>
      <c r="AMJ104" s="1056"/>
      <c r="AMK104" s="1056"/>
      <c r="AML104" s="1056"/>
      <c r="AMM104" s="1056"/>
      <c r="AMN104" s="1056"/>
      <c r="AMO104" s="1056"/>
      <c r="AMP104" s="1056"/>
      <c r="AMQ104" s="1056"/>
      <c r="AMR104" s="1056"/>
      <c r="AMS104" s="1056"/>
      <c r="AMT104" s="1056"/>
      <c r="AMU104" s="1056"/>
      <c r="AMV104" s="1056"/>
      <c r="AMW104" s="1056"/>
      <c r="AMX104" s="1056"/>
      <c r="AMY104" s="1056"/>
      <c r="AMZ104" s="1056"/>
      <c r="ANA104" s="1056"/>
      <c r="ANB104" s="1056"/>
      <c r="ANC104" s="1056"/>
      <c r="AND104" s="1056"/>
      <c r="ANE104" s="1056"/>
      <c r="ANF104" s="1056"/>
      <c r="ANG104" s="1056"/>
      <c r="ANH104" s="1056"/>
      <c r="ANI104" s="1056"/>
      <c r="ANJ104" s="1056"/>
      <c r="ANK104" s="1056"/>
      <c r="ANL104" s="1056"/>
      <c r="ANM104" s="1056"/>
      <c r="ANN104" s="1056"/>
      <c r="ANO104" s="1056"/>
      <c r="ANP104" s="1056"/>
      <c r="ANQ104" s="1056"/>
      <c r="ANR104" s="1056"/>
      <c r="ANS104" s="1056"/>
      <c r="ANT104" s="1056"/>
      <c r="ANU104" s="1056"/>
      <c r="ANV104" s="1056"/>
      <c r="ANW104" s="1056"/>
      <c r="ANX104" s="1056"/>
      <c r="ANY104" s="1056"/>
      <c r="ANZ104" s="1056"/>
      <c r="AOA104" s="1056"/>
      <c r="AOB104" s="1056"/>
      <c r="AOC104" s="1056"/>
      <c r="AOD104" s="1056"/>
      <c r="AOE104" s="1056"/>
      <c r="AOF104" s="1056"/>
      <c r="AOG104" s="1056"/>
      <c r="AOH104" s="1056"/>
      <c r="AOI104" s="1056"/>
      <c r="AOJ104" s="1056"/>
      <c r="AOK104" s="1056"/>
      <c r="AOL104" s="1056"/>
      <c r="AOM104" s="1056"/>
      <c r="AON104" s="1056"/>
      <c r="AOO104" s="1056"/>
      <c r="AOP104" s="1056"/>
      <c r="AOQ104" s="1056"/>
      <c r="AOR104" s="1056"/>
      <c r="AOS104" s="1056"/>
      <c r="AOT104" s="1056"/>
      <c r="AOU104" s="1056"/>
      <c r="AOV104" s="1056"/>
      <c r="AOW104" s="1056"/>
      <c r="AOX104" s="1056"/>
      <c r="AOY104" s="1056"/>
      <c r="AOZ104" s="1056"/>
      <c r="APA104" s="1056"/>
      <c r="APB104" s="1056"/>
      <c r="APC104" s="1056"/>
      <c r="APD104" s="1056"/>
      <c r="APE104" s="1056"/>
      <c r="APF104" s="1056"/>
      <c r="APG104" s="1056"/>
      <c r="APH104" s="1056"/>
      <c r="API104" s="1056"/>
      <c r="APJ104" s="1056"/>
      <c r="APK104" s="1056"/>
      <c r="APL104" s="1056"/>
      <c r="APM104" s="1056"/>
      <c r="APN104" s="1056"/>
      <c r="APO104" s="1056"/>
      <c r="APP104" s="1056"/>
      <c r="APQ104" s="1056"/>
      <c r="APR104" s="1056"/>
      <c r="APS104" s="1056"/>
      <c r="APT104" s="1056"/>
      <c r="APU104" s="1056"/>
      <c r="APV104" s="1056"/>
      <c r="APW104" s="1056"/>
      <c r="APX104" s="1056"/>
      <c r="APY104" s="1056"/>
      <c r="APZ104" s="1056"/>
      <c r="AQA104" s="1056"/>
      <c r="AQB104" s="1056"/>
      <c r="AQC104" s="1056"/>
      <c r="AQD104" s="1056"/>
      <c r="AQE104" s="1056"/>
      <c r="AQF104" s="1056"/>
      <c r="AQG104" s="1056"/>
      <c r="AQH104" s="1056"/>
      <c r="AQI104" s="1056"/>
      <c r="AQJ104" s="1056"/>
      <c r="AQK104" s="1056"/>
      <c r="AQL104" s="1056"/>
      <c r="AQM104" s="1056"/>
      <c r="AQN104" s="1056"/>
      <c r="AQO104" s="1056"/>
      <c r="AQP104" s="1056"/>
      <c r="AQQ104" s="1056"/>
      <c r="AQR104" s="1056"/>
      <c r="AQS104" s="1056"/>
      <c r="AQT104" s="1056"/>
      <c r="AQU104" s="1056"/>
      <c r="AQV104" s="1056"/>
      <c r="AQW104" s="1056"/>
      <c r="AQX104" s="1056"/>
      <c r="AQY104" s="1056"/>
      <c r="AQZ104" s="1056"/>
      <c r="ARA104" s="1056"/>
      <c r="ARB104" s="1056"/>
      <c r="ARC104" s="1056"/>
      <c r="ARD104" s="1056"/>
      <c r="ARE104" s="1056"/>
      <c r="ARF104" s="1056"/>
      <c r="ARG104" s="1056"/>
      <c r="ARH104" s="1056"/>
      <c r="ARI104" s="1056"/>
      <c r="ARJ104" s="1056"/>
      <c r="ARK104" s="1056"/>
      <c r="ARL104" s="1056"/>
      <c r="ARM104" s="1056"/>
      <c r="ARN104" s="1056"/>
      <c r="ARO104" s="1056"/>
      <c r="ARP104" s="1056"/>
      <c r="ARQ104" s="1056"/>
      <c r="ARR104" s="1056"/>
      <c r="ARS104" s="1056"/>
      <c r="ART104" s="1056"/>
      <c r="ARU104" s="1056"/>
      <c r="ARV104" s="1056"/>
      <c r="ARW104" s="1056"/>
      <c r="ARX104" s="1056"/>
      <c r="ARY104" s="1056"/>
      <c r="ARZ104" s="1056"/>
      <c r="ASA104" s="1056"/>
      <c r="ASB104" s="1056"/>
      <c r="ASC104" s="1056"/>
      <c r="ASD104" s="1056"/>
      <c r="ASE104" s="1056"/>
      <c r="ASF104" s="1056"/>
      <c r="ASG104" s="1056"/>
      <c r="ASH104" s="1056"/>
      <c r="ASI104" s="1056"/>
      <c r="ASJ104" s="1056"/>
      <c r="ASK104" s="1056"/>
      <c r="ASL104" s="1056"/>
      <c r="ASM104" s="1056"/>
      <c r="ASN104" s="1056"/>
      <c r="ASO104" s="1056"/>
      <c r="ASP104" s="1056"/>
      <c r="ASQ104" s="1056"/>
      <c r="ASR104" s="1056"/>
      <c r="ASS104" s="1056"/>
      <c r="AST104" s="1056"/>
      <c r="ASU104" s="1056"/>
      <c r="ASV104" s="1056"/>
      <c r="ASW104" s="1056"/>
      <c r="ASX104" s="1056"/>
      <c r="ASY104" s="1056"/>
      <c r="ASZ104" s="1056"/>
      <c r="ATA104" s="1056"/>
      <c r="ATB104" s="1056"/>
      <c r="ATC104" s="1056"/>
      <c r="ATD104" s="1056"/>
      <c r="ATE104" s="1056"/>
      <c r="ATF104" s="1056"/>
      <c r="ATG104" s="1056"/>
      <c r="ATH104" s="1056"/>
      <c r="ATI104" s="1056"/>
      <c r="ATJ104" s="1056"/>
      <c r="ATK104" s="1056"/>
      <c r="ATL104" s="1056"/>
      <c r="ATM104" s="1056"/>
      <c r="ATN104" s="1056"/>
      <c r="ATO104" s="1056"/>
      <c r="ATP104" s="1056"/>
      <c r="ATQ104" s="1056"/>
      <c r="ATR104" s="1056"/>
      <c r="ATS104" s="1056"/>
      <c r="ATT104" s="1056"/>
      <c r="ATU104" s="1056"/>
      <c r="ATV104" s="1056"/>
      <c r="ATW104" s="1056"/>
      <c r="ATX104" s="1056"/>
      <c r="ATY104" s="1056"/>
      <c r="ATZ104" s="1056"/>
      <c r="AUA104" s="1056"/>
      <c r="AUB104" s="1056"/>
      <c r="AUC104" s="1056"/>
      <c r="AUD104" s="1056"/>
      <c r="AUE104" s="1056"/>
      <c r="AUF104" s="1056"/>
      <c r="AUG104" s="1056"/>
      <c r="AUH104" s="1056"/>
      <c r="AUI104" s="1056"/>
      <c r="AUJ104" s="1056"/>
      <c r="AUK104" s="1056"/>
      <c r="AUL104" s="1056"/>
      <c r="AUM104" s="1056"/>
      <c r="AUN104" s="1056"/>
      <c r="AUO104" s="1056"/>
      <c r="AUP104" s="1056"/>
      <c r="AUQ104" s="1056"/>
      <c r="AUR104" s="1056"/>
      <c r="AUS104" s="1056"/>
      <c r="AUT104" s="1056"/>
      <c r="AUU104" s="1056"/>
      <c r="AUV104" s="1056"/>
      <c r="AUW104" s="1056"/>
      <c r="AUX104" s="1056"/>
      <c r="AUY104" s="1056"/>
      <c r="AUZ104" s="1056"/>
      <c r="AVA104" s="1056"/>
      <c r="AVB104" s="1056"/>
      <c r="AVC104" s="1056"/>
      <c r="AVD104" s="1056"/>
      <c r="AVE104" s="1056"/>
      <c r="AVF104" s="1056"/>
      <c r="AVG104" s="1056"/>
      <c r="AVH104" s="1056"/>
      <c r="AVI104" s="1056"/>
      <c r="AVJ104" s="1056"/>
      <c r="AVK104" s="1056"/>
      <c r="AVL104" s="1056"/>
      <c r="AVM104" s="1056"/>
      <c r="AVN104" s="1056"/>
      <c r="AVO104" s="1056"/>
      <c r="AVP104" s="1056"/>
      <c r="AVQ104" s="1056"/>
      <c r="AVR104" s="1056"/>
      <c r="AVS104" s="1056"/>
      <c r="AVT104" s="1056"/>
      <c r="AVU104" s="1056"/>
      <c r="AVV104" s="1056"/>
      <c r="AVW104" s="1056"/>
      <c r="AVX104" s="1056"/>
      <c r="AVY104" s="1056"/>
      <c r="AVZ104" s="1056"/>
      <c r="AWA104" s="1056"/>
      <c r="AWB104" s="1056"/>
      <c r="AWC104" s="1056"/>
      <c r="AWD104" s="1056"/>
      <c r="AWE104" s="1056"/>
      <c r="AWF104" s="1056"/>
      <c r="AWG104" s="1056"/>
      <c r="AWH104" s="1056"/>
      <c r="AWI104" s="1056"/>
      <c r="AWJ104" s="1056"/>
      <c r="AWK104" s="1056"/>
      <c r="AWL104" s="1056"/>
      <c r="AWM104" s="1056"/>
      <c r="AWN104" s="1056"/>
      <c r="AWO104" s="1056"/>
      <c r="AWP104" s="1056"/>
      <c r="AWQ104" s="1056"/>
      <c r="AWR104" s="1056"/>
      <c r="AWS104" s="1056"/>
      <c r="AWT104" s="1056"/>
      <c r="AWU104" s="1056"/>
      <c r="AWV104" s="1056"/>
      <c r="AWW104" s="1056"/>
      <c r="AWX104" s="1056"/>
      <c r="AWY104" s="1056"/>
      <c r="AWZ104" s="1056"/>
      <c r="AXA104" s="1056"/>
      <c r="AXB104" s="1056"/>
      <c r="AXC104" s="1056"/>
      <c r="AXD104" s="1056"/>
      <c r="AXE104" s="1056"/>
      <c r="AXF104" s="1056"/>
      <c r="AXG104" s="1056"/>
      <c r="AXH104" s="1056"/>
      <c r="AXI104" s="1056"/>
      <c r="AXJ104" s="1056"/>
      <c r="AXK104" s="1056"/>
      <c r="AXL104" s="1056"/>
      <c r="AXM104" s="1056"/>
      <c r="AXN104" s="1056"/>
      <c r="AXO104" s="1056"/>
      <c r="AXP104" s="1056"/>
      <c r="AXQ104" s="1056"/>
      <c r="AXR104" s="1056"/>
      <c r="AXS104" s="1056"/>
      <c r="AXT104" s="1056"/>
      <c r="AXU104" s="1056"/>
      <c r="AXV104" s="1056"/>
      <c r="AXW104" s="1056"/>
      <c r="AXX104" s="1056"/>
      <c r="AXY104" s="1056"/>
      <c r="AXZ104" s="1056"/>
      <c r="AYA104" s="1056"/>
      <c r="AYB104" s="1056"/>
      <c r="AYC104" s="1056"/>
      <c r="AYD104" s="1056"/>
      <c r="AYE104" s="1056"/>
      <c r="AYF104" s="1056"/>
      <c r="AYG104" s="1056"/>
      <c r="AYH104" s="1056"/>
      <c r="AYI104" s="1056"/>
      <c r="AYJ104" s="1056"/>
      <c r="AYK104" s="1056"/>
      <c r="AYL104" s="1056"/>
      <c r="AYM104" s="1056"/>
      <c r="AYN104" s="1056"/>
      <c r="AYO104" s="1056"/>
      <c r="AYP104" s="1056"/>
      <c r="AYQ104" s="1056"/>
      <c r="AYR104" s="1056"/>
      <c r="AYS104" s="1056"/>
      <c r="AYT104" s="1056"/>
      <c r="AYU104" s="1056"/>
      <c r="AYV104" s="1056"/>
      <c r="AYW104" s="1056"/>
      <c r="AYX104" s="1056"/>
      <c r="AYY104" s="1056"/>
      <c r="AYZ104" s="1056"/>
      <c r="AZA104" s="1056"/>
      <c r="AZB104" s="1056"/>
      <c r="AZC104" s="1056"/>
      <c r="AZD104" s="1056"/>
      <c r="AZE104" s="1056"/>
      <c r="AZF104" s="1056"/>
      <c r="AZG104" s="1056"/>
      <c r="AZH104" s="1056"/>
      <c r="AZI104" s="1056"/>
      <c r="AZJ104" s="1056"/>
      <c r="AZK104" s="1056"/>
      <c r="AZL104" s="1056"/>
      <c r="AZM104" s="1056"/>
      <c r="AZN104" s="1056"/>
      <c r="AZO104" s="1056"/>
      <c r="AZP104" s="1056"/>
      <c r="AZQ104" s="1056"/>
      <c r="AZR104" s="1056"/>
      <c r="AZS104" s="1056"/>
      <c r="AZT104" s="1056"/>
      <c r="AZU104" s="1056"/>
      <c r="AZV104" s="1056"/>
      <c r="AZW104" s="1056"/>
      <c r="AZX104" s="1056"/>
      <c r="AZY104" s="1056"/>
      <c r="AZZ104" s="1056"/>
      <c r="BAA104" s="1056"/>
      <c r="BAB104" s="1056"/>
      <c r="BAC104" s="1056"/>
      <c r="BAD104" s="1056"/>
      <c r="BAE104" s="1056"/>
      <c r="BAF104" s="1056"/>
      <c r="BAG104" s="1056"/>
      <c r="BAH104" s="1056"/>
      <c r="BAI104" s="1056"/>
      <c r="BAJ104" s="1056"/>
      <c r="BAK104" s="1056"/>
      <c r="BAL104" s="1056"/>
      <c r="BAM104" s="1056"/>
      <c r="BAN104" s="1056"/>
      <c r="BAO104" s="1056"/>
      <c r="BAP104" s="1056"/>
      <c r="BAQ104" s="1056"/>
      <c r="BAR104" s="1056"/>
      <c r="BAS104" s="1056"/>
      <c r="BAT104" s="1056"/>
      <c r="BAU104" s="1056"/>
      <c r="BAV104" s="1056"/>
      <c r="BAW104" s="1056"/>
      <c r="BAX104" s="1056"/>
      <c r="BAY104" s="1056"/>
      <c r="BAZ104" s="1056"/>
      <c r="BBA104" s="1056"/>
      <c r="BBB104" s="1056"/>
      <c r="BBC104" s="1056"/>
      <c r="BBD104" s="1056"/>
      <c r="BBE104" s="1056"/>
      <c r="BBF104" s="1056"/>
      <c r="BBG104" s="1056"/>
      <c r="BBH104" s="1056"/>
      <c r="BBI104" s="1056"/>
      <c r="BBJ104" s="1056"/>
      <c r="BBK104" s="1056"/>
      <c r="BBL104" s="1056"/>
      <c r="BBM104" s="1056"/>
      <c r="BBN104" s="1056"/>
      <c r="BBO104" s="1056"/>
      <c r="BBP104" s="1056"/>
      <c r="BBQ104" s="1056"/>
      <c r="BBR104" s="1056"/>
      <c r="BBS104" s="1056"/>
      <c r="BBT104" s="1056"/>
      <c r="BBU104" s="1056"/>
      <c r="BBV104" s="1056"/>
      <c r="BBW104" s="1056"/>
      <c r="BBX104" s="1056"/>
      <c r="BBY104" s="1056"/>
      <c r="BBZ104" s="1056"/>
      <c r="BCA104" s="1056"/>
      <c r="BCB104" s="1056"/>
      <c r="BCC104" s="1056"/>
      <c r="BCD104" s="1056"/>
      <c r="BCE104" s="1056"/>
      <c r="BCF104" s="1056"/>
      <c r="BCG104" s="1056"/>
      <c r="BCH104" s="1056"/>
      <c r="BCI104" s="1056"/>
      <c r="BCJ104" s="1056"/>
      <c r="BCK104" s="1056"/>
      <c r="BCL104" s="1056"/>
      <c r="BCM104" s="1056"/>
      <c r="BCN104" s="1056"/>
      <c r="BCO104" s="1056"/>
      <c r="BCP104" s="1056"/>
      <c r="BCQ104" s="1056"/>
      <c r="BCR104" s="1056"/>
      <c r="BCS104" s="1056"/>
      <c r="BCT104" s="1056"/>
      <c r="BCU104" s="1056"/>
      <c r="BCV104" s="1056"/>
      <c r="BCW104" s="1056"/>
      <c r="BCX104" s="1056"/>
      <c r="BCY104" s="1056"/>
      <c r="BCZ104" s="1056"/>
      <c r="BDA104" s="1056"/>
      <c r="BDB104" s="1056"/>
      <c r="BDC104" s="1056"/>
      <c r="BDD104" s="1056"/>
      <c r="BDE104" s="1056"/>
      <c r="BDF104" s="1056"/>
      <c r="BDG104" s="1056"/>
      <c r="BDH104" s="1056"/>
      <c r="BDI104" s="1056"/>
      <c r="BDJ104" s="1056"/>
      <c r="BDK104" s="1056"/>
      <c r="BDL104" s="1056"/>
      <c r="BDM104" s="1056"/>
      <c r="BDN104" s="1056"/>
      <c r="BDO104" s="1056"/>
      <c r="BDP104" s="1056"/>
      <c r="BDQ104" s="1056"/>
      <c r="BDR104" s="1056"/>
      <c r="BDS104" s="1056"/>
      <c r="BDT104" s="1056"/>
      <c r="BDU104" s="1056"/>
      <c r="BDV104" s="1056"/>
      <c r="BDW104" s="1056"/>
      <c r="BDX104" s="1056"/>
      <c r="BDY104" s="1056"/>
      <c r="BDZ104" s="1056"/>
      <c r="BEA104" s="1056"/>
      <c r="BEB104" s="1056"/>
      <c r="BEC104" s="1056"/>
      <c r="BED104" s="1056"/>
      <c r="BEE104" s="1056"/>
      <c r="BEF104" s="1056"/>
      <c r="BEG104" s="1056"/>
      <c r="BEH104" s="1056"/>
      <c r="BEI104" s="1056"/>
      <c r="BEJ104" s="1056"/>
      <c r="BEK104" s="1056"/>
      <c r="BEL104" s="1056"/>
      <c r="BEM104" s="1056"/>
      <c r="BEN104" s="1056"/>
      <c r="BEO104" s="1056"/>
      <c r="BEP104" s="1056"/>
      <c r="BEQ104" s="1056"/>
      <c r="BER104" s="1056"/>
      <c r="BES104" s="1056"/>
      <c r="BET104" s="1056"/>
      <c r="BEU104" s="1056"/>
      <c r="BEV104" s="1056"/>
      <c r="BEW104" s="1056"/>
      <c r="BEX104" s="1056"/>
      <c r="BEY104" s="1056"/>
      <c r="BEZ104" s="1056"/>
      <c r="BFA104" s="1056"/>
      <c r="BFB104" s="1056"/>
      <c r="BFC104" s="1056"/>
      <c r="BFD104" s="1056"/>
      <c r="BFE104" s="1056"/>
      <c r="BFF104" s="1056"/>
      <c r="BFG104" s="1056"/>
      <c r="BFH104" s="1056"/>
      <c r="BFI104" s="1056"/>
      <c r="BFJ104" s="1056"/>
      <c r="BFK104" s="1056"/>
      <c r="BFL104" s="1056"/>
      <c r="BFM104" s="1056"/>
      <c r="BFN104" s="1056"/>
      <c r="BFO104" s="1056"/>
      <c r="BFP104" s="1056"/>
      <c r="BFQ104" s="1056"/>
      <c r="BFR104" s="1056"/>
      <c r="BFS104" s="1056"/>
      <c r="BFT104" s="1056"/>
      <c r="BFU104" s="1056"/>
      <c r="BFV104" s="1056"/>
      <c r="BFW104" s="1056"/>
      <c r="BFX104" s="1056"/>
      <c r="BFY104" s="1056"/>
      <c r="BFZ104" s="1056"/>
      <c r="BGA104" s="1056"/>
      <c r="BGB104" s="1056"/>
      <c r="BGC104" s="1056"/>
      <c r="BGD104" s="1056"/>
      <c r="BGE104" s="1056"/>
      <c r="BGF104" s="1056"/>
      <c r="BGG104" s="1056"/>
      <c r="BGH104" s="1056"/>
      <c r="BGI104" s="1056"/>
      <c r="BGJ104" s="1056"/>
      <c r="BGK104" s="1056"/>
      <c r="BGL104" s="1056"/>
      <c r="BGM104" s="1056"/>
      <c r="BGN104" s="1056"/>
      <c r="BGO104" s="1056"/>
      <c r="BGP104" s="1056"/>
      <c r="BGQ104" s="1056"/>
      <c r="BGR104" s="1056"/>
      <c r="BGS104" s="1056"/>
      <c r="BGT104" s="1056"/>
      <c r="BGU104" s="1056"/>
      <c r="BGV104" s="1056"/>
      <c r="BGW104" s="1056"/>
      <c r="BGX104" s="1056"/>
      <c r="BGY104" s="1056"/>
      <c r="BGZ104" s="1056"/>
      <c r="BHA104" s="1056"/>
      <c r="BHB104" s="1056"/>
      <c r="BHC104" s="1056"/>
      <c r="BHD104" s="1056"/>
      <c r="BHE104" s="1056"/>
      <c r="BHF104" s="1056"/>
      <c r="BHG104" s="1056"/>
      <c r="BHH104" s="1056"/>
      <c r="BHI104" s="1056"/>
      <c r="BHJ104" s="1056"/>
      <c r="BHK104" s="1056"/>
      <c r="BHL104" s="1056"/>
      <c r="BHM104" s="1056"/>
      <c r="BHN104" s="1056"/>
      <c r="BHO104" s="1056"/>
      <c r="BHP104" s="1056"/>
      <c r="BHQ104" s="1056"/>
      <c r="BHR104" s="1056"/>
      <c r="BHS104" s="1056"/>
      <c r="BHT104" s="1056"/>
      <c r="BHU104" s="1056"/>
      <c r="BHV104" s="1056"/>
      <c r="BHW104" s="1056"/>
      <c r="BHX104" s="1056"/>
      <c r="BHY104" s="1056"/>
      <c r="BHZ104" s="1056"/>
      <c r="BIA104" s="1056"/>
      <c r="BIB104" s="1056"/>
      <c r="BIC104" s="1056"/>
      <c r="BID104" s="1056"/>
      <c r="BIE104" s="1056"/>
      <c r="BIF104" s="1056"/>
      <c r="BIG104" s="1056"/>
      <c r="BIH104" s="1056"/>
      <c r="BII104" s="1056"/>
      <c r="BIJ104" s="1056"/>
      <c r="BIK104" s="1056"/>
      <c r="BIL104" s="1056"/>
      <c r="BIM104" s="1056"/>
      <c r="BIN104" s="1056"/>
      <c r="BIO104" s="1056"/>
      <c r="BIP104" s="1056"/>
      <c r="BIQ104" s="1056"/>
      <c r="BIR104" s="1056"/>
      <c r="BIS104" s="1056"/>
      <c r="BIT104" s="1056"/>
      <c r="BIU104" s="1056"/>
      <c r="BIV104" s="1056"/>
      <c r="BIW104" s="1056"/>
      <c r="BIX104" s="1056"/>
      <c r="BIY104" s="1056"/>
      <c r="BIZ104" s="1056"/>
      <c r="BJA104" s="1056"/>
      <c r="BJB104" s="1056"/>
      <c r="BJC104" s="1056"/>
      <c r="BJD104" s="1056"/>
      <c r="BJE104" s="1056"/>
      <c r="BJF104" s="1056"/>
      <c r="BJG104" s="1056"/>
      <c r="BJH104" s="1056"/>
      <c r="BJI104" s="1056"/>
      <c r="BJJ104" s="1056"/>
      <c r="BJK104" s="1056"/>
      <c r="BJL104" s="1056"/>
      <c r="BJM104" s="1056"/>
      <c r="BJN104" s="1056"/>
      <c r="BJO104" s="1056"/>
      <c r="BJP104" s="1056"/>
      <c r="BJQ104" s="1056"/>
      <c r="BJR104" s="1056"/>
      <c r="BJS104" s="1056"/>
      <c r="BJT104" s="1056"/>
      <c r="BJU104" s="1056"/>
      <c r="BJV104" s="1056"/>
      <c r="BJW104" s="1056"/>
      <c r="BJX104" s="1056"/>
      <c r="BJY104" s="1056"/>
      <c r="BJZ104" s="1056"/>
      <c r="BKA104" s="1056"/>
      <c r="BKB104" s="1056"/>
      <c r="BKC104" s="1056"/>
      <c r="BKD104" s="1056"/>
      <c r="BKE104" s="1056"/>
      <c r="BKF104" s="1056"/>
      <c r="BKG104" s="1056"/>
      <c r="BKH104" s="1056"/>
      <c r="BKI104" s="1056"/>
      <c r="BKJ104" s="1056"/>
      <c r="BKK104" s="1056"/>
      <c r="BKL104" s="1056"/>
      <c r="BKM104" s="1056"/>
      <c r="BKN104" s="1056"/>
      <c r="BKO104" s="1056"/>
      <c r="BKP104" s="1056"/>
      <c r="BKQ104" s="1056"/>
      <c r="BKR104" s="1056"/>
      <c r="BKS104" s="1056"/>
      <c r="BKT104" s="1056"/>
      <c r="BKU104" s="1056"/>
      <c r="BKV104" s="1056"/>
      <c r="BKW104" s="1056"/>
      <c r="BKX104" s="1056"/>
      <c r="BKY104" s="1056"/>
      <c r="BKZ104" s="1056"/>
      <c r="BLA104" s="1056"/>
      <c r="BLB104" s="1056"/>
      <c r="BLC104" s="1056"/>
      <c r="BLD104" s="1056"/>
      <c r="BLE104" s="1056"/>
      <c r="BLF104" s="1056"/>
      <c r="BLG104" s="1056"/>
      <c r="BLH104" s="1056"/>
      <c r="BLI104" s="1056"/>
      <c r="BLJ104" s="1056"/>
      <c r="BLK104" s="1056"/>
      <c r="BLL104" s="1056"/>
      <c r="BLM104" s="1056"/>
      <c r="BLN104" s="1056"/>
      <c r="BLO104" s="1056"/>
      <c r="BLP104" s="1056"/>
      <c r="BLQ104" s="1056"/>
      <c r="BLR104" s="1056"/>
      <c r="BLS104" s="1056"/>
      <c r="BLT104" s="1056"/>
      <c r="BLU104" s="1056"/>
      <c r="BLV104" s="1056"/>
      <c r="BLW104" s="1056"/>
      <c r="BLX104" s="1056"/>
      <c r="BLY104" s="1056"/>
      <c r="BLZ104" s="1056"/>
      <c r="BMA104" s="1056"/>
      <c r="BMB104" s="1056"/>
      <c r="BMC104" s="1056"/>
      <c r="BMD104" s="1056"/>
      <c r="BME104" s="1056"/>
      <c r="BMF104" s="1056"/>
      <c r="BMG104" s="1056"/>
      <c r="BMH104" s="1056"/>
      <c r="BMI104" s="1056"/>
      <c r="BMJ104" s="1056"/>
      <c r="BMK104" s="1056"/>
      <c r="BML104" s="1056"/>
      <c r="BMM104" s="1056"/>
      <c r="BMN104" s="1056"/>
      <c r="BMO104" s="1056"/>
      <c r="BMP104" s="1056"/>
      <c r="BMQ104" s="1056"/>
      <c r="BMR104" s="1056"/>
      <c r="BMS104" s="1056"/>
      <c r="BMT104" s="1056"/>
      <c r="BMU104" s="1056"/>
      <c r="BMV104" s="1056"/>
      <c r="BMW104" s="1056"/>
      <c r="BMX104" s="1056"/>
      <c r="BMY104" s="1056"/>
      <c r="BMZ104" s="1056"/>
      <c r="BNA104" s="1056"/>
      <c r="BNB104" s="1056"/>
      <c r="BNC104" s="1056"/>
      <c r="BND104" s="1056"/>
      <c r="BNE104" s="1056"/>
      <c r="BNF104" s="1056"/>
      <c r="BNG104" s="1056"/>
      <c r="BNH104" s="1056"/>
      <c r="BNI104" s="1056"/>
      <c r="BNJ104" s="1056"/>
      <c r="BNK104" s="1056"/>
      <c r="BNL104" s="1056"/>
      <c r="BNM104" s="1056"/>
      <c r="BNN104" s="1056"/>
      <c r="BNO104" s="1056"/>
      <c r="BNP104" s="1056"/>
      <c r="BNQ104" s="1056"/>
      <c r="BNR104" s="1056"/>
      <c r="BNS104" s="1056"/>
      <c r="BNT104" s="1056"/>
      <c r="BNU104" s="1056"/>
      <c r="BNV104" s="1056"/>
      <c r="BNW104" s="1056"/>
      <c r="BNX104" s="1056"/>
      <c r="BNY104" s="1056"/>
      <c r="BNZ104" s="1056"/>
      <c r="BOA104" s="1056"/>
      <c r="BOB104" s="1056"/>
      <c r="BOC104" s="1056"/>
      <c r="BOD104" s="1056"/>
      <c r="BOE104" s="1056"/>
      <c r="BOF104" s="1056"/>
      <c r="BOG104" s="1056"/>
      <c r="BOH104" s="1056"/>
      <c r="BOI104" s="1056"/>
      <c r="BOJ104" s="1056"/>
      <c r="BOK104" s="1056"/>
      <c r="BOL104" s="1056"/>
      <c r="BOM104" s="1056"/>
      <c r="BON104" s="1056"/>
      <c r="BOO104" s="1056"/>
      <c r="BOP104" s="1056"/>
      <c r="BOQ104" s="1056"/>
      <c r="BOR104" s="1056"/>
      <c r="BOS104" s="1056"/>
      <c r="BOT104" s="1056"/>
      <c r="BOU104" s="1056"/>
      <c r="BOV104" s="1056"/>
      <c r="BOW104" s="1056"/>
      <c r="BOX104" s="1056"/>
      <c r="BOY104" s="1056"/>
      <c r="BOZ104" s="1056"/>
      <c r="BPA104" s="1056"/>
      <c r="BPB104" s="1056"/>
      <c r="BPC104" s="1056"/>
      <c r="BPD104" s="1056"/>
      <c r="BPE104" s="1056"/>
      <c r="BPF104" s="1056"/>
      <c r="BPG104" s="1056"/>
      <c r="BPH104" s="1056"/>
      <c r="BPI104" s="1056"/>
      <c r="BPJ104" s="1056"/>
      <c r="BPK104" s="1056"/>
      <c r="BPL104" s="1056"/>
      <c r="BPM104" s="1056"/>
      <c r="BPN104" s="1056"/>
      <c r="BPO104" s="1056"/>
      <c r="BPP104" s="1056"/>
      <c r="BPQ104" s="1056"/>
      <c r="BPR104" s="1056"/>
      <c r="BPS104" s="1056"/>
      <c r="BPT104" s="1056"/>
      <c r="BPU104" s="1056"/>
      <c r="BPV104" s="1056"/>
      <c r="BPW104" s="1056"/>
      <c r="BPX104" s="1056"/>
      <c r="BPY104" s="1056"/>
      <c r="BPZ104" s="1056"/>
      <c r="BQA104" s="1056"/>
      <c r="BQB104" s="1056"/>
      <c r="BQC104" s="1056"/>
      <c r="BQD104" s="1056"/>
      <c r="BQE104" s="1056"/>
      <c r="BQF104" s="1056"/>
      <c r="BQG104" s="1056"/>
      <c r="BQH104" s="1056"/>
      <c r="BQI104" s="1056"/>
      <c r="BQJ104" s="1056"/>
      <c r="BQK104" s="1056"/>
      <c r="BQL104" s="1056"/>
      <c r="BQM104" s="1056"/>
      <c r="BQN104" s="1056"/>
      <c r="BQO104" s="1056"/>
      <c r="BQP104" s="1056"/>
      <c r="BQQ104" s="1056"/>
      <c r="BQR104" s="1056"/>
      <c r="BQS104" s="1056"/>
      <c r="BQT104" s="1056"/>
      <c r="BQU104" s="1056"/>
      <c r="BQV104" s="1056"/>
      <c r="BQW104" s="1056"/>
      <c r="BQX104" s="1056"/>
      <c r="BQY104" s="1056"/>
      <c r="BQZ104" s="1056"/>
      <c r="BRA104" s="1056"/>
      <c r="BRB104" s="1056"/>
      <c r="BRC104" s="1056"/>
      <c r="BRD104" s="1056"/>
      <c r="BRE104" s="1056"/>
      <c r="BRF104" s="1056"/>
      <c r="BRG104" s="1056"/>
      <c r="BRH104" s="1056"/>
      <c r="BRI104" s="1056"/>
      <c r="BRJ104" s="1056"/>
      <c r="BRK104" s="1056"/>
      <c r="BRL104" s="1056"/>
      <c r="BRM104" s="1056"/>
      <c r="BRN104" s="1056"/>
      <c r="BRO104" s="1056"/>
      <c r="BRP104" s="1056"/>
      <c r="BRQ104" s="1056"/>
      <c r="BRR104" s="1056"/>
      <c r="BRS104" s="1056"/>
      <c r="BRT104" s="1056"/>
      <c r="BRU104" s="1056"/>
      <c r="BRV104" s="1056"/>
      <c r="BRW104" s="1056"/>
      <c r="BRX104" s="1056"/>
      <c r="BRY104" s="1056"/>
      <c r="BRZ104" s="1056"/>
      <c r="BSA104" s="1056"/>
      <c r="BSB104" s="1056"/>
      <c r="BSC104" s="1056"/>
      <c r="BSD104" s="1056"/>
      <c r="BSE104" s="1056"/>
      <c r="BSF104" s="1056"/>
      <c r="BSG104" s="1056"/>
      <c r="BSH104" s="1056"/>
      <c r="BSI104" s="1056"/>
      <c r="BSJ104" s="1056"/>
      <c r="BSK104" s="1056"/>
      <c r="BSL104" s="1056"/>
      <c r="BSM104" s="1056"/>
      <c r="BSN104" s="1056"/>
      <c r="BSO104" s="1056"/>
      <c r="BSP104" s="1056"/>
      <c r="BSQ104" s="1056"/>
      <c r="BSR104" s="1056"/>
      <c r="BSS104" s="1056"/>
      <c r="BST104" s="1056"/>
      <c r="BSU104" s="1056"/>
      <c r="BSV104" s="1056"/>
      <c r="BSW104" s="1056"/>
      <c r="BSX104" s="1056"/>
      <c r="BSY104" s="1056"/>
      <c r="BSZ104" s="1056"/>
      <c r="BTA104" s="1056"/>
      <c r="BTB104" s="1056"/>
      <c r="BTC104" s="1056"/>
      <c r="BTD104" s="1056"/>
      <c r="BTE104" s="1056"/>
      <c r="BTF104" s="1056"/>
      <c r="BTG104" s="1056"/>
      <c r="BTH104" s="1056"/>
      <c r="BTI104" s="1056"/>
    </row>
    <row r="105" spans="1:1881" s="1060" customFormat="1" ht="78" hidden="1" customHeight="1" thickBot="1" x14ac:dyDescent="0.35">
      <c r="A105" s="1071">
        <v>13</v>
      </c>
      <c r="B105" s="1069" t="s">
        <v>345</v>
      </c>
      <c r="C105" s="1072" t="s">
        <v>1015</v>
      </c>
      <c r="D105" s="1072" t="s">
        <v>1172</v>
      </c>
      <c r="E105" s="1053" t="e">
        <f>HLOOKUP($D$2,'2020 Data(H)'!$C$1:$AI$426,10,FALSE)</f>
        <v>#N/A</v>
      </c>
      <c r="F105" s="287">
        <v>0</v>
      </c>
      <c r="G105" s="722"/>
      <c r="H105" s="764"/>
      <c r="I105" s="1055"/>
      <c r="J105" s="1068"/>
      <c r="K105" s="1056"/>
      <c r="L105" s="1057"/>
      <c r="M105" s="1056"/>
      <c r="N105" s="1058"/>
      <c r="O105" s="1056"/>
      <c r="P105" s="1056"/>
      <c r="Q105" s="1056"/>
      <c r="R105" s="1056"/>
      <c r="S105" s="1056"/>
      <c r="T105" s="1056"/>
      <c r="U105" s="1056"/>
      <c r="V105" s="1056"/>
      <c r="W105" s="1056"/>
      <c r="X105" s="1056"/>
      <c r="Y105" s="1056"/>
      <c r="Z105" s="1073"/>
      <c r="AA105" s="1073"/>
      <c r="AB105" s="1073"/>
      <c r="AC105" s="1073"/>
      <c r="AD105" s="1073"/>
      <c r="AE105" s="1073"/>
      <c r="AF105" s="1073"/>
      <c r="AG105" s="1073"/>
      <c r="AH105" s="1073"/>
      <c r="AI105" s="1073"/>
      <c r="AJ105" s="1073"/>
      <c r="AK105" s="1073"/>
      <c r="AL105" s="1073"/>
      <c r="AM105" s="1073"/>
      <c r="AN105" s="1073"/>
      <c r="AO105" s="1073"/>
      <c r="AP105" s="1073"/>
      <c r="AQ105" s="1073"/>
      <c r="AR105" s="1073"/>
      <c r="AS105" s="1056"/>
      <c r="AT105" s="1056"/>
      <c r="AU105" s="1056"/>
      <c r="AV105" s="1056"/>
      <c r="AW105" s="1056"/>
      <c r="AX105" s="1056"/>
      <c r="AY105" s="1056"/>
      <c r="AZ105" s="1056"/>
      <c r="BA105" s="1056"/>
      <c r="BB105" s="1056"/>
      <c r="BC105" s="1056"/>
      <c r="BD105" s="1056"/>
      <c r="BE105" s="1056"/>
      <c r="BF105" s="1056"/>
      <c r="BG105" s="1056"/>
      <c r="BH105" s="1056"/>
      <c r="BI105" s="1056"/>
      <c r="BJ105" s="1056"/>
      <c r="BK105" s="1056"/>
      <c r="BL105" s="1056"/>
      <c r="BM105" s="1056"/>
      <c r="BN105" s="1056"/>
      <c r="BO105" s="1056"/>
      <c r="BP105" s="1056"/>
      <c r="BQ105" s="1056"/>
      <c r="BR105" s="1056"/>
      <c r="BS105" s="1056"/>
      <c r="BT105" s="1056"/>
      <c r="BU105" s="1056"/>
      <c r="BV105" s="1056"/>
      <c r="BW105" s="1056"/>
      <c r="BX105" s="1056"/>
      <c r="BY105" s="1056"/>
      <c r="BZ105" s="1056"/>
      <c r="CA105" s="1056"/>
      <c r="CB105" s="1056"/>
      <c r="CC105" s="1056"/>
      <c r="CD105" s="1056"/>
      <c r="CE105" s="1056"/>
      <c r="CF105" s="1056"/>
      <c r="CG105" s="1056"/>
      <c r="CH105" s="1056"/>
      <c r="CI105" s="1056"/>
      <c r="CJ105" s="1056"/>
      <c r="CK105" s="1056"/>
      <c r="CL105" s="1056"/>
      <c r="CM105" s="1056"/>
      <c r="CN105" s="1056"/>
      <c r="CO105" s="1056"/>
      <c r="CP105" s="1056"/>
      <c r="CQ105" s="1056"/>
      <c r="CR105" s="1056"/>
      <c r="CS105" s="1056"/>
      <c r="CT105" s="1056"/>
      <c r="CU105" s="1056"/>
      <c r="CV105" s="1056"/>
      <c r="CW105" s="1056"/>
      <c r="CX105" s="1056"/>
      <c r="CY105" s="1056"/>
      <c r="CZ105" s="1056"/>
      <c r="DA105" s="1056"/>
      <c r="DB105" s="1056"/>
      <c r="DC105" s="1056"/>
      <c r="DD105" s="1056"/>
      <c r="DE105" s="1056"/>
      <c r="DF105" s="1056"/>
      <c r="DG105" s="1056"/>
      <c r="DH105" s="1056"/>
      <c r="DI105" s="1056"/>
      <c r="DJ105" s="1056"/>
      <c r="DK105" s="1056"/>
      <c r="DL105" s="1056"/>
      <c r="DM105" s="1056"/>
      <c r="DN105" s="1056"/>
      <c r="DO105" s="1056"/>
      <c r="DP105" s="1056"/>
      <c r="DQ105" s="1056"/>
      <c r="DR105" s="1056"/>
      <c r="DS105" s="1056"/>
      <c r="DT105" s="1056"/>
      <c r="DU105" s="1056"/>
      <c r="DV105" s="1056"/>
      <c r="DW105" s="1056"/>
      <c r="DX105" s="1056"/>
      <c r="DY105" s="1056"/>
      <c r="DZ105" s="1056"/>
      <c r="EA105" s="1056"/>
      <c r="EB105" s="1056"/>
      <c r="EC105" s="1056"/>
      <c r="ED105" s="1056"/>
      <c r="EE105" s="1056"/>
      <c r="EF105" s="1056"/>
      <c r="EG105" s="1056"/>
      <c r="EH105" s="1056"/>
      <c r="EI105" s="1056"/>
      <c r="EJ105" s="1056"/>
      <c r="EK105" s="1056"/>
      <c r="EL105" s="1056"/>
      <c r="EM105" s="1056"/>
      <c r="EN105" s="1056"/>
      <c r="EO105" s="1056"/>
      <c r="EP105" s="1056"/>
      <c r="EQ105" s="1056"/>
      <c r="ER105" s="1056"/>
      <c r="ES105" s="1056"/>
      <c r="ET105" s="1056"/>
      <c r="EU105" s="1056"/>
      <c r="EV105" s="1056"/>
      <c r="EW105" s="1056"/>
      <c r="EX105" s="1056"/>
      <c r="EY105" s="1056"/>
      <c r="EZ105" s="1056"/>
      <c r="FA105" s="1056"/>
      <c r="FB105" s="1056"/>
      <c r="FC105" s="1056"/>
      <c r="FD105" s="1056"/>
      <c r="FE105" s="1056"/>
      <c r="FF105" s="1056"/>
      <c r="FG105" s="1056"/>
      <c r="FH105" s="1056"/>
      <c r="FI105" s="1056"/>
      <c r="FJ105" s="1056"/>
      <c r="FK105" s="1056"/>
      <c r="FL105" s="1056"/>
      <c r="FM105" s="1056"/>
      <c r="FN105" s="1056"/>
      <c r="FO105" s="1056"/>
      <c r="FP105" s="1056"/>
      <c r="FQ105" s="1056"/>
      <c r="FR105" s="1056"/>
      <c r="FS105" s="1056"/>
      <c r="FT105" s="1056"/>
      <c r="FU105" s="1056"/>
      <c r="FV105" s="1056"/>
      <c r="FW105" s="1056"/>
      <c r="FX105" s="1056"/>
      <c r="FY105" s="1056"/>
      <c r="FZ105" s="1056"/>
      <c r="GA105" s="1056"/>
      <c r="GB105" s="1056"/>
      <c r="GC105" s="1056"/>
      <c r="GD105" s="1056"/>
      <c r="GE105" s="1056"/>
      <c r="GF105" s="1056"/>
      <c r="GG105" s="1056"/>
      <c r="GH105" s="1056"/>
      <c r="GI105" s="1056"/>
      <c r="GJ105" s="1056"/>
      <c r="GK105" s="1056"/>
      <c r="GL105" s="1056"/>
      <c r="GM105" s="1056"/>
      <c r="GN105" s="1056"/>
      <c r="GO105" s="1056"/>
      <c r="GP105" s="1056"/>
      <c r="GQ105" s="1056"/>
      <c r="GR105" s="1056"/>
      <c r="GS105" s="1056"/>
      <c r="GT105" s="1056"/>
      <c r="GU105" s="1056"/>
      <c r="GV105" s="1056"/>
      <c r="GW105" s="1056"/>
      <c r="GX105" s="1056"/>
      <c r="GY105" s="1056"/>
      <c r="GZ105" s="1056"/>
      <c r="HA105" s="1056"/>
      <c r="HB105" s="1056"/>
      <c r="HC105" s="1056"/>
      <c r="HD105" s="1056"/>
      <c r="HE105" s="1056"/>
      <c r="HF105" s="1056"/>
      <c r="HG105" s="1056"/>
      <c r="HH105" s="1056"/>
      <c r="HI105" s="1056"/>
      <c r="HJ105" s="1056"/>
      <c r="HK105" s="1056"/>
      <c r="HL105" s="1056"/>
      <c r="HM105" s="1056"/>
      <c r="HN105" s="1056"/>
      <c r="HO105" s="1056"/>
      <c r="HP105" s="1056"/>
      <c r="HQ105" s="1056"/>
      <c r="HR105" s="1056"/>
      <c r="HS105" s="1056"/>
      <c r="HT105" s="1056"/>
      <c r="HU105" s="1056"/>
      <c r="HV105" s="1056"/>
      <c r="HW105" s="1056"/>
      <c r="HX105" s="1056"/>
      <c r="HY105" s="1056"/>
      <c r="HZ105" s="1056"/>
      <c r="IA105" s="1056"/>
      <c r="IB105" s="1056"/>
      <c r="IC105" s="1056"/>
      <c r="ID105" s="1056"/>
      <c r="IE105" s="1056"/>
      <c r="IF105" s="1056"/>
      <c r="IG105" s="1056"/>
      <c r="IH105" s="1056"/>
      <c r="II105" s="1056"/>
      <c r="IJ105" s="1056"/>
      <c r="IK105" s="1056"/>
      <c r="IL105" s="1056"/>
      <c r="IM105" s="1056"/>
      <c r="IN105" s="1056"/>
      <c r="IO105" s="1056"/>
      <c r="IP105" s="1056"/>
      <c r="IQ105" s="1056"/>
      <c r="IR105" s="1056"/>
      <c r="IS105" s="1056"/>
      <c r="IT105" s="1056"/>
      <c r="IU105" s="1056"/>
      <c r="IV105" s="1056"/>
      <c r="IW105" s="1056"/>
      <c r="IX105" s="1056"/>
      <c r="IY105" s="1056"/>
      <c r="IZ105" s="1056"/>
      <c r="JA105" s="1056"/>
      <c r="JB105" s="1056"/>
      <c r="JC105" s="1056"/>
      <c r="JD105" s="1056"/>
      <c r="JE105" s="1056"/>
      <c r="JF105" s="1056"/>
      <c r="JG105" s="1056"/>
      <c r="JH105" s="1056"/>
      <c r="JI105" s="1056"/>
      <c r="JJ105" s="1056"/>
      <c r="JK105" s="1056"/>
      <c r="JL105" s="1056"/>
      <c r="JM105" s="1056"/>
      <c r="JN105" s="1056"/>
      <c r="JO105" s="1056"/>
      <c r="JP105" s="1056"/>
      <c r="JQ105" s="1056"/>
      <c r="JR105" s="1056"/>
      <c r="JS105" s="1056"/>
      <c r="JT105" s="1056"/>
      <c r="JU105" s="1056"/>
      <c r="JV105" s="1056"/>
      <c r="JW105" s="1056"/>
      <c r="JX105" s="1056"/>
      <c r="JY105" s="1056"/>
      <c r="JZ105" s="1056"/>
      <c r="KA105" s="1056"/>
      <c r="KB105" s="1056"/>
      <c r="KC105" s="1056"/>
      <c r="KD105" s="1056"/>
      <c r="KE105" s="1056"/>
      <c r="KF105" s="1056"/>
      <c r="KG105" s="1056"/>
      <c r="KH105" s="1056"/>
      <c r="KI105" s="1056"/>
      <c r="KJ105" s="1056"/>
      <c r="KK105" s="1056"/>
      <c r="KL105" s="1056"/>
      <c r="KM105" s="1056"/>
      <c r="KN105" s="1056"/>
      <c r="KO105" s="1056"/>
      <c r="KP105" s="1056"/>
      <c r="KQ105" s="1056"/>
      <c r="KR105" s="1056"/>
      <c r="KS105" s="1056"/>
      <c r="KT105" s="1056"/>
      <c r="KU105" s="1056"/>
      <c r="KV105" s="1056"/>
      <c r="KW105" s="1056"/>
      <c r="KX105" s="1056"/>
      <c r="KY105" s="1056"/>
      <c r="KZ105" s="1056"/>
      <c r="LA105" s="1056"/>
      <c r="LB105" s="1056"/>
      <c r="LC105" s="1056"/>
      <c r="LD105" s="1056"/>
      <c r="LE105" s="1056"/>
      <c r="LF105" s="1056"/>
      <c r="LG105" s="1056"/>
      <c r="LH105" s="1056"/>
      <c r="LI105" s="1056"/>
      <c r="LJ105" s="1056"/>
      <c r="LK105" s="1056"/>
      <c r="LL105" s="1056"/>
      <c r="LM105" s="1056"/>
      <c r="LN105" s="1056"/>
      <c r="LO105" s="1056"/>
      <c r="LP105" s="1056"/>
      <c r="LQ105" s="1056"/>
      <c r="LR105" s="1056"/>
      <c r="LS105" s="1056"/>
      <c r="LT105" s="1056"/>
      <c r="LU105" s="1056"/>
      <c r="LV105" s="1056"/>
      <c r="LW105" s="1056"/>
      <c r="LX105" s="1056"/>
      <c r="LY105" s="1056"/>
      <c r="LZ105" s="1056"/>
      <c r="MA105" s="1056"/>
      <c r="MB105" s="1056"/>
      <c r="MC105" s="1056"/>
      <c r="MD105" s="1056"/>
      <c r="ME105" s="1056"/>
      <c r="MF105" s="1056"/>
      <c r="MG105" s="1056"/>
      <c r="MH105" s="1056"/>
      <c r="MI105" s="1056"/>
      <c r="MJ105" s="1056"/>
      <c r="MK105" s="1056"/>
      <c r="ML105" s="1056"/>
      <c r="MM105" s="1056"/>
      <c r="MN105" s="1056"/>
      <c r="MO105" s="1056"/>
      <c r="MP105" s="1056"/>
      <c r="MQ105" s="1056"/>
      <c r="MR105" s="1056"/>
      <c r="MS105" s="1056"/>
      <c r="MT105" s="1056"/>
      <c r="MU105" s="1056"/>
      <c r="MV105" s="1056"/>
      <c r="MW105" s="1056"/>
      <c r="MX105" s="1056"/>
      <c r="MY105" s="1056"/>
      <c r="MZ105" s="1056"/>
      <c r="NA105" s="1056"/>
      <c r="NB105" s="1056"/>
      <c r="NC105" s="1056"/>
      <c r="ND105" s="1056"/>
      <c r="NE105" s="1056"/>
      <c r="NF105" s="1056"/>
      <c r="NG105" s="1056"/>
      <c r="NH105" s="1056"/>
      <c r="NI105" s="1056"/>
      <c r="NJ105" s="1056"/>
      <c r="NK105" s="1056"/>
      <c r="NL105" s="1056"/>
      <c r="NM105" s="1056"/>
      <c r="NN105" s="1056"/>
      <c r="NO105" s="1056"/>
      <c r="NP105" s="1056"/>
      <c r="NQ105" s="1056"/>
      <c r="NR105" s="1056"/>
      <c r="NS105" s="1056"/>
      <c r="NT105" s="1056"/>
      <c r="NU105" s="1056"/>
      <c r="NV105" s="1056"/>
      <c r="NW105" s="1056"/>
      <c r="NX105" s="1056"/>
      <c r="NY105" s="1056"/>
      <c r="NZ105" s="1056"/>
      <c r="OA105" s="1056"/>
      <c r="OB105" s="1056"/>
      <c r="OC105" s="1056"/>
      <c r="OD105" s="1056"/>
      <c r="OE105" s="1056"/>
      <c r="OF105" s="1056"/>
      <c r="OG105" s="1056"/>
      <c r="OH105" s="1056"/>
      <c r="OI105" s="1056"/>
      <c r="OJ105" s="1056"/>
      <c r="OK105" s="1056"/>
      <c r="OL105" s="1056"/>
      <c r="OM105" s="1056"/>
      <c r="ON105" s="1056"/>
      <c r="OO105" s="1056"/>
      <c r="OP105" s="1056"/>
      <c r="OQ105" s="1056"/>
      <c r="OR105" s="1056"/>
      <c r="OS105" s="1056"/>
      <c r="OT105" s="1056"/>
      <c r="OU105" s="1056"/>
      <c r="OV105" s="1056"/>
      <c r="OW105" s="1056"/>
      <c r="OX105" s="1056"/>
      <c r="OY105" s="1056"/>
      <c r="OZ105" s="1056"/>
      <c r="PA105" s="1056"/>
      <c r="PB105" s="1056"/>
      <c r="PC105" s="1056"/>
      <c r="PD105" s="1056"/>
      <c r="PE105" s="1056"/>
      <c r="PF105" s="1056"/>
      <c r="PG105" s="1056"/>
      <c r="PH105" s="1056"/>
      <c r="PI105" s="1056"/>
      <c r="PJ105" s="1056"/>
      <c r="PK105" s="1056"/>
      <c r="PL105" s="1056"/>
      <c r="PM105" s="1056"/>
      <c r="PN105" s="1056"/>
      <c r="PO105" s="1056"/>
      <c r="PP105" s="1056"/>
      <c r="PQ105" s="1056"/>
      <c r="PR105" s="1056"/>
      <c r="PS105" s="1056"/>
      <c r="PT105" s="1056"/>
      <c r="PU105" s="1056"/>
      <c r="PV105" s="1056"/>
      <c r="PW105" s="1056"/>
      <c r="PX105" s="1056"/>
      <c r="PY105" s="1056"/>
      <c r="PZ105" s="1056"/>
      <c r="QA105" s="1056"/>
      <c r="QB105" s="1056"/>
      <c r="QC105" s="1056"/>
      <c r="QD105" s="1056"/>
      <c r="QE105" s="1056"/>
      <c r="QF105" s="1056"/>
      <c r="QG105" s="1056"/>
      <c r="QH105" s="1056"/>
      <c r="QI105" s="1056"/>
      <c r="QJ105" s="1056"/>
      <c r="QK105" s="1056"/>
      <c r="QL105" s="1056"/>
      <c r="QM105" s="1056"/>
      <c r="QN105" s="1056"/>
      <c r="QO105" s="1056"/>
      <c r="QP105" s="1056"/>
      <c r="QQ105" s="1056"/>
      <c r="QR105" s="1056"/>
      <c r="QS105" s="1056"/>
      <c r="QT105" s="1056"/>
      <c r="QU105" s="1056"/>
      <c r="QV105" s="1056"/>
      <c r="QW105" s="1056"/>
      <c r="QX105" s="1056"/>
      <c r="QY105" s="1056"/>
      <c r="QZ105" s="1056"/>
      <c r="RA105" s="1056"/>
      <c r="RB105" s="1056"/>
      <c r="RC105" s="1056"/>
      <c r="RD105" s="1056"/>
      <c r="RE105" s="1056"/>
      <c r="RF105" s="1056"/>
      <c r="RG105" s="1056"/>
      <c r="RH105" s="1056"/>
      <c r="RI105" s="1056"/>
      <c r="RJ105" s="1056"/>
      <c r="RK105" s="1056"/>
      <c r="RL105" s="1056"/>
      <c r="RM105" s="1056"/>
      <c r="RN105" s="1056"/>
      <c r="RO105" s="1056"/>
      <c r="RP105" s="1056"/>
      <c r="RQ105" s="1056"/>
      <c r="RR105" s="1056"/>
      <c r="RS105" s="1056"/>
      <c r="RT105" s="1056"/>
      <c r="RU105" s="1056"/>
      <c r="RV105" s="1056"/>
      <c r="RW105" s="1056"/>
      <c r="RX105" s="1056"/>
      <c r="RY105" s="1056"/>
      <c r="RZ105" s="1056"/>
      <c r="SA105" s="1056"/>
      <c r="SB105" s="1056"/>
      <c r="SC105" s="1056"/>
      <c r="SD105" s="1056"/>
      <c r="SE105" s="1056"/>
      <c r="SF105" s="1056"/>
      <c r="SG105" s="1056"/>
      <c r="SH105" s="1056"/>
      <c r="SI105" s="1056"/>
      <c r="SJ105" s="1056"/>
      <c r="SK105" s="1056"/>
      <c r="SL105" s="1056"/>
      <c r="SM105" s="1056"/>
      <c r="SN105" s="1056"/>
      <c r="SO105" s="1056"/>
      <c r="SP105" s="1056"/>
      <c r="SQ105" s="1056"/>
      <c r="SR105" s="1056"/>
      <c r="SS105" s="1056"/>
      <c r="ST105" s="1056"/>
      <c r="SU105" s="1056"/>
      <c r="SV105" s="1056"/>
      <c r="SW105" s="1056"/>
      <c r="SX105" s="1056"/>
      <c r="SY105" s="1056"/>
      <c r="SZ105" s="1056"/>
      <c r="TA105" s="1056"/>
      <c r="TB105" s="1056"/>
      <c r="TC105" s="1056"/>
      <c r="TD105" s="1056"/>
      <c r="TE105" s="1056"/>
      <c r="TF105" s="1056"/>
      <c r="TG105" s="1056"/>
      <c r="TH105" s="1056"/>
      <c r="TI105" s="1056"/>
      <c r="TJ105" s="1056"/>
      <c r="TK105" s="1056"/>
      <c r="TL105" s="1056"/>
      <c r="TM105" s="1056"/>
      <c r="TN105" s="1056"/>
      <c r="TO105" s="1056"/>
      <c r="TP105" s="1056"/>
      <c r="TQ105" s="1056"/>
      <c r="TR105" s="1056"/>
      <c r="TS105" s="1056"/>
      <c r="TT105" s="1056"/>
      <c r="TU105" s="1056"/>
      <c r="TV105" s="1056"/>
      <c r="TW105" s="1056"/>
      <c r="TX105" s="1056"/>
      <c r="TY105" s="1056"/>
      <c r="TZ105" s="1056"/>
      <c r="UA105" s="1056"/>
      <c r="UB105" s="1056"/>
      <c r="UC105" s="1056"/>
      <c r="UD105" s="1056"/>
      <c r="UE105" s="1056"/>
      <c r="UF105" s="1056"/>
      <c r="UG105" s="1056"/>
      <c r="UH105" s="1056"/>
      <c r="UI105" s="1056"/>
      <c r="UJ105" s="1056"/>
      <c r="UK105" s="1056"/>
      <c r="UL105" s="1056"/>
      <c r="UM105" s="1056"/>
      <c r="UN105" s="1056"/>
      <c r="UO105" s="1056"/>
      <c r="UP105" s="1056"/>
      <c r="UQ105" s="1056"/>
      <c r="UR105" s="1056"/>
      <c r="US105" s="1056"/>
      <c r="UT105" s="1056"/>
      <c r="UU105" s="1056"/>
      <c r="UV105" s="1056"/>
      <c r="UW105" s="1056"/>
      <c r="UX105" s="1056"/>
      <c r="UY105" s="1056"/>
      <c r="UZ105" s="1056"/>
      <c r="VA105" s="1056"/>
      <c r="VB105" s="1056"/>
      <c r="VC105" s="1056"/>
      <c r="VD105" s="1056"/>
      <c r="VE105" s="1056"/>
      <c r="VF105" s="1056"/>
      <c r="VG105" s="1056"/>
      <c r="VH105" s="1056"/>
      <c r="VI105" s="1056"/>
      <c r="VJ105" s="1056"/>
      <c r="VK105" s="1056"/>
      <c r="VL105" s="1056"/>
      <c r="VM105" s="1056"/>
      <c r="VN105" s="1056"/>
      <c r="VO105" s="1056"/>
      <c r="VP105" s="1056"/>
      <c r="VQ105" s="1056"/>
      <c r="VR105" s="1056"/>
      <c r="VS105" s="1056"/>
      <c r="VT105" s="1056"/>
      <c r="VU105" s="1056"/>
      <c r="VV105" s="1056"/>
      <c r="VW105" s="1056"/>
      <c r="VX105" s="1056"/>
      <c r="VY105" s="1056"/>
      <c r="VZ105" s="1056"/>
      <c r="WA105" s="1056"/>
      <c r="WB105" s="1056"/>
      <c r="WC105" s="1056"/>
      <c r="WD105" s="1056"/>
      <c r="WE105" s="1056"/>
      <c r="WF105" s="1056"/>
      <c r="WG105" s="1056"/>
      <c r="WH105" s="1056"/>
      <c r="WI105" s="1056"/>
      <c r="WJ105" s="1056"/>
      <c r="WK105" s="1056"/>
      <c r="WL105" s="1056"/>
      <c r="WM105" s="1056"/>
      <c r="WN105" s="1056"/>
      <c r="WO105" s="1056"/>
      <c r="WP105" s="1056"/>
      <c r="WQ105" s="1056"/>
      <c r="WR105" s="1056"/>
      <c r="WS105" s="1056"/>
      <c r="WT105" s="1056"/>
      <c r="WU105" s="1056"/>
      <c r="WV105" s="1056"/>
      <c r="WW105" s="1056"/>
      <c r="WX105" s="1056"/>
      <c r="WY105" s="1056"/>
      <c r="WZ105" s="1056"/>
      <c r="XA105" s="1056"/>
      <c r="XB105" s="1056"/>
      <c r="XC105" s="1056"/>
      <c r="XD105" s="1056"/>
      <c r="XE105" s="1056"/>
      <c r="XF105" s="1056"/>
      <c r="XG105" s="1056"/>
      <c r="XH105" s="1056"/>
      <c r="XI105" s="1056"/>
      <c r="XJ105" s="1056"/>
      <c r="XK105" s="1056"/>
      <c r="XL105" s="1056"/>
      <c r="XM105" s="1056"/>
      <c r="XN105" s="1056"/>
      <c r="XO105" s="1056"/>
      <c r="XP105" s="1056"/>
      <c r="XQ105" s="1056"/>
      <c r="XR105" s="1056"/>
      <c r="XS105" s="1056"/>
      <c r="XT105" s="1056"/>
      <c r="XU105" s="1056"/>
      <c r="XV105" s="1056"/>
      <c r="XW105" s="1056"/>
      <c r="XX105" s="1056"/>
      <c r="XY105" s="1056"/>
      <c r="XZ105" s="1056"/>
      <c r="YA105" s="1056"/>
      <c r="YB105" s="1056"/>
      <c r="YC105" s="1056"/>
      <c r="YD105" s="1056"/>
      <c r="YE105" s="1056"/>
      <c r="YF105" s="1056"/>
      <c r="YG105" s="1056"/>
      <c r="YH105" s="1056"/>
      <c r="YI105" s="1056"/>
      <c r="YJ105" s="1056"/>
      <c r="YK105" s="1056"/>
      <c r="YL105" s="1056"/>
      <c r="YM105" s="1056"/>
      <c r="YN105" s="1056"/>
      <c r="YO105" s="1056"/>
      <c r="YP105" s="1056"/>
      <c r="YQ105" s="1056"/>
      <c r="YR105" s="1056"/>
      <c r="YS105" s="1056"/>
      <c r="YT105" s="1056"/>
      <c r="YU105" s="1056"/>
      <c r="YV105" s="1056"/>
      <c r="YW105" s="1056"/>
      <c r="YX105" s="1056"/>
      <c r="YY105" s="1056"/>
      <c r="YZ105" s="1056"/>
      <c r="ZA105" s="1056"/>
      <c r="ZB105" s="1056"/>
      <c r="ZC105" s="1056"/>
      <c r="ZD105" s="1056"/>
      <c r="ZE105" s="1056"/>
      <c r="ZF105" s="1056"/>
      <c r="ZG105" s="1056"/>
      <c r="ZH105" s="1056"/>
      <c r="ZI105" s="1056"/>
      <c r="ZJ105" s="1056"/>
      <c r="ZK105" s="1056"/>
      <c r="ZL105" s="1056"/>
      <c r="ZM105" s="1056"/>
      <c r="ZN105" s="1056"/>
      <c r="ZO105" s="1056"/>
      <c r="ZP105" s="1056"/>
      <c r="ZQ105" s="1056"/>
      <c r="ZR105" s="1056"/>
      <c r="ZS105" s="1056"/>
      <c r="ZT105" s="1056"/>
      <c r="ZU105" s="1056"/>
      <c r="ZV105" s="1056"/>
      <c r="ZW105" s="1056"/>
      <c r="ZX105" s="1056"/>
      <c r="ZY105" s="1056"/>
      <c r="ZZ105" s="1056"/>
      <c r="AAA105" s="1056"/>
      <c r="AAB105" s="1056"/>
      <c r="AAC105" s="1056"/>
      <c r="AAD105" s="1056"/>
      <c r="AAE105" s="1056"/>
      <c r="AAF105" s="1056"/>
      <c r="AAG105" s="1056"/>
      <c r="AAH105" s="1056"/>
      <c r="AAI105" s="1056"/>
      <c r="AAJ105" s="1056"/>
      <c r="AAK105" s="1056"/>
      <c r="AAL105" s="1056"/>
      <c r="AAM105" s="1056"/>
      <c r="AAN105" s="1056"/>
      <c r="AAO105" s="1056"/>
      <c r="AAP105" s="1056"/>
      <c r="AAQ105" s="1056"/>
      <c r="AAR105" s="1056"/>
      <c r="AAS105" s="1056"/>
      <c r="AAT105" s="1056"/>
      <c r="AAU105" s="1056"/>
      <c r="AAV105" s="1056"/>
      <c r="AAW105" s="1056"/>
      <c r="AAX105" s="1056"/>
      <c r="AAY105" s="1056"/>
      <c r="AAZ105" s="1056"/>
      <c r="ABA105" s="1056"/>
      <c r="ABB105" s="1056"/>
      <c r="ABC105" s="1056"/>
      <c r="ABD105" s="1056"/>
      <c r="ABE105" s="1056"/>
      <c r="ABF105" s="1056"/>
      <c r="ABG105" s="1056"/>
      <c r="ABH105" s="1056"/>
      <c r="ABI105" s="1056"/>
      <c r="ABJ105" s="1056"/>
      <c r="ABK105" s="1056"/>
      <c r="ABL105" s="1056"/>
      <c r="ABM105" s="1056"/>
      <c r="ABN105" s="1056"/>
      <c r="ABO105" s="1056"/>
      <c r="ABP105" s="1056"/>
      <c r="ABQ105" s="1056"/>
      <c r="ABR105" s="1056"/>
      <c r="ABS105" s="1056"/>
      <c r="ABT105" s="1056"/>
      <c r="ABU105" s="1056"/>
      <c r="ABV105" s="1056"/>
      <c r="ABW105" s="1056"/>
      <c r="ABX105" s="1056"/>
      <c r="ABY105" s="1056"/>
      <c r="ABZ105" s="1056"/>
      <c r="ACA105" s="1056"/>
      <c r="ACB105" s="1056"/>
      <c r="ACC105" s="1056"/>
      <c r="ACD105" s="1056"/>
      <c r="ACE105" s="1056"/>
      <c r="ACF105" s="1056"/>
      <c r="ACG105" s="1056"/>
      <c r="ACH105" s="1056"/>
      <c r="ACI105" s="1056"/>
      <c r="ACJ105" s="1056"/>
      <c r="ACK105" s="1056"/>
      <c r="ACL105" s="1056"/>
      <c r="ACM105" s="1056"/>
      <c r="ACN105" s="1056"/>
      <c r="ACO105" s="1056"/>
      <c r="ACP105" s="1056"/>
      <c r="ACQ105" s="1056"/>
      <c r="ACR105" s="1056"/>
      <c r="ACS105" s="1056"/>
      <c r="ACT105" s="1056"/>
      <c r="ACU105" s="1056"/>
      <c r="ACV105" s="1056"/>
      <c r="ACW105" s="1056"/>
      <c r="ACX105" s="1056"/>
      <c r="ACY105" s="1056"/>
      <c r="ACZ105" s="1056"/>
      <c r="ADA105" s="1056"/>
      <c r="ADB105" s="1056"/>
      <c r="ADC105" s="1056"/>
      <c r="ADD105" s="1056"/>
      <c r="ADE105" s="1056"/>
      <c r="ADF105" s="1056"/>
      <c r="ADG105" s="1056"/>
      <c r="ADH105" s="1056"/>
      <c r="ADI105" s="1056"/>
      <c r="ADJ105" s="1056"/>
      <c r="ADK105" s="1056"/>
      <c r="ADL105" s="1056"/>
      <c r="ADM105" s="1056"/>
      <c r="ADN105" s="1056"/>
      <c r="ADO105" s="1056"/>
      <c r="ADP105" s="1056"/>
      <c r="ADQ105" s="1056"/>
      <c r="ADR105" s="1056"/>
      <c r="ADS105" s="1056"/>
      <c r="ADT105" s="1056"/>
      <c r="ADU105" s="1056"/>
      <c r="ADV105" s="1056"/>
      <c r="ADW105" s="1056"/>
      <c r="ADX105" s="1056"/>
      <c r="ADY105" s="1056"/>
      <c r="ADZ105" s="1056"/>
      <c r="AEA105" s="1056"/>
      <c r="AEB105" s="1056"/>
      <c r="AEC105" s="1056"/>
      <c r="AED105" s="1056"/>
      <c r="AEE105" s="1056"/>
      <c r="AEF105" s="1056"/>
      <c r="AEG105" s="1056"/>
      <c r="AEH105" s="1056"/>
      <c r="AEI105" s="1056"/>
      <c r="AEJ105" s="1056"/>
      <c r="AEK105" s="1056"/>
      <c r="AEL105" s="1056"/>
      <c r="AEM105" s="1056"/>
      <c r="AEN105" s="1056"/>
      <c r="AEO105" s="1056"/>
      <c r="AEP105" s="1056"/>
      <c r="AEQ105" s="1056"/>
      <c r="AER105" s="1056"/>
      <c r="AES105" s="1056"/>
      <c r="AET105" s="1056"/>
      <c r="AEU105" s="1056"/>
      <c r="AEV105" s="1056"/>
      <c r="AEW105" s="1056"/>
      <c r="AEX105" s="1056"/>
      <c r="AEY105" s="1056"/>
      <c r="AEZ105" s="1056"/>
      <c r="AFA105" s="1056"/>
      <c r="AFB105" s="1056"/>
      <c r="AFC105" s="1056"/>
      <c r="AFD105" s="1056"/>
      <c r="AFE105" s="1056"/>
      <c r="AFF105" s="1056"/>
      <c r="AFG105" s="1056"/>
      <c r="AFH105" s="1056"/>
      <c r="AFI105" s="1056"/>
      <c r="AFJ105" s="1056"/>
      <c r="AFK105" s="1056"/>
      <c r="AFL105" s="1056"/>
      <c r="AFM105" s="1056"/>
      <c r="AFN105" s="1056"/>
      <c r="AFO105" s="1056"/>
      <c r="AFP105" s="1056"/>
      <c r="AFQ105" s="1056"/>
      <c r="AFR105" s="1056"/>
      <c r="AFS105" s="1056"/>
      <c r="AFT105" s="1056"/>
      <c r="AFU105" s="1056"/>
      <c r="AFV105" s="1056"/>
      <c r="AFW105" s="1056"/>
      <c r="AFX105" s="1056"/>
      <c r="AFY105" s="1056"/>
      <c r="AFZ105" s="1056"/>
      <c r="AGA105" s="1056"/>
      <c r="AGB105" s="1056"/>
      <c r="AGC105" s="1056"/>
      <c r="AGD105" s="1056"/>
      <c r="AGE105" s="1056"/>
      <c r="AGF105" s="1056"/>
      <c r="AGG105" s="1056"/>
      <c r="AGH105" s="1056"/>
      <c r="AGI105" s="1056"/>
      <c r="AGJ105" s="1056"/>
      <c r="AGK105" s="1056"/>
      <c r="AGL105" s="1056"/>
      <c r="AGM105" s="1056"/>
      <c r="AGN105" s="1056"/>
      <c r="AGO105" s="1056"/>
      <c r="AGP105" s="1056"/>
      <c r="AGQ105" s="1056"/>
      <c r="AGR105" s="1056"/>
      <c r="AGS105" s="1056"/>
      <c r="AGT105" s="1056"/>
      <c r="AGU105" s="1056"/>
      <c r="AGV105" s="1056"/>
      <c r="AGW105" s="1056"/>
      <c r="AGX105" s="1056"/>
      <c r="AGY105" s="1056"/>
      <c r="AGZ105" s="1056"/>
      <c r="AHA105" s="1056"/>
      <c r="AHB105" s="1056"/>
      <c r="AHC105" s="1056"/>
      <c r="AHD105" s="1056"/>
      <c r="AHE105" s="1056"/>
      <c r="AHF105" s="1056"/>
      <c r="AHG105" s="1056"/>
      <c r="AHH105" s="1056"/>
      <c r="AHI105" s="1056"/>
      <c r="AHJ105" s="1056"/>
      <c r="AHK105" s="1056"/>
      <c r="AHL105" s="1056"/>
      <c r="AHM105" s="1056"/>
      <c r="AHN105" s="1056"/>
      <c r="AHO105" s="1056"/>
      <c r="AHP105" s="1056"/>
      <c r="AHQ105" s="1056"/>
      <c r="AHR105" s="1056"/>
      <c r="AHS105" s="1056"/>
      <c r="AHT105" s="1056"/>
      <c r="AHU105" s="1056"/>
      <c r="AHV105" s="1056"/>
      <c r="AHW105" s="1056"/>
      <c r="AHX105" s="1056"/>
      <c r="AHY105" s="1056"/>
      <c r="AHZ105" s="1056"/>
      <c r="AIA105" s="1056"/>
      <c r="AIB105" s="1056"/>
      <c r="AIC105" s="1056"/>
      <c r="AID105" s="1056"/>
      <c r="AIE105" s="1056"/>
      <c r="AIF105" s="1056"/>
      <c r="AIG105" s="1056"/>
      <c r="AIH105" s="1056"/>
      <c r="AII105" s="1056"/>
      <c r="AIJ105" s="1056"/>
      <c r="AIK105" s="1056"/>
      <c r="AIL105" s="1056"/>
      <c r="AIM105" s="1056"/>
      <c r="AIN105" s="1056"/>
      <c r="AIO105" s="1056"/>
      <c r="AIP105" s="1056"/>
      <c r="AIQ105" s="1056"/>
      <c r="AIR105" s="1056"/>
      <c r="AIS105" s="1056"/>
      <c r="AIT105" s="1056"/>
      <c r="AIU105" s="1056"/>
      <c r="AIV105" s="1056"/>
      <c r="AIW105" s="1056"/>
      <c r="AIX105" s="1056"/>
      <c r="AIY105" s="1056"/>
      <c r="AIZ105" s="1056"/>
      <c r="AJA105" s="1056"/>
      <c r="AJB105" s="1056"/>
      <c r="AJC105" s="1056"/>
      <c r="AJD105" s="1056"/>
      <c r="AJE105" s="1056"/>
      <c r="AJF105" s="1056"/>
      <c r="AJG105" s="1056"/>
      <c r="AJH105" s="1056"/>
      <c r="AJI105" s="1056"/>
      <c r="AJJ105" s="1056"/>
      <c r="AJK105" s="1056"/>
      <c r="AJL105" s="1056"/>
      <c r="AJM105" s="1056"/>
      <c r="AJN105" s="1056"/>
      <c r="AJO105" s="1056"/>
      <c r="AJP105" s="1056"/>
      <c r="AJQ105" s="1056"/>
      <c r="AJR105" s="1056"/>
      <c r="AJS105" s="1056"/>
      <c r="AJT105" s="1056"/>
      <c r="AJU105" s="1056"/>
      <c r="AJV105" s="1056"/>
      <c r="AJW105" s="1056"/>
      <c r="AJX105" s="1056"/>
      <c r="AJY105" s="1056"/>
      <c r="AJZ105" s="1056"/>
      <c r="AKA105" s="1056"/>
      <c r="AKB105" s="1056"/>
      <c r="AKC105" s="1056"/>
      <c r="AKD105" s="1056"/>
      <c r="AKE105" s="1056"/>
      <c r="AKF105" s="1056"/>
      <c r="AKG105" s="1056"/>
      <c r="AKH105" s="1056"/>
      <c r="AKI105" s="1056"/>
      <c r="AKJ105" s="1056"/>
      <c r="AKK105" s="1056"/>
      <c r="AKL105" s="1056"/>
      <c r="AKM105" s="1056"/>
      <c r="AKN105" s="1056"/>
      <c r="AKO105" s="1056"/>
      <c r="AKP105" s="1056"/>
      <c r="AKQ105" s="1056"/>
      <c r="AKR105" s="1056"/>
      <c r="AKS105" s="1056"/>
      <c r="AKT105" s="1056"/>
      <c r="AKU105" s="1056"/>
      <c r="AKV105" s="1056"/>
      <c r="AKW105" s="1056"/>
      <c r="AKX105" s="1056"/>
      <c r="AKY105" s="1056"/>
      <c r="AKZ105" s="1056"/>
      <c r="ALA105" s="1056"/>
      <c r="ALB105" s="1056"/>
      <c r="ALC105" s="1056"/>
      <c r="ALD105" s="1056"/>
      <c r="ALE105" s="1056"/>
      <c r="ALF105" s="1056"/>
      <c r="ALG105" s="1056"/>
      <c r="ALH105" s="1056"/>
      <c r="ALI105" s="1056"/>
      <c r="ALJ105" s="1056"/>
      <c r="ALK105" s="1056"/>
      <c r="ALL105" s="1056"/>
      <c r="ALM105" s="1056"/>
      <c r="ALN105" s="1056"/>
      <c r="ALO105" s="1056"/>
      <c r="ALP105" s="1056"/>
      <c r="ALQ105" s="1056"/>
      <c r="ALR105" s="1056"/>
      <c r="ALS105" s="1056"/>
      <c r="ALT105" s="1056"/>
      <c r="ALU105" s="1056"/>
      <c r="ALV105" s="1056"/>
      <c r="ALW105" s="1056"/>
      <c r="ALX105" s="1056"/>
      <c r="ALY105" s="1056"/>
      <c r="ALZ105" s="1056"/>
      <c r="AMA105" s="1056"/>
      <c r="AMB105" s="1056"/>
      <c r="AMC105" s="1056"/>
      <c r="AMD105" s="1056"/>
      <c r="AME105" s="1056"/>
      <c r="AMF105" s="1056"/>
      <c r="AMG105" s="1056"/>
      <c r="AMH105" s="1056"/>
      <c r="AMI105" s="1056"/>
      <c r="AMJ105" s="1056"/>
      <c r="AMK105" s="1056"/>
      <c r="AML105" s="1056"/>
      <c r="AMM105" s="1056"/>
      <c r="AMN105" s="1056"/>
      <c r="AMO105" s="1056"/>
      <c r="AMP105" s="1056"/>
      <c r="AMQ105" s="1056"/>
      <c r="AMR105" s="1056"/>
      <c r="AMS105" s="1056"/>
      <c r="AMT105" s="1056"/>
      <c r="AMU105" s="1056"/>
      <c r="AMV105" s="1056"/>
      <c r="AMW105" s="1056"/>
      <c r="AMX105" s="1056"/>
      <c r="AMY105" s="1056"/>
      <c r="AMZ105" s="1056"/>
      <c r="ANA105" s="1056"/>
      <c r="ANB105" s="1056"/>
      <c r="ANC105" s="1056"/>
      <c r="AND105" s="1056"/>
      <c r="ANE105" s="1056"/>
      <c r="ANF105" s="1056"/>
      <c r="ANG105" s="1056"/>
      <c r="ANH105" s="1056"/>
      <c r="ANI105" s="1056"/>
      <c r="ANJ105" s="1056"/>
      <c r="ANK105" s="1056"/>
      <c r="ANL105" s="1056"/>
      <c r="ANM105" s="1056"/>
      <c r="ANN105" s="1056"/>
      <c r="ANO105" s="1056"/>
      <c r="ANP105" s="1056"/>
      <c r="ANQ105" s="1056"/>
      <c r="ANR105" s="1056"/>
      <c r="ANS105" s="1056"/>
      <c r="ANT105" s="1056"/>
      <c r="ANU105" s="1056"/>
      <c r="ANV105" s="1056"/>
      <c r="ANW105" s="1056"/>
      <c r="ANX105" s="1056"/>
      <c r="ANY105" s="1056"/>
      <c r="ANZ105" s="1056"/>
      <c r="AOA105" s="1056"/>
      <c r="AOB105" s="1056"/>
      <c r="AOC105" s="1056"/>
      <c r="AOD105" s="1056"/>
      <c r="AOE105" s="1056"/>
      <c r="AOF105" s="1056"/>
      <c r="AOG105" s="1056"/>
      <c r="AOH105" s="1056"/>
      <c r="AOI105" s="1056"/>
      <c r="AOJ105" s="1056"/>
      <c r="AOK105" s="1056"/>
      <c r="AOL105" s="1056"/>
      <c r="AOM105" s="1056"/>
      <c r="AON105" s="1056"/>
      <c r="AOO105" s="1056"/>
      <c r="AOP105" s="1056"/>
      <c r="AOQ105" s="1056"/>
      <c r="AOR105" s="1056"/>
      <c r="AOS105" s="1056"/>
      <c r="AOT105" s="1056"/>
      <c r="AOU105" s="1056"/>
      <c r="AOV105" s="1056"/>
      <c r="AOW105" s="1056"/>
      <c r="AOX105" s="1056"/>
      <c r="AOY105" s="1056"/>
      <c r="AOZ105" s="1056"/>
      <c r="APA105" s="1056"/>
      <c r="APB105" s="1056"/>
      <c r="APC105" s="1056"/>
      <c r="APD105" s="1056"/>
      <c r="APE105" s="1056"/>
      <c r="APF105" s="1056"/>
      <c r="APG105" s="1056"/>
      <c r="APH105" s="1056"/>
      <c r="API105" s="1056"/>
      <c r="APJ105" s="1056"/>
      <c r="APK105" s="1056"/>
      <c r="APL105" s="1056"/>
      <c r="APM105" s="1056"/>
      <c r="APN105" s="1056"/>
      <c r="APO105" s="1056"/>
      <c r="APP105" s="1056"/>
      <c r="APQ105" s="1056"/>
      <c r="APR105" s="1056"/>
      <c r="APS105" s="1056"/>
      <c r="APT105" s="1056"/>
      <c r="APU105" s="1056"/>
      <c r="APV105" s="1056"/>
      <c r="APW105" s="1056"/>
      <c r="APX105" s="1056"/>
      <c r="APY105" s="1056"/>
      <c r="APZ105" s="1056"/>
      <c r="AQA105" s="1056"/>
      <c r="AQB105" s="1056"/>
      <c r="AQC105" s="1056"/>
      <c r="AQD105" s="1056"/>
      <c r="AQE105" s="1056"/>
      <c r="AQF105" s="1056"/>
      <c r="AQG105" s="1056"/>
      <c r="AQH105" s="1056"/>
      <c r="AQI105" s="1056"/>
      <c r="AQJ105" s="1056"/>
      <c r="AQK105" s="1056"/>
      <c r="AQL105" s="1056"/>
      <c r="AQM105" s="1056"/>
      <c r="AQN105" s="1056"/>
      <c r="AQO105" s="1056"/>
      <c r="AQP105" s="1056"/>
      <c r="AQQ105" s="1056"/>
      <c r="AQR105" s="1056"/>
      <c r="AQS105" s="1056"/>
      <c r="AQT105" s="1056"/>
      <c r="AQU105" s="1056"/>
      <c r="AQV105" s="1056"/>
      <c r="AQW105" s="1056"/>
      <c r="AQX105" s="1056"/>
      <c r="AQY105" s="1056"/>
      <c r="AQZ105" s="1056"/>
      <c r="ARA105" s="1056"/>
      <c r="ARB105" s="1056"/>
      <c r="ARC105" s="1056"/>
      <c r="ARD105" s="1056"/>
      <c r="ARE105" s="1056"/>
      <c r="ARF105" s="1056"/>
      <c r="ARG105" s="1056"/>
      <c r="ARH105" s="1056"/>
      <c r="ARI105" s="1056"/>
      <c r="ARJ105" s="1056"/>
      <c r="ARK105" s="1056"/>
      <c r="ARL105" s="1056"/>
      <c r="ARM105" s="1056"/>
      <c r="ARN105" s="1056"/>
      <c r="ARO105" s="1056"/>
      <c r="ARP105" s="1056"/>
      <c r="ARQ105" s="1056"/>
      <c r="ARR105" s="1056"/>
      <c r="ARS105" s="1056"/>
      <c r="ART105" s="1056"/>
      <c r="ARU105" s="1056"/>
      <c r="ARV105" s="1056"/>
      <c r="ARW105" s="1056"/>
      <c r="ARX105" s="1056"/>
      <c r="ARY105" s="1056"/>
      <c r="ARZ105" s="1056"/>
      <c r="ASA105" s="1056"/>
      <c r="ASB105" s="1056"/>
      <c r="ASC105" s="1056"/>
      <c r="ASD105" s="1056"/>
      <c r="ASE105" s="1056"/>
      <c r="ASF105" s="1056"/>
      <c r="ASG105" s="1056"/>
      <c r="ASH105" s="1056"/>
      <c r="ASI105" s="1056"/>
      <c r="ASJ105" s="1056"/>
      <c r="ASK105" s="1056"/>
      <c r="ASL105" s="1056"/>
      <c r="ASM105" s="1056"/>
      <c r="ASN105" s="1056"/>
      <c r="ASO105" s="1056"/>
      <c r="ASP105" s="1056"/>
      <c r="ASQ105" s="1056"/>
      <c r="ASR105" s="1056"/>
      <c r="ASS105" s="1056"/>
      <c r="AST105" s="1056"/>
      <c r="ASU105" s="1056"/>
      <c r="ASV105" s="1056"/>
      <c r="ASW105" s="1056"/>
      <c r="ASX105" s="1056"/>
      <c r="ASY105" s="1056"/>
      <c r="ASZ105" s="1056"/>
      <c r="ATA105" s="1056"/>
      <c r="ATB105" s="1056"/>
      <c r="ATC105" s="1056"/>
      <c r="ATD105" s="1056"/>
      <c r="ATE105" s="1056"/>
      <c r="ATF105" s="1056"/>
      <c r="ATG105" s="1056"/>
      <c r="ATH105" s="1056"/>
      <c r="ATI105" s="1056"/>
      <c r="ATJ105" s="1056"/>
      <c r="ATK105" s="1056"/>
      <c r="ATL105" s="1056"/>
      <c r="ATM105" s="1056"/>
      <c r="ATN105" s="1056"/>
      <c r="ATO105" s="1056"/>
      <c r="ATP105" s="1056"/>
      <c r="ATQ105" s="1056"/>
      <c r="ATR105" s="1056"/>
      <c r="ATS105" s="1056"/>
      <c r="ATT105" s="1056"/>
      <c r="ATU105" s="1056"/>
      <c r="ATV105" s="1056"/>
      <c r="ATW105" s="1056"/>
      <c r="ATX105" s="1056"/>
      <c r="ATY105" s="1056"/>
      <c r="ATZ105" s="1056"/>
      <c r="AUA105" s="1056"/>
      <c r="AUB105" s="1056"/>
      <c r="AUC105" s="1056"/>
      <c r="AUD105" s="1056"/>
      <c r="AUE105" s="1056"/>
      <c r="AUF105" s="1056"/>
      <c r="AUG105" s="1056"/>
      <c r="AUH105" s="1056"/>
      <c r="AUI105" s="1056"/>
      <c r="AUJ105" s="1056"/>
      <c r="AUK105" s="1056"/>
      <c r="AUL105" s="1056"/>
      <c r="AUM105" s="1056"/>
      <c r="AUN105" s="1056"/>
      <c r="AUO105" s="1056"/>
      <c r="AUP105" s="1056"/>
      <c r="AUQ105" s="1056"/>
      <c r="AUR105" s="1056"/>
      <c r="AUS105" s="1056"/>
      <c r="AUT105" s="1056"/>
      <c r="AUU105" s="1056"/>
      <c r="AUV105" s="1056"/>
      <c r="AUW105" s="1056"/>
      <c r="AUX105" s="1056"/>
      <c r="AUY105" s="1056"/>
      <c r="AUZ105" s="1056"/>
      <c r="AVA105" s="1056"/>
      <c r="AVB105" s="1056"/>
      <c r="AVC105" s="1056"/>
      <c r="AVD105" s="1056"/>
      <c r="AVE105" s="1056"/>
      <c r="AVF105" s="1056"/>
      <c r="AVG105" s="1056"/>
      <c r="AVH105" s="1056"/>
      <c r="AVI105" s="1056"/>
      <c r="AVJ105" s="1056"/>
      <c r="AVK105" s="1056"/>
      <c r="AVL105" s="1056"/>
      <c r="AVM105" s="1056"/>
      <c r="AVN105" s="1056"/>
      <c r="AVO105" s="1056"/>
      <c r="AVP105" s="1056"/>
      <c r="AVQ105" s="1056"/>
      <c r="AVR105" s="1056"/>
      <c r="AVS105" s="1056"/>
      <c r="AVT105" s="1056"/>
      <c r="AVU105" s="1056"/>
      <c r="AVV105" s="1056"/>
      <c r="AVW105" s="1056"/>
      <c r="AVX105" s="1056"/>
      <c r="AVY105" s="1056"/>
      <c r="AVZ105" s="1056"/>
      <c r="AWA105" s="1056"/>
      <c r="AWB105" s="1056"/>
      <c r="AWC105" s="1056"/>
      <c r="AWD105" s="1056"/>
      <c r="AWE105" s="1056"/>
      <c r="AWF105" s="1056"/>
      <c r="AWG105" s="1056"/>
      <c r="AWH105" s="1056"/>
      <c r="AWI105" s="1056"/>
      <c r="AWJ105" s="1056"/>
      <c r="AWK105" s="1056"/>
      <c r="AWL105" s="1056"/>
      <c r="AWM105" s="1056"/>
      <c r="AWN105" s="1056"/>
      <c r="AWO105" s="1056"/>
      <c r="AWP105" s="1056"/>
      <c r="AWQ105" s="1056"/>
      <c r="AWR105" s="1056"/>
      <c r="AWS105" s="1056"/>
      <c r="AWT105" s="1056"/>
      <c r="AWU105" s="1056"/>
      <c r="AWV105" s="1056"/>
      <c r="AWW105" s="1056"/>
      <c r="AWX105" s="1056"/>
      <c r="AWY105" s="1056"/>
      <c r="AWZ105" s="1056"/>
      <c r="AXA105" s="1056"/>
      <c r="AXB105" s="1056"/>
      <c r="AXC105" s="1056"/>
      <c r="AXD105" s="1056"/>
      <c r="AXE105" s="1056"/>
      <c r="AXF105" s="1056"/>
      <c r="AXG105" s="1056"/>
      <c r="AXH105" s="1056"/>
      <c r="AXI105" s="1056"/>
      <c r="AXJ105" s="1056"/>
      <c r="AXK105" s="1056"/>
      <c r="AXL105" s="1056"/>
      <c r="AXM105" s="1056"/>
      <c r="AXN105" s="1056"/>
      <c r="AXO105" s="1056"/>
      <c r="AXP105" s="1056"/>
      <c r="AXQ105" s="1056"/>
      <c r="AXR105" s="1056"/>
      <c r="AXS105" s="1056"/>
      <c r="AXT105" s="1056"/>
      <c r="AXU105" s="1056"/>
      <c r="AXV105" s="1056"/>
      <c r="AXW105" s="1056"/>
      <c r="AXX105" s="1056"/>
      <c r="AXY105" s="1056"/>
      <c r="AXZ105" s="1056"/>
      <c r="AYA105" s="1056"/>
      <c r="AYB105" s="1056"/>
      <c r="AYC105" s="1056"/>
      <c r="AYD105" s="1056"/>
      <c r="AYE105" s="1056"/>
      <c r="AYF105" s="1056"/>
      <c r="AYG105" s="1056"/>
      <c r="AYH105" s="1056"/>
      <c r="AYI105" s="1056"/>
      <c r="AYJ105" s="1056"/>
      <c r="AYK105" s="1056"/>
      <c r="AYL105" s="1056"/>
      <c r="AYM105" s="1056"/>
      <c r="AYN105" s="1056"/>
      <c r="AYO105" s="1056"/>
      <c r="AYP105" s="1056"/>
      <c r="AYQ105" s="1056"/>
      <c r="AYR105" s="1056"/>
      <c r="AYS105" s="1056"/>
      <c r="AYT105" s="1056"/>
      <c r="AYU105" s="1056"/>
      <c r="AYV105" s="1056"/>
      <c r="AYW105" s="1056"/>
      <c r="AYX105" s="1056"/>
      <c r="AYY105" s="1056"/>
      <c r="AYZ105" s="1056"/>
      <c r="AZA105" s="1056"/>
      <c r="AZB105" s="1056"/>
      <c r="AZC105" s="1056"/>
      <c r="AZD105" s="1056"/>
      <c r="AZE105" s="1056"/>
      <c r="AZF105" s="1056"/>
      <c r="AZG105" s="1056"/>
      <c r="AZH105" s="1056"/>
      <c r="AZI105" s="1056"/>
      <c r="AZJ105" s="1056"/>
      <c r="AZK105" s="1056"/>
      <c r="AZL105" s="1056"/>
      <c r="AZM105" s="1056"/>
      <c r="AZN105" s="1056"/>
      <c r="AZO105" s="1056"/>
      <c r="AZP105" s="1056"/>
      <c r="AZQ105" s="1056"/>
      <c r="AZR105" s="1056"/>
      <c r="AZS105" s="1056"/>
      <c r="AZT105" s="1056"/>
      <c r="AZU105" s="1056"/>
      <c r="AZV105" s="1056"/>
      <c r="AZW105" s="1056"/>
      <c r="AZX105" s="1056"/>
      <c r="AZY105" s="1056"/>
      <c r="AZZ105" s="1056"/>
      <c r="BAA105" s="1056"/>
      <c r="BAB105" s="1056"/>
      <c r="BAC105" s="1056"/>
      <c r="BAD105" s="1056"/>
      <c r="BAE105" s="1056"/>
      <c r="BAF105" s="1056"/>
      <c r="BAG105" s="1056"/>
      <c r="BAH105" s="1056"/>
      <c r="BAI105" s="1056"/>
      <c r="BAJ105" s="1056"/>
      <c r="BAK105" s="1056"/>
      <c r="BAL105" s="1056"/>
      <c r="BAM105" s="1056"/>
      <c r="BAN105" s="1056"/>
      <c r="BAO105" s="1056"/>
      <c r="BAP105" s="1056"/>
      <c r="BAQ105" s="1056"/>
      <c r="BAR105" s="1056"/>
      <c r="BAS105" s="1056"/>
      <c r="BAT105" s="1056"/>
      <c r="BAU105" s="1056"/>
      <c r="BAV105" s="1056"/>
      <c r="BAW105" s="1056"/>
      <c r="BAX105" s="1056"/>
      <c r="BAY105" s="1056"/>
      <c r="BAZ105" s="1056"/>
      <c r="BBA105" s="1056"/>
      <c r="BBB105" s="1056"/>
      <c r="BBC105" s="1056"/>
      <c r="BBD105" s="1056"/>
      <c r="BBE105" s="1056"/>
      <c r="BBF105" s="1056"/>
      <c r="BBG105" s="1056"/>
      <c r="BBH105" s="1056"/>
      <c r="BBI105" s="1056"/>
      <c r="BBJ105" s="1056"/>
      <c r="BBK105" s="1056"/>
      <c r="BBL105" s="1056"/>
      <c r="BBM105" s="1056"/>
      <c r="BBN105" s="1056"/>
      <c r="BBO105" s="1056"/>
      <c r="BBP105" s="1056"/>
      <c r="BBQ105" s="1056"/>
      <c r="BBR105" s="1056"/>
      <c r="BBS105" s="1056"/>
      <c r="BBT105" s="1056"/>
      <c r="BBU105" s="1056"/>
      <c r="BBV105" s="1056"/>
      <c r="BBW105" s="1056"/>
      <c r="BBX105" s="1056"/>
      <c r="BBY105" s="1056"/>
      <c r="BBZ105" s="1056"/>
      <c r="BCA105" s="1056"/>
      <c r="BCB105" s="1056"/>
      <c r="BCC105" s="1056"/>
      <c r="BCD105" s="1056"/>
      <c r="BCE105" s="1056"/>
      <c r="BCF105" s="1056"/>
      <c r="BCG105" s="1056"/>
      <c r="BCH105" s="1056"/>
      <c r="BCI105" s="1056"/>
      <c r="BCJ105" s="1056"/>
      <c r="BCK105" s="1056"/>
      <c r="BCL105" s="1056"/>
      <c r="BCM105" s="1056"/>
      <c r="BCN105" s="1056"/>
      <c r="BCO105" s="1056"/>
      <c r="BCP105" s="1056"/>
      <c r="BCQ105" s="1056"/>
      <c r="BCR105" s="1056"/>
      <c r="BCS105" s="1056"/>
      <c r="BCT105" s="1056"/>
      <c r="BCU105" s="1056"/>
      <c r="BCV105" s="1056"/>
      <c r="BCW105" s="1056"/>
      <c r="BCX105" s="1056"/>
      <c r="BCY105" s="1056"/>
      <c r="BCZ105" s="1056"/>
      <c r="BDA105" s="1056"/>
      <c r="BDB105" s="1056"/>
      <c r="BDC105" s="1056"/>
      <c r="BDD105" s="1056"/>
      <c r="BDE105" s="1056"/>
      <c r="BDF105" s="1056"/>
      <c r="BDG105" s="1056"/>
      <c r="BDH105" s="1056"/>
      <c r="BDI105" s="1056"/>
      <c r="BDJ105" s="1056"/>
      <c r="BDK105" s="1056"/>
      <c r="BDL105" s="1056"/>
      <c r="BDM105" s="1056"/>
      <c r="BDN105" s="1056"/>
      <c r="BDO105" s="1056"/>
      <c r="BDP105" s="1056"/>
      <c r="BDQ105" s="1056"/>
      <c r="BDR105" s="1056"/>
      <c r="BDS105" s="1056"/>
      <c r="BDT105" s="1056"/>
      <c r="BDU105" s="1056"/>
      <c r="BDV105" s="1056"/>
      <c r="BDW105" s="1056"/>
      <c r="BDX105" s="1056"/>
      <c r="BDY105" s="1056"/>
      <c r="BDZ105" s="1056"/>
      <c r="BEA105" s="1056"/>
      <c r="BEB105" s="1056"/>
      <c r="BEC105" s="1056"/>
      <c r="BED105" s="1056"/>
      <c r="BEE105" s="1056"/>
      <c r="BEF105" s="1056"/>
      <c r="BEG105" s="1056"/>
      <c r="BEH105" s="1056"/>
      <c r="BEI105" s="1056"/>
      <c r="BEJ105" s="1056"/>
      <c r="BEK105" s="1056"/>
      <c r="BEL105" s="1056"/>
      <c r="BEM105" s="1056"/>
      <c r="BEN105" s="1056"/>
      <c r="BEO105" s="1056"/>
      <c r="BEP105" s="1056"/>
      <c r="BEQ105" s="1056"/>
      <c r="BER105" s="1056"/>
      <c r="BES105" s="1056"/>
      <c r="BET105" s="1056"/>
      <c r="BEU105" s="1056"/>
      <c r="BEV105" s="1056"/>
      <c r="BEW105" s="1056"/>
      <c r="BEX105" s="1056"/>
      <c r="BEY105" s="1056"/>
      <c r="BEZ105" s="1056"/>
      <c r="BFA105" s="1056"/>
      <c r="BFB105" s="1056"/>
      <c r="BFC105" s="1056"/>
      <c r="BFD105" s="1056"/>
      <c r="BFE105" s="1056"/>
      <c r="BFF105" s="1056"/>
      <c r="BFG105" s="1056"/>
      <c r="BFH105" s="1056"/>
      <c r="BFI105" s="1056"/>
      <c r="BFJ105" s="1056"/>
      <c r="BFK105" s="1056"/>
      <c r="BFL105" s="1056"/>
      <c r="BFM105" s="1056"/>
      <c r="BFN105" s="1056"/>
      <c r="BFO105" s="1056"/>
      <c r="BFP105" s="1056"/>
      <c r="BFQ105" s="1056"/>
      <c r="BFR105" s="1056"/>
      <c r="BFS105" s="1056"/>
      <c r="BFT105" s="1056"/>
      <c r="BFU105" s="1056"/>
      <c r="BFV105" s="1056"/>
      <c r="BFW105" s="1056"/>
      <c r="BFX105" s="1056"/>
      <c r="BFY105" s="1056"/>
      <c r="BFZ105" s="1056"/>
      <c r="BGA105" s="1056"/>
      <c r="BGB105" s="1056"/>
      <c r="BGC105" s="1056"/>
      <c r="BGD105" s="1056"/>
      <c r="BGE105" s="1056"/>
      <c r="BGF105" s="1056"/>
      <c r="BGG105" s="1056"/>
      <c r="BGH105" s="1056"/>
      <c r="BGI105" s="1056"/>
      <c r="BGJ105" s="1056"/>
      <c r="BGK105" s="1056"/>
      <c r="BGL105" s="1056"/>
      <c r="BGM105" s="1056"/>
      <c r="BGN105" s="1056"/>
      <c r="BGO105" s="1056"/>
      <c r="BGP105" s="1056"/>
      <c r="BGQ105" s="1056"/>
      <c r="BGR105" s="1056"/>
      <c r="BGS105" s="1056"/>
      <c r="BGT105" s="1056"/>
      <c r="BGU105" s="1056"/>
      <c r="BGV105" s="1056"/>
      <c r="BGW105" s="1056"/>
      <c r="BGX105" s="1056"/>
      <c r="BGY105" s="1056"/>
      <c r="BGZ105" s="1056"/>
      <c r="BHA105" s="1056"/>
      <c r="BHB105" s="1056"/>
      <c r="BHC105" s="1056"/>
      <c r="BHD105" s="1056"/>
      <c r="BHE105" s="1056"/>
      <c r="BHF105" s="1056"/>
      <c r="BHG105" s="1056"/>
      <c r="BHH105" s="1056"/>
      <c r="BHI105" s="1056"/>
      <c r="BHJ105" s="1056"/>
      <c r="BHK105" s="1056"/>
      <c r="BHL105" s="1056"/>
      <c r="BHM105" s="1056"/>
      <c r="BHN105" s="1056"/>
      <c r="BHO105" s="1056"/>
      <c r="BHP105" s="1056"/>
      <c r="BHQ105" s="1056"/>
      <c r="BHR105" s="1056"/>
      <c r="BHS105" s="1056"/>
      <c r="BHT105" s="1056"/>
      <c r="BHU105" s="1056"/>
      <c r="BHV105" s="1056"/>
      <c r="BHW105" s="1056"/>
      <c r="BHX105" s="1056"/>
      <c r="BHY105" s="1056"/>
      <c r="BHZ105" s="1056"/>
      <c r="BIA105" s="1056"/>
      <c r="BIB105" s="1056"/>
      <c r="BIC105" s="1056"/>
      <c r="BID105" s="1056"/>
      <c r="BIE105" s="1056"/>
      <c r="BIF105" s="1056"/>
      <c r="BIG105" s="1056"/>
      <c r="BIH105" s="1056"/>
      <c r="BII105" s="1056"/>
      <c r="BIJ105" s="1056"/>
      <c r="BIK105" s="1056"/>
      <c r="BIL105" s="1056"/>
      <c r="BIM105" s="1056"/>
      <c r="BIN105" s="1056"/>
      <c r="BIO105" s="1056"/>
      <c r="BIP105" s="1056"/>
      <c r="BIQ105" s="1056"/>
      <c r="BIR105" s="1056"/>
      <c r="BIS105" s="1056"/>
      <c r="BIT105" s="1056"/>
      <c r="BIU105" s="1056"/>
      <c r="BIV105" s="1056"/>
      <c r="BIW105" s="1056"/>
      <c r="BIX105" s="1056"/>
      <c r="BIY105" s="1056"/>
      <c r="BIZ105" s="1056"/>
      <c r="BJA105" s="1056"/>
      <c r="BJB105" s="1056"/>
      <c r="BJC105" s="1056"/>
      <c r="BJD105" s="1056"/>
      <c r="BJE105" s="1056"/>
      <c r="BJF105" s="1056"/>
      <c r="BJG105" s="1056"/>
      <c r="BJH105" s="1056"/>
      <c r="BJI105" s="1056"/>
      <c r="BJJ105" s="1056"/>
      <c r="BJK105" s="1056"/>
      <c r="BJL105" s="1056"/>
      <c r="BJM105" s="1056"/>
      <c r="BJN105" s="1056"/>
      <c r="BJO105" s="1056"/>
      <c r="BJP105" s="1056"/>
      <c r="BJQ105" s="1056"/>
      <c r="BJR105" s="1056"/>
      <c r="BJS105" s="1056"/>
      <c r="BJT105" s="1056"/>
      <c r="BJU105" s="1056"/>
      <c r="BJV105" s="1056"/>
      <c r="BJW105" s="1056"/>
      <c r="BJX105" s="1056"/>
      <c r="BJY105" s="1056"/>
      <c r="BJZ105" s="1056"/>
      <c r="BKA105" s="1056"/>
      <c r="BKB105" s="1056"/>
      <c r="BKC105" s="1056"/>
      <c r="BKD105" s="1056"/>
      <c r="BKE105" s="1056"/>
      <c r="BKF105" s="1056"/>
      <c r="BKG105" s="1056"/>
      <c r="BKH105" s="1056"/>
      <c r="BKI105" s="1056"/>
      <c r="BKJ105" s="1056"/>
      <c r="BKK105" s="1056"/>
      <c r="BKL105" s="1056"/>
      <c r="BKM105" s="1056"/>
      <c r="BKN105" s="1056"/>
      <c r="BKO105" s="1056"/>
      <c r="BKP105" s="1056"/>
      <c r="BKQ105" s="1056"/>
      <c r="BKR105" s="1056"/>
      <c r="BKS105" s="1056"/>
      <c r="BKT105" s="1056"/>
      <c r="BKU105" s="1056"/>
      <c r="BKV105" s="1056"/>
      <c r="BKW105" s="1056"/>
      <c r="BKX105" s="1056"/>
      <c r="BKY105" s="1056"/>
      <c r="BKZ105" s="1056"/>
      <c r="BLA105" s="1056"/>
      <c r="BLB105" s="1056"/>
      <c r="BLC105" s="1056"/>
      <c r="BLD105" s="1056"/>
      <c r="BLE105" s="1056"/>
      <c r="BLF105" s="1056"/>
      <c r="BLG105" s="1056"/>
      <c r="BLH105" s="1056"/>
      <c r="BLI105" s="1056"/>
      <c r="BLJ105" s="1056"/>
      <c r="BLK105" s="1056"/>
      <c r="BLL105" s="1056"/>
      <c r="BLM105" s="1056"/>
      <c r="BLN105" s="1056"/>
      <c r="BLO105" s="1056"/>
      <c r="BLP105" s="1056"/>
      <c r="BLQ105" s="1056"/>
      <c r="BLR105" s="1056"/>
      <c r="BLS105" s="1056"/>
      <c r="BLT105" s="1056"/>
      <c r="BLU105" s="1056"/>
      <c r="BLV105" s="1056"/>
      <c r="BLW105" s="1056"/>
      <c r="BLX105" s="1056"/>
      <c r="BLY105" s="1056"/>
      <c r="BLZ105" s="1056"/>
      <c r="BMA105" s="1056"/>
      <c r="BMB105" s="1056"/>
      <c r="BMC105" s="1056"/>
      <c r="BMD105" s="1056"/>
      <c r="BME105" s="1056"/>
      <c r="BMF105" s="1056"/>
      <c r="BMG105" s="1056"/>
      <c r="BMH105" s="1056"/>
      <c r="BMI105" s="1056"/>
      <c r="BMJ105" s="1056"/>
      <c r="BMK105" s="1056"/>
      <c r="BML105" s="1056"/>
      <c r="BMM105" s="1056"/>
      <c r="BMN105" s="1056"/>
      <c r="BMO105" s="1056"/>
      <c r="BMP105" s="1056"/>
      <c r="BMQ105" s="1056"/>
      <c r="BMR105" s="1056"/>
      <c r="BMS105" s="1056"/>
      <c r="BMT105" s="1056"/>
      <c r="BMU105" s="1056"/>
      <c r="BMV105" s="1056"/>
      <c r="BMW105" s="1056"/>
      <c r="BMX105" s="1056"/>
      <c r="BMY105" s="1056"/>
      <c r="BMZ105" s="1056"/>
      <c r="BNA105" s="1056"/>
      <c r="BNB105" s="1056"/>
      <c r="BNC105" s="1056"/>
      <c r="BND105" s="1056"/>
      <c r="BNE105" s="1056"/>
      <c r="BNF105" s="1056"/>
      <c r="BNG105" s="1056"/>
      <c r="BNH105" s="1056"/>
      <c r="BNI105" s="1056"/>
      <c r="BNJ105" s="1056"/>
      <c r="BNK105" s="1056"/>
      <c r="BNL105" s="1056"/>
      <c r="BNM105" s="1056"/>
      <c r="BNN105" s="1056"/>
      <c r="BNO105" s="1056"/>
      <c r="BNP105" s="1056"/>
      <c r="BNQ105" s="1056"/>
      <c r="BNR105" s="1056"/>
      <c r="BNS105" s="1056"/>
      <c r="BNT105" s="1056"/>
      <c r="BNU105" s="1056"/>
      <c r="BNV105" s="1056"/>
      <c r="BNW105" s="1056"/>
      <c r="BNX105" s="1056"/>
      <c r="BNY105" s="1056"/>
      <c r="BNZ105" s="1056"/>
      <c r="BOA105" s="1056"/>
      <c r="BOB105" s="1056"/>
      <c r="BOC105" s="1056"/>
      <c r="BOD105" s="1056"/>
      <c r="BOE105" s="1056"/>
      <c r="BOF105" s="1056"/>
      <c r="BOG105" s="1056"/>
      <c r="BOH105" s="1056"/>
      <c r="BOI105" s="1056"/>
      <c r="BOJ105" s="1056"/>
      <c r="BOK105" s="1056"/>
      <c r="BOL105" s="1056"/>
      <c r="BOM105" s="1056"/>
      <c r="BON105" s="1056"/>
      <c r="BOO105" s="1056"/>
      <c r="BOP105" s="1056"/>
      <c r="BOQ105" s="1056"/>
      <c r="BOR105" s="1056"/>
      <c r="BOS105" s="1056"/>
      <c r="BOT105" s="1056"/>
      <c r="BOU105" s="1056"/>
      <c r="BOV105" s="1056"/>
      <c r="BOW105" s="1056"/>
      <c r="BOX105" s="1056"/>
      <c r="BOY105" s="1056"/>
      <c r="BOZ105" s="1056"/>
      <c r="BPA105" s="1056"/>
      <c r="BPB105" s="1056"/>
      <c r="BPC105" s="1056"/>
      <c r="BPD105" s="1056"/>
      <c r="BPE105" s="1056"/>
      <c r="BPF105" s="1056"/>
      <c r="BPG105" s="1056"/>
      <c r="BPH105" s="1056"/>
      <c r="BPI105" s="1056"/>
      <c r="BPJ105" s="1056"/>
      <c r="BPK105" s="1056"/>
      <c r="BPL105" s="1056"/>
      <c r="BPM105" s="1056"/>
      <c r="BPN105" s="1056"/>
      <c r="BPO105" s="1056"/>
      <c r="BPP105" s="1056"/>
      <c r="BPQ105" s="1056"/>
      <c r="BPR105" s="1056"/>
      <c r="BPS105" s="1056"/>
      <c r="BPT105" s="1056"/>
      <c r="BPU105" s="1056"/>
      <c r="BPV105" s="1056"/>
      <c r="BPW105" s="1056"/>
      <c r="BPX105" s="1056"/>
      <c r="BPY105" s="1056"/>
      <c r="BPZ105" s="1056"/>
      <c r="BQA105" s="1056"/>
      <c r="BQB105" s="1056"/>
      <c r="BQC105" s="1056"/>
      <c r="BQD105" s="1056"/>
      <c r="BQE105" s="1056"/>
      <c r="BQF105" s="1056"/>
      <c r="BQG105" s="1056"/>
      <c r="BQH105" s="1056"/>
      <c r="BQI105" s="1056"/>
      <c r="BQJ105" s="1056"/>
      <c r="BQK105" s="1056"/>
      <c r="BQL105" s="1056"/>
      <c r="BQM105" s="1056"/>
      <c r="BQN105" s="1056"/>
      <c r="BQO105" s="1056"/>
      <c r="BQP105" s="1056"/>
      <c r="BQQ105" s="1056"/>
      <c r="BQR105" s="1056"/>
      <c r="BQS105" s="1056"/>
      <c r="BQT105" s="1056"/>
      <c r="BQU105" s="1056"/>
      <c r="BQV105" s="1056"/>
      <c r="BQW105" s="1056"/>
      <c r="BQX105" s="1056"/>
      <c r="BQY105" s="1056"/>
      <c r="BQZ105" s="1056"/>
      <c r="BRA105" s="1056"/>
      <c r="BRB105" s="1056"/>
      <c r="BRC105" s="1056"/>
      <c r="BRD105" s="1056"/>
      <c r="BRE105" s="1056"/>
      <c r="BRF105" s="1056"/>
      <c r="BRG105" s="1056"/>
      <c r="BRH105" s="1056"/>
      <c r="BRI105" s="1056"/>
      <c r="BRJ105" s="1056"/>
      <c r="BRK105" s="1056"/>
      <c r="BRL105" s="1056"/>
      <c r="BRM105" s="1056"/>
      <c r="BRN105" s="1056"/>
      <c r="BRO105" s="1056"/>
      <c r="BRP105" s="1056"/>
      <c r="BRQ105" s="1056"/>
      <c r="BRR105" s="1056"/>
      <c r="BRS105" s="1056"/>
      <c r="BRT105" s="1056"/>
      <c r="BRU105" s="1056"/>
      <c r="BRV105" s="1056"/>
      <c r="BRW105" s="1056"/>
      <c r="BRX105" s="1056"/>
      <c r="BRY105" s="1056"/>
      <c r="BRZ105" s="1056"/>
      <c r="BSA105" s="1056"/>
      <c r="BSB105" s="1056"/>
      <c r="BSC105" s="1056"/>
      <c r="BSD105" s="1056"/>
      <c r="BSE105" s="1056"/>
      <c r="BSF105" s="1056"/>
      <c r="BSG105" s="1056"/>
      <c r="BSH105" s="1056"/>
      <c r="BSI105" s="1056"/>
      <c r="BSJ105" s="1056"/>
      <c r="BSK105" s="1056"/>
      <c r="BSL105" s="1056"/>
      <c r="BSM105" s="1056"/>
      <c r="BSN105" s="1056"/>
      <c r="BSO105" s="1056"/>
      <c r="BSP105" s="1056"/>
      <c r="BSQ105" s="1056"/>
      <c r="BSR105" s="1056"/>
      <c r="BSS105" s="1056"/>
      <c r="BST105" s="1056"/>
      <c r="BSU105" s="1056"/>
      <c r="BSV105" s="1056"/>
      <c r="BSW105" s="1056"/>
      <c r="BSX105" s="1056"/>
      <c r="BSY105" s="1056"/>
      <c r="BSZ105" s="1056"/>
      <c r="BTA105" s="1056"/>
      <c r="BTB105" s="1056"/>
      <c r="BTC105" s="1056"/>
      <c r="BTD105" s="1056"/>
      <c r="BTE105" s="1056"/>
      <c r="BTF105" s="1056"/>
      <c r="BTG105" s="1056"/>
      <c r="BTH105" s="1056"/>
      <c r="BTI105" s="1056"/>
    </row>
    <row r="106" spans="1:1881" s="1060" customFormat="1" ht="191.25" hidden="1" customHeight="1" thickBot="1" x14ac:dyDescent="0.35">
      <c r="A106" s="1071">
        <v>14</v>
      </c>
      <c r="B106" s="1069" t="s">
        <v>345</v>
      </c>
      <c r="C106" s="1072" t="s">
        <v>1015</v>
      </c>
      <c r="D106" s="1072" t="s">
        <v>1017</v>
      </c>
      <c r="E106" s="1053" t="e">
        <f>HLOOKUP($D$2,'2020 Data(H)'!$C$1:$AI$426,11,FALSE)</f>
        <v>#N/A</v>
      </c>
      <c r="F106" s="287">
        <v>0</v>
      </c>
      <c r="G106" s="722"/>
      <c r="H106" s="764"/>
      <c r="I106" s="1055"/>
      <c r="J106" s="1068"/>
      <c r="K106" s="1056"/>
      <c r="L106" s="1057"/>
      <c r="M106" s="1056"/>
      <c r="N106" s="1058"/>
      <c r="O106" s="1056"/>
      <c r="P106" s="1056"/>
      <c r="Q106" s="1056"/>
      <c r="R106" s="1056"/>
      <c r="S106" s="1056"/>
      <c r="T106" s="1056"/>
      <c r="U106" s="1056"/>
      <c r="V106" s="1056"/>
      <c r="W106" s="1056"/>
      <c r="X106" s="1056"/>
      <c r="Y106" s="1056"/>
      <c r="Z106" s="1073"/>
      <c r="AA106" s="1073"/>
      <c r="AB106" s="1073"/>
      <c r="AC106" s="1073"/>
      <c r="AD106" s="1073"/>
      <c r="AE106" s="1073"/>
      <c r="AF106" s="1073"/>
      <c r="AG106" s="1073"/>
      <c r="AH106" s="1073"/>
      <c r="AI106" s="1073"/>
      <c r="AJ106" s="1073"/>
      <c r="AK106" s="1073"/>
      <c r="AL106" s="1073"/>
      <c r="AM106" s="1073"/>
      <c r="AN106" s="1073"/>
      <c r="AO106" s="1073"/>
      <c r="AP106" s="1073"/>
      <c r="AQ106" s="1073"/>
      <c r="AR106" s="1073"/>
      <c r="AS106" s="1056"/>
      <c r="AT106" s="1056"/>
      <c r="AU106" s="1056"/>
      <c r="AV106" s="1056"/>
      <c r="AW106" s="1056"/>
      <c r="AX106" s="1056"/>
      <c r="AY106" s="1056"/>
      <c r="AZ106" s="1056"/>
      <c r="BA106" s="1056"/>
      <c r="BB106" s="1056"/>
      <c r="BC106" s="1056"/>
      <c r="BD106" s="1056"/>
      <c r="BE106" s="1056"/>
      <c r="BF106" s="1056"/>
      <c r="BG106" s="1056"/>
      <c r="BH106" s="1056"/>
      <c r="BI106" s="1056"/>
      <c r="BJ106" s="1056"/>
      <c r="BK106" s="1056"/>
      <c r="BL106" s="1056"/>
      <c r="BM106" s="1056"/>
      <c r="BN106" s="1056"/>
      <c r="BO106" s="1056"/>
      <c r="BP106" s="1056"/>
      <c r="BQ106" s="1056"/>
      <c r="BR106" s="1056"/>
      <c r="BS106" s="1056"/>
      <c r="BT106" s="1056"/>
      <c r="BU106" s="1056"/>
      <c r="BV106" s="1056"/>
      <c r="BW106" s="1056"/>
      <c r="BX106" s="1056"/>
      <c r="BY106" s="1056"/>
      <c r="BZ106" s="1056"/>
      <c r="CA106" s="1056"/>
      <c r="CB106" s="1056"/>
      <c r="CC106" s="1056"/>
      <c r="CD106" s="1056"/>
      <c r="CE106" s="1056"/>
      <c r="CF106" s="1056"/>
      <c r="CG106" s="1056"/>
      <c r="CH106" s="1056"/>
      <c r="CI106" s="1056"/>
      <c r="CJ106" s="1056"/>
      <c r="CK106" s="1056"/>
      <c r="CL106" s="1056"/>
      <c r="CM106" s="1056"/>
      <c r="CN106" s="1056"/>
      <c r="CO106" s="1056"/>
      <c r="CP106" s="1056"/>
      <c r="CQ106" s="1056"/>
      <c r="CR106" s="1056"/>
      <c r="CS106" s="1056"/>
      <c r="CT106" s="1056"/>
      <c r="CU106" s="1056"/>
      <c r="CV106" s="1056"/>
      <c r="CW106" s="1056"/>
      <c r="CX106" s="1056"/>
      <c r="CY106" s="1056"/>
      <c r="CZ106" s="1056"/>
      <c r="DA106" s="1056"/>
      <c r="DB106" s="1056"/>
      <c r="DC106" s="1056"/>
      <c r="DD106" s="1056"/>
      <c r="DE106" s="1056"/>
      <c r="DF106" s="1056"/>
      <c r="DG106" s="1056"/>
      <c r="DH106" s="1056"/>
      <c r="DI106" s="1056"/>
      <c r="DJ106" s="1056"/>
      <c r="DK106" s="1056"/>
      <c r="DL106" s="1056"/>
      <c r="DM106" s="1056"/>
      <c r="DN106" s="1056"/>
      <c r="DO106" s="1056"/>
      <c r="DP106" s="1056"/>
      <c r="DQ106" s="1056"/>
      <c r="DR106" s="1056"/>
      <c r="DS106" s="1056"/>
      <c r="DT106" s="1056"/>
      <c r="DU106" s="1056"/>
      <c r="DV106" s="1056"/>
      <c r="DW106" s="1056"/>
      <c r="DX106" s="1056"/>
      <c r="DY106" s="1056"/>
      <c r="DZ106" s="1056"/>
      <c r="EA106" s="1056"/>
      <c r="EB106" s="1056"/>
      <c r="EC106" s="1056"/>
      <c r="ED106" s="1056"/>
      <c r="EE106" s="1056"/>
      <c r="EF106" s="1056"/>
      <c r="EG106" s="1056"/>
      <c r="EH106" s="1056"/>
      <c r="EI106" s="1056"/>
      <c r="EJ106" s="1056"/>
      <c r="EK106" s="1056"/>
      <c r="EL106" s="1056"/>
      <c r="EM106" s="1056"/>
      <c r="EN106" s="1056"/>
      <c r="EO106" s="1056"/>
      <c r="EP106" s="1056"/>
      <c r="EQ106" s="1056"/>
      <c r="ER106" s="1056"/>
      <c r="ES106" s="1056"/>
      <c r="ET106" s="1056"/>
      <c r="EU106" s="1056"/>
      <c r="EV106" s="1056"/>
      <c r="EW106" s="1056"/>
      <c r="EX106" s="1056"/>
      <c r="EY106" s="1056"/>
      <c r="EZ106" s="1056"/>
      <c r="FA106" s="1056"/>
      <c r="FB106" s="1056"/>
      <c r="FC106" s="1056"/>
      <c r="FD106" s="1056"/>
      <c r="FE106" s="1056"/>
      <c r="FF106" s="1056"/>
      <c r="FG106" s="1056"/>
      <c r="FH106" s="1056"/>
      <c r="FI106" s="1056"/>
      <c r="FJ106" s="1056"/>
      <c r="FK106" s="1056"/>
      <c r="FL106" s="1056"/>
      <c r="FM106" s="1056"/>
      <c r="FN106" s="1056"/>
      <c r="FO106" s="1056"/>
      <c r="FP106" s="1056"/>
      <c r="FQ106" s="1056"/>
      <c r="FR106" s="1056"/>
      <c r="FS106" s="1056"/>
      <c r="FT106" s="1056"/>
      <c r="FU106" s="1056"/>
      <c r="FV106" s="1056"/>
      <c r="FW106" s="1056"/>
      <c r="FX106" s="1056"/>
      <c r="FY106" s="1056"/>
      <c r="FZ106" s="1056"/>
      <c r="GA106" s="1056"/>
      <c r="GB106" s="1056"/>
      <c r="GC106" s="1056"/>
      <c r="GD106" s="1056"/>
      <c r="GE106" s="1056"/>
      <c r="GF106" s="1056"/>
      <c r="GG106" s="1056"/>
      <c r="GH106" s="1056"/>
      <c r="GI106" s="1056"/>
      <c r="GJ106" s="1056"/>
      <c r="GK106" s="1056"/>
      <c r="GL106" s="1056"/>
      <c r="GM106" s="1056"/>
      <c r="GN106" s="1056"/>
      <c r="GO106" s="1056"/>
      <c r="GP106" s="1056"/>
      <c r="GQ106" s="1056"/>
      <c r="GR106" s="1056"/>
      <c r="GS106" s="1056"/>
      <c r="GT106" s="1056"/>
      <c r="GU106" s="1056"/>
      <c r="GV106" s="1056"/>
      <c r="GW106" s="1056"/>
      <c r="GX106" s="1056"/>
      <c r="GY106" s="1056"/>
      <c r="GZ106" s="1056"/>
      <c r="HA106" s="1056"/>
      <c r="HB106" s="1056"/>
      <c r="HC106" s="1056"/>
      <c r="HD106" s="1056"/>
      <c r="HE106" s="1056"/>
      <c r="HF106" s="1056"/>
      <c r="HG106" s="1056"/>
      <c r="HH106" s="1056"/>
      <c r="HI106" s="1056"/>
      <c r="HJ106" s="1056"/>
      <c r="HK106" s="1056"/>
      <c r="HL106" s="1056"/>
      <c r="HM106" s="1056"/>
      <c r="HN106" s="1056"/>
      <c r="HO106" s="1056"/>
      <c r="HP106" s="1056"/>
      <c r="HQ106" s="1056"/>
      <c r="HR106" s="1056"/>
      <c r="HS106" s="1056"/>
      <c r="HT106" s="1056"/>
      <c r="HU106" s="1056"/>
      <c r="HV106" s="1056"/>
      <c r="HW106" s="1056"/>
      <c r="HX106" s="1056"/>
      <c r="HY106" s="1056"/>
      <c r="HZ106" s="1056"/>
      <c r="IA106" s="1056"/>
      <c r="IB106" s="1056"/>
      <c r="IC106" s="1056"/>
      <c r="ID106" s="1056"/>
      <c r="IE106" s="1056"/>
      <c r="IF106" s="1056"/>
      <c r="IG106" s="1056"/>
      <c r="IH106" s="1056"/>
      <c r="II106" s="1056"/>
      <c r="IJ106" s="1056"/>
      <c r="IK106" s="1056"/>
      <c r="IL106" s="1056"/>
      <c r="IM106" s="1056"/>
      <c r="IN106" s="1056"/>
      <c r="IO106" s="1056"/>
      <c r="IP106" s="1056"/>
      <c r="IQ106" s="1056"/>
      <c r="IR106" s="1056"/>
      <c r="IS106" s="1056"/>
      <c r="IT106" s="1056"/>
      <c r="IU106" s="1056"/>
      <c r="IV106" s="1056"/>
      <c r="IW106" s="1056"/>
      <c r="IX106" s="1056"/>
      <c r="IY106" s="1056"/>
      <c r="IZ106" s="1056"/>
      <c r="JA106" s="1056"/>
      <c r="JB106" s="1056"/>
      <c r="JC106" s="1056"/>
      <c r="JD106" s="1056"/>
      <c r="JE106" s="1056"/>
      <c r="JF106" s="1056"/>
      <c r="JG106" s="1056"/>
      <c r="JH106" s="1056"/>
      <c r="JI106" s="1056"/>
      <c r="JJ106" s="1056"/>
      <c r="JK106" s="1056"/>
      <c r="JL106" s="1056"/>
      <c r="JM106" s="1056"/>
      <c r="JN106" s="1056"/>
      <c r="JO106" s="1056"/>
      <c r="JP106" s="1056"/>
      <c r="JQ106" s="1056"/>
      <c r="JR106" s="1056"/>
      <c r="JS106" s="1056"/>
      <c r="JT106" s="1056"/>
      <c r="JU106" s="1056"/>
      <c r="JV106" s="1056"/>
      <c r="JW106" s="1056"/>
      <c r="JX106" s="1056"/>
      <c r="JY106" s="1056"/>
      <c r="JZ106" s="1056"/>
      <c r="KA106" s="1056"/>
      <c r="KB106" s="1056"/>
      <c r="KC106" s="1056"/>
      <c r="KD106" s="1056"/>
      <c r="KE106" s="1056"/>
      <c r="KF106" s="1056"/>
      <c r="KG106" s="1056"/>
      <c r="KH106" s="1056"/>
      <c r="KI106" s="1056"/>
      <c r="KJ106" s="1056"/>
      <c r="KK106" s="1056"/>
      <c r="KL106" s="1056"/>
      <c r="KM106" s="1056"/>
      <c r="KN106" s="1056"/>
      <c r="KO106" s="1056"/>
      <c r="KP106" s="1056"/>
      <c r="KQ106" s="1056"/>
      <c r="KR106" s="1056"/>
      <c r="KS106" s="1056"/>
      <c r="KT106" s="1056"/>
      <c r="KU106" s="1056"/>
      <c r="KV106" s="1056"/>
      <c r="KW106" s="1056"/>
      <c r="KX106" s="1056"/>
      <c r="KY106" s="1056"/>
      <c r="KZ106" s="1056"/>
      <c r="LA106" s="1056"/>
      <c r="LB106" s="1056"/>
      <c r="LC106" s="1056"/>
      <c r="LD106" s="1056"/>
      <c r="LE106" s="1056"/>
      <c r="LF106" s="1056"/>
      <c r="LG106" s="1056"/>
      <c r="LH106" s="1056"/>
      <c r="LI106" s="1056"/>
      <c r="LJ106" s="1056"/>
      <c r="LK106" s="1056"/>
      <c r="LL106" s="1056"/>
      <c r="LM106" s="1056"/>
      <c r="LN106" s="1056"/>
      <c r="LO106" s="1056"/>
      <c r="LP106" s="1056"/>
      <c r="LQ106" s="1056"/>
      <c r="LR106" s="1056"/>
      <c r="LS106" s="1056"/>
      <c r="LT106" s="1056"/>
      <c r="LU106" s="1056"/>
      <c r="LV106" s="1056"/>
      <c r="LW106" s="1056"/>
      <c r="LX106" s="1056"/>
      <c r="LY106" s="1056"/>
      <c r="LZ106" s="1056"/>
      <c r="MA106" s="1056"/>
      <c r="MB106" s="1056"/>
      <c r="MC106" s="1056"/>
      <c r="MD106" s="1056"/>
      <c r="ME106" s="1056"/>
      <c r="MF106" s="1056"/>
      <c r="MG106" s="1056"/>
      <c r="MH106" s="1056"/>
      <c r="MI106" s="1056"/>
      <c r="MJ106" s="1056"/>
      <c r="MK106" s="1056"/>
      <c r="ML106" s="1056"/>
      <c r="MM106" s="1056"/>
      <c r="MN106" s="1056"/>
      <c r="MO106" s="1056"/>
      <c r="MP106" s="1056"/>
      <c r="MQ106" s="1056"/>
      <c r="MR106" s="1056"/>
      <c r="MS106" s="1056"/>
      <c r="MT106" s="1056"/>
      <c r="MU106" s="1056"/>
      <c r="MV106" s="1056"/>
      <c r="MW106" s="1056"/>
      <c r="MX106" s="1056"/>
      <c r="MY106" s="1056"/>
      <c r="MZ106" s="1056"/>
      <c r="NA106" s="1056"/>
      <c r="NB106" s="1056"/>
      <c r="NC106" s="1056"/>
      <c r="ND106" s="1056"/>
      <c r="NE106" s="1056"/>
      <c r="NF106" s="1056"/>
      <c r="NG106" s="1056"/>
      <c r="NH106" s="1056"/>
      <c r="NI106" s="1056"/>
      <c r="NJ106" s="1056"/>
      <c r="NK106" s="1056"/>
      <c r="NL106" s="1056"/>
      <c r="NM106" s="1056"/>
      <c r="NN106" s="1056"/>
      <c r="NO106" s="1056"/>
      <c r="NP106" s="1056"/>
      <c r="NQ106" s="1056"/>
      <c r="NR106" s="1056"/>
      <c r="NS106" s="1056"/>
      <c r="NT106" s="1056"/>
      <c r="NU106" s="1056"/>
      <c r="NV106" s="1056"/>
      <c r="NW106" s="1056"/>
      <c r="NX106" s="1056"/>
      <c r="NY106" s="1056"/>
      <c r="NZ106" s="1056"/>
      <c r="OA106" s="1056"/>
      <c r="OB106" s="1056"/>
      <c r="OC106" s="1056"/>
      <c r="OD106" s="1056"/>
      <c r="OE106" s="1056"/>
      <c r="OF106" s="1056"/>
      <c r="OG106" s="1056"/>
      <c r="OH106" s="1056"/>
      <c r="OI106" s="1056"/>
      <c r="OJ106" s="1056"/>
      <c r="OK106" s="1056"/>
      <c r="OL106" s="1056"/>
      <c r="OM106" s="1056"/>
      <c r="ON106" s="1056"/>
      <c r="OO106" s="1056"/>
      <c r="OP106" s="1056"/>
      <c r="OQ106" s="1056"/>
      <c r="OR106" s="1056"/>
      <c r="OS106" s="1056"/>
      <c r="OT106" s="1056"/>
      <c r="OU106" s="1056"/>
      <c r="OV106" s="1056"/>
      <c r="OW106" s="1056"/>
      <c r="OX106" s="1056"/>
      <c r="OY106" s="1056"/>
      <c r="OZ106" s="1056"/>
      <c r="PA106" s="1056"/>
      <c r="PB106" s="1056"/>
      <c r="PC106" s="1056"/>
      <c r="PD106" s="1056"/>
      <c r="PE106" s="1056"/>
      <c r="PF106" s="1056"/>
      <c r="PG106" s="1056"/>
      <c r="PH106" s="1056"/>
      <c r="PI106" s="1056"/>
      <c r="PJ106" s="1056"/>
      <c r="PK106" s="1056"/>
      <c r="PL106" s="1056"/>
      <c r="PM106" s="1056"/>
      <c r="PN106" s="1056"/>
      <c r="PO106" s="1056"/>
      <c r="PP106" s="1056"/>
      <c r="PQ106" s="1056"/>
      <c r="PR106" s="1056"/>
      <c r="PS106" s="1056"/>
      <c r="PT106" s="1056"/>
      <c r="PU106" s="1056"/>
      <c r="PV106" s="1056"/>
      <c r="PW106" s="1056"/>
      <c r="PX106" s="1056"/>
      <c r="PY106" s="1056"/>
      <c r="PZ106" s="1056"/>
      <c r="QA106" s="1056"/>
      <c r="QB106" s="1056"/>
      <c r="QC106" s="1056"/>
      <c r="QD106" s="1056"/>
      <c r="QE106" s="1056"/>
      <c r="QF106" s="1056"/>
      <c r="QG106" s="1056"/>
      <c r="QH106" s="1056"/>
      <c r="QI106" s="1056"/>
      <c r="QJ106" s="1056"/>
      <c r="QK106" s="1056"/>
      <c r="QL106" s="1056"/>
      <c r="QM106" s="1056"/>
      <c r="QN106" s="1056"/>
      <c r="QO106" s="1056"/>
      <c r="QP106" s="1056"/>
      <c r="QQ106" s="1056"/>
      <c r="QR106" s="1056"/>
      <c r="QS106" s="1056"/>
      <c r="QT106" s="1056"/>
      <c r="QU106" s="1056"/>
      <c r="QV106" s="1056"/>
      <c r="QW106" s="1056"/>
      <c r="QX106" s="1056"/>
      <c r="QY106" s="1056"/>
      <c r="QZ106" s="1056"/>
      <c r="RA106" s="1056"/>
      <c r="RB106" s="1056"/>
      <c r="RC106" s="1056"/>
      <c r="RD106" s="1056"/>
      <c r="RE106" s="1056"/>
      <c r="RF106" s="1056"/>
      <c r="RG106" s="1056"/>
      <c r="RH106" s="1056"/>
      <c r="RI106" s="1056"/>
      <c r="RJ106" s="1056"/>
      <c r="RK106" s="1056"/>
      <c r="RL106" s="1056"/>
      <c r="RM106" s="1056"/>
      <c r="RN106" s="1056"/>
      <c r="RO106" s="1056"/>
      <c r="RP106" s="1056"/>
      <c r="RQ106" s="1056"/>
      <c r="RR106" s="1056"/>
      <c r="RS106" s="1056"/>
      <c r="RT106" s="1056"/>
      <c r="RU106" s="1056"/>
      <c r="RV106" s="1056"/>
      <c r="RW106" s="1056"/>
      <c r="RX106" s="1056"/>
      <c r="RY106" s="1056"/>
      <c r="RZ106" s="1056"/>
      <c r="SA106" s="1056"/>
      <c r="SB106" s="1056"/>
      <c r="SC106" s="1056"/>
      <c r="SD106" s="1056"/>
      <c r="SE106" s="1056"/>
      <c r="SF106" s="1056"/>
      <c r="SG106" s="1056"/>
      <c r="SH106" s="1056"/>
      <c r="SI106" s="1056"/>
      <c r="SJ106" s="1056"/>
      <c r="SK106" s="1056"/>
      <c r="SL106" s="1056"/>
      <c r="SM106" s="1056"/>
      <c r="SN106" s="1056"/>
      <c r="SO106" s="1056"/>
      <c r="SP106" s="1056"/>
      <c r="SQ106" s="1056"/>
      <c r="SR106" s="1056"/>
      <c r="SS106" s="1056"/>
      <c r="ST106" s="1056"/>
      <c r="SU106" s="1056"/>
      <c r="SV106" s="1056"/>
      <c r="SW106" s="1056"/>
      <c r="SX106" s="1056"/>
      <c r="SY106" s="1056"/>
      <c r="SZ106" s="1056"/>
      <c r="TA106" s="1056"/>
      <c r="TB106" s="1056"/>
      <c r="TC106" s="1056"/>
      <c r="TD106" s="1056"/>
      <c r="TE106" s="1056"/>
      <c r="TF106" s="1056"/>
      <c r="TG106" s="1056"/>
      <c r="TH106" s="1056"/>
      <c r="TI106" s="1056"/>
      <c r="TJ106" s="1056"/>
      <c r="TK106" s="1056"/>
      <c r="TL106" s="1056"/>
      <c r="TM106" s="1056"/>
      <c r="TN106" s="1056"/>
      <c r="TO106" s="1056"/>
      <c r="TP106" s="1056"/>
      <c r="TQ106" s="1056"/>
      <c r="TR106" s="1056"/>
      <c r="TS106" s="1056"/>
      <c r="TT106" s="1056"/>
      <c r="TU106" s="1056"/>
      <c r="TV106" s="1056"/>
      <c r="TW106" s="1056"/>
      <c r="TX106" s="1056"/>
      <c r="TY106" s="1056"/>
      <c r="TZ106" s="1056"/>
      <c r="UA106" s="1056"/>
      <c r="UB106" s="1056"/>
      <c r="UC106" s="1056"/>
      <c r="UD106" s="1056"/>
      <c r="UE106" s="1056"/>
      <c r="UF106" s="1056"/>
      <c r="UG106" s="1056"/>
      <c r="UH106" s="1056"/>
      <c r="UI106" s="1056"/>
      <c r="UJ106" s="1056"/>
      <c r="UK106" s="1056"/>
      <c r="UL106" s="1056"/>
      <c r="UM106" s="1056"/>
      <c r="UN106" s="1056"/>
      <c r="UO106" s="1056"/>
      <c r="UP106" s="1056"/>
      <c r="UQ106" s="1056"/>
      <c r="UR106" s="1056"/>
      <c r="US106" s="1056"/>
      <c r="UT106" s="1056"/>
      <c r="UU106" s="1056"/>
      <c r="UV106" s="1056"/>
      <c r="UW106" s="1056"/>
      <c r="UX106" s="1056"/>
      <c r="UY106" s="1056"/>
      <c r="UZ106" s="1056"/>
      <c r="VA106" s="1056"/>
      <c r="VB106" s="1056"/>
      <c r="VC106" s="1056"/>
      <c r="VD106" s="1056"/>
      <c r="VE106" s="1056"/>
      <c r="VF106" s="1056"/>
      <c r="VG106" s="1056"/>
      <c r="VH106" s="1056"/>
      <c r="VI106" s="1056"/>
      <c r="VJ106" s="1056"/>
      <c r="VK106" s="1056"/>
      <c r="VL106" s="1056"/>
      <c r="VM106" s="1056"/>
      <c r="VN106" s="1056"/>
      <c r="VO106" s="1056"/>
      <c r="VP106" s="1056"/>
      <c r="VQ106" s="1056"/>
      <c r="VR106" s="1056"/>
      <c r="VS106" s="1056"/>
      <c r="VT106" s="1056"/>
      <c r="VU106" s="1056"/>
      <c r="VV106" s="1056"/>
      <c r="VW106" s="1056"/>
      <c r="VX106" s="1056"/>
      <c r="VY106" s="1056"/>
      <c r="VZ106" s="1056"/>
      <c r="WA106" s="1056"/>
      <c r="WB106" s="1056"/>
      <c r="WC106" s="1056"/>
      <c r="WD106" s="1056"/>
      <c r="WE106" s="1056"/>
      <c r="WF106" s="1056"/>
      <c r="WG106" s="1056"/>
      <c r="WH106" s="1056"/>
      <c r="WI106" s="1056"/>
      <c r="WJ106" s="1056"/>
      <c r="WK106" s="1056"/>
      <c r="WL106" s="1056"/>
      <c r="WM106" s="1056"/>
      <c r="WN106" s="1056"/>
      <c r="WO106" s="1056"/>
      <c r="WP106" s="1056"/>
      <c r="WQ106" s="1056"/>
      <c r="WR106" s="1056"/>
      <c r="WS106" s="1056"/>
      <c r="WT106" s="1056"/>
      <c r="WU106" s="1056"/>
      <c r="WV106" s="1056"/>
      <c r="WW106" s="1056"/>
      <c r="WX106" s="1056"/>
      <c r="WY106" s="1056"/>
      <c r="WZ106" s="1056"/>
      <c r="XA106" s="1056"/>
      <c r="XB106" s="1056"/>
      <c r="XC106" s="1056"/>
      <c r="XD106" s="1056"/>
      <c r="XE106" s="1056"/>
      <c r="XF106" s="1056"/>
      <c r="XG106" s="1056"/>
      <c r="XH106" s="1056"/>
      <c r="XI106" s="1056"/>
      <c r="XJ106" s="1056"/>
      <c r="XK106" s="1056"/>
      <c r="XL106" s="1056"/>
      <c r="XM106" s="1056"/>
      <c r="XN106" s="1056"/>
      <c r="XO106" s="1056"/>
      <c r="XP106" s="1056"/>
      <c r="XQ106" s="1056"/>
      <c r="XR106" s="1056"/>
      <c r="XS106" s="1056"/>
      <c r="XT106" s="1056"/>
      <c r="XU106" s="1056"/>
      <c r="XV106" s="1056"/>
      <c r="XW106" s="1056"/>
      <c r="XX106" s="1056"/>
      <c r="XY106" s="1056"/>
      <c r="XZ106" s="1056"/>
      <c r="YA106" s="1056"/>
      <c r="YB106" s="1056"/>
      <c r="YC106" s="1056"/>
      <c r="YD106" s="1056"/>
      <c r="YE106" s="1056"/>
      <c r="YF106" s="1056"/>
      <c r="YG106" s="1056"/>
      <c r="YH106" s="1056"/>
      <c r="YI106" s="1056"/>
      <c r="YJ106" s="1056"/>
      <c r="YK106" s="1056"/>
      <c r="YL106" s="1056"/>
      <c r="YM106" s="1056"/>
      <c r="YN106" s="1056"/>
      <c r="YO106" s="1056"/>
      <c r="YP106" s="1056"/>
      <c r="YQ106" s="1056"/>
      <c r="YR106" s="1056"/>
      <c r="YS106" s="1056"/>
      <c r="YT106" s="1056"/>
      <c r="YU106" s="1056"/>
      <c r="YV106" s="1056"/>
      <c r="YW106" s="1056"/>
      <c r="YX106" s="1056"/>
      <c r="YY106" s="1056"/>
      <c r="YZ106" s="1056"/>
      <c r="ZA106" s="1056"/>
      <c r="ZB106" s="1056"/>
      <c r="ZC106" s="1056"/>
      <c r="ZD106" s="1056"/>
      <c r="ZE106" s="1056"/>
      <c r="ZF106" s="1056"/>
      <c r="ZG106" s="1056"/>
      <c r="ZH106" s="1056"/>
      <c r="ZI106" s="1056"/>
      <c r="ZJ106" s="1056"/>
      <c r="ZK106" s="1056"/>
      <c r="ZL106" s="1056"/>
      <c r="ZM106" s="1056"/>
      <c r="ZN106" s="1056"/>
      <c r="ZO106" s="1056"/>
      <c r="ZP106" s="1056"/>
      <c r="ZQ106" s="1056"/>
      <c r="ZR106" s="1056"/>
      <c r="ZS106" s="1056"/>
      <c r="ZT106" s="1056"/>
      <c r="ZU106" s="1056"/>
      <c r="ZV106" s="1056"/>
      <c r="ZW106" s="1056"/>
      <c r="ZX106" s="1056"/>
      <c r="ZY106" s="1056"/>
      <c r="ZZ106" s="1056"/>
      <c r="AAA106" s="1056"/>
      <c r="AAB106" s="1056"/>
      <c r="AAC106" s="1056"/>
      <c r="AAD106" s="1056"/>
      <c r="AAE106" s="1056"/>
      <c r="AAF106" s="1056"/>
      <c r="AAG106" s="1056"/>
      <c r="AAH106" s="1056"/>
      <c r="AAI106" s="1056"/>
      <c r="AAJ106" s="1056"/>
      <c r="AAK106" s="1056"/>
      <c r="AAL106" s="1056"/>
      <c r="AAM106" s="1056"/>
      <c r="AAN106" s="1056"/>
      <c r="AAO106" s="1056"/>
      <c r="AAP106" s="1056"/>
      <c r="AAQ106" s="1056"/>
      <c r="AAR106" s="1056"/>
      <c r="AAS106" s="1056"/>
      <c r="AAT106" s="1056"/>
      <c r="AAU106" s="1056"/>
      <c r="AAV106" s="1056"/>
      <c r="AAW106" s="1056"/>
      <c r="AAX106" s="1056"/>
      <c r="AAY106" s="1056"/>
      <c r="AAZ106" s="1056"/>
      <c r="ABA106" s="1056"/>
      <c r="ABB106" s="1056"/>
      <c r="ABC106" s="1056"/>
      <c r="ABD106" s="1056"/>
      <c r="ABE106" s="1056"/>
      <c r="ABF106" s="1056"/>
      <c r="ABG106" s="1056"/>
      <c r="ABH106" s="1056"/>
      <c r="ABI106" s="1056"/>
      <c r="ABJ106" s="1056"/>
      <c r="ABK106" s="1056"/>
      <c r="ABL106" s="1056"/>
      <c r="ABM106" s="1056"/>
      <c r="ABN106" s="1056"/>
      <c r="ABO106" s="1056"/>
      <c r="ABP106" s="1056"/>
      <c r="ABQ106" s="1056"/>
      <c r="ABR106" s="1056"/>
      <c r="ABS106" s="1056"/>
      <c r="ABT106" s="1056"/>
      <c r="ABU106" s="1056"/>
      <c r="ABV106" s="1056"/>
      <c r="ABW106" s="1056"/>
      <c r="ABX106" s="1056"/>
      <c r="ABY106" s="1056"/>
      <c r="ABZ106" s="1056"/>
      <c r="ACA106" s="1056"/>
      <c r="ACB106" s="1056"/>
      <c r="ACC106" s="1056"/>
      <c r="ACD106" s="1056"/>
      <c r="ACE106" s="1056"/>
      <c r="ACF106" s="1056"/>
      <c r="ACG106" s="1056"/>
      <c r="ACH106" s="1056"/>
      <c r="ACI106" s="1056"/>
      <c r="ACJ106" s="1056"/>
      <c r="ACK106" s="1056"/>
      <c r="ACL106" s="1056"/>
      <c r="ACM106" s="1056"/>
      <c r="ACN106" s="1056"/>
      <c r="ACO106" s="1056"/>
      <c r="ACP106" s="1056"/>
      <c r="ACQ106" s="1056"/>
      <c r="ACR106" s="1056"/>
      <c r="ACS106" s="1056"/>
      <c r="ACT106" s="1056"/>
      <c r="ACU106" s="1056"/>
      <c r="ACV106" s="1056"/>
      <c r="ACW106" s="1056"/>
      <c r="ACX106" s="1056"/>
      <c r="ACY106" s="1056"/>
      <c r="ACZ106" s="1056"/>
      <c r="ADA106" s="1056"/>
      <c r="ADB106" s="1056"/>
      <c r="ADC106" s="1056"/>
      <c r="ADD106" s="1056"/>
      <c r="ADE106" s="1056"/>
      <c r="ADF106" s="1056"/>
      <c r="ADG106" s="1056"/>
      <c r="ADH106" s="1056"/>
      <c r="ADI106" s="1056"/>
      <c r="ADJ106" s="1056"/>
      <c r="ADK106" s="1056"/>
      <c r="ADL106" s="1056"/>
      <c r="ADM106" s="1056"/>
      <c r="ADN106" s="1056"/>
      <c r="ADO106" s="1056"/>
      <c r="ADP106" s="1056"/>
      <c r="ADQ106" s="1056"/>
      <c r="ADR106" s="1056"/>
      <c r="ADS106" s="1056"/>
      <c r="ADT106" s="1056"/>
      <c r="ADU106" s="1056"/>
      <c r="ADV106" s="1056"/>
      <c r="ADW106" s="1056"/>
      <c r="ADX106" s="1056"/>
      <c r="ADY106" s="1056"/>
      <c r="ADZ106" s="1056"/>
      <c r="AEA106" s="1056"/>
      <c r="AEB106" s="1056"/>
      <c r="AEC106" s="1056"/>
      <c r="AED106" s="1056"/>
      <c r="AEE106" s="1056"/>
      <c r="AEF106" s="1056"/>
      <c r="AEG106" s="1056"/>
      <c r="AEH106" s="1056"/>
      <c r="AEI106" s="1056"/>
      <c r="AEJ106" s="1056"/>
      <c r="AEK106" s="1056"/>
      <c r="AEL106" s="1056"/>
      <c r="AEM106" s="1056"/>
      <c r="AEN106" s="1056"/>
      <c r="AEO106" s="1056"/>
      <c r="AEP106" s="1056"/>
      <c r="AEQ106" s="1056"/>
      <c r="AER106" s="1056"/>
      <c r="AES106" s="1056"/>
      <c r="AET106" s="1056"/>
      <c r="AEU106" s="1056"/>
      <c r="AEV106" s="1056"/>
      <c r="AEW106" s="1056"/>
      <c r="AEX106" s="1056"/>
      <c r="AEY106" s="1056"/>
      <c r="AEZ106" s="1056"/>
      <c r="AFA106" s="1056"/>
      <c r="AFB106" s="1056"/>
      <c r="AFC106" s="1056"/>
      <c r="AFD106" s="1056"/>
      <c r="AFE106" s="1056"/>
      <c r="AFF106" s="1056"/>
      <c r="AFG106" s="1056"/>
      <c r="AFH106" s="1056"/>
      <c r="AFI106" s="1056"/>
      <c r="AFJ106" s="1056"/>
      <c r="AFK106" s="1056"/>
      <c r="AFL106" s="1056"/>
      <c r="AFM106" s="1056"/>
      <c r="AFN106" s="1056"/>
      <c r="AFO106" s="1056"/>
      <c r="AFP106" s="1056"/>
      <c r="AFQ106" s="1056"/>
      <c r="AFR106" s="1056"/>
      <c r="AFS106" s="1056"/>
      <c r="AFT106" s="1056"/>
      <c r="AFU106" s="1056"/>
      <c r="AFV106" s="1056"/>
      <c r="AFW106" s="1056"/>
      <c r="AFX106" s="1056"/>
      <c r="AFY106" s="1056"/>
      <c r="AFZ106" s="1056"/>
      <c r="AGA106" s="1056"/>
      <c r="AGB106" s="1056"/>
      <c r="AGC106" s="1056"/>
      <c r="AGD106" s="1056"/>
      <c r="AGE106" s="1056"/>
      <c r="AGF106" s="1056"/>
      <c r="AGG106" s="1056"/>
      <c r="AGH106" s="1056"/>
      <c r="AGI106" s="1056"/>
      <c r="AGJ106" s="1056"/>
      <c r="AGK106" s="1056"/>
      <c r="AGL106" s="1056"/>
      <c r="AGM106" s="1056"/>
      <c r="AGN106" s="1056"/>
      <c r="AGO106" s="1056"/>
      <c r="AGP106" s="1056"/>
      <c r="AGQ106" s="1056"/>
      <c r="AGR106" s="1056"/>
      <c r="AGS106" s="1056"/>
      <c r="AGT106" s="1056"/>
      <c r="AGU106" s="1056"/>
      <c r="AGV106" s="1056"/>
      <c r="AGW106" s="1056"/>
      <c r="AGX106" s="1056"/>
      <c r="AGY106" s="1056"/>
      <c r="AGZ106" s="1056"/>
      <c r="AHA106" s="1056"/>
      <c r="AHB106" s="1056"/>
      <c r="AHC106" s="1056"/>
      <c r="AHD106" s="1056"/>
      <c r="AHE106" s="1056"/>
      <c r="AHF106" s="1056"/>
      <c r="AHG106" s="1056"/>
      <c r="AHH106" s="1056"/>
      <c r="AHI106" s="1056"/>
      <c r="AHJ106" s="1056"/>
      <c r="AHK106" s="1056"/>
      <c r="AHL106" s="1056"/>
      <c r="AHM106" s="1056"/>
      <c r="AHN106" s="1056"/>
      <c r="AHO106" s="1056"/>
      <c r="AHP106" s="1056"/>
      <c r="AHQ106" s="1056"/>
      <c r="AHR106" s="1056"/>
      <c r="AHS106" s="1056"/>
      <c r="AHT106" s="1056"/>
      <c r="AHU106" s="1056"/>
      <c r="AHV106" s="1056"/>
      <c r="AHW106" s="1056"/>
      <c r="AHX106" s="1056"/>
      <c r="AHY106" s="1056"/>
      <c r="AHZ106" s="1056"/>
      <c r="AIA106" s="1056"/>
      <c r="AIB106" s="1056"/>
      <c r="AIC106" s="1056"/>
      <c r="AID106" s="1056"/>
      <c r="AIE106" s="1056"/>
      <c r="AIF106" s="1056"/>
      <c r="AIG106" s="1056"/>
      <c r="AIH106" s="1056"/>
      <c r="AII106" s="1056"/>
      <c r="AIJ106" s="1056"/>
      <c r="AIK106" s="1056"/>
      <c r="AIL106" s="1056"/>
      <c r="AIM106" s="1056"/>
      <c r="AIN106" s="1056"/>
      <c r="AIO106" s="1056"/>
      <c r="AIP106" s="1056"/>
      <c r="AIQ106" s="1056"/>
      <c r="AIR106" s="1056"/>
      <c r="AIS106" s="1056"/>
      <c r="AIT106" s="1056"/>
      <c r="AIU106" s="1056"/>
      <c r="AIV106" s="1056"/>
      <c r="AIW106" s="1056"/>
      <c r="AIX106" s="1056"/>
      <c r="AIY106" s="1056"/>
      <c r="AIZ106" s="1056"/>
      <c r="AJA106" s="1056"/>
      <c r="AJB106" s="1056"/>
      <c r="AJC106" s="1056"/>
      <c r="AJD106" s="1056"/>
      <c r="AJE106" s="1056"/>
      <c r="AJF106" s="1056"/>
      <c r="AJG106" s="1056"/>
      <c r="AJH106" s="1056"/>
      <c r="AJI106" s="1056"/>
      <c r="AJJ106" s="1056"/>
      <c r="AJK106" s="1056"/>
      <c r="AJL106" s="1056"/>
      <c r="AJM106" s="1056"/>
      <c r="AJN106" s="1056"/>
      <c r="AJO106" s="1056"/>
      <c r="AJP106" s="1056"/>
      <c r="AJQ106" s="1056"/>
      <c r="AJR106" s="1056"/>
      <c r="AJS106" s="1056"/>
      <c r="AJT106" s="1056"/>
      <c r="AJU106" s="1056"/>
      <c r="AJV106" s="1056"/>
      <c r="AJW106" s="1056"/>
      <c r="AJX106" s="1056"/>
      <c r="AJY106" s="1056"/>
      <c r="AJZ106" s="1056"/>
      <c r="AKA106" s="1056"/>
      <c r="AKB106" s="1056"/>
      <c r="AKC106" s="1056"/>
      <c r="AKD106" s="1056"/>
      <c r="AKE106" s="1056"/>
      <c r="AKF106" s="1056"/>
      <c r="AKG106" s="1056"/>
      <c r="AKH106" s="1056"/>
      <c r="AKI106" s="1056"/>
      <c r="AKJ106" s="1056"/>
      <c r="AKK106" s="1056"/>
      <c r="AKL106" s="1056"/>
      <c r="AKM106" s="1056"/>
      <c r="AKN106" s="1056"/>
      <c r="AKO106" s="1056"/>
      <c r="AKP106" s="1056"/>
      <c r="AKQ106" s="1056"/>
      <c r="AKR106" s="1056"/>
      <c r="AKS106" s="1056"/>
      <c r="AKT106" s="1056"/>
      <c r="AKU106" s="1056"/>
      <c r="AKV106" s="1056"/>
      <c r="AKW106" s="1056"/>
      <c r="AKX106" s="1056"/>
      <c r="AKY106" s="1056"/>
      <c r="AKZ106" s="1056"/>
      <c r="ALA106" s="1056"/>
      <c r="ALB106" s="1056"/>
      <c r="ALC106" s="1056"/>
      <c r="ALD106" s="1056"/>
      <c r="ALE106" s="1056"/>
      <c r="ALF106" s="1056"/>
      <c r="ALG106" s="1056"/>
      <c r="ALH106" s="1056"/>
      <c r="ALI106" s="1056"/>
      <c r="ALJ106" s="1056"/>
      <c r="ALK106" s="1056"/>
      <c r="ALL106" s="1056"/>
      <c r="ALM106" s="1056"/>
      <c r="ALN106" s="1056"/>
      <c r="ALO106" s="1056"/>
      <c r="ALP106" s="1056"/>
      <c r="ALQ106" s="1056"/>
      <c r="ALR106" s="1056"/>
      <c r="ALS106" s="1056"/>
      <c r="ALT106" s="1056"/>
      <c r="ALU106" s="1056"/>
      <c r="ALV106" s="1056"/>
      <c r="ALW106" s="1056"/>
      <c r="ALX106" s="1056"/>
      <c r="ALY106" s="1056"/>
      <c r="ALZ106" s="1056"/>
      <c r="AMA106" s="1056"/>
      <c r="AMB106" s="1056"/>
      <c r="AMC106" s="1056"/>
      <c r="AMD106" s="1056"/>
      <c r="AME106" s="1056"/>
      <c r="AMF106" s="1056"/>
      <c r="AMG106" s="1056"/>
      <c r="AMH106" s="1056"/>
      <c r="AMI106" s="1056"/>
      <c r="AMJ106" s="1056"/>
      <c r="AMK106" s="1056"/>
      <c r="AML106" s="1056"/>
      <c r="AMM106" s="1056"/>
      <c r="AMN106" s="1056"/>
      <c r="AMO106" s="1056"/>
      <c r="AMP106" s="1056"/>
      <c r="AMQ106" s="1056"/>
      <c r="AMR106" s="1056"/>
      <c r="AMS106" s="1056"/>
      <c r="AMT106" s="1056"/>
      <c r="AMU106" s="1056"/>
      <c r="AMV106" s="1056"/>
      <c r="AMW106" s="1056"/>
      <c r="AMX106" s="1056"/>
      <c r="AMY106" s="1056"/>
      <c r="AMZ106" s="1056"/>
      <c r="ANA106" s="1056"/>
      <c r="ANB106" s="1056"/>
      <c r="ANC106" s="1056"/>
      <c r="AND106" s="1056"/>
      <c r="ANE106" s="1056"/>
      <c r="ANF106" s="1056"/>
      <c r="ANG106" s="1056"/>
      <c r="ANH106" s="1056"/>
      <c r="ANI106" s="1056"/>
      <c r="ANJ106" s="1056"/>
      <c r="ANK106" s="1056"/>
      <c r="ANL106" s="1056"/>
      <c r="ANM106" s="1056"/>
      <c r="ANN106" s="1056"/>
      <c r="ANO106" s="1056"/>
      <c r="ANP106" s="1056"/>
      <c r="ANQ106" s="1056"/>
      <c r="ANR106" s="1056"/>
      <c r="ANS106" s="1056"/>
      <c r="ANT106" s="1056"/>
      <c r="ANU106" s="1056"/>
      <c r="ANV106" s="1056"/>
      <c r="ANW106" s="1056"/>
      <c r="ANX106" s="1056"/>
      <c r="ANY106" s="1056"/>
      <c r="ANZ106" s="1056"/>
      <c r="AOA106" s="1056"/>
      <c r="AOB106" s="1056"/>
      <c r="AOC106" s="1056"/>
      <c r="AOD106" s="1056"/>
      <c r="AOE106" s="1056"/>
      <c r="AOF106" s="1056"/>
      <c r="AOG106" s="1056"/>
      <c r="AOH106" s="1056"/>
      <c r="AOI106" s="1056"/>
      <c r="AOJ106" s="1056"/>
      <c r="AOK106" s="1056"/>
      <c r="AOL106" s="1056"/>
      <c r="AOM106" s="1056"/>
      <c r="AON106" s="1056"/>
      <c r="AOO106" s="1056"/>
      <c r="AOP106" s="1056"/>
      <c r="AOQ106" s="1056"/>
      <c r="AOR106" s="1056"/>
      <c r="AOS106" s="1056"/>
      <c r="AOT106" s="1056"/>
      <c r="AOU106" s="1056"/>
      <c r="AOV106" s="1056"/>
      <c r="AOW106" s="1056"/>
      <c r="AOX106" s="1056"/>
      <c r="AOY106" s="1056"/>
      <c r="AOZ106" s="1056"/>
      <c r="APA106" s="1056"/>
      <c r="APB106" s="1056"/>
      <c r="APC106" s="1056"/>
      <c r="APD106" s="1056"/>
      <c r="APE106" s="1056"/>
      <c r="APF106" s="1056"/>
      <c r="APG106" s="1056"/>
      <c r="APH106" s="1056"/>
      <c r="API106" s="1056"/>
      <c r="APJ106" s="1056"/>
      <c r="APK106" s="1056"/>
      <c r="APL106" s="1056"/>
      <c r="APM106" s="1056"/>
      <c r="APN106" s="1056"/>
      <c r="APO106" s="1056"/>
      <c r="APP106" s="1056"/>
      <c r="APQ106" s="1056"/>
      <c r="APR106" s="1056"/>
      <c r="APS106" s="1056"/>
      <c r="APT106" s="1056"/>
      <c r="APU106" s="1056"/>
      <c r="APV106" s="1056"/>
      <c r="APW106" s="1056"/>
      <c r="APX106" s="1056"/>
      <c r="APY106" s="1056"/>
      <c r="APZ106" s="1056"/>
      <c r="AQA106" s="1056"/>
      <c r="AQB106" s="1056"/>
      <c r="AQC106" s="1056"/>
      <c r="AQD106" s="1056"/>
      <c r="AQE106" s="1056"/>
      <c r="AQF106" s="1056"/>
      <c r="AQG106" s="1056"/>
      <c r="AQH106" s="1056"/>
      <c r="AQI106" s="1056"/>
      <c r="AQJ106" s="1056"/>
      <c r="AQK106" s="1056"/>
      <c r="AQL106" s="1056"/>
      <c r="AQM106" s="1056"/>
      <c r="AQN106" s="1056"/>
      <c r="AQO106" s="1056"/>
      <c r="AQP106" s="1056"/>
      <c r="AQQ106" s="1056"/>
      <c r="AQR106" s="1056"/>
      <c r="AQS106" s="1056"/>
      <c r="AQT106" s="1056"/>
      <c r="AQU106" s="1056"/>
      <c r="AQV106" s="1056"/>
      <c r="AQW106" s="1056"/>
      <c r="AQX106" s="1056"/>
      <c r="AQY106" s="1056"/>
      <c r="AQZ106" s="1056"/>
      <c r="ARA106" s="1056"/>
      <c r="ARB106" s="1056"/>
      <c r="ARC106" s="1056"/>
      <c r="ARD106" s="1056"/>
      <c r="ARE106" s="1056"/>
      <c r="ARF106" s="1056"/>
      <c r="ARG106" s="1056"/>
      <c r="ARH106" s="1056"/>
      <c r="ARI106" s="1056"/>
      <c r="ARJ106" s="1056"/>
      <c r="ARK106" s="1056"/>
      <c r="ARL106" s="1056"/>
      <c r="ARM106" s="1056"/>
      <c r="ARN106" s="1056"/>
      <c r="ARO106" s="1056"/>
      <c r="ARP106" s="1056"/>
      <c r="ARQ106" s="1056"/>
      <c r="ARR106" s="1056"/>
      <c r="ARS106" s="1056"/>
      <c r="ART106" s="1056"/>
      <c r="ARU106" s="1056"/>
      <c r="ARV106" s="1056"/>
      <c r="ARW106" s="1056"/>
      <c r="ARX106" s="1056"/>
      <c r="ARY106" s="1056"/>
      <c r="ARZ106" s="1056"/>
      <c r="ASA106" s="1056"/>
      <c r="ASB106" s="1056"/>
      <c r="ASC106" s="1056"/>
      <c r="ASD106" s="1056"/>
      <c r="ASE106" s="1056"/>
      <c r="ASF106" s="1056"/>
      <c r="ASG106" s="1056"/>
      <c r="ASH106" s="1056"/>
      <c r="ASI106" s="1056"/>
      <c r="ASJ106" s="1056"/>
      <c r="ASK106" s="1056"/>
      <c r="ASL106" s="1056"/>
      <c r="ASM106" s="1056"/>
      <c r="ASN106" s="1056"/>
      <c r="ASO106" s="1056"/>
      <c r="ASP106" s="1056"/>
      <c r="ASQ106" s="1056"/>
      <c r="ASR106" s="1056"/>
      <c r="ASS106" s="1056"/>
      <c r="AST106" s="1056"/>
      <c r="ASU106" s="1056"/>
      <c r="ASV106" s="1056"/>
      <c r="ASW106" s="1056"/>
      <c r="ASX106" s="1056"/>
      <c r="ASY106" s="1056"/>
      <c r="ASZ106" s="1056"/>
      <c r="ATA106" s="1056"/>
      <c r="ATB106" s="1056"/>
      <c r="ATC106" s="1056"/>
      <c r="ATD106" s="1056"/>
      <c r="ATE106" s="1056"/>
      <c r="ATF106" s="1056"/>
      <c r="ATG106" s="1056"/>
      <c r="ATH106" s="1056"/>
      <c r="ATI106" s="1056"/>
      <c r="ATJ106" s="1056"/>
      <c r="ATK106" s="1056"/>
      <c r="ATL106" s="1056"/>
      <c r="ATM106" s="1056"/>
      <c r="ATN106" s="1056"/>
      <c r="ATO106" s="1056"/>
      <c r="ATP106" s="1056"/>
      <c r="ATQ106" s="1056"/>
      <c r="ATR106" s="1056"/>
      <c r="ATS106" s="1056"/>
      <c r="ATT106" s="1056"/>
      <c r="ATU106" s="1056"/>
      <c r="ATV106" s="1056"/>
      <c r="ATW106" s="1056"/>
      <c r="ATX106" s="1056"/>
      <c r="ATY106" s="1056"/>
      <c r="ATZ106" s="1056"/>
      <c r="AUA106" s="1056"/>
      <c r="AUB106" s="1056"/>
      <c r="AUC106" s="1056"/>
      <c r="AUD106" s="1056"/>
      <c r="AUE106" s="1056"/>
      <c r="AUF106" s="1056"/>
      <c r="AUG106" s="1056"/>
      <c r="AUH106" s="1056"/>
      <c r="AUI106" s="1056"/>
      <c r="AUJ106" s="1056"/>
      <c r="AUK106" s="1056"/>
      <c r="AUL106" s="1056"/>
      <c r="AUM106" s="1056"/>
      <c r="AUN106" s="1056"/>
      <c r="AUO106" s="1056"/>
      <c r="AUP106" s="1056"/>
      <c r="AUQ106" s="1056"/>
      <c r="AUR106" s="1056"/>
      <c r="AUS106" s="1056"/>
      <c r="AUT106" s="1056"/>
      <c r="AUU106" s="1056"/>
      <c r="AUV106" s="1056"/>
      <c r="AUW106" s="1056"/>
      <c r="AUX106" s="1056"/>
      <c r="AUY106" s="1056"/>
      <c r="AUZ106" s="1056"/>
      <c r="AVA106" s="1056"/>
      <c r="AVB106" s="1056"/>
      <c r="AVC106" s="1056"/>
      <c r="AVD106" s="1056"/>
      <c r="AVE106" s="1056"/>
      <c r="AVF106" s="1056"/>
      <c r="AVG106" s="1056"/>
      <c r="AVH106" s="1056"/>
      <c r="AVI106" s="1056"/>
      <c r="AVJ106" s="1056"/>
      <c r="AVK106" s="1056"/>
      <c r="AVL106" s="1056"/>
      <c r="AVM106" s="1056"/>
      <c r="AVN106" s="1056"/>
      <c r="AVO106" s="1056"/>
      <c r="AVP106" s="1056"/>
      <c r="AVQ106" s="1056"/>
      <c r="AVR106" s="1056"/>
      <c r="AVS106" s="1056"/>
      <c r="AVT106" s="1056"/>
      <c r="AVU106" s="1056"/>
      <c r="AVV106" s="1056"/>
      <c r="AVW106" s="1056"/>
      <c r="AVX106" s="1056"/>
      <c r="AVY106" s="1056"/>
      <c r="AVZ106" s="1056"/>
      <c r="AWA106" s="1056"/>
      <c r="AWB106" s="1056"/>
      <c r="AWC106" s="1056"/>
      <c r="AWD106" s="1056"/>
      <c r="AWE106" s="1056"/>
      <c r="AWF106" s="1056"/>
      <c r="AWG106" s="1056"/>
      <c r="AWH106" s="1056"/>
      <c r="AWI106" s="1056"/>
      <c r="AWJ106" s="1056"/>
      <c r="AWK106" s="1056"/>
      <c r="AWL106" s="1056"/>
      <c r="AWM106" s="1056"/>
      <c r="AWN106" s="1056"/>
      <c r="AWO106" s="1056"/>
      <c r="AWP106" s="1056"/>
      <c r="AWQ106" s="1056"/>
      <c r="AWR106" s="1056"/>
      <c r="AWS106" s="1056"/>
      <c r="AWT106" s="1056"/>
      <c r="AWU106" s="1056"/>
      <c r="AWV106" s="1056"/>
      <c r="AWW106" s="1056"/>
      <c r="AWX106" s="1056"/>
      <c r="AWY106" s="1056"/>
      <c r="AWZ106" s="1056"/>
      <c r="AXA106" s="1056"/>
      <c r="AXB106" s="1056"/>
      <c r="AXC106" s="1056"/>
      <c r="AXD106" s="1056"/>
      <c r="AXE106" s="1056"/>
      <c r="AXF106" s="1056"/>
      <c r="AXG106" s="1056"/>
      <c r="AXH106" s="1056"/>
      <c r="AXI106" s="1056"/>
      <c r="AXJ106" s="1056"/>
      <c r="AXK106" s="1056"/>
      <c r="AXL106" s="1056"/>
      <c r="AXM106" s="1056"/>
      <c r="AXN106" s="1056"/>
      <c r="AXO106" s="1056"/>
      <c r="AXP106" s="1056"/>
      <c r="AXQ106" s="1056"/>
      <c r="AXR106" s="1056"/>
      <c r="AXS106" s="1056"/>
      <c r="AXT106" s="1056"/>
      <c r="AXU106" s="1056"/>
      <c r="AXV106" s="1056"/>
      <c r="AXW106" s="1056"/>
      <c r="AXX106" s="1056"/>
      <c r="AXY106" s="1056"/>
      <c r="AXZ106" s="1056"/>
      <c r="AYA106" s="1056"/>
      <c r="AYB106" s="1056"/>
      <c r="AYC106" s="1056"/>
      <c r="AYD106" s="1056"/>
      <c r="AYE106" s="1056"/>
      <c r="AYF106" s="1056"/>
      <c r="AYG106" s="1056"/>
      <c r="AYH106" s="1056"/>
      <c r="AYI106" s="1056"/>
      <c r="AYJ106" s="1056"/>
      <c r="AYK106" s="1056"/>
      <c r="AYL106" s="1056"/>
      <c r="AYM106" s="1056"/>
      <c r="AYN106" s="1056"/>
      <c r="AYO106" s="1056"/>
      <c r="AYP106" s="1056"/>
      <c r="AYQ106" s="1056"/>
      <c r="AYR106" s="1056"/>
      <c r="AYS106" s="1056"/>
      <c r="AYT106" s="1056"/>
      <c r="AYU106" s="1056"/>
      <c r="AYV106" s="1056"/>
      <c r="AYW106" s="1056"/>
      <c r="AYX106" s="1056"/>
      <c r="AYY106" s="1056"/>
      <c r="AYZ106" s="1056"/>
      <c r="AZA106" s="1056"/>
      <c r="AZB106" s="1056"/>
      <c r="AZC106" s="1056"/>
      <c r="AZD106" s="1056"/>
      <c r="AZE106" s="1056"/>
      <c r="AZF106" s="1056"/>
      <c r="AZG106" s="1056"/>
      <c r="AZH106" s="1056"/>
      <c r="AZI106" s="1056"/>
      <c r="AZJ106" s="1056"/>
      <c r="AZK106" s="1056"/>
      <c r="AZL106" s="1056"/>
      <c r="AZM106" s="1056"/>
      <c r="AZN106" s="1056"/>
      <c r="AZO106" s="1056"/>
      <c r="AZP106" s="1056"/>
      <c r="AZQ106" s="1056"/>
      <c r="AZR106" s="1056"/>
      <c r="AZS106" s="1056"/>
      <c r="AZT106" s="1056"/>
      <c r="AZU106" s="1056"/>
      <c r="AZV106" s="1056"/>
      <c r="AZW106" s="1056"/>
      <c r="AZX106" s="1056"/>
      <c r="AZY106" s="1056"/>
      <c r="AZZ106" s="1056"/>
      <c r="BAA106" s="1056"/>
      <c r="BAB106" s="1056"/>
      <c r="BAC106" s="1056"/>
      <c r="BAD106" s="1056"/>
      <c r="BAE106" s="1056"/>
      <c r="BAF106" s="1056"/>
      <c r="BAG106" s="1056"/>
      <c r="BAH106" s="1056"/>
      <c r="BAI106" s="1056"/>
      <c r="BAJ106" s="1056"/>
      <c r="BAK106" s="1056"/>
      <c r="BAL106" s="1056"/>
      <c r="BAM106" s="1056"/>
      <c r="BAN106" s="1056"/>
      <c r="BAO106" s="1056"/>
      <c r="BAP106" s="1056"/>
      <c r="BAQ106" s="1056"/>
      <c r="BAR106" s="1056"/>
      <c r="BAS106" s="1056"/>
      <c r="BAT106" s="1056"/>
      <c r="BAU106" s="1056"/>
      <c r="BAV106" s="1056"/>
      <c r="BAW106" s="1056"/>
      <c r="BAX106" s="1056"/>
      <c r="BAY106" s="1056"/>
      <c r="BAZ106" s="1056"/>
      <c r="BBA106" s="1056"/>
      <c r="BBB106" s="1056"/>
      <c r="BBC106" s="1056"/>
      <c r="BBD106" s="1056"/>
      <c r="BBE106" s="1056"/>
      <c r="BBF106" s="1056"/>
      <c r="BBG106" s="1056"/>
      <c r="BBH106" s="1056"/>
      <c r="BBI106" s="1056"/>
      <c r="BBJ106" s="1056"/>
      <c r="BBK106" s="1056"/>
      <c r="BBL106" s="1056"/>
      <c r="BBM106" s="1056"/>
      <c r="BBN106" s="1056"/>
      <c r="BBO106" s="1056"/>
      <c r="BBP106" s="1056"/>
      <c r="BBQ106" s="1056"/>
      <c r="BBR106" s="1056"/>
      <c r="BBS106" s="1056"/>
      <c r="BBT106" s="1056"/>
      <c r="BBU106" s="1056"/>
      <c r="BBV106" s="1056"/>
      <c r="BBW106" s="1056"/>
      <c r="BBX106" s="1056"/>
      <c r="BBY106" s="1056"/>
      <c r="BBZ106" s="1056"/>
      <c r="BCA106" s="1056"/>
      <c r="BCB106" s="1056"/>
      <c r="BCC106" s="1056"/>
      <c r="BCD106" s="1056"/>
      <c r="BCE106" s="1056"/>
      <c r="BCF106" s="1056"/>
      <c r="BCG106" s="1056"/>
      <c r="BCH106" s="1056"/>
      <c r="BCI106" s="1056"/>
      <c r="BCJ106" s="1056"/>
      <c r="BCK106" s="1056"/>
      <c r="BCL106" s="1056"/>
      <c r="BCM106" s="1056"/>
      <c r="BCN106" s="1056"/>
      <c r="BCO106" s="1056"/>
      <c r="BCP106" s="1056"/>
      <c r="BCQ106" s="1056"/>
      <c r="BCR106" s="1056"/>
      <c r="BCS106" s="1056"/>
      <c r="BCT106" s="1056"/>
      <c r="BCU106" s="1056"/>
      <c r="BCV106" s="1056"/>
      <c r="BCW106" s="1056"/>
      <c r="BCX106" s="1056"/>
      <c r="BCY106" s="1056"/>
      <c r="BCZ106" s="1056"/>
      <c r="BDA106" s="1056"/>
      <c r="BDB106" s="1056"/>
      <c r="BDC106" s="1056"/>
      <c r="BDD106" s="1056"/>
      <c r="BDE106" s="1056"/>
      <c r="BDF106" s="1056"/>
      <c r="BDG106" s="1056"/>
      <c r="BDH106" s="1056"/>
      <c r="BDI106" s="1056"/>
      <c r="BDJ106" s="1056"/>
      <c r="BDK106" s="1056"/>
      <c r="BDL106" s="1056"/>
      <c r="BDM106" s="1056"/>
      <c r="BDN106" s="1056"/>
      <c r="BDO106" s="1056"/>
      <c r="BDP106" s="1056"/>
      <c r="BDQ106" s="1056"/>
      <c r="BDR106" s="1056"/>
      <c r="BDS106" s="1056"/>
      <c r="BDT106" s="1056"/>
      <c r="BDU106" s="1056"/>
      <c r="BDV106" s="1056"/>
      <c r="BDW106" s="1056"/>
      <c r="BDX106" s="1056"/>
      <c r="BDY106" s="1056"/>
      <c r="BDZ106" s="1056"/>
      <c r="BEA106" s="1056"/>
      <c r="BEB106" s="1056"/>
      <c r="BEC106" s="1056"/>
      <c r="BED106" s="1056"/>
      <c r="BEE106" s="1056"/>
      <c r="BEF106" s="1056"/>
      <c r="BEG106" s="1056"/>
      <c r="BEH106" s="1056"/>
      <c r="BEI106" s="1056"/>
      <c r="BEJ106" s="1056"/>
      <c r="BEK106" s="1056"/>
      <c r="BEL106" s="1056"/>
      <c r="BEM106" s="1056"/>
      <c r="BEN106" s="1056"/>
      <c r="BEO106" s="1056"/>
      <c r="BEP106" s="1056"/>
      <c r="BEQ106" s="1056"/>
      <c r="BER106" s="1056"/>
      <c r="BES106" s="1056"/>
      <c r="BET106" s="1056"/>
      <c r="BEU106" s="1056"/>
      <c r="BEV106" s="1056"/>
      <c r="BEW106" s="1056"/>
      <c r="BEX106" s="1056"/>
      <c r="BEY106" s="1056"/>
      <c r="BEZ106" s="1056"/>
      <c r="BFA106" s="1056"/>
      <c r="BFB106" s="1056"/>
      <c r="BFC106" s="1056"/>
      <c r="BFD106" s="1056"/>
      <c r="BFE106" s="1056"/>
      <c r="BFF106" s="1056"/>
      <c r="BFG106" s="1056"/>
      <c r="BFH106" s="1056"/>
      <c r="BFI106" s="1056"/>
      <c r="BFJ106" s="1056"/>
      <c r="BFK106" s="1056"/>
      <c r="BFL106" s="1056"/>
      <c r="BFM106" s="1056"/>
      <c r="BFN106" s="1056"/>
      <c r="BFO106" s="1056"/>
      <c r="BFP106" s="1056"/>
      <c r="BFQ106" s="1056"/>
      <c r="BFR106" s="1056"/>
      <c r="BFS106" s="1056"/>
      <c r="BFT106" s="1056"/>
      <c r="BFU106" s="1056"/>
      <c r="BFV106" s="1056"/>
      <c r="BFW106" s="1056"/>
      <c r="BFX106" s="1056"/>
      <c r="BFY106" s="1056"/>
      <c r="BFZ106" s="1056"/>
      <c r="BGA106" s="1056"/>
      <c r="BGB106" s="1056"/>
      <c r="BGC106" s="1056"/>
      <c r="BGD106" s="1056"/>
      <c r="BGE106" s="1056"/>
      <c r="BGF106" s="1056"/>
      <c r="BGG106" s="1056"/>
      <c r="BGH106" s="1056"/>
      <c r="BGI106" s="1056"/>
      <c r="BGJ106" s="1056"/>
      <c r="BGK106" s="1056"/>
      <c r="BGL106" s="1056"/>
      <c r="BGM106" s="1056"/>
      <c r="BGN106" s="1056"/>
      <c r="BGO106" s="1056"/>
      <c r="BGP106" s="1056"/>
      <c r="BGQ106" s="1056"/>
      <c r="BGR106" s="1056"/>
      <c r="BGS106" s="1056"/>
      <c r="BGT106" s="1056"/>
      <c r="BGU106" s="1056"/>
      <c r="BGV106" s="1056"/>
      <c r="BGW106" s="1056"/>
      <c r="BGX106" s="1056"/>
      <c r="BGY106" s="1056"/>
      <c r="BGZ106" s="1056"/>
      <c r="BHA106" s="1056"/>
      <c r="BHB106" s="1056"/>
      <c r="BHC106" s="1056"/>
      <c r="BHD106" s="1056"/>
      <c r="BHE106" s="1056"/>
      <c r="BHF106" s="1056"/>
      <c r="BHG106" s="1056"/>
      <c r="BHH106" s="1056"/>
      <c r="BHI106" s="1056"/>
      <c r="BHJ106" s="1056"/>
      <c r="BHK106" s="1056"/>
      <c r="BHL106" s="1056"/>
      <c r="BHM106" s="1056"/>
      <c r="BHN106" s="1056"/>
      <c r="BHO106" s="1056"/>
      <c r="BHP106" s="1056"/>
      <c r="BHQ106" s="1056"/>
      <c r="BHR106" s="1056"/>
      <c r="BHS106" s="1056"/>
      <c r="BHT106" s="1056"/>
      <c r="BHU106" s="1056"/>
      <c r="BHV106" s="1056"/>
      <c r="BHW106" s="1056"/>
      <c r="BHX106" s="1056"/>
      <c r="BHY106" s="1056"/>
      <c r="BHZ106" s="1056"/>
      <c r="BIA106" s="1056"/>
      <c r="BIB106" s="1056"/>
      <c r="BIC106" s="1056"/>
      <c r="BID106" s="1056"/>
      <c r="BIE106" s="1056"/>
      <c r="BIF106" s="1056"/>
      <c r="BIG106" s="1056"/>
      <c r="BIH106" s="1056"/>
      <c r="BII106" s="1056"/>
      <c r="BIJ106" s="1056"/>
      <c r="BIK106" s="1056"/>
      <c r="BIL106" s="1056"/>
      <c r="BIM106" s="1056"/>
      <c r="BIN106" s="1056"/>
      <c r="BIO106" s="1056"/>
      <c r="BIP106" s="1056"/>
      <c r="BIQ106" s="1056"/>
      <c r="BIR106" s="1056"/>
      <c r="BIS106" s="1056"/>
      <c r="BIT106" s="1056"/>
      <c r="BIU106" s="1056"/>
      <c r="BIV106" s="1056"/>
      <c r="BIW106" s="1056"/>
      <c r="BIX106" s="1056"/>
      <c r="BIY106" s="1056"/>
      <c r="BIZ106" s="1056"/>
      <c r="BJA106" s="1056"/>
      <c r="BJB106" s="1056"/>
      <c r="BJC106" s="1056"/>
      <c r="BJD106" s="1056"/>
      <c r="BJE106" s="1056"/>
      <c r="BJF106" s="1056"/>
      <c r="BJG106" s="1056"/>
      <c r="BJH106" s="1056"/>
      <c r="BJI106" s="1056"/>
      <c r="BJJ106" s="1056"/>
      <c r="BJK106" s="1056"/>
      <c r="BJL106" s="1056"/>
      <c r="BJM106" s="1056"/>
      <c r="BJN106" s="1056"/>
      <c r="BJO106" s="1056"/>
      <c r="BJP106" s="1056"/>
      <c r="BJQ106" s="1056"/>
      <c r="BJR106" s="1056"/>
      <c r="BJS106" s="1056"/>
      <c r="BJT106" s="1056"/>
      <c r="BJU106" s="1056"/>
      <c r="BJV106" s="1056"/>
      <c r="BJW106" s="1056"/>
      <c r="BJX106" s="1056"/>
      <c r="BJY106" s="1056"/>
      <c r="BJZ106" s="1056"/>
      <c r="BKA106" s="1056"/>
      <c r="BKB106" s="1056"/>
      <c r="BKC106" s="1056"/>
      <c r="BKD106" s="1056"/>
      <c r="BKE106" s="1056"/>
      <c r="BKF106" s="1056"/>
      <c r="BKG106" s="1056"/>
      <c r="BKH106" s="1056"/>
      <c r="BKI106" s="1056"/>
      <c r="BKJ106" s="1056"/>
      <c r="BKK106" s="1056"/>
      <c r="BKL106" s="1056"/>
      <c r="BKM106" s="1056"/>
      <c r="BKN106" s="1056"/>
      <c r="BKO106" s="1056"/>
      <c r="BKP106" s="1056"/>
      <c r="BKQ106" s="1056"/>
      <c r="BKR106" s="1056"/>
      <c r="BKS106" s="1056"/>
      <c r="BKT106" s="1056"/>
      <c r="BKU106" s="1056"/>
      <c r="BKV106" s="1056"/>
      <c r="BKW106" s="1056"/>
      <c r="BKX106" s="1056"/>
      <c r="BKY106" s="1056"/>
      <c r="BKZ106" s="1056"/>
      <c r="BLA106" s="1056"/>
      <c r="BLB106" s="1056"/>
      <c r="BLC106" s="1056"/>
      <c r="BLD106" s="1056"/>
      <c r="BLE106" s="1056"/>
      <c r="BLF106" s="1056"/>
      <c r="BLG106" s="1056"/>
      <c r="BLH106" s="1056"/>
      <c r="BLI106" s="1056"/>
      <c r="BLJ106" s="1056"/>
      <c r="BLK106" s="1056"/>
      <c r="BLL106" s="1056"/>
      <c r="BLM106" s="1056"/>
      <c r="BLN106" s="1056"/>
      <c r="BLO106" s="1056"/>
      <c r="BLP106" s="1056"/>
      <c r="BLQ106" s="1056"/>
      <c r="BLR106" s="1056"/>
      <c r="BLS106" s="1056"/>
      <c r="BLT106" s="1056"/>
      <c r="BLU106" s="1056"/>
      <c r="BLV106" s="1056"/>
      <c r="BLW106" s="1056"/>
      <c r="BLX106" s="1056"/>
      <c r="BLY106" s="1056"/>
      <c r="BLZ106" s="1056"/>
      <c r="BMA106" s="1056"/>
      <c r="BMB106" s="1056"/>
      <c r="BMC106" s="1056"/>
      <c r="BMD106" s="1056"/>
      <c r="BME106" s="1056"/>
      <c r="BMF106" s="1056"/>
      <c r="BMG106" s="1056"/>
      <c r="BMH106" s="1056"/>
      <c r="BMI106" s="1056"/>
      <c r="BMJ106" s="1056"/>
      <c r="BMK106" s="1056"/>
      <c r="BML106" s="1056"/>
      <c r="BMM106" s="1056"/>
      <c r="BMN106" s="1056"/>
      <c r="BMO106" s="1056"/>
      <c r="BMP106" s="1056"/>
      <c r="BMQ106" s="1056"/>
      <c r="BMR106" s="1056"/>
      <c r="BMS106" s="1056"/>
      <c r="BMT106" s="1056"/>
      <c r="BMU106" s="1056"/>
      <c r="BMV106" s="1056"/>
      <c r="BMW106" s="1056"/>
      <c r="BMX106" s="1056"/>
      <c r="BMY106" s="1056"/>
      <c r="BMZ106" s="1056"/>
      <c r="BNA106" s="1056"/>
      <c r="BNB106" s="1056"/>
      <c r="BNC106" s="1056"/>
      <c r="BND106" s="1056"/>
      <c r="BNE106" s="1056"/>
      <c r="BNF106" s="1056"/>
      <c r="BNG106" s="1056"/>
      <c r="BNH106" s="1056"/>
      <c r="BNI106" s="1056"/>
      <c r="BNJ106" s="1056"/>
      <c r="BNK106" s="1056"/>
      <c r="BNL106" s="1056"/>
      <c r="BNM106" s="1056"/>
      <c r="BNN106" s="1056"/>
      <c r="BNO106" s="1056"/>
      <c r="BNP106" s="1056"/>
      <c r="BNQ106" s="1056"/>
      <c r="BNR106" s="1056"/>
      <c r="BNS106" s="1056"/>
      <c r="BNT106" s="1056"/>
      <c r="BNU106" s="1056"/>
      <c r="BNV106" s="1056"/>
      <c r="BNW106" s="1056"/>
      <c r="BNX106" s="1056"/>
      <c r="BNY106" s="1056"/>
      <c r="BNZ106" s="1056"/>
      <c r="BOA106" s="1056"/>
      <c r="BOB106" s="1056"/>
      <c r="BOC106" s="1056"/>
      <c r="BOD106" s="1056"/>
      <c r="BOE106" s="1056"/>
      <c r="BOF106" s="1056"/>
      <c r="BOG106" s="1056"/>
      <c r="BOH106" s="1056"/>
      <c r="BOI106" s="1056"/>
      <c r="BOJ106" s="1056"/>
      <c r="BOK106" s="1056"/>
      <c r="BOL106" s="1056"/>
      <c r="BOM106" s="1056"/>
      <c r="BON106" s="1056"/>
      <c r="BOO106" s="1056"/>
      <c r="BOP106" s="1056"/>
      <c r="BOQ106" s="1056"/>
      <c r="BOR106" s="1056"/>
      <c r="BOS106" s="1056"/>
      <c r="BOT106" s="1056"/>
      <c r="BOU106" s="1056"/>
      <c r="BOV106" s="1056"/>
      <c r="BOW106" s="1056"/>
      <c r="BOX106" s="1056"/>
      <c r="BOY106" s="1056"/>
      <c r="BOZ106" s="1056"/>
      <c r="BPA106" s="1056"/>
      <c r="BPB106" s="1056"/>
      <c r="BPC106" s="1056"/>
      <c r="BPD106" s="1056"/>
      <c r="BPE106" s="1056"/>
      <c r="BPF106" s="1056"/>
      <c r="BPG106" s="1056"/>
      <c r="BPH106" s="1056"/>
      <c r="BPI106" s="1056"/>
      <c r="BPJ106" s="1056"/>
      <c r="BPK106" s="1056"/>
      <c r="BPL106" s="1056"/>
      <c r="BPM106" s="1056"/>
      <c r="BPN106" s="1056"/>
      <c r="BPO106" s="1056"/>
      <c r="BPP106" s="1056"/>
      <c r="BPQ106" s="1056"/>
      <c r="BPR106" s="1056"/>
      <c r="BPS106" s="1056"/>
      <c r="BPT106" s="1056"/>
      <c r="BPU106" s="1056"/>
      <c r="BPV106" s="1056"/>
      <c r="BPW106" s="1056"/>
      <c r="BPX106" s="1056"/>
      <c r="BPY106" s="1056"/>
      <c r="BPZ106" s="1056"/>
      <c r="BQA106" s="1056"/>
      <c r="BQB106" s="1056"/>
      <c r="BQC106" s="1056"/>
      <c r="BQD106" s="1056"/>
      <c r="BQE106" s="1056"/>
      <c r="BQF106" s="1056"/>
      <c r="BQG106" s="1056"/>
      <c r="BQH106" s="1056"/>
      <c r="BQI106" s="1056"/>
      <c r="BQJ106" s="1056"/>
      <c r="BQK106" s="1056"/>
      <c r="BQL106" s="1056"/>
      <c r="BQM106" s="1056"/>
      <c r="BQN106" s="1056"/>
      <c r="BQO106" s="1056"/>
      <c r="BQP106" s="1056"/>
      <c r="BQQ106" s="1056"/>
      <c r="BQR106" s="1056"/>
      <c r="BQS106" s="1056"/>
      <c r="BQT106" s="1056"/>
      <c r="BQU106" s="1056"/>
      <c r="BQV106" s="1056"/>
      <c r="BQW106" s="1056"/>
      <c r="BQX106" s="1056"/>
      <c r="BQY106" s="1056"/>
      <c r="BQZ106" s="1056"/>
      <c r="BRA106" s="1056"/>
      <c r="BRB106" s="1056"/>
      <c r="BRC106" s="1056"/>
      <c r="BRD106" s="1056"/>
      <c r="BRE106" s="1056"/>
      <c r="BRF106" s="1056"/>
      <c r="BRG106" s="1056"/>
      <c r="BRH106" s="1056"/>
      <c r="BRI106" s="1056"/>
      <c r="BRJ106" s="1056"/>
      <c r="BRK106" s="1056"/>
      <c r="BRL106" s="1056"/>
      <c r="BRM106" s="1056"/>
      <c r="BRN106" s="1056"/>
      <c r="BRO106" s="1056"/>
      <c r="BRP106" s="1056"/>
      <c r="BRQ106" s="1056"/>
      <c r="BRR106" s="1056"/>
      <c r="BRS106" s="1056"/>
      <c r="BRT106" s="1056"/>
      <c r="BRU106" s="1056"/>
      <c r="BRV106" s="1056"/>
      <c r="BRW106" s="1056"/>
      <c r="BRX106" s="1056"/>
      <c r="BRY106" s="1056"/>
      <c r="BRZ106" s="1056"/>
      <c r="BSA106" s="1056"/>
      <c r="BSB106" s="1056"/>
      <c r="BSC106" s="1056"/>
      <c r="BSD106" s="1056"/>
      <c r="BSE106" s="1056"/>
      <c r="BSF106" s="1056"/>
      <c r="BSG106" s="1056"/>
      <c r="BSH106" s="1056"/>
      <c r="BSI106" s="1056"/>
      <c r="BSJ106" s="1056"/>
      <c r="BSK106" s="1056"/>
      <c r="BSL106" s="1056"/>
      <c r="BSM106" s="1056"/>
      <c r="BSN106" s="1056"/>
      <c r="BSO106" s="1056"/>
      <c r="BSP106" s="1056"/>
      <c r="BSQ106" s="1056"/>
      <c r="BSR106" s="1056"/>
      <c r="BSS106" s="1056"/>
      <c r="BST106" s="1056"/>
      <c r="BSU106" s="1056"/>
      <c r="BSV106" s="1056"/>
      <c r="BSW106" s="1056"/>
      <c r="BSX106" s="1056"/>
      <c r="BSY106" s="1056"/>
      <c r="BSZ106" s="1056"/>
      <c r="BTA106" s="1056"/>
      <c r="BTB106" s="1056"/>
      <c r="BTC106" s="1056"/>
      <c r="BTD106" s="1056"/>
      <c r="BTE106" s="1056"/>
      <c r="BTF106" s="1056"/>
      <c r="BTG106" s="1056"/>
      <c r="BTH106" s="1056"/>
      <c r="BTI106" s="1056"/>
    </row>
    <row r="107" spans="1:1881" s="1060" customFormat="1" ht="129.75" hidden="1" customHeight="1" thickBot="1" x14ac:dyDescent="0.35">
      <c r="A107" s="1071">
        <v>571</v>
      </c>
      <c r="B107" s="1069" t="s">
        <v>345</v>
      </c>
      <c r="C107" s="1074" t="s">
        <v>1055</v>
      </c>
      <c r="D107" s="1074" t="s">
        <v>1056</v>
      </c>
      <c r="E107" s="1053" t="e">
        <f>HLOOKUP($D$2,'2020 Data(H)'!$C$1:$AI$426,221,FALSE)</f>
        <v>#N/A</v>
      </c>
      <c r="F107" s="287">
        <v>0</v>
      </c>
      <c r="G107" s="722"/>
      <c r="H107" s="764"/>
      <c r="I107" s="1055"/>
      <c r="J107" s="1068"/>
      <c r="K107" s="1056"/>
      <c r="L107" s="1057"/>
      <c r="M107" s="1056"/>
      <c r="N107" s="1058"/>
      <c r="O107" s="1056"/>
      <c r="P107" s="1056"/>
      <c r="Q107" s="1056"/>
      <c r="R107" s="1056"/>
      <c r="S107" s="1056"/>
      <c r="T107" s="1056"/>
      <c r="U107" s="1056"/>
      <c r="V107" s="1056"/>
      <c r="W107" s="1056"/>
      <c r="X107" s="1056"/>
      <c r="Y107" s="1056"/>
      <c r="Z107" s="1073"/>
      <c r="AA107" s="1073"/>
      <c r="AB107" s="1073"/>
      <c r="AC107" s="1073"/>
      <c r="AD107" s="1073"/>
      <c r="AE107" s="1073"/>
      <c r="AF107" s="1073"/>
      <c r="AG107" s="1073"/>
      <c r="AH107" s="1073"/>
      <c r="AI107" s="1073"/>
      <c r="AJ107" s="1073"/>
      <c r="AK107" s="1073"/>
      <c r="AL107" s="1073"/>
      <c r="AM107" s="1073"/>
      <c r="AN107" s="1073"/>
      <c r="AO107" s="1073"/>
      <c r="AP107" s="1073"/>
      <c r="AQ107" s="1073"/>
      <c r="AR107" s="1073"/>
      <c r="AS107" s="1056"/>
      <c r="AT107" s="1056"/>
      <c r="AU107" s="1056"/>
      <c r="AV107" s="1056"/>
      <c r="AW107" s="1056"/>
      <c r="AX107" s="1056"/>
      <c r="AY107" s="1056"/>
      <c r="AZ107" s="1056"/>
      <c r="BA107" s="1056"/>
      <c r="BB107" s="1056"/>
      <c r="BC107" s="1056"/>
      <c r="BD107" s="1056"/>
      <c r="BE107" s="1056"/>
      <c r="BF107" s="1056"/>
      <c r="BG107" s="1056"/>
      <c r="BH107" s="1056"/>
      <c r="BI107" s="1056"/>
      <c r="BJ107" s="1056"/>
      <c r="BK107" s="1056"/>
      <c r="BL107" s="1056"/>
      <c r="BM107" s="1056"/>
      <c r="BN107" s="1056"/>
      <c r="BO107" s="1056"/>
      <c r="BP107" s="1056"/>
      <c r="BQ107" s="1056"/>
      <c r="BR107" s="1056"/>
      <c r="BS107" s="1056"/>
      <c r="BT107" s="1056"/>
      <c r="BU107" s="1056"/>
      <c r="BV107" s="1056"/>
      <c r="BW107" s="1056"/>
      <c r="BX107" s="1056"/>
      <c r="BY107" s="1056"/>
      <c r="BZ107" s="1056"/>
      <c r="CA107" s="1056"/>
      <c r="CB107" s="1056"/>
      <c r="CC107" s="1056"/>
      <c r="CD107" s="1056"/>
      <c r="CE107" s="1056"/>
      <c r="CF107" s="1056"/>
      <c r="CG107" s="1056"/>
      <c r="CH107" s="1056"/>
      <c r="CI107" s="1056"/>
      <c r="CJ107" s="1056"/>
      <c r="CK107" s="1056"/>
      <c r="CL107" s="1056"/>
      <c r="CM107" s="1056"/>
      <c r="CN107" s="1056"/>
      <c r="CO107" s="1056"/>
      <c r="CP107" s="1056"/>
      <c r="CQ107" s="1056"/>
      <c r="CR107" s="1056"/>
      <c r="CS107" s="1056"/>
      <c r="CT107" s="1056"/>
      <c r="CU107" s="1056"/>
      <c r="CV107" s="1056"/>
      <c r="CW107" s="1056"/>
      <c r="CX107" s="1056"/>
      <c r="CY107" s="1056"/>
      <c r="CZ107" s="1056"/>
      <c r="DA107" s="1056"/>
      <c r="DB107" s="1056"/>
      <c r="DC107" s="1056"/>
      <c r="DD107" s="1056"/>
      <c r="DE107" s="1056"/>
      <c r="DF107" s="1056"/>
      <c r="DG107" s="1056"/>
      <c r="DH107" s="1056"/>
      <c r="DI107" s="1056"/>
      <c r="DJ107" s="1056"/>
      <c r="DK107" s="1056"/>
      <c r="DL107" s="1056"/>
      <c r="DM107" s="1056"/>
      <c r="DN107" s="1056"/>
      <c r="DO107" s="1056"/>
      <c r="DP107" s="1056"/>
      <c r="DQ107" s="1056"/>
      <c r="DR107" s="1056"/>
      <c r="DS107" s="1056"/>
      <c r="DT107" s="1056"/>
      <c r="DU107" s="1056"/>
      <c r="DV107" s="1056"/>
      <c r="DW107" s="1056"/>
      <c r="DX107" s="1056"/>
      <c r="DY107" s="1056"/>
      <c r="DZ107" s="1056"/>
      <c r="EA107" s="1056"/>
      <c r="EB107" s="1056"/>
      <c r="EC107" s="1056"/>
      <c r="ED107" s="1056"/>
      <c r="EE107" s="1056"/>
      <c r="EF107" s="1056"/>
      <c r="EG107" s="1056"/>
      <c r="EH107" s="1056"/>
      <c r="EI107" s="1056"/>
      <c r="EJ107" s="1056"/>
      <c r="EK107" s="1056"/>
      <c r="EL107" s="1056"/>
      <c r="EM107" s="1056"/>
      <c r="EN107" s="1056"/>
      <c r="EO107" s="1056"/>
      <c r="EP107" s="1056"/>
      <c r="EQ107" s="1056"/>
      <c r="ER107" s="1056"/>
      <c r="ES107" s="1056"/>
      <c r="ET107" s="1056"/>
      <c r="EU107" s="1056"/>
      <c r="EV107" s="1056"/>
      <c r="EW107" s="1056"/>
      <c r="EX107" s="1056"/>
      <c r="EY107" s="1056"/>
      <c r="EZ107" s="1056"/>
      <c r="FA107" s="1056"/>
      <c r="FB107" s="1056"/>
      <c r="FC107" s="1056"/>
      <c r="FD107" s="1056"/>
      <c r="FE107" s="1056"/>
      <c r="FF107" s="1056"/>
      <c r="FG107" s="1056"/>
      <c r="FH107" s="1056"/>
      <c r="FI107" s="1056"/>
      <c r="FJ107" s="1056"/>
      <c r="FK107" s="1056"/>
      <c r="FL107" s="1056"/>
      <c r="FM107" s="1056"/>
      <c r="FN107" s="1056"/>
      <c r="FO107" s="1056"/>
      <c r="FP107" s="1056"/>
      <c r="FQ107" s="1056"/>
      <c r="FR107" s="1056"/>
      <c r="FS107" s="1056"/>
      <c r="FT107" s="1056"/>
      <c r="FU107" s="1056"/>
      <c r="FV107" s="1056"/>
      <c r="FW107" s="1056"/>
      <c r="FX107" s="1056"/>
      <c r="FY107" s="1056"/>
      <c r="FZ107" s="1056"/>
      <c r="GA107" s="1056"/>
      <c r="GB107" s="1056"/>
      <c r="GC107" s="1056"/>
      <c r="GD107" s="1056"/>
      <c r="GE107" s="1056"/>
      <c r="GF107" s="1056"/>
      <c r="GG107" s="1056"/>
      <c r="GH107" s="1056"/>
      <c r="GI107" s="1056"/>
      <c r="GJ107" s="1056"/>
      <c r="GK107" s="1056"/>
      <c r="GL107" s="1056"/>
      <c r="GM107" s="1056"/>
      <c r="GN107" s="1056"/>
      <c r="GO107" s="1056"/>
      <c r="GP107" s="1056"/>
      <c r="GQ107" s="1056"/>
      <c r="GR107" s="1056"/>
      <c r="GS107" s="1056"/>
      <c r="GT107" s="1056"/>
      <c r="GU107" s="1056"/>
      <c r="GV107" s="1056"/>
      <c r="GW107" s="1056"/>
      <c r="GX107" s="1056"/>
      <c r="GY107" s="1056"/>
      <c r="GZ107" s="1056"/>
      <c r="HA107" s="1056"/>
      <c r="HB107" s="1056"/>
      <c r="HC107" s="1056"/>
      <c r="HD107" s="1056"/>
      <c r="HE107" s="1056"/>
      <c r="HF107" s="1056"/>
      <c r="HG107" s="1056"/>
      <c r="HH107" s="1056"/>
      <c r="HI107" s="1056"/>
      <c r="HJ107" s="1056"/>
      <c r="HK107" s="1056"/>
      <c r="HL107" s="1056"/>
      <c r="HM107" s="1056"/>
      <c r="HN107" s="1056"/>
      <c r="HO107" s="1056"/>
      <c r="HP107" s="1056"/>
      <c r="HQ107" s="1056"/>
      <c r="HR107" s="1056"/>
      <c r="HS107" s="1056"/>
      <c r="HT107" s="1056"/>
      <c r="HU107" s="1056"/>
      <c r="HV107" s="1056"/>
      <c r="HW107" s="1056"/>
      <c r="HX107" s="1056"/>
      <c r="HY107" s="1056"/>
      <c r="HZ107" s="1056"/>
      <c r="IA107" s="1056"/>
      <c r="IB107" s="1056"/>
      <c r="IC107" s="1056"/>
      <c r="ID107" s="1056"/>
      <c r="IE107" s="1056"/>
      <c r="IF107" s="1056"/>
      <c r="IG107" s="1056"/>
      <c r="IH107" s="1056"/>
      <c r="II107" s="1056"/>
      <c r="IJ107" s="1056"/>
      <c r="IK107" s="1056"/>
      <c r="IL107" s="1056"/>
      <c r="IM107" s="1056"/>
      <c r="IN107" s="1056"/>
      <c r="IO107" s="1056"/>
      <c r="IP107" s="1056"/>
      <c r="IQ107" s="1056"/>
      <c r="IR107" s="1056"/>
      <c r="IS107" s="1056"/>
      <c r="IT107" s="1056"/>
      <c r="IU107" s="1056"/>
      <c r="IV107" s="1056"/>
      <c r="IW107" s="1056"/>
      <c r="IX107" s="1056"/>
      <c r="IY107" s="1056"/>
      <c r="IZ107" s="1056"/>
      <c r="JA107" s="1056"/>
      <c r="JB107" s="1056"/>
      <c r="JC107" s="1056"/>
      <c r="JD107" s="1056"/>
      <c r="JE107" s="1056"/>
      <c r="JF107" s="1056"/>
      <c r="JG107" s="1056"/>
      <c r="JH107" s="1056"/>
      <c r="JI107" s="1056"/>
      <c r="JJ107" s="1056"/>
      <c r="JK107" s="1056"/>
      <c r="JL107" s="1056"/>
      <c r="JM107" s="1056"/>
      <c r="JN107" s="1056"/>
      <c r="JO107" s="1056"/>
      <c r="JP107" s="1056"/>
      <c r="JQ107" s="1056"/>
      <c r="JR107" s="1056"/>
      <c r="JS107" s="1056"/>
      <c r="JT107" s="1056"/>
      <c r="JU107" s="1056"/>
      <c r="JV107" s="1056"/>
      <c r="JW107" s="1056"/>
      <c r="JX107" s="1056"/>
      <c r="JY107" s="1056"/>
      <c r="JZ107" s="1056"/>
      <c r="KA107" s="1056"/>
      <c r="KB107" s="1056"/>
      <c r="KC107" s="1056"/>
      <c r="KD107" s="1056"/>
      <c r="KE107" s="1056"/>
      <c r="KF107" s="1056"/>
      <c r="KG107" s="1056"/>
      <c r="KH107" s="1056"/>
      <c r="KI107" s="1056"/>
      <c r="KJ107" s="1056"/>
      <c r="KK107" s="1056"/>
      <c r="KL107" s="1056"/>
      <c r="KM107" s="1056"/>
      <c r="KN107" s="1056"/>
      <c r="KO107" s="1056"/>
      <c r="KP107" s="1056"/>
      <c r="KQ107" s="1056"/>
      <c r="KR107" s="1056"/>
      <c r="KS107" s="1056"/>
      <c r="KT107" s="1056"/>
      <c r="KU107" s="1056"/>
      <c r="KV107" s="1056"/>
      <c r="KW107" s="1056"/>
      <c r="KX107" s="1056"/>
      <c r="KY107" s="1056"/>
      <c r="KZ107" s="1056"/>
      <c r="LA107" s="1056"/>
      <c r="LB107" s="1056"/>
      <c r="LC107" s="1056"/>
      <c r="LD107" s="1056"/>
      <c r="LE107" s="1056"/>
      <c r="LF107" s="1056"/>
      <c r="LG107" s="1056"/>
      <c r="LH107" s="1056"/>
      <c r="LI107" s="1056"/>
      <c r="LJ107" s="1056"/>
      <c r="LK107" s="1056"/>
      <c r="LL107" s="1056"/>
      <c r="LM107" s="1056"/>
      <c r="LN107" s="1056"/>
      <c r="LO107" s="1056"/>
      <c r="LP107" s="1056"/>
      <c r="LQ107" s="1056"/>
      <c r="LR107" s="1056"/>
      <c r="LS107" s="1056"/>
      <c r="LT107" s="1056"/>
      <c r="LU107" s="1056"/>
      <c r="LV107" s="1056"/>
      <c r="LW107" s="1056"/>
      <c r="LX107" s="1056"/>
      <c r="LY107" s="1056"/>
      <c r="LZ107" s="1056"/>
      <c r="MA107" s="1056"/>
      <c r="MB107" s="1056"/>
      <c r="MC107" s="1056"/>
      <c r="MD107" s="1056"/>
      <c r="ME107" s="1056"/>
      <c r="MF107" s="1056"/>
      <c r="MG107" s="1056"/>
      <c r="MH107" s="1056"/>
      <c r="MI107" s="1056"/>
      <c r="MJ107" s="1056"/>
      <c r="MK107" s="1056"/>
      <c r="ML107" s="1056"/>
      <c r="MM107" s="1056"/>
      <c r="MN107" s="1056"/>
      <c r="MO107" s="1056"/>
      <c r="MP107" s="1056"/>
      <c r="MQ107" s="1056"/>
      <c r="MR107" s="1056"/>
      <c r="MS107" s="1056"/>
      <c r="MT107" s="1056"/>
      <c r="MU107" s="1056"/>
      <c r="MV107" s="1056"/>
      <c r="MW107" s="1056"/>
      <c r="MX107" s="1056"/>
      <c r="MY107" s="1056"/>
      <c r="MZ107" s="1056"/>
      <c r="NA107" s="1056"/>
      <c r="NB107" s="1056"/>
      <c r="NC107" s="1056"/>
      <c r="ND107" s="1056"/>
      <c r="NE107" s="1056"/>
      <c r="NF107" s="1056"/>
      <c r="NG107" s="1056"/>
      <c r="NH107" s="1056"/>
      <c r="NI107" s="1056"/>
      <c r="NJ107" s="1056"/>
      <c r="NK107" s="1056"/>
      <c r="NL107" s="1056"/>
      <c r="NM107" s="1056"/>
      <c r="NN107" s="1056"/>
      <c r="NO107" s="1056"/>
      <c r="NP107" s="1056"/>
      <c r="NQ107" s="1056"/>
      <c r="NR107" s="1056"/>
      <c r="NS107" s="1056"/>
      <c r="NT107" s="1056"/>
      <c r="NU107" s="1056"/>
      <c r="NV107" s="1056"/>
      <c r="NW107" s="1056"/>
      <c r="NX107" s="1056"/>
      <c r="NY107" s="1056"/>
      <c r="NZ107" s="1056"/>
      <c r="OA107" s="1056"/>
      <c r="OB107" s="1056"/>
      <c r="OC107" s="1056"/>
      <c r="OD107" s="1056"/>
      <c r="OE107" s="1056"/>
      <c r="OF107" s="1056"/>
      <c r="OG107" s="1056"/>
      <c r="OH107" s="1056"/>
      <c r="OI107" s="1056"/>
      <c r="OJ107" s="1056"/>
      <c r="OK107" s="1056"/>
      <c r="OL107" s="1056"/>
      <c r="OM107" s="1056"/>
      <c r="ON107" s="1056"/>
      <c r="OO107" s="1056"/>
      <c r="OP107" s="1056"/>
      <c r="OQ107" s="1056"/>
      <c r="OR107" s="1056"/>
      <c r="OS107" s="1056"/>
      <c r="OT107" s="1056"/>
      <c r="OU107" s="1056"/>
      <c r="OV107" s="1056"/>
      <c r="OW107" s="1056"/>
      <c r="OX107" s="1056"/>
      <c r="OY107" s="1056"/>
      <c r="OZ107" s="1056"/>
      <c r="PA107" s="1056"/>
      <c r="PB107" s="1056"/>
      <c r="PC107" s="1056"/>
      <c r="PD107" s="1056"/>
      <c r="PE107" s="1056"/>
      <c r="PF107" s="1056"/>
      <c r="PG107" s="1056"/>
      <c r="PH107" s="1056"/>
      <c r="PI107" s="1056"/>
      <c r="PJ107" s="1056"/>
      <c r="PK107" s="1056"/>
      <c r="PL107" s="1056"/>
      <c r="PM107" s="1056"/>
      <c r="PN107" s="1056"/>
      <c r="PO107" s="1056"/>
      <c r="PP107" s="1056"/>
      <c r="PQ107" s="1056"/>
      <c r="PR107" s="1056"/>
      <c r="PS107" s="1056"/>
      <c r="PT107" s="1056"/>
      <c r="PU107" s="1056"/>
      <c r="PV107" s="1056"/>
      <c r="PW107" s="1056"/>
      <c r="PX107" s="1056"/>
      <c r="PY107" s="1056"/>
      <c r="PZ107" s="1056"/>
      <c r="QA107" s="1056"/>
      <c r="QB107" s="1056"/>
      <c r="QC107" s="1056"/>
      <c r="QD107" s="1056"/>
      <c r="QE107" s="1056"/>
      <c r="QF107" s="1056"/>
      <c r="QG107" s="1056"/>
      <c r="QH107" s="1056"/>
      <c r="QI107" s="1056"/>
      <c r="QJ107" s="1056"/>
      <c r="QK107" s="1056"/>
      <c r="QL107" s="1056"/>
      <c r="QM107" s="1056"/>
      <c r="QN107" s="1056"/>
      <c r="QO107" s="1056"/>
      <c r="QP107" s="1056"/>
      <c r="QQ107" s="1056"/>
      <c r="QR107" s="1056"/>
      <c r="QS107" s="1056"/>
      <c r="QT107" s="1056"/>
      <c r="QU107" s="1056"/>
      <c r="QV107" s="1056"/>
      <c r="QW107" s="1056"/>
      <c r="QX107" s="1056"/>
      <c r="QY107" s="1056"/>
      <c r="QZ107" s="1056"/>
      <c r="RA107" s="1056"/>
      <c r="RB107" s="1056"/>
      <c r="RC107" s="1056"/>
      <c r="RD107" s="1056"/>
      <c r="RE107" s="1056"/>
      <c r="RF107" s="1056"/>
      <c r="RG107" s="1056"/>
      <c r="RH107" s="1056"/>
      <c r="RI107" s="1056"/>
      <c r="RJ107" s="1056"/>
      <c r="RK107" s="1056"/>
      <c r="RL107" s="1056"/>
      <c r="RM107" s="1056"/>
      <c r="RN107" s="1056"/>
      <c r="RO107" s="1056"/>
      <c r="RP107" s="1056"/>
      <c r="RQ107" s="1056"/>
      <c r="RR107" s="1056"/>
      <c r="RS107" s="1056"/>
      <c r="RT107" s="1056"/>
      <c r="RU107" s="1056"/>
      <c r="RV107" s="1056"/>
      <c r="RW107" s="1056"/>
      <c r="RX107" s="1056"/>
      <c r="RY107" s="1056"/>
      <c r="RZ107" s="1056"/>
      <c r="SA107" s="1056"/>
      <c r="SB107" s="1056"/>
      <c r="SC107" s="1056"/>
      <c r="SD107" s="1056"/>
      <c r="SE107" s="1056"/>
      <c r="SF107" s="1056"/>
      <c r="SG107" s="1056"/>
      <c r="SH107" s="1056"/>
      <c r="SI107" s="1056"/>
      <c r="SJ107" s="1056"/>
      <c r="SK107" s="1056"/>
      <c r="SL107" s="1056"/>
      <c r="SM107" s="1056"/>
      <c r="SN107" s="1056"/>
      <c r="SO107" s="1056"/>
      <c r="SP107" s="1056"/>
      <c r="SQ107" s="1056"/>
      <c r="SR107" s="1056"/>
      <c r="SS107" s="1056"/>
      <c r="ST107" s="1056"/>
      <c r="SU107" s="1056"/>
      <c r="SV107" s="1056"/>
      <c r="SW107" s="1056"/>
      <c r="SX107" s="1056"/>
      <c r="SY107" s="1056"/>
      <c r="SZ107" s="1056"/>
      <c r="TA107" s="1056"/>
      <c r="TB107" s="1056"/>
      <c r="TC107" s="1056"/>
      <c r="TD107" s="1056"/>
      <c r="TE107" s="1056"/>
      <c r="TF107" s="1056"/>
      <c r="TG107" s="1056"/>
      <c r="TH107" s="1056"/>
      <c r="TI107" s="1056"/>
      <c r="TJ107" s="1056"/>
      <c r="TK107" s="1056"/>
      <c r="TL107" s="1056"/>
      <c r="TM107" s="1056"/>
      <c r="TN107" s="1056"/>
      <c r="TO107" s="1056"/>
      <c r="TP107" s="1056"/>
      <c r="TQ107" s="1056"/>
      <c r="TR107" s="1056"/>
      <c r="TS107" s="1056"/>
      <c r="TT107" s="1056"/>
      <c r="TU107" s="1056"/>
      <c r="TV107" s="1056"/>
      <c r="TW107" s="1056"/>
      <c r="TX107" s="1056"/>
      <c r="TY107" s="1056"/>
      <c r="TZ107" s="1056"/>
      <c r="UA107" s="1056"/>
      <c r="UB107" s="1056"/>
      <c r="UC107" s="1056"/>
      <c r="UD107" s="1056"/>
      <c r="UE107" s="1056"/>
      <c r="UF107" s="1056"/>
      <c r="UG107" s="1056"/>
      <c r="UH107" s="1056"/>
      <c r="UI107" s="1056"/>
      <c r="UJ107" s="1056"/>
      <c r="UK107" s="1056"/>
      <c r="UL107" s="1056"/>
      <c r="UM107" s="1056"/>
      <c r="UN107" s="1056"/>
      <c r="UO107" s="1056"/>
      <c r="UP107" s="1056"/>
      <c r="UQ107" s="1056"/>
      <c r="UR107" s="1056"/>
      <c r="US107" s="1056"/>
      <c r="UT107" s="1056"/>
      <c r="UU107" s="1056"/>
      <c r="UV107" s="1056"/>
      <c r="UW107" s="1056"/>
      <c r="UX107" s="1056"/>
      <c r="UY107" s="1056"/>
      <c r="UZ107" s="1056"/>
      <c r="VA107" s="1056"/>
      <c r="VB107" s="1056"/>
      <c r="VC107" s="1056"/>
      <c r="VD107" s="1056"/>
      <c r="VE107" s="1056"/>
      <c r="VF107" s="1056"/>
      <c r="VG107" s="1056"/>
      <c r="VH107" s="1056"/>
      <c r="VI107" s="1056"/>
      <c r="VJ107" s="1056"/>
      <c r="VK107" s="1056"/>
      <c r="VL107" s="1056"/>
      <c r="VM107" s="1056"/>
      <c r="VN107" s="1056"/>
      <c r="VO107" s="1056"/>
      <c r="VP107" s="1056"/>
      <c r="VQ107" s="1056"/>
      <c r="VR107" s="1056"/>
      <c r="VS107" s="1056"/>
      <c r="VT107" s="1056"/>
      <c r="VU107" s="1056"/>
      <c r="VV107" s="1056"/>
      <c r="VW107" s="1056"/>
      <c r="VX107" s="1056"/>
      <c r="VY107" s="1056"/>
      <c r="VZ107" s="1056"/>
      <c r="WA107" s="1056"/>
      <c r="WB107" s="1056"/>
      <c r="WC107" s="1056"/>
      <c r="WD107" s="1056"/>
      <c r="WE107" s="1056"/>
      <c r="WF107" s="1056"/>
      <c r="WG107" s="1056"/>
      <c r="WH107" s="1056"/>
      <c r="WI107" s="1056"/>
      <c r="WJ107" s="1056"/>
      <c r="WK107" s="1056"/>
      <c r="WL107" s="1056"/>
      <c r="WM107" s="1056"/>
      <c r="WN107" s="1056"/>
      <c r="WO107" s="1056"/>
      <c r="WP107" s="1056"/>
      <c r="WQ107" s="1056"/>
      <c r="WR107" s="1056"/>
      <c r="WS107" s="1056"/>
      <c r="WT107" s="1056"/>
      <c r="WU107" s="1056"/>
      <c r="WV107" s="1056"/>
      <c r="WW107" s="1056"/>
      <c r="WX107" s="1056"/>
      <c r="WY107" s="1056"/>
      <c r="WZ107" s="1056"/>
      <c r="XA107" s="1056"/>
      <c r="XB107" s="1056"/>
      <c r="XC107" s="1056"/>
      <c r="XD107" s="1056"/>
      <c r="XE107" s="1056"/>
      <c r="XF107" s="1056"/>
      <c r="XG107" s="1056"/>
      <c r="XH107" s="1056"/>
      <c r="XI107" s="1056"/>
      <c r="XJ107" s="1056"/>
      <c r="XK107" s="1056"/>
      <c r="XL107" s="1056"/>
      <c r="XM107" s="1056"/>
      <c r="XN107" s="1056"/>
      <c r="XO107" s="1056"/>
      <c r="XP107" s="1056"/>
      <c r="XQ107" s="1056"/>
      <c r="XR107" s="1056"/>
      <c r="XS107" s="1056"/>
      <c r="XT107" s="1056"/>
      <c r="XU107" s="1056"/>
      <c r="XV107" s="1056"/>
      <c r="XW107" s="1056"/>
      <c r="XX107" s="1056"/>
      <c r="XY107" s="1056"/>
      <c r="XZ107" s="1056"/>
      <c r="YA107" s="1056"/>
      <c r="YB107" s="1056"/>
      <c r="YC107" s="1056"/>
      <c r="YD107" s="1056"/>
      <c r="YE107" s="1056"/>
      <c r="YF107" s="1056"/>
      <c r="YG107" s="1056"/>
      <c r="YH107" s="1056"/>
      <c r="YI107" s="1056"/>
      <c r="YJ107" s="1056"/>
      <c r="YK107" s="1056"/>
      <c r="YL107" s="1056"/>
      <c r="YM107" s="1056"/>
      <c r="YN107" s="1056"/>
      <c r="YO107" s="1056"/>
      <c r="YP107" s="1056"/>
      <c r="YQ107" s="1056"/>
      <c r="YR107" s="1056"/>
      <c r="YS107" s="1056"/>
      <c r="YT107" s="1056"/>
      <c r="YU107" s="1056"/>
      <c r="YV107" s="1056"/>
      <c r="YW107" s="1056"/>
      <c r="YX107" s="1056"/>
      <c r="YY107" s="1056"/>
      <c r="YZ107" s="1056"/>
      <c r="ZA107" s="1056"/>
      <c r="ZB107" s="1056"/>
      <c r="ZC107" s="1056"/>
      <c r="ZD107" s="1056"/>
      <c r="ZE107" s="1056"/>
      <c r="ZF107" s="1056"/>
      <c r="ZG107" s="1056"/>
      <c r="ZH107" s="1056"/>
      <c r="ZI107" s="1056"/>
      <c r="ZJ107" s="1056"/>
      <c r="ZK107" s="1056"/>
      <c r="ZL107" s="1056"/>
      <c r="ZM107" s="1056"/>
      <c r="ZN107" s="1056"/>
      <c r="ZO107" s="1056"/>
      <c r="ZP107" s="1056"/>
      <c r="ZQ107" s="1056"/>
      <c r="ZR107" s="1056"/>
      <c r="ZS107" s="1056"/>
      <c r="ZT107" s="1056"/>
      <c r="ZU107" s="1056"/>
      <c r="ZV107" s="1056"/>
      <c r="ZW107" s="1056"/>
      <c r="ZX107" s="1056"/>
      <c r="ZY107" s="1056"/>
      <c r="ZZ107" s="1056"/>
      <c r="AAA107" s="1056"/>
      <c r="AAB107" s="1056"/>
      <c r="AAC107" s="1056"/>
      <c r="AAD107" s="1056"/>
      <c r="AAE107" s="1056"/>
      <c r="AAF107" s="1056"/>
      <c r="AAG107" s="1056"/>
      <c r="AAH107" s="1056"/>
      <c r="AAI107" s="1056"/>
      <c r="AAJ107" s="1056"/>
      <c r="AAK107" s="1056"/>
      <c r="AAL107" s="1056"/>
      <c r="AAM107" s="1056"/>
      <c r="AAN107" s="1056"/>
      <c r="AAO107" s="1056"/>
      <c r="AAP107" s="1056"/>
      <c r="AAQ107" s="1056"/>
      <c r="AAR107" s="1056"/>
      <c r="AAS107" s="1056"/>
      <c r="AAT107" s="1056"/>
      <c r="AAU107" s="1056"/>
      <c r="AAV107" s="1056"/>
      <c r="AAW107" s="1056"/>
      <c r="AAX107" s="1056"/>
      <c r="AAY107" s="1056"/>
      <c r="AAZ107" s="1056"/>
      <c r="ABA107" s="1056"/>
      <c r="ABB107" s="1056"/>
      <c r="ABC107" s="1056"/>
      <c r="ABD107" s="1056"/>
      <c r="ABE107" s="1056"/>
      <c r="ABF107" s="1056"/>
      <c r="ABG107" s="1056"/>
      <c r="ABH107" s="1056"/>
      <c r="ABI107" s="1056"/>
      <c r="ABJ107" s="1056"/>
      <c r="ABK107" s="1056"/>
      <c r="ABL107" s="1056"/>
      <c r="ABM107" s="1056"/>
      <c r="ABN107" s="1056"/>
      <c r="ABO107" s="1056"/>
      <c r="ABP107" s="1056"/>
      <c r="ABQ107" s="1056"/>
      <c r="ABR107" s="1056"/>
      <c r="ABS107" s="1056"/>
      <c r="ABT107" s="1056"/>
      <c r="ABU107" s="1056"/>
      <c r="ABV107" s="1056"/>
      <c r="ABW107" s="1056"/>
      <c r="ABX107" s="1056"/>
      <c r="ABY107" s="1056"/>
      <c r="ABZ107" s="1056"/>
      <c r="ACA107" s="1056"/>
      <c r="ACB107" s="1056"/>
      <c r="ACC107" s="1056"/>
      <c r="ACD107" s="1056"/>
      <c r="ACE107" s="1056"/>
      <c r="ACF107" s="1056"/>
      <c r="ACG107" s="1056"/>
      <c r="ACH107" s="1056"/>
      <c r="ACI107" s="1056"/>
      <c r="ACJ107" s="1056"/>
      <c r="ACK107" s="1056"/>
      <c r="ACL107" s="1056"/>
      <c r="ACM107" s="1056"/>
      <c r="ACN107" s="1056"/>
      <c r="ACO107" s="1056"/>
      <c r="ACP107" s="1056"/>
      <c r="ACQ107" s="1056"/>
      <c r="ACR107" s="1056"/>
      <c r="ACS107" s="1056"/>
      <c r="ACT107" s="1056"/>
      <c r="ACU107" s="1056"/>
      <c r="ACV107" s="1056"/>
      <c r="ACW107" s="1056"/>
      <c r="ACX107" s="1056"/>
      <c r="ACY107" s="1056"/>
      <c r="ACZ107" s="1056"/>
      <c r="ADA107" s="1056"/>
      <c r="ADB107" s="1056"/>
      <c r="ADC107" s="1056"/>
      <c r="ADD107" s="1056"/>
      <c r="ADE107" s="1056"/>
      <c r="ADF107" s="1056"/>
      <c r="ADG107" s="1056"/>
      <c r="ADH107" s="1056"/>
      <c r="ADI107" s="1056"/>
      <c r="ADJ107" s="1056"/>
      <c r="ADK107" s="1056"/>
      <c r="ADL107" s="1056"/>
      <c r="ADM107" s="1056"/>
      <c r="ADN107" s="1056"/>
      <c r="ADO107" s="1056"/>
      <c r="ADP107" s="1056"/>
      <c r="ADQ107" s="1056"/>
      <c r="ADR107" s="1056"/>
      <c r="ADS107" s="1056"/>
      <c r="ADT107" s="1056"/>
      <c r="ADU107" s="1056"/>
      <c r="ADV107" s="1056"/>
      <c r="ADW107" s="1056"/>
      <c r="ADX107" s="1056"/>
      <c r="ADY107" s="1056"/>
      <c r="ADZ107" s="1056"/>
      <c r="AEA107" s="1056"/>
      <c r="AEB107" s="1056"/>
      <c r="AEC107" s="1056"/>
      <c r="AED107" s="1056"/>
      <c r="AEE107" s="1056"/>
      <c r="AEF107" s="1056"/>
      <c r="AEG107" s="1056"/>
      <c r="AEH107" s="1056"/>
      <c r="AEI107" s="1056"/>
      <c r="AEJ107" s="1056"/>
      <c r="AEK107" s="1056"/>
      <c r="AEL107" s="1056"/>
      <c r="AEM107" s="1056"/>
      <c r="AEN107" s="1056"/>
      <c r="AEO107" s="1056"/>
      <c r="AEP107" s="1056"/>
      <c r="AEQ107" s="1056"/>
      <c r="AER107" s="1056"/>
      <c r="AES107" s="1056"/>
      <c r="AET107" s="1056"/>
      <c r="AEU107" s="1056"/>
      <c r="AEV107" s="1056"/>
      <c r="AEW107" s="1056"/>
      <c r="AEX107" s="1056"/>
      <c r="AEY107" s="1056"/>
      <c r="AEZ107" s="1056"/>
      <c r="AFA107" s="1056"/>
      <c r="AFB107" s="1056"/>
      <c r="AFC107" s="1056"/>
      <c r="AFD107" s="1056"/>
      <c r="AFE107" s="1056"/>
      <c r="AFF107" s="1056"/>
      <c r="AFG107" s="1056"/>
      <c r="AFH107" s="1056"/>
      <c r="AFI107" s="1056"/>
      <c r="AFJ107" s="1056"/>
      <c r="AFK107" s="1056"/>
      <c r="AFL107" s="1056"/>
      <c r="AFM107" s="1056"/>
      <c r="AFN107" s="1056"/>
      <c r="AFO107" s="1056"/>
      <c r="AFP107" s="1056"/>
      <c r="AFQ107" s="1056"/>
      <c r="AFR107" s="1056"/>
      <c r="AFS107" s="1056"/>
      <c r="AFT107" s="1056"/>
      <c r="AFU107" s="1056"/>
      <c r="AFV107" s="1056"/>
      <c r="AFW107" s="1056"/>
      <c r="AFX107" s="1056"/>
      <c r="AFY107" s="1056"/>
      <c r="AFZ107" s="1056"/>
      <c r="AGA107" s="1056"/>
      <c r="AGB107" s="1056"/>
      <c r="AGC107" s="1056"/>
      <c r="AGD107" s="1056"/>
      <c r="AGE107" s="1056"/>
      <c r="AGF107" s="1056"/>
      <c r="AGG107" s="1056"/>
      <c r="AGH107" s="1056"/>
      <c r="AGI107" s="1056"/>
      <c r="AGJ107" s="1056"/>
      <c r="AGK107" s="1056"/>
      <c r="AGL107" s="1056"/>
      <c r="AGM107" s="1056"/>
      <c r="AGN107" s="1056"/>
      <c r="AGO107" s="1056"/>
      <c r="AGP107" s="1056"/>
      <c r="AGQ107" s="1056"/>
      <c r="AGR107" s="1056"/>
      <c r="AGS107" s="1056"/>
      <c r="AGT107" s="1056"/>
      <c r="AGU107" s="1056"/>
      <c r="AGV107" s="1056"/>
      <c r="AGW107" s="1056"/>
      <c r="AGX107" s="1056"/>
      <c r="AGY107" s="1056"/>
      <c r="AGZ107" s="1056"/>
      <c r="AHA107" s="1056"/>
      <c r="AHB107" s="1056"/>
      <c r="AHC107" s="1056"/>
      <c r="AHD107" s="1056"/>
      <c r="AHE107" s="1056"/>
      <c r="AHF107" s="1056"/>
      <c r="AHG107" s="1056"/>
      <c r="AHH107" s="1056"/>
      <c r="AHI107" s="1056"/>
      <c r="AHJ107" s="1056"/>
      <c r="AHK107" s="1056"/>
      <c r="AHL107" s="1056"/>
      <c r="AHM107" s="1056"/>
      <c r="AHN107" s="1056"/>
      <c r="AHO107" s="1056"/>
      <c r="AHP107" s="1056"/>
      <c r="AHQ107" s="1056"/>
      <c r="AHR107" s="1056"/>
      <c r="AHS107" s="1056"/>
      <c r="AHT107" s="1056"/>
      <c r="AHU107" s="1056"/>
      <c r="AHV107" s="1056"/>
      <c r="AHW107" s="1056"/>
      <c r="AHX107" s="1056"/>
      <c r="AHY107" s="1056"/>
      <c r="AHZ107" s="1056"/>
      <c r="AIA107" s="1056"/>
      <c r="AIB107" s="1056"/>
      <c r="AIC107" s="1056"/>
      <c r="AID107" s="1056"/>
      <c r="AIE107" s="1056"/>
      <c r="AIF107" s="1056"/>
      <c r="AIG107" s="1056"/>
      <c r="AIH107" s="1056"/>
      <c r="AII107" s="1056"/>
      <c r="AIJ107" s="1056"/>
      <c r="AIK107" s="1056"/>
      <c r="AIL107" s="1056"/>
      <c r="AIM107" s="1056"/>
      <c r="AIN107" s="1056"/>
      <c r="AIO107" s="1056"/>
      <c r="AIP107" s="1056"/>
      <c r="AIQ107" s="1056"/>
      <c r="AIR107" s="1056"/>
      <c r="AIS107" s="1056"/>
      <c r="AIT107" s="1056"/>
      <c r="AIU107" s="1056"/>
      <c r="AIV107" s="1056"/>
      <c r="AIW107" s="1056"/>
      <c r="AIX107" s="1056"/>
      <c r="AIY107" s="1056"/>
      <c r="AIZ107" s="1056"/>
      <c r="AJA107" s="1056"/>
      <c r="AJB107" s="1056"/>
      <c r="AJC107" s="1056"/>
      <c r="AJD107" s="1056"/>
      <c r="AJE107" s="1056"/>
      <c r="AJF107" s="1056"/>
      <c r="AJG107" s="1056"/>
      <c r="AJH107" s="1056"/>
      <c r="AJI107" s="1056"/>
      <c r="AJJ107" s="1056"/>
      <c r="AJK107" s="1056"/>
      <c r="AJL107" s="1056"/>
      <c r="AJM107" s="1056"/>
      <c r="AJN107" s="1056"/>
      <c r="AJO107" s="1056"/>
      <c r="AJP107" s="1056"/>
      <c r="AJQ107" s="1056"/>
      <c r="AJR107" s="1056"/>
      <c r="AJS107" s="1056"/>
      <c r="AJT107" s="1056"/>
      <c r="AJU107" s="1056"/>
      <c r="AJV107" s="1056"/>
      <c r="AJW107" s="1056"/>
      <c r="AJX107" s="1056"/>
      <c r="AJY107" s="1056"/>
      <c r="AJZ107" s="1056"/>
      <c r="AKA107" s="1056"/>
      <c r="AKB107" s="1056"/>
      <c r="AKC107" s="1056"/>
      <c r="AKD107" s="1056"/>
      <c r="AKE107" s="1056"/>
      <c r="AKF107" s="1056"/>
      <c r="AKG107" s="1056"/>
      <c r="AKH107" s="1056"/>
      <c r="AKI107" s="1056"/>
      <c r="AKJ107" s="1056"/>
      <c r="AKK107" s="1056"/>
      <c r="AKL107" s="1056"/>
      <c r="AKM107" s="1056"/>
      <c r="AKN107" s="1056"/>
      <c r="AKO107" s="1056"/>
      <c r="AKP107" s="1056"/>
      <c r="AKQ107" s="1056"/>
      <c r="AKR107" s="1056"/>
      <c r="AKS107" s="1056"/>
      <c r="AKT107" s="1056"/>
      <c r="AKU107" s="1056"/>
      <c r="AKV107" s="1056"/>
      <c r="AKW107" s="1056"/>
      <c r="AKX107" s="1056"/>
      <c r="AKY107" s="1056"/>
      <c r="AKZ107" s="1056"/>
      <c r="ALA107" s="1056"/>
      <c r="ALB107" s="1056"/>
      <c r="ALC107" s="1056"/>
      <c r="ALD107" s="1056"/>
      <c r="ALE107" s="1056"/>
      <c r="ALF107" s="1056"/>
      <c r="ALG107" s="1056"/>
      <c r="ALH107" s="1056"/>
      <c r="ALI107" s="1056"/>
      <c r="ALJ107" s="1056"/>
      <c r="ALK107" s="1056"/>
      <c r="ALL107" s="1056"/>
      <c r="ALM107" s="1056"/>
      <c r="ALN107" s="1056"/>
      <c r="ALO107" s="1056"/>
      <c r="ALP107" s="1056"/>
      <c r="ALQ107" s="1056"/>
      <c r="ALR107" s="1056"/>
      <c r="ALS107" s="1056"/>
      <c r="ALT107" s="1056"/>
      <c r="ALU107" s="1056"/>
      <c r="ALV107" s="1056"/>
      <c r="ALW107" s="1056"/>
      <c r="ALX107" s="1056"/>
      <c r="ALY107" s="1056"/>
      <c r="ALZ107" s="1056"/>
      <c r="AMA107" s="1056"/>
      <c r="AMB107" s="1056"/>
      <c r="AMC107" s="1056"/>
      <c r="AMD107" s="1056"/>
      <c r="AME107" s="1056"/>
      <c r="AMF107" s="1056"/>
      <c r="AMG107" s="1056"/>
      <c r="AMH107" s="1056"/>
      <c r="AMI107" s="1056"/>
      <c r="AMJ107" s="1056"/>
      <c r="AMK107" s="1056"/>
      <c r="AML107" s="1056"/>
      <c r="AMM107" s="1056"/>
      <c r="AMN107" s="1056"/>
      <c r="AMO107" s="1056"/>
      <c r="AMP107" s="1056"/>
      <c r="AMQ107" s="1056"/>
      <c r="AMR107" s="1056"/>
      <c r="AMS107" s="1056"/>
      <c r="AMT107" s="1056"/>
      <c r="AMU107" s="1056"/>
      <c r="AMV107" s="1056"/>
      <c r="AMW107" s="1056"/>
      <c r="AMX107" s="1056"/>
      <c r="AMY107" s="1056"/>
      <c r="AMZ107" s="1056"/>
      <c r="ANA107" s="1056"/>
      <c r="ANB107" s="1056"/>
      <c r="ANC107" s="1056"/>
      <c r="AND107" s="1056"/>
      <c r="ANE107" s="1056"/>
      <c r="ANF107" s="1056"/>
      <c r="ANG107" s="1056"/>
      <c r="ANH107" s="1056"/>
      <c r="ANI107" s="1056"/>
      <c r="ANJ107" s="1056"/>
      <c r="ANK107" s="1056"/>
      <c r="ANL107" s="1056"/>
      <c r="ANM107" s="1056"/>
      <c r="ANN107" s="1056"/>
      <c r="ANO107" s="1056"/>
      <c r="ANP107" s="1056"/>
      <c r="ANQ107" s="1056"/>
      <c r="ANR107" s="1056"/>
      <c r="ANS107" s="1056"/>
      <c r="ANT107" s="1056"/>
      <c r="ANU107" s="1056"/>
      <c r="ANV107" s="1056"/>
      <c r="ANW107" s="1056"/>
      <c r="ANX107" s="1056"/>
      <c r="ANY107" s="1056"/>
      <c r="ANZ107" s="1056"/>
      <c r="AOA107" s="1056"/>
      <c r="AOB107" s="1056"/>
      <c r="AOC107" s="1056"/>
      <c r="AOD107" s="1056"/>
      <c r="AOE107" s="1056"/>
      <c r="AOF107" s="1056"/>
      <c r="AOG107" s="1056"/>
      <c r="AOH107" s="1056"/>
      <c r="AOI107" s="1056"/>
      <c r="AOJ107" s="1056"/>
      <c r="AOK107" s="1056"/>
      <c r="AOL107" s="1056"/>
      <c r="AOM107" s="1056"/>
      <c r="AON107" s="1056"/>
      <c r="AOO107" s="1056"/>
      <c r="AOP107" s="1056"/>
      <c r="AOQ107" s="1056"/>
      <c r="AOR107" s="1056"/>
      <c r="AOS107" s="1056"/>
      <c r="AOT107" s="1056"/>
      <c r="AOU107" s="1056"/>
      <c r="AOV107" s="1056"/>
      <c r="AOW107" s="1056"/>
      <c r="AOX107" s="1056"/>
      <c r="AOY107" s="1056"/>
      <c r="AOZ107" s="1056"/>
      <c r="APA107" s="1056"/>
      <c r="APB107" s="1056"/>
      <c r="APC107" s="1056"/>
      <c r="APD107" s="1056"/>
      <c r="APE107" s="1056"/>
      <c r="APF107" s="1056"/>
      <c r="APG107" s="1056"/>
      <c r="APH107" s="1056"/>
      <c r="API107" s="1056"/>
      <c r="APJ107" s="1056"/>
      <c r="APK107" s="1056"/>
      <c r="APL107" s="1056"/>
      <c r="APM107" s="1056"/>
      <c r="APN107" s="1056"/>
      <c r="APO107" s="1056"/>
      <c r="APP107" s="1056"/>
      <c r="APQ107" s="1056"/>
      <c r="APR107" s="1056"/>
      <c r="APS107" s="1056"/>
      <c r="APT107" s="1056"/>
      <c r="APU107" s="1056"/>
      <c r="APV107" s="1056"/>
      <c r="APW107" s="1056"/>
      <c r="APX107" s="1056"/>
      <c r="APY107" s="1056"/>
      <c r="APZ107" s="1056"/>
      <c r="AQA107" s="1056"/>
      <c r="AQB107" s="1056"/>
      <c r="AQC107" s="1056"/>
      <c r="AQD107" s="1056"/>
      <c r="AQE107" s="1056"/>
      <c r="AQF107" s="1056"/>
      <c r="AQG107" s="1056"/>
      <c r="AQH107" s="1056"/>
      <c r="AQI107" s="1056"/>
      <c r="AQJ107" s="1056"/>
      <c r="AQK107" s="1056"/>
      <c r="AQL107" s="1056"/>
      <c r="AQM107" s="1056"/>
      <c r="AQN107" s="1056"/>
      <c r="AQO107" s="1056"/>
      <c r="AQP107" s="1056"/>
      <c r="AQQ107" s="1056"/>
      <c r="AQR107" s="1056"/>
      <c r="AQS107" s="1056"/>
      <c r="AQT107" s="1056"/>
      <c r="AQU107" s="1056"/>
      <c r="AQV107" s="1056"/>
      <c r="AQW107" s="1056"/>
      <c r="AQX107" s="1056"/>
      <c r="AQY107" s="1056"/>
      <c r="AQZ107" s="1056"/>
      <c r="ARA107" s="1056"/>
      <c r="ARB107" s="1056"/>
      <c r="ARC107" s="1056"/>
      <c r="ARD107" s="1056"/>
      <c r="ARE107" s="1056"/>
      <c r="ARF107" s="1056"/>
      <c r="ARG107" s="1056"/>
      <c r="ARH107" s="1056"/>
      <c r="ARI107" s="1056"/>
      <c r="ARJ107" s="1056"/>
      <c r="ARK107" s="1056"/>
      <c r="ARL107" s="1056"/>
      <c r="ARM107" s="1056"/>
      <c r="ARN107" s="1056"/>
      <c r="ARO107" s="1056"/>
      <c r="ARP107" s="1056"/>
      <c r="ARQ107" s="1056"/>
      <c r="ARR107" s="1056"/>
      <c r="ARS107" s="1056"/>
      <c r="ART107" s="1056"/>
      <c r="ARU107" s="1056"/>
      <c r="ARV107" s="1056"/>
      <c r="ARW107" s="1056"/>
      <c r="ARX107" s="1056"/>
      <c r="ARY107" s="1056"/>
      <c r="ARZ107" s="1056"/>
      <c r="ASA107" s="1056"/>
      <c r="ASB107" s="1056"/>
      <c r="ASC107" s="1056"/>
      <c r="ASD107" s="1056"/>
      <c r="ASE107" s="1056"/>
      <c r="ASF107" s="1056"/>
      <c r="ASG107" s="1056"/>
      <c r="ASH107" s="1056"/>
      <c r="ASI107" s="1056"/>
      <c r="ASJ107" s="1056"/>
      <c r="ASK107" s="1056"/>
      <c r="ASL107" s="1056"/>
      <c r="ASM107" s="1056"/>
      <c r="ASN107" s="1056"/>
      <c r="ASO107" s="1056"/>
      <c r="ASP107" s="1056"/>
      <c r="ASQ107" s="1056"/>
      <c r="ASR107" s="1056"/>
      <c r="ASS107" s="1056"/>
      <c r="AST107" s="1056"/>
      <c r="ASU107" s="1056"/>
      <c r="ASV107" s="1056"/>
      <c r="ASW107" s="1056"/>
      <c r="ASX107" s="1056"/>
      <c r="ASY107" s="1056"/>
      <c r="ASZ107" s="1056"/>
      <c r="ATA107" s="1056"/>
      <c r="ATB107" s="1056"/>
      <c r="ATC107" s="1056"/>
      <c r="ATD107" s="1056"/>
      <c r="ATE107" s="1056"/>
      <c r="ATF107" s="1056"/>
      <c r="ATG107" s="1056"/>
      <c r="ATH107" s="1056"/>
      <c r="ATI107" s="1056"/>
      <c r="ATJ107" s="1056"/>
      <c r="ATK107" s="1056"/>
      <c r="ATL107" s="1056"/>
      <c r="ATM107" s="1056"/>
      <c r="ATN107" s="1056"/>
      <c r="ATO107" s="1056"/>
      <c r="ATP107" s="1056"/>
      <c r="ATQ107" s="1056"/>
      <c r="ATR107" s="1056"/>
      <c r="ATS107" s="1056"/>
      <c r="ATT107" s="1056"/>
      <c r="ATU107" s="1056"/>
      <c r="ATV107" s="1056"/>
      <c r="ATW107" s="1056"/>
      <c r="ATX107" s="1056"/>
      <c r="ATY107" s="1056"/>
      <c r="ATZ107" s="1056"/>
      <c r="AUA107" s="1056"/>
      <c r="AUB107" s="1056"/>
      <c r="AUC107" s="1056"/>
      <c r="AUD107" s="1056"/>
      <c r="AUE107" s="1056"/>
      <c r="AUF107" s="1056"/>
      <c r="AUG107" s="1056"/>
      <c r="AUH107" s="1056"/>
      <c r="AUI107" s="1056"/>
      <c r="AUJ107" s="1056"/>
      <c r="AUK107" s="1056"/>
      <c r="AUL107" s="1056"/>
      <c r="AUM107" s="1056"/>
      <c r="AUN107" s="1056"/>
      <c r="AUO107" s="1056"/>
      <c r="AUP107" s="1056"/>
      <c r="AUQ107" s="1056"/>
      <c r="AUR107" s="1056"/>
      <c r="AUS107" s="1056"/>
      <c r="AUT107" s="1056"/>
      <c r="AUU107" s="1056"/>
      <c r="AUV107" s="1056"/>
      <c r="AUW107" s="1056"/>
      <c r="AUX107" s="1056"/>
      <c r="AUY107" s="1056"/>
      <c r="AUZ107" s="1056"/>
      <c r="AVA107" s="1056"/>
      <c r="AVB107" s="1056"/>
      <c r="AVC107" s="1056"/>
      <c r="AVD107" s="1056"/>
      <c r="AVE107" s="1056"/>
      <c r="AVF107" s="1056"/>
      <c r="AVG107" s="1056"/>
      <c r="AVH107" s="1056"/>
      <c r="AVI107" s="1056"/>
      <c r="AVJ107" s="1056"/>
      <c r="AVK107" s="1056"/>
      <c r="AVL107" s="1056"/>
      <c r="AVM107" s="1056"/>
      <c r="AVN107" s="1056"/>
      <c r="AVO107" s="1056"/>
      <c r="AVP107" s="1056"/>
      <c r="AVQ107" s="1056"/>
      <c r="AVR107" s="1056"/>
      <c r="AVS107" s="1056"/>
      <c r="AVT107" s="1056"/>
      <c r="AVU107" s="1056"/>
      <c r="AVV107" s="1056"/>
      <c r="AVW107" s="1056"/>
      <c r="AVX107" s="1056"/>
      <c r="AVY107" s="1056"/>
      <c r="AVZ107" s="1056"/>
      <c r="AWA107" s="1056"/>
      <c r="AWB107" s="1056"/>
      <c r="AWC107" s="1056"/>
      <c r="AWD107" s="1056"/>
      <c r="AWE107" s="1056"/>
      <c r="AWF107" s="1056"/>
      <c r="AWG107" s="1056"/>
      <c r="AWH107" s="1056"/>
      <c r="AWI107" s="1056"/>
      <c r="AWJ107" s="1056"/>
      <c r="AWK107" s="1056"/>
      <c r="AWL107" s="1056"/>
      <c r="AWM107" s="1056"/>
      <c r="AWN107" s="1056"/>
      <c r="AWO107" s="1056"/>
      <c r="AWP107" s="1056"/>
      <c r="AWQ107" s="1056"/>
      <c r="AWR107" s="1056"/>
      <c r="AWS107" s="1056"/>
      <c r="AWT107" s="1056"/>
      <c r="AWU107" s="1056"/>
      <c r="AWV107" s="1056"/>
      <c r="AWW107" s="1056"/>
      <c r="AWX107" s="1056"/>
      <c r="AWY107" s="1056"/>
      <c r="AWZ107" s="1056"/>
      <c r="AXA107" s="1056"/>
      <c r="AXB107" s="1056"/>
      <c r="AXC107" s="1056"/>
      <c r="AXD107" s="1056"/>
      <c r="AXE107" s="1056"/>
      <c r="AXF107" s="1056"/>
      <c r="AXG107" s="1056"/>
      <c r="AXH107" s="1056"/>
      <c r="AXI107" s="1056"/>
      <c r="AXJ107" s="1056"/>
      <c r="AXK107" s="1056"/>
      <c r="AXL107" s="1056"/>
      <c r="AXM107" s="1056"/>
      <c r="AXN107" s="1056"/>
      <c r="AXO107" s="1056"/>
      <c r="AXP107" s="1056"/>
      <c r="AXQ107" s="1056"/>
      <c r="AXR107" s="1056"/>
      <c r="AXS107" s="1056"/>
      <c r="AXT107" s="1056"/>
      <c r="AXU107" s="1056"/>
      <c r="AXV107" s="1056"/>
      <c r="AXW107" s="1056"/>
      <c r="AXX107" s="1056"/>
      <c r="AXY107" s="1056"/>
      <c r="AXZ107" s="1056"/>
      <c r="AYA107" s="1056"/>
      <c r="AYB107" s="1056"/>
      <c r="AYC107" s="1056"/>
      <c r="AYD107" s="1056"/>
      <c r="AYE107" s="1056"/>
      <c r="AYF107" s="1056"/>
      <c r="AYG107" s="1056"/>
      <c r="AYH107" s="1056"/>
      <c r="AYI107" s="1056"/>
      <c r="AYJ107" s="1056"/>
      <c r="AYK107" s="1056"/>
      <c r="AYL107" s="1056"/>
      <c r="AYM107" s="1056"/>
      <c r="AYN107" s="1056"/>
      <c r="AYO107" s="1056"/>
      <c r="AYP107" s="1056"/>
      <c r="AYQ107" s="1056"/>
      <c r="AYR107" s="1056"/>
      <c r="AYS107" s="1056"/>
      <c r="AYT107" s="1056"/>
      <c r="AYU107" s="1056"/>
      <c r="AYV107" s="1056"/>
      <c r="AYW107" s="1056"/>
      <c r="AYX107" s="1056"/>
      <c r="AYY107" s="1056"/>
      <c r="AYZ107" s="1056"/>
      <c r="AZA107" s="1056"/>
      <c r="AZB107" s="1056"/>
      <c r="AZC107" s="1056"/>
      <c r="AZD107" s="1056"/>
      <c r="AZE107" s="1056"/>
      <c r="AZF107" s="1056"/>
      <c r="AZG107" s="1056"/>
      <c r="AZH107" s="1056"/>
      <c r="AZI107" s="1056"/>
      <c r="AZJ107" s="1056"/>
      <c r="AZK107" s="1056"/>
      <c r="AZL107" s="1056"/>
      <c r="AZM107" s="1056"/>
      <c r="AZN107" s="1056"/>
      <c r="AZO107" s="1056"/>
      <c r="AZP107" s="1056"/>
      <c r="AZQ107" s="1056"/>
      <c r="AZR107" s="1056"/>
      <c r="AZS107" s="1056"/>
      <c r="AZT107" s="1056"/>
      <c r="AZU107" s="1056"/>
      <c r="AZV107" s="1056"/>
      <c r="AZW107" s="1056"/>
      <c r="AZX107" s="1056"/>
      <c r="AZY107" s="1056"/>
      <c r="AZZ107" s="1056"/>
      <c r="BAA107" s="1056"/>
      <c r="BAB107" s="1056"/>
      <c r="BAC107" s="1056"/>
      <c r="BAD107" s="1056"/>
      <c r="BAE107" s="1056"/>
      <c r="BAF107" s="1056"/>
      <c r="BAG107" s="1056"/>
      <c r="BAH107" s="1056"/>
      <c r="BAI107" s="1056"/>
      <c r="BAJ107" s="1056"/>
      <c r="BAK107" s="1056"/>
      <c r="BAL107" s="1056"/>
      <c r="BAM107" s="1056"/>
      <c r="BAN107" s="1056"/>
      <c r="BAO107" s="1056"/>
      <c r="BAP107" s="1056"/>
      <c r="BAQ107" s="1056"/>
      <c r="BAR107" s="1056"/>
      <c r="BAS107" s="1056"/>
      <c r="BAT107" s="1056"/>
      <c r="BAU107" s="1056"/>
      <c r="BAV107" s="1056"/>
      <c r="BAW107" s="1056"/>
      <c r="BAX107" s="1056"/>
      <c r="BAY107" s="1056"/>
      <c r="BAZ107" s="1056"/>
      <c r="BBA107" s="1056"/>
      <c r="BBB107" s="1056"/>
      <c r="BBC107" s="1056"/>
      <c r="BBD107" s="1056"/>
      <c r="BBE107" s="1056"/>
      <c r="BBF107" s="1056"/>
      <c r="BBG107" s="1056"/>
      <c r="BBH107" s="1056"/>
      <c r="BBI107" s="1056"/>
      <c r="BBJ107" s="1056"/>
      <c r="BBK107" s="1056"/>
      <c r="BBL107" s="1056"/>
      <c r="BBM107" s="1056"/>
      <c r="BBN107" s="1056"/>
      <c r="BBO107" s="1056"/>
      <c r="BBP107" s="1056"/>
      <c r="BBQ107" s="1056"/>
      <c r="BBR107" s="1056"/>
      <c r="BBS107" s="1056"/>
      <c r="BBT107" s="1056"/>
      <c r="BBU107" s="1056"/>
      <c r="BBV107" s="1056"/>
      <c r="BBW107" s="1056"/>
      <c r="BBX107" s="1056"/>
      <c r="BBY107" s="1056"/>
      <c r="BBZ107" s="1056"/>
      <c r="BCA107" s="1056"/>
      <c r="BCB107" s="1056"/>
      <c r="BCC107" s="1056"/>
      <c r="BCD107" s="1056"/>
      <c r="BCE107" s="1056"/>
      <c r="BCF107" s="1056"/>
      <c r="BCG107" s="1056"/>
      <c r="BCH107" s="1056"/>
      <c r="BCI107" s="1056"/>
      <c r="BCJ107" s="1056"/>
      <c r="BCK107" s="1056"/>
      <c r="BCL107" s="1056"/>
      <c r="BCM107" s="1056"/>
      <c r="BCN107" s="1056"/>
      <c r="BCO107" s="1056"/>
      <c r="BCP107" s="1056"/>
      <c r="BCQ107" s="1056"/>
      <c r="BCR107" s="1056"/>
      <c r="BCS107" s="1056"/>
      <c r="BCT107" s="1056"/>
      <c r="BCU107" s="1056"/>
      <c r="BCV107" s="1056"/>
      <c r="BCW107" s="1056"/>
      <c r="BCX107" s="1056"/>
      <c r="BCY107" s="1056"/>
      <c r="BCZ107" s="1056"/>
      <c r="BDA107" s="1056"/>
      <c r="BDB107" s="1056"/>
      <c r="BDC107" s="1056"/>
      <c r="BDD107" s="1056"/>
      <c r="BDE107" s="1056"/>
      <c r="BDF107" s="1056"/>
      <c r="BDG107" s="1056"/>
      <c r="BDH107" s="1056"/>
      <c r="BDI107" s="1056"/>
      <c r="BDJ107" s="1056"/>
      <c r="BDK107" s="1056"/>
      <c r="BDL107" s="1056"/>
      <c r="BDM107" s="1056"/>
      <c r="BDN107" s="1056"/>
      <c r="BDO107" s="1056"/>
      <c r="BDP107" s="1056"/>
      <c r="BDQ107" s="1056"/>
      <c r="BDR107" s="1056"/>
      <c r="BDS107" s="1056"/>
      <c r="BDT107" s="1056"/>
      <c r="BDU107" s="1056"/>
      <c r="BDV107" s="1056"/>
      <c r="BDW107" s="1056"/>
      <c r="BDX107" s="1056"/>
      <c r="BDY107" s="1056"/>
      <c r="BDZ107" s="1056"/>
      <c r="BEA107" s="1056"/>
      <c r="BEB107" s="1056"/>
      <c r="BEC107" s="1056"/>
      <c r="BED107" s="1056"/>
      <c r="BEE107" s="1056"/>
      <c r="BEF107" s="1056"/>
      <c r="BEG107" s="1056"/>
      <c r="BEH107" s="1056"/>
      <c r="BEI107" s="1056"/>
      <c r="BEJ107" s="1056"/>
      <c r="BEK107" s="1056"/>
      <c r="BEL107" s="1056"/>
      <c r="BEM107" s="1056"/>
      <c r="BEN107" s="1056"/>
      <c r="BEO107" s="1056"/>
      <c r="BEP107" s="1056"/>
      <c r="BEQ107" s="1056"/>
      <c r="BER107" s="1056"/>
      <c r="BES107" s="1056"/>
      <c r="BET107" s="1056"/>
      <c r="BEU107" s="1056"/>
      <c r="BEV107" s="1056"/>
      <c r="BEW107" s="1056"/>
      <c r="BEX107" s="1056"/>
      <c r="BEY107" s="1056"/>
      <c r="BEZ107" s="1056"/>
      <c r="BFA107" s="1056"/>
      <c r="BFB107" s="1056"/>
      <c r="BFC107" s="1056"/>
      <c r="BFD107" s="1056"/>
      <c r="BFE107" s="1056"/>
      <c r="BFF107" s="1056"/>
      <c r="BFG107" s="1056"/>
      <c r="BFH107" s="1056"/>
      <c r="BFI107" s="1056"/>
      <c r="BFJ107" s="1056"/>
      <c r="BFK107" s="1056"/>
      <c r="BFL107" s="1056"/>
      <c r="BFM107" s="1056"/>
      <c r="BFN107" s="1056"/>
      <c r="BFO107" s="1056"/>
      <c r="BFP107" s="1056"/>
      <c r="BFQ107" s="1056"/>
      <c r="BFR107" s="1056"/>
      <c r="BFS107" s="1056"/>
      <c r="BFT107" s="1056"/>
      <c r="BFU107" s="1056"/>
      <c r="BFV107" s="1056"/>
      <c r="BFW107" s="1056"/>
      <c r="BFX107" s="1056"/>
      <c r="BFY107" s="1056"/>
      <c r="BFZ107" s="1056"/>
      <c r="BGA107" s="1056"/>
      <c r="BGB107" s="1056"/>
      <c r="BGC107" s="1056"/>
      <c r="BGD107" s="1056"/>
      <c r="BGE107" s="1056"/>
      <c r="BGF107" s="1056"/>
      <c r="BGG107" s="1056"/>
      <c r="BGH107" s="1056"/>
      <c r="BGI107" s="1056"/>
      <c r="BGJ107" s="1056"/>
      <c r="BGK107" s="1056"/>
      <c r="BGL107" s="1056"/>
      <c r="BGM107" s="1056"/>
      <c r="BGN107" s="1056"/>
      <c r="BGO107" s="1056"/>
      <c r="BGP107" s="1056"/>
      <c r="BGQ107" s="1056"/>
      <c r="BGR107" s="1056"/>
      <c r="BGS107" s="1056"/>
      <c r="BGT107" s="1056"/>
      <c r="BGU107" s="1056"/>
      <c r="BGV107" s="1056"/>
      <c r="BGW107" s="1056"/>
      <c r="BGX107" s="1056"/>
      <c r="BGY107" s="1056"/>
      <c r="BGZ107" s="1056"/>
      <c r="BHA107" s="1056"/>
      <c r="BHB107" s="1056"/>
      <c r="BHC107" s="1056"/>
      <c r="BHD107" s="1056"/>
      <c r="BHE107" s="1056"/>
      <c r="BHF107" s="1056"/>
      <c r="BHG107" s="1056"/>
      <c r="BHH107" s="1056"/>
      <c r="BHI107" s="1056"/>
      <c r="BHJ107" s="1056"/>
      <c r="BHK107" s="1056"/>
      <c r="BHL107" s="1056"/>
      <c r="BHM107" s="1056"/>
      <c r="BHN107" s="1056"/>
      <c r="BHO107" s="1056"/>
      <c r="BHP107" s="1056"/>
      <c r="BHQ107" s="1056"/>
      <c r="BHR107" s="1056"/>
      <c r="BHS107" s="1056"/>
      <c r="BHT107" s="1056"/>
      <c r="BHU107" s="1056"/>
      <c r="BHV107" s="1056"/>
      <c r="BHW107" s="1056"/>
      <c r="BHX107" s="1056"/>
      <c r="BHY107" s="1056"/>
      <c r="BHZ107" s="1056"/>
      <c r="BIA107" s="1056"/>
      <c r="BIB107" s="1056"/>
      <c r="BIC107" s="1056"/>
      <c r="BID107" s="1056"/>
      <c r="BIE107" s="1056"/>
      <c r="BIF107" s="1056"/>
      <c r="BIG107" s="1056"/>
      <c r="BIH107" s="1056"/>
      <c r="BII107" s="1056"/>
      <c r="BIJ107" s="1056"/>
      <c r="BIK107" s="1056"/>
      <c r="BIL107" s="1056"/>
      <c r="BIM107" s="1056"/>
      <c r="BIN107" s="1056"/>
      <c r="BIO107" s="1056"/>
      <c r="BIP107" s="1056"/>
      <c r="BIQ107" s="1056"/>
      <c r="BIR107" s="1056"/>
      <c r="BIS107" s="1056"/>
      <c r="BIT107" s="1056"/>
      <c r="BIU107" s="1056"/>
      <c r="BIV107" s="1056"/>
      <c r="BIW107" s="1056"/>
      <c r="BIX107" s="1056"/>
      <c r="BIY107" s="1056"/>
      <c r="BIZ107" s="1056"/>
      <c r="BJA107" s="1056"/>
      <c r="BJB107" s="1056"/>
      <c r="BJC107" s="1056"/>
      <c r="BJD107" s="1056"/>
      <c r="BJE107" s="1056"/>
      <c r="BJF107" s="1056"/>
      <c r="BJG107" s="1056"/>
      <c r="BJH107" s="1056"/>
      <c r="BJI107" s="1056"/>
      <c r="BJJ107" s="1056"/>
      <c r="BJK107" s="1056"/>
      <c r="BJL107" s="1056"/>
      <c r="BJM107" s="1056"/>
      <c r="BJN107" s="1056"/>
      <c r="BJO107" s="1056"/>
      <c r="BJP107" s="1056"/>
      <c r="BJQ107" s="1056"/>
      <c r="BJR107" s="1056"/>
      <c r="BJS107" s="1056"/>
      <c r="BJT107" s="1056"/>
      <c r="BJU107" s="1056"/>
      <c r="BJV107" s="1056"/>
      <c r="BJW107" s="1056"/>
      <c r="BJX107" s="1056"/>
      <c r="BJY107" s="1056"/>
      <c r="BJZ107" s="1056"/>
      <c r="BKA107" s="1056"/>
      <c r="BKB107" s="1056"/>
      <c r="BKC107" s="1056"/>
      <c r="BKD107" s="1056"/>
      <c r="BKE107" s="1056"/>
      <c r="BKF107" s="1056"/>
      <c r="BKG107" s="1056"/>
      <c r="BKH107" s="1056"/>
      <c r="BKI107" s="1056"/>
      <c r="BKJ107" s="1056"/>
      <c r="BKK107" s="1056"/>
      <c r="BKL107" s="1056"/>
      <c r="BKM107" s="1056"/>
      <c r="BKN107" s="1056"/>
      <c r="BKO107" s="1056"/>
      <c r="BKP107" s="1056"/>
      <c r="BKQ107" s="1056"/>
      <c r="BKR107" s="1056"/>
      <c r="BKS107" s="1056"/>
      <c r="BKT107" s="1056"/>
      <c r="BKU107" s="1056"/>
      <c r="BKV107" s="1056"/>
      <c r="BKW107" s="1056"/>
      <c r="BKX107" s="1056"/>
      <c r="BKY107" s="1056"/>
      <c r="BKZ107" s="1056"/>
      <c r="BLA107" s="1056"/>
      <c r="BLB107" s="1056"/>
      <c r="BLC107" s="1056"/>
      <c r="BLD107" s="1056"/>
      <c r="BLE107" s="1056"/>
      <c r="BLF107" s="1056"/>
      <c r="BLG107" s="1056"/>
      <c r="BLH107" s="1056"/>
      <c r="BLI107" s="1056"/>
      <c r="BLJ107" s="1056"/>
      <c r="BLK107" s="1056"/>
      <c r="BLL107" s="1056"/>
      <c r="BLM107" s="1056"/>
      <c r="BLN107" s="1056"/>
      <c r="BLO107" s="1056"/>
      <c r="BLP107" s="1056"/>
      <c r="BLQ107" s="1056"/>
      <c r="BLR107" s="1056"/>
      <c r="BLS107" s="1056"/>
      <c r="BLT107" s="1056"/>
      <c r="BLU107" s="1056"/>
      <c r="BLV107" s="1056"/>
      <c r="BLW107" s="1056"/>
      <c r="BLX107" s="1056"/>
      <c r="BLY107" s="1056"/>
      <c r="BLZ107" s="1056"/>
      <c r="BMA107" s="1056"/>
      <c r="BMB107" s="1056"/>
      <c r="BMC107" s="1056"/>
      <c r="BMD107" s="1056"/>
      <c r="BME107" s="1056"/>
      <c r="BMF107" s="1056"/>
      <c r="BMG107" s="1056"/>
      <c r="BMH107" s="1056"/>
      <c r="BMI107" s="1056"/>
      <c r="BMJ107" s="1056"/>
      <c r="BMK107" s="1056"/>
      <c r="BML107" s="1056"/>
      <c r="BMM107" s="1056"/>
      <c r="BMN107" s="1056"/>
      <c r="BMO107" s="1056"/>
      <c r="BMP107" s="1056"/>
      <c r="BMQ107" s="1056"/>
      <c r="BMR107" s="1056"/>
      <c r="BMS107" s="1056"/>
      <c r="BMT107" s="1056"/>
      <c r="BMU107" s="1056"/>
      <c r="BMV107" s="1056"/>
      <c r="BMW107" s="1056"/>
      <c r="BMX107" s="1056"/>
      <c r="BMY107" s="1056"/>
      <c r="BMZ107" s="1056"/>
      <c r="BNA107" s="1056"/>
      <c r="BNB107" s="1056"/>
      <c r="BNC107" s="1056"/>
      <c r="BND107" s="1056"/>
      <c r="BNE107" s="1056"/>
      <c r="BNF107" s="1056"/>
      <c r="BNG107" s="1056"/>
      <c r="BNH107" s="1056"/>
      <c r="BNI107" s="1056"/>
      <c r="BNJ107" s="1056"/>
      <c r="BNK107" s="1056"/>
      <c r="BNL107" s="1056"/>
      <c r="BNM107" s="1056"/>
      <c r="BNN107" s="1056"/>
      <c r="BNO107" s="1056"/>
      <c r="BNP107" s="1056"/>
      <c r="BNQ107" s="1056"/>
      <c r="BNR107" s="1056"/>
      <c r="BNS107" s="1056"/>
      <c r="BNT107" s="1056"/>
      <c r="BNU107" s="1056"/>
      <c r="BNV107" s="1056"/>
      <c r="BNW107" s="1056"/>
      <c r="BNX107" s="1056"/>
      <c r="BNY107" s="1056"/>
      <c r="BNZ107" s="1056"/>
      <c r="BOA107" s="1056"/>
      <c r="BOB107" s="1056"/>
      <c r="BOC107" s="1056"/>
      <c r="BOD107" s="1056"/>
      <c r="BOE107" s="1056"/>
      <c r="BOF107" s="1056"/>
      <c r="BOG107" s="1056"/>
      <c r="BOH107" s="1056"/>
      <c r="BOI107" s="1056"/>
      <c r="BOJ107" s="1056"/>
      <c r="BOK107" s="1056"/>
      <c r="BOL107" s="1056"/>
      <c r="BOM107" s="1056"/>
      <c r="BON107" s="1056"/>
      <c r="BOO107" s="1056"/>
      <c r="BOP107" s="1056"/>
      <c r="BOQ107" s="1056"/>
      <c r="BOR107" s="1056"/>
      <c r="BOS107" s="1056"/>
      <c r="BOT107" s="1056"/>
      <c r="BOU107" s="1056"/>
      <c r="BOV107" s="1056"/>
      <c r="BOW107" s="1056"/>
      <c r="BOX107" s="1056"/>
      <c r="BOY107" s="1056"/>
      <c r="BOZ107" s="1056"/>
      <c r="BPA107" s="1056"/>
      <c r="BPB107" s="1056"/>
      <c r="BPC107" s="1056"/>
      <c r="BPD107" s="1056"/>
      <c r="BPE107" s="1056"/>
      <c r="BPF107" s="1056"/>
      <c r="BPG107" s="1056"/>
      <c r="BPH107" s="1056"/>
      <c r="BPI107" s="1056"/>
      <c r="BPJ107" s="1056"/>
      <c r="BPK107" s="1056"/>
      <c r="BPL107" s="1056"/>
      <c r="BPM107" s="1056"/>
      <c r="BPN107" s="1056"/>
      <c r="BPO107" s="1056"/>
      <c r="BPP107" s="1056"/>
      <c r="BPQ107" s="1056"/>
      <c r="BPR107" s="1056"/>
      <c r="BPS107" s="1056"/>
      <c r="BPT107" s="1056"/>
      <c r="BPU107" s="1056"/>
      <c r="BPV107" s="1056"/>
      <c r="BPW107" s="1056"/>
      <c r="BPX107" s="1056"/>
      <c r="BPY107" s="1056"/>
      <c r="BPZ107" s="1056"/>
      <c r="BQA107" s="1056"/>
      <c r="BQB107" s="1056"/>
      <c r="BQC107" s="1056"/>
      <c r="BQD107" s="1056"/>
      <c r="BQE107" s="1056"/>
      <c r="BQF107" s="1056"/>
      <c r="BQG107" s="1056"/>
      <c r="BQH107" s="1056"/>
      <c r="BQI107" s="1056"/>
      <c r="BQJ107" s="1056"/>
      <c r="BQK107" s="1056"/>
      <c r="BQL107" s="1056"/>
      <c r="BQM107" s="1056"/>
      <c r="BQN107" s="1056"/>
      <c r="BQO107" s="1056"/>
      <c r="BQP107" s="1056"/>
      <c r="BQQ107" s="1056"/>
      <c r="BQR107" s="1056"/>
      <c r="BQS107" s="1056"/>
      <c r="BQT107" s="1056"/>
      <c r="BQU107" s="1056"/>
      <c r="BQV107" s="1056"/>
      <c r="BQW107" s="1056"/>
      <c r="BQX107" s="1056"/>
      <c r="BQY107" s="1056"/>
      <c r="BQZ107" s="1056"/>
      <c r="BRA107" s="1056"/>
      <c r="BRB107" s="1056"/>
      <c r="BRC107" s="1056"/>
      <c r="BRD107" s="1056"/>
      <c r="BRE107" s="1056"/>
      <c r="BRF107" s="1056"/>
      <c r="BRG107" s="1056"/>
      <c r="BRH107" s="1056"/>
      <c r="BRI107" s="1056"/>
      <c r="BRJ107" s="1056"/>
      <c r="BRK107" s="1056"/>
      <c r="BRL107" s="1056"/>
      <c r="BRM107" s="1056"/>
      <c r="BRN107" s="1056"/>
      <c r="BRO107" s="1056"/>
      <c r="BRP107" s="1056"/>
      <c r="BRQ107" s="1056"/>
      <c r="BRR107" s="1056"/>
      <c r="BRS107" s="1056"/>
      <c r="BRT107" s="1056"/>
      <c r="BRU107" s="1056"/>
      <c r="BRV107" s="1056"/>
      <c r="BRW107" s="1056"/>
      <c r="BRX107" s="1056"/>
      <c r="BRY107" s="1056"/>
      <c r="BRZ107" s="1056"/>
      <c r="BSA107" s="1056"/>
      <c r="BSB107" s="1056"/>
      <c r="BSC107" s="1056"/>
      <c r="BSD107" s="1056"/>
      <c r="BSE107" s="1056"/>
      <c r="BSF107" s="1056"/>
      <c r="BSG107" s="1056"/>
      <c r="BSH107" s="1056"/>
      <c r="BSI107" s="1056"/>
      <c r="BSJ107" s="1056"/>
      <c r="BSK107" s="1056"/>
      <c r="BSL107" s="1056"/>
      <c r="BSM107" s="1056"/>
      <c r="BSN107" s="1056"/>
      <c r="BSO107" s="1056"/>
      <c r="BSP107" s="1056"/>
      <c r="BSQ107" s="1056"/>
      <c r="BSR107" s="1056"/>
      <c r="BSS107" s="1056"/>
      <c r="BST107" s="1056"/>
      <c r="BSU107" s="1056"/>
      <c r="BSV107" s="1056"/>
      <c r="BSW107" s="1056"/>
      <c r="BSX107" s="1056"/>
      <c r="BSY107" s="1056"/>
      <c r="BSZ107" s="1056"/>
      <c r="BTA107" s="1056"/>
      <c r="BTB107" s="1056"/>
      <c r="BTC107" s="1056"/>
      <c r="BTD107" s="1056"/>
      <c r="BTE107" s="1056"/>
      <c r="BTF107" s="1056"/>
      <c r="BTG107" s="1056"/>
      <c r="BTH107" s="1056"/>
      <c r="BTI107" s="1056"/>
    </row>
    <row r="108" spans="1:1881" s="1060" customFormat="1" ht="128.25" hidden="1" customHeight="1" thickBot="1" x14ac:dyDescent="0.35">
      <c r="A108" s="1071">
        <v>572</v>
      </c>
      <c r="B108" s="1069" t="s">
        <v>59</v>
      </c>
      <c r="C108" s="1074" t="s">
        <v>1055</v>
      </c>
      <c r="D108" s="1074" t="s">
        <v>1057</v>
      </c>
      <c r="E108" s="1053" t="e">
        <f>HLOOKUP($D$2,'2020 Data(H)'!$C$1:$AI$426,222,FALSE)</f>
        <v>#N/A</v>
      </c>
      <c r="F108" s="287">
        <v>0</v>
      </c>
      <c r="G108" s="722"/>
      <c r="H108" s="764"/>
      <c r="I108" s="1055"/>
      <c r="J108" s="1068"/>
      <c r="K108" s="1056"/>
      <c r="L108" s="1057"/>
      <c r="M108" s="1056"/>
      <c r="N108" s="1058"/>
      <c r="O108" s="1056"/>
      <c r="P108" s="1056"/>
      <c r="Q108" s="1056"/>
      <c r="R108" s="1056"/>
      <c r="S108" s="1056"/>
      <c r="T108" s="1056"/>
      <c r="U108" s="1056"/>
      <c r="V108" s="1056"/>
      <c r="W108" s="1056"/>
      <c r="X108" s="1056"/>
      <c r="Y108" s="1056"/>
      <c r="Z108" s="1073"/>
      <c r="AA108" s="1073"/>
      <c r="AB108" s="1073"/>
      <c r="AC108" s="1073"/>
      <c r="AD108" s="1073"/>
      <c r="AE108" s="1073"/>
      <c r="AF108" s="1073"/>
      <c r="AG108" s="1073"/>
      <c r="AH108" s="1073"/>
      <c r="AI108" s="1073"/>
      <c r="AJ108" s="1073"/>
      <c r="AK108" s="1073"/>
      <c r="AL108" s="1073"/>
      <c r="AM108" s="1073"/>
      <c r="AN108" s="1073"/>
      <c r="AO108" s="1073"/>
      <c r="AP108" s="1073"/>
      <c r="AQ108" s="1073"/>
      <c r="AR108" s="1073"/>
      <c r="AS108" s="1056"/>
      <c r="AT108" s="1056"/>
      <c r="AU108" s="1056"/>
      <c r="AV108" s="1056"/>
      <c r="AW108" s="1056"/>
      <c r="AX108" s="1056"/>
      <c r="AY108" s="1056"/>
      <c r="AZ108" s="1056"/>
      <c r="BA108" s="1056"/>
      <c r="BB108" s="1056"/>
      <c r="BC108" s="1056"/>
      <c r="BD108" s="1056"/>
      <c r="BE108" s="1056"/>
      <c r="BF108" s="1056"/>
      <c r="BG108" s="1056"/>
      <c r="BH108" s="1056"/>
      <c r="BI108" s="1056"/>
      <c r="BJ108" s="1056"/>
      <c r="BK108" s="1056"/>
      <c r="BL108" s="1056"/>
      <c r="BM108" s="1056"/>
      <c r="BN108" s="1056"/>
      <c r="BO108" s="1056"/>
      <c r="BP108" s="1056"/>
      <c r="BQ108" s="1056"/>
      <c r="BR108" s="1056"/>
      <c r="BS108" s="1056"/>
      <c r="BT108" s="1056"/>
      <c r="BU108" s="1056"/>
      <c r="BV108" s="1056"/>
      <c r="BW108" s="1056"/>
      <c r="BX108" s="1056"/>
      <c r="BY108" s="1056"/>
      <c r="BZ108" s="1056"/>
      <c r="CA108" s="1056"/>
      <c r="CB108" s="1056"/>
      <c r="CC108" s="1056"/>
      <c r="CD108" s="1056"/>
      <c r="CE108" s="1056"/>
      <c r="CF108" s="1056"/>
      <c r="CG108" s="1056"/>
      <c r="CH108" s="1056"/>
      <c r="CI108" s="1056"/>
      <c r="CJ108" s="1056"/>
      <c r="CK108" s="1056"/>
      <c r="CL108" s="1056"/>
      <c r="CM108" s="1056"/>
      <c r="CN108" s="1056"/>
      <c r="CO108" s="1056"/>
      <c r="CP108" s="1056"/>
      <c r="CQ108" s="1056"/>
      <c r="CR108" s="1056"/>
      <c r="CS108" s="1056"/>
      <c r="CT108" s="1056"/>
      <c r="CU108" s="1056"/>
      <c r="CV108" s="1056"/>
      <c r="CW108" s="1056"/>
      <c r="CX108" s="1056"/>
      <c r="CY108" s="1056"/>
      <c r="CZ108" s="1056"/>
      <c r="DA108" s="1056"/>
      <c r="DB108" s="1056"/>
      <c r="DC108" s="1056"/>
      <c r="DD108" s="1056"/>
      <c r="DE108" s="1056"/>
      <c r="DF108" s="1056"/>
      <c r="DG108" s="1056"/>
      <c r="DH108" s="1056"/>
      <c r="DI108" s="1056"/>
      <c r="DJ108" s="1056"/>
      <c r="DK108" s="1056"/>
      <c r="DL108" s="1056"/>
      <c r="DM108" s="1056"/>
      <c r="DN108" s="1056"/>
      <c r="DO108" s="1056"/>
      <c r="DP108" s="1056"/>
      <c r="DQ108" s="1056"/>
      <c r="DR108" s="1056"/>
      <c r="DS108" s="1056"/>
      <c r="DT108" s="1056"/>
      <c r="DU108" s="1056"/>
      <c r="DV108" s="1056"/>
      <c r="DW108" s="1056"/>
      <c r="DX108" s="1056"/>
      <c r="DY108" s="1056"/>
      <c r="DZ108" s="1056"/>
      <c r="EA108" s="1056"/>
      <c r="EB108" s="1056"/>
      <c r="EC108" s="1056"/>
      <c r="ED108" s="1056"/>
      <c r="EE108" s="1056"/>
      <c r="EF108" s="1056"/>
      <c r="EG108" s="1056"/>
      <c r="EH108" s="1056"/>
      <c r="EI108" s="1056"/>
      <c r="EJ108" s="1056"/>
      <c r="EK108" s="1056"/>
      <c r="EL108" s="1056"/>
      <c r="EM108" s="1056"/>
      <c r="EN108" s="1056"/>
      <c r="EO108" s="1056"/>
      <c r="EP108" s="1056"/>
      <c r="EQ108" s="1056"/>
      <c r="ER108" s="1056"/>
      <c r="ES108" s="1056"/>
      <c r="ET108" s="1056"/>
      <c r="EU108" s="1056"/>
      <c r="EV108" s="1056"/>
      <c r="EW108" s="1056"/>
      <c r="EX108" s="1056"/>
      <c r="EY108" s="1056"/>
      <c r="EZ108" s="1056"/>
      <c r="FA108" s="1056"/>
      <c r="FB108" s="1056"/>
      <c r="FC108" s="1056"/>
      <c r="FD108" s="1056"/>
      <c r="FE108" s="1056"/>
      <c r="FF108" s="1056"/>
      <c r="FG108" s="1056"/>
      <c r="FH108" s="1056"/>
      <c r="FI108" s="1056"/>
      <c r="FJ108" s="1056"/>
      <c r="FK108" s="1056"/>
      <c r="FL108" s="1056"/>
      <c r="FM108" s="1056"/>
      <c r="FN108" s="1056"/>
      <c r="FO108" s="1056"/>
      <c r="FP108" s="1056"/>
      <c r="FQ108" s="1056"/>
      <c r="FR108" s="1056"/>
      <c r="FS108" s="1056"/>
      <c r="FT108" s="1056"/>
      <c r="FU108" s="1056"/>
      <c r="FV108" s="1056"/>
      <c r="FW108" s="1056"/>
      <c r="FX108" s="1056"/>
      <c r="FY108" s="1056"/>
      <c r="FZ108" s="1056"/>
      <c r="GA108" s="1056"/>
      <c r="GB108" s="1056"/>
      <c r="GC108" s="1056"/>
      <c r="GD108" s="1056"/>
      <c r="GE108" s="1056"/>
      <c r="GF108" s="1056"/>
      <c r="GG108" s="1056"/>
      <c r="GH108" s="1056"/>
      <c r="GI108" s="1056"/>
      <c r="GJ108" s="1056"/>
      <c r="GK108" s="1056"/>
      <c r="GL108" s="1056"/>
      <c r="GM108" s="1056"/>
      <c r="GN108" s="1056"/>
      <c r="GO108" s="1056"/>
      <c r="GP108" s="1056"/>
      <c r="GQ108" s="1056"/>
      <c r="GR108" s="1056"/>
      <c r="GS108" s="1056"/>
      <c r="GT108" s="1056"/>
      <c r="GU108" s="1056"/>
      <c r="GV108" s="1056"/>
      <c r="GW108" s="1056"/>
      <c r="GX108" s="1056"/>
      <c r="GY108" s="1056"/>
      <c r="GZ108" s="1056"/>
      <c r="HA108" s="1056"/>
      <c r="HB108" s="1056"/>
      <c r="HC108" s="1056"/>
      <c r="HD108" s="1056"/>
      <c r="HE108" s="1056"/>
      <c r="HF108" s="1056"/>
      <c r="HG108" s="1056"/>
      <c r="HH108" s="1056"/>
      <c r="HI108" s="1056"/>
      <c r="HJ108" s="1056"/>
      <c r="HK108" s="1056"/>
      <c r="HL108" s="1056"/>
      <c r="HM108" s="1056"/>
      <c r="HN108" s="1056"/>
      <c r="HO108" s="1056"/>
      <c r="HP108" s="1056"/>
      <c r="HQ108" s="1056"/>
      <c r="HR108" s="1056"/>
      <c r="HS108" s="1056"/>
      <c r="HT108" s="1056"/>
      <c r="HU108" s="1056"/>
      <c r="HV108" s="1056"/>
      <c r="HW108" s="1056"/>
      <c r="HX108" s="1056"/>
      <c r="HY108" s="1056"/>
      <c r="HZ108" s="1056"/>
      <c r="IA108" s="1056"/>
      <c r="IB108" s="1056"/>
      <c r="IC108" s="1056"/>
      <c r="ID108" s="1056"/>
      <c r="IE108" s="1056"/>
      <c r="IF108" s="1056"/>
      <c r="IG108" s="1056"/>
      <c r="IH108" s="1056"/>
      <c r="II108" s="1056"/>
      <c r="IJ108" s="1056"/>
      <c r="IK108" s="1056"/>
      <c r="IL108" s="1056"/>
      <c r="IM108" s="1056"/>
      <c r="IN108" s="1056"/>
      <c r="IO108" s="1056"/>
      <c r="IP108" s="1056"/>
      <c r="IQ108" s="1056"/>
      <c r="IR108" s="1056"/>
      <c r="IS108" s="1056"/>
      <c r="IT108" s="1056"/>
      <c r="IU108" s="1056"/>
      <c r="IV108" s="1056"/>
      <c r="IW108" s="1056"/>
      <c r="IX108" s="1056"/>
      <c r="IY108" s="1056"/>
      <c r="IZ108" s="1056"/>
      <c r="JA108" s="1056"/>
      <c r="JB108" s="1056"/>
      <c r="JC108" s="1056"/>
      <c r="JD108" s="1056"/>
      <c r="JE108" s="1056"/>
      <c r="JF108" s="1056"/>
      <c r="JG108" s="1056"/>
      <c r="JH108" s="1056"/>
      <c r="JI108" s="1056"/>
      <c r="JJ108" s="1056"/>
      <c r="JK108" s="1056"/>
      <c r="JL108" s="1056"/>
      <c r="JM108" s="1056"/>
      <c r="JN108" s="1056"/>
      <c r="JO108" s="1056"/>
      <c r="JP108" s="1056"/>
      <c r="JQ108" s="1056"/>
      <c r="JR108" s="1056"/>
      <c r="JS108" s="1056"/>
      <c r="JT108" s="1056"/>
      <c r="JU108" s="1056"/>
      <c r="JV108" s="1056"/>
      <c r="JW108" s="1056"/>
      <c r="JX108" s="1056"/>
      <c r="JY108" s="1056"/>
      <c r="JZ108" s="1056"/>
      <c r="KA108" s="1056"/>
      <c r="KB108" s="1056"/>
      <c r="KC108" s="1056"/>
      <c r="KD108" s="1056"/>
      <c r="KE108" s="1056"/>
      <c r="KF108" s="1056"/>
      <c r="KG108" s="1056"/>
      <c r="KH108" s="1056"/>
      <c r="KI108" s="1056"/>
      <c r="KJ108" s="1056"/>
      <c r="KK108" s="1056"/>
      <c r="KL108" s="1056"/>
      <c r="KM108" s="1056"/>
      <c r="KN108" s="1056"/>
      <c r="KO108" s="1056"/>
      <c r="KP108" s="1056"/>
      <c r="KQ108" s="1056"/>
      <c r="KR108" s="1056"/>
      <c r="KS108" s="1056"/>
      <c r="KT108" s="1056"/>
      <c r="KU108" s="1056"/>
      <c r="KV108" s="1056"/>
      <c r="KW108" s="1056"/>
      <c r="KX108" s="1056"/>
      <c r="KY108" s="1056"/>
      <c r="KZ108" s="1056"/>
      <c r="LA108" s="1056"/>
      <c r="LB108" s="1056"/>
      <c r="LC108" s="1056"/>
      <c r="LD108" s="1056"/>
      <c r="LE108" s="1056"/>
      <c r="LF108" s="1056"/>
      <c r="LG108" s="1056"/>
      <c r="LH108" s="1056"/>
      <c r="LI108" s="1056"/>
      <c r="LJ108" s="1056"/>
      <c r="LK108" s="1056"/>
      <c r="LL108" s="1056"/>
      <c r="LM108" s="1056"/>
      <c r="LN108" s="1056"/>
      <c r="LO108" s="1056"/>
      <c r="LP108" s="1056"/>
      <c r="LQ108" s="1056"/>
      <c r="LR108" s="1056"/>
      <c r="LS108" s="1056"/>
      <c r="LT108" s="1056"/>
      <c r="LU108" s="1056"/>
      <c r="LV108" s="1056"/>
      <c r="LW108" s="1056"/>
      <c r="LX108" s="1056"/>
      <c r="LY108" s="1056"/>
      <c r="LZ108" s="1056"/>
      <c r="MA108" s="1056"/>
      <c r="MB108" s="1056"/>
      <c r="MC108" s="1056"/>
      <c r="MD108" s="1056"/>
      <c r="ME108" s="1056"/>
      <c r="MF108" s="1056"/>
      <c r="MG108" s="1056"/>
      <c r="MH108" s="1056"/>
      <c r="MI108" s="1056"/>
      <c r="MJ108" s="1056"/>
      <c r="MK108" s="1056"/>
      <c r="ML108" s="1056"/>
      <c r="MM108" s="1056"/>
      <c r="MN108" s="1056"/>
      <c r="MO108" s="1056"/>
      <c r="MP108" s="1056"/>
      <c r="MQ108" s="1056"/>
      <c r="MR108" s="1056"/>
      <c r="MS108" s="1056"/>
      <c r="MT108" s="1056"/>
      <c r="MU108" s="1056"/>
      <c r="MV108" s="1056"/>
      <c r="MW108" s="1056"/>
      <c r="MX108" s="1056"/>
      <c r="MY108" s="1056"/>
      <c r="MZ108" s="1056"/>
      <c r="NA108" s="1056"/>
      <c r="NB108" s="1056"/>
      <c r="NC108" s="1056"/>
      <c r="ND108" s="1056"/>
      <c r="NE108" s="1056"/>
      <c r="NF108" s="1056"/>
      <c r="NG108" s="1056"/>
      <c r="NH108" s="1056"/>
      <c r="NI108" s="1056"/>
      <c r="NJ108" s="1056"/>
      <c r="NK108" s="1056"/>
      <c r="NL108" s="1056"/>
      <c r="NM108" s="1056"/>
      <c r="NN108" s="1056"/>
      <c r="NO108" s="1056"/>
      <c r="NP108" s="1056"/>
      <c r="NQ108" s="1056"/>
      <c r="NR108" s="1056"/>
      <c r="NS108" s="1056"/>
      <c r="NT108" s="1056"/>
      <c r="NU108" s="1056"/>
      <c r="NV108" s="1056"/>
      <c r="NW108" s="1056"/>
      <c r="NX108" s="1056"/>
      <c r="NY108" s="1056"/>
      <c r="NZ108" s="1056"/>
      <c r="OA108" s="1056"/>
      <c r="OB108" s="1056"/>
      <c r="OC108" s="1056"/>
      <c r="OD108" s="1056"/>
      <c r="OE108" s="1056"/>
      <c r="OF108" s="1056"/>
      <c r="OG108" s="1056"/>
      <c r="OH108" s="1056"/>
      <c r="OI108" s="1056"/>
      <c r="OJ108" s="1056"/>
      <c r="OK108" s="1056"/>
      <c r="OL108" s="1056"/>
      <c r="OM108" s="1056"/>
      <c r="ON108" s="1056"/>
      <c r="OO108" s="1056"/>
      <c r="OP108" s="1056"/>
      <c r="OQ108" s="1056"/>
      <c r="OR108" s="1056"/>
      <c r="OS108" s="1056"/>
      <c r="OT108" s="1056"/>
      <c r="OU108" s="1056"/>
      <c r="OV108" s="1056"/>
      <c r="OW108" s="1056"/>
      <c r="OX108" s="1056"/>
      <c r="OY108" s="1056"/>
      <c r="OZ108" s="1056"/>
      <c r="PA108" s="1056"/>
      <c r="PB108" s="1056"/>
      <c r="PC108" s="1056"/>
      <c r="PD108" s="1056"/>
      <c r="PE108" s="1056"/>
      <c r="PF108" s="1056"/>
      <c r="PG108" s="1056"/>
      <c r="PH108" s="1056"/>
      <c r="PI108" s="1056"/>
      <c r="PJ108" s="1056"/>
      <c r="PK108" s="1056"/>
      <c r="PL108" s="1056"/>
      <c r="PM108" s="1056"/>
      <c r="PN108" s="1056"/>
      <c r="PO108" s="1056"/>
      <c r="PP108" s="1056"/>
      <c r="PQ108" s="1056"/>
      <c r="PR108" s="1056"/>
      <c r="PS108" s="1056"/>
      <c r="PT108" s="1056"/>
      <c r="PU108" s="1056"/>
      <c r="PV108" s="1056"/>
      <c r="PW108" s="1056"/>
      <c r="PX108" s="1056"/>
      <c r="PY108" s="1056"/>
      <c r="PZ108" s="1056"/>
      <c r="QA108" s="1056"/>
      <c r="QB108" s="1056"/>
      <c r="QC108" s="1056"/>
      <c r="QD108" s="1056"/>
      <c r="QE108" s="1056"/>
      <c r="QF108" s="1056"/>
      <c r="QG108" s="1056"/>
      <c r="QH108" s="1056"/>
      <c r="QI108" s="1056"/>
      <c r="QJ108" s="1056"/>
      <c r="QK108" s="1056"/>
      <c r="QL108" s="1056"/>
      <c r="QM108" s="1056"/>
      <c r="QN108" s="1056"/>
      <c r="QO108" s="1056"/>
      <c r="QP108" s="1056"/>
      <c r="QQ108" s="1056"/>
      <c r="QR108" s="1056"/>
      <c r="QS108" s="1056"/>
      <c r="QT108" s="1056"/>
      <c r="QU108" s="1056"/>
      <c r="QV108" s="1056"/>
      <c r="QW108" s="1056"/>
      <c r="QX108" s="1056"/>
      <c r="QY108" s="1056"/>
      <c r="QZ108" s="1056"/>
      <c r="RA108" s="1056"/>
      <c r="RB108" s="1056"/>
      <c r="RC108" s="1056"/>
      <c r="RD108" s="1056"/>
      <c r="RE108" s="1056"/>
      <c r="RF108" s="1056"/>
      <c r="RG108" s="1056"/>
      <c r="RH108" s="1056"/>
      <c r="RI108" s="1056"/>
      <c r="RJ108" s="1056"/>
      <c r="RK108" s="1056"/>
      <c r="RL108" s="1056"/>
      <c r="RM108" s="1056"/>
      <c r="RN108" s="1056"/>
      <c r="RO108" s="1056"/>
      <c r="RP108" s="1056"/>
      <c r="RQ108" s="1056"/>
      <c r="RR108" s="1056"/>
      <c r="RS108" s="1056"/>
      <c r="RT108" s="1056"/>
      <c r="RU108" s="1056"/>
      <c r="RV108" s="1056"/>
      <c r="RW108" s="1056"/>
      <c r="RX108" s="1056"/>
      <c r="RY108" s="1056"/>
      <c r="RZ108" s="1056"/>
      <c r="SA108" s="1056"/>
      <c r="SB108" s="1056"/>
      <c r="SC108" s="1056"/>
      <c r="SD108" s="1056"/>
      <c r="SE108" s="1056"/>
      <c r="SF108" s="1056"/>
      <c r="SG108" s="1056"/>
      <c r="SH108" s="1056"/>
      <c r="SI108" s="1056"/>
      <c r="SJ108" s="1056"/>
      <c r="SK108" s="1056"/>
      <c r="SL108" s="1056"/>
      <c r="SM108" s="1056"/>
      <c r="SN108" s="1056"/>
      <c r="SO108" s="1056"/>
      <c r="SP108" s="1056"/>
      <c r="SQ108" s="1056"/>
      <c r="SR108" s="1056"/>
      <c r="SS108" s="1056"/>
      <c r="ST108" s="1056"/>
      <c r="SU108" s="1056"/>
      <c r="SV108" s="1056"/>
      <c r="SW108" s="1056"/>
      <c r="SX108" s="1056"/>
      <c r="SY108" s="1056"/>
      <c r="SZ108" s="1056"/>
      <c r="TA108" s="1056"/>
      <c r="TB108" s="1056"/>
      <c r="TC108" s="1056"/>
      <c r="TD108" s="1056"/>
      <c r="TE108" s="1056"/>
      <c r="TF108" s="1056"/>
      <c r="TG108" s="1056"/>
      <c r="TH108" s="1056"/>
      <c r="TI108" s="1056"/>
      <c r="TJ108" s="1056"/>
      <c r="TK108" s="1056"/>
      <c r="TL108" s="1056"/>
      <c r="TM108" s="1056"/>
      <c r="TN108" s="1056"/>
      <c r="TO108" s="1056"/>
      <c r="TP108" s="1056"/>
      <c r="TQ108" s="1056"/>
      <c r="TR108" s="1056"/>
      <c r="TS108" s="1056"/>
      <c r="TT108" s="1056"/>
      <c r="TU108" s="1056"/>
      <c r="TV108" s="1056"/>
      <c r="TW108" s="1056"/>
      <c r="TX108" s="1056"/>
      <c r="TY108" s="1056"/>
      <c r="TZ108" s="1056"/>
      <c r="UA108" s="1056"/>
      <c r="UB108" s="1056"/>
      <c r="UC108" s="1056"/>
      <c r="UD108" s="1056"/>
      <c r="UE108" s="1056"/>
      <c r="UF108" s="1056"/>
      <c r="UG108" s="1056"/>
      <c r="UH108" s="1056"/>
      <c r="UI108" s="1056"/>
      <c r="UJ108" s="1056"/>
      <c r="UK108" s="1056"/>
      <c r="UL108" s="1056"/>
      <c r="UM108" s="1056"/>
      <c r="UN108" s="1056"/>
      <c r="UO108" s="1056"/>
      <c r="UP108" s="1056"/>
      <c r="UQ108" s="1056"/>
      <c r="UR108" s="1056"/>
      <c r="US108" s="1056"/>
      <c r="UT108" s="1056"/>
      <c r="UU108" s="1056"/>
      <c r="UV108" s="1056"/>
      <c r="UW108" s="1056"/>
      <c r="UX108" s="1056"/>
      <c r="UY108" s="1056"/>
      <c r="UZ108" s="1056"/>
      <c r="VA108" s="1056"/>
      <c r="VB108" s="1056"/>
      <c r="VC108" s="1056"/>
      <c r="VD108" s="1056"/>
      <c r="VE108" s="1056"/>
      <c r="VF108" s="1056"/>
      <c r="VG108" s="1056"/>
      <c r="VH108" s="1056"/>
      <c r="VI108" s="1056"/>
      <c r="VJ108" s="1056"/>
      <c r="VK108" s="1056"/>
      <c r="VL108" s="1056"/>
      <c r="VM108" s="1056"/>
      <c r="VN108" s="1056"/>
      <c r="VO108" s="1056"/>
      <c r="VP108" s="1056"/>
      <c r="VQ108" s="1056"/>
      <c r="VR108" s="1056"/>
      <c r="VS108" s="1056"/>
      <c r="VT108" s="1056"/>
      <c r="VU108" s="1056"/>
      <c r="VV108" s="1056"/>
      <c r="VW108" s="1056"/>
      <c r="VX108" s="1056"/>
      <c r="VY108" s="1056"/>
      <c r="VZ108" s="1056"/>
      <c r="WA108" s="1056"/>
      <c r="WB108" s="1056"/>
      <c r="WC108" s="1056"/>
      <c r="WD108" s="1056"/>
      <c r="WE108" s="1056"/>
      <c r="WF108" s="1056"/>
      <c r="WG108" s="1056"/>
      <c r="WH108" s="1056"/>
      <c r="WI108" s="1056"/>
      <c r="WJ108" s="1056"/>
      <c r="WK108" s="1056"/>
      <c r="WL108" s="1056"/>
      <c r="WM108" s="1056"/>
      <c r="WN108" s="1056"/>
      <c r="WO108" s="1056"/>
      <c r="WP108" s="1056"/>
      <c r="WQ108" s="1056"/>
      <c r="WR108" s="1056"/>
      <c r="WS108" s="1056"/>
      <c r="WT108" s="1056"/>
      <c r="WU108" s="1056"/>
      <c r="WV108" s="1056"/>
      <c r="WW108" s="1056"/>
      <c r="WX108" s="1056"/>
      <c r="WY108" s="1056"/>
      <c r="WZ108" s="1056"/>
      <c r="XA108" s="1056"/>
      <c r="XB108" s="1056"/>
      <c r="XC108" s="1056"/>
      <c r="XD108" s="1056"/>
      <c r="XE108" s="1056"/>
      <c r="XF108" s="1056"/>
      <c r="XG108" s="1056"/>
      <c r="XH108" s="1056"/>
      <c r="XI108" s="1056"/>
      <c r="XJ108" s="1056"/>
      <c r="XK108" s="1056"/>
      <c r="XL108" s="1056"/>
      <c r="XM108" s="1056"/>
      <c r="XN108" s="1056"/>
      <c r="XO108" s="1056"/>
      <c r="XP108" s="1056"/>
      <c r="XQ108" s="1056"/>
      <c r="XR108" s="1056"/>
      <c r="XS108" s="1056"/>
      <c r="XT108" s="1056"/>
      <c r="XU108" s="1056"/>
      <c r="XV108" s="1056"/>
      <c r="XW108" s="1056"/>
      <c r="XX108" s="1056"/>
      <c r="XY108" s="1056"/>
      <c r="XZ108" s="1056"/>
      <c r="YA108" s="1056"/>
      <c r="YB108" s="1056"/>
      <c r="YC108" s="1056"/>
      <c r="YD108" s="1056"/>
      <c r="YE108" s="1056"/>
      <c r="YF108" s="1056"/>
      <c r="YG108" s="1056"/>
      <c r="YH108" s="1056"/>
      <c r="YI108" s="1056"/>
      <c r="YJ108" s="1056"/>
      <c r="YK108" s="1056"/>
      <c r="YL108" s="1056"/>
      <c r="YM108" s="1056"/>
      <c r="YN108" s="1056"/>
      <c r="YO108" s="1056"/>
      <c r="YP108" s="1056"/>
      <c r="YQ108" s="1056"/>
      <c r="YR108" s="1056"/>
      <c r="YS108" s="1056"/>
      <c r="YT108" s="1056"/>
      <c r="YU108" s="1056"/>
      <c r="YV108" s="1056"/>
      <c r="YW108" s="1056"/>
      <c r="YX108" s="1056"/>
      <c r="YY108" s="1056"/>
      <c r="YZ108" s="1056"/>
      <c r="ZA108" s="1056"/>
      <c r="ZB108" s="1056"/>
      <c r="ZC108" s="1056"/>
      <c r="ZD108" s="1056"/>
      <c r="ZE108" s="1056"/>
      <c r="ZF108" s="1056"/>
      <c r="ZG108" s="1056"/>
      <c r="ZH108" s="1056"/>
      <c r="ZI108" s="1056"/>
      <c r="ZJ108" s="1056"/>
      <c r="ZK108" s="1056"/>
      <c r="ZL108" s="1056"/>
      <c r="ZM108" s="1056"/>
      <c r="ZN108" s="1056"/>
      <c r="ZO108" s="1056"/>
      <c r="ZP108" s="1056"/>
      <c r="ZQ108" s="1056"/>
      <c r="ZR108" s="1056"/>
      <c r="ZS108" s="1056"/>
      <c r="ZT108" s="1056"/>
      <c r="ZU108" s="1056"/>
      <c r="ZV108" s="1056"/>
      <c r="ZW108" s="1056"/>
      <c r="ZX108" s="1056"/>
      <c r="ZY108" s="1056"/>
      <c r="ZZ108" s="1056"/>
      <c r="AAA108" s="1056"/>
      <c r="AAB108" s="1056"/>
      <c r="AAC108" s="1056"/>
      <c r="AAD108" s="1056"/>
      <c r="AAE108" s="1056"/>
      <c r="AAF108" s="1056"/>
      <c r="AAG108" s="1056"/>
      <c r="AAH108" s="1056"/>
      <c r="AAI108" s="1056"/>
      <c r="AAJ108" s="1056"/>
      <c r="AAK108" s="1056"/>
      <c r="AAL108" s="1056"/>
      <c r="AAM108" s="1056"/>
      <c r="AAN108" s="1056"/>
      <c r="AAO108" s="1056"/>
      <c r="AAP108" s="1056"/>
      <c r="AAQ108" s="1056"/>
      <c r="AAR108" s="1056"/>
      <c r="AAS108" s="1056"/>
      <c r="AAT108" s="1056"/>
      <c r="AAU108" s="1056"/>
      <c r="AAV108" s="1056"/>
      <c r="AAW108" s="1056"/>
      <c r="AAX108" s="1056"/>
      <c r="AAY108" s="1056"/>
      <c r="AAZ108" s="1056"/>
      <c r="ABA108" s="1056"/>
      <c r="ABB108" s="1056"/>
      <c r="ABC108" s="1056"/>
      <c r="ABD108" s="1056"/>
      <c r="ABE108" s="1056"/>
      <c r="ABF108" s="1056"/>
      <c r="ABG108" s="1056"/>
      <c r="ABH108" s="1056"/>
      <c r="ABI108" s="1056"/>
      <c r="ABJ108" s="1056"/>
      <c r="ABK108" s="1056"/>
      <c r="ABL108" s="1056"/>
      <c r="ABM108" s="1056"/>
      <c r="ABN108" s="1056"/>
      <c r="ABO108" s="1056"/>
      <c r="ABP108" s="1056"/>
      <c r="ABQ108" s="1056"/>
      <c r="ABR108" s="1056"/>
      <c r="ABS108" s="1056"/>
      <c r="ABT108" s="1056"/>
      <c r="ABU108" s="1056"/>
      <c r="ABV108" s="1056"/>
      <c r="ABW108" s="1056"/>
      <c r="ABX108" s="1056"/>
      <c r="ABY108" s="1056"/>
      <c r="ABZ108" s="1056"/>
      <c r="ACA108" s="1056"/>
      <c r="ACB108" s="1056"/>
      <c r="ACC108" s="1056"/>
      <c r="ACD108" s="1056"/>
      <c r="ACE108" s="1056"/>
      <c r="ACF108" s="1056"/>
      <c r="ACG108" s="1056"/>
      <c r="ACH108" s="1056"/>
      <c r="ACI108" s="1056"/>
      <c r="ACJ108" s="1056"/>
      <c r="ACK108" s="1056"/>
      <c r="ACL108" s="1056"/>
      <c r="ACM108" s="1056"/>
      <c r="ACN108" s="1056"/>
      <c r="ACO108" s="1056"/>
      <c r="ACP108" s="1056"/>
      <c r="ACQ108" s="1056"/>
      <c r="ACR108" s="1056"/>
      <c r="ACS108" s="1056"/>
      <c r="ACT108" s="1056"/>
      <c r="ACU108" s="1056"/>
      <c r="ACV108" s="1056"/>
      <c r="ACW108" s="1056"/>
      <c r="ACX108" s="1056"/>
      <c r="ACY108" s="1056"/>
      <c r="ACZ108" s="1056"/>
      <c r="ADA108" s="1056"/>
      <c r="ADB108" s="1056"/>
      <c r="ADC108" s="1056"/>
      <c r="ADD108" s="1056"/>
      <c r="ADE108" s="1056"/>
      <c r="ADF108" s="1056"/>
      <c r="ADG108" s="1056"/>
      <c r="ADH108" s="1056"/>
      <c r="ADI108" s="1056"/>
      <c r="ADJ108" s="1056"/>
      <c r="ADK108" s="1056"/>
      <c r="ADL108" s="1056"/>
      <c r="ADM108" s="1056"/>
      <c r="ADN108" s="1056"/>
      <c r="ADO108" s="1056"/>
      <c r="ADP108" s="1056"/>
      <c r="ADQ108" s="1056"/>
      <c r="ADR108" s="1056"/>
      <c r="ADS108" s="1056"/>
      <c r="ADT108" s="1056"/>
      <c r="ADU108" s="1056"/>
      <c r="ADV108" s="1056"/>
      <c r="ADW108" s="1056"/>
      <c r="ADX108" s="1056"/>
      <c r="ADY108" s="1056"/>
      <c r="ADZ108" s="1056"/>
      <c r="AEA108" s="1056"/>
      <c r="AEB108" s="1056"/>
      <c r="AEC108" s="1056"/>
      <c r="AED108" s="1056"/>
      <c r="AEE108" s="1056"/>
      <c r="AEF108" s="1056"/>
      <c r="AEG108" s="1056"/>
      <c r="AEH108" s="1056"/>
      <c r="AEI108" s="1056"/>
      <c r="AEJ108" s="1056"/>
      <c r="AEK108" s="1056"/>
      <c r="AEL108" s="1056"/>
      <c r="AEM108" s="1056"/>
      <c r="AEN108" s="1056"/>
      <c r="AEO108" s="1056"/>
      <c r="AEP108" s="1056"/>
      <c r="AEQ108" s="1056"/>
      <c r="AER108" s="1056"/>
      <c r="AES108" s="1056"/>
      <c r="AET108" s="1056"/>
      <c r="AEU108" s="1056"/>
      <c r="AEV108" s="1056"/>
      <c r="AEW108" s="1056"/>
      <c r="AEX108" s="1056"/>
      <c r="AEY108" s="1056"/>
      <c r="AEZ108" s="1056"/>
      <c r="AFA108" s="1056"/>
      <c r="AFB108" s="1056"/>
      <c r="AFC108" s="1056"/>
      <c r="AFD108" s="1056"/>
      <c r="AFE108" s="1056"/>
      <c r="AFF108" s="1056"/>
      <c r="AFG108" s="1056"/>
      <c r="AFH108" s="1056"/>
      <c r="AFI108" s="1056"/>
      <c r="AFJ108" s="1056"/>
      <c r="AFK108" s="1056"/>
      <c r="AFL108" s="1056"/>
      <c r="AFM108" s="1056"/>
      <c r="AFN108" s="1056"/>
      <c r="AFO108" s="1056"/>
      <c r="AFP108" s="1056"/>
      <c r="AFQ108" s="1056"/>
      <c r="AFR108" s="1056"/>
      <c r="AFS108" s="1056"/>
      <c r="AFT108" s="1056"/>
      <c r="AFU108" s="1056"/>
      <c r="AFV108" s="1056"/>
      <c r="AFW108" s="1056"/>
      <c r="AFX108" s="1056"/>
      <c r="AFY108" s="1056"/>
      <c r="AFZ108" s="1056"/>
      <c r="AGA108" s="1056"/>
      <c r="AGB108" s="1056"/>
      <c r="AGC108" s="1056"/>
      <c r="AGD108" s="1056"/>
      <c r="AGE108" s="1056"/>
      <c r="AGF108" s="1056"/>
      <c r="AGG108" s="1056"/>
      <c r="AGH108" s="1056"/>
      <c r="AGI108" s="1056"/>
      <c r="AGJ108" s="1056"/>
      <c r="AGK108" s="1056"/>
      <c r="AGL108" s="1056"/>
      <c r="AGM108" s="1056"/>
      <c r="AGN108" s="1056"/>
      <c r="AGO108" s="1056"/>
      <c r="AGP108" s="1056"/>
      <c r="AGQ108" s="1056"/>
      <c r="AGR108" s="1056"/>
      <c r="AGS108" s="1056"/>
      <c r="AGT108" s="1056"/>
      <c r="AGU108" s="1056"/>
      <c r="AGV108" s="1056"/>
      <c r="AGW108" s="1056"/>
      <c r="AGX108" s="1056"/>
      <c r="AGY108" s="1056"/>
      <c r="AGZ108" s="1056"/>
      <c r="AHA108" s="1056"/>
      <c r="AHB108" s="1056"/>
      <c r="AHC108" s="1056"/>
      <c r="AHD108" s="1056"/>
      <c r="AHE108" s="1056"/>
      <c r="AHF108" s="1056"/>
      <c r="AHG108" s="1056"/>
      <c r="AHH108" s="1056"/>
      <c r="AHI108" s="1056"/>
      <c r="AHJ108" s="1056"/>
      <c r="AHK108" s="1056"/>
      <c r="AHL108" s="1056"/>
      <c r="AHM108" s="1056"/>
      <c r="AHN108" s="1056"/>
      <c r="AHO108" s="1056"/>
      <c r="AHP108" s="1056"/>
      <c r="AHQ108" s="1056"/>
      <c r="AHR108" s="1056"/>
      <c r="AHS108" s="1056"/>
      <c r="AHT108" s="1056"/>
      <c r="AHU108" s="1056"/>
      <c r="AHV108" s="1056"/>
      <c r="AHW108" s="1056"/>
      <c r="AHX108" s="1056"/>
      <c r="AHY108" s="1056"/>
      <c r="AHZ108" s="1056"/>
      <c r="AIA108" s="1056"/>
      <c r="AIB108" s="1056"/>
      <c r="AIC108" s="1056"/>
      <c r="AID108" s="1056"/>
      <c r="AIE108" s="1056"/>
      <c r="AIF108" s="1056"/>
      <c r="AIG108" s="1056"/>
      <c r="AIH108" s="1056"/>
      <c r="AII108" s="1056"/>
      <c r="AIJ108" s="1056"/>
      <c r="AIK108" s="1056"/>
      <c r="AIL108" s="1056"/>
      <c r="AIM108" s="1056"/>
      <c r="AIN108" s="1056"/>
      <c r="AIO108" s="1056"/>
      <c r="AIP108" s="1056"/>
      <c r="AIQ108" s="1056"/>
      <c r="AIR108" s="1056"/>
      <c r="AIS108" s="1056"/>
      <c r="AIT108" s="1056"/>
      <c r="AIU108" s="1056"/>
      <c r="AIV108" s="1056"/>
      <c r="AIW108" s="1056"/>
      <c r="AIX108" s="1056"/>
      <c r="AIY108" s="1056"/>
      <c r="AIZ108" s="1056"/>
      <c r="AJA108" s="1056"/>
      <c r="AJB108" s="1056"/>
      <c r="AJC108" s="1056"/>
      <c r="AJD108" s="1056"/>
      <c r="AJE108" s="1056"/>
      <c r="AJF108" s="1056"/>
      <c r="AJG108" s="1056"/>
      <c r="AJH108" s="1056"/>
      <c r="AJI108" s="1056"/>
      <c r="AJJ108" s="1056"/>
      <c r="AJK108" s="1056"/>
      <c r="AJL108" s="1056"/>
      <c r="AJM108" s="1056"/>
      <c r="AJN108" s="1056"/>
      <c r="AJO108" s="1056"/>
      <c r="AJP108" s="1056"/>
      <c r="AJQ108" s="1056"/>
      <c r="AJR108" s="1056"/>
      <c r="AJS108" s="1056"/>
      <c r="AJT108" s="1056"/>
      <c r="AJU108" s="1056"/>
      <c r="AJV108" s="1056"/>
      <c r="AJW108" s="1056"/>
      <c r="AJX108" s="1056"/>
      <c r="AJY108" s="1056"/>
      <c r="AJZ108" s="1056"/>
      <c r="AKA108" s="1056"/>
      <c r="AKB108" s="1056"/>
      <c r="AKC108" s="1056"/>
      <c r="AKD108" s="1056"/>
      <c r="AKE108" s="1056"/>
      <c r="AKF108" s="1056"/>
      <c r="AKG108" s="1056"/>
      <c r="AKH108" s="1056"/>
      <c r="AKI108" s="1056"/>
      <c r="AKJ108" s="1056"/>
      <c r="AKK108" s="1056"/>
      <c r="AKL108" s="1056"/>
      <c r="AKM108" s="1056"/>
      <c r="AKN108" s="1056"/>
      <c r="AKO108" s="1056"/>
      <c r="AKP108" s="1056"/>
      <c r="AKQ108" s="1056"/>
      <c r="AKR108" s="1056"/>
      <c r="AKS108" s="1056"/>
      <c r="AKT108" s="1056"/>
      <c r="AKU108" s="1056"/>
      <c r="AKV108" s="1056"/>
      <c r="AKW108" s="1056"/>
      <c r="AKX108" s="1056"/>
      <c r="AKY108" s="1056"/>
      <c r="AKZ108" s="1056"/>
      <c r="ALA108" s="1056"/>
      <c r="ALB108" s="1056"/>
      <c r="ALC108" s="1056"/>
      <c r="ALD108" s="1056"/>
      <c r="ALE108" s="1056"/>
      <c r="ALF108" s="1056"/>
      <c r="ALG108" s="1056"/>
      <c r="ALH108" s="1056"/>
      <c r="ALI108" s="1056"/>
      <c r="ALJ108" s="1056"/>
      <c r="ALK108" s="1056"/>
      <c r="ALL108" s="1056"/>
      <c r="ALM108" s="1056"/>
      <c r="ALN108" s="1056"/>
      <c r="ALO108" s="1056"/>
      <c r="ALP108" s="1056"/>
      <c r="ALQ108" s="1056"/>
      <c r="ALR108" s="1056"/>
      <c r="ALS108" s="1056"/>
      <c r="ALT108" s="1056"/>
      <c r="ALU108" s="1056"/>
      <c r="ALV108" s="1056"/>
      <c r="ALW108" s="1056"/>
      <c r="ALX108" s="1056"/>
      <c r="ALY108" s="1056"/>
      <c r="ALZ108" s="1056"/>
      <c r="AMA108" s="1056"/>
      <c r="AMB108" s="1056"/>
      <c r="AMC108" s="1056"/>
      <c r="AMD108" s="1056"/>
      <c r="AME108" s="1056"/>
      <c r="AMF108" s="1056"/>
      <c r="AMG108" s="1056"/>
      <c r="AMH108" s="1056"/>
      <c r="AMI108" s="1056"/>
      <c r="AMJ108" s="1056"/>
      <c r="AMK108" s="1056"/>
      <c r="AML108" s="1056"/>
      <c r="AMM108" s="1056"/>
      <c r="AMN108" s="1056"/>
      <c r="AMO108" s="1056"/>
      <c r="AMP108" s="1056"/>
      <c r="AMQ108" s="1056"/>
      <c r="AMR108" s="1056"/>
      <c r="AMS108" s="1056"/>
      <c r="AMT108" s="1056"/>
      <c r="AMU108" s="1056"/>
      <c r="AMV108" s="1056"/>
      <c r="AMW108" s="1056"/>
      <c r="AMX108" s="1056"/>
      <c r="AMY108" s="1056"/>
      <c r="AMZ108" s="1056"/>
      <c r="ANA108" s="1056"/>
      <c r="ANB108" s="1056"/>
      <c r="ANC108" s="1056"/>
      <c r="AND108" s="1056"/>
      <c r="ANE108" s="1056"/>
      <c r="ANF108" s="1056"/>
      <c r="ANG108" s="1056"/>
      <c r="ANH108" s="1056"/>
      <c r="ANI108" s="1056"/>
      <c r="ANJ108" s="1056"/>
      <c r="ANK108" s="1056"/>
      <c r="ANL108" s="1056"/>
      <c r="ANM108" s="1056"/>
      <c r="ANN108" s="1056"/>
      <c r="ANO108" s="1056"/>
      <c r="ANP108" s="1056"/>
      <c r="ANQ108" s="1056"/>
      <c r="ANR108" s="1056"/>
      <c r="ANS108" s="1056"/>
      <c r="ANT108" s="1056"/>
      <c r="ANU108" s="1056"/>
      <c r="ANV108" s="1056"/>
      <c r="ANW108" s="1056"/>
      <c r="ANX108" s="1056"/>
      <c r="ANY108" s="1056"/>
      <c r="ANZ108" s="1056"/>
      <c r="AOA108" s="1056"/>
      <c r="AOB108" s="1056"/>
      <c r="AOC108" s="1056"/>
      <c r="AOD108" s="1056"/>
      <c r="AOE108" s="1056"/>
      <c r="AOF108" s="1056"/>
      <c r="AOG108" s="1056"/>
      <c r="AOH108" s="1056"/>
      <c r="AOI108" s="1056"/>
      <c r="AOJ108" s="1056"/>
      <c r="AOK108" s="1056"/>
      <c r="AOL108" s="1056"/>
      <c r="AOM108" s="1056"/>
      <c r="AON108" s="1056"/>
      <c r="AOO108" s="1056"/>
      <c r="AOP108" s="1056"/>
      <c r="AOQ108" s="1056"/>
      <c r="AOR108" s="1056"/>
      <c r="AOS108" s="1056"/>
      <c r="AOT108" s="1056"/>
      <c r="AOU108" s="1056"/>
      <c r="AOV108" s="1056"/>
      <c r="AOW108" s="1056"/>
      <c r="AOX108" s="1056"/>
      <c r="AOY108" s="1056"/>
      <c r="AOZ108" s="1056"/>
      <c r="APA108" s="1056"/>
      <c r="APB108" s="1056"/>
      <c r="APC108" s="1056"/>
      <c r="APD108" s="1056"/>
      <c r="APE108" s="1056"/>
      <c r="APF108" s="1056"/>
      <c r="APG108" s="1056"/>
      <c r="APH108" s="1056"/>
      <c r="API108" s="1056"/>
      <c r="APJ108" s="1056"/>
      <c r="APK108" s="1056"/>
      <c r="APL108" s="1056"/>
      <c r="APM108" s="1056"/>
      <c r="APN108" s="1056"/>
      <c r="APO108" s="1056"/>
      <c r="APP108" s="1056"/>
      <c r="APQ108" s="1056"/>
      <c r="APR108" s="1056"/>
      <c r="APS108" s="1056"/>
      <c r="APT108" s="1056"/>
      <c r="APU108" s="1056"/>
      <c r="APV108" s="1056"/>
      <c r="APW108" s="1056"/>
      <c r="APX108" s="1056"/>
      <c r="APY108" s="1056"/>
      <c r="APZ108" s="1056"/>
      <c r="AQA108" s="1056"/>
      <c r="AQB108" s="1056"/>
      <c r="AQC108" s="1056"/>
      <c r="AQD108" s="1056"/>
      <c r="AQE108" s="1056"/>
      <c r="AQF108" s="1056"/>
      <c r="AQG108" s="1056"/>
      <c r="AQH108" s="1056"/>
      <c r="AQI108" s="1056"/>
      <c r="AQJ108" s="1056"/>
      <c r="AQK108" s="1056"/>
      <c r="AQL108" s="1056"/>
      <c r="AQM108" s="1056"/>
      <c r="AQN108" s="1056"/>
      <c r="AQO108" s="1056"/>
      <c r="AQP108" s="1056"/>
      <c r="AQQ108" s="1056"/>
      <c r="AQR108" s="1056"/>
      <c r="AQS108" s="1056"/>
      <c r="AQT108" s="1056"/>
      <c r="AQU108" s="1056"/>
      <c r="AQV108" s="1056"/>
      <c r="AQW108" s="1056"/>
      <c r="AQX108" s="1056"/>
      <c r="AQY108" s="1056"/>
      <c r="AQZ108" s="1056"/>
      <c r="ARA108" s="1056"/>
      <c r="ARB108" s="1056"/>
      <c r="ARC108" s="1056"/>
      <c r="ARD108" s="1056"/>
      <c r="ARE108" s="1056"/>
      <c r="ARF108" s="1056"/>
      <c r="ARG108" s="1056"/>
      <c r="ARH108" s="1056"/>
      <c r="ARI108" s="1056"/>
      <c r="ARJ108" s="1056"/>
      <c r="ARK108" s="1056"/>
      <c r="ARL108" s="1056"/>
      <c r="ARM108" s="1056"/>
      <c r="ARN108" s="1056"/>
      <c r="ARO108" s="1056"/>
      <c r="ARP108" s="1056"/>
      <c r="ARQ108" s="1056"/>
      <c r="ARR108" s="1056"/>
      <c r="ARS108" s="1056"/>
      <c r="ART108" s="1056"/>
      <c r="ARU108" s="1056"/>
      <c r="ARV108" s="1056"/>
      <c r="ARW108" s="1056"/>
      <c r="ARX108" s="1056"/>
      <c r="ARY108" s="1056"/>
      <c r="ARZ108" s="1056"/>
      <c r="ASA108" s="1056"/>
      <c r="ASB108" s="1056"/>
      <c r="ASC108" s="1056"/>
      <c r="ASD108" s="1056"/>
      <c r="ASE108" s="1056"/>
      <c r="ASF108" s="1056"/>
      <c r="ASG108" s="1056"/>
      <c r="ASH108" s="1056"/>
      <c r="ASI108" s="1056"/>
      <c r="ASJ108" s="1056"/>
      <c r="ASK108" s="1056"/>
      <c r="ASL108" s="1056"/>
      <c r="ASM108" s="1056"/>
      <c r="ASN108" s="1056"/>
      <c r="ASO108" s="1056"/>
      <c r="ASP108" s="1056"/>
      <c r="ASQ108" s="1056"/>
      <c r="ASR108" s="1056"/>
      <c r="ASS108" s="1056"/>
      <c r="AST108" s="1056"/>
      <c r="ASU108" s="1056"/>
      <c r="ASV108" s="1056"/>
      <c r="ASW108" s="1056"/>
      <c r="ASX108" s="1056"/>
      <c r="ASY108" s="1056"/>
      <c r="ASZ108" s="1056"/>
      <c r="ATA108" s="1056"/>
      <c r="ATB108" s="1056"/>
      <c r="ATC108" s="1056"/>
      <c r="ATD108" s="1056"/>
      <c r="ATE108" s="1056"/>
      <c r="ATF108" s="1056"/>
      <c r="ATG108" s="1056"/>
      <c r="ATH108" s="1056"/>
      <c r="ATI108" s="1056"/>
      <c r="ATJ108" s="1056"/>
      <c r="ATK108" s="1056"/>
      <c r="ATL108" s="1056"/>
      <c r="ATM108" s="1056"/>
      <c r="ATN108" s="1056"/>
      <c r="ATO108" s="1056"/>
      <c r="ATP108" s="1056"/>
      <c r="ATQ108" s="1056"/>
      <c r="ATR108" s="1056"/>
      <c r="ATS108" s="1056"/>
      <c r="ATT108" s="1056"/>
      <c r="ATU108" s="1056"/>
      <c r="ATV108" s="1056"/>
      <c r="ATW108" s="1056"/>
      <c r="ATX108" s="1056"/>
      <c r="ATY108" s="1056"/>
      <c r="ATZ108" s="1056"/>
      <c r="AUA108" s="1056"/>
      <c r="AUB108" s="1056"/>
      <c r="AUC108" s="1056"/>
      <c r="AUD108" s="1056"/>
      <c r="AUE108" s="1056"/>
      <c r="AUF108" s="1056"/>
      <c r="AUG108" s="1056"/>
      <c r="AUH108" s="1056"/>
      <c r="AUI108" s="1056"/>
      <c r="AUJ108" s="1056"/>
      <c r="AUK108" s="1056"/>
      <c r="AUL108" s="1056"/>
      <c r="AUM108" s="1056"/>
      <c r="AUN108" s="1056"/>
      <c r="AUO108" s="1056"/>
      <c r="AUP108" s="1056"/>
      <c r="AUQ108" s="1056"/>
      <c r="AUR108" s="1056"/>
      <c r="AUS108" s="1056"/>
      <c r="AUT108" s="1056"/>
      <c r="AUU108" s="1056"/>
      <c r="AUV108" s="1056"/>
      <c r="AUW108" s="1056"/>
      <c r="AUX108" s="1056"/>
      <c r="AUY108" s="1056"/>
      <c r="AUZ108" s="1056"/>
      <c r="AVA108" s="1056"/>
      <c r="AVB108" s="1056"/>
      <c r="AVC108" s="1056"/>
      <c r="AVD108" s="1056"/>
      <c r="AVE108" s="1056"/>
      <c r="AVF108" s="1056"/>
      <c r="AVG108" s="1056"/>
      <c r="AVH108" s="1056"/>
      <c r="AVI108" s="1056"/>
      <c r="AVJ108" s="1056"/>
      <c r="AVK108" s="1056"/>
      <c r="AVL108" s="1056"/>
      <c r="AVM108" s="1056"/>
      <c r="AVN108" s="1056"/>
      <c r="AVO108" s="1056"/>
      <c r="AVP108" s="1056"/>
      <c r="AVQ108" s="1056"/>
      <c r="AVR108" s="1056"/>
      <c r="AVS108" s="1056"/>
      <c r="AVT108" s="1056"/>
      <c r="AVU108" s="1056"/>
      <c r="AVV108" s="1056"/>
      <c r="AVW108" s="1056"/>
      <c r="AVX108" s="1056"/>
      <c r="AVY108" s="1056"/>
      <c r="AVZ108" s="1056"/>
      <c r="AWA108" s="1056"/>
      <c r="AWB108" s="1056"/>
      <c r="AWC108" s="1056"/>
      <c r="AWD108" s="1056"/>
      <c r="AWE108" s="1056"/>
      <c r="AWF108" s="1056"/>
      <c r="AWG108" s="1056"/>
      <c r="AWH108" s="1056"/>
      <c r="AWI108" s="1056"/>
      <c r="AWJ108" s="1056"/>
      <c r="AWK108" s="1056"/>
      <c r="AWL108" s="1056"/>
      <c r="AWM108" s="1056"/>
      <c r="AWN108" s="1056"/>
      <c r="AWO108" s="1056"/>
      <c r="AWP108" s="1056"/>
      <c r="AWQ108" s="1056"/>
      <c r="AWR108" s="1056"/>
      <c r="AWS108" s="1056"/>
      <c r="AWT108" s="1056"/>
      <c r="AWU108" s="1056"/>
      <c r="AWV108" s="1056"/>
      <c r="AWW108" s="1056"/>
      <c r="AWX108" s="1056"/>
      <c r="AWY108" s="1056"/>
      <c r="AWZ108" s="1056"/>
      <c r="AXA108" s="1056"/>
      <c r="AXB108" s="1056"/>
      <c r="AXC108" s="1056"/>
      <c r="AXD108" s="1056"/>
      <c r="AXE108" s="1056"/>
      <c r="AXF108" s="1056"/>
      <c r="AXG108" s="1056"/>
      <c r="AXH108" s="1056"/>
      <c r="AXI108" s="1056"/>
      <c r="AXJ108" s="1056"/>
      <c r="AXK108" s="1056"/>
      <c r="AXL108" s="1056"/>
      <c r="AXM108" s="1056"/>
      <c r="AXN108" s="1056"/>
      <c r="AXO108" s="1056"/>
      <c r="AXP108" s="1056"/>
      <c r="AXQ108" s="1056"/>
      <c r="AXR108" s="1056"/>
      <c r="AXS108" s="1056"/>
      <c r="AXT108" s="1056"/>
      <c r="AXU108" s="1056"/>
      <c r="AXV108" s="1056"/>
      <c r="AXW108" s="1056"/>
      <c r="AXX108" s="1056"/>
      <c r="AXY108" s="1056"/>
      <c r="AXZ108" s="1056"/>
      <c r="AYA108" s="1056"/>
      <c r="AYB108" s="1056"/>
      <c r="AYC108" s="1056"/>
      <c r="AYD108" s="1056"/>
      <c r="AYE108" s="1056"/>
      <c r="AYF108" s="1056"/>
      <c r="AYG108" s="1056"/>
      <c r="AYH108" s="1056"/>
      <c r="AYI108" s="1056"/>
      <c r="AYJ108" s="1056"/>
      <c r="AYK108" s="1056"/>
      <c r="AYL108" s="1056"/>
      <c r="AYM108" s="1056"/>
      <c r="AYN108" s="1056"/>
      <c r="AYO108" s="1056"/>
      <c r="AYP108" s="1056"/>
      <c r="AYQ108" s="1056"/>
      <c r="AYR108" s="1056"/>
      <c r="AYS108" s="1056"/>
      <c r="AYT108" s="1056"/>
      <c r="AYU108" s="1056"/>
      <c r="AYV108" s="1056"/>
      <c r="AYW108" s="1056"/>
      <c r="AYX108" s="1056"/>
      <c r="AYY108" s="1056"/>
      <c r="AYZ108" s="1056"/>
      <c r="AZA108" s="1056"/>
      <c r="AZB108" s="1056"/>
      <c r="AZC108" s="1056"/>
      <c r="AZD108" s="1056"/>
      <c r="AZE108" s="1056"/>
      <c r="AZF108" s="1056"/>
      <c r="AZG108" s="1056"/>
      <c r="AZH108" s="1056"/>
      <c r="AZI108" s="1056"/>
      <c r="AZJ108" s="1056"/>
      <c r="AZK108" s="1056"/>
      <c r="AZL108" s="1056"/>
      <c r="AZM108" s="1056"/>
      <c r="AZN108" s="1056"/>
      <c r="AZO108" s="1056"/>
      <c r="AZP108" s="1056"/>
      <c r="AZQ108" s="1056"/>
      <c r="AZR108" s="1056"/>
      <c r="AZS108" s="1056"/>
      <c r="AZT108" s="1056"/>
      <c r="AZU108" s="1056"/>
      <c r="AZV108" s="1056"/>
      <c r="AZW108" s="1056"/>
      <c r="AZX108" s="1056"/>
      <c r="AZY108" s="1056"/>
      <c r="AZZ108" s="1056"/>
      <c r="BAA108" s="1056"/>
      <c r="BAB108" s="1056"/>
      <c r="BAC108" s="1056"/>
      <c r="BAD108" s="1056"/>
      <c r="BAE108" s="1056"/>
      <c r="BAF108" s="1056"/>
      <c r="BAG108" s="1056"/>
      <c r="BAH108" s="1056"/>
      <c r="BAI108" s="1056"/>
      <c r="BAJ108" s="1056"/>
      <c r="BAK108" s="1056"/>
      <c r="BAL108" s="1056"/>
      <c r="BAM108" s="1056"/>
      <c r="BAN108" s="1056"/>
      <c r="BAO108" s="1056"/>
      <c r="BAP108" s="1056"/>
      <c r="BAQ108" s="1056"/>
      <c r="BAR108" s="1056"/>
      <c r="BAS108" s="1056"/>
      <c r="BAT108" s="1056"/>
      <c r="BAU108" s="1056"/>
      <c r="BAV108" s="1056"/>
      <c r="BAW108" s="1056"/>
      <c r="BAX108" s="1056"/>
      <c r="BAY108" s="1056"/>
      <c r="BAZ108" s="1056"/>
      <c r="BBA108" s="1056"/>
      <c r="BBB108" s="1056"/>
      <c r="BBC108" s="1056"/>
      <c r="BBD108" s="1056"/>
      <c r="BBE108" s="1056"/>
      <c r="BBF108" s="1056"/>
      <c r="BBG108" s="1056"/>
      <c r="BBH108" s="1056"/>
      <c r="BBI108" s="1056"/>
      <c r="BBJ108" s="1056"/>
      <c r="BBK108" s="1056"/>
      <c r="BBL108" s="1056"/>
      <c r="BBM108" s="1056"/>
      <c r="BBN108" s="1056"/>
      <c r="BBO108" s="1056"/>
      <c r="BBP108" s="1056"/>
      <c r="BBQ108" s="1056"/>
      <c r="BBR108" s="1056"/>
      <c r="BBS108" s="1056"/>
      <c r="BBT108" s="1056"/>
      <c r="BBU108" s="1056"/>
      <c r="BBV108" s="1056"/>
      <c r="BBW108" s="1056"/>
      <c r="BBX108" s="1056"/>
      <c r="BBY108" s="1056"/>
      <c r="BBZ108" s="1056"/>
      <c r="BCA108" s="1056"/>
      <c r="BCB108" s="1056"/>
      <c r="BCC108" s="1056"/>
      <c r="BCD108" s="1056"/>
      <c r="BCE108" s="1056"/>
      <c r="BCF108" s="1056"/>
      <c r="BCG108" s="1056"/>
      <c r="BCH108" s="1056"/>
      <c r="BCI108" s="1056"/>
      <c r="BCJ108" s="1056"/>
      <c r="BCK108" s="1056"/>
      <c r="BCL108" s="1056"/>
      <c r="BCM108" s="1056"/>
      <c r="BCN108" s="1056"/>
      <c r="BCO108" s="1056"/>
      <c r="BCP108" s="1056"/>
      <c r="BCQ108" s="1056"/>
      <c r="BCR108" s="1056"/>
      <c r="BCS108" s="1056"/>
      <c r="BCT108" s="1056"/>
      <c r="BCU108" s="1056"/>
      <c r="BCV108" s="1056"/>
      <c r="BCW108" s="1056"/>
      <c r="BCX108" s="1056"/>
      <c r="BCY108" s="1056"/>
      <c r="BCZ108" s="1056"/>
      <c r="BDA108" s="1056"/>
      <c r="BDB108" s="1056"/>
      <c r="BDC108" s="1056"/>
      <c r="BDD108" s="1056"/>
      <c r="BDE108" s="1056"/>
      <c r="BDF108" s="1056"/>
      <c r="BDG108" s="1056"/>
      <c r="BDH108" s="1056"/>
      <c r="BDI108" s="1056"/>
      <c r="BDJ108" s="1056"/>
      <c r="BDK108" s="1056"/>
      <c r="BDL108" s="1056"/>
      <c r="BDM108" s="1056"/>
      <c r="BDN108" s="1056"/>
      <c r="BDO108" s="1056"/>
      <c r="BDP108" s="1056"/>
      <c r="BDQ108" s="1056"/>
      <c r="BDR108" s="1056"/>
      <c r="BDS108" s="1056"/>
      <c r="BDT108" s="1056"/>
      <c r="BDU108" s="1056"/>
      <c r="BDV108" s="1056"/>
      <c r="BDW108" s="1056"/>
      <c r="BDX108" s="1056"/>
      <c r="BDY108" s="1056"/>
      <c r="BDZ108" s="1056"/>
      <c r="BEA108" s="1056"/>
      <c r="BEB108" s="1056"/>
      <c r="BEC108" s="1056"/>
      <c r="BED108" s="1056"/>
      <c r="BEE108" s="1056"/>
      <c r="BEF108" s="1056"/>
      <c r="BEG108" s="1056"/>
      <c r="BEH108" s="1056"/>
      <c r="BEI108" s="1056"/>
      <c r="BEJ108" s="1056"/>
      <c r="BEK108" s="1056"/>
      <c r="BEL108" s="1056"/>
      <c r="BEM108" s="1056"/>
      <c r="BEN108" s="1056"/>
      <c r="BEO108" s="1056"/>
      <c r="BEP108" s="1056"/>
      <c r="BEQ108" s="1056"/>
      <c r="BER108" s="1056"/>
      <c r="BES108" s="1056"/>
      <c r="BET108" s="1056"/>
      <c r="BEU108" s="1056"/>
      <c r="BEV108" s="1056"/>
      <c r="BEW108" s="1056"/>
      <c r="BEX108" s="1056"/>
      <c r="BEY108" s="1056"/>
      <c r="BEZ108" s="1056"/>
      <c r="BFA108" s="1056"/>
      <c r="BFB108" s="1056"/>
      <c r="BFC108" s="1056"/>
      <c r="BFD108" s="1056"/>
      <c r="BFE108" s="1056"/>
      <c r="BFF108" s="1056"/>
      <c r="BFG108" s="1056"/>
      <c r="BFH108" s="1056"/>
      <c r="BFI108" s="1056"/>
      <c r="BFJ108" s="1056"/>
      <c r="BFK108" s="1056"/>
      <c r="BFL108" s="1056"/>
      <c r="BFM108" s="1056"/>
      <c r="BFN108" s="1056"/>
      <c r="BFO108" s="1056"/>
      <c r="BFP108" s="1056"/>
      <c r="BFQ108" s="1056"/>
      <c r="BFR108" s="1056"/>
      <c r="BFS108" s="1056"/>
      <c r="BFT108" s="1056"/>
      <c r="BFU108" s="1056"/>
      <c r="BFV108" s="1056"/>
      <c r="BFW108" s="1056"/>
      <c r="BFX108" s="1056"/>
      <c r="BFY108" s="1056"/>
      <c r="BFZ108" s="1056"/>
      <c r="BGA108" s="1056"/>
      <c r="BGB108" s="1056"/>
      <c r="BGC108" s="1056"/>
      <c r="BGD108" s="1056"/>
      <c r="BGE108" s="1056"/>
      <c r="BGF108" s="1056"/>
      <c r="BGG108" s="1056"/>
      <c r="BGH108" s="1056"/>
      <c r="BGI108" s="1056"/>
      <c r="BGJ108" s="1056"/>
      <c r="BGK108" s="1056"/>
      <c r="BGL108" s="1056"/>
      <c r="BGM108" s="1056"/>
      <c r="BGN108" s="1056"/>
      <c r="BGO108" s="1056"/>
      <c r="BGP108" s="1056"/>
      <c r="BGQ108" s="1056"/>
      <c r="BGR108" s="1056"/>
      <c r="BGS108" s="1056"/>
      <c r="BGT108" s="1056"/>
      <c r="BGU108" s="1056"/>
      <c r="BGV108" s="1056"/>
      <c r="BGW108" s="1056"/>
      <c r="BGX108" s="1056"/>
      <c r="BGY108" s="1056"/>
      <c r="BGZ108" s="1056"/>
      <c r="BHA108" s="1056"/>
      <c r="BHB108" s="1056"/>
      <c r="BHC108" s="1056"/>
      <c r="BHD108" s="1056"/>
      <c r="BHE108" s="1056"/>
      <c r="BHF108" s="1056"/>
      <c r="BHG108" s="1056"/>
      <c r="BHH108" s="1056"/>
      <c r="BHI108" s="1056"/>
      <c r="BHJ108" s="1056"/>
      <c r="BHK108" s="1056"/>
      <c r="BHL108" s="1056"/>
      <c r="BHM108" s="1056"/>
      <c r="BHN108" s="1056"/>
      <c r="BHO108" s="1056"/>
      <c r="BHP108" s="1056"/>
      <c r="BHQ108" s="1056"/>
      <c r="BHR108" s="1056"/>
      <c r="BHS108" s="1056"/>
      <c r="BHT108" s="1056"/>
      <c r="BHU108" s="1056"/>
      <c r="BHV108" s="1056"/>
      <c r="BHW108" s="1056"/>
      <c r="BHX108" s="1056"/>
      <c r="BHY108" s="1056"/>
      <c r="BHZ108" s="1056"/>
      <c r="BIA108" s="1056"/>
      <c r="BIB108" s="1056"/>
      <c r="BIC108" s="1056"/>
      <c r="BID108" s="1056"/>
      <c r="BIE108" s="1056"/>
      <c r="BIF108" s="1056"/>
      <c r="BIG108" s="1056"/>
      <c r="BIH108" s="1056"/>
      <c r="BII108" s="1056"/>
      <c r="BIJ108" s="1056"/>
      <c r="BIK108" s="1056"/>
      <c r="BIL108" s="1056"/>
      <c r="BIM108" s="1056"/>
      <c r="BIN108" s="1056"/>
      <c r="BIO108" s="1056"/>
      <c r="BIP108" s="1056"/>
      <c r="BIQ108" s="1056"/>
      <c r="BIR108" s="1056"/>
      <c r="BIS108" s="1056"/>
      <c r="BIT108" s="1056"/>
      <c r="BIU108" s="1056"/>
      <c r="BIV108" s="1056"/>
      <c r="BIW108" s="1056"/>
      <c r="BIX108" s="1056"/>
      <c r="BIY108" s="1056"/>
      <c r="BIZ108" s="1056"/>
      <c r="BJA108" s="1056"/>
      <c r="BJB108" s="1056"/>
      <c r="BJC108" s="1056"/>
      <c r="BJD108" s="1056"/>
      <c r="BJE108" s="1056"/>
      <c r="BJF108" s="1056"/>
      <c r="BJG108" s="1056"/>
      <c r="BJH108" s="1056"/>
      <c r="BJI108" s="1056"/>
      <c r="BJJ108" s="1056"/>
      <c r="BJK108" s="1056"/>
      <c r="BJL108" s="1056"/>
      <c r="BJM108" s="1056"/>
      <c r="BJN108" s="1056"/>
      <c r="BJO108" s="1056"/>
      <c r="BJP108" s="1056"/>
      <c r="BJQ108" s="1056"/>
      <c r="BJR108" s="1056"/>
      <c r="BJS108" s="1056"/>
      <c r="BJT108" s="1056"/>
      <c r="BJU108" s="1056"/>
      <c r="BJV108" s="1056"/>
      <c r="BJW108" s="1056"/>
      <c r="BJX108" s="1056"/>
      <c r="BJY108" s="1056"/>
      <c r="BJZ108" s="1056"/>
      <c r="BKA108" s="1056"/>
      <c r="BKB108" s="1056"/>
      <c r="BKC108" s="1056"/>
      <c r="BKD108" s="1056"/>
      <c r="BKE108" s="1056"/>
      <c r="BKF108" s="1056"/>
      <c r="BKG108" s="1056"/>
      <c r="BKH108" s="1056"/>
      <c r="BKI108" s="1056"/>
      <c r="BKJ108" s="1056"/>
      <c r="BKK108" s="1056"/>
      <c r="BKL108" s="1056"/>
      <c r="BKM108" s="1056"/>
      <c r="BKN108" s="1056"/>
      <c r="BKO108" s="1056"/>
      <c r="BKP108" s="1056"/>
      <c r="BKQ108" s="1056"/>
      <c r="BKR108" s="1056"/>
      <c r="BKS108" s="1056"/>
      <c r="BKT108" s="1056"/>
      <c r="BKU108" s="1056"/>
      <c r="BKV108" s="1056"/>
      <c r="BKW108" s="1056"/>
      <c r="BKX108" s="1056"/>
      <c r="BKY108" s="1056"/>
      <c r="BKZ108" s="1056"/>
      <c r="BLA108" s="1056"/>
      <c r="BLB108" s="1056"/>
      <c r="BLC108" s="1056"/>
      <c r="BLD108" s="1056"/>
      <c r="BLE108" s="1056"/>
      <c r="BLF108" s="1056"/>
      <c r="BLG108" s="1056"/>
      <c r="BLH108" s="1056"/>
      <c r="BLI108" s="1056"/>
      <c r="BLJ108" s="1056"/>
      <c r="BLK108" s="1056"/>
      <c r="BLL108" s="1056"/>
      <c r="BLM108" s="1056"/>
      <c r="BLN108" s="1056"/>
      <c r="BLO108" s="1056"/>
      <c r="BLP108" s="1056"/>
      <c r="BLQ108" s="1056"/>
      <c r="BLR108" s="1056"/>
      <c r="BLS108" s="1056"/>
      <c r="BLT108" s="1056"/>
      <c r="BLU108" s="1056"/>
      <c r="BLV108" s="1056"/>
      <c r="BLW108" s="1056"/>
      <c r="BLX108" s="1056"/>
      <c r="BLY108" s="1056"/>
      <c r="BLZ108" s="1056"/>
      <c r="BMA108" s="1056"/>
      <c r="BMB108" s="1056"/>
      <c r="BMC108" s="1056"/>
      <c r="BMD108" s="1056"/>
      <c r="BME108" s="1056"/>
      <c r="BMF108" s="1056"/>
      <c r="BMG108" s="1056"/>
      <c r="BMH108" s="1056"/>
      <c r="BMI108" s="1056"/>
      <c r="BMJ108" s="1056"/>
      <c r="BMK108" s="1056"/>
      <c r="BML108" s="1056"/>
      <c r="BMM108" s="1056"/>
      <c r="BMN108" s="1056"/>
      <c r="BMO108" s="1056"/>
      <c r="BMP108" s="1056"/>
      <c r="BMQ108" s="1056"/>
      <c r="BMR108" s="1056"/>
      <c r="BMS108" s="1056"/>
      <c r="BMT108" s="1056"/>
      <c r="BMU108" s="1056"/>
      <c r="BMV108" s="1056"/>
      <c r="BMW108" s="1056"/>
      <c r="BMX108" s="1056"/>
      <c r="BMY108" s="1056"/>
      <c r="BMZ108" s="1056"/>
      <c r="BNA108" s="1056"/>
      <c r="BNB108" s="1056"/>
      <c r="BNC108" s="1056"/>
      <c r="BND108" s="1056"/>
      <c r="BNE108" s="1056"/>
      <c r="BNF108" s="1056"/>
      <c r="BNG108" s="1056"/>
      <c r="BNH108" s="1056"/>
      <c r="BNI108" s="1056"/>
      <c r="BNJ108" s="1056"/>
      <c r="BNK108" s="1056"/>
      <c r="BNL108" s="1056"/>
      <c r="BNM108" s="1056"/>
      <c r="BNN108" s="1056"/>
      <c r="BNO108" s="1056"/>
      <c r="BNP108" s="1056"/>
      <c r="BNQ108" s="1056"/>
      <c r="BNR108" s="1056"/>
      <c r="BNS108" s="1056"/>
      <c r="BNT108" s="1056"/>
      <c r="BNU108" s="1056"/>
      <c r="BNV108" s="1056"/>
      <c r="BNW108" s="1056"/>
      <c r="BNX108" s="1056"/>
      <c r="BNY108" s="1056"/>
      <c r="BNZ108" s="1056"/>
      <c r="BOA108" s="1056"/>
      <c r="BOB108" s="1056"/>
      <c r="BOC108" s="1056"/>
      <c r="BOD108" s="1056"/>
      <c r="BOE108" s="1056"/>
      <c r="BOF108" s="1056"/>
      <c r="BOG108" s="1056"/>
      <c r="BOH108" s="1056"/>
      <c r="BOI108" s="1056"/>
      <c r="BOJ108" s="1056"/>
      <c r="BOK108" s="1056"/>
      <c r="BOL108" s="1056"/>
      <c r="BOM108" s="1056"/>
      <c r="BON108" s="1056"/>
      <c r="BOO108" s="1056"/>
      <c r="BOP108" s="1056"/>
      <c r="BOQ108" s="1056"/>
      <c r="BOR108" s="1056"/>
      <c r="BOS108" s="1056"/>
      <c r="BOT108" s="1056"/>
      <c r="BOU108" s="1056"/>
      <c r="BOV108" s="1056"/>
      <c r="BOW108" s="1056"/>
      <c r="BOX108" s="1056"/>
      <c r="BOY108" s="1056"/>
      <c r="BOZ108" s="1056"/>
      <c r="BPA108" s="1056"/>
      <c r="BPB108" s="1056"/>
      <c r="BPC108" s="1056"/>
      <c r="BPD108" s="1056"/>
      <c r="BPE108" s="1056"/>
      <c r="BPF108" s="1056"/>
      <c r="BPG108" s="1056"/>
      <c r="BPH108" s="1056"/>
      <c r="BPI108" s="1056"/>
      <c r="BPJ108" s="1056"/>
      <c r="BPK108" s="1056"/>
      <c r="BPL108" s="1056"/>
      <c r="BPM108" s="1056"/>
      <c r="BPN108" s="1056"/>
      <c r="BPO108" s="1056"/>
      <c r="BPP108" s="1056"/>
      <c r="BPQ108" s="1056"/>
      <c r="BPR108" s="1056"/>
      <c r="BPS108" s="1056"/>
      <c r="BPT108" s="1056"/>
      <c r="BPU108" s="1056"/>
      <c r="BPV108" s="1056"/>
      <c r="BPW108" s="1056"/>
      <c r="BPX108" s="1056"/>
      <c r="BPY108" s="1056"/>
      <c r="BPZ108" s="1056"/>
      <c r="BQA108" s="1056"/>
      <c r="BQB108" s="1056"/>
      <c r="BQC108" s="1056"/>
      <c r="BQD108" s="1056"/>
      <c r="BQE108" s="1056"/>
      <c r="BQF108" s="1056"/>
      <c r="BQG108" s="1056"/>
      <c r="BQH108" s="1056"/>
      <c r="BQI108" s="1056"/>
      <c r="BQJ108" s="1056"/>
      <c r="BQK108" s="1056"/>
      <c r="BQL108" s="1056"/>
      <c r="BQM108" s="1056"/>
      <c r="BQN108" s="1056"/>
      <c r="BQO108" s="1056"/>
      <c r="BQP108" s="1056"/>
      <c r="BQQ108" s="1056"/>
      <c r="BQR108" s="1056"/>
      <c r="BQS108" s="1056"/>
      <c r="BQT108" s="1056"/>
      <c r="BQU108" s="1056"/>
      <c r="BQV108" s="1056"/>
      <c r="BQW108" s="1056"/>
      <c r="BQX108" s="1056"/>
      <c r="BQY108" s="1056"/>
      <c r="BQZ108" s="1056"/>
      <c r="BRA108" s="1056"/>
      <c r="BRB108" s="1056"/>
      <c r="BRC108" s="1056"/>
      <c r="BRD108" s="1056"/>
      <c r="BRE108" s="1056"/>
      <c r="BRF108" s="1056"/>
      <c r="BRG108" s="1056"/>
      <c r="BRH108" s="1056"/>
      <c r="BRI108" s="1056"/>
      <c r="BRJ108" s="1056"/>
      <c r="BRK108" s="1056"/>
      <c r="BRL108" s="1056"/>
      <c r="BRM108" s="1056"/>
      <c r="BRN108" s="1056"/>
      <c r="BRO108" s="1056"/>
      <c r="BRP108" s="1056"/>
      <c r="BRQ108" s="1056"/>
      <c r="BRR108" s="1056"/>
      <c r="BRS108" s="1056"/>
      <c r="BRT108" s="1056"/>
      <c r="BRU108" s="1056"/>
      <c r="BRV108" s="1056"/>
      <c r="BRW108" s="1056"/>
      <c r="BRX108" s="1056"/>
      <c r="BRY108" s="1056"/>
      <c r="BRZ108" s="1056"/>
      <c r="BSA108" s="1056"/>
      <c r="BSB108" s="1056"/>
      <c r="BSC108" s="1056"/>
      <c r="BSD108" s="1056"/>
      <c r="BSE108" s="1056"/>
      <c r="BSF108" s="1056"/>
      <c r="BSG108" s="1056"/>
      <c r="BSH108" s="1056"/>
      <c r="BSI108" s="1056"/>
      <c r="BSJ108" s="1056"/>
      <c r="BSK108" s="1056"/>
      <c r="BSL108" s="1056"/>
      <c r="BSM108" s="1056"/>
      <c r="BSN108" s="1056"/>
      <c r="BSO108" s="1056"/>
      <c r="BSP108" s="1056"/>
      <c r="BSQ108" s="1056"/>
      <c r="BSR108" s="1056"/>
      <c r="BSS108" s="1056"/>
      <c r="BST108" s="1056"/>
      <c r="BSU108" s="1056"/>
      <c r="BSV108" s="1056"/>
      <c r="BSW108" s="1056"/>
      <c r="BSX108" s="1056"/>
      <c r="BSY108" s="1056"/>
      <c r="BSZ108" s="1056"/>
      <c r="BTA108" s="1056"/>
      <c r="BTB108" s="1056"/>
      <c r="BTC108" s="1056"/>
      <c r="BTD108" s="1056"/>
      <c r="BTE108" s="1056"/>
      <c r="BTF108" s="1056"/>
      <c r="BTG108" s="1056"/>
      <c r="BTH108" s="1056"/>
      <c r="BTI108" s="1056"/>
    </row>
    <row r="109" spans="1:1881" s="1060" customFormat="1" ht="120.75" hidden="1" customHeight="1" thickBot="1" x14ac:dyDescent="0.35">
      <c r="A109" s="1071">
        <v>573</v>
      </c>
      <c r="B109" s="1069" t="s">
        <v>345</v>
      </c>
      <c r="C109" s="1074" t="s">
        <v>1055</v>
      </c>
      <c r="D109" s="1074" t="s">
        <v>1167</v>
      </c>
      <c r="E109" s="1053" t="e">
        <f>HLOOKUP($D$2,'2020 Data(H)'!$C$1:$AI$426,223,FALSE)</f>
        <v>#N/A</v>
      </c>
      <c r="F109" s="287">
        <v>0</v>
      </c>
      <c r="G109" s="722"/>
      <c r="H109" s="764"/>
      <c r="I109" s="1055"/>
      <c r="J109" s="1068"/>
      <c r="K109" s="1056"/>
      <c r="L109" s="1057"/>
      <c r="M109" s="1056"/>
      <c r="N109" s="1058"/>
      <c r="O109" s="1056"/>
      <c r="P109" s="1056"/>
      <c r="Q109" s="1056"/>
      <c r="R109" s="1056"/>
      <c r="S109" s="1056"/>
      <c r="T109" s="1056"/>
      <c r="U109" s="1056"/>
      <c r="V109" s="1056"/>
      <c r="W109" s="1056"/>
      <c r="X109" s="1056"/>
      <c r="Y109" s="1056"/>
      <c r="Z109" s="1073"/>
      <c r="AA109" s="1073"/>
      <c r="AB109" s="1073"/>
      <c r="AC109" s="1073"/>
      <c r="AD109" s="1073"/>
      <c r="AE109" s="1073"/>
      <c r="AF109" s="1073"/>
      <c r="AG109" s="1073"/>
      <c r="AH109" s="1073"/>
      <c r="AI109" s="1073"/>
      <c r="AJ109" s="1073"/>
      <c r="AK109" s="1073"/>
      <c r="AL109" s="1073"/>
      <c r="AM109" s="1073"/>
      <c r="AN109" s="1073"/>
      <c r="AO109" s="1073"/>
      <c r="AP109" s="1073"/>
      <c r="AQ109" s="1073"/>
      <c r="AR109" s="1073"/>
      <c r="AS109" s="1056"/>
      <c r="AT109" s="1056"/>
      <c r="AU109" s="1056"/>
      <c r="AV109" s="1056"/>
      <c r="AW109" s="1056"/>
      <c r="AX109" s="1056"/>
      <c r="AY109" s="1056"/>
      <c r="AZ109" s="1056"/>
      <c r="BA109" s="1056"/>
      <c r="BB109" s="1056"/>
      <c r="BC109" s="1056"/>
      <c r="BD109" s="1056"/>
      <c r="BE109" s="1056"/>
      <c r="BF109" s="1056"/>
      <c r="BG109" s="1056"/>
      <c r="BH109" s="1056"/>
      <c r="BI109" s="1056"/>
      <c r="BJ109" s="1056"/>
      <c r="BK109" s="1056"/>
      <c r="BL109" s="1056"/>
      <c r="BM109" s="1056"/>
      <c r="BN109" s="1056"/>
      <c r="BO109" s="1056"/>
      <c r="BP109" s="1056"/>
      <c r="BQ109" s="1056"/>
      <c r="BR109" s="1056"/>
      <c r="BS109" s="1056"/>
      <c r="BT109" s="1056"/>
      <c r="BU109" s="1056"/>
      <c r="BV109" s="1056"/>
      <c r="BW109" s="1056"/>
      <c r="BX109" s="1056"/>
      <c r="BY109" s="1056"/>
      <c r="BZ109" s="1056"/>
      <c r="CA109" s="1056"/>
      <c r="CB109" s="1056"/>
      <c r="CC109" s="1056"/>
      <c r="CD109" s="1056"/>
      <c r="CE109" s="1056"/>
      <c r="CF109" s="1056"/>
      <c r="CG109" s="1056"/>
      <c r="CH109" s="1056"/>
      <c r="CI109" s="1056"/>
      <c r="CJ109" s="1056"/>
      <c r="CK109" s="1056"/>
      <c r="CL109" s="1056"/>
      <c r="CM109" s="1056"/>
      <c r="CN109" s="1056"/>
      <c r="CO109" s="1056"/>
      <c r="CP109" s="1056"/>
      <c r="CQ109" s="1056"/>
      <c r="CR109" s="1056"/>
      <c r="CS109" s="1056"/>
      <c r="CT109" s="1056"/>
      <c r="CU109" s="1056"/>
      <c r="CV109" s="1056"/>
      <c r="CW109" s="1056"/>
      <c r="CX109" s="1056"/>
      <c r="CY109" s="1056"/>
      <c r="CZ109" s="1056"/>
      <c r="DA109" s="1056"/>
      <c r="DB109" s="1056"/>
      <c r="DC109" s="1056"/>
      <c r="DD109" s="1056"/>
      <c r="DE109" s="1056"/>
      <c r="DF109" s="1056"/>
      <c r="DG109" s="1056"/>
      <c r="DH109" s="1056"/>
      <c r="DI109" s="1056"/>
      <c r="DJ109" s="1056"/>
      <c r="DK109" s="1056"/>
      <c r="DL109" s="1056"/>
      <c r="DM109" s="1056"/>
      <c r="DN109" s="1056"/>
      <c r="DO109" s="1056"/>
      <c r="DP109" s="1056"/>
      <c r="DQ109" s="1056"/>
      <c r="DR109" s="1056"/>
      <c r="DS109" s="1056"/>
      <c r="DT109" s="1056"/>
      <c r="DU109" s="1056"/>
      <c r="DV109" s="1056"/>
      <c r="DW109" s="1056"/>
      <c r="DX109" s="1056"/>
      <c r="DY109" s="1056"/>
      <c r="DZ109" s="1056"/>
      <c r="EA109" s="1056"/>
      <c r="EB109" s="1056"/>
      <c r="EC109" s="1056"/>
      <c r="ED109" s="1056"/>
      <c r="EE109" s="1056"/>
      <c r="EF109" s="1056"/>
      <c r="EG109" s="1056"/>
      <c r="EH109" s="1056"/>
      <c r="EI109" s="1056"/>
      <c r="EJ109" s="1056"/>
      <c r="EK109" s="1056"/>
      <c r="EL109" s="1056"/>
      <c r="EM109" s="1056"/>
      <c r="EN109" s="1056"/>
      <c r="EO109" s="1056"/>
      <c r="EP109" s="1056"/>
      <c r="EQ109" s="1056"/>
      <c r="ER109" s="1056"/>
      <c r="ES109" s="1056"/>
      <c r="ET109" s="1056"/>
      <c r="EU109" s="1056"/>
      <c r="EV109" s="1056"/>
      <c r="EW109" s="1056"/>
      <c r="EX109" s="1056"/>
      <c r="EY109" s="1056"/>
      <c r="EZ109" s="1056"/>
      <c r="FA109" s="1056"/>
      <c r="FB109" s="1056"/>
      <c r="FC109" s="1056"/>
      <c r="FD109" s="1056"/>
      <c r="FE109" s="1056"/>
      <c r="FF109" s="1056"/>
      <c r="FG109" s="1056"/>
      <c r="FH109" s="1056"/>
      <c r="FI109" s="1056"/>
      <c r="FJ109" s="1056"/>
      <c r="FK109" s="1056"/>
      <c r="FL109" s="1056"/>
      <c r="FM109" s="1056"/>
      <c r="FN109" s="1056"/>
      <c r="FO109" s="1056"/>
      <c r="FP109" s="1056"/>
      <c r="FQ109" s="1056"/>
      <c r="FR109" s="1056"/>
      <c r="FS109" s="1056"/>
      <c r="FT109" s="1056"/>
      <c r="FU109" s="1056"/>
      <c r="FV109" s="1056"/>
      <c r="FW109" s="1056"/>
      <c r="FX109" s="1056"/>
      <c r="FY109" s="1056"/>
      <c r="FZ109" s="1056"/>
      <c r="GA109" s="1056"/>
      <c r="GB109" s="1056"/>
      <c r="GC109" s="1056"/>
      <c r="GD109" s="1056"/>
      <c r="GE109" s="1056"/>
      <c r="GF109" s="1056"/>
      <c r="GG109" s="1056"/>
      <c r="GH109" s="1056"/>
      <c r="GI109" s="1056"/>
      <c r="GJ109" s="1056"/>
      <c r="GK109" s="1056"/>
      <c r="GL109" s="1056"/>
      <c r="GM109" s="1056"/>
      <c r="GN109" s="1056"/>
      <c r="GO109" s="1056"/>
      <c r="GP109" s="1056"/>
      <c r="GQ109" s="1056"/>
      <c r="GR109" s="1056"/>
      <c r="GS109" s="1056"/>
      <c r="GT109" s="1056"/>
      <c r="GU109" s="1056"/>
      <c r="GV109" s="1056"/>
      <c r="GW109" s="1056"/>
      <c r="GX109" s="1056"/>
      <c r="GY109" s="1056"/>
      <c r="GZ109" s="1056"/>
      <c r="HA109" s="1056"/>
      <c r="HB109" s="1056"/>
      <c r="HC109" s="1056"/>
      <c r="HD109" s="1056"/>
      <c r="HE109" s="1056"/>
      <c r="HF109" s="1056"/>
      <c r="HG109" s="1056"/>
      <c r="HH109" s="1056"/>
      <c r="HI109" s="1056"/>
      <c r="HJ109" s="1056"/>
      <c r="HK109" s="1056"/>
      <c r="HL109" s="1056"/>
      <c r="HM109" s="1056"/>
      <c r="HN109" s="1056"/>
      <c r="HO109" s="1056"/>
      <c r="HP109" s="1056"/>
      <c r="HQ109" s="1056"/>
      <c r="HR109" s="1056"/>
      <c r="HS109" s="1056"/>
      <c r="HT109" s="1056"/>
      <c r="HU109" s="1056"/>
      <c r="HV109" s="1056"/>
      <c r="HW109" s="1056"/>
      <c r="HX109" s="1056"/>
      <c r="HY109" s="1056"/>
      <c r="HZ109" s="1056"/>
      <c r="IA109" s="1056"/>
      <c r="IB109" s="1056"/>
      <c r="IC109" s="1056"/>
      <c r="ID109" s="1056"/>
      <c r="IE109" s="1056"/>
      <c r="IF109" s="1056"/>
      <c r="IG109" s="1056"/>
      <c r="IH109" s="1056"/>
      <c r="II109" s="1056"/>
      <c r="IJ109" s="1056"/>
      <c r="IK109" s="1056"/>
      <c r="IL109" s="1056"/>
      <c r="IM109" s="1056"/>
      <c r="IN109" s="1056"/>
      <c r="IO109" s="1056"/>
      <c r="IP109" s="1056"/>
      <c r="IQ109" s="1056"/>
      <c r="IR109" s="1056"/>
      <c r="IS109" s="1056"/>
      <c r="IT109" s="1056"/>
      <c r="IU109" s="1056"/>
      <c r="IV109" s="1056"/>
      <c r="IW109" s="1056"/>
      <c r="IX109" s="1056"/>
      <c r="IY109" s="1056"/>
      <c r="IZ109" s="1056"/>
      <c r="JA109" s="1056"/>
      <c r="JB109" s="1056"/>
      <c r="JC109" s="1056"/>
      <c r="JD109" s="1056"/>
      <c r="JE109" s="1056"/>
      <c r="JF109" s="1056"/>
      <c r="JG109" s="1056"/>
      <c r="JH109" s="1056"/>
      <c r="JI109" s="1056"/>
      <c r="JJ109" s="1056"/>
      <c r="JK109" s="1056"/>
      <c r="JL109" s="1056"/>
      <c r="JM109" s="1056"/>
      <c r="JN109" s="1056"/>
      <c r="JO109" s="1056"/>
      <c r="JP109" s="1056"/>
      <c r="JQ109" s="1056"/>
      <c r="JR109" s="1056"/>
      <c r="JS109" s="1056"/>
      <c r="JT109" s="1056"/>
      <c r="JU109" s="1056"/>
      <c r="JV109" s="1056"/>
      <c r="JW109" s="1056"/>
      <c r="JX109" s="1056"/>
      <c r="JY109" s="1056"/>
      <c r="JZ109" s="1056"/>
      <c r="KA109" s="1056"/>
      <c r="KB109" s="1056"/>
      <c r="KC109" s="1056"/>
      <c r="KD109" s="1056"/>
      <c r="KE109" s="1056"/>
      <c r="KF109" s="1056"/>
      <c r="KG109" s="1056"/>
      <c r="KH109" s="1056"/>
      <c r="KI109" s="1056"/>
      <c r="KJ109" s="1056"/>
      <c r="KK109" s="1056"/>
      <c r="KL109" s="1056"/>
      <c r="KM109" s="1056"/>
      <c r="KN109" s="1056"/>
      <c r="KO109" s="1056"/>
      <c r="KP109" s="1056"/>
      <c r="KQ109" s="1056"/>
      <c r="KR109" s="1056"/>
      <c r="KS109" s="1056"/>
      <c r="KT109" s="1056"/>
      <c r="KU109" s="1056"/>
      <c r="KV109" s="1056"/>
      <c r="KW109" s="1056"/>
      <c r="KX109" s="1056"/>
      <c r="KY109" s="1056"/>
      <c r="KZ109" s="1056"/>
      <c r="LA109" s="1056"/>
      <c r="LB109" s="1056"/>
      <c r="LC109" s="1056"/>
      <c r="LD109" s="1056"/>
      <c r="LE109" s="1056"/>
      <c r="LF109" s="1056"/>
      <c r="LG109" s="1056"/>
      <c r="LH109" s="1056"/>
      <c r="LI109" s="1056"/>
      <c r="LJ109" s="1056"/>
      <c r="LK109" s="1056"/>
      <c r="LL109" s="1056"/>
      <c r="LM109" s="1056"/>
      <c r="LN109" s="1056"/>
      <c r="LO109" s="1056"/>
      <c r="LP109" s="1056"/>
      <c r="LQ109" s="1056"/>
      <c r="LR109" s="1056"/>
      <c r="LS109" s="1056"/>
      <c r="LT109" s="1056"/>
      <c r="LU109" s="1056"/>
      <c r="LV109" s="1056"/>
      <c r="LW109" s="1056"/>
      <c r="LX109" s="1056"/>
      <c r="LY109" s="1056"/>
      <c r="LZ109" s="1056"/>
      <c r="MA109" s="1056"/>
      <c r="MB109" s="1056"/>
      <c r="MC109" s="1056"/>
      <c r="MD109" s="1056"/>
      <c r="ME109" s="1056"/>
      <c r="MF109" s="1056"/>
      <c r="MG109" s="1056"/>
      <c r="MH109" s="1056"/>
      <c r="MI109" s="1056"/>
      <c r="MJ109" s="1056"/>
      <c r="MK109" s="1056"/>
      <c r="ML109" s="1056"/>
      <c r="MM109" s="1056"/>
      <c r="MN109" s="1056"/>
      <c r="MO109" s="1056"/>
      <c r="MP109" s="1056"/>
      <c r="MQ109" s="1056"/>
      <c r="MR109" s="1056"/>
      <c r="MS109" s="1056"/>
      <c r="MT109" s="1056"/>
      <c r="MU109" s="1056"/>
      <c r="MV109" s="1056"/>
      <c r="MW109" s="1056"/>
      <c r="MX109" s="1056"/>
      <c r="MY109" s="1056"/>
      <c r="MZ109" s="1056"/>
      <c r="NA109" s="1056"/>
      <c r="NB109" s="1056"/>
      <c r="NC109" s="1056"/>
      <c r="ND109" s="1056"/>
      <c r="NE109" s="1056"/>
      <c r="NF109" s="1056"/>
      <c r="NG109" s="1056"/>
      <c r="NH109" s="1056"/>
      <c r="NI109" s="1056"/>
      <c r="NJ109" s="1056"/>
      <c r="NK109" s="1056"/>
      <c r="NL109" s="1056"/>
      <c r="NM109" s="1056"/>
      <c r="NN109" s="1056"/>
      <c r="NO109" s="1056"/>
      <c r="NP109" s="1056"/>
      <c r="NQ109" s="1056"/>
      <c r="NR109" s="1056"/>
      <c r="NS109" s="1056"/>
      <c r="NT109" s="1056"/>
      <c r="NU109" s="1056"/>
      <c r="NV109" s="1056"/>
      <c r="NW109" s="1056"/>
      <c r="NX109" s="1056"/>
      <c r="NY109" s="1056"/>
      <c r="NZ109" s="1056"/>
      <c r="OA109" s="1056"/>
      <c r="OB109" s="1056"/>
      <c r="OC109" s="1056"/>
      <c r="OD109" s="1056"/>
      <c r="OE109" s="1056"/>
      <c r="OF109" s="1056"/>
      <c r="OG109" s="1056"/>
      <c r="OH109" s="1056"/>
      <c r="OI109" s="1056"/>
      <c r="OJ109" s="1056"/>
      <c r="OK109" s="1056"/>
      <c r="OL109" s="1056"/>
      <c r="OM109" s="1056"/>
      <c r="ON109" s="1056"/>
      <c r="OO109" s="1056"/>
      <c r="OP109" s="1056"/>
      <c r="OQ109" s="1056"/>
      <c r="OR109" s="1056"/>
      <c r="OS109" s="1056"/>
      <c r="OT109" s="1056"/>
      <c r="OU109" s="1056"/>
      <c r="OV109" s="1056"/>
      <c r="OW109" s="1056"/>
      <c r="OX109" s="1056"/>
      <c r="OY109" s="1056"/>
      <c r="OZ109" s="1056"/>
      <c r="PA109" s="1056"/>
      <c r="PB109" s="1056"/>
      <c r="PC109" s="1056"/>
      <c r="PD109" s="1056"/>
      <c r="PE109" s="1056"/>
      <c r="PF109" s="1056"/>
      <c r="PG109" s="1056"/>
      <c r="PH109" s="1056"/>
      <c r="PI109" s="1056"/>
      <c r="PJ109" s="1056"/>
      <c r="PK109" s="1056"/>
      <c r="PL109" s="1056"/>
      <c r="PM109" s="1056"/>
      <c r="PN109" s="1056"/>
      <c r="PO109" s="1056"/>
      <c r="PP109" s="1056"/>
      <c r="PQ109" s="1056"/>
      <c r="PR109" s="1056"/>
      <c r="PS109" s="1056"/>
      <c r="PT109" s="1056"/>
      <c r="PU109" s="1056"/>
      <c r="PV109" s="1056"/>
      <c r="PW109" s="1056"/>
      <c r="PX109" s="1056"/>
      <c r="PY109" s="1056"/>
      <c r="PZ109" s="1056"/>
      <c r="QA109" s="1056"/>
      <c r="QB109" s="1056"/>
      <c r="QC109" s="1056"/>
      <c r="QD109" s="1056"/>
      <c r="QE109" s="1056"/>
      <c r="QF109" s="1056"/>
      <c r="QG109" s="1056"/>
      <c r="QH109" s="1056"/>
      <c r="QI109" s="1056"/>
      <c r="QJ109" s="1056"/>
      <c r="QK109" s="1056"/>
      <c r="QL109" s="1056"/>
      <c r="QM109" s="1056"/>
      <c r="QN109" s="1056"/>
      <c r="QO109" s="1056"/>
      <c r="QP109" s="1056"/>
      <c r="QQ109" s="1056"/>
      <c r="QR109" s="1056"/>
      <c r="QS109" s="1056"/>
      <c r="QT109" s="1056"/>
      <c r="QU109" s="1056"/>
      <c r="QV109" s="1056"/>
      <c r="QW109" s="1056"/>
      <c r="QX109" s="1056"/>
      <c r="QY109" s="1056"/>
      <c r="QZ109" s="1056"/>
      <c r="RA109" s="1056"/>
      <c r="RB109" s="1056"/>
      <c r="RC109" s="1056"/>
      <c r="RD109" s="1056"/>
      <c r="RE109" s="1056"/>
      <c r="RF109" s="1056"/>
      <c r="RG109" s="1056"/>
      <c r="RH109" s="1056"/>
      <c r="RI109" s="1056"/>
      <c r="RJ109" s="1056"/>
      <c r="RK109" s="1056"/>
      <c r="RL109" s="1056"/>
      <c r="RM109" s="1056"/>
      <c r="RN109" s="1056"/>
      <c r="RO109" s="1056"/>
      <c r="RP109" s="1056"/>
      <c r="RQ109" s="1056"/>
      <c r="RR109" s="1056"/>
      <c r="RS109" s="1056"/>
      <c r="RT109" s="1056"/>
      <c r="RU109" s="1056"/>
      <c r="RV109" s="1056"/>
      <c r="RW109" s="1056"/>
      <c r="RX109" s="1056"/>
      <c r="RY109" s="1056"/>
      <c r="RZ109" s="1056"/>
      <c r="SA109" s="1056"/>
      <c r="SB109" s="1056"/>
      <c r="SC109" s="1056"/>
      <c r="SD109" s="1056"/>
      <c r="SE109" s="1056"/>
      <c r="SF109" s="1056"/>
      <c r="SG109" s="1056"/>
      <c r="SH109" s="1056"/>
      <c r="SI109" s="1056"/>
      <c r="SJ109" s="1056"/>
      <c r="SK109" s="1056"/>
      <c r="SL109" s="1056"/>
      <c r="SM109" s="1056"/>
      <c r="SN109" s="1056"/>
      <c r="SO109" s="1056"/>
      <c r="SP109" s="1056"/>
      <c r="SQ109" s="1056"/>
      <c r="SR109" s="1056"/>
      <c r="SS109" s="1056"/>
      <c r="ST109" s="1056"/>
      <c r="SU109" s="1056"/>
      <c r="SV109" s="1056"/>
      <c r="SW109" s="1056"/>
      <c r="SX109" s="1056"/>
      <c r="SY109" s="1056"/>
      <c r="SZ109" s="1056"/>
      <c r="TA109" s="1056"/>
      <c r="TB109" s="1056"/>
      <c r="TC109" s="1056"/>
      <c r="TD109" s="1056"/>
      <c r="TE109" s="1056"/>
      <c r="TF109" s="1056"/>
      <c r="TG109" s="1056"/>
      <c r="TH109" s="1056"/>
      <c r="TI109" s="1056"/>
      <c r="TJ109" s="1056"/>
      <c r="TK109" s="1056"/>
      <c r="TL109" s="1056"/>
      <c r="TM109" s="1056"/>
      <c r="TN109" s="1056"/>
      <c r="TO109" s="1056"/>
      <c r="TP109" s="1056"/>
      <c r="TQ109" s="1056"/>
      <c r="TR109" s="1056"/>
      <c r="TS109" s="1056"/>
      <c r="TT109" s="1056"/>
      <c r="TU109" s="1056"/>
      <c r="TV109" s="1056"/>
      <c r="TW109" s="1056"/>
      <c r="TX109" s="1056"/>
      <c r="TY109" s="1056"/>
      <c r="TZ109" s="1056"/>
      <c r="UA109" s="1056"/>
      <c r="UB109" s="1056"/>
      <c r="UC109" s="1056"/>
      <c r="UD109" s="1056"/>
      <c r="UE109" s="1056"/>
      <c r="UF109" s="1056"/>
      <c r="UG109" s="1056"/>
      <c r="UH109" s="1056"/>
      <c r="UI109" s="1056"/>
      <c r="UJ109" s="1056"/>
      <c r="UK109" s="1056"/>
      <c r="UL109" s="1056"/>
      <c r="UM109" s="1056"/>
      <c r="UN109" s="1056"/>
      <c r="UO109" s="1056"/>
      <c r="UP109" s="1056"/>
      <c r="UQ109" s="1056"/>
      <c r="UR109" s="1056"/>
      <c r="US109" s="1056"/>
      <c r="UT109" s="1056"/>
      <c r="UU109" s="1056"/>
      <c r="UV109" s="1056"/>
      <c r="UW109" s="1056"/>
      <c r="UX109" s="1056"/>
      <c r="UY109" s="1056"/>
      <c r="UZ109" s="1056"/>
      <c r="VA109" s="1056"/>
      <c r="VB109" s="1056"/>
      <c r="VC109" s="1056"/>
      <c r="VD109" s="1056"/>
      <c r="VE109" s="1056"/>
      <c r="VF109" s="1056"/>
      <c r="VG109" s="1056"/>
      <c r="VH109" s="1056"/>
      <c r="VI109" s="1056"/>
      <c r="VJ109" s="1056"/>
      <c r="VK109" s="1056"/>
      <c r="VL109" s="1056"/>
      <c r="VM109" s="1056"/>
      <c r="VN109" s="1056"/>
      <c r="VO109" s="1056"/>
      <c r="VP109" s="1056"/>
      <c r="VQ109" s="1056"/>
      <c r="VR109" s="1056"/>
      <c r="VS109" s="1056"/>
      <c r="VT109" s="1056"/>
      <c r="VU109" s="1056"/>
      <c r="VV109" s="1056"/>
      <c r="VW109" s="1056"/>
      <c r="VX109" s="1056"/>
      <c r="VY109" s="1056"/>
      <c r="VZ109" s="1056"/>
      <c r="WA109" s="1056"/>
      <c r="WB109" s="1056"/>
      <c r="WC109" s="1056"/>
      <c r="WD109" s="1056"/>
      <c r="WE109" s="1056"/>
      <c r="WF109" s="1056"/>
      <c r="WG109" s="1056"/>
      <c r="WH109" s="1056"/>
      <c r="WI109" s="1056"/>
      <c r="WJ109" s="1056"/>
      <c r="WK109" s="1056"/>
      <c r="WL109" s="1056"/>
      <c r="WM109" s="1056"/>
      <c r="WN109" s="1056"/>
      <c r="WO109" s="1056"/>
      <c r="WP109" s="1056"/>
      <c r="WQ109" s="1056"/>
      <c r="WR109" s="1056"/>
      <c r="WS109" s="1056"/>
      <c r="WT109" s="1056"/>
      <c r="WU109" s="1056"/>
      <c r="WV109" s="1056"/>
      <c r="WW109" s="1056"/>
      <c r="WX109" s="1056"/>
      <c r="WY109" s="1056"/>
      <c r="WZ109" s="1056"/>
      <c r="XA109" s="1056"/>
      <c r="XB109" s="1056"/>
      <c r="XC109" s="1056"/>
      <c r="XD109" s="1056"/>
      <c r="XE109" s="1056"/>
      <c r="XF109" s="1056"/>
      <c r="XG109" s="1056"/>
      <c r="XH109" s="1056"/>
      <c r="XI109" s="1056"/>
      <c r="XJ109" s="1056"/>
      <c r="XK109" s="1056"/>
      <c r="XL109" s="1056"/>
      <c r="XM109" s="1056"/>
      <c r="XN109" s="1056"/>
      <c r="XO109" s="1056"/>
      <c r="XP109" s="1056"/>
      <c r="XQ109" s="1056"/>
      <c r="XR109" s="1056"/>
      <c r="XS109" s="1056"/>
      <c r="XT109" s="1056"/>
      <c r="XU109" s="1056"/>
      <c r="XV109" s="1056"/>
      <c r="XW109" s="1056"/>
      <c r="XX109" s="1056"/>
      <c r="XY109" s="1056"/>
      <c r="XZ109" s="1056"/>
      <c r="YA109" s="1056"/>
      <c r="YB109" s="1056"/>
      <c r="YC109" s="1056"/>
      <c r="YD109" s="1056"/>
      <c r="YE109" s="1056"/>
      <c r="YF109" s="1056"/>
      <c r="YG109" s="1056"/>
      <c r="YH109" s="1056"/>
      <c r="YI109" s="1056"/>
      <c r="YJ109" s="1056"/>
      <c r="YK109" s="1056"/>
      <c r="YL109" s="1056"/>
      <c r="YM109" s="1056"/>
      <c r="YN109" s="1056"/>
      <c r="YO109" s="1056"/>
      <c r="YP109" s="1056"/>
      <c r="YQ109" s="1056"/>
      <c r="YR109" s="1056"/>
      <c r="YS109" s="1056"/>
      <c r="YT109" s="1056"/>
      <c r="YU109" s="1056"/>
      <c r="YV109" s="1056"/>
      <c r="YW109" s="1056"/>
      <c r="YX109" s="1056"/>
      <c r="YY109" s="1056"/>
      <c r="YZ109" s="1056"/>
      <c r="ZA109" s="1056"/>
      <c r="ZB109" s="1056"/>
      <c r="ZC109" s="1056"/>
      <c r="ZD109" s="1056"/>
      <c r="ZE109" s="1056"/>
      <c r="ZF109" s="1056"/>
      <c r="ZG109" s="1056"/>
      <c r="ZH109" s="1056"/>
      <c r="ZI109" s="1056"/>
      <c r="ZJ109" s="1056"/>
      <c r="ZK109" s="1056"/>
      <c r="ZL109" s="1056"/>
      <c r="ZM109" s="1056"/>
      <c r="ZN109" s="1056"/>
      <c r="ZO109" s="1056"/>
      <c r="ZP109" s="1056"/>
      <c r="ZQ109" s="1056"/>
      <c r="ZR109" s="1056"/>
      <c r="ZS109" s="1056"/>
      <c r="ZT109" s="1056"/>
      <c r="ZU109" s="1056"/>
      <c r="ZV109" s="1056"/>
      <c r="ZW109" s="1056"/>
      <c r="ZX109" s="1056"/>
      <c r="ZY109" s="1056"/>
      <c r="ZZ109" s="1056"/>
      <c r="AAA109" s="1056"/>
      <c r="AAB109" s="1056"/>
      <c r="AAC109" s="1056"/>
      <c r="AAD109" s="1056"/>
      <c r="AAE109" s="1056"/>
      <c r="AAF109" s="1056"/>
      <c r="AAG109" s="1056"/>
      <c r="AAH109" s="1056"/>
      <c r="AAI109" s="1056"/>
      <c r="AAJ109" s="1056"/>
      <c r="AAK109" s="1056"/>
      <c r="AAL109" s="1056"/>
      <c r="AAM109" s="1056"/>
      <c r="AAN109" s="1056"/>
      <c r="AAO109" s="1056"/>
      <c r="AAP109" s="1056"/>
      <c r="AAQ109" s="1056"/>
      <c r="AAR109" s="1056"/>
      <c r="AAS109" s="1056"/>
      <c r="AAT109" s="1056"/>
      <c r="AAU109" s="1056"/>
      <c r="AAV109" s="1056"/>
      <c r="AAW109" s="1056"/>
      <c r="AAX109" s="1056"/>
      <c r="AAY109" s="1056"/>
      <c r="AAZ109" s="1056"/>
      <c r="ABA109" s="1056"/>
      <c r="ABB109" s="1056"/>
      <c r="ABC109" s="1056"/>
      <c r="ABD109" s="1056"/>
      <c r="ABE109" s="1056"/>
      <c r="ABF109" s="1056"/>
      <c r="ABG109" s="1056"/>
      <c r="ABH109" s="1056"/>
      <c r="ABI109" s="1056"/>
      <c r="ABJ109" s="1056"/>
      <c r="ABK109" s="1056"/>
      <c r="ABL109" s="1056"/>
      <c r="ABM109" s="1056"/>
      <c r="ABN109" s="1056"/>
      <c r="ABO109" s="1056"/>
      <c r="ABP109" s="1056"/>
      <c r="ABQ109" s="1056"/>
      <c r="ABR109" s="1056"/>
      <c r="ABS109" s="1056"/>
      <c r="ABT109" s="1056"/>
      <c r="ABU109" s="1056"/>
      <c r="ABV109" s="1056"/>
      <c r="ABW109" s="1056"/>
      <c r="ABX109" s="1056"/>
      <c r="ABY109" s="1056"/>
      <c r="ABZ109" s="1056"/>
      <c r="ACA109" s="1056"/>
      <c r="ACB109" s="1056"/>
      <c r="ACC109" s="1056"/>
      <c r="ACD109" s="1056"/>
      <c r="ACE109" s="1056"/>
      <c r="ACF109" s="1056"/>
      <c r="ACG109" s="1056"/>
      <c r="ACH109" s="1056"/>
      <c r="ACI109" s="1056"/>
      <c r="ACJ109" s="1056"/>
      <c r="ACK109" s="1056"/>
      <c r="ACL109" s="1056"/>
      <c r="ACM109" s="1056"/>
      <c r="ACN109" s="1056"/>
      <c r="ACO109" s="1056"/>
      <c r="ACP109" s="1056"/>
      <c r="ACQ109" s="1056"/>
      <c r="ACR109" s="1056"/>
      <c r="ACS109" s="1056"/>
      <c r="ACT109" s="1056"/>
      <c r="ACU109" s="1056"/>
      <c r="ACV109" s="1056"/>
      <c r="ACW109" s="1056"/>
      <c r="ACX109" s="1056"/>
      <c r="ACY109" s="1056"/>
      <c r="ACZ109" s="1056"/>
      <c r="ADA109" s="1056"/>
      <c r="ADB109" s="1056"/>
      <c r="ADC109" s="1056"/>
      <c r="ADD109" s="1056"/>
      <c r="ADE109" s="1056"/>
      <c r="ADF109" s="1056"/>
      <c r="ADG109" s="1056"/>
      <c r="ADH109" s="1056"/>
      <c r="ADI109" s="1056"/>
      <c r="ADJ109" s="1056"/>
      <c r="ADK109" s="1056"/>
      <c r="ADL109" s="1056"/>
      <c r="ADM109" s="1056"/>
      <c r="ADN109" s="1056"/>
      <c r="ADO109" s="1056"/>
      <c r="ADP109" s="1056"/>
      <c r="ADQ109" s="1056"/>
      <c r="ADR109" s="1056"/>
      <c r="ADS109" s="1056"/>
      <c r="ADT109" s="1056"/>
      <c r="ADU109" s="1056"/>
      <c r="ADV109" s="1056"/>
      <c r="ADW109" s="1056"/>
      <c r="ADX109" s="1056"/>
      <c r="ADY109" s="1056"/>
      <c r="ADZ109" s="1056"/>
      <c r="AEA109" s="1056"/>
      <c r="AEB109" s="1056"/>
      <c r="AEC109" s="1056"/>
      <c r="AED109" s="1056"/>
      <c r="AEE109" s="1056"/>
      <c r="AEF109" s="1056"/>
      <c r="AEG109" s="1056"/>
      <c r="AEH109" s="1056"/>
      <c r="AEI109" s="1056"/>
      <c r="AEJ109" s="1056"/>
      <c r="AEK109" s="1056"/>
      <c r="AEL109" s="1056"/>
      <c r="AEM109" s="1056"/>
      <c r="AEN109" s="1056"/>
      <c r="AEO109" s="1056"/>
      <c r="AEP109" s="1056"/>
      <c r="AEQ109" s="1056"/>
      <c r="AER109" s="1056"/>
      <c r="AES109" s="1056"/>
      <c r="AET109" s="1056"/>
      <c r="AEU109" s="1056"/>
      <c r="AEV109" s="1056"/>
      <c r="AEW109" s="1056"/>
      <c r="AEX109" s="1056"/>
      <c r="AEY109" s="1056"/>
      <c r="AEZ109" s="1056"/>
      <c r="AFA109" s="1056"/>
      <c r="AFB109" s="1056"/>
      <c r="AFC109" s="1056"/>
      <c r="AFD109" s="1056"/>
      <c r="AFE109" s="1056"/>
      <c r="AFF109" s="1056"/>
      <c r="AFG109" s="1056"/>
      <c r="AFH109" s="1056"/>
      <c r="AFI109" s="1056"/>
      <c r="AFJ109" s="1056"/>
      <c r="AFK109" s="1056"/>
      <c r="AFL109" s="1056"/>
      <c r="AFM109" s="1056"/>
      <c r="AFN109" s="1056"/>
      <c r="AFO109" s="1056"/>
      <c r="AFP109" s="1056"/>
      <c r="AFQ109" s="1056"/>
      <c r="AFR109" s="1056"/>
      <c r="AFS109" s="1056"/>
      <c r="AFT109" s="1056"/>
      <c r="AFU109" s="1056"/>
      <c r="AFV109" s="1056"/>
      <c r="AFW109" s="1056"/>
      <c r="AFX109" s="1056"/>
      <c r="AFY109" s="1056"/>
      <c r="AFZ109" s="1056"/>
      <c r="AGA109" s="1056"/>
      <c r="AGB109" s="1056"/>
      <c r="AGC109" s="1056"/>
      <c r="AGD109" s="1056"/>
      <c r="AGE109" s="1056"/>
      <c r="AGF109" s="1056"/>
      <c r="AGG109" s="1056"/>
      <c r="AGH109" s="1056"/>
      <c r="AGI109" s="1056"/>
      <c r="AGJ109" s="1056"/>
      <c r="AGK109" s="1056"/>
      <c r="AGL109" s="1056"/>
      <c r="AGM109" s="1056"/>
      <c r="AGN109" s="1056"/>
      <c r="AGO109" s="1056"/>
      <c r="AGP109" s="1056"/>
      <c r="AGQ109" s="1056"/>
      <c r="AGR109" s="1056"/>
      <c r="AGS109" s="1056"/>
      <c r="AGT109" s="1056"/>
      <c r="AGU109" s="1056"/>
      <c r="AGV109" s="1056"/>
      <c r="AGW109" s="1056"/>
      <c r="AGX109" s="1056"/>
      <c r="AGY109" s="1056"/>
      <c r="AGZ109" s="1056"/>
      <c r="AHA109" s="1056"/>
      <c r="AHB109" s="1056"/>
      <c r="AHC109" s="1056"/>
      <c r="AHD109" s="1056"/>
      <c r="AHE109" s="1056"/>
      <c r="AHF109" s="1056"/>
      <c r="AHG109" s="1056"/>
      <c r="AHH109" s="1056"/>
      <c r="AHI109" s="1056"/>
      <c r="AHJ109" s="1056"/>
      <c r="AHK109" s="1056"/>
      <c r="AHL109" s="1056"/>
      <c r="AHM109" s="1056"/>
      <c r="AHN109" s="1056"/>
      <c r="AHO109" s="1056"/>
      <c r="AHP109" s="1056"/>
      <c r="AHQ109" s="1056"/>
      <c r="AHR109" s="1056"/>
      <c r="AHS109" s="1056"/>
      <c r="AHT109" s="1056"/>
      <c r="AHU109" s="1056"/>
      <c r="AHV109" s="1056"/>
      <c r="AHW109" s="1056"/>
      <c r="AHX109" s="1056"/>
      <c r="AHY109" s="1056"/>
      <c r="AHZ109" s="1056"/>
      <c r="AIA109" s="1056"/>
      <c r="AIB109" s="1056"/>
      <c r="AIC109" s="1056"/>
      <c r="AID109" s="1056"/>
      <c r="AIE109" s="1056"/>
      <c r="AIF109" s="1056"/>
      <c r="AIG109" s="1056"/>
      <c r="AIH109" s="1056"/>
      <c r="AII109" s="1056"/>
      <c r="AIJ109" s="1056"/>
      <c r="AIK109" s="1056"/>
      <c r="AIL109" s="1056"/>
      <c r="AIM109" s="1056"/>
      <c r="AIN109" s="1056"/>
      <c r="AIO109" s="1056"/>
      <c r="AIP109" s="1056"/>
      <c r="AIQ109" s="1056"/>
      <c r="AIR109" s="1056"/>
      <c r="AIS109" s="1056"/>
      <c r="AIT109" s="1056"/>
      <c r="AIU109" s="1056"/>
      <c r="AIV109" s="1056"/>
      <c r="AIW109" s="1056"/>
      <c r="AIX109" s="1056"/>
      <c r="AIY109" s="1056"/>
      <c r="AIZ109" s="1056"/>
      <c r="AJA109" s="1056"/>
      <c r="AJB109" s="1056"/>
      <c r="AJC109" s="1056"/>
      <c r="AJD109" s="1056"/>
      <c r="AJE109" s="1056"/>
      <c r="AJF109" s="1056"/>
      <c r="AJG109" s="1056"/>
      <c r="AJH109" s="1056"/>
      <c r="AJI109" s="1056"/>
      <c r="AJJ109" s="1056"/>
      <c r="AJK109" s="1056"/>
      <c r="AJL109" s="1056"/>
      <c r="AJM109" s="1056"/>
      <c r="AJN109" s="1056"/>
      <c r="AJO109" s="1056"/>
      <c r="AJP109" s="1056"/>
      <c r="AJQ109" s="1056"/>
      <c r="AJR109" s="1056"/>
      <c r="AJS109" s="1056"/>
      <c r="AJT109" s="1056"/>
      <c r="AJU109" s="1056"/>
      <c r="AJV109" s="1056"/>
      <c r="AJW109" s="1056"/>
      <c r="AJX109" s="1056"/>
      <c r="AJY109" s="1056"/>
      <c r="AJZ109" s="1056"/>
      <c r="AKA109" s="1056"/>
      <c r="AKB109" s="1056"/>
      <c r="AKC109" s="1056"/>
      <c r="AKD109" s="1056"/>
      <c r="AKE109" s="1056"/>
      <c r="AKF109" s="1056"/>
      <c r="AKG109" s="1056"/>
      <c r="AKH109" s="1056"/>
      <c r="AKI109" s="1056"/>
      <c r="AKJ109" s="1056"/>
      <c r="AKK109" s="1056"/>
      <c r="AKL109" s="1056"/>
      <c r="AKM109" s="1056"/>
      <c r="AKN109" s="1056"/>
      <c r="AKO109" s="1056"/>
      <c r="AKP109" s="1056"/>
      <c r="AKQ109" s="1056"/>
      <c r="AKR109" s="1056"/>
      <c r="AKS109" s="1056"/>
      <c r="AKT109" s="1056"/>
      <c r="AKU109" s="1056"/>
      <c r="AKV109" s="1056"/>
      <c r="AKW109" s="1056"/>
      <c r="AKX109" s="1056"/>
      <c r="AKY109" s="1056"/>
      <c r="AKZ109" s="1056"/>
      <c r="ALA109" s="1056"/>
      <c r="ALB109" s="1056"/>
      <c r="ALC109" s="1056"/>
      <c r="ALD109" s="1056"/>
      <c r="ALE109" s="1056"/>
      <c r="ALF109" s="1056"/>
      <c r="ALG109" s="1056"/>
      <c r="ALH109" s="1056"/>
      <c r="ALI109" s="1056"/>
      <c r="ALJ109" s="1056"/>
      <c r="ALK109" s="1056"/>
      <c r="ALL109" s="1056"/>
      <c r="ALM109" s="1056"/>
      <c r="ALN109" s="1056"/>
      <c r="ALO109" s="1056"/>
      <c r="ALP109" s="1056"/>
      <c r="ALQ109" s="1056"/>
      <c r="ALR109" s="1056"/>
      <c r="ALS109" s="1056"/>
      <c r="ALT109" s="1056"/>
      <c r="ALU109" s="1056"/>
      <c r="ALV109" s="1056"/>
      <c r="ALW109" s="1056"/>
      <c r="ALX109" s="1056"/>
      <c r="ALY109" s="1056"/>
      <c r="ALZ109" s="1056"/>
      <c r="AMA109" s="1056"/>
      <c r="AMB109" s="1056"/>
      <c r="AMC109" s="1056"/>
      <c r="AMD109" s="1056"/>
      <c r="AME109" s="1056"/>
      <c r="AMF109" s="1056"/>
      <c r="AMG109" s="1056"/>
      <c r="AMH109" s="1056"/>
      <c r="AMI109" s="1056"/>
      <c r="AMJ109" s="1056"/>
      <c r="AMK109" s="1056"/>
      <c r="AML109" s="1056"/>
      <c r="AMM109" s="1056"/>
      <c r="AMN109" s="1056"/>
      <c r="AMO109" s="1056"/>
      <c r="AMP109" s="1056"/>
      <c r="AMQ109" s="1056"/>
      <c r="AMR109" s="1056"/>
      <c r="AMS109" s="1056"/>
      <c r="AMT109" s="1056"/>
      <c r="AMU109" s="1056"/>
      <c r="AMV109" s="1056"/>
      <c r="AMW109" s="1056"/>
      <c r="AMX109" s="1056"/>
      <c r="AMY109" s="1056"/>
      <c r="AMZ109" s="1056"/>
      <c r="ANA109" s="1056"/>
      <c r="ANB109" s="1056"/>
      <c r="ANC109" s="1056"/>
      <c r="AND109" s="1056"/>
      <c r="ANE109" s="1056"/>
      <c r="ANF109" s="1056"/>
      <c r="ANG109" s="1056"/>
      <c r="ANH109" s="1056"/>
      <c r="ANI109" s="1056"/>
      <c r="ANJ109" s="1056"/>
      <c r="ANK109" s="1056"/>
      <c r="ANL109" s="1056"/>
      <c r="ANM109" s="1056"/>
      <c r="ANN109" s="1056"/>
      <c r="ANO109" s="1056"/>
      <c r="ANP109" s="1056"/>
      <c r="ANQ109" s="1056"/>
      <c r="ANR109" s="1056"/>
      <c r="ANS109" s="1056"/>
      <c r="ANT109" s="1056"/>
      <c r="ANU109" s="1056"/>
      <c r="ANV109" s="1056"/>
      <c r="ANW109" s="1056"/>
      <c r="ANX109" s="1056"/>
      <c r="ANY109" s="1056"/>
      <c r="ANZ109" s="1056"/>
      <c r="AOA109" s="1056"/>
      <c r="AOB109" s="1056"/>
      <c r="AOC109" s="1056"/>
      <c r="AOD109" s="1056"/>
      <c r="AOE109" s="1056"/>
      <c r="AOF109" s="1056"/>
      <c r="AOG109" s="1056"/>
      <c r="AOH109" s="1056"/>
      <c r="AOI109" s="1056"/>
      <c r="AOJ109" s="1056"/>
      <c r="AOK109" s="1056"/>
      <c r="AOL109" s="1056"/>
      <c r="AOM109" s="1056"/>
      <c r="AON109" s="1056"/>
      <c r="AOO109" s="1056"/>
      <c r="AOP109" s="1056"/>
      <c r="AOQ109" s="1056"/>
      <c r="AOR109" s="1056"/>
      <c r="AOS109" s="1056"/>
      <c r="AOT109" s="1056"/>
      <c r="AOU109" s="1056"/>
      <c r="AOV109" s="1056"/>
      <c r="AOW109" s="1056"/>
      <c r="AOX109" s="1056"/>
      <c r="AOY109" s="1056"/>
      <c r="AOZ109" s="1056"/>
      <c r="APA109" s="1056"/>
      <c r="APB109" s="1056"/>
      <c r="APC109" s="1056"/>
      <c r="APD109" s="1056"/>
      <c r="APE109" s="1056"/>
      <c r="APF109" s="1056"/>
      <c r="APG109" s="1056"/>
      <c r="APH109" s="1056"/>
      <c r="API109" s="1056"/>
      <c r="APJ109" s="1056"/>
      <c r="APK109" s="1056"/>
      <c r="APL109" s="1056"/>
      <c r="APM109" s="1056"/>
      <c r="APN109" s="1056"/>
      <c r="APO109" s="1056"/>
      <c r="APP109" s="1056"/>
      <c r="APQ109" s="1056"/>
      <c r="APR109" s="1056"/>
      <c r="APS109" s="1056"/>
      <c r="APT109" s="1056"/>
      <c r="APU109" s="1056"/>
      <c r="APV109" s="1056"/>
      <c r="APW109" s="1056"/>
      <c r="APX109" s="1056"/>
      <c r="APY109" s="1056"/>
      <c r="APZ109" s="1056"/>
      <c r="AQA109" s="1056"/>
      <c r="AQB109" s="1056"/>
      <c r="AQC109" s="1056"/>
      <c r="AQD109" s="1056"/>
      <c r="AQE109" s="1056"/>
      <c r="AQF109" s="1056"/>
      <c r="AQG109" s="1056"/>
      <c r="AQH109" s="1056"/>
      <c r="AQI109" s="1056"/>
      <c r="AQJ109" s="1056"/>
      <c r="AQK109" s="1056"/>
      <c r="AQL109" s="1056"/>
      <c r="AQM109" s="1056"/>
      <c r="AQN109" s="1056"/>
      <c r="AQO109" s="1056"/>
      <c r="AQP109" s="1056"/>
      <c r="AQQ109" s="1056"/>
      <c r="AQR109" s="1056"/>
      <c r="AQS109" s="1056"/>
      <c r="AQT109" s="1056"/>
      <c r="AQU109" s="1056"/>
      <c r="AQV109" s="1056"/>
      <c r="AQW109" s="1056"/>
      <c r="AQX109" s="1056"/>
      <c r="AQY109" s="1056"/>
      <c r="AQZ109" s="1056"/>
      <c r="ARA109" s="1056"/>
      <c r="ARB109" s="1056"/>
      <c r="ARC109" s="1056"/>
      <c r="ARD109" s="1056"/>
      <c r="ARE109" s="1056"/>
      <c r="ARF109" s="1056"/>
      <c r="ARG109" s="1056"/>
      <c r="ARH109" s="1056"/>
      <c r="ARI109" s="1056"/>
      <c r="ARJ109" s="1056"/>
      <c r="ARK109" s="1056"/>
      <c r="ARL109" s="1056"/>
      <c r="ARM109" s="1056"/>
      <c r="ARN109" s="1056"/>
      <c r="ARO109" s="1056"/>
      <c r="ARP109" s="1056"/>
      <c r="ARQ109" s="1056"/>
      <c r="ARR109" s="1056"/>
      <c r="ARS109" s="1056"/>
      <c r="ART109" s="1056"/>
      <c r="ARU109" s="1056"/>
      <c r="ARV109" s="1056"/>
      <c r="ARW109" s="1056"/>
      <c r="ARX109" s="1056"/>
      <c r="ARY109" s="1056"/>
      <c r="ARZ109" s="1056"/>
      <c r="ASA109" s="1056"/>
      <c r="ASB109" s="1056"/>
      <c r="ASC109" s="1056"/>
      <c r="ASD109" s="1056"/>
      <c r="ASE109" s="1056"/>
      <c r="ASF109" s="1056"/>
      <c r="ASG109" s="1056"/>
      <c r="ASH109" s="1056"/>
      <c r="ASI109" s="1056"/>
      <c r="ASJ109" s="1056"/>
      <c r="ASK109" s="1056"/>
      <c r="ASL109" s="1056"/>
      <c r="ASM109" s="1056"/>
      <c r="ASN109" s="1056"/>
      <c r="ASO109" s="1056"/>
      <c r="ASP109" s="1056"/>
      <c r="ASQ109" s="1056"/>
      <c r="ASR109" s="1056"/>
      <c r="ASS109" s="1056"/>
      <c r="AST109" s="1056"/>
      <c r="ASU109" s="1056"/>
      <c r="ASV109" s="1056"/>
      <c r="ASW109" s="1056"/>
      <c r="ASX109" s="1056"/>
      <c r="ASY109" s="1056"/>
      <c r="ASZ109" s="1056"/>
      <c r="ATA109" s="1056"/>
      <c r="ATB109" s="1056"/>
      <c r="ATC109" s="1056"/>
      <c r="ATD109" s="1056"/>
      <c r="ATE109" s="1056"/>
      <c r="ATF109" s="1056"/>
      <c r="ATG109" s="1056"/>
      <c r="ATH109" s="1056"/>
      <c r="ATI109" s="1056"/>
      <c r="ATJ109" s="1056"/>
      <c r="ATK109" s="1056"/>
      <c r="ATL109" s="1056"/>
      <c r="ATM109" s="1056"/>
      <c r="ATN109" s="1056"/>
      <c r="ATO109" s="1056"/>
      <c r="ATP109" s="1056"/>
      <c r="ATQ109" s="1056"/>
      <c r="ATR109" s="1056"/>
      <c r="ATS109" s="1056"/>
      <c r="ATT109" s="1056"/>
      <c r="ATU109" s="1056"/>
      <c r="ATV109" s="1056"/>
      <c r="ATW109" s="1056"/>
      <c r="ATX109" s="1056"/>
      <c r="ATY109" s="1056"/>
      <c r="ATZ109" s="1056"/>
      <c r="AUA109" s="1056"/>
      <c r="AUB109" s="1056"/>
      <c r="AUC109" s="1056"/>
      <c r="AUD109" s="1056"/>
      <c r="AUE109" s="1056"/>
      <c r="AUF109" s="1056"/>
      <c r="AUG109" s="1056"/>
      <c r="AUH109" s="1056"/>
      <c r="AUI109" s="1056"/>
      <c r="AUJ109" s="1056"/>
      <c r="AUK109" s="1056"/>
      <c r="AUL109" s="1056"/>
      <c r="AUM109" s="1056"/>
      <c r="AUN109" s="1056"/>
      <c r="AUO109" s="1056"/>
      <c r="AUP109" s="1056"/>
      <c r="AUQ109" s="1056"/>
      <c r="AUR109" s="1056"/>
      <c r="AUS109" s="1056"/>
      <c r="AUT109" s="1056"/>
      <c r="AUU109" s="1056"/>
      <c r="AUV109" s="1056"/>
      <c r="AUW109" s="1056"/>
      <c r="AUX109" s="1056"/>
      <c r="AUY109" s="1056"/>
      <c r="AUZ109" s="1056"/>
      <c r="AVA109" s="1056"/>
      <c r="AVB109" s="1056"/>
      <c r="AVC109" s="1056"/>
      <c r="AVD109" s="1056"/>
      <c r="AVE109" s="1056"/>
      <c r="AVF109" s="1056"/>
      <c r="AVG109" s="1056"/>
      <c r="AVH109" s="1056"/>
      <c r="AVI109" s="1056"/>
      <c r="AVJ109" s="1056"/>
      <c r="AVK109" s="1056"/>
      <c r="AVL109" s="1056"/>
      <c r="AVM109" s="1056"/>
      <c r="AVN109" s="1056"/>
      <c r="AVO109" s="1056"/>
      <c r="AVP109" s="1056"/>
      <c r="AVQ109" s="1056"/>
      <c r="AVR109" s="1056"/>
      <c r="AVS109" s="1056"/>
      <c r="AVT109" s="1056"/>
      <c r="AVU109" s="1056"/>
      <c r="AVV109" s="1056"/>
      <c r="AVW109" s="1056"/>
      <c r="AVX109" s="1056"/>
      <c r="AVY109" s="1056"/>
      <c r="AVZ109" s="1056"/>
      <c r="AWA109" s="1056"/>
      <c r="AWB109" s="1056"/>
      <c r="AWC109" s="1056"/>
      <c r="AWD109" s="1056"/>
      <c r="AWE109" s="1056"/>
      <c r="AWF109" s="1056"/>
      <c r="AWG109" s="1056"/>
      <c r="AWH109" s="1056"/>
      <c r="AWI109" s="1056"/>
      <c r="AWJ109" s="1056"/>
      <c r="AWK109" s="1056"/>
      <c r="AWL109" s="1056"/>
      <c r="AWM109" s="1056"/>
      <c r="AWN109" s="1056"/>
      <c r="AWO109" s="1056"/>
      <c r="AWP109" s="1056"/>
      <c r="AWQ109" s="1056"/>
      <c r="AWR109" s="1056"/>
      <c r="AWS109" s="1056"/>
      <c r="AWT109" s="1056"/>
      <c r="AWU109" s="1056"/>
      <c r="AWV109" s="1056"/>
      <c r="AWW109" s="1056"/>
      <c r="AWX109" s="1056"/>
      <c r="AWY109" s="1056"/>
      <c r="AWZ109" s="1056"/>
      <c r="AXA109" s="1056"/>
      <c r="AXB109" s="1056"/>
      <c r="AXC109" s="1056"/>
      <c r="AXD109" s="1056"/>
      <c r="AXE109" s="1056"/>
      <c r="AXF109" s="1056"/>
      <c r="AXG109" s="1056"/>
      <c r="AXH109" s="1056"/>
      <c r="AXI109" s="1056"/>
      <c r="AXJ109" s="1056"/>
      <c r="AXK109" s="1056"/>
      <c r="AXL109" s="1056"/>
      <c r="AXM109" s="1056"/>
      <c r="AXN109" s="1056"/>
      <c r="AXO109" s="1056"/>
      <c r="AXP109" s="1056"/>
      <c r="AXQ109" s="1056"/>
      <c r="AXR109" s="1056"/>
      <c r="AXS109" s="1056"/>
      <c r="AXT109" s="1056"/>
      <c r="AXU109" s="1056"/>
      <c r="AXV109" s="1056"/>
      <c r="AXW109" s="1056"/>
      <c r="AXX109" s="1056"/>
      <c r="AXY109" s="1056"/>
      <c r="AXZ109" s="1056"/>
      <c r="AYA109" s="1056"/>
      <c r="AYB109" s="1056"/>
      <c r="AYC109" s="1056"/>
      <c r="AYD109" s="1056"/>
      <c r="AYE109" s="1056"/>
      <c r="AYF109" s="1056"/>
      <c r="AYG109" s="1056"/>
      <c r="AYH109" s="1056"/>
      <c r="AYI109" s="1056"/>
      <c r="AYJ109" s="1056"/>
      <c r="AYK109" s="1056"/>
      <c r="AYL109" s="1056"/>
      <c r="AYM109" s="1056"/>
      <c r="AYN109" s="1056"/>
      <c r="AYO109" s="1056"/>
      <c r="AYP109" s="1056"/>
      <c r="AYQ109" s="1056"/>
      <c r="AYR109" s="1056"/>
      <c r="AYS109" s="1056"/>
      <c r="AYT109" s="1056"/>
      <c r="AYU109" s="1056"/>
      <c r="AYV109" s="1056"/>
      <c r="AYW109" s="1056"/>
      <c r="AYX109" s="1056"/>
      <c r="AYY109" s="1056"/>
      <c r="AYZ109" s="1056"/>
      <c r="AZA109" s="1056"/>
      <c r="AZB109" s="1056"/>
      <c r="AZC109" s="1056"/>
      <c r="AZD109" s="1056"/>
      <c r="AZE109" s="1056"/>
      <c r="AZF109" s="1056"/>
      <c r="AZG109" s="1056"/>
      <c r="AZH109" s="1056"/>
      <c r="AZI109" s="1056"/>
      <c r="AZJ109" s="1056"/>
      <c r="AZK109" s="1056"/>
      <c r="AZL109" s="1056"/>
      <c r="AZM109" s="1056"/>
      <c r="AZN109" s="1056"/>
      <c r="AZO109" s="1056"/>
      <c r="AZP109" s="1056"/>
      <c r="AZQ109" s="1056"/>
      <c r="AZR109" s="1056"/>
      <c r="AZS109" s="1056"/>
      <c r="AZT109" s="1056"/>
      <c r="AZU109" s="1056"/>
      <c r="AZV109" s="1056"/>
      <c r="AZW109" s="1056"/>
      <c r="AZX109" s="1056"/>
      <c r="AZY109" s="1056"/>
      <c r="AZZ109" s="1056"/>
      <c r="BAA109" s="1056"/>
      <c r="BAB109" s="1056"/>
      <c r="BAC109" s="1056"/>
      <c r="BAD109" s="1056"/>
      <c r="BAE109" s="1056"/>
      <c r="BAF109" s="1056"/>
      <c r="BAG109" s="1056"/>
      <c r="BAH109" s="1056"/>
      <c r="BAI109" s="1056"/>
      <c r="BAJ109" s="1056"/>
      <c r="BAK109" s="1056"/>
      <c r="BAL109" s="1056"/>
      <c r="BAM109" s="1056"/>
      <c r="BAN109" s="1056"/>
      <c r="BAO109" s="1056"/>
      <c r="BAP109" s="1056"/>
      <c r="BAQ109" s="1056"/>
      <c r="BAR109" s="1056"/>
      <c r="BAS109" s="1056"/>
      <c r="BAT109" s="1056"/>
      <c r="BAU109" s="1056"/>
      <c r="BAV109" s="1056"/>
      <c r="BAW109" s="1056"/>
      <c r="BAX109" s="1056"/>
      <c r="BAY109" s="1056"/>
      <c r="BAZ109" s="1056"/>
      <c r="BBA109" s="1056"/>
      <c r="BBB109" s="1056"/>
      <c r="BBC109" s="1056"/>
      <c r="BBD109" s="1056"/>
      <c r="BBE109" s="1056"/>
      <c r="BBF109" s="1056"/>
      <c r="BBG109" s="1056"/>
      <c r="BBH109" s="1056"/>
      <c r="BBI109" s="1056"/>
      <c r="BBJ109" s="1056"/>
      <c r="BBK109" s="1056"/>
      <c r="BBL109" s="1056"/>
      <c r="BBM109" s="1056"/>
      <c r="BBN109" s="1056"/>
      <c r="BBO109" s="1056"/>
      <c r="BBP109" s="1056"/>
      <c r="BBQ109" s="1056"/>
      <c r="BBR109" s="1056"/>
      <c r="BBS109" s="1056"/>
      <c r="BBT109" s="1056"/>
      <c r="BBU109" s="1056"/>
      <c r="BBV109" s="1056"/>
      <c r="BBW109" s="1056"/>
      <c r="BBX109" s="1056"/>
      <c r="BBY109" s="1056"/>
      <c r="BBZ109" s="1056"/>
      <c r="BCA109" s="1056"/>
      <c r="BCB109" s="1056"/>
      <c r="BCC109" s="1056"/>
      <c r="BCD109" s="1056"/>
      <c r="BCE109" s="1056"/>
      <c r="BCF109" s="1056"/>
      <c r="BCG109" s="1056"/>
      <c r="BCH109" s="1056"/>
      <c r="BCI109" s="1056"/>
      <c r="BCJ109" s="1056"/>
      <c r="BCK109" s="1056"/>
      <c r="BCL109" s="1056"/>
      <c r="BCM109" s="1056"/>
      <c r="BCN109" s="1056"/>
      <c r="BCO109" s="1056"/>
      <c r="BCP109" s="1056"/>
      <c r="BCQ109" s="1056"/>
      <c r="BCR109" s="1056"/>
      <c r="BCS109" s="1056"/>
      <c r="BCT109" s="1056"/>
      <c r="BCU109" s="1056"/>
      <c r="BCV109" s="1056"/>
      <c r="BCW109" s="1056"/>
      <c r="BCX109" s="1056"/>
      <c r="BCY109" s="1056"/>
      <c r="BCZ109" s="1056"/>
      <c r="BDA109" s="1056"/>
      <c r="BDB109" s="1056"/>
      <c r="BDC109" s="1056"/>
      <c r="BDD109" s="1056"/>
      <c r="BDE109" s="1056"/>
      <c r="BDF109" s="1056"/>
      <c r="BDG109" s="1056"/>
      <c r="BDH109" s="1056"/>
      <c r="BDI109" s="1056"/>
      <c r="BDJ109" s="1056"/>
      <c r="BDK109" s="1056"/>
      <c r="BDL109" s="1056"/>
      <c r="BDM109" s="1056"/>
      <c r="BDN109" s="1056"/>
      <c r="BDO109" s="1056"/>
      <c r="BDP109" s="1056"/>
      <c r="BDQ109" s="1056"/>
      <c r="BDR109" s="1056"/>
      <c r="BDS109" s="1056"/>
      <c r="BDT109" s="1056"/>
      <c r="BDU109" s="1056"/>
      <c r="BDV109" s="1056"/>
      <c r="BDW109" s="1056"/>
      <c r="BDX109" s="1056"/>
      <c r="BDY109" s="1056"/>
      <c r="BDZ109" s="1056"/>
      <c r="BEA109" s="1056"/>
      <c r="BEB109" s="1056"/>
      <c r="BEC109" s="1056"/>
      <c r="BED109" s="1056"/>
      <c r="BEE109" s="1056"/>
      <c r="BEF109" s="1056"/>
      <c r="BEG109" s="1056"/>
      <c r="BEH109" s="1056"/>
      <c r="BEI109" s="1056"/>
      <c r="BEJ109" s="1056"/>
      <c r="BEK109" s="1056"/>
      <c r="BEL109" s="1056"/>
      <c r="BEM109" s="1056"/>
      <c r="BEN109" s="1056"/>
      <c r="BEO109" s="1056"/>
      <c r="BEP109" s="1056"/>
      <c r="BEQ109" s="1056"/>
      <c r="BER109" s="1056"/>
      <c r="BES109" s="1056"/>
      <c r="BET109" s="1056"/>
      <c r="BEU109" s="1056"/>
      <c r="BEV109" s="1056"/>
      <c r="BEW109" s="1056"/>
      <c r="BEX109" s="1056"/>
      <c r="BEY109" s="1056"/>
      <c r="BEZ109" s="1056"/>
      <c r="BFA109" s="1056"/>
      <c r="BFB109" s="1056"/>
      <c r="BFC109" s="1056"/>
      <c r="BFD109" s="1056"/>
      <c r="BFE109" s="1056"/>
      <c r="BFF109" s="1056"/>
      <c r="BFG109" s="1056"/>
      <c r="BFH109" s="1056"/>
      <c r="BFI109" s="1056"/>
      <c r="BFJ109" s="1056"/>
      <c r="BFK109" s="1056"/>
      <c r="BFL109" s="1056"/>
      <c r="BFM109" s="1056"/>
      <c r="BFN109" s="1056"/>
      <c r="BFO109" s="1056"/>
      <c r="BFP109" s="1056"/>
      <c r="BFQ109" s="1056"/>
      <c r="BFR109" s="1056"/>
      <c r="BFS109" s="1056"/>
      <c r="BFT109" s="1056"/>
      <c r="BFU109" s="1056"/>
      <c r="BFV109" s="1056"/>
      <c r="BFW109" s="1056"/>
      <c r="BFX109" s="1056"/>
      <c r="BFY109" s="1056"/>
      <c r="BFZ109" s="1056"/>
      <c r="BGA109" s="1056"/>
      <c r="BGB109" s="1056"/>
      <c r="BGC109" s="1056"/>
      <c r="BGD109" s="1056"/>
      <c r="BGE109" s="1056"/>
      <c r="BGF109" s="1056"/>
      <c r="BGG109" s="1056"/>
      <c r="BGH109" s="1056"/>
      <c r="BGI109" s="1056"/>
      <c r="BGJ109" s="1056"/>
      <c r="BGK109" s="1056"/>
      <c r="BGL109" s="1056"/>
      <c r="BGM109" s="1056"/>
      <c r="BGN109" s="1056"/>
      <c r="BGO109" s="1056"/>
      <c r="BGP109" s="1056"/>
      <c r="BGQ109" s="1056"/>
      <c r="BGR109" s="1056"/>
      <c r="BGS109" s="1056"/>
      <c r="BGT109" s="1056"/>
      <c r="BGU109" s="1056"/>
      <c r="BGV109" s="1056"/>
      <c r="BGW109" s="1056"/>
      <c r="BGX109" s="1056"/>
      <c r="BGY109" s="1056"/>
      <c r="BGZ109" s="1056"/>
      <c r="BHA109" s="1056"/>
      <c r="BHB109" s="1056"/>
      <c r="BHC109" s="1056"/>
      <c r="BHD109" s="1056"/>
      <c r="BHE109" s="1056"/>
      <c r="BHF109" s="1056"/>
      <c r="BHG109" s="1056"/>
      <c r="BHH109" s="1056"/>
      <c r="BHI109" s="1056"/>
      <c r="BHJ109" s="1056"/>
      <c r="BHK109" s="1056"/>
      <c r="BHL109" s="1056"/>
      <c r="BHM109" s="1056"/>
      <c r="BHN109" s="1056"/>
      <c r="BHO109" s="1056"/>
      <c r="BHP109" s="1056"/>
      <c r="BHQ109" s="1056"/>
      <c r="BHR109" s="1056"/>
      <c r="BHS109" s="1056"/>
      <c r="BHT109" s="1056"/>
      <c r="BHU109" s="1056"/>
      <c r="BHV109" s="1056"/>
      <c r="BHW109" s="1056"/>
      <c r="BHX109" s="1056"/>
      <c r="BHY109" s="1056"/>
      <c r="BHZ109" s="1056"/>
      <c r="BIA109" s="1056"/>
      <c r="BIB109" s="1056"/>
      <c r="BIC109" s="1056"/>
      <c r="BID109" s="1056"/>
      <c r="BIE109" s="1056"/>
      <c r="BIF109" s="1056"/>
      <c r="BIG109" s="1056"/>
      <c r="BIH109" s="1056"/>
      <c r="BII109" s="1056"/>
      <c r="BIJ109" s="1056"/>
      <c r="BIK109" s="1056"/>
      <c r="BIL109" s="1056"/>
      <c r="BIM109" s="1056"/>
      <c r="BIN109" s="1056"/>
      <c r="BIO109" s="1056"/>
      <c r="BIP109" s="1056"/>
      <c r="BIQ109" s="1056"/>
      <c r="BIR109" s="1056"/>
      <c r="BIS109" s="1056"/>
      <c r="BIT109" s="1056"/>
      <c r="BIU109" s="1056"/>
      <c r="BIV109" s="1056"/>
      <c r="BIW109" s="1056"/>
      <c r="BIX109" s="1056"/>
      <c r="BIY109" s="1056"/>
      <c r="BIZ109" s="1056"/>
      <c r="BJA109" s="1056"/>
      <c r="BJB109" s="1056"/>
      <c r="BJC109" s="1056"/>
      <c r="BJD109" s="1056"/>
      <c r="BJE109" s="1056"/>
      <c r="BJF109" s="1056"/>
      <c r="BJG109" s="1056"/>
      <c r="BJH109" s="1056"/>
      <c r="BJI109" s="1056"/>
      <c r="BJJ109" s="1056"/>
      <c r="BJK109" s="1056"/>
      <c r="BJL109" s="1056"/>
      <c r="BJM109" s="1056"/>
      <c r="BJN109" s="1056"/>
      <c r="BJO109" s="1056"/>
      <c r="BJP109" s="1056"/>
      <c r="BJQ109" s="1056"/>
      <c r="BJR109" s="1056"/>
      <c r="BJS109" s="1056"/>
      <c r="BJT109" s="1056"/>
      <c r="BJU109" s="1056"/>
      <c r="BJV109" s="1056"/>
      <c r="BJW109" s="1056"/>
      <c r="BJX109" s="1056"/>
      <c r="BJY109" s="1056"/>
      <c r="BJZ109" s="1056"/>
      <c r="BKA109" s="1056"/>
      <c r="BKB109" s="1056"/>
      <c r="BKC109" s="1056"/>
      <c r="BKD109" s="1056"/>
      <c r="BKE109" s="1056"/>
      <c r="BKF109" s="1056"/>
      <c r="BKG109" s="1056"/>
      <c r="BKH109" s="1056"/>
      <c r="BKI109" s="1056"/>
      <c r="BKJ109" s="1056"/>
      <c r="BKK109" s="1056"/>
      <c r="BKL109" s="1056"/>
      <c r="BKM109" s="1056"/>
      <c r="BKN109" s="1056"/>
      <c r="BKO109" s="1056"/>
      <c r="BKP109" s="1056"/>
      <c r="BKQ109" s="1056"/>
      <c r="BKR109" s="1056"/>
      <c r="BKS109" s="1056"/>
      <c r="BKT109" s="1056"/>
      <c r="BKU109" s="1056"/>
      <c r="BKV109" s="1056"/>
      <c r="BKW109" s="1056"/>
      <c r="BKX109" s="1056"/>
      <c r="BKY109" s="1056"/>
      <c r="BKZ109" s="1056"/>
      <c r="BLA109" s="1056"/>
      <c r="BLB109" s="1056"/>
      <c r="BLC109" s="1056"/>
      <c r="BLD109" s="1056"/>
      <c r="BLE109" s="1056"/>
      <c r="BLF109" s="1056"/>
      <c r="BLG109" s="1056"/>
      <c r="BLH109" s="1056"/>
      <c r="BLI109" s="1056"/>
      <c r="BLJ109" s="1056"/>
      <c r="BLK109" s="1056"/>
      <c r="BLL109" s="1056"/>
      <c r="BLM109" s="1056"/>
      <c r="BLN109" s="1056"/>
      <c r="BLO109" s="1056"/>
      <c r="BLP109" s="1056"/>
      <c r="BLQ109" s="1056"/>
      <c r="BLR109" s="1056"/>
      <c r="BLS109" s="1056"/>
      <c r="BLT109" s="1056"/>
      <c r="BLU109" s="1056"/>
      <c r="BLV109" s="1056"/>
      <c r="BLW109" s="1056"/>
      <c r="BLX109" s="1056"/>
      <c r="BLY109" s="1056"/>
      <c r="BLZ109" s="1056"/>
      <c r="BMA109" s="1056"/>
      <c r="BMB109" s="1056"/>
      <c r="BMC109" s="1056"/>
      <c r="BMD109" s="1056"/>
      <c r="BME109" s="1056"/>
      <c r="BMF109" s="1056"/>
      <c r="BMG109" s="1056"/>
      <c r="BMH109" s="1056"/>
      <c r="BMI109" s="1056"/>
      <c r="BMJ109" s="1056"/>
      <c r="BMK109" s="1056"/>
      <c r="BML109" s="1056"/>
      <c r="BMM109" s="1056"/>
      <c r="BMN109" s="1056"/>
      <c r="BMO109" s="1056"/>
      <c r="BMP109" s="1056"/>
      <c r="BMQ109" s="1056"/>
      <c r="BMR109" s="1056"/>
      <c r="BMS109" s="1056"/>
      <c r="BMT109" s="1056"/>
      <c r="BMU109" s="1056"/>
      <c r="BMV109" s="1056"/>
      <c r="BMW109" s="1056"/>
      <c r="BMX109" s="1056"/>
      <c r="BMY109" s="1056"/>
      <c r="BMZ109" s="1056"/>
      <c r="BNA109" s="1056"/>
      <c r="BNB109" s="1056"/>
      <c r="BNC109" s="1056"/>
      <c r="BND109" s="1056"/>
      <c r="BNE109" s="1056"/>
      <c r="BNF109" s="1056"/>
      <c r="BNG109" s="1056"/>
      <c r="BNH109" s="1056"/>
      <c r="BNI109" s="1056"/>
      <c r="BNJ109" s="1056"/>
      <c r="BNK109" s="1056"/>
      <c r="BNL109" s="1056"/>
      <c r="BNM109" s="1056"/>
      <c r="BNN109" s="1056"/>
      <c r="BNO109" s="1056"/>
      <c r="BNP109" s="1056"/>
      <c r="BNQ109" s="1056"/>
      <c r="BNR109" s="1056"/>
      <c r="BNS109" s="1056"/>
      <c r="BNT109" s="1056"/>
      <c r="BNU109" s="1056"/>
      <c r="BNV109" s="1056"/>
      <c r="BNW109" s="1056"/>
      <c r="BNX109" s="1056"/>
      <c r="BNY109" s="1056"/>
      <c r="BNZ109" s="1056"/>
      <c r="BOA109" s="1056"/>
      <c r="BOB109" s="1056"/>
      <c r="BOC109" s="1056"/>
      <c r="BOD109" s="1056"/>
      <c r="BOE109" s="1056"/>
      <c r="BOF109" s="1056"/>
      <c r="BOG109" s="1056"/>
      <c r="BOH109" s="1056"/>
      <c r="BOI109" s="1056"/>
      <c r="BOJ109" s="1056"/>
      <c r="BOK109" s="1056"/>
      <c r="BOL109" s="1056"/>
      <c r="BOM109" s="1056"/>
      <c r="BON109" s="1056"/>
      <c r="BOO109" s="1056"/>
      <c r="BOP109" s="1056"/>
      <c r="BOQ109" s="1056"/>
      <c r="BOR109" s="1056"/>
      <c r="BOS109" s="1056"/>
      <c r="BOT109" s="1056"/>
      <c r="BOU109" s="1056"/>
      <c r="BOV109" s="1056"/>
      <c r="BOW109" s="1056"/>
      <c r="BOX109" s="1056"/>
      <c r="BOY109" s="1056"/>
      <c r="BOZ109" s="1056"/>
      <c r="BPA109" s="1056"/>
      <c r="BPB109" s="1056"/>
      <c r="BPC109" s="1056"/>
      <c r="BPD109" s="1056"/>
      <c r="BPE109" s="1056"/>
      <c r="BPF109" s="1056"/>
      <c r="BPG109" s="1056"/>
      <c r="BPH109" s="1056"/>
      <c r="BPI109" s="1056"/>
      <c r="BPJ109" s="1056"/>
      <c r="BPK109" s="1056"/>
      <c r="BPL109" s="1056"/>
      <c r="BPM109" s="1056"/>
      <c r="BPN109" s="1056"/>
      <c r="BPO109" s="1056"/>
      <c r="BPP109" s="1056"/>
      <c r="BPQ109" s="1056"/>
      <c r="BPR109" s="1056"/>
      <c r="BPS109" s="1056"/>
      <c r="BPT109" s="1056"/>
      <c r="BPU109" s="1056"/>
      <c r="BPV109" s="1056"/>
      <c r="BPW109" s="1056"/>
      <c r="BPX109" s="1056"/>
      <c r="BPY109" s="1056"/>
      <c r="BPZ109" s="1056"/>
      <c r="BQA109" s="1056"/>
      <c r="BQB109" s="1056"/>
      <c r="BQC109" s="1056"/>
      <c r="BQD109" s="1056"/>
      <c r="BQE109" s="1056"/>
      <c r="BQF109" s="1056"/>
      <c r="BQG109" s="1056"/>
      <c r="BQH109" s="1056"/>
      <c r="BQI109" s="1056"/>
      <c r="BQJ109" s="1056"/>
      <c r="BQK109" s="1056"/>
      <c r="BQL109" s="1056"/>
      <c r="BQM109" s="1056"/>
      <c r="BQN109" s="1056"/>
      <c r="BQO109" s="1056"/>
      <c r="BQP109" s="1056"/>
      <c r="BQQ109" s="1056"/>
      <c r="BQR109" s="1056"/>
      <c r="BQS109" s="1056"/>
      <c r="BQT109" s="1056"/>
      <c r="BQU109" s="1056"/>
      <c r="BQV109" s="1056"/>
      <c r="BQW109" s="1056"/>
      <c r="BQX109" s="1056"/>
      <c r="BQY109" s="1056"/>
      <c r="BQZ109" s="1056"/>
      <c r="BRA109" s="1056"/>
      <c r="BRB109" s="1056"/>
      <c r="BRC109" s="1056"/>
      <c r="BRD109" s="1056"/>
      <c r="BRE109" s="1056"/>
      <c r="BRF109" s="1056"/>
      <c r="BRG109" s="1056"/>
      <c r="BRH109" s="1056"/>
      <c r="BRI109" s="1056"/>
      <c r="BRJ109" s="1056"/>
      <c r="BRK109" s="1056"/>
      <c r="BRL109" s="1056"/>
      <c r="BRM109" s="1056"/>
      <c r="BRN109" s="1056"/>
      <c r="BRO109" s="1056"/>
      <c r="BRP109" s="1056"/>
      <c r="BRQ109" s="1056"/>
      <c r="BRR109" s="1056"/>
      <c r="BRS109" s="1056"/>
      <c r="BRT109" s="1056"/>
      <c r="BRU109" s="1056"/>
      <c r="BRV109" s="1056"/>
      <c r="BRW109" s="1056"/>
      <c r="BRX109" s="1056"/>
      <c r="BRY109" s="1056"/>
      <c r="BRZ109" s="1056"/>
      <c r="BSA109" s="1056"/>
      <c r="BSB109" s="1056"/>
      <c r="BSC109" s="1056"/>
      <c r="BSD109" s="1056"/>
      <c r="BSE109" s="1056"/>
      <c r="BSF109" s="1056"/>
      <c r="BSG109" s="1056"/>
      <c r="BSH109" s="1056"/>
      <c r="BSI109" s="1056"/>
      <c r="BSJ109" s="1056"/>
      <c r="BSK109" s="1056"/>
      <c r="BSL109" s="1056"/>
      <c r="BSM109" s="1056"/>
      <c r="BSN109" s="1056"/>
      <c r="BSO109" s="1056"/>
      <c r="BSP109" s="1056"/>
      <c r="BSQ109" s="1056"/>
      <c r="BSR109" s="1056"/>
      <c r="BSS109" s="1056"/>
      <c r="BST109" s="1056"/>
      <c r="BSU109" s="1056"/>
      <c r="BSV109" s="1056"/>
      <c r="BSW109" s="1056"/>
      <c r="BSX109" s="1056"/>
      <c r="BSY109" s="1056"/>
      <c r="BSZ109" s="1056"/>
      <c r="BTA109" s="1056"/>
      <c r="BTB109" s="1056"/>
      <c r="BTC109" s="1056"/>
      <c r="BTD109" s="1056"/>
      <c r="BTE109" s="1056"/>
      <c r="BTF109" s="1056"/>
      <c r="BTG109" s="1056"/>
      <c r="BTH109" s="1056"/>
      <c r="BTI109" s="1056"/>
    </row>
    <row r="110" spans="1:1881" s="1060" customFormat="1" ht="99.75" hidden="1" customHeight="1" thickBot="1" x14ac:dyDescent="0.35">
      <c r="A110" s="1071">
        <v>34</v>
      </c>
      <c r="B110" s="1069" t="s">
        <v>345</v>
      </c>
      <c r="C110" s="808" t="s">
        <v>1030</v>
      </c>
      <c r="D110" s="1075" t="s">
        <v>1162</v>
      </c>
      <c r="E110" s="1053" t="e">
        <f>HLOOKUP($D$2,'2020 Data(H)'!$C$1:$AI$426,22,FALSE)</f>
        <v>#N/A</v>
      </c>
      <c r="F110" s="287">
        <v>0</v>
      </c>
      <c r="G110" s="722"/>
      <c r="H110" s="764"/>
      <c r="I110" s="1055"/>
      <c r="J110" s="1068"/>
      <c r="K110" s="1056"/>
      <c r="L110" s="1057"/>
      <c r="M110" s="1056"/>
      <c r="N110" s="1058"/>
      <c r="O110" s="1056"/>
      <c r="P110" s="1056"/>
      <c r="Q110" s="1056"/>
      <c r="R110" s="1056"/>
      <c r="S110" s="1056"/>
      <c r="T110" s="1056"/>
      <c r="U110" s="1056"/>
      <c r="V110" s="1056"/>
      <c r="W110" s="1056"/>
      <c r="X110" s="1056"/>
      <c r="Y110" s="1056"/>
      <c r="Z110" s="1073"/>
      <c r="AA110" s="1073"/>
      <c r="AB110" s="1073"/>
      <c r="AC110" s="1073"/>
      <c r="AD110" s="1073"/>
      <c r="AE110" s="1073"/>
      <c r="AF110" s="1073"/>
      <c r="AG110" s="1073"/>
      <c r="AH110" s="1073"/>
      <c r="AI110" s="1073"/>
      <c r="AJ110" s="1073"/>
      <c r="AK110" s="1073"/>
      <c r="AL110" s="1073"/>
      <c r="AM110" s="1073"/>
      <c r="AN110" s="1073"/>
      <c r="AO110" s="1073"/>
      <c r="AP110" s="1073"/>
      <c r="AQ110" s="1073"/>
      <c r="AR110" s="1073"/>
      <c r="AS110" s="1056"/>
      <c r="AT110" s="1056"/>
      <c r="AU110" s="1056"/>
      <c r="AV110" s="1056"/>
      <c r="AW110" s="1056"/>
      <c r="AX110" s="1056"/>
      <c r="AY110" s="1056"/>
      <c r="AZ110" s="1056"/>
      <c r="BA110" s="1056"/>
      <c r="BB110" s="1056"/>
      <c r="BC110" s="1056"/>
      <c r="BD110" s="1056"/>
      <c r="BE110" s="1056"/>
      <c r="BF110" s="1056"/>
      <c r="BG110" s="1056"/>
      <c r="BH110" s="1056"/>
      <c r="BI110" s="1056"/>
      <c r="BJ110" s="1056"/>
      <c r="BK110" s="1056"/>
      <c r="BL110" s="1056"/>
      <c r="BM110" s="1056"/>
      <c r="BN110" s="1056"/>
      <c r="BO110" s="1056"/>
      <c r="BP110" s="1056"/>
      <c r="BQ110" s="1056"/>
      <c r="BR110" s="1056"/>
      <c r="BS110" s="1056"/>
      <c r="BT110" s="1056"/>
      <c r="BU110" s="1056"/>
      <c r="BV110" s="1056"/>
      <c r="BW110" s="1056"/>
      <c r="BX110" s="1056"/>
      <c r="BY110" s="1056"/>
      <c r="BZ110" s="1056"/>
      <c r="CA110" s="1056"/>
      <c r="CB110" s="1056"/>
      <c r="CC110" s="1056"/>
      <c r="CD110" s="1056"/>
      <c r="CE110" s="1056"/>
      <c r="CF110" s="1056"/>
      <c r="CG110" s="1056"/>
      <c r="CH110" s="1056"/>
      <c r="CI110" s="1056"/>
      <c r="CJ110" s="1056"/>
      <c r="CK110" s="1056"/>
      <c r="CL110" s="1056"/>
      <c r="CM110" s="1056"/>
      <c r="CN110" s="1056"/>
      <c r="CO110" s="1056"/>
      <c r="CP110" s="1056"/>
      <c r="CQ110" s="1056"/>
      <c r="CR110" s="1056"/>
      <c r="CS110" s="1056"/>
      <c r="CT110" s="1056"/>
      <c r="CU110" s="1056"/>
      <c r="CV110" s="1056"/>
      <c r="CW110" s="1056"/>
      <c r="CX110" s="1056"/>
      <c r="CY110" s="1056"/>
      <c r="CZ110" s="1056"/>
      <c r="DA110" s="1056"/>
      <c r="DB110" s="1056"/>
      <c r="DC110" s="1056"/>
      <c r="DD110" s="1056"/>
      <c r="DE110" s="1056"/>
      <c r="DF110" s="1056"/>
      <c r="DG110" s="1056"/>
      <c r="DH110" s="1056"/>
      <c r="DI110" s="1056"/>
      <c r="DJ110" s="1056"/>
      <c r="DK110" s="1056"/>
      <c r="DL110" s="1056"/>
      <c r="DM110" s="1056"/>
      <c r="DN110" s="1056"/>
      <c r="DO110" s="1056"/>
      <c r="DP110" s="1056"/>
      <c r="DQ110" s="1056"/>
      <c r="DR110" s="1056"/>
      <c r="DS110" s="1056"/>
      <c r="DT110" s="1056"/>
      <c r="DU110" s="1056"/>
      <c r="DV110" s="1056"/>
      <c r="DW110" s="1056"/>
      <c r="DX110" s="1056"/>
      <c r="DY110" s="1056"/>
      <c r="DZ110" s="1056"/>
      <c r="EA110" s="1056"/>
      <c r="EB110" s="1056"/>
      <c r="EC110" s="1056"/>
      <c r="ED110" s="1056"/>
      <c r="EE110" s="1056"/>
      <c r="EF110" s="1056"/>
      <c r="EG110" s="1056"/>
      <c r="EH110" s="1056"/>
      <c r="EI110" s="1056"/>
      <c r="EJ110" s="1056"/>
      <c r="EK110" s="1056"/>
      <c r="EL110" s="1056"/>
      <c r="EM110" s="1056"/>
      <c r="EN110" s="1056"/>
      <c r="EO110" s="1056"/>
      <c r="EP110" s="1056"/>
      <c r="EQ110" s="1056"/>
      <c r="ER110" s="1056"/>
      <c r="ES110" s="1056"/>
      <c r="ET110" s="1056"/>
      <c r="EU110" s="1056"/>
      <c r="EV110" s="1056"/>
      <c r="EW110" s="1056"/>
      <c r="EX110" s="1056"/>
      <c r="EY110" s="1056"/>
      <c r="EZ110" s="1056"/>
      <c r="FA110" s="1056"/>
      <c r="FB110" s="1056"/>
      <c r="FC110" s="1056"/>
      <c r="FD110" s="1056"/>
      <c r="FE110" s="1056"/>
      <c r="FF110" s="1056"/>
      <c r="FG110" s="1056"/>
      <c r="FH110" s="1056"/>
      <c r="FI110" s="1056"/>
      <c r="FJ110" s="1056"/>
      <c r="FK110" s="1056"/>
      <c r="FL110" s="1056"/>
      <c r="FM110" s="1056"/>
      <c r="FN110" s="1056"/>
      <c r="FO110" s="1056"/>
      <c r="FP110" s="1056"/>
      <c r="FQ110" s="1056"/>
      <c r="FR110" s="1056"/>
      <c r="FS110" s="1056"/>
      <c r="FT110" s="1056"/>
      <c r="FU110" s="1056"/>
      <c r="FV110" s="1056"/>
      <c r="FW110" s="1056"/>
      <c r="FX110" s="1056"/>
      <c r="FY110" s="1056"/>
      <c r="FZ110" s="1056"/>
      <c r="GA110" s="1056"/>
      <c r="GB110" s="1056"/>
      <c r="GC110" s="1056"/>
      <c r="GD110" s="1056"/>
      <c r="GE110" s="1056"/>
      <c r="GF110" s="1056"/>
      <c r="GG110" s="1056"/>
      <c r="GH110" s="1056"/>
      <c r="GI110" s="1056"/>
      <c r="GJ110" s="1056"/>
      <c r="GK110" s="1056"/>
      <c r="GL110" s="1056"/>
      <c r="GM110" s="1056"/>
      <c r="GN110" s="1056"/>
      <c r="GO110" s="1056"/>
      <c r="GP110" s="1056"/>
      <c r="GQ110" s="1056"/>
      <c r="GR110" s="1056"/>
      <c r="GS110" s="1056"/>
      <c r="GT110" s="1056"/>
      <c r="GU110" s="1056"/>
      <c r="GV110" s="1056"/>
      <c r="GW110" s="1056"/>
      <c r="GX110" s="1056"/>
      <c r="GY110" s="1056"/>
      <c r="GZ110" s="1056"/>
      <c r="HA110" s="1056"/>
      <c r="HB110" s="1056"/>
      <c r="HC110" s="1056"/>
      <c r="HD110" s="1056"/>
      <c r="HE110" s="1056"/>
      <c r="HF110" s="1056"/>
      <c r="HG110" s="1056"/>
      <c r="HH110" s="1056"/>
      <c r="HI110" s="1056"/>
      <c r="HJ110" s="1056"/>
      <c r="HK110" s="1056"/>
      <c r="HL110" s="1056"/>
      <c r="HM110" s="1056"/>
      <c r="HN110" s="1056"/>
      <c r="HO110" s="1056"/>
      <c r="HP110" s="1056"/>
      <c r="HQ110" s="1056"/>
      <c r="HR110" s="1056"/>
      <c r="HS110" s="1056"/>
      <c r="HT110" s="1056"/>
      <c r="HU110" s="1056"/>
      <c r="HV110" s="1056"/>
      <c r="HW110" s="1056"/>
      <c r="HX110" s="1056"/>
      <c r="HY110" s="1056"/>
      <c r="HZ110" s="1056"/>
      <c r="IA110" s="1056"/>
      <c r="IB110" s="1056"/>
      <c r="IC110" s="1056"/>
      <c r="ID110" s="1056"/>
      <c r="IE110" s="1056"/>
      <c r="IF110" s="1056"/>
      <c r="IG110" s="1056"/>
      <c r="IH110" s="1056"/>
      <c r="II110" s="1056"/>
      <c r="IJ110" s="1056"/>
      <c r="IK110" s="1056"/>
      <c r="IL110" s="1056"/>
      <c r="IM110" s="1056"/>
      <c r="IN110" s="1056"/>
      <c r="IO110" s="1056"/>
      <c r="IP110" s="1056"/>
      <c r="IQ110" s="1056"/>
      <c r="IR110" s="1056"/>
      <c r="IS110" s="1056"/>
      <c r="IT110" s="1056"/>
      <c r="IU110" s="1056"/>
      <c r="IV110" s="1056"/>
      <c r="IW110" s="1056"/>
      <c r="IX110" s="1056"/>
      <c r="IY110" s="1056"/>
      <c r="IZ110" s="1056"/>
      <c r="JA110" s="1056"/>
      <c r="JB110" s="1056"/>
      <c r="JC110" s="1056"/>
      <c r="JD110" s="1056"/>
      <c r="JE110" s="1056"/>
      <c r="JF110" s="1056"/>
      <c r="JG110" s="1056"/>
      <c r="JH110" s="1056"/>
      <c r="JI110" s="1056"/>
      <c r="JJ110" s="1056"/>
      <c r="JK110" s="1056"/>
      <c r="JL110" s="1056"/>
      <c r="JM110" s="1056"/>
      <c r="JN110" s="1056"/>
      <c r="JO110" s="1056"/>
      <c r="JP110" s="1056"/>
      <c r="JQ110" s="1056"/>
      <c r="JR110" s="1056"/>
      <c r="JS110" s="1056"/>
      <c r="JT110" s="1056"/>
      <c r="JU110" s="1056"/>
      <c r="JV110" s="1056"/>
      <c r="JW110" s="1056"/>
      <c r="JX110" s="1056"/>
      <c r="JY110" s="1056"/>
      <c r="JZ110" s="1056"/>
      <c r="KA110" s="1056"/>
      <c r="KB110" s="1056"/>
      <c r="KC110" s="1056"/>
      <c r="KD110" s="1056"/>
      <c r="KE110" s="1056"/>
      <c r="KF110" s="1056"/>
      <c r="KG110" s="1056"/>
      <c r="KH110" s="1056"/>
      <c r="KI110" s="1056"/>
      <c r="KJ110" s="1056"/>
      <c r="KK110" s="1056"/>
      <c r="KL110" s="1056"/>
      <c r="KM110" s="1056"/>
      <c r="KN110" s="1056"/>
      <c r="KO110" s="1056"/>
      <c r="KP110" s="1056"/>
      <c r="KQ110" s="1056"/>
      <c r="KR110" s="1056"/>
      <c r="KS110" s="1056"/>
      <c r="KT110" s="1056"/>
      <c r="KU110" s="1056"/>
      <c r="KV110" s="1056"/>
      <c r="KW110" s="1056"/>
      <c r="KX110" s="1056"/>
      <c r="KY110" s="1056"/>
      <c r="KZ110" s="1056"/>
      <c r="LA110" s="1056"/>
      <c r="LB110" s="1056"/>
      <c r="LC110" s="1056"/>
      <c r="LD110" s="1056"/>
      <c r="LE110" s="1056"/>
      <c r="LF110" s="1056"/>
      <c r="LG110" s="1056"/>
      <c r="LH110" s="1056"/>
      <c r="LI110" s="1056"/>
      <c r="LJ110" s="1056"/>
      <c r="LK110" s="1056"/>
      <c r="LL110" s="1056"/>
      <c r="LM110" s="1056"/>
      <c r="LN110" s="1056"/>
      <c r="LO110" s="1056"/>
      <c r="LP110" s="1056"/>
      <c r="LQ110" s="1056"/>
      <c r="LR110" s="1056"/>
      <c r="LS110" s="1056"/>
      <c r="LT110" s="1056"/>
      <c r="LU110" s="1056"/>
      <c r="LV110" s="1056"/>
      <c r="LW110" s="1056"/>
      <c r="LX110" s="1056"/>
      <c r="LY110" s="1056"/>
      <c r="LZ110" s="1056"/>
      <c r="MA110" s="1056"/>
      <c r="MB110" s="1056"/>
      <c r="MC110" s="1056"/>
      <c r="MD110" s="1056"/>
      <c r="ME110" s="1056"/>
      <c r="MF110" s="1056"/>
      <c r="MG110" s="1056"/>
      <c r="MH110" s="1056"/>
      <c r="MI110" s="1056"/>
      <c r="MJ110" s="1056"/>
      <c r="MK110" s="1056"/>
      <c r="ML110" s="1056"/>
      <c r="MM110" s="1056"/>
      <c r="MN110" s="1056"/>
      <c r="MO110" s="1056"/>
      <c r="MP110" s="1056"/>
      <c r="MQ110" s="1056"/>
      <c r="MR110" s="1056"/>
      <c r="MS110" s="1056"/>
      <c r="MT110" s="1056"/>
      <c r="MU110" s="1056"/>
      <c r="MV110" s="1056"/>
      <c r="MW110" s="1056"/>
      <c r="MX110" s="1056"/>
      <c r="MY110" s="1056"/>
      <c r="MZ110" s="1056"/>
      <c r="NA110" s="1056"/>
      <c r="NB110" s="1056"/>
      <c r="NC110" s="1056"/>
      <c r="ND110" s="1056"/>
      <c r="NE110" s="1056"/>
      <c r="NF110" s="1056"/>
      <c r="NG110" s="1056"/>
      <c r="NH110" s="1056"/>
      <c r="NI110" s="1056"/>
      <c r="NJ110" s="1056"/>
      <c r="NK110" s="1056"/>
      <c r="NL110" s="1056"/>
      <c r="NM110" s="1056"/>
      <c r="NN110" s="1056"/>
      <c r="NO110" s="1056"/>
      <c r="NP110" s="1056"/>
      <c r="NQ110" s="1056"/>
      <c r="NR110" s="1056"/>
      <c r="NS110" s="1056"/>
      <c r="NT110" s="1056"/>
      <c r="NU110" s="1056"/>
      <c r="NV110" s="1056"/>
      <c r="NW110" s="1056"/>
      <c r="NX110" s="1056"/>
      <c r="NY110" s="1056"/>
      <c r="NZ110" s="1056"/>
      <c r="OA110" s="1056"/>
      <c r="OB110" s="1056"/>
      <c r="OC110" s="1056"/>
      <c r="OD110" s="1056"/>
      <c r="OE110" s="1056"/>
      <c r="OF110" s="1056"/>
      <c r="OG110" s="1056"/>
      <c r="OH110" s="1056"/>
      <c r="OI110" s="1056"/>
      <c r="OJ110" s="1056"/>
      <c r="OK110" s="1056"/>
      <c r="OL110" s="1056"/>
      <c r="OM110" s="1056"/>
      <c r="ON110" s="1056"/>
      <c r="OO110" s="1056"/>
      <c r="OP110" s="1056"/>
      <c r="OQ110" s="1056"/>
      <c r="OR110" s="1056"/>
      <c r="OS110" s="1056"/>
      <c r="OT110" s="1056"/>
      <c r="OU110" s="1056"/>
      <c r="OV110" s="1056"/>
      <c r="OW110" s="1056"/>
      <c r="OX110" s="1056"/>
      <c r="OY110" s="1056"/>
      <c r="OZ110" s="1056"/>
      <c r="PA110" s="1056"/>
      <c r="PB110" s="1056"/>
      <c r="PC110" s="1056"/>
      <c r="PD110" s="1056"/>
      <c r="PE110" s="1056"/>
      <c r="PF110" s="1056"/>
      <c r="PG110" s="1056"/>
      <c r="PH110" s="1056"/>
      <c r="PI110" s="1056"/>
      <c r="PJ110" s="1056"/>
      <c r="PK110" s="1056"/>
      <c r="PL110" s="1056"/>
      <c r="PM110" s="1056"/>
      <c r="PN110" s="1056"/>
      <c r="PO110" s="1056"/>
      <c r="PP110" s="1056"/>
      <c r="PQ110" s="1056"/>
      <c r="PR110" s="1056"/>
      <c r="PS110" s="1056"/>
      <c r="PT110" s="1056"/>
      <c r="PU110" s="1056"/>
      <c r="PV110" s="1056"/>
      <c r="PW110" s="1056"/>
      <c r="PX110" s="1056"/>
      <c r="PY110" s="1056"/>
      <c r="PZ110" s="1056"/>
      <c r="QA110" s="1056"/>
      <c r="QB110" s="1056"/>
      <c r="QC110" s="1056"/>
      <c r="QD110" s="1056"/>
      <c r="QE110" s="1056"/>
      <c r="QF110" s="1056"/>
      <c r="QG110" s="1056"/>
      <c r="QH110" s="1056"/>
      <c r="QI110" s="1056"/>
      <c r="QJ110" s="1056"/>
      <c r="QK110" s="1056"/>
      <c r="QL110" s="1056"/>
      <c r="QM110" s="1056"/>
      <c r="QN110" s="1056"/>
      <c r="QO110" s="1056"/>
      <c r="QP110" s="1056"/>
      <c r="QQ110" s="1056"/>
      <c r="QR110" s="1056"/>
      <c r="QS110" s="1056"/>
      <c r="QT110" s="1056"/>
      <c r="QU110" s="1056"/>
      <c r="QV110" s="1056"/>
      <c r="QW110" s="1056"/>
      <c r="QX110" s="1056"/>
      <c r="QY110" s="1056"/>
      <c r="QZ110" s="1056"/>
      <c r="RA110" s="1056"/>
      <c r="RB110" s="1056"/>
      <c r="RC110" s="1056"/>
      <c r="RD110" s="1056"/>
      <c r="RE110" s="1056"/>
      <c r="RF110" s="1056"/>
      <c r="RG110" s="1056"/>
      <c r="RH110" s="1056"/>
      <c r="RI110" s="1056"/>
      <c r="RJ110" s="1056"/>
      <c r="RK110" s="1056"/>
      <c r="RL110" s="1056"/>
      <c r="RM110" s="1056"/>
      <c r="RN110" s="1056"/>
      <c r="RO110" s="1056"/>
      <c r="RP110" s="1056"/>
      <c r="RQ110" s="1056"/>
      <c r="RR110" s="1056"/>
      <c r="RS110" s="1056"/>
      <c r="RT110" s="1056"/>
      <c r="RU110" s="1056"/>
      <c r="RV110" s="1056"/>
      <c r="RW110" s="1056"/>
      <c r="RX110" s="1056"/>
      <c r="RY110" s="1056"/>
      <c r="RZ110" s="1056"/>
      <c r="SA110" s="1056"/>
      <c r="SB110" s="1056"/>
      <c r="SC110" s="1056"/>
      <c r="SD110" s="1056"/>
      <c r="SE110" s="1056"/>
      <c r="SF110" s="1056"/>
      <c r="SG110" s="1056"/>
      <c r="SH110" s="1056"/>
      <c r="SI110" s="1056"/>
      <c r="SJ110" s="1056"/>
      <c r="SK110" s="1056"/>
      <c r="SL110" s="1056"/>
      <c r="SM110" s="1056"/>
      <c r="SN110" s="1056"/>
      <c r="SO110" s="1056"/>
      <c r="SP110" s="1056"/>
      <c r="SQ110" s="1056"/>
      <c r="SR110" s="1056"/>
      <c r="SS110" s="1056"/>
      <c r="ST110" s="1056"/>
      <c r="SU110" s="1056"/>
      <c r="SV110" s="1056"/>
      <c r="SW110" s="1056"/>
      <c r="SX110" s="1056"/>
      <c r="SY110" s="1056"/>
      <c r="SZ110" s="1056"/>
      <c r="TA110" s="1056"/>
      <c r="TB110" s="1056"/>
      <c r="TC110" s="1056"/>
      <c r="TD110" s="1056"/>
      <c r="TE110" s="1056"/>
      <c r="TF110" s="1056"/>
      <c r="TG110" s="1056"/>
      <c r="TH110" s="1056"/>
      <c r="TI110" s="1056"/>
      <c r="TJ110" s="1056"/>
      <c r="TK110" s="1056"/>
      <c r="TL110" s="1056"/>
      <c r="TM110" s="1056"/>
      <c r="TN110" s="1056"/>
      <c r="TO110" s="1056"/>
      <c r="TP110" s="1056"/>
      <c r="TQ110" s="1056"/>
      <c r="TR110" s="1056"/>
      <c r="TS110" s="1056"/>
      <c r="TT110" s="1056"/>
      <c r="TU110" s="1056"/>
      <c r="TV110" s="1056"/>
      <c r="TW110" s="1056"/>
      <c r="TX110" s="1056"/>
      <c r="TY110" s="1056"/>
      <c r="TZ110" s="1056"/>
      <c r="UA110" s="1056"/>
      <c r="UB110" s="1056"/>
      <c r="UC110" s="1056"/>
      <c r="UD110" s="1056"/>
      <c r="UE110" s="1056"/>
      <c r="UF110" s="1056"/>
      <c r="UG110" s="1056"/>
      <c r="UH110" s="1056"/>
      <c r="UI110" s="1056"/>
      <c r="UJ110" s="1056"/>
      <c r="UK110" s="1056"/>
      <c r="UL110" s="1056"/>
      <c r="UM110" s="1056"/>
      <c r="UN110" s="1056"/>
      <c r="UO110" s="1056"/>
      <c r="UP110" s="1056"/>
      <c r="UQ110" s="1056"/>
      <c r="UR110" s="1056"/>
      <c r="US110" s="1056"/>
      <c r="UT110" s="1056"/>
      <c r="UU110" s="1056"/>
      <c r="UV110" s="1056"/>
      <c r="UW110" s="1056"/>
      <c r="UX110" s="1056"/>
      <c r="UY110" s="1056"/>
      <c r="UZ110" s="1056"/>
      <c r="VA110" s="1056"/>
      <c r="VB110" s="1056"/>
      <c r="VC110" s="1056"/>
      <c r="VD110" s="1056"/>
      <c r="VE110" s="1056"/>
      <c r="VF110" s="1056"/>
      <c r="VG110" s="1056"/>
      <c r="VH110" s="1056"/>
      <c r="VI110" s="1056"/>
      <c r="VJ110" s="1056"/>
      <c r="VK110" s="1056"/>
      <c r="VL110" s="1056"/>
      <c r="VM110" s="1056"/>
      <c r="VN110" s="1056"/>
      <c r="VO110" s="1056"/>
      <c r="VP110" s="1056"/>
      <c r="VQ110" s="1056"/>
      <c r="VR110" s="1056"/>
      <c r="VS110" s="1056"/>
      <c r="VT110" s="1056"/>
      <c r="VU110" s="1056"/>
      <c r="VV110" s="1056"/>
      <c r="VW110" s="1056"/>
      <c r="VX110" s="1056"/>
      <c r="VY110" s="1056"/>
      <c r="VZ110" s="1056"/>
      <c r="WA110" s="1056"/>
      <c r="WB110" s="1056"/>
      <c r="WC110" s="1056"/>
      <c r="WD110" s="1056"/>
      <c r="WE110" s="1056"/>
      <c r="WF110" s="1056"/>
      <c r="WG110" s="1056"/>
      <c r="WH110" s="1056"/>
      <c r="WI110" s="1056"/>
      <c r="WJ110" s="1056"/>
      <c r="WK110" s="1056"/>
      <c r="WL110" s="1056"/>
      <c r="WM110" s="1056"/>
      <c r="WN110" s="1056"/>
      <c r="WO110" s="1056"/>
      <c r="WP110" s="1056"/>
      <c r="WQ110" s="1056"/>
      <c r="WR110" s="1056"/>
      <c r="WS110" s="1056"/>
      <c r="WT110" s="1056"/>
      <c r="WU110" s="1056"/>
      <c r="WV110" s="1056"/>
      <c r="WW110" s="1056"/>
      <c r="WX110" s="1056"/>
      <c r="WY110" s="1056"/>
      <c r="WZ110" s="1056"/>
      <c r="XA110" s="1056"/>
      <c r="XB110" s="1056"/>
      <c r="XC110" s="1056"/>
      <c r="XD110" s="1056"/>
      <c r="XE110" s="1056"/>
      <c r="XF110" s="1056"/>
      <c r="XG110" s="1056"/>
      <c r="XH110" s="1056"/>
      <c r="XI110" s="1056"/>
      <c r="XJ110" s="1056"/>
      <c r="XK110" s="1056"/>
      <c r="XL110" s="1056"/>
      <c r="XM110" s="1056"/>
      <c r="XN110" s="1056"/>
      <c r="XO110" s="1056"/>
      <c r="XP110" s="1056"/>
      <c r="XQ110" s="1056"/>
      <c r="XR110" s="1056"/>
      <c r="XS110" s="1056"/>
      <c r="XT110" s="1056"/>
      <c r="XU110" s="1056"/>
      <c r="XV110" s="1056"/>
      <c r="XW110" s="1056"/>
      <c r="XX110" s="1056"/>
      <c r="XY110" s="1056"/>
      <c r="XZ110" s="1056"/>
      <c r="YA110" s="1056"/>
      <c r="YB110" s="1056"/>
      <c r="YC110" s="1056"/>
      <c r="YD110" s="1056"/>
      <c r="YE110" s="1056"/>
      <c r="YF110" s="1056"/>
      <c r="YG110" s="1056"/>
      <c r="YH110" s="1056"/>
      <c r="YI110" s="1056"/>
      <c r="YJ110" s="1056"/>
      <c r="YK110" s="1056"/>
      <c r="YL110" s="1056"/>
      <c r="YM110" s="1056"/>
      <c r="YN110" s="1056"/>
      <c r="YO110" s="1056"/>
      <c r="YP110" s="1056"/>
      <c r="YQ110" s="1056"/>
      <c r="YR110" s="1056"/>
      <c r="YS110" s="1056"/>
      <c r="YT110" s="1056"/>
      <c r="YU110" s="1056"/>
      <c r="YV110" s="1056"/>
      <c r="YW110" s="1056"/>
      <c r="YX110" s="1056"/>
      <c r="YY110" s="1056"/>
      <c r="YZ110" s="1056"/>
      <c r="ZA110" s="1056"/>
      <c r="ZB110" s="1056"/>
      <c r="ZC110" s="1056"/>
      <c r="ZD110" s="1056"/>
      <c r="ZE110" s="1056"/>
      <c r="ZF110" s="1056"/>
      <c r="ZG110" s="1056"/>
      <c r="ZH110" s="1056"/>
      <c r="ZI110" s="1056"/>
      <c r="ZJ110" s="1056"/>
      <c r="ZK110" s="1056"/>
      <c r="ZL110" s="1056"/>
      <c r="ZM110" s="1056"/>
      <c r="ZN110" s="1056"/>
      <c r="ZO110" s="1056"/>
      <c r="ZP110" s="1056"/>
      <c r="ZQ110" s="1056"/>
      <c r="ZR110" s="1056"/>
      <c r="ZS110" s="1056"/>
      <c r="ZT110" s="1056"/>
      <c r="ZU110" s="1056"/>
      <c r="ZV110" s="1056"/>
      <c r="ZW110" s="1056"/>
      <c r="ZX110" s="1056"/>
      <c r="ZY110" s="1056"/>
      <c r="ZZ110" s="1056"/>
      <c r="AAA110" s="1056"/>
      <c r="AAB110" s="1056"/>
      <c r="AAC110" s="1056"/>
      <c r="AAD110" s="1056"/>
      <c r="AAE110" s="1056"/>
      <c r="AAF110" s="1056"/>
      <c r="AAG110" s="1056"/>
      <c r="AAH110" s="1056"/>
      <c r="AAI110" s="1056"/>
      <c r="AAJ110" s="1056"/>
      <c r="AAK110" s="1056"/>
      <c r="AAL110" s="1056"/>
      <c r="AAM110" s="1056"/>
      <c r="AAN110" s="1056"/>
      <c r="AAO110" s="1056"/>
      <c r="AAP110" s="1056"/>
      <c r="AAQ110" s="1056"/>
      <c r="AAR110" s="1056"/>
      <c r="AAS110" s="1056"/>
      <c r="AAT110" s="1056"/>
      <c r="AAU110" s="1056"/>
      <c r="AAV110" s="1056"/>
      <c r="AAW110" s="1056"/>
      <c r="AAX110" s="1056"/>
      <c r="AAY110" s="1056"/>
      <c r="AAZ110" s="1056"/>
      <c r="ABA110" s="1056"/>
      <c r="ABB110" s="1056"/>
      <c r="ABC110" s="1056"/>
      <c r="ABD110" s="1056"/>
      <c r="ABE110" s="1056"/>
      <c r="ABF110" s="1056"/>
      <c r="ABG110" s="1056"/>
      <c r="ABH110" s="1056"/>
      <c r="ABI110" s="1056"/>
      <c r="ABJ110" s="1056"/>
      <c r="ABK110" s="1056"/>
      <c r="ABL110" s="1056"/>
      <c r="ABM110" s="1056"/>
      <c r="ABN110" s="1056"/>
      <c r="ABO110" s="1056"/>
      <c r="ABP110" s="1056"/>
      <c r="ABQ110" s="1056"/>
      <c r="ABR110" s="1056"/>
      <c r="ABS110" s="1056"/>
      <c r="ABT110" s="1056"/>
      <c r="ABU110" s="1056"/>
      <c r="ABV110" s="1056"/>
      <c r="ABW110" s="1056"/>
      <c r="ABX110" s="1056"/>
      <c r="ABY110" s="1056"/>
      <c r="ABZ110" s="1056"/>
      <c r="ACA110" s="1056"/>
      <c r="ACB110" s="1056"/>
      <c r="ACC110" s="1056"/>
      <c r="ACD110" s="1056"/>
      <c r="ACE110" s="1056"/>
      <c r="ACF110" s="1056"/>
      <c r="ACG110" s="1056"/>
      <c r="ACH110" s="1056"/>
      <c r="ACI110" s="1056"/>
      <c r="ACJ110" s="1056"/>
      <c r="ACK110" s="1056"/>
      <c r="ACL110" s="1056"/>
      <c r="ACM110" s="1056"/>
      <c r="ACN110" s="1056"/>
      <c r="ACO110" s="1056"/>
      <c r="ACP110" s="1056"/>
      <c r="ACQ110" s="1056"/>
      <c r="ACR110" s="1056"/>
      <c r="ACS110" s="1056"/>
      <c r="ACT110" s="1056"/>
      <c r="ACU110" s="1056"/>
      <c r="ACV110" s="1056"/>
      <c r="ACW110" s="1056"/>
      <c r="ACX110" s="1056"/>
      <c r="ACY110" s="1056"/>
      <c r="ACZ110" s="1056"/>
      <c r="ADA110" s="1056"/>
      <c r="ADB110" s="1056"/>
      <c r="ADC110" s="1056"/>
      <c r="ADD110" s="1056"/>
      <c r="ADE110" s="1056"/>
      <c r="ADF110" s="1056"/>
      <c r="ADG110" s="1056"/>
      <c r="ADH110" s="1056"/>
      <c r="ADI110" s="1056"/>
      <c r="ADJ110" s="1056"/>
      <c r="ADK110" s="1056"/>
      <c r="ADL110" s="1056"/>
      <c r="ADM110" s="1056"/>
      <c r="ADN110" s="1056"/>
      <c r="ADO110" s="1056"/>
      <c r="ADP110" s="1056"/>
      <c r="ADQ110" s="1056"/>
      <c r="ADR110" s="1056"/>
      <c r="ADS110" s="1056"/>
      <c r="ADT110" s="1056"/>
      <c r="ADU110" s="1056"/>
      <c r="ADV110" s="1056"/>
      <c r="ADW110" s="1056"/>
      <c r="ADX110" s="1056"/>
      <c r="ADY110" s="1056"/>
      <c r="ADZ110" s="1056"/>
      <c r="AEA110" s="1056"/>
      <c r="AEB110" s="1056"/>
      <c r="AEC110" s="1056"/>
      <c r="AED110" s="1056"/>
      <c r="AEE110" s="1056"/>
      <c r="AEF110" s="1056"/>
      <c r="AEG110" s="1056"/>
      <c r="AEH110" s="1056"/>
      <c r="AEI110" s="1056"/>
      <c r="AEJ110" s="1056"/>
      <c r="AEK110" s="1056"/>
      <c r="AEL110" s="1056"/>
      <c r="AEM110" s="1056"/>
      <c r="AEN110" s="1056"/>
      <c r="AEO110" s="1056"/>
      <c r="AEP110" s="1056"/>
      <c r="AEQ110" s="1056"/>
      <c r="AER110" s="1056"/>
      <c r="AES110" s="1056"/>
      <c r="AET110" s="1056"/>
      <c r="AEU110" s="1056"/>
      <c r="AEV110" s="1056"/>
      <c r="AEW110" s="1056"/>
      <c r="AEX110" s="1056"/>
      <c r="AEY110" s="1056"/>
      <c r="AEZ110" s="1056"/>
      <c r="AFA110" s="1056"/>
      <c r="AFB110" s="1056"/>
      <c r="AFC110" s="1056"/>
      <c r="AFD110" s="1056"/>
      <c r="AFE110" s="1056"/>
      <c r="AFF110" s="1056"/>
      <c r="AFG110" s="1056"/>
      <c r="AFH110" s="1056"/>
      <c r="AFI110" s="1056"/>
      <c r="AFJ110" s="1056"/>
      <c r="AFK110" s="1056"/>
      <c r="AFL110" s="1056"/>
      <c r="AFM110" s="1056"/>
      <c r="AFN110" s="1056"/>
      <c r="AFO110" s="1056"/>
      <c r="AFP110" s="1056"/>
      <c r="AFQ110" s="1056"/>
      <c r="AFR110" s="1056"/>
      <c r="AFS110" s="1056"/>
      <c r="AFT110" s="1056"/>
      <c r="AFU110" s="1056"/>
      <c r="AFV110" s="1056"/>
      <c r="AFW110" s="1056"/>
      <c r="AFX110" s="1056"/>
      <c r="AFY110" s="1056"/>
      <c r="AFZ110" s="1056"/>
      <c r="AGA110" s="1056"/>
      <c r="AGB110" s="1056"/>
      <c r="AGC110" s="1056"/>
      <c r="AGD110" s="1056"/>
      <c r="AGE110" s="1056"/>
      <c r="AGF110" s="1056"/>
      <c r="AGG110" s="1056"/>
      <c r="AGH110" s="1056"/>
      <c r="AGI110" s="1056"/>
      <c r="AGJ110" s="1056"/>
      <c r="AGK110" s="1056"/>
      <c r="AGL110" s="1056"/>
      <c r="AGM110" s="1056"/>
      <c r="AGN110" s="1056"/>
      <c r="AGO110" s="1056"/>
      <c r="AGP110" s="1056"/>
      <c r="AGQ110" s="1056"/>
      <c r="AGR110" s="1056"/>
      <c r="AGS110" s="1056"/>
      <c r="AGT110" s="1056"/>
      <c r="AGU110" s="1056"/>
      <c r="AGV110" s="1056"/>
      <c r="AGW110" s="1056"/>
      <c r="AGX110" s="1056"/>
      <c r="AGY110" s="1056"/>
      <c r="AGZ110" s="1056"/>
      <c r="AHA110" s="1056"/>
      <c r="AHB110" s="1056"/>
      <c r="AHC110" s="1056"/>
      <c r="AHD110" s="1056"/>
      <c r="AHE110" s="1056"/>
      <c r="AHF110" s="1056"/>
      <c r="AHG110" s="1056"/>
      <c r="AHH110" s="1056"/>
      <c r="AHI110" s="1056"/>
      <c r="AHJ110" s="1056"/>
      <c r="AHK110" s="1056"/>
      <c r="AHL110" s="1056"/>
      <c r="AHM110" s="1056"/>
      <c r="AHN110" s="1056"/>
      <c r="AHO110" s="1056"/>
      <c r="AHP110" s="1056"/>
      <c r="AHQ110" s="1056"/>
      <c r="AHR110" s="1056"/>
      <c r="AHS110" s="1056"/>
      <c r="AHT110" s="1056"/>
      <c r="AHU110" s="1056"/>
      <c r="AHV110" s="1056"/>
      <c r="AHW110" s="1056"/>
      <c r="AHX110" s="1056"/>
      <c r="AHY110" s="1056"/>
      <c r="AHZ110" s="1056"/>
      <c r="AIA110" s="1056"/>
      <c r="AIB110" s="1056"/>
      <c r="AIC110" s="1056"/>
      <c r="AID110" s="1056"/>
      <c r="AIE110" s="1056"/>
      <c r="AIF110" s="1056"/>
      <c r="AIG110" s="1056"/>
      <c r="AIH110" s="1056"/>
      <c r="AII110" s="1056"/>
      <c r="AIJ110" s="1056"/>
      <c r="AIK110" s="1056"/>
      <c r="AIL110" s="1056"/>
      <c r="AIM110" s="1056"/>
      <c r="AIN110" s="1056"/>
      <c r="AIO110" s="1056"/>
      <c r="AIP110" s="1056"/>
      <c r="AIQ110" s="1056"/>
      <c r="AIR110" s="1056"/>
      <c r="AIS110" s="1056"/>
      <c r="AIT110" s="1056"/>
      <c r="AIU110" s="1056"/>
      <c r="AIV110" s="1056"/>
      <c r="AIW110" s="1056"/>
      <c r="AIX110" s="1056"/>
      <c r="AIY110" s="1056"/>
      <c r="AIZ110" s="1056"/>
      <c r="AJA110" s="1056"/>
      <c r="AJB110" s="1056"/>
      <c r="AJC110" s="1056"/>
      <c r="AJD110" s="1056"/>
      <c r="AJE110" s="1056"/>
      <c r="AJF110" s="1056"/>
      <c r="AJG110" s="1056"/>
      <c r="AJH110" s="1056"/>
      <c r="AJI110" s="1056"/>
      <c r="AJJ110" s="1056"/>
      <c r="AJK110" s="1056"/>
      <c r="AJL110" s="1056"/>
      <c r="AJM110" s="1056"/>
      <c r="AJN110" s="1056"/>
      <c r="AJO110" s="1056"/>
      <c r="AJP110" s="1056"/>
      <c r="AJQ110" s="1056"/>
      <c r="AJR110" s="1056"/>
      <c r="AJS110" s="1056"/>
      <c r="AJT110" s="1056"/>
      <c r="AJU110" s="1056"/>
      <c r="AJV110" s="1056"/>
      <c r="AJW110" s="1056"/>
      <c r="AJX110" s="1056"/>
      <c r="AJY110" s="1056"/>
      <c r="AJZ110" s="1056"/>
      <c r="AKA110" s="1056"/>
      <c r="AKB110" s="1056"/>
      <c r="AKC110" s="1056"/>
      <c r="AKD110" s="1056"/>
      <c r="AKE110" s="1056"/>
      <c r="AKF110" s="1056"/>
      <c r="AKG110" s="1056"/>
      <c r="AKH110" s="1056"/>
      <c r="AKI110" s="1056"/>
      <c r="AKJ110" s="1056"/>
      <c r="AKK110" s="1056"/>
      <c r="AKL110" s="1056"/>
      <c r="AKM110" s="1056"/>
      <c r="AKN110" s="1056"/>
      <c r="AKO110" s="1056"/>
      <c r="AKP110" s="1056"/>
      <c r="AKQ110" s="1056"/>
      <c r="AKR110" s="1056"/>
      <c r="AKS110" s="1056"/>
      <c r="AKT110" s="1056"/>
      <c r="AKU110" s="1056"/>
      <c r="AKV110" s="1056"/>
      <c r="AKW110" s="1056"/>
      <c r="AKX110" s="1056"/>
      <c r="AKY110" s="1056"/>
      <c r="AKZ110" s="1056"/>
      <c r="ALA110" s="1056"/>
      <c r="ALB110" s="1056"/>
      <c r="ALC110" s="1056"/>
      <c r="ALD110" s="1056"/>
      <c r="ALE110" s="1056"/>
      <c r="ALF110" s="1056"/>
      <c r="ALG110" s="1056"/>
      <c r="ALH110" s="1056"/>
      <c r="ALI110" s="1056"/>
      <c r="ALJ110" s="1056"/>
      <c r="ALK110" s="1056"/>
      <c r="ALL110" s="1056"/>
      <c r="ALM110" s="1056"/>
      <c r="ALN110" s="1056"/>
      <c r="ALO110" s="1056"/>
      <c r="ALP110" s="1056"/>
      <c r="ALQ110" s="1056"/>
      <c r="ALR110" s="1056"/>
      <c r="ALS110" s="1056"/>
      <c r="ALT110" s="1056"/>
      <c r="ALU110" s="1056"/>
      <c r="ALV110" s="1056"/>
      <c r="ALW110" s="1056"/>
      <c r="ALX110" s="1056"/>
      <c r="ALY110" s="1056"/>
      <c r="ALZ110" s="1056"/>
      <c r="AMA110" s="1056"/>
      <c r="AMB110" s="1056"/>
      <c r="AMC110" s="1056"/>
      <c r="AMD110" s="1056"/>
      <c r="AME110" s="1056"/>
      <c r="AMF110" s="1056"/>
      <c r="AMG110" s="1056"/>
      <c r="AMH110" s="1056"/>
      <c r="AMI110" s="1056"/>
      <c r="AMJ110" s="1056"/>
      <c r="AMK110" s="1056"/>
      <c r="AML110" s="1056"/>
      <c r="AMM110" s="1056"/>
      <c r="AMN110" s="1056"/>
      <c r="AMO110" s="1056"/>
      <c r="AMP110" s="1056"/>
      <c r="AMQ110" s="1056"/>
      <c r="AMR110" s="1056"/>
      <c r="AMS110" s="1056"/>
      <c r="AMT110" s="1056"/>
      <c r="AMU110" s="1056"/>
      <c r="AMV110" s="1056"/>
      <c r="AMW110" s="1056"/>
      <c r="AMX110" s="1056"/>
      <c r="AMY110" s="1056"/>
      <c r="AMZ110" s="1056"/>
      <c r="ANA110" s="1056"/>
      <c r="ANB110" s="1056"/>
      <c r="ANC110" s="1056"/>
      <c r="AND110" s="1056"/>
      <c r="ANE110" s="1056"/>
      <c r="ANF110" s="1056"/>
      <c r="ANG110" s="1056"/>
      <c r="ANH110" s="1056"/>
      <c r="ANI110" s="1056"/>
      <c r="ANJ110" s="1056"/>
      <c r="ANK110" s="1056"/>
      <c r="ANL110" s="1056"/>
      <c r="ANM110" s="1056"/>
      <c r="ANN110" s="1056"/>
      <c r="ANO110" s="1056"/>
      <c r="ANP110" s="1056"/>
      <c r="ANQ110" s="1056"/>
      <c r="ANR110" s="1056"/>
      <c r="ANS110" s="1056"/>
      <c r="ANT110" s="1056"/>
      <c r="ANU110" s="1056"/>
      <c r="ANV110" s="1056"/>
      <c r="ANW110" s="1056"/>
      <c r="ANX110" s="1056"/>
      <c r="ANY110" s="1056"/>
      <c r="ANZ110" s="1056"/>
      <c r="AOA110" s="1056"/>
      <c r="AOB110" s="1056"/>
      <c r="AOC110" s="1056"/>
      <c r="AOD110" s="1056"/>
      <c r="AOE110" s="1056"/>
      <c r="AOF110" s="1056"/>
      <c r="AOG110" s="1056"/>
      <c r="AOH110" s="1056"/>
      <c r="AOI110" s="1056"/>
      <c r="AOJ110" s="1056"/>
      <c r="AOK110" s="1056"/>
      <c r="AOL110" s="1056"/>
      <c r="AOM110" s="1056"/>
      <c r="AON110" s="1056"/>
      <c r="AOO110" s="1056"/>
      <c r="AOP110" s="1056"/>
      <c r="AOQ110" s="1056"/>
      <c r="AOR110" s="1056"/>
      <c r="AOS110" s="1056"/>
      <c r="AOT110" s="1056"/>
      <c r="AOU110" s="1056"/>
      <c r="AOV110" s="1056"/>
      <c r="AOW110" s="1056"/>
      <c r="AOX110" s="1056"/>
      <c r="AOY110" s="1056"/>
      <c r="AOZ110" s="1056"/>
      <c r="APA110" s="1056"/>
      <c r="APB110" s="1056"/>
      <c r="APC110" s="1056"/>
      <c r="APD110" s="1056"/>
      <c r="APE110" s="1056"/>
      <c r="APF110" s="1056"/>
      <c r="APG110" s="1056"/>
      <c r="APH110" s="1056"/>
      <c r="API110" s="1056"/>
      <c r="APJ110" s="1056"/>
      <c r="APK110" s="1056"/>
      <c r="APL110" s="1056"/>
      <c r="APM110" s="1056"/>
      <c r="APN110" s="1056"/>
      <c r="APO110" s="1056"/>
      <c r="APP110" s="1056"/>
      <c r="APQ110" s="1056"/>
      <c r="APR110" s="1056"/>
      <c r="APS110" s="1056"/>
      <c r="APT110" s="1056"/>
      <c r="APU110" s="1056"/>
      <c r="APV110" s="1056"/>
      <c r="APW110" s="1056"/>
      <c r="APX110" s="1056"/>
      <c r="APY110" s="1056"/>
      <c r="APZ110" s="1056"/>
      <c r="AQA110" s="1056"/>
      <c r="AQB110" s="1056"/>
      <c r="AQC110" s="1056"/>
      <c r="AQD110" s="1056"/>
      <c r="AQE110" s="1056"/>
      <c r="AQF110" s="1056"/>
      <c r="AQG110" s="1056"/>
      <c r="AQH110" s="1056"/>
      <c r="AQI110" s="1056"/>
      <c r="AQJ110" s="1056"/>
      <c r="AQK110" s="1056"/>
      <c r="AQL110" s="1056"/>
      <c r="AQM110" s="1056"/>
      <c r="AQN110" s="1056"/>
      <c r="AQO110" s="1056"/>
      <c r="AQP110" s="1056"/>
      <c r="AQQ110" s="1056"/>
      <c r="AQR110" s="1056"/>
      <c r="AQS110" s="1056"/>
      <c r="AQT110" s="1056"/>
      <c r="AQU110" s="1056"/>
      <c r="AQV110" s="1056"/>
      <c r="AQW110" s="1056"/>
      <c r="AQX110" s="1056"/>
      <c r="AQY110" s="1056"/>
      <c r="AQZ110" s="1056"/>
      <c r="ARA110" s="1056"/>
      <c r="ARB110" s="1056"/>
      <c r="ARC110" s="1056"/>
      <c r="ARD110" s="1056"/>
      <c r="ARE110" s="1056"/>
      <c r="ARF110" s="1056"/>
      <c r="ARG110" s="1056"/>
      <c r="ARH110" s="1056"/>
      <c r="ARI110" s="1056"/>
      <c r="ARJ110" s="1056"/>
      <c r="ARK110" s="1056"/>
      <c r="ARL110" s="1056"/>
      <c r="ARM110" s="1056"/>
      <c r="ARN110" s="1056"/>
      <c r="ARO110" s="1056"/>
      <c r="ARP110" s="1056"/>
      <c r="ARQ110" s="1056"/>
      <c r="ARR110" s="1056"/>
      <c r="ARS110" s="1056"/>
      <c r="ART110" s="1056"/>
      <c r="ARU110" s="1056"/>
      <c r="ARV110" s="1056"/>
      <c r="ARW110" s="1056"/>
      <c r="ARX110" s="1056"/>
      <c r="ARY110" s="1056"/>
      <c r="ARZ110" s="1056"/>
      <c r="ASA110" s="1056"/>
      <c r="ASB110" s="1056"/>
      <c r="ASC110" s="1056"/>
      <c r="ASD110" s="1056"/>
      <c r="ASE110" s="1056"/>
      <c r="ASF110" s="1056"/>
      <c r="ASG110" s="1056"/>
      <c r="ASH110" s="1056"/>
      <c r="ASI110" s="1056"/>
      <c r="ASJ110" s="1056"/>
      <c r="ASK110" s="1056"/>
      <c r="ASL110" s="1056"/>
      <c r="ASM110" s="1056"/>
      <c r="ASN110" s="1056"/>
      <c r="ASO110" s="1056"/>
      <c r="ASP110" s="1056"/>
      <c r="ASQ110" s="1056"/>
      <c r="ASR110" s="1056"/>
      <c r="ASS110" s="1056"/>
      <c r="AST110" s="1056"/>
      <c r="ASU110" s="1056"/>
      <c r="ASV110" s="1056"/>
      <c r="ASW110" s="1056"/>
      <c r="ASX110" s="1056"/>
      <c r="ASY110" s="1056"/>
      <c r="ASZ110" s="1056"/>
      <c r="ATA110" s="1056"/>
      <c r="ATB110" s="1056"/>
      <c r="ATC110" s="1056"/>
      <c r="ATD110" s="1056"/>
      <c r="ATE110" s="1056"/>
      <c r="ATF110" s="1056"/>
      <c r="ATG110" s="1056"/>
      <c r="ATH110" s="1056"/>
      <c r="ATI110" s="1056"/>
      <c r="ATJ110" s="1056"/>
      <c r="ATK110" s="1056"/>
      <c r="ATL110" s="1056"/>
      <c r="ATM110" s="1056"/>
      <c r="ATN110" s="1056"/>
      <c r="ATO110" s="1056"/>
      <c r="ATP110" s="1056"/>
      <c r="ATQ110" s="1056"/>
      <c r="ATR110" s="1056"/>
      <c r="ATS110" s="1056"/>
      <c r="ATT110" s="1056"/>
      <c r="ATU110" s="1056"/>
      <c r="ATV110" s="1056"/>
      <c r="ATW110" s="1056"/>
      <c r="ATX110" s="1056"/>
      <c r="ATY110" s="1056"/>
      <c r="ATZ110" s="1056"/>
      <c r="AUA110" s="1056"/>
      <c r="AUB110" s="1056"/>
      <c r="AUC110" s="1056"/>
      <c r="AUD110" s="1056"/>
      <c r="AUE110" s="1056"/>
      <c r="AUF110" s="1056"/>
      <c r="AUG110" s="1056"/>
      <c r="AUH110" s="1056"/>
      <c r="AUI110" s="1056"/>
      <c r="AUJ110" s="1056"/>
      <c r="AUK110" s="1056"/>
      <c r="AUL110" s="1056"/>
      <c r="AUM110" s="1056"/>
      <c r="AUN110" s="1056"/>
      <c r="AUO110" s="1056"/>
      <c r="AUP110" s="1056"/>
      <c r="AUQ110" s="1056"/>
      <c r="AUR110" s="1056"/>
      <c r="AUS110" s="1056"/>
      <c r="AUT110" s="1056"/>
      <c r="AUU110" s="1056"/>
      <c r="AUV110" s="1056"/>
      <c r="AUW110" s="1056"/>
      <c r="AUX110" s="1056"/>
      <c r="AUY110" s="1056"/>
      <c r="AUZ110" s="1056"/>
      <c r="AVA110" s="1056"/>
      <c r="AVB110" s="1056"/>
      <c r="AVC110" s="1056"/>
      <c r="AVD110" s="1056"/>
      <c r="AVE110" s="1056"/>
      <c r="AVF110" s="1056"/>
      <c r="AVG110" s="1056"/>
      <c r="AVH110" s="1056"/>
      <c r="AVI110" s="1056"/>
      <c r="AVJ110" s="1056"/>
      <c r="AVK110" s="1056"/>
      <c r="AVL110" s="1056"/>
      <c r="AVM110" s="1056"/>
      <c r="AVN110" s="1056"/>
      <c r="AVO110" s="1056"/>
      <c r="AVP110" s="1056"/>
      <c r="AVQ110" s="1056"/>
      <c r="AVR110" s="1056"/>
      <c r="AVS110" s="1056"/>
      <c r="AVT110" s="1056"/>
      <c r="AVU110" s="1056"/>
      <c r="AVV110" s="1056"/>
      <c r="AVW110" s="1056"/>
      <c r="AVX110" s="1056"/>
      <c r="AVY110" s="1056"/>
      <c r="AVZ110" s="1056"/>
      <c r="AWA110" s="1056"/>
      <c r="AWB110" s="1056"/>
      <c r="AWC110" s="1056"/>
      <c r="AWD110" s="1056"/>
      <c r="AWE110" s="1056"/>
      <c r="AWF110" s="1056"/>
      <c r="AWG110" s="1056"/>
      <c r="AWH110" s="1056"/>
      <c r="AWI110" s="1056"/>
      <c r="AWJ110" s="1056"/>
      <c r="AWK110" s="1056"/>
      <c r="AWL110" s="1056"/>
      <c r="AWM110" s="1056"/>
      <c r="AWN110" s="1056"/>
      <c r="AWO110" s="1056"/>
      <c r="AWP110" s="1056"/>
      <c r="AWQ110" s="1056"/>
      <c r="AWR110" s="1056"/>
      <c r="AWS110" s="1056"/>
      <c r="AWT110" s="1056"/>
      <c r="AWU110" s="1056"/>
      <c r="AWV110" s="1056"/>
      <c r="AWW110" s="1056"/>
      <c r="AWX110" s="1056"/>
      <c r="AWY110" s="1056"/>
      <c r="AWZ110" s="1056"/>
      <c r="AXA110" s="1056"/>
      <c r="AXB110" s="1056"/>
      <c r="AXC110" s="1056"/>
      <c r="AXD110" s="1056"/>
      <c r="AXE110" s="1056"/>
      <c r="AXF110" s="1056"/>
      <c r="AXG110" s="1056"/>
      <c r="AXH110" s="1056"/>
      <c r="AXI110" s="1056"/>
      <c r="AXJ110" s="1056"/>
      <c r="AXK110" s="1056"/>
      <c r="AXL110" s="1056"/>
      <c r="AXM110" s="1056"/>
      <c r="AXN110" s="1056"/>
      <c r="AXO110" s="1056"/>
      <c r="AXP110" s="1056"/>
      <c r="AXQ110" s="1056"/>
      <c r="AXR110" s="1056"/>
      <c r="AXS110" s="1056"/>
      <c r="AXT110" s="1056"/>
      <c r="AXU110" s="1056"/>
      <c r="AXV110" s="1056"/>
      <c r="AXW110" s="1056"/>
      <c r="AXX110" s="1056"/>
      <c r="AXY110" s="1056"/>
      <c r="AXZ110" s="1056"/>
      <c r="AYA110" s="1056"/>
      <c r="AYB110" s="1056"/>
      <c r="AYC110" s="1056"/>
      <c r="AYD110" s="1056"/>
      <c r="AYE110" s="1056"/>
      <c r="AYF110" s="1056"/>
      <c r="AYG110" s="1056"/>
      <c r="AYH110" s="1056"/>
      <c r="AYI110" s="1056"/>
      <c r="AYJ110" s="1056"/>
      <c r="AYK110" s="1056"/>
      <c r="AYL110" s="1056"/>
      <c r="AYM110" s="1056"/>
      <c r="AYN110" s="1056"/>
      <c r="AYO110" s="1056"/>
      <c r="AYP110" s="1056"/>
      <c r="AYQ110" s="1056"/>
      <c r="AYR110" s="1056"/>
      <c r="AYS110" s="1056"/>
      <c r="AYT110" s="1056"/>
      <c r="AYU110" s="1056"/>
      <c r="AYV110" s="1056"/>
      <c r="AYW110" s="1056"/>
      <c r="AYX110" s="1056"/>
      <c r="AYY110" s="1056"/>
      <c r="AYZ110" s="1056"/>
      <c r="AZA110" s="1056"/>
      <c r="AZB110" s="1056"/>
      <c r="AZC110" s="1056"/>
      <c r="AZD110" s="1056"/>
      <c r="AZE110" s="1056"/>
      <c r="AZF110" s="1056"/>
      <c r="AZG110" s="1056"/>
      <c r="AZH110" s="1056"/>
      <c r="AZI110" s="1056"/>
      <c r="AZJ110" s="1056"/>
      <c r="AZK110" s="1056"/>
      <c r="AZL110" s="1056"/>
      <c r="AZM110" s="1056"/>
      <c r="AZN110" s="1056"/>
      <c r="AZO110" s="1056"/>
      <c r="AZP110" s="1056"/>
      <c r="AZQ110" s="1056"/>
      <c r="AZR110" s="1056"/>
      <c r="AZS110" s="1056"/>
      <c r="AZT110" s="1056"/>
      <c r="AZU110" s="1056"/>
      <c r="AZV110" s="1056"/>
      <c r="AZW110" s="1056"/>
      <c r="AZX110" s="1056"/>
      <c r="AZY110" s="1056"/>
      <c r="AZZ110" s="1056"/>
      <c r="BAA110" s="1056"/>
      <c r="BAB110" s="1056"/>
      <c r="BAC110" s="1056"/>
      <c r="BAD110" s="1056"/>
      <c r="BAE110" s="1056"/>
      <c r="BAF110" s="1056"/>
      <c r="BAG110" s="1056"/>
      <c r="BAH110" s="1056"/>
      <c r="BAI110" s="1056"/>
      <c r="BAJ110" s="1056"/>
      <c r="BAK110" s="1056"/>
      <c r="BAL110" s="1056"/>
      <c r="BAM110" s="1056"/>
      <c r="BAN110" s="1056"/>
      <c r="BAO110" s="1056"/>
      <c r="BAP110" s="1056"/>
      <c r="BAQ110" s="1056"/>
      <c r="BAR110" s="1056"/>
      <c r="BAS110" s="1056"/>
      <c r="BAT110" s="1056"/>
      <c r="BAU110" s="1056"/>
      <c r="BAV110" s="1056"/>
      <c r="BAW110" s="1056"/>
      <c r="BAX110" s="1056"/>
      <c r="BAY110" s="1056"/>
      <c r="BAZ110" s="1056"/>
      <c r="BBA110" s="1056"/>
      <c r="BBB110" s="1056"/>
      <c r="BBC110" s="1056"/>
      <c r="BBD110" s="1056"/>
      <c r="BBE110" s="1056"/>
      <c r="BBF110" s="1056"/>
      <c r="BBG110" s="1056"/>
      <c r="BBH110" s="1056"/>
      <c r="BBI110" s="1056"/>
      <c r="BBJ110" s="1056"/>
      <c r="BBK110" s="1056"/>
      <c r="BBL110" s="1056"/>
      <c r="BBM110" s="1056"/>
      <c r="BBN110" s="1056"/>
      <c r="BBO110" s="1056"/>
      <c r="BBP110" s="1056"/>
      <c r="BBQ110" s="1056"/>
      <c r="BBR110" s="1056"/>
      <c r="BBS110" s="1056"/>
      <c r="BBT110" s="1056"/>
      <c r="BBU110" s="1056"/>
      <c r="BBV110" s="1056"/>
      <c r="BBW110" s="1056"/>
      <c r="BBX110" s="1056"/>
      <c r="BBY110" s="1056"/>
      <c r="BBZ110" s="1056"/>
      <c r="BCA110" s="1056"/>
      <c r="BCB110" s="1056"/>
      <c r="BCC110" s="1056"/>
      <c r="BCD110" s="1056"/>
      <c r="BCE110" s="1056"/>
      <c r="BCF110" s="1056"/>
      <c r="BCG110" s="1056"/>
      <c r="BCH110" s="1056"/>
      <c r="BCI110" s="1056"/>
      <c r="BCJ110" s="1056"/>
      <c r="BCK110" s="1056"/>
      <c r="BCL110" s="1056"/>
      <c r="BCM110" s="1056"/>
      <c r="BCN110" s="1056"/>
      <c r="BCO110" s="1056"/>
      <c r="BCP110" s="1056"/>
      <c r="BCQ110" s="1056"/>
      <c r="BCR110" s="1056"/>
      <c r="BCS110" s="1056"/>
      <c r="BCT110" s="1056"/>
      <c r="BCU110" s="1056"/>
      <c r="BCV110" s="1056"/>
      <c r="BCW110" s="1056"/>
      <c r="BCX110" s="1056"/>
      <c r="BCY110" s="1056"/>
      <c r="BCZ110" s="1056"/>
      <c r="BDA110" s="1056"/>
      <c r="BDB110" s="1056"/>
      <c r="BDC110" s="1056"/>
      <c r="BDD110" s="1056"/>
      <c r="BDE110" s="1056"/>
      <c r="BDF110" s="1056"/>
      <c r="BDG110" s="1056"/>
      <c r="BDH110" s="1056"/>
      <c r="BDI110" s="1056"/>
      <c r="BDJ110" s="1056"/>
      <c r="BDK110" s="1056"/>
      <c r="BDL110" s="1056"/>
      <c r="BDM110" s="1056"/>
      <c r="BDN110" s="1056"/>
      <c r="BDO110" s="1056"/>
      <c r="BDP110" s="1056"/>
      <c r="BDQ110" s="1056"/>
      <c r="BDR110" s="1056"/>
      <c r="BDS110" s="1056"/>
      <c r="BDT110" s="1056"/>
      <c r="BDU110" s="1056"/>
      <c r="BDV110" s="1056"/>
      <c r="BDW110" s="1056"/>
      <c r="BDX110" s="1056"/>
      <c r="BDY110" s="1056"/>
      <c r="BDZ110" s="1056"/>
      <c r="BEA110" s="1056"/>
      <c r="BEB110" s="1056"/>
      <c r="BEC110" s="1056"/>
      <c r="BED110" s="1056"/>
      <c r="BEE110" s="1056"/>
      <c r="BEF110" s="1056"/>
      <c r="BEG110" s="1056"/>
      <c r="BEH110" s="1056"/>
      <c r="BEI110" s="1056"/>
      <c r="BEJ110" s="1056"/>
      <c r="BEK110" s="1056"/>
      <c r="BEL110" s="1056"/>
      <c r="BEM110" s="1056"/>
      <c r="BEN110" s="1056"/>
      <c r="BEO110" s="1056"/>
      <c r="BEP110" s="1056"/>
      <c r="BEQ110" s="1056"/>
      <c r="BER110" s="1056"/>
      <c r="BES110" s="1056"/>
      <c r="BET110" s="1056"/>
      <c r="BEU110" s="1056"/>
      <c r="BEV110" s="1056"/>
      <c r="BEW110" s="1056"/>
      <c r="BEX110" s="1056"/>
      <c r="BEY110" s="1056"/>
      <c r="BEZ110" s="1056"/>
      <c r="BFA110" s="1056"/>
      <c r="BFB110" s="1056"/>
      <c r="BFC110" s="1056"/>
      <c r="BFD110" s="1056"/>
      <c r="BFE110" s="1056"/>
      <c r="BFF110" s="1056"/>
      <c r="BFG110" s="1056"/>
      <c r="BFH110" s="1056"/>
      <c r="BFI110" s="1056"/>
      <c r="BFJ110" s="1056"/>
      <c r="BFK110" s="1056"/>
      <c r="BFL110" s="1056"/>
      <c r="BFM110" s="1056"/>
      <c r="BFN110" s="1056"/>
      <c r="BFO110" s="1056"/>
      <c r="BFP110" s="1056"/>
      <c r="BFQ110" s="1056"/>
      <c r="BFR110" s="1056"/>
      <c r="BFS110" s="1056"/>
      <c r="BFT110" s="1056"/>
      <c r="BFU110" s="1056"/>
      <c r="BFV110" s="1056"/>
      <c r="BFW110" s="1056"/>
      <c r="BFX110" s="1056"/>
      <c r="BFY110" s="1056"/>
      <c r="BFZ110" s="1056"/>
      <c r="BGA110" s="1056"/>
      <c r="BGB110" s="1056"/>
      <c r="BGC110" s="1056"/>
      <c r="BGD110" s="1056"/>
      <c r="BGE110" s="1056"/>
      <c r="BGF110" s="1056"/>
      <c r="BGG110" s="1056"/>
      <c r="BGH110" s="1056"/>
      <c r="BGI110" s="1056"/>
      <c r="BGJ110" s="1056"/>
      <c r="BGK110" s="1056"/>
      <c r="BGL110" s="1056"/>
      <c r="BGM110" s="1056"/>
      <c r="BGN110" s="1056"/>
      <c r="BGO110" s="1056"/>
      <c r="BGP110" s="1056"/>
      <c r="BGQ110" s="1056"/>
      <c r="BGR110" s="1056"/>
      <c r="BGS110" s="1056"/>
      <c r="BGT110" s="1056"/>
      <c r="BGU110" s="1056"/>
      <c r="BGV110" s="1056"/>
      <c r="BGW110" s="1056"/>
      <c r="BGX110" s="1056"/>
      <c r="BGY110" s="1056"/>
      <c r="BGZ110" s="1056"/>
      <c r="BHA110" s="1056"/>
      <c r="BHB110" s="1056"/>
      <c r="BHC110" s="1056"/>
      <c r="BHD110" s="1056"/>
      <c r="BHE110" s="1056"/>
      <c r="BHF110" s="1056"/>
      <c r="BHG110" s="1056"/>
      <c r="BHH110" s="1056"/>
      <c r="BHI110" s="1056"/>
      <c r="BHJ110" s="1056"/>
      <c r="BHK110" s="1056"/>
      <c r="BHL110" s="1056"/>
      <c r="BHM110" s="1056"/>
      <c r="BHN110" s="1056"/>
      <c r="BHO110" s="1056"/>
      <c r="BHP110" s="1056"/>
      <c r="BHQ110" s="1056"/>
      <c r="BHR110" s="1056"/>
      <c r="BHS110" s="1056"/>
      <c r="BHT110" s="1056"/>
      <c r="BHU110" s="1056"/>
      <c r="BHV110" s="1056"/>
      <c r="BHW110" s="1056"/>
      <c r="BHX110" s="1056"/>
      <c r="BHY110" s="1056"/>
      <c r="BHZ110" s="1056"/>
      <c r="BIA110" s="1056"/>
      <c r="BIB110" s="1056"/>
      <c r="BIC110" s="1056"/>
      <c r="BID110" s="1056"/>
      <c r="BIE110" s="1056"/>
      <c r="BIF110" s="1056"/>
      <c r="BIG110" s="1056"/>
      <c r="BIH110" s="1056"/>
      <c r="BII110" s="1056"/>
      <c r="BIJ110" s="1056"/>
      <c r="BIK110" s="1056"/>
      <c r="BIL110" s="1056"/>
      <c r="BIM110" s="1056"/>
      <c r="BIN110" s="1056"/>
      <c r="BIO110" s="1056"/>
      <c r="BIP110" s="1056"/>
      <c r="BIQ110" s="1056"/>
      <c r="BIR110" s="1056"/>
      <c r="BIS110" s="1056"/>
      <c r="BIT110" s="1056"/>
      <c r="BIU110" s="1056"/>
      <c r="BIV110" s="1056"/>
      <c r="BIW110" s="1056"/>
      <c r="BIX110" s="1056"/>
      <c r="BIY110" s="1056"/>
      <c r="BIZ110" s="1056"/>
      <c r="BJA110" s="1056"/>
      <c r="BJB110" s="1056"/>
      <c r="BJC110" s="1056"/>
      <c r="BJD110" s="1056"/>
      <c r="BJE110" s="1056"/>
      <c r="BJF110" s="1056"/>
      <c r="BJG110" s="1056"/>
      <c r="BJH110" s="1056"/>
      <c r="BJI110" s="1056"/>
      <c r="BJJ110" s="1056"/>
      <c r="BJK110" s="1056"/>
      <c r="BJL110" s="1056"/>
      <c r="BJM110" s="1056"/>
      <c r="BJN110" s="1056"/>
      <c r="BJO110" s="1056"/>
      <c r="BJP110" s="1056"/>
      <c r="BJQ110" s="1056"/>
      <c r="BJR110" s="1056"/>
      <c r="BJS110" s="1056"/>
      <c r="BJT110" s="1056"/>
      <c r="BJU110" s="1056"/>
      <c r="BJV110" s="1056"/>
      <c r="BJW110" s="1056"/>
      <c r="BJX110" s="1056"/>
      <c r="BJY110" s="1056"/>
      <c r="BJZ110" s="1056"/>
      <c r="BKA110" s="1056"/>
      <c r="BKB110" s="1056"/>
      <c r="BKC110" s="1056"/>
      <c r="BKD110" s="1056"/>
      <c r="BKE110" s="1056"/>
      <c r="BKF110" s="1056"/>
      <c r="BKG110" s="1056"/>
      <c r="BKH110" s="1056"/>
      <c r="BKI110" s="1056"/>
      <c r="BKJ110" s="1056"/>
      <c r="BKK110" s="1056"/>
      <c r="BKL110" s="1056"/>
      <c r="BKM110" s="1056"/>
      <c r="BKN110" s="1056"/>
      <c r="BKO110" s="1056"/>
      <c r="BKP110" s="1056"/>
      <c r="BKQ110" s="1056"/>
      <c r="BKR110" s="1056"/>
      <c r="BKS110" s="1056"/>
      <c r="BKT110" s="1056"/>
      <c r="BKU110" s="1056"/>
      <c r="BKV110" s="1056"/>
      <c r="BKW110" s="1056"/>
      <c r="BKX110" s="1056"/>
      <c r="BKY110" s="1056"/>
      <c r="BKZ110" s="1056"/>
      <c r="BLA110" s="1056"/>
      <c r="BLB110" s="1056"/>
      <c r="BLC110" s="1056"/>
      <c r="BLD110" s="1056"/>
      <c r="BLE110" s="1056"/>
      <c r="BLF110" s="1056"/>
      <c r="BLG110" s="1056"/>
      <c r="BLH110" s="1056"/>
      <c r="BLI110" s="1056"/>
      <c r="BLJ110" s="1056"/>
      <c r="BLK110" s="1056"/>
      <c r="BLL110" s="1056"/>
      <c r="BLM110" s="1056"/>
      <c r="BLN110" s="1056"/>
      <c r="BLO110" s="1056"/>
      <c r="BLP110" s="1056"/>
      <c r="BLQ110" s="1056"/>
      <c r="BLR110" s="1056"/>
      <c r="BLS110" s="1056"/>
      <c r="BLT110" s="1056"/>
      <c r="BLU110" s="1056"/>
      <c r="BLV110" s="1056"/>
      <c r="BLW110" s="1056"/>
      <c r="BLX110" s="1056"/>
      <c r="BLY110" s="1056"/>
      <c r="BLZ110" s="1056"/>
      <c r="BMA110" s="1056"/>
      <c r="BMB110" s="1056"/>
      <c r="BMC110" s="1056"/>
      <c r="BMD110" s="1056"/>
      <c r="BME110" s="1056"/>
      <c r="BMF110" s="1056"/>
      <c r="BMG110" s="1056"/>
      <c r="BMH110" s="1056"/>
      <c r="BMI110" s="1056"/>
      <c r="BMJ110" s="1056"/>
      <c r="BMK110" s="1056"/>
      <c r="BML110" s="1056"/>
      <c r="BMM110" s="1056"/>
      <c r="BMN110" s="1056"/>
      <c r="BMO110" s="1056"/>
      <c r="BMP110" s="1056"/>
      <c r="BMQ110" s="1056"/>
      <c r="BMR110" s="1056"/>
      <c r="BMS110" s="1056"/>
      <c r="BMT110" s="1056"/>
      <c r="BMU110" s="1056"/>
      <c r="BMV110" s="1056"/>
      <c r="BMW110" s="1056"/>
      <c r="BMX110" s="1056"/>
      <c r="BMY110" s="1056"/>
      <c r="BMZ110" s="1056"/>
      <c r="BNA110" s="1056"/>
      <c r="BNB110" s="1056"/>
      <c r="BNC110" s="1056"/>
      <c r="BND110" s="1056"/>
      <c r="BNE110" s="1056"/>
      <c r="BNF110" s="1056"/>
      <c r="BNG110" s="1056"/>
      <c r="BNH110" s="1056"/>
      <c r="BNI110" s="1056"/>
      <c r="BNJ110" s="1056"/>
      <c r="BNK110" s="1056"/>
      <c r="BNL110" s="1056"/>
      <c r="BNM110" s="1056"/>
      <c r="BNN110" s="1056"/>
      <c r="BNO110" s="1056"/>
      <c r="BNP110" s="1056"/>
      <c r="BNQ110" s="1056"/>
      <c r="BNR110" s="1056"/>
      <c r="BNS110" s="1056"/>
      <c r="BNT110" s="1056"/>
      <c r="BNU110" s="1056"/>
      <c r="BNV110" s="1056"/>
      <c r="BNW110" s="1056"/>
      <c r="BNX110" s="1056"/>
      <c r="BNY110" s="1056"/>
      <c r="BNZ110" s="1056"/>
      <c r="BOA110" s="1056"/>
      <c r="BOB110" s="1056"/>
      <c r="BOC110" s="1056"/>
      <c r="BOD110" s="1056"/>
      <c r="BOE110" s="1056"/>
      <c r="BOF110" s="1056"/>
      <c r="BOG110" s="1056"/>
      <c r="BOH110" s="1056"/>
      <c r="BOI110" s="1056"/>
      <c r="BOJ110" s="1056"/>
      <c r="BOK110" s="1056"/>
      <c r="BOL110" s="1056"/>
      <c r="BOM110" s="1056"/>
      <c r="BON110" s="1056"/>
      <c r="BOO110" s="1056"/>
      <c r="BOP110" s="1056"/>
      <c r="BOQ110" s="1056"/>
      <c r="BOR110" s="1056"/>
      <c r="BOS110" s="1056"/>
      <c r="BOT110" s="1056"/>
      <c r="BOU110" s="1056"/>
      <c r="BOV110" s="1056"/>
      <c r="BOW110" s="1056"/>
      <c r="BOX110" s="1056"/>
      <c r="BOY110" s="1056"/>
      <c r="BOZ110" s="1056"/>
      <c r="BPA110" s="1056"/>
      <c r="BPB110" s="1056"/>
      <c r="BPC110" s="1056"/>
      <c r="BPD110" s="1056"/>
      <c r="BPE110" s="1056"/>
      <c r="BPF110" s="1056"/>
      <c r="BPG110" s="1056"/>
      <c r="BPH110" s="1056"/>
      <c r="BPI110" s="1056"/>
      <c r="BPJ110" s="1056"/>
      <c r="BPK110" s="1056"/>
      <c r="BPL110" s="1056"/>
      <c r="BPM110" s="1056"/>
      <c r="BPN110" s="1056"/>
      <c r="BPO110" s="1056"/>
      <c r="BPP110" s="1056"/>
      <c r="BPQ110" s="1056"/>
      <c r="BPR110" s="1056"/>
      <c r="BPS110" s="1056"/>
      <c r="BPT110" s="1056"/>
      <c r="BPU110" s="1056"/>
      <c r="BPV110" s="1056"/>
      <c r="BPW110" s="1056"/>
      <c r="BPX110" s="1056"/>
      <c r="BPY110" s="1056"/>
      <c r="BPZ110" s="1056"/>
      <c r="BQA110" s="1056"/>
      <c r="BQB110" s="1056"/>
      <c r="BQC110" s="1056"/>
      <c r="BQD110" s="1056"/>
      <c r="BQE110" s="1056"/>
      <c r="BQF110" s="1056"/>
      <c r="BQG110" s="1056"/>
      <c r="BQH110" s="1056"/>
      <c r="BQI110" s="1056"/>
      <c r="BQJ110" s="1056"/>
      <c r="BQK110" s="1056"/>
      <c r="BQL110" s="1056"/>
      <c r="BQM110" s="1056"/>
      <c r="BQN110" s="1056"/>
      <c r="BQO110" s="1056"/>
      <c r="BQP110" s="1056"/>
      <c r="BQQ110" s="1056"/>
      <c r="BQR110" s="1056"/>
      <c r="BQS110" s="1056"/>
      <c r="BQT110" s="1056"/>
      <c r="BQU110" s="1056"/>
      <c r="BQV110" s="1056"/>
      <c r="BQW110" s="1056"/>
      <c r="BQX110" s="1056"/>
      <c r="BQY110" s="1056"/>
      <c r="BQZ110" s="1056"/>
      <c r="BRA110" s="1056"/>
      <c r="BRB110" s="1056"/>
      <c r="BRC110" s="1056"/>
      <c r="BRD110" s="1056"/>
      <c r="BRE110" s="1056"/>
      <c r="BRF110" s="1056"/>
      <c r="BRG110" s="1056"/>
      <c r="BRH110" s="1056"/>
      <c r="BRI110" s="1056"/>
      <c r="BRJ110" s="1056"/>
      <c r="BRK110" s="1056"/>
      <c r="BRL110" s="1056"/>
      <c r="BRM110" s="1056"/>
      <c r="BRN110" s="1056"/>
      <c r="BRO110" s="1056"/>
      <c r="BRP110" s="1056"/>
      <c r="BRQ110" s="1056"/>
      <c r="BRR110" s="1056"/>
      <c r="BRS110" s="1056"/>
      <c r="BRT110" s="1056"/>
      <c r="BRU110" s="1056"/>
      <c r="BRV110" s="1056"/>
      <c r="BRW110" s="1056"/>
      <c r="BRX110" s="1056"/>
      <c r="BRY110" s="1056"/>
      <c r="BRZ110" s="1056"/>
      <c r="BSA110" s="1056"/>
      <c r="BSB110" s="1056"/>
      <c r="BSC110" s="1056"/>
      <c r="BSD110" s="1056"/>
      <c r="BSE110" s="1056"/>
      <c r="BSF110" s="1056"/>
      <c r="BSG110" s="1056"/>
      <c r="BSH110" s="1056"/>
      <c r="BSI110" s="1056"/>
      <c r="BSJ110" s="1056"/>
      <c r="BSK110" s="1056"/>
      <c r="BSL110" s="1056"/>
      <c r="BSM110" s="1056"/>
      <c r="BSN110" s="1056"/>
      <c r="BSO110" s="1056"/>
      <c r="BSP110" s="1056"/>
      <c r="BSQ110" s="1056"/>
      <c r="BSR110" s="1056"/>
      <c r="BSS110" s="1056"/>
      <c r="BST110" s="1056"/>
      <c r="BSU110" s="1056"/>
      <c r="BSV110" s="1056"/>
      <c r="BSW110" s="1056"/>
      <c r="BSX110" s="1056"/>
      <c r="BSY110" s="1056"/>
      <c r="BSZ110" s="1056"/>
      <c r="BTA110" s="1056"/>
      <c r="BTB110" s="1056"/>
      <c r="BTC110" s="1056"/>
      <c r="BTD110" s="1056"/>
      <c r="BTE110" s="1056"/>
      <c r="BTF110" s="1056"/>
      <c r="BTG110" s="1056"/>
      <c r="BTH110" s="1056"/>
      <c r="BTI110" s="1056"/>
    </row>
    <row r="111" spans="1:1881" s="1060" customFormat="1" ht="117" hidden="1" customHeight="1" thickBot="1" x14ac:dyDescent="0.35">
      <c r="A111" s="1071">
        <v>35</v>
      </c>
      <c r="B111" s="1069" t="s">
        <v>345</v>
      </c>
      <c r="C111" s="808" t="s">
        <v>1030</v>
      </c>
      <c r="D111" s="1075" t="s">
        <v>1174</v>
      </c>
      <c r="E111" s="1053" t="e">
        <f>HLOOKUP($D$2,'2020 Data(H)'!$C$1:$AI$426,23,FALSE)</f>
        <v>#N/A</v>
      </c>
      <c r="F111" s="287">
        <v>0</v>
      </c>
      <c r="G111" s="722"/>
      <c r="H111" s="764"/>
      <c r="I111" s="1055"/>
      <c r="J111" s="1068"/>
      <c r="K111" s="1056"/>
      <c r="L111" s="1057"/>
      <c r="M111" s="1056"/>
      <c r="N111" s="1058"/>
      <c r="O111" s="1056"/>
      <c r="P111" s="1056"/>
      <c r="Q111" s="1056"/>
      <c r="R111" s="1056"/>
      <c r="S111" s="1056"/>
      <c r="T111" s="1056"/>
      <c r="U111" s="1056"/>
      <c r="V111" s="1056"/>
      <c r="W111" s="1056"/>
      <c r="X111" s="1056"/>
      <c r="Y111" s="1056"/>
      <c r="Z111" s="1073"/>
      <c r="AA111" s="1073"/>
      <c r="AB111" s="1073"/>
      <c r="AC111" s="1073"/>
      <c r="AD111" s="1073"/>
      <c r="AE111" s="1073"/>
      <c r="AF111" s="1073"/>
      <c r="AG111" s="1073"/>
      <c r="AH111" s="1073"/>
      <c r="AI111" s="1073"/>
      <c r="AJ111" s="1073"/>
      <c r="AK111" s="1073"/>
      <c r="AL111" s="1073"/>
      <c r="AM111" s="1073"/>
      <c r="AN111" s="1073"/>
      <c r="AO111" s="1073"/>
      <c r="AP111" s="1073"/>
      <c r="AQ111" s="1073"/>
      <c r="AR111" s="1073"/>
      <c r="AS111" s="1056"/>
      <c r="AT111" s="1056"/>
      <c r="AU111" s="1056"/>
      <c r="AV111" s="1056"/>
      <c r="AW111" s="1056"/>
      <c r="AX111" s="1056"/>
      <c r="AY111" s="1056"/>
      <c r="AZ111" s="1056"/>
      <c r="BA111" s="1056"/>
      <c r="BB111" s="1056"/>
      <c r="BC111" s="1056"/>
      <c r="BD111" s="1056"/>
      <c r="BE111" s="1056"/>
      <c r="BF111" s="1056"/>
      <c r="BG111" s="1056"/>
      <c r="BH111" s="1056"/>
      <c r="BI111" s="1056"/>
      <c r="BJ111" s="1056"/>
      <c r="BK111" s="1056"/>
      <c r="BL111" s="1056"/>
      <c r="BM111" s="1056"/>
      <c r="BN111" s="1056"/>
      <c r="BO111" s="1056"/>
      <c r="BP111" s="1056"/>
      <c r="BQ111" s="1056"/>
      <c r="BR111" s="1056"/>
      <c r="BS111" s="1056"/>
      <c r="BT111" s="1056"/>
      <c r="BU111" s="1056"/>
      <c r="BV111" s="1056"/>
      <c r="BW111" s="1056"/>
      <c r="BX111" s="1056"/>
      <c r="BY111" s="1056"/>
      <c r="BZ111" s="1056"/>
      <c r="CA111" s="1056"/>
      <c r="CB111" s="1056"/>
      <c r="CC111" s="1056"/>
      <c r="CD111" s="1056"/>
      <c r="CE111" s="1056"/>
      <c r="CF111" s="1056"/>
      <c r="CG111" s="1056"/>
      <c r="CH111" s="1056"/>
      <c r="CI111" s="1056"/>
      <c r="CJ111" s="1056"/>
      <c r="CK111" s="1056"/>
      <c r="CL111" s="1056"/>
      <c r="CM111" s="1056"/>
      <c r="CN111" s="1056"/>
      <c r="CO111" s="1056"/>
      <c r="CP111" s="1056"/>
      <c r="CQ111" s="1056"/>
      <c r="CR111" s="1056"/>
      <c r="CS111" s="1056"/>
      <c r="CT111" s="1056"/>
      <c r="CU111" s="1056"/>
      <c r="CV111" s="1056"/>
      <c r="CW111" s="1056"/>
      <c r="CX111" s="1056"/>
      <c r="CY111" s="1056"/>
      <c r="CZ111" s="1056"/>
      <c r="DA111" s="1056"/>
      <c r="DB111" s="1056"/>
      <c r="DC111" s="1056"/>
      <c r="DD111" s="1056"/>
      <c r="DE111" s="1056"/>
      <c r="DF111" s="1056"/>
      <c r="DG111" s="1056"/>
      <c r="DH111" s="1056"/>
      <c r="DI111" s="1056"/>
      <c r="DJ111" s="1056"/>
      <c r="DK111" s="1056"/>
      <c r="DL111" s="1056"/>
      <c r="DM111" s="1056"/>
      <c r="DN111" s="1056"/>
      <c r="DO111" s="1056"/>
      <c r="DP111" s="1056"/>
      <c r="DQ111" s="1056"/>
      <c r="DR111" s="1056"/>
      <c r="DS111" s="1056"/>
      <c r="DT111" s="1056"/>
      <c r="DU111" s="1056"/>
      <c r="DV111" s="1056"/>
      <c r="DW111" s="1056"/>
      <c r="DX111" s="1056"/>
      <c r="DY111" s="1056"/>
      <c r="DZ111" s="1056"/>
      <c r="EA111" s="1056"/>
      <c r="EB111" s="1056"/>
      <c r="EC111" s="1056"/>
      <c r="ED111" s="1056"/>
      <c r="EE111" s="1056"/>
      <c r="EF111" s="1056"/>
      <c r="EG111" s="1056"/>
      <c r="EH111" s="1056"/>
      <c r="EI111" s="1056"/>
      <c r="EJ111" s="1056"/>
      <c r="EK111" s="1056"/>
      <c r="EL111" s="1056"/>
      <c r="EM111" s="1056"/>
      <c r="EN111" s="1056"/>
      <c r="EO111" s="1056"/>
      <c r="EP111" s="1056"/>
      <c r="EQ111" s="1056"/>
      <c r="ER111" s="1056"/>
      <c r="ES111" s="1056"/>
      <c r="ET111" s="1056"/>
      <c r="EU111" s="1056"/>
      <c r="EV111" s="1056"/>
      <c r="EW111" s="1056"/>
      <c r="EX111" s="1056"/>
      <c r="EY111" s="1056"/>
      <c r="EZ111" s="1056"/>
      <c r="FA111" s="1056"/>
      <c r="FB111" s="1056"/>
      <c r="FC111" s="1056"/>
      <c r="FD111" s="1056"/>
      <c r="FE111" s="1056"/>
      <c r="FF111" s="1056"/>
      <c r="FG111" s="1056"/>
      <c r="FH111" s="1056"/>
      <c r="FI111" s="1056"/>
      <c r="FJ111" s="1056"/>
      <c r="FK111" s="1056"/>
      <c r="FL111" s="1056"/>
      <c r="FM111" s="1056"/>
      <c r="FN111" s="1056"/>
      <c r="FO111" s="1056"/>
      <c r="FP111" s="1056"/>
      <c r="FQ111" s="1056"/>
      <c r="FR111" s="1056"/>
      <c r="FS111" s="1056"/>
      <c r="FT111" s="1056"/>
      <c r="FU111" s="1056"/>
      <c r="FV111" s="1056"/>
      <c r="FW111" s="1056"/>
      <c r="FX111" s="1056"/>
      <c r="FY111" s="1056"/>
      <c r="FZ111" s="1056"/>
      <c r="GA111" s="1056"/>
      <c r="GB111" s="1056"/>
      <c r="GC111" s="1056"/>
      <c r="GD111" s="1056"/>
      <c r="GE111" s="1056"/>
      <c r="GF111" s="1056"/>
      <c r="GG111" s="1056"/>
      <c r="GH111" s="1056"/>
      <c r="GI111" s="1056"/>
      <c r="GJ111" s="1056"/>
      <c r="GK111" s="1056"/>
      <c r="GL111" s="1056"/>
      <c r="GM111" s="1056"/>
      <c r="GN111" s="1056"/>
      <c r="GO111" s="1056"/>
      <c r="GP111" s="1056"/>
      <c r="GQ111" s="1056"/>
      <c r="GR111" s="1056"/>
      <c r="GS111" s="1056"/>
      <c r="GT111" s="1056"/>
      <c r="GU111" s="1056"/>
      <c r="GV111" s="1056"/>
      <c r="GW111" s="1056"/>
      <c r="GX111" s="1056"/>
      <c r="GY111" s="1056"/>
      <c r="GZ111" s="1056"/>
      <c r="HA111" s="1056"/>
      <c r="HB111" s="1056"/>
      <c r="HC111" s="1056"/>
      <c r="HD111" s="1056"/>
      <c r="HE111" s="1056"/>
      <c r="HF111" s="1056"/>
      <c r="HG111" s="1056"/>
      <c r="HH111" s="1056"/>
      <c r="HI111" s="1056"/>
      <c r="HJ111" s="1056"/>
      <c r="HK111" s="1056"/>
      <c r="HL111" s="1056"/>
      <c r="HM111" s="1056"/>
      <c r="HN111" s="1056"/>
      <c r="HO111" s="1056"/>
      <c r="HP111" s="1056"/>
      <c r="HQ111" s="1056"/>
      <c r="HR111" s="1056"/>
      <c r="HS111" s="1056"/>
      <c r="HT111" s="1056"/>
      <c r="HU111" s="1056"/>
      <c r="HV111" s="1056"/>
      <c r="HW111" s="1056"/>
      <c r="HX111" s="1056"/>
      <c r="HY111" s="1056"/>
      <c r="HZ111" s="1056"/>
      <c r="IA111" s="1056"/>
      <c r="IB111" s="1056"/>
      <c r="IC111" s="1056"/>
      <c r="ID111" s="1056"/>
      <c r="IE111" s="1056"/>
      <c r="IF111" s="1056"/>
      <c r="IG111" s="1056"/>
      <c r="IH111" s="1056"/>
      <c r="II111" s="1056"/>
      <c r="IJ111" s="1056"/>
      <c r="IK111" s="1056"/>
      <c r="IL111" s="1056"/>
      <c r="IM111" s="1056"/>
      <c r="IN111" s="1056"/>
      <c r="IO111" s="1056"/>
      <c r="IP111" s="1056"/>
      <c r="IQ111" s="1056"/>
      <c r="IR111" s="1056"/>
      <c r="IS111" s="1056"/>
      <c r="IT111" s="1056"/>
      <c r="IU111" s="1056"/>
      <c r="IV111" s="1056"/>
      <c r="IW111" s="1056"/>
      <c r="IX111" s="1056"/>
      <c r="IY111" s="1056"/>
      <c r="IZ111" s="1056"/>
      <c r="JA111" s="1056"/>
      <c r="JB111" s="1056"/>
      <c r="JC111" s="1056"/>
      <c r="JD111" s="1056"/>
      <c r="JE111" s="1056"/>
      <c r="JF111" s="1056"/>
      <c r="JG111" s="1056"/>
      <c r="JH111" s="1056"/>
      <c r="JI111" s="1056"/>
      <c r="JJ111" s="1056"/>
      <c r="JK111" s="1056"/>
      <c r="JL111" s="1056"/>
      <c r="JM111" s="1056"/>
      <c r="JN111" s="1056"/>
      <c r="JO111" s="1056"/>
      <c r="JP111" s="1056"/>
      <c r="JQ111" s="1056"/>
      <c r="JR111" s="1056"/>
      <c r="JS111" s="1056"/>
      <c r="JT111" s="1056"/>
      <c r="JU111" s="1056"/>
      <c r="JV111" s="1056"/>
      <c r="JW111" s="1056"/>
      <c r="JX111" s="1056"/>
      <c r="JY111" s="1056"/>
      <c r="JZ111" s="1056"/>
      <c r="KA111" s="1056"/>
      <c r="KB111" s="1056"/>
      <c r="KC111" s="1056"/>
      <c r="KD111" s="1056"/>
      <c r="KE111" s="1056"/>
      <c r="KF111" s="1056"/>
      <c r="KG111" s="1056"/>
      <c r="KH111" s="1056"/>
      <c r="KI111" s="1056"/>
      <c r="KJ111" s="1056"/>
      <c r="KK111" s="1056"/>
      <c r="KL111" s="1056"/>
      <c r="KM111" s="1056"/>
      <c r="KN111" s="1056"/>
      <c r="KO111" s="1056"/>
      <c r="KP111" s="1056"/>
      <c r="KQ111" s="1056"/>
      <c r="KR111" s="1056"/>
      <c r="KS111" s="1056"/>
      <c r="KT111" s="1056"/>
      <c r="KU111" s="1056"/>
      <c r="KV111" s="1056"/>
      <c r="KW111" s="1056"/>
      <c r="KX111" s="1056"/>
      <c r="KY111" s="1056"/>
      <c r="KZ111" s="1056"/>
      <c r="LA111" s="1056"/>
      <c r="LB111" s="1056"/>
      <c r="LC111" s="1056"/>
      <c r="LD111" s="1056"/>
      <c r="LE111" s="1056"/>
      <c r="LF111" s="1056"/>
      <c r="LG111" s="1056"/>
      <c r="LH111" s="1056"/>
      <c r="LI111" s="1056"/>
      <c r="LJ111" s="1056"/>
      <c r="LK111" s="1056"/>
      <c r="LL111" s="1056"/>
      <c r="LM111" s="1056"/>
      <c r="LN111" s="1056"/>
      <c r="LO111" s="1056"/>
      <c r="LP111" s="1056"/>
      <c r="LQ111" s="1056"/>
      <c r="LR111" s="1056"/>
      <c r="LS111" s="1056"/>
      <c r="LT111" s="1056"/>
      <c r="LU111" s="1056"/>
      <c r="LV111" s="1056"/>
      <c r="LW111" s="1056"/>
      <c r="LX111" s="1056"/>
      <c r="LY111" s="1056"/>
      <c r="LZ111" s="1056"/>
      <c r="MA111" s="1056"/>
      <c r="MB111" s="1056"/>
      <c r="MC111" s="1056"/>
      <c r="MD111" s="1056"/>
      <c r="ME111" s="1056"/>
      <c r="MF111" s="1056"/>
      <c r="MG111" s="1056"/>
      <c r="MH111" s="1056"/>
      <c r="MI111" s="1056"/>
      <c r="MJ111" s="1056"/>
      <c r="MK111" s="1056"/>
      <c r="ML111" s="1056"/>
      <c r="MM111" s="1056"/>
      <c r="MN111" s="1056"/>
      <c r="MO111" s="1056"/>
      <c r="MP111" s="1056"/>
      <c r="MQ111" s="1056"/>
      <c r="MR111" s="1056"/>
      <c r="MS111" s="1056"/>
      <c r="MT111" s="1056"/>
      <c r="MU111" s="1056"/>
      <c r="MV111" s="1056"/>
      <c r="MW111" s="1056"/>
      <c r="MX111" s="1056"/>
      <c r="MY111" s="1056"/>
      <c r="MZ111" s="1056"/>
      <c r="NA111" s="1056"/>
      <c r="NB111" s="1056"/>
      <c r="NC111" s="1056"/>
      <c r="ND111" s="1056"/>
      <c r="NE111" s="1056"/>
      <c r="NF111" s="1056"/>
      <c r="NG111" s="1056"/>
      <c r="NH111" s="1056"/>
      <c r="NI111" s="1056"/>
      <c r="NJ111" s="1056"/>
      <c r="NK111" s="1056"/>
      <c r="NL111" s="1056"/>
      <c r="NM111" s="1056"/>
      <c r="NN111" s="1056"/>
      <c r="NO111" s="1056"/>
      <c r="NP111" s="1056"/>
      <c r="NQ111" s="1056"/>
      <c r="NR111" s="1056"/>
      <c r="NS111" s="1056"/>
      <c r="NT111" s="1056"/>
      <c r="NU111" s="1056"/>
      <c r="NV111" s="1056"/>
      <c r="NW111" s="1056"/>
      <c r="NX111" s="1056"/>
      <c r="NY111" s="1056"/>
      <c r="NZ111" s="1056"/>
      <c r="OA111" s="1056"/>
      <c r="OB111" s="1056"/>
      <c r="OC111" s="1056"/>
      <c r="OD111" s="1056"/>
      <c r="OE111" s="1056"/>
      <c r="OF111" s="1056"/>
      <c r="OG111" s="1056"/>
      <c r="OH111" s="1056"/>
      <c r="OI111" s="1056"/>
      <c r="OJ111" s="1056"/>
      <c r="OK111" s="1056"/>
      <c r="OL111" s="1056"/>
      <c r="OM111" s="1056"/>
      <c r="ON111" s="1056"/>
      <c r="OO111" s="1056"/>
      <c r="OP111" s="1056"/>
      <c r="OQ111" s="1056"/>
      <c r="OR111" s="1056"/>
      <c r="OS111" s="1056"/>
      <c r="OT111" s="1056"/>
      <c r="OU111" s="1056"/>
      <c r="OV111" s="1056"/>
      <c r="OW111" s="1056"/>
      <c r="OX111" s="1056"/>
      <c r="OY111" s="1056"/>
      <c r="OZ111" s="1056"/>
      <c r="PA111" s="1056"/>
      <c r="PB111" s="1056"/>
      <c r="PC111" s="1056"/>
      <c r="PD111" s="1056"/>
      <c r="PE111" s="1056"/>
      <c r="PF111" s="1056"/>
      <c r="PG111" s="1056"/>
      <c r="PH111" s="1056"/>
      <c r="PI111" s="1056"/>
      <c r="PJ111" s="1056"/>
      <c r="PK111" s="1056"/>
      <c r="PL111" s="1056"/>
      <c r="PM111" s="1056"/>
      <c r="PN111" s="1056"/>
      <c r="PO111" s="1056"/>
      <c r="PP111" s="1056"/>
      <c r="PQ111" s="1056"/>
      <c r="PR111" s="1056"/>
      <c r="PS111" s="1056"/>
      <c r="PT111" s="1056"/>
      <c r="PU111" s="1056"/>
      <c r="PV111" s="1056"/>
      <c r="PW111" s="1056"/>
      <c r="PX111" s="1056"/>
      <c r="PY111" s="1056"/>
      <c r="PZ111" s="1056"/>
      <c r="QA111" s="1056"/>
      <c r="QB111" s="1056"/>
      <c r="QC111" s="1056"/>
      <c r="QD111" s="1056"/>
      <c r="QE111" s="1056"/>
      <c r="QF111" s="1056"/>
      <c r="QG111" s="1056"/>
      <c r="QH111" s="1056"/>
      <c r="QI111" s="1056"/>
      <c r="QJ111" s="1056"/>
      <c r="QK111" s="1056"/>
      <c r="QL111" s="1056"/>
      <c r="QM111" s="1056"/>
      <c r="QN111" s="1056"/>
      <c r="QO111" s="1056"/>
      <c r="QP111" s="1056"/>
      <c r="QQ111" s="1056"/>
      <c r="QR111" s="1056"/>
      <c r="QS111" s="1056"/>
      <c r="QT111" s="1056"/>
      <c r="QU111" s="1056"/>
      <c r="QV111" s="1056"/>
      <c r="QW111" s="1056"/>
      <c r="QX111" s="1056"/>
      <c r="QY111" s="1056"/>
      <c r="QZ111" s="1056"/>
      <c r="RA111" s="1056"/>
      <c r="RB111" s="1056"/>
      <c r="RC111" s="1056"/>
      <c r="RD111" s="1056"/>
      <c r="RE111" s="1056"/>
      <c r="RF111" s="1056"/>
      <c r="RG111" s="1056"/>
      <c r="RH111" s="1056"/>
      <c r="RI111" s="1056"/>
      <c r="RJ111" s="1056"/>
      <c r="RK111" s="1056"/>
      <c r="RL111" s="1056"/>
      <c r="RM111" s="1056"/>
      <c r="RN111" s="1056"/>
      <c r="RO111" s="1056"/>
      <c r="RP111" s="1056"/>
      <c r="RQ111" s="1056"/>
      <c r="RR111" s="1056"/>
      <c r="RS111" s="1056"/>
      <c r="RT111" s="1056"/>
      <c r="RU111" s="1056"/>
      <c r="RV111" s="1056"/>
      <c r="RW111" s="1056"/>
      <c r="RX111" s="1056"/>
      <c r="RY111" s="1056"/>
      <c r="RZ111" s="1056"/>
      <c r="SA111" s="1056"/>
      <c r="SB111" s="1056"/>
      <c r="SC111" s="1056"/>
      <c r="SD111" s="1056"/>
      <c r="SE111" s="1056"/>
      <c r="SF111" s="1056"/>
      <c r="SG111" s="1056"/>
      <c r="SH111" s="1056"/>
      <c r="SI111" s="1056"/>
      <c r="SJ111" s="1056"/>
      <c r="SK111" s="1056"/>
      <c r="SL111" s="1056"/>
      <c r="SM111" s="1056"/>
      <c r="SN111" s="1056"/>
      <c r="SO111" s="1056"/>
      <c r="SP111" s="1056"/>
      <c r="SQ111" s="1056"/>
      <c r="SR111" s="1056"/>
      <c r="SS111" s="1056"/>
      <c r="ST111" s="1056"/>
      <c r="SU111" s="1056"/>
      <c r="SV111" s="1056"/>
      <c r="SW111" s="1056"/>
      <c r="SX111" s="1056"/>
      <c r="SY111" s="1056"/>
      <c r="SZ111" s="1056"/>
      <c r="TA111" s="1056"/>
      <c r="TB111" s="1056"/>
      <c r="TC111" s="1056"/>
      <c r="TD111" s="1056"/>
      <c r="TE111" s="1056"/>
      <c r="TF111" s="1056"/>
      <c r="TG111" s="1056"/>
      <c r="TH111" s="1056"/>
      <c r="TI111" s="1056"/>
      <c r="TJ111" s="1056"/>
      <c r="TK111" s="1056"/>
      <c r="TL111" s="1056"/>
      <c r="TM111" s="1056"/>
      <c r="TN111" s="1056"/>
      <c r="TO111" s="1056"/>
      <c r="TP111" s="1056"/>
      <c r="TQ111" s="1056"/>
      <c r="TR111" s="1056"/>
      <c r="TS111" s="1056"/>
      <c r="TT111" s="1056"/>
      <c r="TU111" s="1056"/>
      <c r="TV111" s="1056"/>
      <c r="TW111" s="1056"/>
      <c r="TX111" s="1056"/>
      <c r="TY111" s="1056"/>
      <c r="TZ111" s="1056"/>
      <c r="UA111" s="1056"/>
      <c r="UB111" s="1056"/>
      <c r="UC111" s="1056"/>
      <c r="UD111" s="1056"/>
      <c r="UE111" s="1056"/>
      <c r="UF111" s="1056"/>
      <c r="UG111" s="1056"/>
      <c r="UH111" s="1056"/>
      <c r="UI111" s="1056"/>
      <c r="UJ111" s="1056"/>
      <c r="UK111" s="1056"/>
      <c r="UL111" s="1056"/>
      <c r="UM111" s="1056"/>
      <c r="UN111" s="1056"/>
      <c r="UO111" s="1056"/>
      <c r="UP111" s="1056"/>
      <c r="UQ111" s="1056"/>
      <c r="UR111" s="1056"/>
      <c r="US111" s="1056"/>
      <c r="UT111" s="1056"/>
      <c r="UU111" s="1056"/>
      <c r="UV111" s="1056"/>
      <c r="UW111" s="1056"/>
      <c r="UX111" s="1056"/>
      <c r="UY111" s="1056"/>
      <c r="UZ111" s="1056"/>
      <c r="VA111" s="1056"/>
      <c r="VB111" s="1056"/>
      <c r="VC111" s="1056"/>
      <c r="VD111" s="1056"/>
      <c r="VE111" s="1056"/>
      <c r="VF111" s="1056"/>
      <c r="VG111" s="1056"/>
      <c r="VH111" s="1056"/>
      <c r="VI111" s="1056"/>
      <c r="VJ111" s="1056"/>
      <c r="VK111" s="1056"/>
      <c r="VL111" s="1056"/>
      <c r="VM111" s="1056"/>
      <c r="VN111" s="1056"/>
      <c r="VO111" s="1056"/>
      <c r="VP111" s="1056"/>
      <c r="VQ111" s="1056"/>
      <c r="VR111" s="1056"/>
      <c r="VS111" s="1056"/>
      <c r="VT111" s="1056"/>
      <c r="VU111" s="1056"/>
      <c r="VV111" s="1056"/>
      <c r="VW111" s="1056"/>
      <c r="VX111" s="1056"/>
      <c r="VY111" s="1056"/>
      <c r="VZ111" s="1056"/>
      <c r="WA111" s="1056"/>
      <c r="WB111" s="1056"/>
      <c r="WC111" s="1056"/>
      <c r="WD111" s="1056"/>
      <c r="WE111" s="1056"/>
      <c r="WF111" s="1056"/>
      <c r="WG111" s="1056"/>
      <c r="WH111" s="1056"/>
      <c r="WI111" s="1056"/>
      <c r="WJ111" s="1056"/>
      <c r="WK111" s="1056"/>
      <c r="WL111" s="1056"/>
      <c r="WM111" s="1056"/>
      <c r="WN111" s="1056"/>
      <c r="WO111" s="1056"/>
      <c r="WP111" s="1056"/>
      <c r="WQ111" s="1056"/>
      <c r="WR111" s="1056"/>
      <c r="WS111" s="1056"/>
      <c r="WT111" s="1056"/>
      <c r="WU111" s="1056"/>
      <c r="WV111" s="1056"/>
      <c r="WW111" s="1056"/>
      <c r="WX111" s="1056"/>
      <c r="WY111" s="1056"/>
      <c r="WZ111" s="1056"/>
      <c r="XA111" s="1056"/>
      <c r="XB111" s="1056"/>
      <c r="XC111" s="1056"/>
      <c r="XD111" s="1056"/>
      <c r="XE111" s="1056"/>
      <c r="XF111" s="1056"/>
      <c r="XG111" s="1056"/>
      <c r="XH111" s="1056"/>
      <c r="XI111" s="1056"/>
      <c r="XJ111" s="1056"/>
      <c r="XK111" s="1056"/>
      <c r="XL111" s="1056"/>
      <c r="XM111" s="1056"/>
      <c r="XN111" s="1056"/>
      <c r="XO111" s="1056"/>
      <c r="XP111" s="1056"/>
      <c r="XQ111" s="1056"/>
      <c r="XR111" s="1056"/>
      <c r="XS111" s="1056"/>
      <c r="XT111" s="1056"/>
      <c r="XU111" s="1056"/>
      <c r="XV111" s="1056"/>
      <c r="XW111" s="1056"/>
      <c r="XX111" s="1056"/>
      <c r="XY111" s="1056"/>
      <c r="XZ111" s="1056"/>
      <c r="YA111" s="1056"/>
      <c r="YB111" s="1056"/>
      <c r="YC111" s="1056"/>
      <c r="YD111" s="1056"/>
      <c r="YE111" s="1056"/>
      <c r="YF111" s="1056"/>
      <c r="YG111" s="1056"/>
      <c r="YH111" s="1056"/>
      <c r="YI111" s="1056"/>
      <c r="YJ111" s="1056"/>
      <c r="YK111" s="1056"/>
      <c r="YL111" s="1056"/>
      <c r="YM111" s="1056"/>
      <c r="YN111" s="1056"/>
      <c r="YO111" s="1056"/>
      <c r="YP111" s="1056"/>
      <c r="YQ111" s="1056"/>
      <c r="YR111" s="1056"/>
      <c r="YS111" s="1056"/>
      <c r="YT111" s="1056"/>
      <c r="YU111" s="1056"/>
      <c r="YV111" s="1056"/>
      <c r="YW111" s="1056"/>
      <c r="YX111" s="1056"/>
      <c r="YY111" s="1056"/>
      <c r="YZ111" s="1056"/>
      <c r="ZA111" s="1056"/>
      <c r="ZB111" s="1056"/>
      <c r="ZC111" s="1056"/>
      <c r="ZD111" s="1056"/>
      <c r="ZE111" s="1056"/>
      <c r="ZF111" s="1056"/>
      <c r="ZG111" s="1056"/>
      <c r="ZH111" s="1056"/>
      <c r="ZI111" s="1056"/>
      <c r="ZJ111" s="1056"/>
      <c r="ZK111" s="1056"/>
      <c r="ZL111" s="1056"/>
      <c r="ZM111" s="1056"/>
      <c r="ZN111" s="1056"/>
      <c r="ZO111" s="1056"/>
      <c r="ZP111" s="1056"/>
      <c r="ZQ111" s="1056"/>
      <c r="ZR111" s="1056"/>
      <c r="ZS111" s="1056"/>
      <c r="ZT111" s="1056"/>
      <c r="ZU111" s="1056"/>
      <c r="ZV111" s="1056"/>
      <c r="ZW111" s="1056"/>
      <c r="ZX111" s="1056"/>
      <c r="ZY111" s="1056"/>
      <c r="ZZ111" s="1056"/>
      <c r="AAA111" s="1056"/>
      <c r="AAB111" s="1056"/>
      <c r="AAC111" s="1056"/>
      <c r="AAD111" s="1056"/>
      <c r="AAE111" s="1056"/>
      <c r="AAF111" s="1056"/>
      <c r="AAG111" s="1056"/>
      <c r="AAH111" s="1056"/>
      <c r="AAI111" s="1056"/>
      <c r="AAJ111" s="1056"/>
      <c r="AAK111" s="1056"/>
      <c r="AAL111" s="1056"/>
      <c r="AAM111" s="1056"/>
      <c r="AAN111" s="1056"/>
      <c r="AAO111" s="1056"/>
      <c r="AAP111" s="1056"/>
      <c r="AAQ111" s="1056"/>
      <c r="AAR111" s="1056"/>
      <c r="AAS111" s="1056"/>
      <c r="AAT111" s="1056"/>
      <c r="AAU111" s="1056"/>
      <c r="AAV111" s="1056"/>
      <c r="AAW111" s="1056"/>
      <c r="AAX111" s="1056"/>
      <c r="AAY111" s="1056"/>
      <c r="AAZ111" s="1056"/>
      <c r="ABA111" s="1056"/>
      <c r="ABB111" s="1056"/>
      <c r="ABC111" s="1056"/>
      <c r="ABD111" s="1056"/>
      <c r="ABE111" s="1056"/>
      <c r="ABF111" s="1056"/>
      <c r="ABG111" s="1056"/>
      <c r="ABH111" s="1056"/>
      <c r="ABI111" s="1056"/>
      <c r="ABJ111" s="1056"/>
      <c r="ABK111" s="1056"/>
      <c r="ABL111" s="1056"/>
      <c r="ABM111" s="1056"/>
      <c r="ABN111" s="1056"/>
      <c r="ABO111" s="1056"/>
      <c r="ABP111" s="1056"/>
      <c r="ABQ111" s="1056"/>
      <c r="ABR111" s="1056"/>
      <c r="ABS111" s="1056"/>
      <c r="ABT111" s="1056"/>
      <c r="ABU111" s="1056"/>
      <c r="ABV111" s="1056"/>
      <c r="ABW111" s="1056"/>
      <c r="ABX111" s="1056"/>
      <c r="ABY111" s="1056"/>
      <c r="ABZ111" s="1056"/>
      <c r="ACA111" s="1056"/>
      <c r="ACB111" s="1056"/>
      <c r="ACC111" s="1056"/>
      <c r="ACD111" s="1056"/>
      <c r="ACE111" s="1056"/>
      <c r="ACF111" s="1056"/>
      <c r="ACG111" s="1056"/>
      <c r="ACH111" s="1056"/>
      <c r="ACI111" s="1056"/>
      <c r="ACJ111" s="1056"/>
      <c r="ACK111" s="1056"/>
      <c r="ACL111" s="1056"/>
      <c r="ACM111" s="1056"/>
      <c r="ACN111" s="1056"/>
      <c r="ACO111" s="1056"/>
      <c r="ACP111" s="1056"/>
      <c r="ACQ111" s="1056"/>
      <c r="ACR111" s="1056"/>
      <c r="ACS111" s="1056"/>
      <c r="ACT111" s="1056"/>
      <c r="ACU111" s="1056"/>
      <c r="ACV111" s="1056"/>
      <c r="ACW111" s="1056"/>
      <c r="ACX111" s="1056"/>
      <c r="ACY111" s="1056"/>
      <c r="ACZ111" s="1056"/>
      <c r="ADA111" s="1056"/>
      <c r="ADB111" s="1056"/>
      <c r="ADC111" s="1056"/>
      <c r="ADD111" s="1056"/>
      <c r="ADE111" s="1056"/>
      <c r="ADF111" s="1056"/>
      <c r="ADG111" s="1056"/>
      <c r="ADH111" s="1056"/>
      <c r="ADI111" s="1056"/>
      <c r="ADJ111" s="1056"/>
      <c r="ADK111" s="1056"/>
      <c r="ADL111" s="1056"/>
      <c r="ADM111" s="1056"/>
      <c r="ADN111" s="1056"/>
      <c r="ADO111" s="1056"/>
      <c r="ADP111" s="1056"/>
      <c r="ADQ111" s="1056"/>
      <c r="ADR111" s="1056"/>
      <c r="ADS111" s="1056"/>
      <c r="ADT111" s="1056"/>
      <c r="ADU111" s="1056"/>
      <c r="ADV111" s="1056"/>
      <c r="ADW111" s="1056"/>
      <c r="ADX111" s="1056"/>
      <c r="ADY111" s="1056"/>
      <c r="ADZ111" s="1056"/>
      <c r="AEA111" s="1056"/>
      <c r="AEB111" s="1056"/>
      <c r="AEC111" s="1056"/>
      <c r="AED111" s="1056"/>
      <c r="AEE111" s="1056"/>
      <c r="AEF111" s="1056"/>
      <c r="AEG111" s="1056"/>
      <c r="AEH111" s="1056"/>
      <c r="AEI111" s="1056"/>
      <c r="AEJ111" s="1056"/>
      <c r="AEK111" s="1056"/>
      <c r="AEL111" s="1056"/>
      <c r="AEM111" s="1056"/>
      <c r="AEN111" s="1056"/>
      <c r="AEO111" s="1056"/>
      <c r="AEP111" s="1056"/>
      <c r="AEQ111" s="1056"/>
      <c r="AER111" s="1056"/>
      <c r="AES111" s="1056"/>
      <c r="AET111" s="1056"/>
      <c r="AEU111" s="1056"/>
      <c r="AEV111" s="1056"/>
      <c r="AEW111" s="1056"/>
      <c r="AEX111" s="1056"/>
      <c r="AEY111" s="1056"/>
      <c r="AEZ111" s="1056"/>
      <c r="AFA111" s="1056"/>
      <c r="AFB111" s="1056"/>
      <c r="AFC111" s="1056"/>
      <c r="AFD111" s="1056"/>
      <c r="AFE111" s="1056"/>
      <c r="AFF111" s="1056"/>
      <c r="AFG111" s="1056"/>
      <c r="AFH111" s="1056"/>
      <c r="AFI111" s="1056"/>
      <c r="AFJ111" s="1056"/>
      <c r="AFK111" s="1056"/>
      <c r="AFL111" s="1056"/>
      <c r="AFM111" s="1056"/>
      <c r="AFN111" s="1056"/>
      <c r="AFO111" s="1056"/>
      <c r="AFP111" s="1056"/>
      <c r="AFQ111" s="1056"/>
      <c r="AFR111" s="1056"/>
      <c r="AFS111" s="1056"/>
      <c r="AFT111" s="1056"/>
      <c r="AFU111" s="1056"/>
      <c r="AFV111" s="1056"/>
      <c r="AFW111" s="1056"/>
      <c r="AFX111" s="1056"/>
      <c r="AFY111" s="1056"/>
      <c r="AFZ111" s="1056"/>
      <c r="AGA111" s="1056"/>
      <c r="AGB111" s="1056"/>
      <c r="AGC111" s="1056"/>
      <c r="AGD111" s="1056"/>
      <c r="AGE111" s="1056"/>
      <c r="AGF111" s="1056"/>
      <c r="AGG111" s="1056"/>
      <c r="AGH111" s="1056"/>
      <c r="AGI111" s="1056"/>
      <c r="AGJ111" s="1056"/>
      <c r="AGK111" s="1056"/>
      <c r="AGL111" s="1056"/>
      <c r="AGM111" s="1056"/>
      <c r="AGN111" s="1056"/>
      <c r="AGO111" s="1056"/>
      <c r="AGP111" s="1056"/>
      <c r="AGQ111" s="1056"/>
      <c r="AGR111" s="1056"/>
      <c r="AGS111" s="1056"/>
      <c r="AGT111" s="1056"/>
      <c r="AGU111" s="1056"/>
      <c r="AGV111" s="1056"/>
      <c r="AGW111" s="1056"/>
      <c r="AGX111" s="1056"/>
      <c r="AGY111" s="1056"/>
      <c r="AGZ111" s="1056"/>
      <c r="AHA111" s="1056"/>
      <c r="AHB111" s="1056"/>
      <c r="AHC111" s="1056"/>
      <c r="AHD111" s="1056"/>
      <c r="AHE111" s="1056"/>
      <c r="AHF111" s="1056"/>
      <c r="AHG111" s="1056"/>
      <c r="AHH111" s="1056"/>
      <c r="AHI111" s="1056"/>
      <c r="AHJ111" s="1056"/>
      <c r="AHK111" s="1056"/>
      <c r="AHL111" s="1056"/>
      <c r="AHM111" s="1056"/>
      <c r="AHN111" s="1056"/>
      <c r="AHO111" s="1056"/>
      <c r="AHP111" s="1056"/>
      <c r="AHQ111" s="1056"/>
      <c r="AHR111" s="1056"/>
      <c r="AHS111" s="1056"/>
      <c r="AHT111" s="1056"/>
      <c r="AHU111" s="1056"/>
      <c r="AHV111" s="1056"/>
      <c r="AHW111" s="1056"/>
      <c r="AHX111" s="1056"/>
      <c r="AHY111" s="1056"/>
      <c r="AHZ111" s="1056"/>
      <c r="AIA111" s="1056"/>
      <c r="AIB111" s="1056"/>
      <c r="AIC111" s="1056"/>
      <c r="AID111" s="1056"/>
      <c r="AIE111" s="1056"/>
      <c r="AIF111" s="1056"/>
      <c r="AIG111" s="1056"/>
      <c r="AIH111" s="1056"/>
      <c r="AII111" s="1056"/>
      <c r="AIJ111" s="1056"/>
      <c r="AIK111" s="1056"/>
      <c r="AIL111" s="1056"/>
      <c r="AIM111" s="1056"/>
      <c r="AIN111" s="1056"/>
      <c r="AIO111" s="1056"/>
      <c r="AIP111" s="1056"/>
      <c r="AIQ111" s="1056"/>
      <c r="AIR111" s="1056"/>
      <c r="AIS111" s="1056"/>
      <c r="AIT111" s="1056"/>
      <c r="AIU111" s="1056"/>
      <c r="AIV111" s="1056"/>
      <c r="AIW111" s="1056"/>
      <c r="AIX111" s="1056"/>
      <c r="AIY111" s="1056"/>
      <c r="AIZ111" s="1056"/>
      <c r="AJA111" s="1056"/>
      <c r="AJB111" s="1056"/>
      <c r="AJC111" s="1056"/>
      <c r="AJD111" s="1056"/>
      <c r="AJE111" s="1056"/>
      <c r="AJF111" s="1056"/>
      <c r="AJG111" s="1056"/>
      <c r="AJH111" s="1056"/>
      <c r="AJI111" s="1056"/>
      <c r="AJJ111" s="1056"/>
      <c r="AJK111" s="1056"/>
      <c r="AJL111" s="1056"/>
      <c r="AJM111" s="1056"/>
      <c r="AJN111" s="1056"/>
      <c r="AJO111" s="1056"/>
      <c r="AJP111" s="1056"/>
      <c r="AJQ111" s="1056"/>
      <c r="AJR111" s="1056"/>
      <c r="AJS111" s="1056"/>
      <c r="AJT111" s="1056"/>
      <c r="AJU111" s="1056"/>
      <c r="AJV111" s="1056"/>
      <c r="AJW111" s="1056"/>
      <c r="AJX111" s="1056"/>
      <c r="AJY111" s="1056"/>
      <c r="AJZ111" s="1056"/>
      <c r="AKA111" s="1056"/>
      <c r="AKB111" s="1056"/>
      <c r="AKC111" s="1056"/>
      <c r="AKD111" s="1056"/>
      <c r="AKE111" s="1056"/>
      <c r="AKF111" s="1056"/>
      <c r="AKG111" s="1056"/>
      <c r="AKH111" s="1056"/>
      <c r="AKI111" s="1056"/>
      <c r="AKJ111" s="1056"/>
      <c r="AKK111" s="1056"/>
      <c r="AKL111" s="1056"/>
      <c r="AKM111" s="1056"/>
      <c r="AKN111" s="1056"/>
      <c r="AKO111" s="1056"/>
      <c r="AKP111" s="1056"/>
      <c r="AKQ111" s="1056"/>
      <c r="AKR111" s="1056"/>
      <c r="AKS111" s="1056"/>
      <c r="AKT111" s="1056"/>
      <c r="AKU111" s="1056"/>
      <c r="AKV111" s="1056"/>
      <c r="AKW111" s="1056"/>
      <c r="AKX111" s="1056"/>
      <c r="AKY111" s="1056"/>
      <c r="AKZ111" s="1056"/>
      <c r="ALA111" s="1056"/>
      <c r="ALB111" s="1056"/>
      <c r="ALC111" s="1056"/>
      <c r="ALD111" s="1056"/>
      <c r="ALE111" s="1056"/>
      <c r="ALF111" s="1056"/>
      <c r="ALG111" s="1056"/>
      <c r="ALH111" s="1056"/>
      <c r="ALI111" s="1056"/>
      <c r="ALJ111" s="1056"/>
      <c r="ALK111" s="1056"/>
      <c r="ALL111" s="1056"/>
      <c r="ALM111" s="1056"/>
      <c r="ALN111" s="1056"/>
      <c r="ALO111" s="1056"/>
      <c r="ALP111" s="1056"/>
      <c r="ALQ111" s="1056"/>
      <c r="ALR111" s="1056"/>
      <c r="ALS111" s="1056"/>
      <c r="ALT111" s="1056"/>
      <c r="ALU111" s="1056"/>
      <c r="ALV111" s="1056"/>
      <c r="ALW111" s="1056"/>
      <c r="ALX111" s="1056"/>
      <c r="ALY111" s="1056"/>
      <c r="ALZ111" s="1056"/>
      <c r="AMA111" s="1056"/>
      <c r="AMB111" s="1056"/>
      <c r="AMC111" s="1056"/>
      <c r="AMD111" s="1056"/>
      <c r="AME111" s="1056"/>
      <c r="AMF111" s="1056"/>
      <c r="AMG111" s="1056"/>
      <c r="AMH111" s="1056"/>
      <c r="AMI111" s="1056"/>
      <c r="AMJ111" s="1056"/>
      <c r="AMK111" s="1056"/>
      <c r="AML111" s="1056"/>
      <c r="AMM111" s="1056"/>
      <c r="AMN111" s="1056"/>
      <c r="AMO111" s="1056"/>
      <c r="AMP111" s="1056"/>
      <c r="AMQ111" s="1056"/>
      <c r="AMR111" s="1056"/>
      <c r="AMS111" s="1056"/>
      <c r="AMT111" s="1056"/>
      <c r="AMU111" s="1056"/>
      <c r="AMV111" s="1056"/>
      <c r="AMW111" s="1056"/>
      <c r="AMX111" s="1056"/>
      <c r="AMY111" s="1056"/>
      <c r="AMZ111" s="1056"/>
      <c r="ANA111" s="1056"/>
      <c r="ANB111" s="1056"/>
      <c r="ANC111" s="1056"/>
      <c r="AND111" s="1056"/>
      <c r="ANE111" s="1056"/>
      <c r="ANF111" s="1056"/>
      <c r="ANG111" s="1056"/>
      <c r="ANH111" s="1056"/>
      <c r="ANI111" s="1056"/>
      <c r="ANJ111" s="1056"/>
      <c r="ANK111" s="1056"/>
      <c r="ANL111" s="1056"/>
      <c r="ANM111" s="1056"/>
      <c r="ANN111" s="1056"/>
      <c r="ANO111" s="1056"/>
      <c r="ANP111" s="1056"/>
      <c r="ANQ111" s="1056"/>
      <c r="ANR111" s="1056"/>
      <c r="ANS111" s="1056"/>
      <c r="ANT111" s="1056"/>
      <c r="ANU111" s="1056"/>
      <c r="ANV111" s="1056"/>
      <c r="ANW111" s="1056"/>
      <c r="ANX111" s="1056"/>
      <c r="ANY111" s="1056"/>
      <c r="ANZ111" s="1056"/>
      <c r="AOA111" s="1056"/>
      <c r="AOB111" s="1056"/>
      <c r="AOC111" s="1056"/>
      <c r="AOD111" s="1056"/>
      <c r="AOE111" s="1056"/>
      <c r="AOF111" s="1056"/>
      <c r="AOG111" s="1056"/>
      <c r="AOH111" s="1056"/>
      <c r="AOI111" s="1056"/>
      <c r="AOJ111" s="1056"/>
      <c r="AOK111" s="1056"/>
      <c r="AOL111" s="1056"/>
      <c r="AOM111" s="1056"/>
      <c r="AON111" s="1056"/>
      <c r="AOO111" s="1056"/>
      <c r="AOP111" s="1056"/>
      <c r="AOQ111" s="1056"/>
      <c r="AOR111" s="1056"/>
      <c r="AOS111" s="1056"/>
      <c r="AOT111" s="1056"/>
      <c r="AOU111" s="1056"/>
      <c r="AOV111" s="1056"/>
      <c r="AOW111" s="1056"/>
      <c r="AOX111" s="1056"/>
      <c r="AOY111" s="1056"/>
      <c r="AOZ111" s="1056"/>
      <c r="APA111" s="1056"/>
      <c r="APB111" s="1056"/>
      <c r="APC111" s="1056"/>
      <c r="APD111" s="1056"/>
      <c r="APE111" s="1056"/>
      <c r="APF111" s="1056"/>
      <c r="APG111" s="1056"/>
      <c r="APH111" s="1056"/>
      <c r="API111" s="1056"/>
      <c r="APJ111" s="1056"/>
      <c r="APK111" s="1056"/>
      <c r="APL111" s="1056"/>
      <c r="APM111" s="1056"/>
      <c r="APN111" s="1056"/>
      <c r="APO111" s="1056"/>
      <c r="APP111" s="1056"/>
      <c r="APQ111" s="1056"/>
      <c r="APR111" s="1056"/>
      <c r="APS111" s="1056"/>
      <c r="APT111" s="1056"/>
      <c r="APU111" s="1056"/>
      <c r="APV111" s="1056"/>
      <c r="APW111" s="1056"/>
      <c r="APX111" s="1056"/>
      <c r="APY111" s="1056"/>
      <c r="APZ111" s="1056"/>
      <c r="AQA111" s="1056"/>
      <c r="AQB111" s="1056"/>
      <c r="AQC111" s="1056"/>
      <c r="AQD111" s="1056"/>
      <c r="AQE111" s="1056"/>
      <c r="AQF111" s="1056"/>
      <c r="AQG111" s="1056"/>
      <c r="AQH111" s="1056"/>
      <c r="AQI111" s="1056"/>
      <c r="AQJ111" s="1056"/>
      <c r="AQK111" s="1056"/>
      <c r="AQL111" s="1056"/>
      <c r="AQM111" s="1056"/>
      <c r="AQN111" s="1056"/>
      <c r="AQO111" s="1056"/>
      <c r="AQP111" s="1056"/>
      <c r="AQQ111" s="1056"/>
      <c r="AQR111" s="1056"/>
      <c r="AQS111" s="1056"/>
      <c r="AQT111" s="1056"/>
      <c r="AQU111" s="1056"/>
      <c r="AQV111" s="1056"/>
      <c r="AQW111" s="1056"/>
      <c r="AQX111" s="1056"/>
      <c r="AQY111" s="1056"/>
      <c r="AQZ111" s="1056"/>
      <c r="ARA111" s="1056"/>
      <c r="ARB111" s="1056"/>
      <c r="ARC111" s="1056"/>
      <c r="ARD111" s="1056"/>
      <c r="ARE111" s="1056"/>
      <c r="ARF111" s="1056"/>
      <c r="ARG111" s="1056"/>
      <c r="ARH111" s="1056"/>
      <c r="ARI111" s="1056"/>
      <c r="ARJ111" s="1056"/>
      <c r="ARK111" s="1056"/>
      <c r="ARL111" s="1056"/>
      <c r="ARM111" s="1056"/>
      <c r="ARN111" s="1056"/>
      <c r="ARO111" s="1056"/>
      <c r="ARP111" s="1056"/>
      <c r="ARQ111" s="1056"/>
      <c r="ARR111" s="1056"/>
      <c r="ARS111" s="1056"/>
      <c r="ART111" s="1056"/>
      <c r="ARU111" s="1056"/>
      <c r="ARV111" s="1056"/>
      <c r="ARW111" s="1056"/>
      <c r="ARX111" s="1056"/>
      <c r="ARY111" s="1056"/>
      <c r="ARZ111" s="1056"/>
      <c r="ASA111" s="1056"/>
      <c r="ASB111" s="1056"/>
      <c r="ASC111" s="1056"/>
      <c r="ASD111" s="1056"/>
      <c r="ASE111" s="1056"/>
      <c r="ASF111" s="1056"/>
      <c r="ASG111" s="1056"/>
      <c r="ASH111" s="1056"/>
      <c r="ASI111" s="1056"/>
      <c r="ASJ111" s="1056"/>
      <c r="ASK111" s="1056"/>
      <c r="ASL111" s="1056"/>
      <c r="ASM111" s="1056"/>
      <c r="ASN111" s="1056"/>
      <c r="ASO111" s="1056"/>
      <c r="ASP111" s="1056"/>
      <c r="ASQ111" s="1056"/>
      <c r="ASR111" s="1056"/>
      <c r="ASS111" s="1056"/>
      <c r="AST111" s="1056"/>
      <c r="ASU111" s="1056"/>
      <c r="ASV111" s="1056"/>
      <c r="ASW111" s="1056"/>
      <c r="ASX111" s="1056"/>
      <c r="ASY111" s="1056"/>
      <c r="ASZ111" s="1056"/>
      <c r="ATA111" s="1056"/>
      <c r="ATB111" s="1056"/>
      <c r="ATC111" s="1056"/>
      <c r="ATD111" s="1056"/>
      <c r="ATE111" s="1056"/>
      <c r="ATF111" s="1056"/>
      <c r="ATG111" s="1056"/>
      <c r="ATH111" s="1056"/>
      <c r="ATI111" s="1056"/>
      <c r="ATJ111" s="1056"/>
      <c r="ATK111" s="1056"/>
      <c r="ATL111" s="1056"/>
      <c r="ATM111" s="1056"/>
      <c r="ATN111" s="1056"/>
      <c r="ATO111" s="1056"/>
      <c r="ATP111" s="1056"/>
      <c r="ATQ111" s="1056"/>
      <c r="ATR111" s="1056"/>
      <c r="ATS111" s="1056"/>
      <c r="ATT111" s="1056"/>
      <c r="ATU111" s="1056"/>
      <c r="ATV111" s="1056"/>
      <c r="ATW111" s="1056"/>
      <c r="ATX111" s="1056"/>
      <c r="ATY111" s="1056"/>
      <c r="ATZ111" s="1056"/>
      <c r="AUA111" s="1056"/>
      <c r="AUB111" s="1056"/>
      <c r="AUC111" s="1056"/>
      <c r="AUD111" s="1056"/>
      <c r="AUE111" s="1056"/>
      <c r="AUF111" s="1056"/>
      <c r="AUG111" s="1056"/>
      <c r="AUH111" s="1056"/>
      <c r="AUI111" s="1056"/>
      <c r="AUJ111" s="1056"/>
      <c r="AUK111" s="1056"/>
      <c r="AUL111" s="1056"/>
      <c r="AUM111" s="1056"/>
      <c r="AUN111" s="1056"/>
      <c r="AUO111" s="1056"/>
      <c r="AUP111" s="1056"/>
      <c r="AUQ111" s="1056"/>
      <c r="AUR111" s="1056"/>
      <c r="AUS111" s="1056"/>
      <c r="AUT111" s="1056"/>
      <c r="AUU111" s="1056"/>
      <c r="AUV111" s="1056"/>
      <c r="AUW111" s="1056"/>
      <c r="AUX111" s="1056"/>
      <c r="AUY111" s="1056"/>
      <c r="AUZ111" s="1056"/>
      <c r="AVA111" s="1056"/>
      <c r="AVB111" s="1056"/>
      <c r="AVC111" s="1056"/>
      <c r="AVD111" s="1056"/>
      <c r="AVE111" s="1056"/>
      <c r="AVF111" s="1056"/>
      <c r="AVG111" s="1056"/>
      <c r="AVH111" s="1056"/>
      <c r="AVI111" s="1056"/>
      <c r="AVJ111" s="1056"/>
      <c r="AVK111" s="1056"/>
      <c r="AVL111" s="1056"/>
      <c r="AVM111" s="1056"/>
      <c r="AVN111" s="1056"/>
      <c r="AVO111" s="1056"/>
      <c r="AVP111" s="1056"/>
      <c r="AVQ111" s="1056"/>
      <c r="AVR111" s="1056"/>
      <c r="AVS111" s="1056"/>
      <c r="AVT111" s="1056"/>
      <c r="AVU111" s="1056"/>
      <c r="AVV111" s="1056"/>
      <c r="AVW111" s="1056"/>
      <c r="AVX111" s="1056"/>
      <c r="AVY111" s="1056"/>
      <c r="AVZ111" s="1056"/>
      <c r="AWA111" s="1056"/>
      <c r="AWB111" s="1056"/>
      <c r="AWC111" s="1056"/>
      <c r="AWD111" s="1056"/>
      <c r="AWE111" s="1056"/>
      <c r="AWF111" s="1056"/>
      <c r="AWG111" s="1056"/>
      <c r="AWH111" s="1056"/>
      <c r="AWI111" s="1056"/>
      <c r="AWJ111" s="1056"/>
      <c r="AWK111" s="1056"/>
      <c r="AWL111" s="1056"/>
      <c r="AWM111" s="1056"/>
      <c r="AWN111" s="1056"/>
      <c r="AWO111" s="1056"/>
      <c r="AWP111" s="1056"/>
      <c r="AWQ111" s="1056"/>
      <c r="AWR111" s="1056"/>
      <c r="AWS111" s="1056"/>
      <c r="AWT111" s="1056"/>
      <c r="AWU111" s="1056"/>
      <c r="AWV111" s="1056"/>
      <c r="AWW111" s="1056"/>
      <c r="AWX111" s="1056"/>
      <c r="AWY111" s="1056"/>
      <c r="AWZ111" s="1056"/>
      <c r="AXA111" s="1056"/>
      <c r="AXB111" s="1056"/>
      <c r="AXC111" s="1056"/>
      <c r="AXD111" s="1056"/>
      <c r="AXE111" s="1056"/>
      <c r="AXF111" s="1056"/>
      <c r="AXG111" s="1056"/>
      <c r="AXH111" s="1056"/>
      <c r="AXI111" s="1056"/>
      <c r="AXJ111" s="1056"/>
      <c r="AXK111" s="1056"/>
      <c r="AXL111" s="1056"/>
      <c r="AXM111" s="1056"/>
      <c r="AXN111" s="1056"/>
      <c r="AXO111" s="1056"/>
      <c r="AXP111" s="1056"/>
      <c r="AXQ111" s="1056"/>
      <c r="AXR111" s="1056"/>
      <c r="AXS111" s="1056"/>
      <c r="AXT111" s="1056"/>
      <c r="AXU111" s="1056"/>
      <c r="AXV111" s="1056"/>
      <c r="AXW111" s="1056"/>
      <c r="AXX111" s="1056"/>
      <c r="AXY111" s="1056"/>
      <c r="AXZ111" s="1056"/>
      <c r="AYA111" s="1056"/>
      <c r="AYB111" s="1056"/>
      <c r="AYC111" s="1056"/>
      <c r="AYD111" s="1056"/>
      <c r="AYE111" s="1056"/>
      <c r="AYF111" s="1056"/>
      <c r="AYG111" s="1056"/>
      <c r="AYH111" s="1056"/>
      <c r="AYI111" s="1056"/>
      <c r="AYJ111" s="1056"/>
      <c r="AYK111" s="1056"/>
      <c r="AYL111" s="1056"/>
      <c r="AYM111" s="1056"/>
      <c r="AYN111" s="1056"/>
      <c r="AYO111" s="1056"/>
      <c r="AYP111" s="1056"/>
      <c r="AYQ111" s="1056"/>
      <c r="AYR111" s="1056"/>
      <c r="AYS111" s="1056"/>
      <c r="AYT111" s="1056"/>
      <c r="AYU111" s="1056"/>
      <c r="AYV111" s="1056"/>
      <c r="AYW111" s="1056"/>
      <c r="AYX111" s="1056"/>
      <c r="AYY111" s="1056"/>
      <c r="AYZ111" s="1056"/>
      <c r="AZA111" s="1056"/>
      <c r="AZB111" s="1056"/>
      <c r="AZC111" s="1056"/>
      <c r="AZD111" s="1056"/>
      <c r="AZE111" s="1056"/>
      <c r="AZF111" s="1056"/>
      <c r="AZG111" s="1056"/>
      <c r="AZH111" s="1056"/>
      <c r="AZI111" s="1056"/>
      <c r="AZJ111" s="1056"/>
      <c r="AZK111" s="1056"/>
      <c r="AZL111" s="1056"/>
      <c r="AZM111" s="1056"/>
      <c r="AZN111" s="1056"/>
      <c r="AZO111" s="1056"/>
      <c r="AZP111" s="1056"/>
      <c r="AZQ111" s="1056"/>
      <c r="AZR111" s="1056"/>
      <c r="AZS111" s="1056"/>
      <c r="AZT111" s="1056"/>
      <c r="AZU111" s="1056"/>
      <c r="AZV111" s="1056"/>
      <c r="AZW111" s="1056"/>
      <c r="AZX111" s="1056"/>
      <c r="AZY111" s="1056"/>
      <c r="AZZ111" s="1056"/>
      <c r="BAA111" s="1056"/>
      <c r="BAB111" s="1056"/>
      <c r="BAC111" s="1056"/>
      <c r="BAD111" s="1056"/>
      <c r="BAE111" s="1056"/>
      <c r="BAF111" s="1056"/>
      <c r="BAG111" s="1056"/>
      <c r="BAH111" s="1056"/>
      <c r="BAI111" s="1056"/>
      <c r="BAJ111" s="1056"/>
      <c r="BAK111" s="1056"/>
      <c r="BAL111" s="1056"/>
      <c r="BAM111" s="1056"/>
      <c r="BAN111" s="1056"/>
      <c r="BAO111" s="1056"/>
      <c r="BAP111" s="1056"/>
      <c r="BAQ111" s="1056"/>
      <c r="BAR111" s="1056"/>
      <c r="BAS111" s="1056"/>
      <c r="BAT111" s="1056"/>
      <c r="BAU111" s="1056"/>
      <c r="BAV111" s="1056"/>
      <c r="BAW111" s="1056"/>
      <c r="BAX111" s="1056"/>
      <c r="BAY111" s="1056"/>
      <c r="BAZ111" s="1056"/>
      <c r="BBA111" s="1056"/>
      <c r="BBB111" s="1056"/>
      <c r="BBC111" s="1056"/>
      <c r="BBD111" s="1056"/>
      <c r="BBE111" s="1056"/>
      <c r="BBF111" s="1056"/>
      <c r="BBG111" s="1056"/>
      <c r="BBH111" s="1056"/>
      <c r="BBI111" s="1056"/>
      <c r="BBJ111" s="1056"/>
      <c r="BBK111" s="1056"/>
      <c r="BBL111" s="1056"/>
      <c r="BBM111" s="1056"/>
      <c r="BBN111" s="1056"/>
      <c r="BBO111" s="1056"/>
      <c r="BBP111" s="1056"/>
      <c r="BBQ111" s="1056"/>
      <c r="BBR111" s="1056"/>
      <c r="BBS111" s="1056"/>
      <c r="BBT111" s="1056"/>
      <c r="BBU111" s="1056"/>
      <c r="BBV111" s="1056"/>
      <c r="BBW111" s="1056"/>
      <c r="BBX111" s="1056"/>
      <c r="BBY111" s="1056"/>
      <c r="BBZ111" s="1056"/>
      <c r="BCA111" s="1056"/>
      <c r="BCB111" s="1056"/>
      <c r="BCC111" s="1056"/>
      <c r="BCD111" s="1056"/>
      <c r="BCE111" s="1056"/>
      <c r="BCF111" s="1056"/>
      <c r="BCG111" s="1056"/>
      <c r="BCH111" s="1056"/>
      <c r="BCI111" s="1056"/>
      <c r="BCJ111" s="1056"/>
      <c r="BCK111" s="1056"/>
      <c r="BCL111" s="1056"/>
      <c r="BCM111" s="1056"/>
      <c r="BCN111" s="1056"/>
      <c r="BCO111" s="1056"/>
      <c r="BCP111" s="1056"/>
      <c r="BCQ111" s="1056"/>
      <c r="BCR111" s="1056"/>
      <c r="BCS111" s="1056"/>
      <c r="BCT111" s="1056"/>
      <c r="BCU111" s="1056"/>
      <c r="BCV111" s="1056"/>
      <c r="BCW111" s="1056"/>
      <c r="BCX111" s="1056"/>
      <c r="BCY111" s="1056"/>
      <c r="BCZ111" s="1056"/>
      <c r="BDA111" s="1056"/>
      <c r="BDB111" s="1056"/>
      <c r="BDC111" s="1056"/>
      <c r="BDD111" s="1056"/>
      <c r="BDE111" s="1056"/>
      <c r="BDF111" s="1056"/>
      <c r="BDG111" s="1056"/>
      <c r="BDH111" s="1056"/>
      <c r="BDI111" s="1056"/>
      <c r="BDJ111" s="1056"/>
      <c r="BDK111" s="1056"/>
      <c r="BDL111" s="1056"/>
      <c r="BDM111" s="1056"/>
      <c r="BDN111" s="1056"/>
      <c r="BDO111" s="1056"/>
      <c r="BDP111" s="1056"/>
      <c r="BDQ111" s="1056"/>
      <c r="BDR111" s="1056"/>
      <c r="BDS111" s="1056"/>
      <c r="BDT111" s="1056"/>
      <c r="BDU111" s="1056"/>
      <c r="BDV111" s="1056"/>
      <c r="BDW111" s="1056"/>
      <c r="BDX111" s="1056"/>
      <c r="BDY111" s="1056"/>
      <c r="BDZ111" s="1056"/>
      <c r="BEA111" s="1056"/>
      <c r="BEB111" s="1056"/>
      <c r="BEC111" s="1056"/>
      <c r="BED111" s="1056"/>
      <c r="BEE111" s="1056"/>
      <c r="BEF111" s="1056"/>
      <c r="BEG111" s="1056"/>
      <c r="BEH111" s="1056"/>
      <c r="BEI111" s="1056"/>
      <c r="BEJ111" s="1056"/>
      <c r="BEK111" s="1056"/>
      <c r="BEL111" s="1056"/>
      <c r="BEM111" s="1056"/>
      <c r="BEN111" s="1056"/>
      <c r="BEO111" s="1056"/>
      <c r="BEP111" s="1056"/>
      <c r="BEQ111" s="1056"/>
      <c r="BER111" s="1056"/>
      <c r="BES111" s="1056"/>
      <c r="BET111" s="1056"/>
      <c r="BEU111" s="1056"/>
      <c r="BEV111" s="1056"/>
      <c r="BEW111" s="1056"/>
      <c r="BEX111" s="1056"/>
      <c r="BEY111" s="1056"/>
      <c r="BEZ111" s="1056"/>
      <c r="BFA111" s="1056"/>
      <c r="BFB111" s="1056"/>
      <c r="BFC111" s="1056"/>
      <c r="BFD111" s="1056"/>
      <c r="BFE111" s="1056"/>
      <c r="BFF111" s="1056"/>
      <c r="BFG111" s="1056"/>
      <c r="BFH111" s="1056"/>
      <c r="BFI111" s="1056"/>
      <c r="BFJ111" s="1056"/>
      <c r="BFK111" s="1056"/>
      <c r="BFL111" s="1056"/>
      <c r="BFM111" s="1056"/>
      <c r="BFN111" s="1056"/>
      <c r="BFO111" s="1056"/>
      <c r="BFP111" s="1056"/>
      <c r="BFQ111" s="1056"/>
      <c r="BFR111" s="1056"/>
      <c r="BFS111" s="1056"/>
      <c r="BFT111" s="1056"/>
      <c r="BFU111" s="1056"/>
      <c r="BFV111" s="1056"/>
      <c r="BFW111" s="1056"/>
      <c r="BFX111" s="1056"/>
      <c r="BFY111" s="1056"/>
      <c r="BFZ111" s="1056"/>
      <c r="BGA111" s="1056"/>
      <c r="BGB111" s="1056"/>
      <c r="BGC111" s="1056"/>
      <c r="BGD111" s="1056"/>
      <c r="BGE111" s="1056"/>
      <c r="BGF111" s="1056"/>
      <c r="BGG111" s="1056"/>
      <c r="BGH111" s="1056"/>
      <c r="BGI111" s="1056"/>
      <c r="BGJ111" s="1056"/>
      <c r="BGK111" s="1056"/>
      <c r="BGL111" s="1056"/>
      <c r="BGM111" s="1056"/>
      <c r="BGN111" s="1056"/>
      <c r="BGO111" s="1056"/>
      <c r="BGP111" s="1056"/>
      <c r="BGQ111" s="1056"/>
      <c r="BGR111" s="1056"/>
      <c r="BGS111" s="1056"/>
      <c r="BGT111" s="1056"/>
      <c r="BGU111" s="1056"/>
      <c r="BGV111" s="1056"/>
      <c r="BGW111" s="1056"/>
      <c r="BGX111" s="1056"/>
      <c r="BGY111" s="1056"/>
      <c r="BGZ111" s="1056"/>
      <c r="BHA111" s="1056"/>
      <c r="BHB111" s="1056"/>
      <c r="BHC111" s="1056"/>
      <c r="BHD111" s="1056"/>
      <c r="BHE111" s="1056"/>
      <c r="BHF111" s="1056"/>
      <c r="BHG111" s="1056"/>
      <c r="BHH111" s="1056"/>
      <c r="BHI111" s="1056"/>
      <c r="BHJ111" s="1056"/>
      <c r="BHK111" s="1056"/>
      <c r="BHL111" s="1056"/>
      <c r="BHM111" s="1056"/>
      <c r="BHN111" s="1056"/>
      <c r="BHO111" s="1056"/>
      <c r="BHP111" s="1056"/>
      <c r="BHQ111" s="1056"/>
      <c r="BHR111" s="1056"/>
      <c r="BHS111" s="1056"/>
      <c r="BHT111" s="1056"/>
      <c r="BHU111" s="1056"/>
      <c r="BHV111" s="1056"/>
      <c r="BHW111" s="1056"/>
      <c r="BHX111" s="1056"/>
      <c r="BHY111" s="1056"/>
      <c r="BHZ111" s="1056"/>
      <c r="BIA111" s="1056"/>
      <c r="BIB111" s="1056"/>
      <c r="BIC111" s="1056"/>
      <c r="BID111" s="1056"/>
      <c r="BIE111" s="1056"/>
      <c r="BIF111" s="1056"/>
      <c r="BIG111" s="1056"/>
      <c r="BIH111" s="1056"/>
      <c r="BII111" s="1056"/>
      <c r="BIJ111" s="1056"/>
      <c r="BIK111" s="1056"/>
      <c r="BIL111" s="1056"/>
      <c r="BIM111" s="1056"/>
      <c r="BIN111" s="1056"/>
      <c r="BIO111" s="1056"/>
      <c r="BIP111" s="1056"/>
      <c r="BIQ111" s="1056"/>
      <c r="BIR111" s="1056"/>
      <c r="BIS111" s="1056"/>
      <c r="BIT111" s="1056"/>
      <c r="BIU111" s="1056"/>
      <c r="BIV111" s="1056"/>
      <c r="BIW111" s="1056"/>
      <c r="BIX111" s="1056"/>
      <c r="BIY111" s="1056"/>
      <c r="BIZ111" s="1056"/>
      <c r="BJA111" s="1056"/>
      <c r="BJB111" s="1056"/>
      <c r="BJC111" s="1056"/>
      <c r="BJD111" s="1056"/>
      <c r="BJE111" s="1056"/>
      <c r="BJF111" s="1056"/>
      <c r="BJG111" s="1056"/>
      <c r="BJH111" s="1056"/>
      <c r="BJI111" s="1056"/>
      <c r="BJJ111" s="1056"/>
      <c r="BJK111" s="1056"/>
      <c r="BJL111" s="1056"/>
      <c r="BJM111" s="1056"/>
      <c r="BJN111" s="1056"/>
      <c r="BJO111" s="1056"/>
      <c r="BJP111" s="1056"/>
      <c r="BJQ111" s="1056"/>
      <c r="BJR111" s="1056"/>
      <c r="BJS111" s="1056"/>
      <c r="BJT111" s="1056"/>
      <c r="BJU111" s="1056"/>
      <c r="BJV111" s="1056"/>
      <c r="BJW111" s="1056"/>
      <c r="BJX111" s="1056"/>
      <c r="BJY111" s="1056"/>
      <c r="BJZ111" s="1056"/>
      <c r="BKA111" s="1056"/>
      <c r="BKB111" s="1056"/>
      <c r="BKC111" s="1056"/>
      <c r="BKD111" s="1056"/>
      <c r="BKE111" s="1056"/>
      <c r="BKF111" s="1056"/>
      <c r="BKG111" s="1056"/>
      <c r="BKH111" s="1056"/>
      <c r="BKI111" s="1056"/>
      <c r="BKJ111" s="1056"/>
      <c r="BKK111" s="1056"/>
      <c r="BKL111" s="1056"/>
      <c r="BKM111" s="1056"/>
      <c r="BKN111" s="1056"/>
      <c r="BKO111" s="1056"/>
      <c r="BKP111" s="1056"/>
      <c r="BKQ111" s="1056"/>
      <c r="BKR111" s="1056"/>
      <c r="BKS111" s="1056"/>
      <c r="BKT111" s="1056"/>
      <c r="BKU111" s="1056"/>
      <c r="BKV111" s="1056"/>
      <c r="BKW111" s="1056"/>
      <c r="BKX111" s="1056"/>
      <c r="BKY111" s="1056"/>
      <c r="BKZ111" s="1056"/>
      <c r="BLA111" s="1056"/>
      <c r="BLB111" s="1056"/>
      <c r="BLC111" s="1056"/>
      <c r="BLD111" s="1056"/>
      <c r="BLE111" s="1056"/>
      <c r="BLF111" s="1056"/>
      <c r="BLG111" s="1056"/>
      <c r="BLH111" s="1056"/>
      <c r="BLI111" s="1056"/>
      <c r="BLJ111" s="1056"/>
      <c r="BLK111" s="1056"/>
      <c r="BLL111" s="1056"/>
      <c r="BLM111" s="1056"/>
      <c r="BLN111" s="1056"/>
      <c r="BLO111" s="1056"/>
      <c r="BLP111" s="1056"/>
      <c r="BLQ111" s="1056"/>
      <c r="BLR111" s="1056"/>
      <c r="BLS111" s="1056"/>
      <c r="BLT111" s="1056"/>
      <c r="BLU111" s="1056"/>
      <c r="BLV111" s="1056"/>
      <c r="BLW111" s="1056"/>
      <c r="BLX111" s="1056"/>
      <c r="BLY111" s="1056"/>
      <c r="BLZ111" s="1056"/>
      <c r="BMA111" s="1056"/>
      <c r="BMB111" s="1056"/>
      <c r="BMC111" s="1056"/>
      <c r="BMD111" s="1056"/>
      <c r="BME111" s="1056"/>
      <c r="BMF111" s="1056"/>
      <c r="BMG111" s="1056"/>
      <c r="BMH111" s="1056"/>
      <c r="BMI111" s="1056"/>
      <c r="BMJ111" s="1056"/>
      <c r="BMK111" s="1056"/>
      <c r="BML111" s="1056"/>
      <c r="BMM111" s="1056"/>
      <c r="BMN111" s="1056"/>
      <c r="BMO111" s="1056"/>
      <c r="BMP111" s="1056"/>
      <c r="BMQ111" s="1056"/>
      <c r="BMR111" s="1056"/>
      <c r="BMS111" s="1056"/>
      <c r="BMT111" s="1056"/>
      <c r="BMU111" s="1056"/>
      <c r="BMV111" s="1056"/>
      <c r="BMW111" s="1056"/>
      <c r="BMX111" s="1056"/>
      <c r="BMY111" s="1056"/>
      <c r="BMZ111" s="1056"/>
      <c r="BNA111" s="1056"/>
      <c r="BNB111" s="1056"/>
      <c r="BNC111" s="1056"/>
      <c r="BND111" s="1056"/>
      <c r="BNE111" s="1056"/>
      <c r="BNF111" s="1056"/>
      <c r="BNG111" s="1056"/>
      <c r="BNH111" s="1056"/>
      <c r="BNI111" s="1056"/>
      <c r="BNJ111" s="1056"/>
      <c r="BNK111" s="1056"/>
      <c r="BNL111" s="1056"/>
      <c r="BNM111" s="1056"/>
      <c r="BNN111" s="1056"/>
      <c r="BNO111" s="1056"/>
      <c r="BNP111" s="1056"/>
      <c r="BNQ111" s="1056"/>
      <c r="BNR111" s="1056"/>
      <c r="BNS111" s="1056"/>
      <c r="BNT111" s="1056"/>
      <c r="BNU111" s="1056"/>
      <c r="BNV111" s="1056"/>
      <c r="BNW111" s="1056"/>
      <c r="BNX111" s="1056"/>
      <c r="BNY111" s="1056"/>
      <c r="BNZ111" s="1056"/>
      <c r="BOA111" s="1056"/>
      <c r="BOB111" s="1056"/>
      <c r="BOC111" s="1056"/>
      <c r="BOD111" s="1056"/>
      <c r="BOE111" s="1056"/>
      <c r="BOF111" s="1056"/>
      <c r="BOG111" s="1056"/>
      <c r="BOH111" s="1056"/>
      <c r="BOI111" s="1056"/>
      <c r="BOJ111" s="1056"/>
      <c r="BOK111" s="1056"/>
      <c r="BOL111" s="1056"/>
      <c r="BOM111" s="1056"/>
      <c r="BON111" s="1056"/>
      <c r="BOO111" s="1056"/>
      <c r="BOP111" s="1056"/>
      <c r="BOQ111" s="1056"/>
      <c r="BOR111" s="1056"/>
      <c r="BOS111" s="1056"/>
      <c r="BOT111" s="1056"/>
      <c r="BOU111" s="1056"/>
      <c r="BOV111" s="1056"/>
      <c r="BOW111" s="1056"/>
      <c r="BOX111" s="1056"/>
      <c r="BOY111" s="1056"/>
      <c r="BOZ111" s="1056"/>
      <c r="BPA111" s="1056"/>
      <c r="BPB111" s="1056"/>
      <c r="BPC111" s="1056"/>
      <c r="BPD111" s="1056"/>
      <c r="BPE111" s="1056"/>
      <c r="BPF111" s="1056"/>
      <c r="BPG111" s="1056"/>
      <c r="BPH111" s="1056"/>
      <c r="BPI111" s="1056"/>
      <c r="BPJ111" s="1056"/>
      <c r="BPK111" s="1056"/>
      <c r="BPL111" s="1056"/>
      <c r="BPM111" s="1056"/>
      <c r="BPN111" s="1056"/>
      <c r="BPO111" s="1056"/>
      <c r="BPP111" s="1056"/>
      <c r="BPQ111" s="1056"/>
      <c r="BPR111" s="1056"/>
      <c r="BPS111" s="1056"/>
      <c r="BPT111" s="1056"/>
      <c r="BPU111" s="1056"/>
      <c r="BPV111" s="1056"/>
      <c r="BPW111" s="1056"/>
      <c r="BPX111" s="1056"/>
      <c r="BPY111" s="1056"/>
      <c r="BPZ111" s="1056"/>
      <c r="BQA111" s="1056"/>
      <c r="BQB111" s="1056"/>
      <c r="BQC111" s="1056"/>
      <c r="BQD111" s="1056"/>
      <c r="BQE111" s="1056"/>
      <c r="BQF111" s="1056"/>
      <c r="BQG111" s="1056"/>
      <c r="BQH111" s="1056"/>
      <c r="BQI111" s="1056"/>
      <c r="BQJ111" s="1056"/>
      <c r="BQK111" s="1056"/>
      <c r="BQL111" s="1056"/>
      <c r="BQM111" s="1056"/>
      <c r="BQN111" s="1056"/>
      <c r="BQO111" s="1056"/>
      <c r="BQP111" s="1056"/>
      <c r="BQQ111" s="1056"/>
      <c r="BQR111" s="1056"/>
      <c r="BQS111" s="1056"/>
      <c r="BQT111" s="1056"/>
      <c r="BQU111" s="1056"/>
      <c r="BQV111" s="1056"/>
      <c r="BQW111" s="1056"/>
      <c r="BQX111" s="1056"/>
      <c r="BQY111" s="1056"/>
      <c r="BQZ111" s="1056"/>
      <c r="BRA111" s="1056"/>
      <c r="BRB111" s="1056"/>
      <c r="BRC111" s="1056"/>
      <c r="BRD111" s="1056"/>
      <c r="BRE111" s="1056"/>
      <c r="BRF111" s="1056"/>
      <c r="BRG111" s="1056"/>
      <c r="BRH111" s="1056"/>
      <c r="BRI111" s="1056"/>
      <c r="BRJ111" s="1056"/>
      <c r="BRK111" s="1056"/>
      <c r="BRL111" s="1056"/>
      <c r="BRM111" s="1056"/>
      <c r="BRN111" s="1056"/>
      <c r="BRO111" s="1056"/>
      <c r="BRP111" s="1056"/>
      <c r="BRQ111" s="1056"/>
      <c r="BRR111" s="1056"/>
      <c r="BRS111" s="1056"/>
      <c r="BRT111" s="1056"/>
      <c r="BRU111" s="1056"/>
      <c r="BRV111" s="1056"/>
      <c r="BRW111" s="1056"/>
      <c r="BRX111" s="1056"/>
      <c r="BRY111" s="1056"/>
      <c r="BRZ111" s="1056"/>
      <c r="BSA111" s="1056"/>
      <c r="BSB111" s="1056"/>
      <c r="BSC111" s="1056"/>
      <c r="BSD111" s="1056"/>
      <c r="BSE111" s="1056"/>
      <c r="BSF111" s="1056"/>
      <c r="BSG111" s="1056"/>
      <c r="BSH111" s="1056"/>
      <c r="BSI111" s="1056"/>
      <c r="BSJ111" s="1056"/>
      <c r="BSK111" s="1056"/>
      <c r="BSL111" s="1056"/>
      <c r="BSM111" s="1056"/>
      <c r="BSN111" s="1056"/>
      <c r="BSO111" s="1056"/>
      <c r="BSP111" s="1056"/>
      <c r="BSQ111" s="1056"/>
      <c r="BSR111" s="1056"/>
      <c r="BSS111" s="1056"/>
      <c r="BST111" s="1056"/>
      <c r="BSU111" s="1056"/>
      <c r="BSV111" s="1056"/>
      <c r="BSW111" s="1056"/>
      <c r="BSX111" s="1056"/>
      <c r="BSY111" s="1056"/>
      <c r="BSZ111" s="1056"/>
      <c r="BTA111" s="1056"/>
      <c r="BTB111" s="1056"/>
      <c r="BTC111" s="1056"/>
      <c r="BTD111" s="1056"/>
      <c r="BTE111" s="1056"/>
      <c r="BTF111" s="1056"/>
      <c r="BTG111" s="1056"/>
      <c r="BTH111" s="1056"/>
      <c r="BTI111" s="1056"/>
    </row>
    <row r="112" spans="1:1881" s="1060" customFormat="1" ht="108.75" hidden="1" customHeight="1" thickBot="1" x14ac:dyDescent="0.35">
      <c r="A112" s="1071">
        <v>37</v>
      </c>
      <c r="B112" s="1069" t="s">
        <v>345</v>
      </c>
      <c r="C112" s="808" t="s">
        <v>1030</v>
      </c>
      <c r="D112" s="1075" t="s">
        <v>1383</v>
      </c>
      <c r="E112" s="1053" t="e">
        <f>HLOOKUP($D$2,'2020 Data(H)'!$C$1:$AI$426,25,FALSE)</f>
        <v>#N/A</v>
      </c>
      <c r="F112" s="287">
        <v>0</v>
      </c>
      <c r="G112" s="722"/>
      <c r="H112" s="764"/>
      <c r="I112" s="1055"/>
      <c r="J112" s="1068"/>
      <c r="K112" s="1056"/>
      <c r="L112" s="1057"/>
      <c r="M112" s="1056"/>
      <c r="N112" s="1058"/>
      <c r="O112" s="1056"/>
      <c r="P112" s="1056"/>
      <c r="Q112" s="1056"/>
      <c r="R112" s="1056"/>
      <c r="S112" s="1056"/>
      <c r="T112" s="1056"/>
      <c r="U112" s="1056"/>
      <c r="V112" s="1056"/>
      <c r="W112" s="1056"/>
      <c r="X112" s="1056"/>
      <c r="Y112" s="1056"/>
      <c r="Z112" s="1073"/>
      <c r="AA112" s="1073"/>
      <c r="AB112" s="1073"/>
      <c r="AC112" s="1073"/>
      <c r="AD112" s="1073"/>
      <c r="AE112" s="1073"/>
      <c r="AF112" s="1073"/>
      <c r="AG112" s="1073"/>
      <c r="AH112" s="1073"/>
      <c r="AI112" s="1073"/>
      <c r="AJ112" s="1073"/>
      <c r="AK112" s="1073"/>
      <c r="AL112" s="1073"/>
      <c r="AM112" s="1073"/>
      <c r="AN112" s="1073"/>
      <c r="AO112" s="1073"/>
      <c r="AP112" s="1073"/>
      <c r="AQ112" s="1073"/>
      <c r="AR112" s="1073"/>
      <c r="AS112" s="1056"/>
      <c r="AT112" s="1056"/>
      <c r="AU112" s="1056"/>
      <c r="AV112" s="1056"/>
      <c r="AW112" s="1056"/>
      <c r="AX112" s="1056"/>
      <c r="AY112" s="1056"/>
      <c r="AZ112" s="1056"/>
      <c r="BA112" s="1056"/>
      <c r="BB112" s="1056"/>
      <c r="BC112" s="1056"/>
      <c r="BD112" s="1056"/>
      <c r="BE112" s="1056"/>
      <c r="BF112" s="1056"/>
      <c r="BG112" s="1056"/>
      <c r="BH112" s="1056"/>
      <c r="BI112" s="1056"/>
      <c r="BJ112" s="1056"/>
      <c r="BK112" s="1056"/>
      <c r="BL112" s="1056"/>
      <c r="BM112" s="1056"/>
      <c r="BN112" s="1056"/>
      <c r="BO112" s="1056"/>
      <c r="BP112" s="1056"/>
      <c r="BQ112" s="1056"/>
      <c r="BR112" s="1056"/>
      <c r="BS112" s="1056"/>
      <c r="BT112" s="1056"/>
      <c r="BU112" s="1056"/>
      <c r="BV112" s="1056"/>
      <c r="BW112" s="1056"/>
      <c r="BX112" s="1056"/>
      <c r="BY112" s="1056"/>
      <c r="BZ112" s="1056"/>
      <c r="CA112" s="1056"/>
      <c r="CB112" s="1056"/>
      <c r="CC112" s="1056"/>
      <c r="CD112" s="1056"/>
      <c r="CE112" s="1056"/>
      <c r="CF112" s="1056"/>
      <c r="CG112" s="1056"/>
      <c r="CH112" s="1056"/>
      <c r="CI112" s="1056"/>
      <c r="CJ112" s="1056"/>
      <c r="CK112" s="1056"/>
      <c r="CL112" s="1056"/>
      <c r="CM112" s="1056"/>
      <c r="CN112" s="1056"/>
      <c r="CO112" s="1056"/>
      <c r="CP112" s="1056"/>
      <c r="CQ112" s="1056"/>
      <c r="CR112" s="1056"/>
      <c r="CS112" s="1056"/>
      <c r="CT112" s="1056"/>
      <c r="CU112" s="1056"/>
      <c r="CV112" s="1056"/>
      <c r="CW112" s="1056"/>
      <c r="CX112" s="1056"/>
      <c r="CY112" s="1056"/>
      <c r="CZ112" s="1056"/>
      <c r="DA112" s="1056"/>
      <c r="DB112" s="1056"/>
      <c r="DC112" s="1056"/>
      <c r="DD112" s="1056"/>
      <c r="DE112" s="1056"/>
      <c r="DF112" s="1056"/>
      <c r="DG112" s="1056"/>
      <c r="DH112" s="1056"/>
      <c r="DI112" s="1056"/>
      <c r="DJ112" s="1056"/>
      <c r="DK112" s="1056"/>
      <c r="DL112" s="1056"/>
      <c r="DM112" s="1056"/>
      <c r="DN112" s="1056"/>
      <c r="DO112" s="1056"/>
      <c r="DP112" s="1056"/>
      <c r="DQ112" s="1056"/>
      <c r="DR112" s="1056"/>
      <c r="DS112" s="1056"/>
      <c r="DT112" s="1056"/>
      <c r="DU112" s="1056"/>
      <c r="DV112" s="1056"/>
      <c r="DW112" s="1056"/>
      <c r="DX112" s="1056"/>
      <c r="DY112" s="1056"/>
      <c r="DZ112" s="1056"/>
      <c r="EA112" s="1056"/>
      <c r="EB112" s="1056"/>
      <c r="EC112" s="1056"/>
      <c r="ED112" s="1056"/>
      <c r="EE112" s="1056"/>
      <c r="EF112" s="1056"/>
      <c r="EG112" s="1056"/>
      <c r="EH112" s="1056"/>
      <c r="EI112" s="1056"/>
      <c r="EJ112" s="1056"/>
      <c r="EK112" s="1056"/>
      <c r="EL112" s="1056"/>
      <c r="EM112" s="1056"/>
      <c r="EN112" s="1056"/>
      <c r="EO112" s="1056"/>
      <c r="EP112" s="1056"/>
      <c r="EQ112" s="1056"/>
      <c r="ER112" s="1056"/>
      <c r="ES112" s="1056"/>
      <c r="ET112" s="1056"/>
      <c r="EU112" s="1056"/>
      <c r="EV112" s="1056"/>
      <c r="EW112" s="1056"/>
      <c r="EX112" s="1056"/>
      <c r="EY112" s="1056"/>
      <c r="EZ112" s="1056"/>
      <c r="FA112" s="1056"/>
      <c r="FB112" s="1056"/>
      <c r="FC112" s="1056"/>
      <c r="FD112" s="1056"/>
      <c r="FE112" s="1056"/>
      <c r="FF112" s="1056"/>
      <c r="FG112" s="1056"/>
      <c r="FH112" s="1056"/>
      <c r="FI112" s="1056"/>
      <c r="FJ112" s="1056"/>
      <c r="FK112" s="1056"/>
      <c r="FL112" s="1056"/>
      <c r="FM112" s="1056"/>
      <c r="FN112" s="1056"/>
      <c r="FO112" s="1056"/>
      <c r="FP112" s="1056"/>
      <c r="FQ112" s="1056"/>
      <c r="FR112" s="1056"/>
      <c r="FS112" s="1056"/>
      <c r="FT112" s="1056"/>
      <c r="FU112" s="1056"/>
      <c r="FV112" s="1056"/>
      <c r="FW112" s="1056"/>
      <c r="FX112" s="1056"/>
      <c r="FY112" s="1056"/>
      <c r="FZ112" s="1056"/>
      <c r="GA112" s="1056"/>
      <c r="GB112" s="1056"/>
      <c r="GC112" s="1056"/>
      <c r="GD112" s="1056"/>
      <c r="GE112" s="1056"/>
      <c r="GF112" s="1056"/>
      <c r="GG112" s="1056"/>
      <c r="GH112" s="1056"/>
      <c r="GI112" s="1056"/>
      <c r="GJ112" s="1056"/>
      <c r="GK112" s="1056"/>
      <c r="GL112" s="1056"/>
      <c r="GM112" s="1056"/>
      <c r="GN112" s="1056"/>
      <c r="GO112" s="1056"/>
      <c r="GP112" s="1056"/>
      <c r="GQ112" s="1056"/>
      <c r="GR112" s="1056"/>
      <c r="GS112" s="1056"/>
      <c r="GT112" s="1056"/>
      <c r="GU112" s="1056"/>
      <c r="GV112" s="1056"/>
      <c r="GW112" s="1056"/>
      <c r="GX112" s="1056"/>
      <c r="GY112" s="1056"/>
      <c r="GZ112" s="1056"/>
      <c r="HA112" s="1056"/>
      <c r="HB112" s="1056"/>
      <c r="HC112" s="1056"/>
      <c r="HD112" s="1056"/>
      <c r="HE112" s="1056"/>
      <c r="HF112" s="1056"/>
      <c r="HG112" s="1056"/>
      <c r="HH112" s="1056"/>
      <c r="HI112" s="1056"/>
      <c r="HJ112" s="1056"/>
      <c r="HK112" s="1056"/>
      <c r="HL112" s="1056"/>
      <c r="HM112" s="1056"/>
      <c r="HN112" s="1056"/>
      <c r="HO112" s="1056"/>
      <c r="HP112" s="1056"/>
      <c r="HQ112" s="1056"/>
      <c r="HR112" s="1056"/>
      <c r="HS112" s="1056"/>
      <c r="HT112" s="1056"/>
      <c r="HU112" s="1056"/>
      <c r="HV112" s="1056"/>
      <c r="HW112" s="1056"/>
      <c r="HX112" s="1056"/>
      <c r="HY112" s="1056"/>
      <c r="HZ112" s="1056"/>
      <c r="IA112" s="1056"/>
      <c r="IB112" s="1056"/>
      <c r="IC112" s="1056"/>
      <c r="ID112" s="1056"/>
      <c r="IE112" s="1056"/>
      <c r="IF112" s="1056"/>
      <c r="IG112" s="1056"/>
      <c r="IH112" s="1056"/>
      <c r="II112" s="1056"/>
      <c r="IJ112" s="1056"/>
      <c r="IK112" s="1056"/>
      <c r="IL112" s="1056"/>
      <c r="IM112" s="1056"/>
      <c r="IN112" s="1056"/>
      <c r="IO112" s="1056"/>
      <c r="IP112" s="1056"/>
      <c r="IQ112" s="1056"/>
      <c r="IR112" s="1056"/>
      <c r="IS112" s="1056"/>
      <c r="IT112" s="1056"/>
      <c r="IU112" s="1056"/>
      <c r="IV112" s="1056"/>
      <c r="IW112" s="1056"/>
      <c r="IX112" s="1056"/>
      <c r="IY112" s="1056"/>
      <c r="IZ112" s="1056"/>
      <c r="JA112" s="1056"/>
      <c r="JB112" s="1056"/>
      <c r="JC112" s="1056"/>
      <c r="JD112" s="1056"/>
      <c r="JE112" s="1056"/>
      <c r="JF112" s="1056"/>
      <c r="JG112" s="1056"/>
      <c r="JH112" s="1056"/>
      <c r="JI112" s="1056"/>
      <c r="JJ112" s="1056"/>
      <c r="JK112" s="1056"/>
      <c r="JL112" s="1056"/>
      <c r="JM112" s="1056"/>
      <c r="JN112" s="1056"/>
      <c r="JO112" s="1056"/>
      <c r="JP112" s="1056"/>
      <c r="JQ112" s="1056"/>
      <c r="JR112" s="1056"/>
      <c r="JS112" s="1056"/>
      <c r="JT112" s="1056"/>
      <c r="JU112" s="1056"/>
      <c r="JV112" s="1056"/>
      <c r="JW112" s="1056"/>
      <c r="JX112" s="1056"/>
      <c r="JY112" s="1056"/>
      <c r="JZ112" s="1056"/>
      <c r="KA112" s="1056"/>
      <c r="KB112" s="1056"/>
      <c r="KC112" s="1056"/>
      <c r="KD112" s="1056"/>
      <c r="KE112" s="1056"/>
      <c r="KF112" s="1056"/>
      <c r="KG112" s="1056"/>
      <c r="KH112" s="1056"/>
      <c r="KI112" s="1056"/>
      <c r="KJ112" s="1056"/>
      <c r="KK112" s="1056"/>
      <c r="KL112" s="1056"/>
      <c r="KM112" s="1056"/>
      <c r="KN112" s="1056"/>
      <c r="KO112" s="1056"/>
      <c r="KP112" s="1056"/>
      <c r="KQ112" s="1056"/>
      <c r="KR112" s="1056"/>
      <c r="KS112" s="1056"/>
      <c r="KT112" s="1056"/>
      <c r="KU112" s="1056"/>
      <c r="KV112" s="1056"/>
      <c r="KW112" s="1056"/>
      <c r="KX112" s="1056"/>
      <c r="KY112" s="1056"/>
      <c r="KZ112" s="1056"/>
      <c r="LA112" s="1056"/>
      <c r="LB112" s="1056"/>
      <c r="LC112" s="1056"/>
      <c r="LD112" s="1056"/>
      <c r="LE112" s="1056"/>
      <c r="LF112" s="1056"/>
      <c r="LG112" s="1056"/>
      <c r="LH112" s="1056"/>
      <c r="LI112" s="1056"/>
      <c r="LJ112" s="1056"/>
      <c r="LK112" s="1056"/>
      <c r="LL112" s="1056"/>
      <c r="LM112" s="1056"/>
      <c r="LN112" s="1056"/>
      <c r="LO112" s="1056"/>
      <c r="LP112" s="1056"/>
      <c r="LQ112" s="1056"/>
      <c r="LR112" s="1056"/>
      <c r="LS112" s="1056"/>
      <c r="LT112" s="1056"/>
      <c r="LU112" s="1056"/>
      <c r="LV112" s="1056"/>
      <c r="LW112" s="1056"/>
      <c r="LX112" s="1056"/>
      <c r="LY112" s="1056"/>
      <c r="LZ112" s="1056"/>
      <c r="MA112" s="1056"/>
      <c r="MB112" s="1056"/>
      <c r="MC112" s="1056"/>
      <c r="MD112" s="1056"/>
      <c r="ME112" s="1056"/>
      <c r="MF112" s="1056"/>
      <c r="MG112" s="1056"/>
      <c r="MH112" s="1056"/>
      <c r="MI112" s="1056"/>
      <c r="MJ112" s="1056"/>
      <c r="MK112" s="1056"/>
      <c r="ML112" s="1056"/>
      <c r="MM112" s="1056"/>
      <c r="MN112" s="1056"/>
      <c r="MO112" s="1056"/>
      <c r="MP112" s="1056"/>
      <c r="MQ112" s="1056"/>
      <c r="MR112" s="1056"/>
      <c r="MS112" s="1056"/>
      <c r="MT112" s="1056"/>
      <c r="MU112" s="1056"/>
      <c r="MV112" s="1056"/>
      <c r="MW112" s="1056"/>
      <c r="MX112" s="1056"/>
      <c r="MY112" s="1056"/>
      <c r="MZ112" s="1056"/>
      <c r="NA112" s="1056"/>
      <c r="NB112" s="1056"/>
      <c r="NC112" s="1056"/>
      <c r="ND112" s="1056"/>
      <c r="NE112" s="1056"/>
      <c r="NF112" s="1056"/>
      <c r="NG112" s="1056"/>
      <c r="NH112" s="1056"/>
      <c r="NI112" s="1056"/>
      <c r="NJ112" s="1056"/>
      <c r="NK112" s="1056"/>
      <c r="NL112" s="1056"/>
      <c r="NM112" s="1056"/>
      <c r="NN112" s="1056"/>
      <c r="NO112" s="1056"/>
      <c r="NP112" s="1056"/>
      <c r="NQ112" s="1056"/>
      <c r="NR112" s="1056"/>
      <c r="NS112" s="1056"/>
      <c r="NT112" s="1056"/>
      <c r="NU112" s="1056"/>
      <c r="NV112" s="1056"/>
      <c r="NW112" s="1056"/>
      <c r="NX112" s="1056"/>
      <c r="NY112" s="1056"/>
      <c r="NZ112" s="1056"/>
      <c r="OA112" s="1056"/>
      <c r="OB112" s="1056"/>
      <c r="OC112" s="1056"/>
      <c r="OD112" s="1056"/>
      <c r="OE112" s="1056"/>
      <c r="OF112" s="1056"/>
      <c r="OG112" s="1056"/>
      <c r="OH112" s="1056"/>
      <c r="OI112" s="1056"/>
      <c r="OJ112" s="1056"/>
      <c r="OK112" s="1056"/>
      <c r="OL112" s="1056"/>
      <c r="OM112" s="1056"/>
      <c r="ON112" s="1056"/>
      <c r="OO112" s="1056"/>
      <c r="OP112" s="1056"/>
      <c r="OQ112" s="1056"/>
      <c r="OR112" s="1056"/>
      <c r="OS112" s="1056"/>
      <c r="OT112" s="1056"/>
      <c r="OU112" s="1056"/>
      <c r="OV112" s="1056"/>
      <c r="OW112" s="1056"/>
      <c r="OX112" s="1056"/>
      <c r="OY112" s="1056"/>
      <c r="OZ112" s="1056"/>
      <c r="PA112" s="1056"/>
      <c r="PB112" s="1056"/>
      <c r="PC112" s="1056"/>
      <c r="PD112" s="1056"/>
      <c r="PE112" s="1056"/>
      <c r="PF112" s="1056"/>
      <c r="PG112" s="1056"/>
      <c r="PH112" s="1056"/>
      <c r="PI112" s="1056"/>
      <c r="PJ112" s="1056"/>
      <c r="PK112" s="1056"/>
      <c r="PL112" s="1056"/>
      <c r="PM112" s="1056"/>
      <c r="PN112" s="1056"/>
      <c r="PO112" s="1056"/>
      <c r="PP112" s="1056"/>
      <c r="PQ112" s="1056"/>
      <c r="PR112" s="1056"/>
      <c r="PS112" s="1056"/>
      <c r="PT112" s="1056"/>
      <c r="PU112" s="1056"/>
      <c r="PV112" s="1056"/>
      <c r="PW112" s="1056"/>
      <c r="PX112" s="1056"/>
      <c r="PY112" s="1056"/>
      <c r="PZ112" s="1056"/>
      <c r="QA112" s="1056"/>
      <c r="QB112" s="1056"/>
      <c r="QC112" s="1056"/>
      <c r="QD112" s="1056"/>
      <c r="QE112" s="1056"/>
      <c r="QF112" s="1056"/>
      <c r="QG112" s="1056"/>
      <c r="QH112" s="1056"/>
      <c r="QI112" s="1056"/>
      <c r="QJ112" s="1056"/>
      <c r="QK112" s="1056"/>
      <c r="QL112" s="1056"/>
      <c r="QM112" s="1056"/>
      <c r="QN112" s="1056"/>
      <c r="QO112" s="1056"/>
      <c r="QP112" s="1056"/>
      <c r="QQ112" s="1056"/>
      <c r="QR112" s="1056"/>
      <c r="QS112" s="1056"/>
      <c r="QT112" s="1056"/>
      <c r="QU112" s="1056"/>
      <c r="QV112" s="1056"/>
      <c r="QW112" s="1056"/>
      <c r="QX112" s="1056"/>
      <c r="QY112" s="1056"/>
      <c r="QZ112" s="1056"/>
      <c r="RA112" s="1056"/>
      <c r="RB112" s="1056"/>
      <c r="RC112" s="1056"/>
      <c r="RD112" s="1056"/>
      <c r="RE112" s="1056"/>
      <c r="RF112" s="1056"/>
      <c r="RG112" s="1056"/>
      <c r="RH112" s="1056"/>
      <c r="RI112" s="1056"/>
      <c r="RJ112" s="1056"/>
      <c r="RK112" s="1056"/>
      <c r="RL112" s="1056"/>
      <c r="RM112" s="1056"/>
      <c r="RN112" s="1056"/>
      <c r="RO112" s="1056"/>
      <c r="RP112" s="1056"/>
      <c r="RQ112" s="1056"/>
      <c r="RR112" s="1056"/>
      <c r="RS112" s="1056"/>
      <c r="RT112" s="1056"/>
      <c r="RU112" s="1056"/>
      <c r="RV112" s="1056"/>
      <c r="RW112" s="1056"/>
      <c r="RX112" s="1056"/>
      <c r="RY112" s="1056"/>
      <c r="RZ112" s="1056"/>
      <c r="SA112" s="1056"/>
      <c r="SB112" s="1056"/>
      <c r="SC112" s="1056"/>
      <c r="SD112" s="1056"/>
      <c r="SE112" s="1056"/>
      <c r="SF112" s="1056"/>
      <c r="SG112" s="1056"/>
      <c r="SH112" s="1056"/>
      <c r="SI112" s="1056"/>
      <c r="SJ112" s="1056"/>
      <c r="SK112" s="1056"/>
      <c r="SL112" s="1056"/>
      <c r="SM112" s="1056"/>
      <c r="SN112" s="1056"/>
      <c r="SO112" s="1056"/>
      <c r="SP112" s="1056"/>
      <c r="SQ112" s="1056"/>
      <c r="SR112" s="1056"/>
      <c r="SS112" s="1056"/>
      <c r="ST112" s="1056"/>
      <c r="SU112" s="1056"/>
      <c r="SV112" s="1056"/>
      <c r="SW112" s="1056"/>
      <c r="SX112" s="1056"/>
      <c r="SY112" s="1056"/>
      <c r="SZ112" s="1056"/>
      <c r="TA112" s="1056"/>
      <c r="TB112" s="1056"/>
      <c r="TC112" s="1056"/>
      <c r="TD112" s="1056"/>
      <c r="TE112" s="1056"/>
      <c r="TF112" s="1056"/>
      <c r="TG112" s="1056"/>
      <c r="TH112" s="1056"/>
      <c r="TI112" s="1056"/>
      <c r="TJ112" s="1056"/>
      <c r="TK112" s="1056"/>
      <c r="TL112" s="1056"/>
      <c r="TM112" s="1056"/>
      <c r="TN112" s="1056"/>
      <c r="TO112" s="1056"/>
      <c r="TP112" s="1056"/>
      <c r="TQ112" s="1056"/>
      <c r="TR112" s="1056"/>
      <c r="TS112" s="1056"/>
      <c r="TT112" s="1056"/>
      <c r="TU112" s="1056"/>
      <c r="TV112" s="1056"/>
      <c r="TW112" s="1056"/>
      <c r="TX112" s="1056"/>
      <c r="TY112" s="1056"/>
      <c r="TZ112" s="1056"/>
      <c r="UA112" s="1056"/>
      <c r="UB112" s="1056"/>
      <c r="UC112" s="1056"/>
      <c r="UD112" s="1056"/>
      <c r="UE112" s="1056"/>
      <c r="UF112" s="1056"/>
      <c r="UG112" s="1056"/>
      <c r="UH112" s="1056"/>
      <c r="UI112" s="1056"/>
      <c r="UJ112" s="1056"/>
      <c r="UK112" s="1056"/>
      <c r="UL112" s="1056"/>
      <c r="UM112" s="1056"/>
      <c r="UN112" s="1056"/>
      <c r="UO112" s="1056"/>
      <c r="UP112" s="1056"/>
      <c r="UQ112" s="1056"/>
      <c r="UR112" s="1056"/>
      <c r="US112" s="1056"/>
      <c r="UT112" s="1056"/>
      <c r="UU112" s="1056"/>
      <c r="UV112" s="1056"/>
      <c r="UW112" s="1056"/>
      <c r="UX112" s="1056"/>
      <c r="UY112" s="1056"/>
      <c r="UZ112" s="1056"/>
      <c r="VA112" s="1056"/>
      <c r="VB112" s="1056"/>
      <c r="VC112" s="1056"/>
      <c r="VD112" s="1056"/>
      <c r="VE112" s="1056"/>
      <c r="VF112" s="1056"/>
      <c r="VG112" s="1056"/>
      <c r="VH112" s="1056"/>
      <c r="VI112" s="1056"/>
      <c r="VJ112" s="1056"/>
      <c r="VK112" s="1056"/>
      <c r="VL112" s="1056"/>
      <c r="VM112" s="1056"/>
      <c r="VN112" s="1056"/>
      <c r="VO112" s="1056"/>
      <c r="VP112" s="1056"/>
      <c r="VQ112" s="1056"/>
      <c r="VR112" s="1056"/>
      <c r="VS112" s="1056"/>
      <c r="VT112" s="1056"/>
      <c r="VU112" s="1056"/>
      <c r="VV112" s="1056"/>
      <c r="VW112" s="1056"/>
      <c r="VX112" s="1056"/>
      <c r="VY112" s="1056"/>
      <c r="VZ112" s="1056"/>
      <c r="WA112" s="1056"/>
      <c r="WB112" s="1056"/>
      <c r="WC112" s="1056"/>
      <c r="WD112" s="1056"/>
      <c r="WE112" s="1056"/>
      <c r="WF112" s="1056"/>
      <c r="WG112" s="1056"/>
      <c r="WH112" s="1056"/>
      <c r="WI112" s="1056"/>
      <c r="WJ112" s="1056"/>
      <c r="WK112" s="1056"/>
      <c r="WL112" s="1056"/>
      <c r="WM112" s="1056"/>
      <c r="WN112" s="1056"/>
      <c r="WO112" s="1056"/>
      <c r="WP112" s="1056"/>
      <c r="WQ112" s="1056"/>
      <c r="WR112" s="1056"/>
      <c r="WS112" s="1056"/>
      <c r="WT112" s="1056"/>
      <c r="WU112" s="1056"/>
      <c r="WV112" s="1056"/>
      <c r="WW112" s="1056"/>
      <c r="WX112" s="1056"/>
      <c r="WY112" s="1056"/>
      <c r="WZ112" s="1056"/>
      <c r="XA112" s="1056"/>
      <c r="XB112" s="1056"/>
      <c r="XC112" s="1056"/>
      <c r="XD112" s="1056"/>
      <c r="XE112" s="1056"/>
      <c r="XF112" s="1056"/>
      <c r="XG112" s="1056"/>
      <c r="XH112" s="1056"/>
      <c r="XI112" s="1056"/>
      <c r="XJ112" s="1056"/>
      <c r="XK112" s="1056"/>
      <c r="XL112" s="1056"/>
      <c r="XM112" s="1056"/>
      <c r="XN112" s="1056"/>
      <c r="XO112" s="1056"/>
      <c r="XP112" s="1056"/>
      <c r="XQ112" s="1056"/>
      <c r="XR112" s="1056"/>
      <c r="XS112" s="1056"/>
      <c r="XT112" s="1056"/>
      <c r="XU112" s="1056"/>
      <c r="XV112" s="1056"/>
      <c r="XW112" s="1056"/>
      <c r="XX112" s="1056"/>
      <c r="XY112" s="1056"/>
      <c r="XZ112" s="1056"/>
      <c r="YA112" s="1056"/>
      <c r="YB112" s="1056"/>
      <c r="YC112" s="1056"/>
      <c r="YD112" s="1056"/>
      <c r="YE112" s="1056"/>
      <c r="YF112" s="1056"/>
      <c r="YG112" s="1056"/>
      <c r="YH112" s="1056"/>
      <c r="YI112" s="1056"/>
      <c r="YJ112" s="1056"/>
      <c r="YK112" s="1056"/>
      <c r="YL112" s="1056"/>
      <c r="YM112" s="1056"/>
      <c r="YN112" s="1056"/>
      <c r="YO112" s="1056"/>
      <c r="YP112" s="1056"/>
      <c r="YQ112" s="1056"/>
      <c r="YR112" s="1056"/>
      <c r="YS112" s="1056"/>
      <c r="YT112" s="1056"/>
      <c r="YU112" s="1056"/>
      <c r="YV112" s="1056"/>
      <c r="YW112" s="1056"/>
      <c r="YX112" s="1056"/>
      <c r="YY112" s="1056"/>
      <c r="YZ112" s="1056"/>
      <c r="ZA112" s="1056"/>
      <c r="ZB112" s="1056"/>
      <c r="ZC112" s="1056"/>
      <c r="ZD112" s="1056"/>
      <c r="ZE112" s="1056"/>
      <c r="ZF112" s="1056"/>
      <c r="ZG112" s="1056"/>
      <c r="ZH112" s="1056"/>
      <c r="ZI112" s="1056"/>
      <c r="ZJ112" s="1056"/>
      <c r="ZK112" s="1056"/>
      <c r="ZL112" s="1056"/>
      <c r="ZM112" s="1056"/>
      <c r="ZN112" s="1056"/>
      <c r="ZO112" s="1056"/>
      <c r="ZP112" s="1056"/>
      <c r="ZQ112" s="1056"/>
      <c r="ZR112" s="1056"/>
      <c r="ZS112" s="1056"/>
      <c r="ZT112" s="1056"/>
      <c r="ZU112" s="1056"/>
      <c r="ZV112" s="1056"/>
      <c r="ZW112" s="1056"/>
      <c r="ZX112" s="1056"/>
      <c r="ZY112" s="1056"/>
      <c r="ZZ112" s="1056"/>
      <c r="AAA112" s="1056"/>
      <c r="AAB112" s="1056"/>
      <c r="AAC112" s="1056"/>
      <c r="AAD112" s="1056"/>
      <c r="AAE112" s="1056"/>
      <c r="AAF112" s="1056"/>
      <c r="AAG112" s="1056"/>
      <c r="AAH112" s="1056"/>
      <c r="AAI112" s="1056"/>
      <c r="AAJ112" s="1056"/>
      <c r="AAK112" s="1056"/>
      <c r="AAL112" s="1056"/>
      <c r="AAM112" s="1056"/>
      <c r="AAN112" s="1056"/>
      <c r="AAO112" s="1056"/>
      <c r="AAP112" s="1056"/>
      <c r="AAQ112" s="1056"/>
      <c r="AAR112" s="1056"/>
      <c r="AAS112" s="1056"/>
      <c r="AAT112" s="1056"/>
      <c r="AAU112" s="1056"/>
      <c r="AAV112" s="1056"/>
      <c r="AAW112" s="1056"/>
      <c r="AAX112" s="1056"/>
      <c r="AAY112" s="1056"/>
      <c r="AAZ112" s="1056"/>
      <c r="ABA112" s="1056"/>
      <c r="ABB112" s="1056"/>
      <c r="ABC112" s="1056"/>
      <c r="ABD112" s="1056"/>
      <c r="ABE112" s="1056"/>
      <c r="ABF112" s="1056"/>
      <c r="ABG112" s="1056"/>
      <c r="ABH112" s="1056"/>
      <c r="ABI112" s="1056"/>
      <c r="ABJ112" s="1056"/>
      <c r="ABK112" s="1056"/>
      <c r="ABL112" s="1056"/>
      <c r="ABM112" s="1056"/>
      <c r="ABN112" s="1056"/>
      <c r="ABO112" s="1056"/>
      <c r="ABP112" s="1056"/>
      <c r="ABQ112" s="1056"/>
      <c r="ABR112" s="1056"/>
      <c r="ABS112" s="1056"/>
      <c r="ABT112" s="1056"/>
      <c r="ABU112" s="1056"/>
      <c r="ABV112" s="1056"/>
      <c r="ABW112" s="1056"/>
      <c r="ABX112" s="1056"/>
      <c r="ABY112" s="1056"/>
      <c r="ABZ112" s="1056"/>
      <c r="ACA112" s="1056"/>
      <c r="ACB112" s="1056"/>
      <c r="ACC112" s="1056"/>
      <c r="ACD112" s="1056"/>
      <c r="ACE112" s="1056"/>
      <c r="ACF112" s="1056"/>
      <c r="ACG112" s="1056"/>
      <c r="ACH112" s="1056"/>
      <c r="ACI112" s="1056"/>
      <c r="ACJ112" s="1056"/>
      <c r="ACK112" s="1056"/>
      <c r="ACL112" s="1056"/>
      <c r="ACM112" s="1056"/>
      <c r="ACN112" s="1056"/>
      <c r="ACO112" s="1056"/>
      <c r="ACP112" s="1056"/>
      <c r="ACQ112" s="1056"/>
      <c r="ACR112" s="1056"/>
      <c r="ACS112" s="1056"/>
      <c r="ACT112" s="1056"/>
      <c r="ACU112" s="1056"/>
      <c r="ACV112" s="1056"/>
      <c r="ACW112" s="1056"/>
      <c r="ACX112" s="1056"/>
      <c r="ACY112" s="1056"/>
      <c r="ACZ112" s="1056"/>
      <c r="ADA112" s="1056"/>
      <c r="ADB112" s="1056"/>
      <c r="ADC112" s="1056"/>
      <c r="ADD112" s="1056"/>
      <c r="ADE112" s="1056"/>
      <c r="ADF112" s="1056"/>
      <c r="ADG112" s="1056"/>
      <c r="ADH112" s="1056"/>
      <c r="ADI112" s="1056"/>
      <c r="ADJ112" s="1056"/>
      <c r="ADK112" s="1056"/>
      <c r="ADL112" s="1056"/>
      <c r="ADM112" s="1056"/>
      <c r="ADN112" s="1056"/>
      <c r="ADO112" s="1056"/>
      <c r="ADP112" s="1056"/>
      <c r="ADQ112" s="1056"/>
      <c r="ADR112" s="1056"/>
      <c r="ADS112" s="1056"/>
      <c r="ADT112" s="1056"/>
      <c r="ADU112" s="1056"/>
      <c r="ADV112" s="1056"/>
      <c r="ADW112" s="1056"/>
      <c r="ADX112" s="1056"/>
      <c r="ADY112" s="1056"/>
      <c r="ADZ112" s="1056"/>
      <c r="AEA112" s="1056"/>
      <c r="AEB112" s="1056"/>
      <c r="AEC112" s="1056"/>
      <c r="AED112" s="1056"/>
      <c r="AEE112" s="1056"/>
      <c r="AEF112" s="1056"/>
      <c r="AEG112" s="1056"/>
      <c r="AEH112" s="1056"/>
      <c r="AEI112" s="1056"/>
      <c r="AEJ112" s="1056"/>
      <c r="AEK112" s="1056"/>
      <c r="AEL112" s="1056"/>
      <c r="AEM112" s="1056"/>
      <c r="AEN112" s="1056"/>
      <c r="AEO112" s="1056"/>
      <c r="AEP112" s="1056"/>
      <c r="AEQ112" s="1056"/>
      <c r="AER112" s="1056"/>
      <c r="AES112" s="1056"/>
      <c r="AET112" s="1056"/>
      <c r="AEU112" s="1056"/>
      <c r="AEV112" s="1056"/>
      <c r="AEW112" s="1056"/>
      <c r="AEX112" s="1056"/>
      <c r="AEY112" s="1056"/>
      <c r="AEZ112" s="1056"/>
      <c r="AFA112" s="1056"/>
      <c r="AFB112" s="1056"/>
      <c r="AFC112" s="1056"/>
      <c r="AFD112" s="1056"/>
      <c r="AFE112" s="1056"/>
      <c r="AFF112" s="1056"/>
      <c r="AFG112" s="1056"/>
      <c r="AFH112" s="1056"/>
      <c r="AFI112" s="1056"/>
      <c r="AFJ112" s="1056"/>
      <c r="AFK112" s="1056"/>
      <c r="AFL112" s="1056"/>
      <c r="AFM112" s="1056"/>
      <c r="AFN112" s="1056"/>
      <c r="AFO112" s="1056"/>
      <c r="AFP112" s="1056"/>
      <c r="AFQ112" s="1056"/>
      <c r="AFR112" s="1056"/>
      <c r="AFS112" s="1056"/>
      <c r="AFT112" s="1056"/>
      <c r="AFU112" s="1056"/>
      <c r="AFV112" s="1056"/>
      <c r="AFW112" s="1056"/>
      <c r="AFX112" s="1056"/>
      <c r="AFY112" s="1056"/>
      <c r="AFZ112" s="1056"/>
      <c r="AGA112" s="1056"/>
      <c r="AGB112" s="1056"/>
      <c r="AGC112" s="1056"/>
      <c r="AGD112" s="1056"/>
      <c r="AGE112" s="1056"/>
      <c r="AGF112" s="1056"/>
      <c r="AGG112" s="1056"/>
      <c r="AGH112" s="1056"/>
      <c r="AGI112" s="1056"/>
      <c r="AGJ112" s="1056"/>
      <c r="AGK112" s="1056"/>
      <c r="AGL112" s="1056"/>
      <c r="AGM112" s="1056"/>
      <c r="AGN112" s="1056"/>
      <c r="AGO112" s="1056"/>
      <c r="AGP112" s="1056"/>
      <c r="AGQ112" s="1056"/>
      <c r="AGR112" s="1056"/>
      <c r="AGS112" s="1056"/>
      <c r="AGT112" s="1056"/>
      <c r="AGU112" s="1056"/>
      <c r="AGV112" s="1056"/>
      <c r="AGW112" s="1056"/>
      <c r="AGX112" s="1056"/>
      <c r="AGY112" s="1056"/>
      <c r="AGZ112" s="1056"/>
      <c r="AHA112" s="1056"/>
      <c r="AHB112" s="1056"/>
      <c r="AHC112" s="1056"/>
      <c r="AHD112" s="1056"/>
      <c r="AHE112" s="1056"/>
      <c r="AHF112" s="1056"/>
      <c r="AHG112" s="1056"/>
      <c r="AHH112" s="1056"/>
      <c r="AHI112" s="1056"/>
      <c r="AHJ112" s="1056"/>
      <c r="AHK112" s="1056"/>
      <c r="AHL112" s="1056"/>
      <c r="AHM112" s="1056"/>
      <c r="AHN112" s="1056"/>
      <c r="AHO112" s="1056"/>
      <c r="AHP112" s="1056"/>
      <c r="AHQ112" s="1056"/>
      <c r="AHR112" s="1056"/>
      <c r="AHS112" s="1056"/>
      <c r="AHT112" s="1056"/>
      <c r="AHU112" s="1056"/>
      <c r="AHV112" s="1056"/>
      <c r="AHW112" s="1056"/>
      <c r="AHX112" s="1056"/>
      <c r="AHY112" s="1056"/>
      <c r="AHZ112" s="1056"/>
      <c r="AIA112" s="1056"/>
      <c r="AIB112" s="1056"/>
      <c r="AIC112" s="1056"/>
      <c r="AID112" s="1056"/>
      <c r="AIE112" s="1056"/>
      <c r="AIF112" s="1056"/>
      <c r="AIG112" s="1056"/>
      <c r="AIH112" s="1056"/>
      <c r="AII112" s="1056"/>
      <c r="AIJ112" s="1056"/>
      <c r="AIK112" s="1056"/>
      <c r="AIL112" s="1056"/>
      <c r="AIM112" s="1056"/>
      <c r="AIN112" s="1056"/>
      <c r="AIO112" s="1056"/>
      <c r="AIP112" s="1056"/>
      <c r="AIQ112" s="1056"/>
      <c r="AIR112" s="1056"/>
      <c r="AIS112" s="1056"/>
      <c r="AIT112" s="1056"/>
      <c r="AIU112" s="1056"/>
      <c r="AIV112" s="1056"/>
      <c r="AIW112" s="1056"/>
      <c r="AIX112" s="1056"/>
      <c r="AIY112" s="1056"/>
      <c r="AIZ112" s="1056"/>
      <c r="AJA112" s="1056"/>
      <c r="AJB112" s="1056"/>
      <c r="AJC112" s="1056"/>
      <c r="AJD112" s="1056"/>
      <c r="AJE112" s="1056"/>
      <c r="AJF112" s="1056"/>
      <c r="AJG112" s="1056"/>
      <c r="AJH112" s="1056"/>
      <c r="AJI112" s="1056"/>
      <c r="AJJ112" s="1056"/>
      <c r="AJK112" s="1056"/>
      <c r="AJL112" s="1056"/>
      <c r="AJM112" s="1056"/>
      <c r="AJN112" s="1056"/>
      <c r="AJO112" s="1056"/>
      <c r="AJP112" s="1056"/>
      <c r="AJQ112" s="1056"/>
      <c r="AJR112" s="1056"/>
      <c r="AJS112" s="1056"/>
      <c r="AJT112" s="1056"/>
      <c r="AJU112" s="1056"/>
      <c r="AJV112" s="1056"/>
      <c r="AJW112" s="1056"/>
      <c r="AJX112" s="1056"/>
      <c r="AJY112" s="1056"/>
      <c r="AJZ112" s="1056"/>
      <c r="AKA112" s="1056"/>
      <c r="AKB112" s="1056"/>
      <c r="AKC112" s="1056"/>
      <c r="AKD112" s="1056"/>
      <c r="AKE112" s="1056"/>
      <c r="AKF112" s="1056"/>
      <c r="AKG112" s="1056"/>
      <c r="AKH112" s="1056"/>
      <c r="AKI112" s="1056"/>
      <c r="AKJ112" s="1056"/>
      <c r="AKK112" s="1056"/>
      <c r="AKL112" s="1056"/>
      <c r="AKM112" s="1056"/>
      <c r="AKN112" s="1056"/>
      <c r="AKO112" s="1056"/>
      <c r="AKP112" s="1056"/>
      <c r="AKQ112" s="1056"/>
      <c r="AKR112" s="1056"/>
      <c r="AKS112" s="1056"/>
      <c r="AKT112" s="1056"/>
      <c r="AKU112" s="1056"/>
      <c r="AKV112" s="1056"/>
      <c r="AKW112" s="1056"/>
      <c r="AKX112" s="1056"/>
      <c r="AKY112" s="1056"/>
      <c r="AKZ112" s="1056"/>
      <c r="ALA112" s="1056"/>
      <c r="ALB112" s="1056"/>
      <c r="ALC112" s="1056"/>
      <c r="ALD112" s="1056"/>
      <c r="ALE112" s="1056"/>
      <c r="ALF112" s="1056"/>
      <c r="ALG112" s="1056"/>
      <c r="ALH112" s="1056"/>
      <c r="ALI112" s="1056"/>
      <c r="ALJ112" s="1056"/>
      <c r="ALK112" s="1056"/>
      <c r="ALL112" s="1056"/>
      <c r="ALM112" s="1056"/>
      <c r="ALN112" s="1056"/>
      <c r="ALO112" s="1056"/>
      <c r="ALP112" s="1056"/>
      <c r="ALQ112" s="1056"/>
      <c r="ALR112" s="1056"/>
      <c r="ALS112" s="1056"/>
      <c r="ALT112" s="1056"/>
      <c r="ALU112" s="1056"/>
      <c r="ALV112" s="1056"/>
      <c r="ALW112" s="1056"/>
      <c r="ALX112" s="1056"/>
      <c r="ALY112" s="1056"/>
      <c r="ALZ112" s="1056"/>
      <c r="AMA112" s="1056"/>
      <c r="AMB112" s="1056"/>
      <c r="AMC112" s="1056"/>
      <c r="AMD112" s="1056"/>
      <c r="AME112" s="1056"/>
      <c r="AMF112" s="1056"/>
      <c r="AMG112" s="1056"/>
      <c r="AMH112" s="1056"/>
      <c r="AMI112" s="1056"/>
      <c r="AMJ112" s="1056"/>
      <c r="AMK112" s="1056"/>
      <c r="AML112" s="1056"/>
      <c r="AMM112" s="1056"/>
      <c r="AMN112" s="1056"/>
      <c r="AMO112" s="1056"/>
      <c r="AMP112" s="1056"/>
      <c r="AMQ112" s="1056"/>
      <c r="AMR112" s="1056"/>
      <c r="AMS112" s="1056"/>
      <c r="AMT112" s="1056"/>
      <c r="AMU112" s="1056"/>
      <c r="AMV112" s="1056"/>
      <c r="AMW112" s="1056"/>
      <c r="AMX112" s="1056"/>
      <c r="AMY112" s="1056"/>
      <c r="AMZ112" s="1056"/>
      <c r="ANA112" s="1056"/>
      <c r="ANB112" s="1056"/>
      <c r="ANC112" s="1056"/>
      <c r="AND112" s="1056"/>
      <c r="ANE112" s="1056"/>
      <c r="ANF112" s="1056"/>
      <c r="ANG112" s="1056"/>
      <c r="ANH112" s="1056"/>
      <c r="ANI112" s="1056"/>
      <c r="ANJ112" s="1056"/>
      <c r="ANK112" s="1056"/>
      <c r="ANL112" s="1056"/>
      <c r="ANM112" s="1056"/>
      <c r="ANN112" s="1056"/>
      <c r="ANO112" s="1056"/>
      <c r="ANP112" s="1056"/>
      <c r="ANQ112" s="1056"/>
      <c r="ANR112" s="1056"/>
      <c r="ANS112" s="1056"/>
      <c r="ANT112" s="1056"/>
      <c r="ANU112" s="1056"/>
      <c r="ANV112" s="1056"/>
      <c r="ANW112" s="1056"/>
      <c r="ANX112" s="1056"/>
      <c r="ANY112" s="1056"/>
      <c r="ANZ112" s="1056"/>
      <c r="AOA112" s="1056"/>
      <c r="AOB112" s="1056"/>
      <c r="AOC112" s="1056"/>
      <c r="AOD112" s="1056"/>
      <c r="AOE112" s="1056"/>
      <c r="AOF112" s="1056"/>
      <c r="AOG112" s="1056"/>
      <c r="AOH112" s="1056"/>
      <c r="AOI112" s="1056"/>
      <c r="AOJ112" s="1056"/>
      <c r="AOK112" s="1056"/>
      <c r="AOL112" s="1056"/>
      <c r="AOM112" s="1056"/>
      <c r="AON112" s="1056"/>
      <c r="AOO112" s="1056"/>
      <c r="AOP112" s="1056"/>
      <c r="AOQ112" s="1056"/>
      <c r="AOR112" s="1056"/>
      <c r="AOS112" s="1056"/>
      <c r="AOT112" s="1056"/>
      <c r="AOU112" s="1056"/>
      <c r="AOV112" s="1056"/>
      <c r="AOW112" s="1056"/>
      <c r="AOX112" s="1056"/>
      <c r="AOY112" s="1056"/>
      <c r="AOZ112" s="1056"/>
      <c r="APA112" s="1056"/>
      <c r="APB112" s="1056"/>
      <c r="APC112" s="1056"/>
      <c r="APD112" s="1056"/>
      <c r="APE112" s="1056"/>
      <c r="APF112" s="1056"/>
      <c r="APG112" s="1056"/>
      <c r="APH112" s="1056"/>
      <c r="API112" s="1056"/>
      <c r="APJ112" s="1056"/>
      <c r="APK112" s="1056"/>
      <c r="APL112" s="1056"/>
      <c r="APM112" s="1056"/>
      <c r="APN112" s="1056"/>
      <c r="APO112" s="1056"/>
      <c r="APP112" s="1056"/>
      <c r="APQ112" s="1056"/>
      <c r="APR112" s="1056"/>
      <c r="APS112" s="1056"/>
      <c r="APT112" s="1056"/>
      <c r="APU112" s="1056"/>
      <c r="APV112" s="1056"/>
      <c r="APW112" s="1056"/>
      <c r="APX112" s="1056"/>
      <c r="APY112" s="1056"/>
      <c r="APZ112" s="1056"/>
      <c r="AQA112" s="1056"/>
      <c r="AQB112" s="1056"/>
      <c r="AQC112" s="1056"/>
      <c r="AQD112" s="1056"/>
      <c r="AQE112" s="1056"/>
      <c r="AQF112" s="1056"/>
      <c r="AQG112" s="1056"/>
      <c r="AQH112" s="1056"/>
      <c r="AQI112" s="1056"/>
      <c r="AQJ112" s="1056"/>
      <c r="AQK112" s="1056"/>
      <c r="AQL112" s="1056"/>
      <c r="AQM112" s="1056"/>
      <c r="AQN112" s="1056"/>
      <c r="AQO112" s="1056"/>
      <c r="AQP112" s="1056"/>
      <c r="AQQ112" s="1056"/>
      <c r="AQR112" s="1056"/>
      <c r="AQS112" s="1056"/>
      <c r="AQT112" s="1056"/>
      <c r="AQU112" s="1056"/>
      <c r="AQV112" s="1056"/>
      <c r="AQW112" s="1056"/>
      <c r="AQX112" s="1056"/>
      <c r="AQY112" s="1056"/>
      <c r="AQZ112" s="1056"/>
      <c r="ARA112" s="1056"/>
      <c r="ARB112" s="1056"/>
      <c r="ARC112" s="1056"/>
      <c r="ARD112" s="1056"/>
      <c r="ARE112" s="1056"/>
      <c r="ARF112" s="1056"/>
      <c r="ARG112" s="1056"/>
      <c r="ARH112" s="1056"/>
      <c r="ARI112" s="1056"/>
      <c r="ARJ112" s="1056"/>
      <c r="ARK112" s="1056"/>
      <c r="ARL112" s="1056"/>
      <c r="ARM112" s="1056"/>
      <c r="ARN112" s="1056"/>
      <c r="ARO112" s="1056"/>
      <c r="ARP112" s="1056"/>
      <c r="ARQ112" s="1056"/>
      <c r="ARR112" s="1056"/>
      <c r="ARS112" s="1056"/>
      <c r="ART112" s="1056"/>
      <c r="ARU112" s="1056"/>
      <c r="ARV112" s="1056"/>
      <c r="ARW112" s="1056"/>
      <c r="ARX112" s="1056"/>
      <c r="ARY112" s="1056"/>
      <c r="ARZ112" s="1056"/>
      <c r="ASA112" s="1056"/>
      <c r="ASB112" s="1056"/>
      <c r="ASC112" s="1056"/>
      <c r="ASD112" s="1056"/>
      <c r="ASE112" s="1056"/>
      <c r="ASF112" s="1056"/>
      <c r="ASG112" s="1056"/>
      <c r="ASH112" s="1056"/>
      <c r="ASI112" s="1056"/>
      <c r="ASJ112" s="1056"/>
      <c r="ASK112" s="1056"/>
      <c r="ASL112" s="1056"/>
      <c r="ASM112" s="1056"/>
      <c r="ASN112" s="1056"/>
      <c r="ASO112" s="1056"/>
      <c r="ASP112" s="1056"/>
      <c r="ASQ112" s="1056"/>
      <c r="ASR112" s="1056"/>
      <c r="ASS112" s="1056"/>
      <c r="AST112" s="1056"/>
      <c r="ASU112" s="1056"/>
      <c r="ASV112" s="1056"/>
      <c r="ASW112" s="1056"/>
      <c r="ASX112" s="1056"/>
      <c r="ASY112" s="1056"/>
      <c r="ASZ112" s="1056"/>
      <c r="ATA112" s="1056"/>
      <c r="ATB112" s="1056"/>
      <c r="ATC112" s="1056"/>
      <c r="ATD112" s="1056"/>
      <c r="ATE112" s="1056"/>
      <c r="ATF112" s="1056"/>
      <c r="ATG112" s="1056"/>
      <c r="ATH112" s="1056"/>
      <c r="ATI112" s="1056"/>
      <c r="ATJ112" s="1056"/>
      <c r="ATK112" s="1056"/>
      <c r="ATL112" s="1056"/>
      <c r="ATM112" s="1056"/>
      <c r="ATN112" s="1056"/>
      <c r="ATO112" s="1056"/>
      <c r="ATP112" s="1056"/>
      <c r="ATQ112" s="1056"/>
      <c r="ATR112" s="1056"/>
      <c r="ATS112" s="1056"/>
      <c r="ATT112" s="1056"/>
      <c r="ATU112" s="1056"/>
      <c r="ATV112" s="1056"/>
      <c r="ATW112" s="1056"/>
      <c r="ATX112" s="1056"/>
      <c r="ATY112" s="1056"/>
      <c r="ATZ112" s="1056"/>
      <c r="AUA112" s="1056"/>
      <c r="AUB112" s="1056"/>
      <c r="AUC112" s="1056"/>
      <c r="AUD112" s="1056"/>
      <c r="AUE112" s="1056"/>
      <c r="AUF112" s="1056"/>
      <c r="AUG112" s="1056"/>
      <c r="AUH112" s="1056"/>
      <c r="AUI112" s="1056"/>
      <c r="AUJ112" s="1056"/>
      <c r="AUK112" s="1056"/>
      <c r="AUL112" s="1056"/>
      <c r="AUM112" s="1056"/>
      <c r="AUN112" s="1056"/>
      <c r="AUO112" s="1056"/>
      <c r="AUP112" s="1056"/>
      <c r="AUQ112" s="1056"/>
      <c r="AUR112" s="1056"/>
      <c r="AUS112" s="1056"/>
      <c r="AUT112" s="1056"/>
      <c r="AUU112" s="1056"/>
      <c r="AUV112" s="1056"/>
      <c r="AUW112" s="1056"/>
      <c r="AUX112" s="1056"/>
      <c r="AUY112" s="1056"/>
      <c r="AUZ112" s="1056"/>
      <c r="AVA112" s="1056"/>
      <c r="AVB112" s="1056"/>
      <c r="AVC112" s="1056"/>
      <c r="AVD112" s="1056"/>
      <c r="AVE112" s="1056"/>
      <c r="AVF112" s="1056"/>
      <c r="AVG112" s="1056"/>
      <c r="AVH112" s="1056"/>
      <c r="AVI112" s="1056"/>
      <c r="AVJ112" s="1056"/>
      <c r="AVK112" s="1056"/>
      <c r="AVL112" s="1056"/>
      <c r="AVM112" s="1056"/>
      <c r="AVN112" s="1056"/>
      <c r="AVO112" s="1056"/>
      <c r="AVP112" s="1056"/>
      <c r="AVQ112" s="1056"/>
      <c r="AVR112" s="1056"/>
      <c r="AVS112" s="1056"/>
      <c r="AVT112" s="1056"/>
      <c r="AVU112" s="1056"/>
      <c r="AVV112" s="1056"/>
      <c r="AVW112" s="1056"/>
      <c r="AVX112" s="1056"/>
      <c r="AVY112" s="1056"/>
      <c r="AVZ112" s="1056"/>
      <c r="AWA112" s="1056"/>
      <c r="AWB112" s="1056"/>
      <c r="AWC112" s="1056"/>
      <c r="AWD112" s="1056"/>
      <c r="AWE112" s="1056"/>
      <c r="AWF112" s="1056"/>
      <c r="AWG112" s="1056"/>
      <c r="AWH112" s="1056"/>
      <c r="AWI112" s="1056"/>
      <c r="AWJ112" s="1056"/>
      <c r="AWK112" s="1056"/>
      <c r="AWL112" s="1056"/>
      <c r="AWM112" s="1056"/>
      <c r="AWN112" s="1056"/>
      <c r="AWO112" s="1056"/>
      <c r="AWP112" s="1056"/>
      <c r="AWQ112" s="1056"/>
      <c r="AWR112" s="1056"/>
      <c r="AWS112" s="1056"/>
      <c r="AWT112" s="1056"/>
      <c r="AWU112" s="1056"/>
      <c r="AWV112" s="1056"/>
      <c r="AWW112" s="1056"/>
      <c r="AWX112" s="1056"/>
      <c r="AWY112" s="1056"/>
      <c r="AWZ112" s="1056"/>
      <c r="AXA112" s="1056"/>
      <c r="AXB112" s="1056"/>
      <c r="AXC112" s="1056"/>
      <c r="AXD112" s="1056"/>
      <c r="AXE112" s="1056"/>
      <c r="AXF112" s="1056"/>
      <c r="AXG112" s="1056"/>
      <c r="AXH112" s="1056"/>
      <c r="AXI112" s="1056"/>
      <c r="AXJ112" s="1056"/>
      <c r="AXK112" s="1056"/>
      <c r="AXL112" s="1056"/>
      <c r="AXM112" s="1056"/>
      <c r="AXN112" s="1056"/>
      <c r="AXO112" s="1056"/>
      <c r="AXP112" s="1056"/>
      <c r="AXQ112" s="1056"/>
      <c r="AXR112" s="1056"/>
      <c r="AXS112" s="1056"/>
      <c r="AXT112" s="1056"/>
      <c r="AXU112" s="1056"/>
      <c r="AXV112" s="1056"/>
      <c r="AXW112" s="1056"/>
      <c r="AXX112" s="1056"/>
      <c r="AXY112" s="1056"/>
      <c r="AXZ112" s="1056"/>
      <c r="AYA112" s="1056"/>
      <c r="AYB112" s="1056"/>
      <c r="AYC112" s="1056"/>
      <c r="AYD112" s="1056"/>
      <c r="AYE112" s="1056"/>
      <c r="AYF112" s="1056"/>
      <c r="AYG112" s="1056"/>
      <c r="AYH112" s="1056"/>
      <c r="AYI112" s="1056"/>
      <c r="AYJ112" s="1056"/>
      <c r="AYK112" s="1056"/>
      <c r="AYL112" s="1056"/>
      <c r="AYM112" s="1056"/>
      <c r="AYN112" s="1056"/>
      <c r="AYO112" s="1056"/>
      <c r="AYP112" s="1056"/>
      <c r="AYQ112" s="1056"/>
      <c r="AYR112" s="1056"/>
      <c r="AYS112" s="1056"/>
      <c r="AYT112" s="1056"/>
      <c r="AYU112" s="1056"/>
      <c r="AYV112" s="1056"/>
      <c r="AYW112" s="1056"/>
      <c r="AYX112" s="1056"/>
      <c r="AYY112" s="1056"/>
      <c r="AYZ112" s="1056"/>
      <c r="AZA112" s="1056"/>
      <c r="AZB112" s="1056"/>
      <c r="AZC112" s="1056"/>
      <c r="AZD112" s="1056"/>
      <c r="AZE112" s="1056"/>
      <c r="AZF112" s="1056"/>
      <c r="AZG112" s="1056"/>
      <c r="AZH112" s="1056"/>
      <c r="AZI112" s="1056"/>
      <c r="AZJ112" s="1056"/>
      <c r="AZK112" s="1056"/>
      <c r="AZL112" s="1056"/>
      <c r="AZM112" s="1056"/>
      <c r="AZN112" s="1056"/>
      <c r="AZO112" s="1056"/>
      <c r="AZP112" s="1056"/>
      <c r="AZQ112" s="1056"/>
      <c r="AZR112" s="1056"/>
      <c r="AZS112" s="1056"/>
      <c r="AZT112" s="1056"/>
      <c r="AZU112" s="1056"/>
      <c r="AZV112" s="1056"/>
      <c r="AZW112" s="1056"/>
      <c r="AZX112" s="1056"/>
      <c r="AZY112" s="1056"/>
      <c r="AZZ112" s="1056"/>
      <c r="BAA112" s="1056"/>
      <c r="BAB112" s="1056"/>
      <c r="BAC112" s="1056"/>
      <c r="BAD112" s="1056"/>
      <c r="BAE112" s="1056"/>
      <c r="BAF112" s="1056"/>
      <c r="BAG112" s="1056"/>
      <c r="BAH112" s="1056"/>
      <c r="BAI112" s="1056"/>
      <c r="BAJ112" s="1056"/>
      <c r="BAK112" s="1056"/>
      <c r="BAL112" s="1056"/>
      <c r="BAM112" s="1056"/>
      <c r="BAN112" s="1056"/>
      <c r="BAO112" s="1056"/>
      <c r="BAP112" s="1056"/>
      <c r="BAQ112" s="1056"/>
      <c r="BAR112" s="1056"/>
      <c r="BAS112" s="1056"/>
      <c r="BAT112" s="1056"/>
      <c r="BAU112" s="1056"/>
      <c r="BAV112" s="1056"/>
      <c r="BAW112" s="1056"/>
      <c r="BAX112" s="1056"/>
      <c r="BAY112" s="1056"/>
      <c r="BAZ112" s="1056"/>
      <c r="BBA112" s="1056"/>
      <c r="BBB112" s="1056"/>
      <c r="BBC112" s="1056"/>
      <c r="BBD112" s="1056"/>
      <c r="BBE112" s="1056"/>
      <c r="BBF112" s="1056"/>
      <c r="BBG112" s="1056"/>
      <c r="BBH112" s="1056"/>
      <c r="BBI112" s="1056"/>
      <c r="BBJ112" s="1056"/>
      <c r="BBK112" s="1056"/>
      <c r="BBL112" s="1056"/>
      <c r="BBM112" s="1056"/>
      <c r="BBN112" s="1056"/>
      <c r="BBO112" s="1056"/>
      <c r="BBP112" s="1056"/>
      <c r="BBQ112" s="1056"/>
      <c r="BBR112" s="1056"/>
      <c r="BBS112" s="1056"/>
      <c r="BBT112" s="1056"/>
      <c r="BBU112" s="1056"/>
      <c r="BBV112" s="1056"/>
      <c r="BBW112" s="1056"/>
      <c r="BBX112" s="1056"/>
      <c r="BBY112" s="1056"/>
      <c r="BBZ112" s="1056"/>
      <c r="BCA112" s="1056"/>
      <c r="BCB112" s="1056"/>
      <c r="BCC112" s="1056"/>
      <c r="BCD112" s="1056"/>
      <c r="BCE112" s="1056"/>
      <c r="BCF112" s="1056"/>
      <c r="BCG112" s="1056"/>
      <c r="BCH112" s="1056"/>
      <c r="BCI112" s="1056"/>
      <c r="BCJ112" s="1056"/>
      <c r="BCK112" s="1056"/>
      <c r="BCL112" s="1056"/>
      <c r="BCM112" s="1056"/>
      <c r="BCN112" s="1056"/>
      <c r="BCO112" s="1056"/>
      <c r="BCP112" s="1056"/>
      <c r="BCQ112" s="1056"/>
      <c r="BCR112" s="1056"/>
      <c r="BCS112" s="1056"/>
      <c r="BCT112" s="1056"/>
      <c r="BCU112" s="1056"/>
      <c r="BCV112" s="1056"/>
      <c r="BCW112" s="1056"/>
      <c r="BCX112" s="1056"/>
      <c r="BCY112" s="1056"/>
      <c r="BCZ112" s="1056"/>
      <c r="BDA112" s="1056"/>
      <c r="BDB112" s="1056"/>
      <c r="BDC112" s="1056"/>
      <c r="BDD112" s="1056"/>
      <c r="BDE112" s="1056"/>
      <c r="BDF112" s="1056"/>
      <c r="BDG112" s="1056"/>
      <c r="BDH112" s="1056"/>
      <c r="BDI112" s="1056"/>
      <c r="BDJ112" s="1056"/>
      <c r="BDK112" s="1056"/>
      <c r="BDL112" s="1056"/>
      <c r="BDM112" s="1056"/>
      <c r="BDN112" s="1056"/>
      <c r="BDO112" s="1056"/>
      <c r="BDP112" s="1056"/>
      <c r="BDQ112" s="1056"/>
      <c r="BDR112" s="1056"/>
      <c r="BDS112" s="1056"/>
      <c r="BDT112" s="1056"/>
      <c r="BDU112" s="1056"/>
      <c r="BDV112" s="1056"/>
      <c r="BDW112" s="1056"/>
      <c r="BDX112" s="1056"/>
      <c r="BDY112" s="1056"/>
      <c r="BDZ112" s="1056"/>
      <c r="BEA112" s="1056"/>
      <c r="BEB112" s="1056"/>
      <c r="BEC112" s="1056"/>
      <c r="BED112" s="1056"/>
      <c r="BEE112" s="1056"/>
      <c r="BEF112" s="1056"/>
      <c r="BEG112" s="1056"/>
      <c r="BEH112" s="1056"/>
      <c r="BEI112" s="1056"/>
      <c r="BEJ112" s="1056"/>
      <c r="BEK112" s="1056"/>
      <c r="BEL112" s="1056"/>
      <c r="BEM112" s="1056"/>
      <c r="BEN112" s="1056"/>
      <c r="BEO112" s="1056"/>
      <c r="BEP112" s="1056"/>
      <c r="BEQ112" s="1056"/>
      <c r="BER112" s="1056"/>
      <c r="BES112" s="1056"/>
      <c r="BET112" s="1056"/>
      <c r="BEU112" s="1056"/>
      <c r="BEV112" s="1056"/>
      <c r="BEW112" s="1056"/>
      <c r="BEX112" s="1056"/>
      <c r="BEY112" s="1056"/>
      <c r="BEZ112" s="1056"/>
      <c r="BFA112" s="1056"/>
      <c r="BFB112" s="1056"/>
      <c r="BFC112" s="1056"/>
      <c r="BFD112" s="1056"/>
      <c r="BFE112" s="1056"/>
      <c r="BFF112" s="1056"/>
      <c r="BFG112" s="1056"/>
      <c r="BFH112" s="1056"/>
      <c r="BFI112" s="1056"/>
      <c r="BFJ112" s="1056"/>
      <c r="BFK112" s="1056"/>
      <c r="BFL112" s="1056"/>
      <c r="BFM112" s="1056"/>
      <c r="BFN112" s="1056"/>
      <c r="BFO112" s="1056"/>
      <c r="BFP112" s="1056"/>
      <c r="BFQ112" s="1056"/>
      <c r="BFR112" s="1056"/>
      <c r="BFS112" s="1056"/>
      <c r="BFT112" s="1056"/>
      <c r="BFU112" s="1056"/>
      <c r="BFV112" s="1056"/>
      <c r="BFW112" s="1056"/>
      <c r="BFX112" s="1056"/>
      <c r="BFY112" s="1056"/>
      <c r="BFZ112" s="1056"/>
      <c r="BGA112" s="1056"/>
      <c r="BGB112" s="1056"/>
      <c r="BGC112" s="1056"/>
      <c r="BGD112" s="1056"/>
      <c r="BGE112" s="1056"/>
      <c r="BGF112" s="1056"/>
      <c r="BGG112" s="1056"/>
      <c r="BGH112" s="1056"/>
      <c r="BGI112" s="1056"/>
      <c r="BGJ112" s="1056"/>
      <c r="BGK112" s="1056"/>
      <c r="BGL112" s="1056"/>
      <c r="BGM112" s="1056"/>
      <c r="BGN112" s="1056"/>
      <c r="BGO112" s="1056"/>
      <c r="BGP112" s="1056"/>
      <c r="BGQ112" s="1056"/>
      <c r="BGR112" s="1056"/>
      <c r="BGS112" s="1056"/>
      <c r="BGT112" s="1056"/>
      <c r="BGU112" s="1056"/>
      <c r="BGV112" s="1056"/>
      <c r="BGW112" s="1056"/>
      <c r="BGX112" s="1056"/>
      <c r="BGY112" s="1056"/>
      <c r="BGZ112" s="1056"/>
      <c r="BHA112" s="1056"/>
      <c r="BHB112" s="1056"/>
      <c r="BHC112" s="1056"/>
      <c r="BHD112" s="1056"/>
      <c r="BHE112" s="1056"/>
      <c r="BHF112" s="1056"/>
      <c r="BHG112" s="1056"/>
      <c r="BHH112" s="1056"/>
      <c r="BHI112" s="1056"/>
      <c r="BHJ112" s="1056"/>
      <c r="BHK112" s="1056"/>
      <c r="BHL112" s="1056"/>
      <c r="BHM112" s="1056"/>
      <c r="BHN112" s="1056"/>
      <c r="BHO112" s="1056"/>
      <c r="BHP112" s="1056"/>
      <c r="BHQ112" s="1056"/>
      <c r="BHR112" s="1056"/>
      <c r="BHS112" s="1056"/>
      <c r="BHT112" s="1056"/>
      <c r="BHU112" s="1056"/>
      <c r="BHV112" s="1056"/>
      <c r="BHW112" s="1056"/>
      <c r="BHX112" s="1056"/>
      <c r="BHY112" s="1056"/>
      <c r="BHZ112" s="1056"/>
      <c r="BIA112" s="1056"/>
      <c r="BIB112" s="1056"/>
      <c r="BIC112" s="1056"/>
      <c r="BID112" s="1056"/>
      <c r="BIE112" s="1056"/>
      <c r="BIF112" s="1056"/>
      <c r="BIG112" s="1056"/>
      <c r="BIH112" s="1056"/>
      <c r="BII112" s="1056"/>
      <c r="BIJ112" s="1056"/>
      <c r="BIK112" s="1056"/>
      <c r="BIL112" s="1056"/>
      <c r="BIM112" s="1056"/>
      <c r="BIN112" s="1056"/>
      <c r="BIO112" s="1056"/>
      <c r="BIP112" s="1056"/>
      <c r="BIQ112" s="1056"/>
      <c r="BIR112" s="1056"/>
      <c r="BIS112" s="1056"/>
      <c r="BIT112" s="1056"/>
      <c r="BIU112" s="1056"/>
      <c r="BIV112" s="1056"/>
      <c r="BIW112" s="1056"/>
      <c r="BIX112" s="1056"/>
      <c r="BIY112" s="1056"/>
      <c r="BIZ112" s="1056"/>
      <c r="BJA112" s="1056"/>
      <c r="BJB112" s="1056"/>
      <c r="BJC112" s="1056"/>
      <c r="BJD112" s="1056"/>
      <c r="BJE112" s="1056"/>
      <c r="BJF112" s="1056"/>
      <c r="BJG112" s="1056"/>
      <c r="BJH112" s="1056"/>
      <c r="BJI112" s="1056"/>
      <c r="BJJ112" s="1056"/>
      <c r="BJK112" s="1056"/>
      <c r="BJL112" s="1056"/>
      <c r="BJM112" s="1056"/>
      <c r="BJN112" s="1056"/>
      <c r="BJO112" s="1056"/>
      <c r="BJP112" s="1056"/>
      <c r="BJQ112" s="1056"/>
      <c r="BJR112" s="1056"/>
      <c r="BJS112" s="1056"/>
      <c r="BJT112" s="1056"/>
      <c r="BJU112" s="1056"/>
      <c r="BJV112" s="1056"/>
      <c r="BJW112" s="1056"/>
      <c r="BJX112" s="1056"/>
      <c r="BJY112" s="1056"/>
      <c r="BJZ112" s="1056"/>
      <c r="BKA112" s="1056"/>
      <c r="BKB112" s="1056"/>
      <c r="BKC112" s="1056"/>
      <c r="BKD112" s="1056"/>
      <c r="BKE112" s="1056"/>
      <c r="BKF112" s="1056"/>
      <c r="BKG112" s="1056"/>
      <c r="BKH112" s="1056"/>
      <c r="BKI112" s="1056"/>
      <c r="BKJ112" s="1056"/>
      <c r="BKK112" s="1056"/>
      <c r="BKL112" s="1056"/>
      <c r="BKM112" s="1056"/>
      <c r="BKN112" s="1056"/>
      <c r="BKO112" s="1056"/>
      <c r="BKP112" s="1056"/>
      <c r="BKQ112" s="1056"/>
      <c r="BKR112" s="1056"/>
      <c r="BKS112" s="1056"/>
      <c r="BKT112" s="1056"/>
      <c r="BKU112" s="1056"/>
      <c r="BKV112" s="1056"/>
      <c r="BKW112" s="1056"/>
      <c r="BKX112" s="1056"/>
      <c r="BKY112" s="1056"/>
      <c r="BKZ112" s="1056"/>
      <c r="BLA112" s="1056"/>
      <c r="BLB112" s="1056"/>
      <c r="BLC112" s="1056"/>
      <c r="BLD112" s="1056"/>
      <c r="BLE112" s="1056"/>
      <c r="BLF112" s="1056"/>
      <c r="BLG112" s="1056"/>
      <c r="BLH112" s="1056"/>
      <c r="BLI112" s="1056"/>
      <c r="BLJ112" s="1056"/>
      <c r="BLK112" s="1056"/>
      <c r="BLL112" s="1056"/>
      <c r="BLM112" s="1056"/>
      <c r="BLN112" s="1056"/>
      <c r="BLO112" s="1056"/>
      <c r="BLP112" s="1056"/>
      <c r="BLQ112" s="1056"/>
      <c r="BLR112" s="1056"/>
      <c r="BLS112" s="1056"/>
      <c r="BLT112" s="1056"/>
      <c r="BLU112" s="1056"/>
      <c r="BLV112" s="1056"/>
      <c r="BLW112" s="1056"/>
      <c r="BLX112" s="1056"/>
      <c r="BLY112" s="1056"/>
      <c r="BLZ112" s="1056"/>
      <c r="BMA112" s="1056"/>
      <c r="BMB112" s="1056"/>
      <c r="BMC112" s="1056"/>
      <c r="BMD112" s="1056"/>
      <c r="BME112" s="1056"/>
      <c r="BMF112" s="1056"/>
      <c r="BMG112" s="1056"/>
      <c r="BMH112" s="1056"/>
      <c r="BMI112" s="1056"/>
      <c r="BMJ112" s="1056"/>
      <c r="BMK112" s="1056"/>
      <c r="BML112" s="1056"/>
      <c r="BMM112" s="1056"/>
      <c r="BMN112" s="1056"/>
      <c r="BMO112" s="1056"/>
      <c r="BMP112" s="1056"/>
      <c r="BMQ112" s="1056"/>
      <c r="BMR112" s="1056"/>
      <c r="BMS112" s="1056"/>
      <c r="BMT112" s="1056"/>
      <c r="BMU112" s="1056"/>
      <c r="BMV112" s="1056"/>
      <c r="BMW112" s="1056"/>
      <c r="BMX112" s="1056"/>
      <c r="BMY112" s="1056"/>
      <c r="BMZ112" s="1056"/>
      <c r="BNA112" s="1056"/>
      <c r="BNB112" s="1056"/>
      <c r="BNC112" s="1056"/>
      <c r="BND112" s="1056"/>
      <c r="BNE112" s="1056"/>
      <c r="BNF112" s="1056"/>
      <c r="BNG112" s="1056"/>
      <c r="BNH112" s="1056"/>
      <c r="BNI112" s="1056"/>
      <c r="BNJ112" s="1056"/>
      <c r="BNK112" s="1056"/>
      <c r="BNL112" s="1056"/>
      <c r="BNM112" s="1056"/>
      <c r="BNN112" s="1056"/>
      <c r="BNO112" s="1056"/>
      <c r="BNP112" s="1056"/>
      <c r="BNQ112" s="1056"/>
      <c r="BNR112" s="1056"/>
      <c r="BNS112" s="1056"/>
      <c r="BNT112" s="1056"/>
      <c r="BNU112" s="1056"/>
      <c r="BNV112" s="1056"/>
      <c r="BNW112" s="1056"/>
      <c r="BNX112" s="1056"/>
      <c r="BNY112" s="1056"/>
      <c r="BNZ112" s="1056"/>
      <c r="BOA112" s="1056"/>
      <c r="BOB112" s="1056"/>
      <c r="BOC112" s="1056"/>
      <c r="BOD112" s="1056"/>
      <c r="BOE112" s="1056"/>
      <c r="BOF112" s="1056"/>
      <c r="BOG112" s="1056"/>
      <c r="BOH112" s="1056"/>
      <c r="BOI112" s="1056"/>
      <c r="BOJ112" s="1056"/>
      <c r="BOK112" s="1056"/>
      <c r="BOL112" s="1056"/>
      <c r="BOM112" s="1056"/>
      <c r="BON112" s="1056"/>
      <c r="BOO112" s="1056"/>
      <c r="BOP112" s="1056"/>
      <c r="BOQ112" s="1056"/>
      <c r="BOR112" s="1056"/>
      <c r="BOS112" s="1056"/>
      <c r="BOT112" s="1056"/>
      <c r="BOU112" s="1056"/>
      <c r="BOV112" s="1056"/>
      <c r="BOW112" s="1056"/>
      <c r="BOX112" s="1056"/>
      <c r="BOY112" s="1056"/>
      <c r="BOZ112" s="1056"/>
      <c r="BPA112" s="1056"/>
      <c r="BPB112" s="1056"/>
      <c r="BPC112" s="1056"/>
      <c r="BPD112" s="1056"/>
      <c r="BPE112" s="1056"/>
      <c r="BPF112" s="1056"/>
      <c r="BPG112" s="1056"/>
      <c r="BPH112" s="1056"/>
      <c r="BPI112" s="1056"/>
      <c r="BPJ112" s="1056"/>
      <c r="BPK112" s="1056"/>
      <c r="BPL112" s="1056"/>
      <c r="BPM112" s="1056"/>
      <c r="BPN112" s="1056"/>
      <c r="BPO112" s="1056"/>
      <c r="BPP112" s="1056"/>
      <c r="BPQ112" s="1056"/>
      <c r="BPR112" s="1056"/>
      <c r="BPS112" s="1056"/>
      <c r="BPT112" s="1056"/>
      <c r="BPU112" s="1056"/>
      <c r="BPV112" s="1056"/>
      <c r="BPW112" s="1056"/>
      <c r="BPX112" s="1056"/>
      <c r="BPY112" s="1056"/>
      <c r="BPZ112" s="1056"/>
      <c r="BQA112" s="1056"/>
      <c r="BQB112" s="1056"/>
      <c r="BQC112" s="1056"/>
      <c r="BQD112" s="1056"/>
      <c r="BQE112" s="1056"/>
      <c r="BQF112" s="1056"/>
      <c r="BQG112" s="1056"/>
      <c r="BQH112" s="1056"/>
      <c r="BQI112" s="1056"/>
      <c r="BQJ112" s="1056"/>
      <c r="BQK112" s="1056"/>
      <c r="BQL112" s="1056"/>
      <c r="BQM112" s="1056"/>
      <c r="BQN112" s="1056"/>
      <c r="BQO112" s="1056"/>
      <c r="BQP112" s="1056"/>
      <c r="BQQ112" s="1056"/>
      <c r="BQR112" s="1056"/>
      <c r="BQS112" s="1056"/>
      <c r="BQT112" s="1056"/>
      <c r="BQU112" s="1056"/>
      <c r="BQV112" s="1056"/>
      <c r="BQW112" s="1056"/>
      <c r="BQX112" s="1056"/>
      <c r="BQY112" s="1056"/>
      <c r="BQZ112" s="1056"/>
      <c r="BRA112" s="1056"/>
      <c r="BRB112" s="1056"/>
      <c r="BRC112" s="1056"/>
      <c r="BRD112" s="1056"/>
      <c r="BRE112" s="1056"/>
      <c r="BRF112" s="1056"/>
      <c r="BRG112" s="1056"/>
      <c r="BRH112" s="1056"/>
      <c r="BRI112" s="1056"/>
      <c r="BRJ112" s="1056"/>
      <c r="BRK112" s="1056"/>
      <c r="BRL112" s="1056"/>
      <c r="BRM112" s="1056"/>
      <c r="BRN112" s="1056"/>
      <c r="BRO112" s="1056"/>
      <c r="BRP112" s="1056"/>
      <c r="BRQ112" s="1056"/>
      <c r="BRR112" s="1056"/>
      <c r="BRS112" s="1056"/>
      <c r="BRT112" s="1056"/>
      <c r="BRU112" s="1056"/>
      <c r="BRV112" s="1056"/>
      <c r="BRW112" s="1056"/>
      <c r="BRX112" s="1056"/>
      <c r="BRY112" s="1056"/>
      <c r="BRZ112" s="1056"/>
      <c r="BSA112" s="1056"/>
      <c r="BSB112" s="1056"/>
      <c r="BSC112" s="1056"/>
      <c r="BSD112" s="1056"/>
      <c r="BSE112" s="1056"/>
      <c r="BSF112" s="1056"/>
      <c r="BSG112" s="1056"/>
      <c r="BSH112" s="1056"/>
      <c r="BSI112" s="1056"/>
      <c r="BSJ112" s="1056"/>
      <c r="BSK112" s="1056"/>
      <c r="BSL112" s="1056"/>
      <c r="BSM112" s="1056"/>
      <c r="BSN112" s="1056"/>
      <c r="BSO112" s="1056"/>
      <c r="BSP112" s="1056"/>
      <c r="BSQ112" s="1056"/>
      <c r="BSR112" s="1056"/>
      <c r="BSS112" s="1056"/>
      <c r="BST112" s="1056"/>
      <c r="BSU112" s="1056"/>
      <c r="BSV112" s="1056"/>
      <c r="BSW112" s="1056"/>
      <c r="BSX112" s="1056"/>
      <c r="BSY112" s="1056"/>
      <c r="BSZ112" s="1056"/>
      <c r="BTA112" s="1056"/>
      <c r="BTB112" s="1056"/>
      <c r="BTC112" s="1056"/>
      <c r="BTD112" s="1056"/>
      <c r="BTE112" s="1056"/>
      <c r="BTF112" s="1056"/>
      <c r="BTG112" s="1056"/>
      <c r="BTH112" s="1056"/>
      <c r="BTI112" s="1056"/>
    </row>
    <row r="113" spans="1:1881" s="1060" customFormat="1" ht="102.75" hidden="1" customHeight="1" thickBot="1" x14ac:dyDescent="0.35">
      <c r="A113" s="1071">
        <v>38</v>
      </c>
      <c r="B113" s="1069" t="s">
        <v>345</v>
      </c>
      <c r="C113" s="808" t="s">
        <v>1030</v>
      </c>
      <c r="D113" s="1075" t="s">
        <v>1033</v>
      </c>
      <c r="E113" s="1053" t="e">
        <f>HLOOKUP($D$2,'2020 Data(H)'!$C$1:$AI$426,26,FALSE)</f>
        <v>#N/A</v>
      </c>
      <c r="F113" s="287">
        <v>0</v>
      </c>
      <c r="G113" s="722"/>
      <c r="H113" s="764"/>
      <c r="I113" s="1055"/>
      <c r="J113" s="1068"/>
      <c r="K113" s="1056"/>
      <c r="L113" s="1057"/>
      <c r="M113" s="1056"/>
      <c r="N113" s="1058"/>
      <c r="O113" s="1056"/>
      <c r="P113" s="1056"/>
      <c r="Q113" s="1056"/>
      <c r="R113" s="1056"/>
      <c r="S113" s="1056"/>
      <c r="T113" s="1056"/>
      <c r="U113" s="1056"/>
      <c r="V113" s="1056"/>
      <c r="W113" s="1056"/>
      <c r="X113" s="1056"/>
      <c r="Y113" s="1056"/>
      <c r="Z113" s="1073"/>
      <c r="AA113" s="1073"/>
      <c r="AB113" s="1073"/>
      <c r="AC113" s="1073"/>
      <c r="AD113" s="1073"/>
      <c r="AE113" s="1073"/>
      <c r="AF113" s="1073"/>
      <c r="AG113" s="1073"/>
      <c r="AH113" s="1073"/>
      <c r="AI113" s="1073"/>
      <c r="AJ113" s="1073"/>
      <c r="AK113" s="1073"/>
      <c r="AL113" s="1073"/>
      <c r="AM113" s="1073"/>
      <c r="AN113" s="1073"/>
      <c r="AO113" s="1073"/>
      <c r="AP113" s="1073"/>
      <c r="AQ113" s="1073"/>
      <c r="AR113" s="1073"/>
      <c r="AS113" s="1056"/>
      <c r="AT113" s="1056"/>
      <c r="AU113" s="1056"/>
      <c r="AV113" s="1056"/>
      <c r="AW113" s="1056"/>
      <c r="AX113" s="1056"/>
      <c r="AY113" s="1056"/>
      <c r="AZ113" s="1056"/>
      <c r="BA113" s="1056"/>
      <c r="BB113" s="1056"/>
      <c r="BC113" s="1056"/>
      <c r="BD113" s="1056"/>
      <c r="BE113" s="1056"/>
      <c r="BF113" s="1056"/>
      <c r="BG113" s="1056"/>
      <c r="BH113" s="1056"/>
      <c r="BI113" s="1056"/>
      <c r="BJ113" s="1056"/>
      <c r="BK113" s="1056"/>
      <c r="BL113" s="1056"/>
      <c r="BM113" s="1056"/>
      <c r="BN113" s="1056"/>
      <c r="BO113" s="1056"/>
      <c r="BP113" s="1056"/>
      <c r="BQ113" s="1056"/>
      <c r="BR113" s="1056"/>
      <c r="BS113" s="1056"/>
      <c r="BT113" s="1056"/>
      <c r="BU113" s="1056"/>
      <c r="BV113" s="1056"/>
      <c r="BW113" s="1056"/>
      <c r="BX113" s="1056"/>
      <c r="BY113" s="1056"/>
      <c r="BZ113" s="1056"/>
      <c r="CA113" s="1056"/>
      <c r="CB113" s="1056"/>
      <c r="CC113" s="1056"/>
      <c r="CD113" s="1056"/>
      <c r="CE113" s="1056"/>
      <c r="CF113" s="1056"/>
      <c r="CG113" s="1056"/>
      <c r="CH113" s="1056"/>
      <c r="CI113" s="1056"/>
      <c r="CJ113" s="1056"/>
      <c r="CK113" s="1056"/>
      <c r="CL113" s="1056"/>
      <c r="CM113" s="1056"/>
      <c r="CN113" s="1056"/>
      <c r="CO113" s="1056"/>
      <c r="CP113" s="1056"/>
      <c r="CQ113" s="1056"/>
      <c r="CR113" s="1056"/>
      <c r="CS113" s="1056"/>
      <c r="CT113" s="1056"/>
      <c r="CU113" s="1056"/>
      <c r="CV113" s="1056"/>
      <c r="CW113" s="1056"/>
      <c r="CX113" s="1056"/>
      <c r="CY113" s="1056"/>
      <c r="CZ113" s="1056"/>
      <c r="DA113" s="1056"/>
      <c r="DB113" s="1056"/>
      <c r="DC113" s="1056"/>
      <c r="DD113" s="1056"/>
      <c r="DE113" s="1056"/>
      <c r="DF113" s="1056"/>
      <c r="DG113" s="1056"/>
      <c r="DH113" s="1056"/>
      <c r="DI113" s="1056"/>
      <c r="DJ113" s="1056"/>
      <c r="DK113" s="1056"/>
      <c r="DL113" s="1056"/>
      <c r="DM113" s="1056"/>
      <c r="DN113" s="1056"/>
      <c r="DO113" s="1056"/>
      <c r="DP113" s="1056"/>
      <c r="DQ113" s="1056"/>
      <c r="DR113" s="1056"/>
      <c r="DS113" s="1056"/>
      <c r="DT113" s="1056"/>
      <c r="DU113" s="1056"/>
      <c r="DV113" s="1056"/>
      <c r="DW113" s="1056"/>
      <c r="DX113" s="1056"/>
      <c r="DY113" s="1056"/>
      <c r="DZ113" s="1056"/>
      <c r="EA113" s="1056"/>
      <c r="EB113" s="1056"/>
      <c r="EC113" s="1056"/>
      <c r="ED113" s="1056"/>
      <c r="EE113" s="1056"/>
      <c r="EF113" s="1056"/>
      <c r="EG113" s="1056"/>
      <c r="EH113" s="1056"/>
      <c r="EI113" s="1056"/>
      <c r="EJ113" s="1056"/>
      <c r="EK113" s="1056"/>
      <c r="EL113" s="1056"/>
      <c r="EM113" s="1056"/>
      <c r="EN113" s="1056"/>
      <c r="EO113" s="1056"/>
      <c r="EP113" s="1056"/>
      <c r="EQ113" s="1056"/>
      <c r="ER113" s="1056"/>
      <c r="ES113" s="1056"/>
      <c r="ET113" s="1056"/>
      <c r="EU113" s="1056"/>
      <c r="EV113" s="1056"/>
      <c r="EW113" s="1056"/>
      <c r="EX113" s="1056"/>
      <c r="EY113" s="1056"/>
      <c r="EZ113" s="1056"/>
      <c r="FA113" s="1056"/>
      <c r="FB113" s="1056"/>
      <c r="FC113" s="1056"/>
      <c r="FD113" s="1056"/>
      <c r="FE113" s="1056"/>
      <c r="FF113" s="1056"/>
      <c r="FG113" s="1056"/>
      <c r="FH113" s="1056"/>
      <c r="FI113" s="1056"/>
      <c r="FJ113" s="1056"/>
      <c r="FK113" s="1056"/>
      <c r="FL113" s="1056"/>
      <c r="FM113" s="1056"/>
      <c r="FN113" s="1056"/>
      <c r="FO113" s="1056"/>
      <c r="FP113" s="1056"/>
      <c r="FQ113" s="1056"/>
      <c r="FR113" s="1056"/>
      <c r="FS113" s="1056"/>
      <c r="FT113" s="1056"/>
      <c r="FU113" s="1056"/>
      <c r="FV113" s="1056"/>
      <c r="FW113" s="1056"/>
      <c r="FX113" s="1056"/>
      <c r="FY113" s="1056"/>
      <c r="FZ113" s="1056"/>
      <c r="GA113" s="1056"/>
      <c r="GB113" s="1056"/>
      <c r="GC113" s="1056"/>
      <c r="GD113" s="1056"/>
      <c r="GE113" s="1056"/>
      <c r="GF113" s="1056"/>
      <c r="GG113" s="1056"/>
      <c r="GH113" s="1056"/>
      <c r="GI113" s="1056"/>
      <c r="GJ113" s="1056"/>
      <c r="GK113" s="1056"/>
      <c r="GL113" s="1056"/>
      <c r="GM113" s="1056"/>
      <c r="GN113" s="1056"/>
      <c r="GO113" s="1056"/>
      <c r="GP113" s="1056"/>
      <c r="GQ113" s="1056"/>
      <c r="GR113" s="1056"/>
      <c r="GS113" s="1056"/>
      <c r="GT113" s="1056"/>
      <c r="GU113" s="1056"/>
      <c r="GV113" s="1056"/>
      <c r="GW113" s="1056"/>
      <c r="GX113" s="1056"/>
      <c r="GY113" s="1056"/>
      <c r="GZ113" s="1056"/>
      <c r="HA113" s="1056"/>
      <c r="HB113" s="1056"/>
      <c r="HC113" s="1056"/>
      <c r="HD113" s="1056"/>
      <c r="HE113" s="1056"/>
      <c r="HF113" s="1056"/>
      <c r="HG113" s="1056"/>
      <c r="HH113" s="1056"/>
      <c r="HI113" s="1056"/>
      <c r="HJ113" s="1056"/>
      <c r="HK113" s="1056"/>
      <c r="HL113" s="1056"/>
      <c r="HM113" s="1056"/>
      <c r="HN113" s="1056"/>
      <c r="HO113" s="1056"/>
      <c r="HP113" s="1056"/>
      <c r="HQ113" s="1056"/>
      <c r="HR113" s="1056"/>
      <c r="HS113" s="1056"/>
      <c r="HT113" s="1056"/>
      <c r="HU113" s="1056"/>
      <c r="HV113" s="1056"/>
      <c r="HW113" s="1056"/>
      <c r="HX113" s="1056"/>
      <c r="HY113" s="1056"/>
      <c r="HZ113" s="1056"/>
      <c r="IA113" s="1056"/>
      <c r="IB113" s="1056"/>
      <c r="IC113" s="1056"/>
      <c r="ID113" s="1056"/>
      <c r="IE113" s="1056"/>
      <c r="IF113" s="1056"/>
      <c r="IG113" s="1056"/>
      <c r="IH113" s="1056"/>
      <c r="II113" s="1056"/>
      <c r="IJ113" s="1056"/>
      <c r="IK113" s="1056"/>
      <c r="IL113" s="1056"/>
      <c r="IM113" s="1056"/>
      <c r="IN113" s="1056"/>
      <c r="IO113" s="1056"/>
      <c r="IP113" s="1056"/>
      <c r="IQ113" s="1056"/>
      <c r="IR113" s="1056"/>
      <c r="IS113" s="1056"/>
      <c r="IT113" s="1056"/>
      <c r="IU113" s="1056"/>
      <c r="IV113" s="1056"/>
      <c r="IW113" s="1056"/>
      <c r="IX113" s="1056"/>
      <c r="IY113" s="1056"/>
      <c r="IZ113" s="1056"/>
      <c r="JA113" s="1056"/>
      <c r="JB113" s="1056"/>
      <c r="JC113" s="1056"/>
      <c r="JD113" s="1056"/>
      <c r="JE113" s="1056"/>
      <c r="JF113" s="1056"/>
      <c r="JG113" s="1056"/>
      <c r="JH113" s="1056"/>
      <c r="JI113" s="1056"/>
      <c r="JJ113" s="1056"/>
      <c r="JK113" s="1056"/>
      <c r="JL113" s="1056"/>
      <c r="JM113" s="1056"/>
      <c r="JN113" s="1056"/>
      <c r="JO113" s="1056"/>
      <c r="JP113" s="1056"/>
      <c r="JQ113" s="1056"/>
      <c r="JR113" s="1056"/>
      <c r="JS113" s="1056"/>
      <c r="JT113" s="1056"/>
      <c r="JU113" s="1056"/>
      <c r="JV113" s="1056"/>
      <c r="JW113" s="1056"/>
      <c r="JX113" s="1056"/>
      <c r="JY113" s="1056"/>
      <c r="JZ113" s="1056"/>
      <c r="KA113" s="1056"/>
      <c r="KB113" s="1056"/>
      <c r="KC113" s="1056"/>
      <c r="KD113" s="1056"/>
      <c r="KE113" s="1056"/>
      <c r="KF113" s="1056"/>
      <c r="KG113" s="1056"/>
      <c r="KH113" s="1056"/>
      <c r="KI113" s="1056"/>
      <c r="KJ113" s="1056"/>
      <c r="KK113" s="1056"/>
      <c r="KL113" s="1056"/>
      <c r="KM113" s="1056"/>
      <c r="KN113" s="1056"/>
      <c r="KO113" s="1056"/>
      <c r="KP113" s="1056"/>
      <c r="KQ113" s="1056"/>
      <c r="KR113" s="1056"/>
      <c r="KS113" s="1056"/>
      <c r="KT113" s="1056"/>
      <c r="KU113" s="1056"/>
      <c r="KV113" s="1056"/>
      <c r="KW113" s="1056"/>
      <c r="KX113" s="1056"/>
      <c r="KY113" s="1056"/>
      <c r="KZ113" s="1056"/>
      <c r="LA113" s="1056"/>
      <c r="LB113" s="1056"/>
      <c r="LC113" s="1056"/>
      <c r="LD113" s="1056"/>
      <c r="LE113" s="1056"/>
      <c r="LF113" s="1056"/>
      <c r="LG113" s="1056"/>
      <c r="LH113" s="1056"/>
      <c r="LI113" s="1056"/>
      <c r="LJ113" s="1056"/>
      <c r="LK113" s="1056"/>
      <c r="LL113" s="1056"/>
      <c r="LM113" s="1056"/>
      <c r="LN113" s="1056"/>
      <c r="LO113" s="1056"/>
      <c r="LP113" s="1056"/>
      <c r="LQ113" s="1056"/>
      <c r="LR113" s="1056"/>
      <c r="LS113" s="1056"/>
      <c r="LT113" s="1056"/>
      <c r="LU113" s="1056"/>
      <c r="LV113" s="1056"/>
      <c r="LW113" s="1056"/>
      <c r="LX113" s="1056"/>
      <c r="LY113" s="1056"/>
      <c r="LZ113" s="1056"/>
      <c r="MA113" s="1056"/>
      <c r="MB113" s="1056"/>
      <c r="MC113" s="1056"/>
      <c r="MD113" s="1056"/>
      <c r="ME113" s="1056"/>
      <c r="MF113" s="1056"/>
      <c r="MG113" s="1056"/>
      <c r="MH113" s="1056"/>
      <c r="MI113" s="1056"/>
      <c r="MJ113" s="1056"/>
      <c r="MK113" s="1056"/>
      <c r="ML113" s="1056"/>
      <c r="MM113" s="1056"/>
      <c r="MN113" s="1056"/>
      <c r="MO113" s="1056"/>
      <c r="MP113" s="1056"/>
      <c r="MQ113" s="1056"/>
      <c r="MR113" s="1056"/>
      <c r="MS113" s="1056"/>
      <c r="MT113" s="1056"/>
      <c r="MU113" s="1056"/>
      <c r="MV113" s="1056"/>
      <c r="MW113" s="1056"/>
      <c r="MX113" s="1056"/>
      <c r="MY113" s="1056"/>
      <c r="MZ113" s="1056"/>
      <c r="NA113" s="1056"/>
      <c r="NB113" s="1056"/>
      <c r="NC113" s="1056"/>
      <c r="ND113" s="1056"/>
      <c r="NE113" s="1056"/>
      <c r="NF113" s="1056"/>
      <c r="NG113" s="1056"/>
      <c r="NH113" s="1056"/>
      <c r="NI113" s="1056"/>
      <c r="NJ113" s="1056"/>
      <c r="NK113" s="1056"/>
      <c r="NL113" s="1056"/>
      <c r="NM113" s="1056"/>
      <c r="NN113" s="1056"/>
      <c r="NO113" s="1056"/>
      <c r="NP113" s="1056"/>
      <c r="NQ113" s="1056"/>
      <c r="NR113" s="1056"/>
      <c r="NS113" s="1056"/>
      <c r="NT113" s="1056"/>
      <c r="NU113" s="1056"/>
      <c r="NV113" s="1056"/>
      <c r="NW113" s="1056"/>
      <c r="NX113" s="1056"/>
      <c r="NY113" s="1056"/>
      <c r="NZ113" s="1056"/>
      <c r="OA113" s="1056"/>
      <c r="OB113" s="1056"/>
      <c r="OC113" s="1056"/>
      <c r="OD113" s="1056"/>
      <c r="OE113" s="1056"/>
      <c r="OF113" s="1056"/>
      <c r="OG113" s="1056"/>
      <c r="OH113" s="1056"/>
      <c r="OI113" s="1056"/>
      <c r="OJ113" s="1056"/>
      <c r="OK113" s="1056"/>
      <c r="OL113" s="1056"/>
      <c r="OM113" s="1056"/>
      <c r="ON113" s="1056"/>
      <c r="OO113" s="1056"/>
      <c r="OP113" s="1056"/>
      <c r="OQ113" s="1056"/>
      <c r="OR113" s="1056"/>
      <c r="OS113" s="1056"/>
      <c r="OT113" s="1056"/>
      <c r="OU113" s="1056"/>
      <c r="OV113" s="1056"/>
      <c r="OW113" s="1056"/>
      <c r="OX113" s="1056"/>
      <c r="OY113" s="1056"/>
      <c r="OZ113" s="1056"/>
      <c r="PA113" s="1056"/>
      <c r="PB113" s="1056"/>
      <c r="PC113" s="1056"/>
      <c r="PD113" s="1056"/>
      <c r="PE113" s="1056"/>
      <c r="PF113" s="1056"/>
      <c r="PG113" s="1056"/>
      <c r="PH113" s="1056"/>
      <c r="PI113" s="1056"/>
      <c r="PJ113" s="1056"/>
      <c r="PK113" s="1056"/>
      <c r="PL113" s="1056"/>
      <c r="PM113" s="1056"/>
      <c r="PN113" s="1056"/>
      <c r="PO113" s="1056"/>
      <c r="PP113" s="1056"/>
      <c r="PQ113" s="1056"/>
      <c r="PR113" s="1056"/>
      <c r="PS113" s="1056"/>
      <c r="PT113" s="1056"/>
      <c r="PU113" s="1056"/>
      <c r="PV113" s="1056"/>
      <c r="PW113" s="1056"/>
      <c r="PX113" s="1056"/>
      <c r="PY113" s="1056"/>
      <c r="PZ113" s="1056"/>
      <c r="QA113" s="1056"/>
      <c r="QB113" s="1056"/>
      <c r="QC113" s="1056"/>
      <c r="QD113" s="1056"/>
      <c r="QE113" s="1056"/>
      <c r="QF113" s="1056"/>
      <c r="QG113" s="1056"/>
      <c r="QH113" s="1056"/>
      <c r="QI113" s="1056"/>
      <c r="QJ113" s="1056"/>
      <c r="QK113" s="1056"/>
      <c r="QL113" s="1056"/>
      <c r="QM113" s="1056"/>
      <c r="QN113" s="1056"/>
      <c r="QO113" s="1056"/>
      <c r="QP113" s="1056"/>
      <c r="QQ113" s="1056"/>
      <c r="QR113" s="1056"/>
      <c r="QS113" s="1056"/>
      <c r="QT113" s="1056"/>
      <c r="QU113" s="1056"/>
      <c r="QV113" s="1056"/>
      <c r="QW113" s="1056"/>
      <c r="QX113" s="1056"/>
      <c r="QY113" s="1056"/>
      <c r="QZ113" s="1056"/>
      <c r="RA113" s="1056"/>
      <c r="RB113" s="1056"/>
      <c r="RC113" s="1056"/>
      <c r="RD113" s="1056"/>
      <c r="RE113" s="1056"/>
      <c r="RF113" s="1056"/>
      <c r="RG113" s="1056"/>
      <c r="RH113" s="1056"/>
      <c r="RI113" s="1056"/>
      <c r="RJ113" s="1056"/>
      <c r="RK113" s="1056"/>
      <c r="RL113" s="1056"/>
      <c r="RM113" s="1056"/>
      <c r="RN113" s="1056"/>
      <c r="RO113" s="1056"/>
      <c r="RP113" s="1056"/>
      <c r="RQ113" s="1056"/>
      <c r="RR113" s="1056"/>
      <c r="RS113" s="1056"/>
      <c r="RT113" s="1056"/>
      <c r="RU113" s="1056"/>
      <c r="RV113" s="1056"/>
      <c r="RW113" s="1056"/>
      <c r="RX113" s="1056"/>
      <c r="RY113" s="1056"/>
      <c r="RZ113" s="1056"/>
      <c r="SA113" s="1056"/>
      <c r="SB113" s="1056"/>
      <c r="SC113" s="1056"/>
      <c r="SD113" s="1056"/>
      <c r="SE113" s="1056"/>
      <c r="SF113" s="1056"/>
      <c r="SG113" s="1056"/>
      <c r="SH113" s="1056"/>
      <c r="SI113" s="1056"/>
      <c r="SJ113" s="1056"/>
      <c r="SK113" s="1056"/>
      <c r="SL113" s="1056"/>
      <c r="SM113" s="1056"/>
      <c r="SN113" s="1056"/>
      <c r="SO113" s="1056"/>
      <c r="SP113" s="1056"/>
      <c r="SQ113" s="1056"/>
      <c r="SR113" s="1056"/>
      <c r="SS113" s="1056"/>
      <c r="ST113" s="1056"/>
      <c r="SU113" s="1056"/>
      <c r="SV113" s="1056"/>
      <c r="SW113" s="1056"/>
      <c r="SX113" s="1056"/>
      <c r="SY113" s="1056"/>
      <c r="SZ113" s="1056"/>
      <c r="TA113" s="1056"/>
      <c r="TB113" s="1056"/>
      <c r="TC113" s="1056"/>
      <c r="TD113" s="1056"/>
      <c r="TE113" s="1056"/>
      <c r="TF113" s="1056"/>
      <c r="TG113" s="1056"/>
      <c r="TH113" s="1056"/>
      <c r="TI113" s="1056"/>
      <c r="TJ113" s="1056"/>
      <c r="TK113" s="1056"/>
      <c r="TL113" s="1056"/>
      <c r="TM113" s="1056"/>
      <c r="TN113" s="1056"/>
      <c r="TO113" s="1056"/>
      <c r="TP113" s="1056"/>
      <c r="TQ113" s="1056"/>
      <c r="TR113" s="1056"/>
      <c r="TS113" s="1056"/>
      <c r="TT113" s="1056"/>
      <c r="TU113" s="1056"/>
      <c r="TV113" s="1056"/>
      <c r="TW113" s="1056"/>
      <c r="TX113" s="1056"/>
      <c r="TY113" s="1056"/>
      <c r="TZ113" s="1056"/>
      <c r="UA113" s="1056"/>
      <c r="UB113" s="1056"/>
      <c r="UC113" s="1056"/>
      <c r="UD113" s="1056"/>
      <c r="UE113" s="1056"/>
      <c r="UF113" s="1056"/>
      <c r="UG113" s="1056"/>
      <c r="UH113" s="1056"/>
      <c r="UI113" s="1056"/>
      <c r="UJ113" s="1056"/>
      <c r="UK113" s="1056"/>
      <c r="UL113" s="1056"/>
      <c r="UM113" s="1056"/>
      <c r="UN113" s="1056"/>
      <c r="UO113" s="1056"/>
      <c r="UP113" s="1056"/>
      <c r="UQ113" s="1056"/>
      <c r="UR113" s="1056"/>
      <c r="US113" s="1056"/>
      <c r="UT113" s="1056"/>
      <c r="UU113" s="1056"/>
      <c r="UV113" s="1056"/>
      <c r="UW113" s="1056"/>
      <c r="UX113" s="1056"/>
      <c r="UY113" s="1056"/>
      <c r="UZ113" s="1056"/>
      <c r="VA113" s="1056"/>
      <c r="VB113" s="1056"/>
      <c r="VC113" s="1056"/>
      <c r="VD113" s="1056"/>
      <c r="VE113" s="1056"/>
      <c r="VF113" s="1056"/>
      <c r="VG113" s="1056"/>
      <c r="VH113" s="1056"/>
      <c r="VI113" s="1056"/>
      <c r="VJ113" s="1056"/>
      <c r="VK113" s="1056"/>
      <c r="VL113" s="1056"/>
      <c r="VM113" s="1056"/>
      <c r="VN113" s="1056"/>
      <c r="VO113" s="1056"/>
      <c r="VP113" s="1056"/>
      <c r="VQ113" s="1056"/>
      <c r="VR113" s="1056"/>
      <c r="VS113" s="1056"/>
      <c r="VT113" s="1056"/>
      <c r="VU113" s="1056"/>
      <c r="VV113" s="1056"/>
      <c r="VW113" s="1056"/>
      <c r="VX113" s="1056"/>
      <c r="VY113" s="1056"/>
      <c r="VZ113" s="1056"/>
      <c r="WA113" s="1056"/>
      <c r="WB113" s="1056"/>
      <c r="WC113" s="1056"/>
      <c r="WD113" s="1056"/>
      <c r="WE113" s="1056"/>
      <c r="WF113" s="1056"/>
      <c r="WG113" s="1056"/>
      <c r="WH113" s="1056"/>
      <c r="WI113" s="1056"/>
      <c r="WJ113" s="1056"/>
      <c r="WK113" s="1056"/>
      <c r="WL113" s="1056"/>
      <c r="WM113" s="1056"/>
      <c r="WN113" s="1056"/>
      <c r="WO113" s="1056"/>
      <c r="WP113" s="1056"/>
      <c r="WQ113" s="1056"/>
      <c r="WR113" s="1056"/>
      <c r="WS113" s="1056"/>
      <c r="WT113" s="1056"/>
      <c r="WU113" s="1056"/>
      <c r="WV113" s="1056"/>
      <c r="WW113" s="1056"/>
      <c r="WX113" s="1056"/>
      <c r="WY113" s="1056"/>
      <c r="WZ113" s="1056"/>
      <c r="XA113" s="1056"/>
      <c r="XB113" s="1056"/>
      <c r="XC113" s="1056"/>
      <c r="XD113" s="1056"/>
      <c r="XE113" s="1056"/>
      <c r="XF113" s="1056"/>
      <c r="XG113" s="1056"/>
      <c r="XH113" s="1056"/>
      <c r="XI113" s="1056"/>
      <c r="XJ113" s="1056"/>
      <c r="XK113" s="1056"/>
      <c r="XL113" s="1056"/>
      <c r="XM113" s="1056"/>
      <c r="XN113" s="1056"/>
      <c r="XO113" s="1056"/>
      <c r="XP113" s="1056"/>
      <c r="XQ113" s="1056"/>
      <c r="XR113" s="1056"/>
      <c r="XS113" s="1056"/>
      <c r="XT113" s="1056"/>
      <c r="XU113" s="1056"/>
      <c r="XV113" s="1056"/>
      <c r="XW113" s="1056"/>
      <c r="XX113" s="1056"/>
      <c r="XY113" s="1056"/>
      <c r="XZ113" s="1056"/>
      <c r="YA113" s="1056"/>
      <c r="YB113" s="1056"/>
      <c r="YC113" s="1056"/>
      <c r="YD113" s="1056"/>
      <c r="YE113" s="1056"/>
      <c r="YF113" s="1056"/>
      <c r="YG113" s="1056"/>
      <c r="YH113" s="1056"/>
      <c r="YI113" s="1056"/>
      <c r="YJ113" s="1056"/>
      <c r="YK113" s="1056"/>
      <c r="YL113" s="1056"/>
      <c r="YM113" s="1056"/>
      <c r="YN113" s="1056"/>
      <c r="YO113" s="1056"/>
      <c r="YP113" s="1056"/>
      <c r="YQ113" s="1056"/>
      <c r="YR113" s="1056"/>
      <c r="YS113" s="1056"/>
      <c r="YT113" s="1056"/>
      <c r="YU113" s="1056"/>
      <c r="YV113" s="1056"/>
      <c r="YW113" s="1056"/>
      <c r="YX113" s="1056"/>
      <c r="YY113" s="1056"/>
      <c r="YZ113" s="1056"/>
      <c r="ZA113" s="1056"/>
      <c r="ZB113" s="1056"/>
      <c r="ZC113" s="1056"/>
      <c r="ZD113" s="1056"/>
      <c r="ZE113" s="1056"/>
      <c r="ZF113" s="1056"/>
      <c r="ZG113" s="1056"/>
      <c r="ZH113" s="1056"/>
      <c r="ZI113" s="1056"/>
      <c r="ZJ113" s="1056"/>
      <c r="ZK113" s="1056"/>
      <c r="ZL113" s="1056"/>
      <c r="ZM113" s="1056"/>
      <c r="ZN113" s="1056"/>
      <c r="ZO113" s="1056"/>
      <c r="ZP113" s="1056"/>
      <c r="ZQ113" s="1056"/>
      <c r="ZR113" s="1056"/>
      <c r="ZS113" s="1056"/>
      <c r="ZT113" s="1056"/>
      <c r="ZU113" s="1056"/>
      <c r="ZV113" s="1056"/>
      <c r="ZW113" s="1056"/>
      <c r="ZX113" s="1056"/>
      <c r="ZY113" s="1056"/>
      <c r="ZZ113" s="1056"/>
      <c r="AAA113" s="1056"/>
      <c r="AAB113" s="1056"/>
      <c r="AAC113" s="1056"/>
      <c r="AAD113" s="1056"/>
      <c r="AAE113" s="1056"/>
      <c r="AAF113" s="1056"/>
      <c r="AAG113" s="1056"/>
      <c r="AAH113" s="1056"/>
      <c r="AAI113" s="1056"/>
      <c r="AAJ113" s="1056"/>
      <c r="AAK113" s="1056"/>
      <c r="AAL113" s="1056"/>
      <c r="AAM113" s="1056"/>
      <c r="AAN113" s="1056"/>
      <c r="AAO113" s="1056"/>
      <c r="AAP113" s="1056"/>
      <c r="AAQ113" s="1056"/>
      <c r="AAR113" s="1056"/>
      <c r="AAS113" s="1056"/>
      <c r="AAT113" s="1056"/>
      <c r="AAU113" s="1056"/>
      <c r="AAV113" s="1056"/>
      <c r="AAW113" s="1056"/>
      <c r="AAX113" s="1056"/>
      <c r="AAY113" s="1056"/>
      <c r="AAZ113" s="1056"/>
      <c r="ABA113" s="1056"/>
      <c r="ABB113" s="1056"/>
      <c r="ABC113" s="1056"/>
      <c r="ABD113" s="1056"/>
      <c r="ABE113" s="1056"/>
      <c r="ABF113" s="1056"/>
      <c r="ABG113" s="1056"/>
      <c r="ABH113" s="1056"/>
      <c r="ABI113" s="1056"/>
      <c r="ABJ113" s="1056"/>
      <c r="ABK113" s="1056"/>
      <c r="ABL113" s="1056"/>
      <c r="ABM113" s="1056"/>
      <c r="ABN113" s="1056"/>
      <c r="ABO113" s="1056"/>
      <c r="ABP113" s="1056"/>
      <c r="ABQ113" s="1056"/>
      <c r="ABR113" s="1056"/>
      <c r="ABS113" s="1056"/>
      <c r="ABT113" s="1056"/>
      <c r="ABU113" s="1056"/>
      <c r="ABV113" s="1056"/>
      <c r="ABW113" s="1056"/>
      <c r="ABX113" s="1056"/>
      <c r="ABY113" s="1056"/>
      <c r="ABZ113" s="1056"/>
      <c r="ACA113" s="1056"/>
      <c r="ACB113" s="1056"/>
      <c r="ACC113" s="1056"/>
      <c r="ACD113" s="1056"/>
      <c r="ACE113" s="1056"/>
      <c r="ACF113" s="1056"/>
      <c r="ACG113" s="1056"/>
      <c r="ACH113" s="1056"/>
      <c r="ACI113" s="1056"/>
      <c r="ACJ113" s="1056"/>
      <c r="ACK113" s="1056"/>
      <c r="ACL113" s="1056"/>
      <c r="ACM113" s="1056"/>
      <c r="ACN113" s="1056"/>
      <c r="ACO113" s="1056"/>
      <c r="ACP113" s="1056"/>
      <c r="ACQ113" s="1056"/>
      <c r="ACR113" s="1056"/>
      <c r="ACS113" s="1056"/>
      <c r="ACT113" s="1056"/>
      <c r="ACU113" s="1056"/>
      <c r="ACV113" s="1056"/>
      <c r="ACW113" s="1056"/>
      <c r="ACX113" s="1056"/>
      <c r="ACY113" s="1056"/>
      <c r="ACZ113" s="1056"/>
      <c r="ADA113" s="1056"/>
      <c r="ADB113" s="1056"/>
      <c r="ADC113" s="1056"/>
      <c r="ADD113" s="1056"/>
      <c r="ADE113" s="1056"/>
      <c r="ADF113" s="1056"/>
      <c r="ADG113" s="1056"/>
      <c r="ADH113" s="1056"/>
      <c r="ADI113" s="1056"/>
      <c r="ADJ113" s="1056"/>
      <c r="ADK113" s="1056"/>
      <c r="ADL113" s="1056"/>
      <c r="ADM113" s="1056"/>
      <c r="ADN113" s="1056"/>
      <c r="ADO113" s="1056"/>
      <c r="ADP113" s="1056"/>
      <c r="ADQ113" s="1056"/>
      <c r="ADR113" s="1056"/>
      <c r="ADS113" s="1056"/>
      <c r="ADT113" s="1056"/>
      <c r="ADU113" s="1056"/>
      <c r="ADV113" s="1056"/>
      <c r="ADW113" s="1056"/>
      <c r="ADX113" s="1056"/>
      <c r="ADY113" s="1056"/>
      <c r="ADZ113" s="1056"/>
      <c r="AEA113" s="1056"/>
      <c r="AEB113" s="1056"/>
      <c r="AEC113" s="1056"/>
      <c r="AED113" s="1056"/>
      <c r="AEE113" s="1056"/>
      <c r="AEF113" s="1056"/>
      <c r="AEG113" s="1056"/>
      <c r="AEH113" s="1056"/>
      <c r="AEI113" s="1056"/>
      <c r="AEJ113" s="1056"/>
      <c r="AEK113" s="1056"/>
      <c r="AEL113" s="1056"/>
      <c r="AEM113" s="1056"/>
      <c r="AEN113" s="1056"/>
      <c r="AEO113" s="1056"/>
      <c r="AEP113" s="1056"/>
      <c r="AEQ113" s="1056"/>
      <c r="AER113" s="1056"/>
      <c r="AES113" s="1056"/>
      <c r="AET113" s="1056"/>
      <c r="AEU113" s="1056"/>
      <c r="AEV113" s="1056"/>
      <c r="AEW113" s="1056"/>
      <c r="AEX113" s="1056"/>
      <c r="AEY113" s="1056"/>
      <c r="AEZ113" s="1056"/>
      <c r="AFA113" s="1056"/>
      <c r="AFB113" s="1056"/>
      <c r="AFC113" s="1056"/>
      <c r="AFD113" s="1056"/>
      <c r="AFE113" s="1056"/>
      <c r="AFF113" s="1056"/>
      <c r="AFG113" s="1056"/>
      <c r="AFH113" s="1056"/>
      <c r="AFI113" s="1056"/>
      <c r="AFJ113" s="1056"/>
      <c r="AFK113" s="1056"/>
      <c r="AFL113" s="1056"/>
      <c r="AFM113" s="1056"/>
      <c r="AFN113" s="1056"/>
      <c r="AFO113" s="1056"/>
      <c r="AFP113" s="1056"/>
      <c r="AFQ113" s="1056"/>
      <c r="AFR113" s="1056"/>
      <c r="AFS113" s="1056"/>
      <c r="AFT113" s="1056"/>
      <c r="AFU113" s="1056"/>
      <c r="AFV113" s="1056"/>
      <c r="AFW113" s="1056"/>
      <c r="AFX113" s="1056"/>
      <c r="AFY113" s="1056"/>
      <c r="AFZ113" s="1056"/>
      <c r="AGA113" s="1056"/>
      <c r="AGB113" s="1056"/>
      <c r="AGC113" s="1056"/>
      <c r="AGD113" s="1056"/>
      <c r="AGE113" s="1056"/>
      <c r="AGF113" s="1056"/>
      <c r="AGG113" s="1056"/>
      <c r="AGH113" s="1056"/>
      <c r="AGI113" s="1056"/>
      <c r="AGJ113" s="1056"/>
      <c r="AGK113" s="1056"/>
      <c r="AGL113" s="1056"/>
      <c r="AGM113" s="1056"/>
      <c r="AGN113" s="1056"/>
      <c r="AGO113" s="1056"/>
      <c r="AGP113" s="1056"/>
      <c r="AGQ113" s="1056"/>
      <c r="AGR113" s="1056"/>
      <c r="AGS113" s="1056"/>
      <c r="AGT113" s="1056"/>
      <c r="AGU113" s="1056"/>
      <c r="AGV113" s="1056"/>
      <c r="AGW113" s="1056"/>
      <c r="AGX113" s="1056"/>
      <c r="AGY113" s="1056"/>
      <c r="AGZ113" s="1056"/>
      <c r="AHA113" s="1056"/>
      <c r="AHB113" s="1056"/>
      <c r="AHC113" s="1056"/>
      <c r="AHD113" s="1056"/>
      <c r="AHE113" s="1056"/>
      <c r="AHF113" s="1056"/>
      <c r="AHG113" s="1056"/>
      <c r="AHH113" s="1056"/>
      <c r="AHI113" s="1056"/>
      <c r="AHJ113" s="1056"/>
      <c r="AHK113" s="1056"/>
      <c r="AHL113" s="1056"/>
      <c r="AHM113" s="1056"/>
      <c r="AHN113" s="1056"/>
      <c r="AHO113" s="1056"/>
      <c r="AHP113" s="1056"/>
      <c r="AHQ113" s="1056"/>
      <c r="AHR113" s="1056"/>
      <c r="AHS113" s="1056"/>
      <c r="AHT113" s="1056"/>
      <c r="AHU113" s="1056"/>
      <c r="AHV113" s="1056"/>
      <c r="AHW113" s="1056"/>
      <c r="AHX113" s="1056"/>
      <c r="AHY113" s="1056"/>
      <c r="AHZ113" s="1056"/>
      <c r="AIA113" s="1056"/>
      <c r="AIB113" s="1056"/>
      <c r="AIC113" s="1056"/>
      <c r="AID113" s="1056"/>
      <c r="AIE113" s="1056"/>
      <c r="AIF113" s="1056"/>
      <c r="AIG113" s="1056"/>
      <c r="AIH113" s="1056"/>
      <c r="AII113" s="1056"/>
      <c r="AIJ113" s="1056"/>
      <c r="AIK113" s="1056"/>
      <c r="AIL113" s="1056"/>
      <c r="AIM113" s="1056"/>
      <c r="AIN113" s="1056"/>
      <c r="AIO113" s="1056"/>
      <c r="AIP113" s="1056"/>
      <c r="AIQ113" s="1056"/>
      <c r="AIR113" s="1056"/>
      <c r="AIS113" s="1056"/>
      <c r="AIT113" s="1056"/>
      <c r="AIU113" s="1056"/>
      <c r="AIV113" s="1056"/>
      <c r="AIW113" s="1056"/>
      <c r="AIX113" s="1056"/>
      <c r="AIY113" s="1056"/>
      <c r="AIZ113" s="1056"/>
      <c r="AJA113" s="1056"/>
      <c r="AJB113" s="1056"/>
      <c r="AJC113" s="1056"/>
      <c r="AJD113" s="1056"/>
      <c r="AJE113" s="1056"/>
      <c r="AJF113" s="1056"/>
      <c r="AJG113" s="1056"/>
      <c r="AJH113" s="1056"/>
      <c r="AJI113" s="1056"/>
      <c r="AJJ113" s="1056"/>
      <c r="AJK113" s="1056"/>
      <c r="AJL113" s="1056"/>
      <c r="AJM113" s="1056"/>
      <c r="AJN113" s="1056"/>
      <c r="AJO113" s="1056"/>
      <c r="AJP113" s="1056"/>
      <c r="AJQ113" s="1056"/>
      <c r="AJR113" s="1056"/>
      <c r="AJS113" s="1056"/>
      <c r="AJT113" s="1056"/>
      <c r="AJU113" s="1056"/>
      <c r="AJV113" s="1056"/>
      <c r="AJW113" s="1056"/>
      <c r="AJX113" s="1056"/>
      <c r="AJY113" s="1056"/>
      <c r="AJZ113" s="1056"/>
      <c r="AKA113" s="1056"/>
      <c r="AKB113" s="1056"/>
      <c r="AKC113" s="1056"/>
      <c r="AKD113" s="1056"/>
      <c r="AKE113" s="1056"/>
      <c r="AKF113" s="1056"/>
      <c r="AKG113" s="1056"/>
      <c r="AKH113" s="1056"/>
      <c r="AKI113" s="1056"/>
      <c r="AKJ113" s="1056"/>
      <c r="AKK113" s="1056"/>
      <c r="AKL113" s="1056"/>
      <c r="AKM113" s="1056"/>
      <c r="AKN113" s="1056"/>
      <c r="AKO113" s="1056"/>
      <c r="AKP113" s="1056"/>
      <c r="AKQ113" s="1056"/>
      <c r="AKR113" s="1056"/>
      <c r="AKS113" s="1056"/>
      <c r="AKT113" s="1056"/>
      <c r="AKU113" s="1056"/>
      <c r="AKV113" s="1056"/>
      <c r="AKW113" s="1056"/>
      <c r="AKX113" s="1056"/>
      <c r="AKY113" s="1056"/>
      <c r="AKZ113" s="1056"/>
      <c r="ALA113" s="1056"/>
      <c r="ALB113" s="1056"/>
      <c r="ALC113" s="1056"/>
      <c r="ALD113" s="1056"/>
      <c r="ALE113" s="1056"/>
      <c r="ALF113" s="1056"/>
      <c r="ALG113" s="1056"/>
      <c r="ALH113" s="1056"/>
      <c r="ALI113" s="1056"/>
      <c r="ALJ113" s="1056"/>
      <c r="ALK113" s="1056"/>
      <c r="ALL113" s="1056"/>
      <c r="ALM113" s="1056"/>
      <c r="ALN113" s="1056"/>
      <c r="ALO113" s="1056"/>
      <c r="ALP113" s="1056"/>
      <c r="ALQ113" s="1056"/>
      <c r="ALR113" s="1056"/>
      <c r="ALS113" s="1056"/>
      <c r="ALT113" s="1056"/>
      <c r="ALU113" s="1056"/>
      <c r="ALV113" s="1056"/>
      <c r="ALW113" s="1056"/>
      <c r="ALX113" s="1056"/>
      <c r="ALY113" s="1056"/>
      <c r="ALZ113" s="1056"/>
      <c r="AMA113" s="1056"/>
      <c r="AMB113" s="1056"/>
      <c r="AMC113" s="1056"/>
      <c r="AMD113" s="1056"/>
      <c r="AME113" s="1056"/>
      <c r="AMF113" s="1056"/>
      <c r="AMG113" s="1056"/>
      <c r="AMH113" s="1056"/>
      <c r="AMI113" s="1056"/>
      <c r="AMJ113" s="1056"/>
      <c r="AMK113" s="1056"/>
      <c r="AML113" s="1056"/>
      <c r="AMM113" s="1056"/>
      <c r="AMN113" s="1056"/>
      <c r="AMO113" s="1056"/>
      <c r="AMP113" s="1056"/>
      <c r="AMQ113" s="1056"/>
      <c r="AMR113" s="1056"/>
      <c r="AMS113" s="1056"/>
      <c r="AMT113" s="1056"/>
      <c r="AMU113" s="1056"/>
      <c r="AMV113" s="1056"/>
      <c r="AMW113" s="1056"/>
      <c r="AMX113" s="1056"/>
      <c r="AMY113" s="1056"/>
      <c r="AMZ113" s="1056"/>
      <c r="ANA113" s="1056"/>
      <c r="ANB113" s="1056"/>
      <c r="ANC113" s="1056"/>
      <c r="AND113" s="1056"/>
      <c r="ANE113" s="1056"/>
      <c r="ANF113" s="1056"/>
      <c r="ANG113" s="1056"/>
      <c r="ANH113" s="1056"/>
      <c r="ANI113" s="1056"/>
      <c r="ANJ113" s="1056"/>
      <c r="ANK113" s="1056"/>
      <c r="ANL113" s="1056"/>
      <c r="ANM113" s="1056"/>
      <c r="ANN113" s="1056"/>
      <c r="ANO113" s="1056"/>
      <c r="ANP113" s="1056"/>
      <c r="ANQ113" s="1056"/>
      <c r="ANR113" s="1056"/>
      <c r="ANS113" s="1056"/>
      <c r="ANT113" s="1056"/>
      <c r="ANU113" s="1056"/>
      <c r="ANV113" s="1056"/>
      <c r="ANW113" s="1056"/>
      <c r="ANX113" s="1056"/>
      <c r="ANY113" s="1056"/>
      <c r="ANZ113" s="1056"/>
      <c r="AOA113" s="1056"/>
      <c r="AOB113" s="1056"/>
      <c r="AOC113" s="1056"/>
      <c r="AOD113" s="1056"/>
      <c r="AOE113" s="1056"/>
      <c r="AOF113" s="1056"/>
      <c r="AOG113" s="1056"/>
      <c r="AOH113" s="1056"/>
      <c r="AOI113" s="1056"/>
      <c r="AOJ113" s="1056"/>
      <c r="AOK113" s="1056"/>
      <c r="AOL113" s="1056"/>
      <c r="AOM113" s="1056"/>
      <c r="AON113" s="1056"/>
      <c r="AOO113" s="1056"/>
      <c r="AOP113" s="1056"/>
      <c r="AOQ113" s="1056"/>
      <c r="AOR113" s="1056"/>
      <c r="AOS113" s="1056"/>
      <c r="AOT113" s="1056"/>
      <c r="AOU113" s="1056"/>
      <c r="AOV113" s="1056"/>
      <c r="AOW113" s="1056"/>
      <c r="AOX113" s="1056"/>
      <c r="AOY113" s="1056"/>
      <c r="AOZ113" s="1056"/>
      <c r="APA113" s="1056"/>
      <c r="APB113" s="1056"/>
      <c r="APC113" s="1056"/>
      <c r="APD113" s="1056"/>
      <c r="APE113" s="1056"/>
      <c r="APF113" s="1056"/>
      <c r="APG113" s="1056"/>
      <c r="APH113" s="1056"/>
      <c r="API113" s="1056"/>
      <c r="APJ113" s="1056"/>
      <c r="APK113" s="1056"/>
      <c r="APL113" s="1056"/>
      <c r="APM113" s="1056"/>
      <c r="APN113" s="1056"/>
      <c r="APO113" s="1056"/>
      <c r="APP113" s="1056"/>
      <c r="APQ113" s="1056"/>
      <c r="APR113" s="1056"/>
      <c r="APS113" s="1056"/>
      <c r="APT113" s="1056"/>
      <c r="APU113" s="1056"/>
      <c r="APV113" s="1056"/>
      <c r="APW113" s="1056"/>
      <c r="APX113" s="1056"/>
      <c r="APY113" s="1056"/>
      <c r="APZ113" s="1056"/>
      <c r="AQA113" s="1056"/>
      <c r="AQB113" s="1056"/>
      <c r="AQC113" s="1056"/>
      <c r="AQD113" s="1056"/>
      <c r="AQE113" s="1056"/>
      <c r="AQF113" s="1056"/>
      <c r="AQG113" s="1056"/>
      <c r="AQH113" s="1056"/>
      <c r="AQI113" s="1056"/>
      <c r="AQJ113" s="1056"/>
      <c r="AQK113" s="1056"/>
      <c r="AQL113" s="1056"/>
      <c r="AQM113" s="1056"/>
      <c r="AQN113" s="1056"/>
      <c r="AQO113" s="1056"/>
      <c r="AQP113" s="1056"/>
      <c r="AQQ113" s="1056"/>
      <c r="AQR113" s="1056"/>
      <c r="AQS113" s="1056"/>
      <c r="AQT113" s="1056"/>
      <c r="AQU113" s="1056"/>
      <c r="AQV113" s="1056"/>
      <c r="AQW113" s="1056"/>
      <c r="AQX113" s="1056"/>
      <c r="AQY113" s="1056"/>
      <c r="AQZ113" s="1056"/>
      <c r="ARA113" s="1056"/>
      <c r="ARB113" s="1056"/>
      <c r="ARC113" s="1056"/>
      <c r="ARD113" s="1056"/>
      <c r="ARE113" s="1056"/>
      <c r="ARF113" s="1056"/>
      <c r="ARG113" s="1056"/>
      <c r="ARH113" s="1056"/>
      <c r="ARI113" s="1056"/>
      <c r="ARJ113" s="1056"/>
      <c r="ARK113" s="1056"/>
      <c r="ARL113" s="1056"/>
      <c r="ARM113" s="1056"/>
      <c r="ARN113" s="1056"/>
      <c r="ARO113" s="1056"/>
      <c r="ARP113" s="1056"/>
      <c r="ARQ113" s="1056"/>
      <c r="ARR113" s="1056"/>
      <c r="ARS113" s="1056"/>
      <c r="ART113" s="1056"/>
      <c r="ARU113" s="1056"/>
      <c r="ARV113" s="1056"/>
      <c r="ARW113" s="1056"/>
      <c r="ARX113" s="1056"/>
      <c r="ARY113" s="1056"/>
      <c r="ARZ113" s="1056"/>
      <c r="ASA113" s="1056"/>
      <c r="ASB113" s="1056"/>
      <c r="ASC113" s="1056"/>
      <c r="ASD113" s="1056"/>
      <c r="ASE113" s="1056"/>
      <c r="ASF113" s="1056"/>
      <c r="ASG113" s="1056"/>
      <c r="ASH113" s="1056"/>
      <c r="ASI113" s="1056"/>
      <c r="ASJ113" s="1056"/>
      <c r="ASK113" s="1056"/>
      <c r="ASL113" s="1056"/>
      <c r="ASM113" s="1056"/>
      <c r="ASN113" s="1056"/>
      <c r="ASO113" s="1056"/>
      <c r="ASP113" s="1056"/>
      <c r="ASQ113" s="1056"/>
      <c r="ASR113" s="1056"/>
      <c r="ASS113" s="1056"/>
      <c r="AST113" s="1056"/>
      <c r="ASU113" s="1056"/>
      <c r="ASV113" s="1056"/>
      <c r="ASW113" s="1056"/>
      <c r="ASX113" s="1056"/>
      <c r="ASY113" s="1056"/>
      <c r="ASZ113" s="1056"/>
      <c r="ATA113" s="1056"/>
      <c r="ATB113" s="1056"/>
      <c r="ATC113" s="1056"/>
      <c r="ATD113" s="1056"/>
      <c r="ATE113" s="1056"/>
      <c r="ATF113" s="1056"/>
      <c r="ATG113" s="1056"/>
      <c r="ATH113" s="1056"/>
      <c r="ATI113" s="1056"/>
      <c r="ATJ113" s="1056"/>
      <c r="ATK113" s="1056"/>
      <c r="ATL113" s="1056"/>
      <c r="ATM113" s="1056"/>
      <c r="ATN113" s="1056"/>
      <c r="ATO113" s="1056"/>
      <c r="ATP113" s="1056"/>
      <c r="ATQ113" s="1056"/>
      <c r="ATR113" s="1056"/>
      <c r="ATS113" s="1056"/>
      <c r="ATT113" s="1056"/>
      <c r="ATU113" s="1056"/>
      <c r="ATV113" s="1056"/>
      <c r="ATW113" s="1056"/>
      <c r="ATX113" s="1056"/>
      <c r="ATY113" s="1056"/>
      <c r="ATZ113" s="1056"/>
      <c r="AUA113" s="1056"/>
      <c r="AUB113" s="1056"/>
      <c r="AUC113" s="1056"/>
      <c r="AUD113" s="1056"/>
      <c r="AUE113" s="1056"/>
      <c r="AUF113" s="1056"/>
      <c r="AUG113" s="1056"/>
      <c r="AUH113" s="1056"/>
      <c r="AUI113" s="1056"/>
      <c r="AUJ113" s="1056"/>
      <c r="AUK113" s="1056"/>
      <c r="AUL113" s="1056"/>
      <c r="AUM113" s="1056"/>
      <c r="AUN113" s="1056"/>
      <c r="AUO113" s="1056"/>
      <c r="AUP113" s="1056"/>
      <c r="AUQ113" s="1056"/>
      <c r="AUR113" s="1056"/>
      <c r="AUS113" s="1056"/>
      <c r="AUT113" s="1056"/>
      <c r="AUU113" s="1056"/>
      <c r="AUV113" s="1056"/>
      <c r="AUW113" s="1056"/>
      <c r="AUX113" s="1056"/>
      <c r="AUY113" s="1056"/>
      <c r="AUZ113" s="1056"/>
      <c r="AVA113" s="1056"/>
      <c r="AVB113" s="1056"/>
      <c r="AVC113" s="1056"/>
      <c r="AVD113" s="1056"/>
      <c r="AVE113" s="1056"/>
      <c r="AVF113" s="1056"/>
      <c r="AVG113" s="1056"/>
      <c r="AVH113" s="1056"/>
      <c r="AVI113" s="1056"/>
      <c r="AVJ113" s="1056"/>
      <c r="AVK113" s="1056"/>
      <c r="AVL113" s="1056"/>
      <c r="AVM113" s="1056"/>
      <c r="AVN113" s="1056"/>
      <c r="AVO113" s="1056"/>
      <c r="AVP113" s="1056"/>
      <c r="AVQ113" s="1056"/>
      <c r="AVR113" s="1056"/>
      <c r="AVS113" s="1056"/>
      <c r="AVT113" s="1056"/>
      <c r="AVU113" s="1056"/>
      <c r="AVV113" s="1056"/>
      <c r="AVW113" s="1056"/>
      <c r="AVX113" s="1056"/>
      <c r="AVY113" s="1056"/>
      <c r="AVZ113" s="1056"/>
      <c r="AWA113" s="1056"/>
      <c r="AWB113" s="1056"/>
      <c r="AWC113" s="1056"/>
      <c r="AWD113" s="1056"/>
      <c r="AWE113" s="1056"/>
      <c r="AWF113" s="1056"/>
      <c r="AWG113" s="1056"/>
      <c r="AWH113" s="1056"/>
      <c r="AWI113" s="1056"/>
      <c r="AWJ113" s="1056"/>
      <c r="AWK113" s="1056"/>
      <c r="AWL113" s="1056"/>
      <c r="AWM113" s="1056"/>
      <c r="AWN113" s="1056"/>
      <c r="AWO113" s="1056"/>
      <c r="AWP113" s="1056"/>
      <c r="AWQ113" s="1056"/>
      <c r="AWR113" s="1056"/>
      <c r="AWS113" s="1056"/>
      <c r="AWT113" s="1056"/>
      <c r="AWU113" s="1056"/>
      <c r="AWV113" s="1056"/>
      <c r="AWW113" s="1056"/>
      <c r="AWX113" s="1056"/>
      <c r="AWY113" s="1056"/>
      <c r="AWZ113" s="1056"/>
      <c r="AXA113" s="1056"/>
      <c r="AXB113" s="1056"/>
      <c r="AXC113" s="1056"/>
      <c r="AXD113" s="1056"/>
      <c r="AXE113" s="1056"/>
      <c r="AXF113" s="1056"/>
      <c r="AXG113" s="1056"/>
      <c r="AXH113" s="1056"/>
      <c r="AXI113" s="1056"/>
      <c r="AXJ113" s="1056"/>
      <c r="AXK113" s="1056"/>
      <c r="AXL113" s="1056"/>
      <c r="AXM113" s="1056"/>
      <c r="AXN113" s="1056"/>
      <c r="AXO113" s="1056"/>
      <c r="AXP113" s="1056"/>
      <c r="AXQ113" s="1056"/>
      <c r="AXR113" s="1056"/>
      <c r="AXS113" s="1056"/>
      <c r="AXT113" s="1056"/>
      <c r="AXU113" s="1056"/>
      <c r="AXV113" s="1056"/>
      <c r="AXW113" s="1056"/>
      <c r="AXX113" s="1056"/>
      <c r="AXY113" s="1056"/>
      <c r="AXZ113" s="1056"/>
      <c r="AYA113" s="1056"/>
      <c r="AYB113" s="1056"/>
      <c r="AYC113" s="1056"/>
      <c r="AYD113" s="1056"/>
      <c r="AYE113" s="1056"/>
      <c r="AYF113" s="1056"/>
      <c r="AYG113" s="1056"/>
      <c r="AYH113" s="1056"/>
      <c r="AYI113" s="1056"/>
      <c r="AYJ113" s="1056"/>
      <c r="AYK113" s="1056"/>
      <c r="AYL113" s="1056"/>
      <c r="AYM113" s="1056"/>
      <c r="AYN113" s="1056"/>
      <c r="AYO113" s="1056"/>
      <c r="AYP113" s="1056"/>
      <c r="AYQ113" s="1056"/>
      <c r="AYR113" s="1056"/>
      <c r="AYS113" s="1056"/>
      <c r="AYT113" s="1056"/>
      <c r="AYU113" s="1056"/>
      <c r="AYV113" s="1056"/>
      <c r="AYW113" s="1056"/>
      <c r="AYX113" s="1056"/>
      <c r="AYY113" s="1056"/>
      <c r="AYZ113" s="1056"/>
      <c r="AZA113" s="1056"/>
      <c r="AZB113" s="1056"/>
      <c r="AZC113" s="1056"/>
      <c r="AZD113" s="1056"/>
      <c r="AZE113" s="1056"/>
      <c r="AZF113" s="1056"/>
      <c r="AZG113" s="1056"/>
      <c r="AZH113" s="1056"/>
      <c r="AZI113" s="1056"/>
      <c r="AZJ113" s="1056"/>
      <c r="AZK113" s="1056"/>
      <c r="AZL113" s="1056"/>
      <c r="AZM113" s="1056"/>
      <c r="AZN113" s="1056"/>
      <c r="AZO113" s="1056"/>
      <c r="AZP113" s="1056"/>
      <c r="AZQ113" s="1056"/>
      <c r="AZR113" s="1056"/>
      <c r="AZS113" s="1056"/>
      <c r="AZT113" s="1056"/>
      <c r="AZU113" s="1056"/>
      <c r="AZV113" s="1056"/>
      <c r="AZW113" s="1056"/>
      <c r="AZX113" s="1056"/>
      <c r="AZY113" s="1056"/>
      <c r="AZZ113" s="1056"/>
      <c r="BAA113" s="1056"/>
      <c r="BAB113" s="1056"/>
      <c r="BAC113" s="1056"/>
      <c r="BAD113" s="1056"/>
      <c r="BAE113" s="1056"/>
      <c r="BAF113" s="1056"/>
      <c r="BAG113" s="1056"/>
      <c r="BAH113" s="1056"/>
      <c r="BAI113" s="1056"/>
      <c r="BAJ113" s="1056"/>
      <c r="BAK113" s="1056"/>
      <c r="BAL113" s="1056"/>
      <c r="BAM113" s="1056"/>
      <c r="BAN113" s="1056"/>
      <c r="BAO113" s="1056"/>
      <c r="BAP113" s="1056"/>
      <c r="BAQ113" s="1056"/>
      <c r="BAR113" s="1056"/>
      <c r="BAS113" s="1056"/>
      <c r="BAT113" s="1056"/>
      <c r="BAU113" s="1056"/>
      <c r="BAV113" s="1056"/>
      <c r="BAW113" s="1056"/>
      <c r="BAX113" s="1056"/>
      <c r="BAY113" s="1056"/>
      <c r="BAZ113" s="1056"/>
      <c r="BBA113" s="1056"/>
      <c r="BBB113" s="1056"/>
      <c r="BBC113" s="1056"/>
      <c r="BBD113" s="1056"/>
      <c r="BBE113" s="1056"/>
      <c r="BBF113" s="1056"/>
      <c r="BBG113" s="1056"/>
      <c r="BBH113" s="1056"/>
      <c r="BBI113" s="1056"/>
      <c r="BBJ113" s="1056"/>
      <c r="BBK113" s="1056"/>
      <c r="BBL113" s="1056"/>
      <c r="BBM113" s="1056"/>
      <c r="BBN113" s="1056"/>
      <c r="BBO113" s="1056"/>
      <c r="BBP113" s="1056"/>
      <c r="BBQ113" s="1056"/>
      <c r="BBR113" s="1056"/>
      <c r="BBS113" s="1056"/>
      <c r="BBT113" s="1056"/>
      <c r="BBU113" s="1056"/>
      <c r="BBV113" s="1056"/>
      <c r="BBW113" s="1056"/>
      <c r="BBX113" s="1056"/>
      <c r="BBY113" s="1056"/>
      <c r="BBZ113" s="1056"/>
      <c r="BCA113" s="1056"/>
      <c r="BCB113" s="1056"/>
      <c r="BCC113" s="1056"/>
      <c r="BCD113" s="1056"/>
      <c r="BCE113" s="1056"/>
      <c r="BCF113" s="1056"/>
      <c r="BCG113" s="1056"/>
      <c r="BCH113" s="1056"/>
      <c r="BCI113" s="1056"/>
      <c r="BCJ113" s="1056"/>
      <c r="BCK113" s="1056"/>
      <c r="BCL113" s="1056"/>
      <c r="BCM113" s="1056"/>
      <c r="BCN113" s="1056"/>
      <c r="BCO113" s="1056"/>
      <c r="BCP113" s="1056"/>
      <c r="BCQ113" s="1056"/>
      <c r="BCR113" s="1056"/>
      <c r="BCS113" s="1056"/>
      <c r="BCT113" s="1056"/>
      <c r="BCU113" s="1056"/>
      <c r="BCV113" s="1056"/>
      <c r="BCW113" s="1056"/>
      <c r="BCX113" s="1056"/>
      <c r="BCY113" s="1056"/>
      <c r="BCZ113" s="1056"/>
      <c r="BDA113" s="1056"/>
      <c r="BDB113" s="1056"/>
      <c r="BDC113" s="1056"/>
      <c r="BDD113" s="1056"/>
      <c r="BDE113" s="1056"/>
      <c r="BDF113" s="1056"/>
      <c r="BDG113" s="1056"/>
      <c r="BDH113" s="1056"/>
      <c r="BDI113" s="1056"/>
      <c r="BDJ113" s="1056"/>
      <c r="BDK113" s="1056"/>
      <c r="BDL113" s="1056"/>
      <c r="BDM113" s="1056"/>
      <c r="BDN113" s="1056"/>
      <c r="BDO113" s="1056"/>
      <c r="BDP113" s="1056"/>
      <c r="BDQ113" s="1056"/>
      <c r="BDR113" s="1056"/>
      <c r="BDS113" s="1056"/>
      <c r="BDT113" s="1056"/>
      <c r="BDU113" s="1056"/>
      <c r="BDV113" s="1056"/>
      <c r="BDW113" s="1056"/>
      <c r="BDX113" s="1056"/>
      <c r="BDY113" s="1056"/>
      <c r="BDZ113" s="1056"/>
      <c r="BEA113" s="1056"/>
      <c r="BEB113" s="1056"/>
      <c r="BEC113" s="1056"/>
      <c r="BED113" s="1056"/>
      <c r="BEE113" s="1056"/>
      <c r="BEF113" s="1056"/>
      <c r="BEG113" s="1056"/>
      <c r="BEH113" s="1056"/>
      <c r="BEI113" s="1056"/>
      <c r="BEJ113" s="1056"/>
      <c r="BEK113" s="1056"/>
      <c r="BEL113" s="1056"/>
      <c r="BEM113" s="1056"/>
      <c r="BEN113" s="1056"/>
      <c r="BEO113" s="1056"/>
      <c r="BEP113" s="1056"/>
      <c r="BEQ113" s="1056"/>
      <c r="BER113" s="1056"/>
      <c r="BES113" s="1056"/>
      <c r="BET113" s="1056"/>
      <c r="BEU113" s="1056"/>
      <c r="BEV113" s="1056"/>
      <c r="BEW113" s="1056"/>
      <c r="BEX113" s="1056"/>
      <c r="BEY113" s="1056"/>
      <c r="BEZ113" s="1056"/>
      <c r="BFA113" s="1056"/>
      <c r="BFB113" s="1056"/>
      <c r="BFC113" s="1056"/>
      <c r="BFD113" s="1056"/>
      <c r="BFE113" s="1056"/>
      <c r="BFF113" s="1056"/>
      <c r="BFG113" s="1056"/>
      <c r="BFH113" s="1056"/>
      <c r="BFI113" s="1056"/>
      <c r="BFJ113" s="1056"/>
      <c r="BFK113" s="1056"/>
      <c r="BFL113" s="1056"/>
      <c r="BFM113" s="1056"/>
      <c r="BFN113" s="1056"/>
      <c r="BFO113" s="1056"/>
      <c r="BFP113" s="1056"/>
      <c r="BFQ113" s="1056"/>
      <c r="BFR113" s="1056"/>
      <c r="BFS113" s="1056"/>
      <c r="BFT113" s="1056"/>
      <c r="BFU113" s="1056"/>
      <c r="BFV113" s="1056"/>
      <c r="BFW113" s="1056"/>
      <c r="BFX113" s="1056"/>
      <c r="BFY113" s="1056"/>
      <c r="BFZ113" s="1056"/>
      <c r="BGA113" s="1056"/>
      <c r="BGB113" s="1056"/>
      <c r="BGC113" s="1056"/>
      <c r="BGD113" s="1056"/>
      <c r="BGE113" s="1056"/>
      <c r="BGF113" s="1056"/>
      <c r="BGG113" s="1056"/>
      <c r="BGH113" s="1056"/>
      <c r="BGI113" s="1056"/>
      <c r="BGJ113" s="1056"/>
      <c r="BGK113" s="1056"/>
      <c r="BGL113" s="1056"/>
      <c r="BGM113" s="1056"/>
      <c r="BGN113" s="1056"/>
      <c r="BGO113" s="1056"/>
      <c r="BGP113" s="1056"/>
      <c r="BGQ113" s="1056"/>
      <c r="BGR113" s="1056"/>
      <c r="BGS113" s="1056"/>
      <c r="BGT113" s="1056"/>
      <c r="BGU113" s="1056"/>
      <c r="BGV113" s="1056"/>
      <c r="BGW113" s="1056"/>
      <c r="BGX113" s="1056"/>
      <c r="BGY113" s="1056"/>
      <c r="BGZ113" s="1056"/>
      <c r="BHA113" s="1056"/>
      <c r="BHB113" s="1056"/>
      <c r="BHC113" s="1056"/>
      <c r="BHD113" s="1056"/>
      <c r="BHE113" s="1056"/>
      <c r="BHF113" s="1056"/>
      <c r="BHG113" s="1056"/>
      <c r="BHH113" s="1056"/>
      <c r="BHI113" s="1056"/>
      <c r="BHJ113" s="1056"/>
      <c r="BHK113" s="1056"/>
      <c r="BHL113" s="1056"/>
      <c r="BHM113" s="1056"/>
      <c r="BHN113" s="1056"/>
      <c r="BHO113" s="1056"/>
      <c r="BHP113" s="1056"/>
      <c r="BHQ113" s="1056"/>
      <c r="BHR113" s="1056"/>
      <c r="BHS113" s="1056"/>
      <c r="BHT113" s="1056"/>
      <c r="BHU113" s="1056"/>
      <c r="BHV113" s="1056"/>
      <c r="BHW113" s="1056"/>
      <c r="BHX113" s="1056"/>
      <c r="BHY113" s="1056"/>
      <c r="BHZ113" s="1056"/>
      <c r="BIA113" s="1056"/>
      <c r="BIB113" s="1056"/>
      <c r="BIC113" s="1056"/>
      <c r="BID113" s="1056"/>
      <c r="BIE113" s="1056"/>
      <c r="BIF113" s="1056"/>
      <c r="BIG113" s="1056"/>
      <c r="BIH113" s="1056"/>
      <c r="BII113" s="1056"/>
      <c r="BIJ113" s="1056"/>
      <c r="BIK113" s="1056"/>
      <c r="BIL113" s="1056"/>
      <c r="BIM113" s="1056"/>
      <c r="BIN113" s="1056"/>
      <c r="BIO113" s="1056"/>
      <c r="BIP113" s="1056"/>
      <c r="BIQ113" s="1056"/>
      <c r="BIR113" s="1056"/>
      <c r="BIS113" s="1056"/>
      <c r="BIT113" s="1056"/>
      <c r="BIU113" s="1056"/>
      <c r="BIV113" s="1056"/>
      <c r="BIW113" s="1056"/>
      <c r="BIX113" s="1056"/>
      <c r="BIY113" s="1056"/>
      <c r="BIZ113" s="1056"/>
      <c r="BJA113" s="1056"/>
      <c r="BJB113" s="1056"/>
      <c r="BJC113" s="1056"/>
      <c r="BJD113" s="1056"/>
      <c r="BJE113" s="1056"/>
      <c r="BJF113" s="1056"/>
      <c r="BJG113" s="1056"/>
      <c r="BJH113" s="1056"/>
      <c r="BJI113" s="1056"/>
      <c r="BJJ113" s="1056"/>
      <c r="BJK113" s="1056"/>
      <c r="BJL113" s="1056"/>
      <c r="BJM113" s="1056"/>
      <c r="BJN113" s="1056"/>
      <c r="BJO113" s="1056"/>
      <c r="BJP113" s="1056"/>
      <c r="BJQ113" s="1056"/>
      <c r="BJR113" s="1056"/>
      <c r="BJS113" s="1056"/>
      <c r="BJT113" s="1056"/>
      <c r="BJU113" s="1056"/>
      <c r="BJV113" s="1056"/>
      <c r="BJW113" s="1056"/>
      <c r="BJX113" s="1056"/>
      <c r="BJY113" s="1056"/>
      <c r="BJZ113" s="1056"/>
      <c r="BKA113" s="1056"/>
      <c r="BKB113" s="1056"/>
      <c r="BKC113" s="1056"/>
      <c r="BKD113" s="1056"/>
      <c r="BKE113" s="1056"/>
      <c r="BKF113" s="1056"/>
      <c r="BKG113" s="1056"/>
      <c r="BKH113" s="1056"/>
      <c r="BKI113" s="1056"/>
      <c r="BKJ113" s="1056"/>
      <c r="BKK113" s="1056"/>
      <c r="BKL113" s="1056"/>
      <c r="BKM113" s="1056"/>
      <c r="BKN113" s="1056"/>
      <c r="BKO113" s="1056"/>
      <c r="BKP113" s="1056"/>
      <c r="BKQ113" s="1056"/>
      <c r="BKR113" s="1056"/>
      <c r="BKS113" s="1056"/>
      <c r="BKT113" s="1056"/>
      <c r="BKU113" s="1056"/>
      <c r="BKV113" s="1056"/>
      <c r="BKW113" s="1056"/>
      <c r="BKX113" s="1056"/>
      <c r="BKY113" s="1056"/>
      <c r="BKZ113" s="1056"/>
      <c r="BLA113" s="1056"/>
      <c r="BLB113" s="1056"/>
      <c r="BLC113" s="1056"/>
      <c r="BLD113" s="1056"/>
      <c r="BLE113" s="1056"/>
      <c r="BLF113" s="1056"/>
      <c r="BLG113" s="1056"/>
      <c r="BLH113" s="1056"/>
      <c r="BLI113" s="1056"/>
      <c r="BLJ113" s="1056"/>
      <c r="BLK113" s="1056"/>
      <c r="BLL113" s="1056"/>
      <c r="BLM113" s="1056"/>
      <c r="BLN113" s="1056"/>
      <c r="BLO113" s="1056"/>
      <c r="BLP113" s="1056"/>
      <c r="BLQ113" s="1056"/>
      <c r="BLR113" s="1056"/>
      <c r="BLS113" s="1056"/>
      <c r="BLT113" s="1056"/>
      <c r="BLU113" s="1056"/>
      <c r="BLV113" s="1056"/>
      <c r="BLW113" s="1056"/>
      <c r="BLX113" s="1056"/>
      <c r="BLY113" s="1056"/>
      <c r="BLZ113" s="1056"/>
      <c r="BMA113" s="1056"/>
      <c r="BMB113" s="1056"/>
      <c r="BMC113" s="1056"/>
      <c r="BMD113" s="1056"/>
      <c r="BME113" s="1056"/>
      <c r="BMF113" s="1056"/>
      <c r="BMG113" s="1056"/>
      <c r="BMH113" s="1056"/>
      <c r="BMI113" s="1056"/>
      <c r="BMJ113" s="1056"/>
      <c r="BMK113" s="1056"/>
      <c r="BML113" s="1056"/>
      <c r="BMM113" s="1056"/>
      <c r="BMN113" s="1056"/>
      <c r="BMO113" s="1056"/>
      <c r="BMP113" s="1056"/>
      <c r="BMQ113" s="1056"/>
      <c r="BMR113" s="1056"/>
      <c r="BMS113" s="1056"/>
      <c r="BMT113" s="1056"/>
      <c r="BMU113" s="1056"/>
      <c r="BMV113" s="1056"/>
      <c r="BMW113" s="1056"/>
      <c r="BMX113" s="1056"/>
      <c r="BMY113" s="1056"/>
      <c r="BMZ113" s="1056"/>
      <c r="BNA113" s="1056"/>
      <c r="BNB113" s="1056"/>
      <c r="BNC113" s="1056"/>
      <c r="BND113" s="1056"/>
      <c r="BNE113" s="1056"/>
      <c r="BNF113" s="1056"/>
      <c r="BNG113" s="1056"/>
      <c r="BNH113" s="1056"/>
      <c r="BNI113" s="1056"/>
      <c r="BNJ113" s="1056"/>
      <c r="BNK113" s="1056"/>
      <c r="BNL113" s="1056"/>
      <c r="BNM113" s="1056"/>
      <c r="BNN113" s="1056"/>
      <c r="BNO113" s="1056"/>
      <c r="BNP113" s="1056"/>
      <c r="BNQ113" s="1056"/>
      <c r="BNR113" s="1056"/>
      <c r="BNS113" s="1056"/>
      <c r="BNT113" s="1056"/>
      <c r="BNU113" s="1056"/>
      <c r="BNV113" s="1056"/>
      <c r="BNW113" s="1056"/>
      <c r="BNX113" s="1056"/>
      <c r="BNY113" s="1056"/>
      <c r="BNZ113" s="1056"/>
      <c r="BOA113" s="1056"/>
      <c r="BOB113" s="1056"/>
      <c r="BOC113" s="1056"/>
      <c r="BOD113" s="1056"/>
      <c r="BOE113" s="1056"/>
      <c r="BOF113" s="1056"/>
      <c r="BOG113" s="1056"/>
      <c r="BOH113" s="1056"/>
      <c r="BOI113" s="1056"/>
      <c r="BOJ113" s="1056"/>
      <c r="BOK113" s="1056"/>
      <c r="BOL113" s="1056"/>
      <c r="BOM113" s="1056"/>
      <c r="BON113" s="1056"/>
      <c r="BOO113" s="1056"/>
      <c r="BOP113" s="1056"/>
      <c r="BOQ113" s="1056"/>
      <c r="BOR113" s="1056"/>
      <c r="BOS113" s="1056"/>
      <c r="BOT113" s="1056"/>
      <c r="BOU113" s="1056"/>
      <c r="BOV113" s="1056"/>
      <c r="BOW113" s="1056"/>
      <c r="BOX113" s="1056"/>
      <c r="BOY113" s="1056"/>
      <c r="BOZ113" s="1056"/>
      <c r="BPA113" s="1056"/>
      <c r="BPB113" s="1056"/>
      <c r="BPC113" s="1056"/>
      <c r="BPD113" s="1056"/>
      <c r="BPE113" s="1056"/>
      <c r="BPF113" s="1056"/>
      <c r="BPG113" s="1056"/>
      <c r="BPH113" s="1056"/>
      <c r="BPI113" s="1056"/>
      <c r="BPJ113" s="1056"/>
      <c r="BPK113" s="1056"/>
      <c r="BPL113" s="1056"/>
      <c r="BPM113" s="1056"/>
      <c r="BPN113" s="1056"/>
      <c r="BPO113" s="1056"/>
      <c r="BPP113" s="1056"/>
      <c r="BPQ113" s="1056"/>
      <c r="BPR113" s="1056"/>
      <c r="BPS113" s="1056"/>
      <c r="BPT113" s="1056"/>
      <c r="BPU113" s="1056"/>
      <c r="BPV113" s="1056"/>
      <c r="BPW113" s="1056"/>
      <c r="BPX113" s="1056"/>
      <c r="BPY113" s="1056"/>
      <c r="BPZ113" s="1056"/>
      <c r="BQA113" s="1056"/>
      <c r="BQB113" s="1056"/>
      <c r="BQC113" s="1056"/>
      <c r="BQD113" s="1056"/>
      <c r="BQE113" s="1056"/>
      <c r="BQF113" s="1056"/>
      <c r="BQG113" s="1056"/>
      <c r="BQH113" s="1056"/>
      <c r="BQI113" s="1056"/>
      <c r="BQJ113" s="1056"/>
      <c r="BQK113" s="1056"/>
      <c r="BQL113" s="1056"/>
      <c r="BQM113" s="1056"/>
      <c r="BQN113" s="1056"/>
      <c r="BQO113" s="1056"/>
      <c r="BQP113" s="1056"/>
      <c r="BQQ113" s="1056"/>
      <c r="BQR113" s="1056"/>
      <c r="BQS113" s="1056"/>
      <c r="BQT113" s="1056"/>
      <c r="BQU113" s="1056"/>
      <c r="BQV113" s="1056"/>
      <c r="BQW113" s="1056"/>
      <c r="BQX113" s="1056"/>
      <c r="BQY113" s="1056"/>
      <c r="BQZ113" s="1056"/>
      <c r="BRA113" s="1056"/>
      <c r="BRB113" s="1056"/>
      <c r="BRC113" s="1056"/>
      <c r="BRD113" s="1056"/>
      <c r="BRE113" s="1056"/>
      <c r="BRF113" s="1056"/>
      <c r="BRG113" s="1056"/>
      <c r="BRH113" s="1056"/>
      <c r="BRI113" s="1056"/>
      <c r="BRJ113" s="1056"/>
      <c r="BRK113" s="1056"/>
      <c r="BRL113" s="1056"/>
      <c r="BRM113" s="1056"/>
      <c r="BRN113" s="1056"/>
      <c r="BRO113" s="1056"/>
      <c r="BRP113" s="1056"/>
      <c r="BRQ113" s="1056"/>
      <c r="BRR113" s="1056"/>
      <c r="BRS113" s="1056"/>
      <c r="BRT113" s="1056"/>
      <c r="BRU113" s="1056"/>
      <c r="BRV113" s="1056"/>
      <c r="BRW113" s="1056"/>
      <c r="BRX113" s="1056"/>
      <c r="BRY113" s="1056"/>
      <c r="BRZ113" s="1056"/>
      <c r="BSA113" s="1056"/>
      <c r="BSB113" s="1056"/>
      <c r="BSC113" s="1056"/>
      <c r="BSD113" s="1056"/>
      <c r="BSE113" s="1056"/>
      <c r="BSF113" s="1056"/>
      <c r="BSG113" s="1056"/>
      <c r="BSH113" s="1056"/>
      <c r="BSI113" s="1056"/>
      <c r="BSJ113" s="1056"/>
      <c r="BSK113" s="1056"/>
      <c r="BSL113" s="1056"/>
      <c r="BSM113" s="1056"/>
      <c r="BSN113" s="1056"/>
      <c r="BSO113" s="1056"/>
      <c r="BSP113" s="1056"/>
      <c r="BSQ113" s="1056"/>
      <c r="BSR113" s="1056"/>
      <c r="BSS113" s="1056"/>
      <c r="BST113" s="1056"/>
      <c r="BSU113" s="1056"/>
      <c r="BSV113" s="1056"/>
      <c r="BSW113" s="1056"/>
      <c r="BSX113" s="1056"/>
      <c r="BSY113" s="1056"/>
      <c r="BSZ113" s="1056"/>
      <c r="BTA113" s="1056"/>
      <c r="BTB113" s="1056"/>
      <c r="BTC113" s="1056"/>
      <c r="BTD113" s="1056"/>
      <c r="BTE113" s="1056"/>
      <c r="BTF113" s="1056"/>
      <c r="BTG113" s="1056"/>
      <c r="BTH113" s="1056"/>
      <c r="BTI113" s="1056"/>
    </row>
    <row r="114" spans="1:1881" s="1060" customFormat="1" ht="117.75" hidden="1" customHeight="1" thickBot="1" x14ac:dyDescent="0.35">
      <c r="A114" s="1071">
        <v>32</v>
      </c>
      <c r="B114" s="1069" t="s">
        <v>409</v>
      </c>
      <c r="C114" s="1072" t="s">
        <v>1018</v>
      </c>
      <c r="D114" s="1072" t="s">
        <v>1019</v>
      </c>
      <c r="E114" s="1053" t="e">
        <f>HLOOKUP($D$2,'2020 Data(H)'!$C$1:$AI$426,20,FALSE)</f>
        <v>#N/A</v>
      </c>
      <c r="F114" s="287">
        <v>0</v>
      </c>
      <c r="G114" s="722"/>
      <c r="H114" s="764"/>
      <c r="I114" s="1055"/>
      <c r="J114" s="1068"/>
      <c r="K114" s="1056"/>
      <c r="L114" s="1057"/>
      <c r="M114" s="1056"/>
      <c r="N114" s="1058"/>
      <c r="O114" s="1056"/>
      <c r="P114" s="1056"/>
      <c r="Q114" s="1056"/>
      <c r="R114" s="1056"/>
      <c r="S114" s="1056"/>
      <c r="T114" s="1056"/>
      <c r="U114" s="1056"/>
      <c r="V114" s="1056"/>
      <c r="W114" s="1056"/>
      <c r="X114" s="1056"/>
      <c r="Y114" s="1056"/>
      <c r="Z114" s="1073"/>
      <c r="AA114" s="1073"/>
      <c r="AB114" s="1073"/>
      <c r="AC114" s="1073"/>
      <c r="AD114" s="1073"/>
      <c r="AE114" s="1073"/>
      <c r="AF114" s="1073"/>
      <c r="AG114" s="1073"/>
      <c r="AH114" s="1073"/>
      <c r="AI114" s="1073"/>
      <c r="AJ114" s="1073"/>
      <c r="AK114" s="1073"/>
      <c r="AL114" s="1073"/>
      <c r="AM114" s="1073"/>
      <c r="AN114" s="1073"/>
      <c r="AO114" s="1073"/>
      <c r="AP114" s="1073"/>
      <c r="AQ114" s="1073"/>
      <c r="AR114" s="1073"/>
      <c r="AS114" s="1056"/>
      <c r="AT114" s="1056"/>
      <c r="AU114" s="1056"/>
      <c r="AV114" s="1056"/>
      <c r="AW114" s="1056"/>
      <c r="AX114" s="1056"/>
      <c r="AY114" s="1056"/>
      <c r="AZ114" s="1056"/>
      <c r="BA114" s="1056"/>
      <c r="BB114" s="1056"/>
      <c r="BC114" s="1056"/>
      <c r="BD114" s="1056"/>
      <c r="BE114" s="1056"/>
      <c r="BF114" s="1056"/>
      <c r="BG114" s="1056"/>
      <c r="BH114" s="1056"/>
      <c r="BI114" s="1056"/>
      <c r="BJ114" s="1056"/>
      <c r="BK114" s="1056"/>
      <c r="BL114" s="1056"/>
      <c r="BM114" s="1056"/>
      <c r="BN114" s="1056"/>
      <c r="BO114" s="1056"/>
      <c r="BP114" s="1056"/>
      <c r="BQ114" s="1056"/>
      <c r="BR114" s="1056"/>
      <c r="BS114" s="1056"/>
      <c r="BT114" s="1056"/>
      <c r="BU114" s="1056"/>
      <c r="BV114" s="1056"/>
      <c r="BW114" s="1056"/>
      <c r="BX114" s="1056"/>
      <c r="BY114" s="1056"/>
      <c r="BZ114" s="1056"/>
      <c r="CA114" s="1056"/>
      <c r="CB114" s="1056"/>
      <c r="CC114" s="1056"/>
      <c r="CD114" s="1056"/>
      <c r="CE114" s="1056"/>
      <c r="CF114" s="1056"/>
      <c r="CG114" s="1056"/>
      <c r="CH114" s="1056"/>
      <c r="CI114" s="1056"/>
      <c r="CJ114" s="1056"/>
      <c r="CK114" s="1056"/>
      <c r="CL114" s="1056"/>
      <c r="CM114" s="1056"/>
      <c r="CN114" s="1056"/>
      <c r="CO114" s="1056"/>
      <c r="CP114" s="1056"/>
      <c r="CQ114" s="1056"/>
      <c r="CR114" s="1056"/>
      <c r="CS114" s="1056"/>
      <c r="CT114" s="1056"/>
      <c r="CU114" s="1056"/>
      <c r="CV114" s="1056"/>
      <c r="CW114" s="1056"/>
      <c r="CX114" s="1056"/>
      <c r="CY114" s="1056"/>
      <c r="CZ114" s="1056"/>
      <c r="DA114" s="1056"/>
      <c r="DB114" s="1056"/>
      <c r="DC114" s="1056"/>
      <c r="DD114" s="1056"/>
      <c r="DE114" s="1056"/>
      <c r="DF114" s="1056"/>
      <c r="DG114" s="1056"/>
      <c r="DH114" s="1056"/>
      <c r="DI114" s="1056"/>
      <c r="DJ114" s="1056"/>
      <c r="DK114" s="1056"/>
      <c r="DL114" s="1056"/>
      <c r="DM114" s="1056"/>
      <c r="DN114" s="1056"/>
      <c r="DO114" s="1056"/>
      <c r="DP114" s="1056"/>
      <c r="DQ114" s="1056"/>
      <c r="DR114" s="1056"/>
      <c r="DS114" s="1056"/>
      <c r="DT114" s="1056"/>
      <c r="DU114" s="1056"/>
      <c r="DV114" s="1056"/>
      <c r="DW114" s="1056"/>
      <c r="DX114" s="1056"/>
      <c r="DY114" s="1056"/>
      <c r="DZ114" s="1056"/>
      <c r="EA114" s="1056"/>
      <c r="EB114" s="1056"/>
      <c r="EC114" s="1056"/>
      <c r="ED114" s="1056"/>
      <c r="EE114" s="1056"/>
      <c r="EF114" s="1056"/>
      <c r="EG114" s="1056"/>
      <c r="EH114" s="1056"/>
      <c r="EI114" s="1056"/>
      <c r="EJ114" s="1056"/>
      <c r="EK114" s="1056"/>
      <c r="EL114" s="1056"/>
      <c r="EM114" s="1056"/>
      <c r="EN114" s="1056"/>
      <c r="EO114" s="1056"/>
      <c r="EP114" s="1056"/>
      <c r="EQ114" s="1056"/>
      <c r="ER114" s="1056"/>
      <c r="ES114" s="1056"/>
      <c r="ET114" s="1056"/>
      <c r="EU114" s="1056"/>
      <c r="EV114" s="1056"/>
      <c r="EW114" s="1056"/>
      <c r="EX114" s="1056"/>
      <c r="EY114" s="1056"/>
      <c r="EZ114" s="1056"/>
      <c r="FA114" s="1056"/>
      <c r="FB114" s="1056"/>
      <c r="FC114" s="1056"/>
      <c r="FD114" s="1056"/>
      <c r="FE114" s="1056"/>
      <c r="FF114" s="1056"/>
      <c r="FG114" s="1056"/>
      <c r="FH114" s="1056"/>
      <c r="FI114" s="1056"/>
      <c r="FJ114" s="1056"/>
      <c r="FK114" s="1056"/>
      <c r="FL114" s="1056"/>
      <c r="FM114" s="1056"/>
      <c r="FN114" s="1056"/>
      <c r="FO114" s="1056"/>
      <c r="FP114" s="1056"/>
      <c r="FQ114" s="1056"/>
      <c r="FR114" s="1056"/>
      <c r="FS114" s="1056"/>
      <c r="FT114" s="1056"/>
      <c r="FU114" s="1056"/>
      <c r="FV114" s="1056"/>
      <c r="FW114" s="1056"/>
      <c r="FX114" s="1056"/>
      <c r="FY114" s="1056"/>
      <c r="FZ114" s="1056"/>
      <c r="GA114" s="1056"/>
      <c r="GB114" s="1056"/>
      <c r="GC114" s="1056"/>
      <c r="GD114" s="1056"/>
      <c r="GE114" s="1056"/>
      <c r="GF114" s="1056"/>
      <c r="GG114" s="1056"/>
      <c r="GH114" s="1056"/>
      <c r="GI114" s="1056"/>
      <c r="GJ114" s="1056"/>
      <c r="GK114" s="1056"/>
      <c r="GL114" s="1056"/>
      <c r="GM114" s="1056"/>
      <c r="GN114" s="1056"/>
      <c r="GO114" s="1056"/>
      <c r="GP114" s="1056"/>
      <c r="GQ114" s="1056"/>
      <c r="GR114" s="1056"/>
      <c r="GS114" s="1056"/>
      <c r="GT114" s="1056"/>
      <c r="GU114" s="1056"/>
      <c r="GV114" s="1056"/>
      <c r="GW114" s="1056"/>
      <c r="GX114" s="1056"/>
      <c r="GY114" s="1056"/>
      <c r="GZ114" s="1056"/>
      <c r="HA114" s="1056"/>
      <c r="HB114" s="1056"/>
      <c r="HC114" s="1056"/>
      <c r="HD114" s="1056"/>
      <c r="HE114" s="1056"/>
      <c r="HF114" s="1056"/>
      <c r="HG114" s="1056"/>
      <c r="HH114" s="1056"/>
      <c r="HI114" s="1056"/>
      <c r="HJ114" s="1056"/>
      <c r="HK114" s="1056"/>
      <c r="HL114" s="1056"/>
      <c r="HM114" s="1056"/>
      <c r="HN114" s="1056"/>
      <c r="HO114" s="1056"/>
      <c r="HP114" s="1056"/>
      <c r="HQ114" s="1056"/>
      <c r="HR114" s="1056"/>
      <c r="HS114" s="1056"/>
      <c r="HT114" s="1056"/>
      <c r="HU114" s="1056"/>
      <c r="HV114" s="1056"/>
      <c r="HW114" s="1056"/>
      <c r="HX114" s="1056"/>
      <c r="HY114" s="1056"/>
      <c r="HZ114" s="1056"/>
      <c r="IA114" s="1056"/>
      <c r="IB114" s="1056"/>
      <c r="IC114" s="1056"/>
      <c r="ID114" s="1056"/>
      <c r="IE114" s="1056"/>
      <c r="IF114" s="1056"/>
      <c r="IG114" s="1056"/>
      <c r="IH114" s="1056"/>
      <c r="II114" s="1056"/>
      <c r="IJ114" s="1056"/>
      <c r="IK114" s="1056"/>
      <c r="IL114" s="1056"/>
      <c r="IM114" s="1056"/>
      <c r="IN114" s="1056"/>
      <c r="IO114" s="1056"/>
      <c r="IP114" s="1056"/>
      <c r="IQ114" s="1056"/>
      <c r="IR114" s="1056"/>
      <c r="IS114" s="1056"/>
      <c r="IT114" s="1056"/>
      <c r="IU114" s="1056"/>
      <c r="IV114" s="1056"/>
      <c r="IW114" s="1056"/>
      <c r="IX114" s="1056"/>
      <c r="IY114" s="1056"/>
      <c r="IZ114" s="1056"/>
      <c r="JA114" s="1056"/>
      <c r="JB114" s="1056"/>
      <c r="JC114" s="1056"/>
      <c r="JD114" s="1056"/>
      <c r="JE114" s="1056"/>
      <c r="JF114" s="1056"/>
      <c r="JG114" s="1056"/>
      <c r="JH114" s="1056"/>
      <c r="JI114" s="1056"/>
      <c r="JJ114" s="1056"/>
      <c r="JK114" s="1056"/>
      <c r="JL114" s="1056"/>
      <c r="JM114" s="1056"/>
      <c r="JN114" s="1056"/>
      <c r="JO114" s="1056"/>
      <c r="JP114" s="1056"/>
      <c r="JQ114" s="1056"/>
      <c r="JR114" s="1056"/>
      <c r="JS114" s="1056"/>
      <c r="JT114" s="1056"/>
      <c r="JU114" s="1056"/>
      <c r="JV114" s="1056"/>
      <c r="JW114" s="1056"/>
      <c r="JX114" s="1056"/>
      <c r="JY114" s="1056"/>
      <c r="JZ114" s="1056"/>
      <c r="KA114" s="1056"/>
      <c r="KB114" s="1056"/>
      <c r="KC114" s="1056"/>
      <c r="KD114" s="1056"/>
      <c r="KE114" s="1056"/>
      <c r="KF114" s="1056"/>
      <c r="KG114" s="1056"/>
      <c r="KH114" s="1056"/>
      <c r="KI114" s="1056"/>
      <c r="KJ114" s="1056"/>
      <c r="KK114" s="1056"/>
      <c r="KL114" s="1056"/>
      <c r="KM114" s="1056"/>
      <c r="KN114" s="1056"/>
      <c r="KO114" s="1056"/>
      <c r="KP114" s="1056"/>
      <c r="KQ114" s="1056"/>
      <c r="KR114" s="1056"/>
      <c r="KS114" s="1056"/>
      <c r="KT114" s="1056"/>
      <c r="KU114" s="1056"/>
      <c r="KV114" s="1056"/>
      <c r="KW114" s="1056"/>
      <c r="KX114" s="1056"/>
      <c r="KY114" s="1056"/>
      <c r="KZ114" s="1056"/>
      <c r="LA114" s="1056"/>
      <c r="LB114" s="1056"/>
      <c r="LC114" s="1056"/>
      <c r="LD114" s="1056"/>
      <c r="LE114" s="1056"/>
      <c r="LF114" s="1056"/>
      <c r="LG114" s="1056"/>
      <c r="LH114" s="1056"/>
      <c r="LI114" s="1056"/>
      <c r="LJ114" s="1056"/>
      <c r="LK114" s="1056"/>
      <c r="LL114" s="1056"/>
      <c r="LM114" s="1056"/>
      <c r="LN114" s="1056"/>
      <c r="LO114" s="1056"/>
      <c r="LP114" s="1056"/>
      <c r="LQ114" s="1056"/>
      <c r="LR114" s="1056"/>
      <c r="LS114" s="1056"/>
      <c r="LT114" s="1056"/>
      <c r="LU114" s="1056"/>
      <c r="LV114" s="1056"/>
      <c r="LW114" s="1056"/>
      <c r="LX114" s="1056"/>
      <c r="LY114" s="1056"/>
      <c r="LZ114" s="1056"/>
      <c r="MA114" s="1056"/>
      <c r="MB114" s="1056"/>
      <c r="MC114" s="1056"/>
      <c r="MD114" s="1056"/>
      <c r="ME114" s="1056"/>
      <c r="MF114" s="1056"/>
      <c r="MG114" s="1056"/>
      <c r="MH114" s="1056"/>
      <c r="MI114" s="1056"/>
      <c r="MJ114" s="1056"/>
      <c r="MK114" s="1056"/>
      <c r="ML114" s="1056"/>
      <c r="MM114" s="1056"/>
      <c r="MN114" s="1056"/>
      <c r="MO114" s="1056"/>
      <c r="MP114" s="1056"/>
      <c r="MQ114" s="1056"/>
      <c r="MR114" s="1056"/>
      <c r="MS114" s="1056"/>
      <c r="MT114" s="1056"/>
      <c r="MU114" s="1056"/>
      <c r="MV114" s="1056"/>
      <c r="MW114" s="1056"/>
      <c r="MX114" s="1056"/>
      <c r="MY114" s="1056"/>
      <c r="MZ114" s="1056"/>
      <c r="NA114" s="1056"/>
      <c r="NB114" s="1056"/>
      <c r="NC114" s="1056"/>
      <c r="ND114" s="1056"/>
      <c r="NE114" s="1056"/>
      <c r="NF114" s="1056"/>
      <c r="NG114" s="1056"/>
      <c r="NH114" s="1056"/>
      <c r="NI114" s="1056"/>
      <c r="NJ114" s="1056"/>
      <c r="NK114" s="1056"/>
      <c r="NL114" s="1056"/>
      <c r="NM114" s="1056"/>
      <c r="NN114" s="1056"/>
      <c r="NO114" s="1056"/>
      <c r="NP114" s="1056"/>
      <c r="NQ114" s="1056"/>
      <c r="NR114" s="1056"/>
      <c r="NS114" s="1056"/>
      <c r="NT114" s="1056"/>
      <c r="NU114" s="1056"/>
      <c r="NV114" s="1056"/>
      <c r="NW114" s="1056"/>
      <c r="NX114" s="1056"/>
      <c r="NY114" s="1056"/>
      <c r="NZ114" s="1056"/>
      <c r="OA114" s="1056"/>
      <c r="OB114" s="1056"/>
      <c r="OC114" s="1056"/>
      <c r="OD114" s="1056"/>
      <c r="OE114" s="1056"/>
      <c r="OF114" s="1056"/>
      <c r="OG114" s="1056"/>
      <c r="OH114" s="1056"/>
      <c r="OI114" s="1056"/>
      <c r="OJ114" s="1056"/>
      <c r="OK114" s="1056"/>
      <c r="OL114" s="1056"/>
      <c r="OM114" s="1056"/>
      <c r="ON114" s="1056"/>
      <c r="OO114" s="1056"/>
      <c r="OP114" s="1056"/>
      <c r="OQ114" s="1056"/>
      <c r="OR114" s="1056"/>
      <c r="OS114" s="1056"/>
      <c r="OT114" s="1056"/>
      <c r="OU114" s="1056"/>
      <c r="OV114" s="1056"/>
      <c r="OW114" s="1056"/>
      <c r="OX114" s="1056"/>
      <c r="OY114" s="1056"/>
      <c r="OZ114" s="1056"/>
      <c r="PA114" s="1056"/>
      <c r="PB114" s="1056"/>
      <c r="PC114" s="1056"/>
      <c r="PD114" s="1056"/>
      <c r="PE114" s="1056"/>
      <c r="PF114" s="1056"/>
      <c r="PG114" s="1056"/>
      <c r="PH114" s="1056"/>
      <c r="PI114" s="1056"/>
      <c r="PJ114" s="1056"/>
      <c r="PK114" s="1056"/>
      <c r="PL114" s="1056"/>
      <c r="PM114" s="1056"/>
      <c r="PN114" s="1056"/>
      <c r="PO114" s="1056"/>
      <c r="PP114" s="1056"/>
      <c r="PQ114" s="1056"/>
      <c r="PR114" s="1056"/>
      <c r="PS114" s="1056"/>
      <c r="PT114" s="1056"/>
      <c r="PU114" s="1056"/>
      <c r="PV114" s="1056"/>
      <c r="PW114" s="1056"/>
      <c r="PX114" s="1056"/>
      <c r="PY114" s="1056"/>
      <c r="PZ114" s="1056"/>
      <c r="QA114" s="1056"/>
      <c r="QB114" s="1056"/>
      <c r="QC114" s="1056"/>
      <c r="QD114" s="1056"/>
      <c r="QE114" s="1056"/>
      <c r="QF114" s="1056"/>
      <c r="QG114" s="1056"/>
      <c r="QH114" s="1056"/>
      <c r="QI114" s="1056"/>
      <c r="QJ114" s="1056"/>
      <c r="QK114" s="1056"/>
      <c r="QL114" s="1056"/>
      <c r="QM114" s="1056"/>
      <c r="QN114" s="1056"/>
      <c r="QO114" s="1056"/>
      <c r="QP114" s="1056"/>
      <c r="QQ114" s="1056"/>
      <c r="QR114" s="1056"/>
      <c r="QS114" s="1056"/>
      <c r="QT114" s="1056"/>
      <c r="QU114" s="1056"/>
      <c r="QV114" s="1056"/>
      <c r="QW114" s="1056"/>
      <c r="QX114" s="1056"/>
      <c r="QY114" s="1056"/>
      <c r="QZ114" s="1056"/>
      <c r="RA114" s="1056"/>
      <c r="RB114" s="1056"/>
      <c r="RC114" s="1056"/>
      <c r="RD114" s="1056"/>
      <c r="RE114" s="1056"/>
      <c r="RF114" s="1056"/>
      <c r="RG114" s="1056"/>
      <c r="RH114" s="1056"/>
      <c r="RI114" s="1056"/>
      <c r="RJ114" s="1056"/>
      <c r="RK114" s="1056"/>
      <c r="RL114" s="1056"/>
      <c r="RM114" s="1056"/>
      <c r="RN114" s="1056"/>
      <c r="RO114" s="1056"/>
      <c r="RP114" s="1056"/>
      <c r="RQ114" s="1056"/>
      <c r="RR114" s="1056"/>
      <c r="RS114" s="1056"/>
      <c r="RT114" s="1056"/>
      <c r="RU114" s="1056"/>
      <c r="RV114" s="1056"/>
      <c r="RW114" s="1056"/>
      <c r="RX114" s="1056"/>
      <c r="RY114" s="1056"/>
      <c r="RZ114" s="1056"/>
      <c r="SA114" s="1056"/>
      <c r="SB114" s="1056"/>
      <c r="SC114" s="1056"/>
      <c r="SD114" s="1056"/>
      <c r="SE114" s="1056"/>
      <c r="SF114" s="1056"/>
      <c r="SG114" s="1056"/>
      <c r="SH114" s="1056"/>
      <c r="SI114" s="1056"/>
      <c r="SJ114" s="1056"/>
      <c r="SK114" s="1056"/>
      <c r="SL114" s="1056"/>
      <c r="SM114" s="1056"/>
      <c r="SN114" s="1056"/>
      <c r="SO114" s="1056"/>
      <c r="SP114" s="1056"/>
      <c r="SQ114" s="1056"/>
      <c r="SR114" s="1056"/>
      <c r="SS114" s="1056"/>
      <c r="ST114" s="1056"/>
      <c r="SU114" s="1056"/>
      <c r="SV114" s="1056"/>
      <c r="SW114" s="1056"/>
      <c r="SX114" s="1056"/>
      <c r="SY114" s="1056"/>
      <c r="SZ114" s="1056"/>
      <c r="TA114" s="1056"/>
      <c r="TB114" s="1056"/>
      <c r="TC114" s="1056"/>
      <c r="TD114" s="1056"/>
      <c r="TE114" s="1056"/>
      <c r="TF114" s="1056"/>
      <c r="TG114" s="1056"/>
      <c r="TH114" s="1056"/>
      <c r="TI114" s="1056"/>
      <c r="TJ114" s="1056"/>
      <c r="TK114" s="1056"/>
      <c r="TL114" s="1056"/>
      <c r="TM114" s="1056"/>
      <c r="TN114" s="1056"/>
      <c r="TO114" s="1056"/>
      <c r="TP114" s="1056"/>
      <c r="TQ114" s="1056"/>
      <c r="TR114" s="1056"/>
      <c r="TS114" s="1056"/>
      <c r="TT114" s="1056"/>
      <c r="TU114" s="1056"/>
      <c r="TV114" s="1056"/>
      <c r="TW114" s="1056"/>
      <c r="TX114" s="1056"/>
      <c r="TY114" s="1056"/>
      <c r="TZ114" s="1056"/>
      <c r="UA114" s="1056"/>
      <c r="UB114" s="1056"/>
      <c r="UC114" s="1056"/>
      <c r="UD114" s="1056"/>
      <c r="UE114" s="1056"/>
      <c r="UF114" s="1056"/>
      <c r="UG114" s="1056"/>
      <c r="UH114" s="1056"/>
      <c r="UI114" s="1056"/>
      <c r="UJ114" s="1056"/>
      <c r="UK114" s="1056"/>
      <c r="UL114" s="1056"/>
      <c r="UM114" s="1056"/>
      <c r="UN114" s="1056"/>
      <c r="UO114" s="1056"/>
      <c r="UP114" s="1056"/>
      <c r="UQ114" s="1056"/>
      <c r="UR114" s="1056"/>
      <c r="US114" s="1056"/>
      <c r="UT114" s="1056"/>
      <c r="UU114" s="1056"/>
      <c r="UV114" s="1056"/>
      <c r="UW114" s="1056"/>
      <c r="UX114" s="1056"/>
      <c r="UY114" s="1056"/>
      <c r="UZ114" s="1056"/>
      <c r="VA114" s="1056"/>
      <c r="VB114" s="1056"/>
      <c r="VC114" s="1056"/>
      <c r="VD114" s="1056"/>
      <c r="VE114" s="1056"/>
      <c r="VF114" s="1056"/>
      <c r="VG114" s="1056"/>
      <c r="VH114" s="1056"/>
      <c r="VI114" s="1056"/>
      <c r="VJ114" s="1056"/>
      <c r="VK114" s="1056"/>
      <c r="VL114" s="1056"/>
      <c r="VM114" s="1056"/>
      <c r="VN114" s="1056"/>
      <c r="VO114" s="1056"/>
      <c r="VP114" s="1056"/>
      <c r="VQ114" s="1056"/>
      <c r="VR114" s="1056"/>
      <c r="VS114" s="1056"/>
      <c r="VT114" s="1056"/>
      <c r="VU114" s="1056"/>
      <c r="VV114" s="1056"/>
      <c r="VW114" s="1056"/>
      <c r="VX114" s="1056"/>
      <c r="VY114" s="1056"/>
      <c r="VZ114" s="1056"/>
      <c r="WA114" s="1056"/>
      <c r="WB114" s="1056"/>
      <c r="WC114" s="1056"/>
      <c r="WD114" s="1056"/>
      <c r="WE114" s="1056"/>
      <c r="WF114" s="1056"/>
      <c r="WG114" s="1056"/>
      <c r="WH114" s="1056"/>
      <c r="WI114" s="1056"/>
      <c r="WJ114" s="1056"/>
      <c r="WK114" s="1056"/>
      <c r="WL114" s="1056"/>
      <c r="WM114" s="1056"/>
      <c r="WN114" s="1056"/>
      <c r="WO114" s="1056"/>
      <c r="WP114" s="1056"/>
      <c r="WQ114" s="1056"/>
      <c r="WR114" s="1056"/>
      <c r="WS114" s="1056"/>
      <c r="WT114" s="1056"/>
      <c r="WU114" s="1056"/>
      <c r="WV114" s="1056"/>
      <c r="WW114" s="1056"/>
      <c r="WX114" s="1056"/>
      <c r="WY114" s="1056"/>
      <c r="WZ114" s="1056"/>
      <c r="XA114" s="1056"/>
      <c r="XB114" s="1056"/>
      <c r="XC114" s="1056"/>
      <c r="XD114" s="1056"/>
      <c r="XE114" s="1056"/>
      <c r="XF114" s="1056"/>
      <c r="XG114" s="1056"/>
      <c r="XH114" s="1056"/>
      <c r="XI114" s="1056"/>
      <c r="XJ114" s="1056"/>
      <c r="XK114" s="1056"/>
      <c r="XL114" s="1056"/>
      <c r="XM114" s="1056"/>
      <c r="XN114" s="1056"/>
      <c r="XO114" s="1056"/>
      <c r="XP114" s="1056"/>
      <c r="XQ114" s="1056"/>
      <c r="XR114" s="1056"/>
      <c r="XS114" s="1056"/>
      <c r="XT114" s="1056"/>
      <c r="XU114" s="1056"/>
      <c r="XV114" s="1056"/>
      <c r="XW114" s="1056"/>
      <c r="XX114" s="1056"/>
      <c r="XY114" s="1056"/>
      <c r="XZ114" s="1056"/>
      <c r="YA114" s="1056"/>
      <c r="YB114" s="1056"/>
      <c r="YC114" s="1056"/>
      <c r="YD114" s="1056"/>
      <c r="YE114" s="1056"/>
      <c r="YF114" s="1056"/>
      <c r="YG114" s="1056"/>
      <c r="YH114" s="1056"/>
      <c r="YI114" s="1056"/>
      <c r="YJ114" s="1056"/>
      <c r="YK114" s="1056"/>
      <c r="YL114" s="1056"/>
      <c r="YM114" s="1056"/>
      <c r="YN114" s="1056"/>
      <c r="YO114" s="1056"/>
      <c r="YP114" s="1056"/>
      <c r="YQ114" s="1056"/>
      <c r="YR114" s="1056"/>
      <c r="YS114" s="1056"/>
      <c r="YT114" s="1056"/>
      <c r="YU114" s="1056"/>
      <c r="YV114" s="1056"/>
      <c r="YW114" s="1056"/>
      <c r="YX114" s="1056"/>
      <c r="YY114" s="1056"/>
      <c r="YZ114" s="1056"/>
      <c r="ZA114" s="1056"/>
      <c r="ZB114" s="1056"/>
      <c r="ZC114" s="1056"/>
      <c r="ZD114" s="1056"/>
      <c r="ZE114" s="1056"/>
      <c r="ZF114" s="1056"/>
      <c r="ZG114" s="1056"/>
      <c r="ZH114" s="1056"/>
      <c r="ZI114" s="1056"/>
      <c r="ZJ114" s="1056"/>
      <c r="ZK114" s="1056"/>
      <c r="ZL114" s="1056"/>
      <c r="ZM114" s="1056"/>
      <c r="ZN114" s="1056"/>
      <c r="ZO114" s="1056"/>
      <c r="ZP114" s="1056"/>
      <c r="ZQ114" s="1056"/>
      <c r="ZR114" s="1056"/>
      <c r="ZS114" s="1056"/>
      <c r="ZT114" s="1056"/>
      <c r="ZU114" s="1056"/>
      <c r="ZV114" s="1056"/>
      <c r="ZW114" s="1056"/>
      <c r="ZX114" s="1056"/>
      <c r="ZY114" s="1056"/>
      <c r="ZZ114" s="1056"/>
      <c r="AAA114" s="1056"/>
      <c r="AAB114" s="1056"/>
      <c r="AAC114" s="1056"/>
      <c r="AAD114" s="1056"/>
      <c r="AAE114" s="1056"/>
      <c r="AAF114" s="1056"/>
      <c r="AAG114" s="1056"/>
      <c r="AAH114" s="1056"/>
      <c r="AAI114" s="1056"/>
      <c r="AAJ114" s="1056"/>
      <c r="AAK114" s="1056"/>
      <c r="AAL114" s="1056"/>
      <c r="AAM114" s="1056"/>
      <c r="AAN114" s="1056"/>
      <c r="AAO114" s="1056"/>
      <c r="AAP114" s="1056"/>
      <c r="AAQ114" s="1056"/>
      <c r="AAR114" s="1056"/>
      <c r="AAS114" s="1056"/>
      <c r="AAT114" s="1056"/>
      <c r="AAU114" s="1056"/>
      <c r="AAV114" s="1056"/>
      <c r="AAW114" s="1056"/>
      <c r="AAX114" s="1056"/>
      <c r="AAY114" s="1056"/>
      <c r="AAZ114" s="1056"/>
      <c r="ABA114" s="1056"/>
      <c r="ABB114" s="1056"/>
      <c r="ABC114" s="1056"/>
      <c r="ABD114" s="1056"/>
      <c r="ABE114" s="1056"/>
      <c r="ABF114" s="1056"/>
      <c r="ABG114" s="1056"/>
      <c r="ABH114" s="1056"/>
      <c r="ABI114" s="1056"/>
      <c r="ABJ114" s="1056"/>
      <c r="ABK114" s="1056"/>
      <c r="ABL114" s="1056"/>
      <c r="ABM114" s="1056"/>
      <c r="ABN114" s="1056"/>
      <c r="ABO114" s="1056"/>
      <c r="ABP114" s="1056"/>
      <c r="ABQ114" s="1056"/>
      <c r="ABR114" s="1056"/>
      <c r="ABS114" s="1056"/>
      <c r="ABT114" s="1056"/>
      <c r="ABU114" s="1056"/>
      <c r="ABV114" s="1056"/>
      <c r="ABW114" s="1056"/>
      <c r="ABX114" s="1056"/>
      <c r="ABY114" s="1056"/>
      <c r="ABZ114" s="1056"/>
      <c r="ACA114" s="1056"/>
      <c r="ACB114" s="1056"/>
      <c r="ACC114" s="1056"/>
      <c r="ACD114" s="1056"/>
      <c r="ACE114" s="1056"/>
      <c r="ACF114" s="1056"/>
      <c r="ACG114" s="1056"/>
      <c r="ACH114" s="1056"/>
      <c r="ACI114" s="1056"/>
      <c r="ACJ114" s="1056"/>
      <c r="ACK114" s="1056"/>
      <c r="ACL114" s="1056"/>
      <c r="ACM114" s="1056"/>
      <c r="ACN114" s="1056"/>
      <c r="ACO114" s="1056"/>
      <c r="ACP114" s="1056"/>
      <c r="ACQ114" s="1056"/>
      <c r="ACR114" s="1056"/>
      <c r="ACS114" s="1056"/>
      <c r="ACT114" s="1056"/>
      <c r="ACU114" s="1056"/>
      <c r="ACV114" s="1056"/>
      <c r="ACW114" s="1056"/>
      <c r="ACX114" s="1056"/>
      <c r="ACY114" s="1056"/>
      <c r="ACZ114" s="1056"/>
      <c r="ADA114" s="1056"/>
      <c r="ADB114" s="1056"/>
      <c r="ADC114" s="1056"/>
      <c r="ADD114" s="1056"/>
      <c r="ADE114" s="1056"/>
      <c r="ADF114" s="1056"/>
      <c r="ADG114" s="1056"/>
      <c r="ADH114" s="1056"/>
      <c r="ADI114" s="1056"/>
      <c r="ADJ114" s="1056"/>
      <c r="ADK114" s="1056"/>
      <c r="ADL114" s="1056"/>
      <c r="ADM114" s="1056"/>
      <c r="ADN114" s="1056"/>
      <c r="ADO114" s="1056"/>
      <c r="ADP114" s="1056"/>
      <c r="ADQ114" s="1056"/>
      <c r="ADR114" s="1056"/>
      <c r="ADS114" s="1056"/>
      <c r="ADT114" s="1056"/>
      <c r="ADU114" s="1056"/>
      <c r="ADV114" s="1056"/>
      <c r="ADW114" s="1056"/>
      <c r="ADX114" s="1056"/>
      <c r="ADY114" s="1056"/>
      <c r="ADZ114" s="1056"/>
      <c r="AEA114" s="1056"/>
      <c r="AEB114" s="1056"/>
      <c r="AEC114" s="1056"/>
      <c r="AED114" s="1056"/>
      <c r="AEE114" s="1056"/>
      <c r="AEF114" s="1056"/>
      <c r="AEG114" s="1056"/>
      <c r="AEH114" s="1056"/>
      <c r="AEI114" s="1056"/>
      <c r="AEJ114" s="1056"/>
      <c r="AEK114" s="1056"/>
      <c r="AEL114" s="1056"/>
      <c r="AEM114" s="1056"/>
      <c r="AEN114" s="1056"/>
      <c r="AEO114" s="1056"/>
      <c r="AEP114" s="1056"/>
      <c r="AEQ114" s="1056"/>
      <c r="AER114" s="1056"/>
      <c r="AES114" s="1056"/>
      <c r="AET114" s="1056"/>
      <c r="AEU114" s="1056"/>
      <c r="AEV114" s="1056"/>
      <c r="AEW114" s="1056"/>
      <c r="AEX114" s="1056"/>
      <c r="AEY114" s="1056"/>
      <c r="AEZ114" s="1056"/>
      <c r="AFA114" s="1056"/>
      <c r="AFB114" s="1056"/>
      <c r="AFC114" s="1056"/>
      <c r="AFD114" s="1056"/>
      <c r="AFE114" s="1056"/>
      <c r="AFF114" s="1056"/>
      <c r="AFG114" s="1056"/>
      <c r="AFH114" s="1056"/>
      <c r="AFI114" s="1056"/>
      <c r="AFJ114" s="1056"/>
      <c r="AFK114" s="1056"/>
      <c r="AFL114" s="1056"/>
      <c r="AFM114" s="1056"/>
      <c r="AFN114" s="1056"/>
      <c r="AFO114" s="1056"/>
      <c r="AFP114" s="1056"/>
      <c r="AFQ114" s="1056"/>
      <c r="AFR114" s="1056"/>
      <c r="AFS114" s="1056"/>
      <c r="AFT114" s="1056"/>
      <c r="AFU114" s="1056"/>
      <c r="AFV114" s="1056"/>
      <c r="AFW114" s="1056"/>
      <c r="AFX114" s="1056"/>
      <c r="AFY114" s="1056"/>
      <c r="AFZ114" s="1056"/>
      <c r="AGA114" s="1056"/>
      <c r="AGB114" s="1056"/>
      <c r="AGC114" s="1056"/>
      <c r="AGD114" s="1056"/>
      <c r="AGE114" s="1056"/>
      <c r="AGF114" s="1056"/>
      <c r="AGG114" s="1056"/>
      <c r="AGH114" s="1056"/>
      <c r="AGI114" s="1056"/>
      <c r="AGJ114" s="1056"/>
      <c r="AGK114" s="1056"/>
      <c r="AGL114" s="1056"/>
      <c r="AGM114" s="1056"/>
      <c r="AGN114" s="1056"/>
      <c r="AGO114" s="1056"/>
      <c r="AGP114" s="1056"/>
      <c r="AGQ114" s="1056"/>
      <c r="AGR114" s="1056"/>
      <c r="AGS114" s="1056"/>
      <c r="AGT114" s="1056"/>
      <c r="AGU114" s="1056"/>
      <c r="AGV114" s="1056"/>
      <c r="AGW114" s="1056"/>
      <c r="AGX114" s="1056"/>
      <c r="AGY114" s="1056"/>
      <c r="AGZ114" s="1056"/>
      <c r="AHA114" s="1056"/>
      <c r="AHB114" s="1056"/>
      <c r="AHC114" s="1056"/>
      <c r="AHD114" s="1056"/>
      <c r="AHE114" s="1056"/>
      <c r="AHF114" s="1056"/>
      <c r="AHG114" s="1056"/>
      <c r="AHH114" s="1056"/>
      <c r="AHI114" s="1056"/>
      <c r="AHJ114" s="1056"/>
      <c r="AHK114" s="1056"/>
      <c r="AHL114" s="1056"/>
      <c r="AHM114" s="1056"/>
      <c r="AHN114" s="1056"/>
      <c r="AHO114" s="1056"/>
      <c r="AHP114" s="1056"/>
      <c r="AHQ114" s="1056"/>
      <c r="AHR114" s="1056"/>
      <c r="AHS114" s="1056"/>
      <c r="AHT114" s="1056"/>
      <c r="AHU114" s="1056"/>
      <c r="AHV114" s="1056"/>
      <c r="AHW114" s="1056"/>
      <c r="AHX114" s="1056"/>
      <c r="AHY114" s="1056"/>
      <c r="AHZ114" s="1056"/>
      <c r="AIA114" s="1056"/>
      <c r="AIB114" s="1056"/>
      <c r="AIC114" s="1056"/>
      <c r="AID114" s="1056"/>
      <c r="AIE114" s="1056"/>
      <c r="AIF114" s="1056"/>
      <c r="AIG114" s="1056"/>
      <c r="AIH114" s="1056"/>
      <c r="AII114" s="1056"/>
      <c r="AIJ114" s="1056"/>
      <c r="AIK114" s="1056"/>
      <c r="AIL114" s="1056"/>
      <c r="AIM114" s="1056"/>
      <c r="AIN114" s="1056"/>
      <c r="AIO114" s="1056"/>
      <c r="AIP114" s="1056"/>
      <c r="AIQ114" s="1056"/>
      <c r="AIR114" s="1056"/>
      <c r="AIS114" s="1056"/>
      <c r="AIT114" s="1056"/>
      <c r="AIU114" s="1056"/>
      <c r="AIV114" s="1056"/>
      <c r="AIW114" s="1056"/>
      <c r="AIX114" s="1056"/>
      <c r="AIY114" s="1056"/>
      <c r="AIZ114" s="1056"/>
      <c r="AJA114" s="1056"/>
      <c r="AJB114" s="1056"/>
      <c r="AJC114" s="1056"/>
      <c r="AJD114" s="1056"/>
      <c r="AJE114" s="1056"/>
      <c r="AJF114" s="1056"/>
      <c r="AJG114" s="1056"/>
      <c r="AJH114" s="1056"/>
      <c r="AJI114" s="1056"/>
      <c r="AJJ114" s="1056"/>
      <c r="AJK114" s="1056"/>
      <c r="AJL114" s="1056"/>
      <c r="AJM114" s="1056"/>
      <c r="AJN114" s="1056"/>
      <c r="AJO114" s="1056"/>
      <c r="AJP114" s="1056"/>
      <c r="AJQ114" s="1056"/>
      <c r="AJR114" s="1056"/>
      <c r="AJS114" s="1056"/>
      <c r="AJT114" s="1056"/>
      <c r="AJU114" s="1056"/>
      <c r="AJV114" s="1056"/>
      <c r="AJW114" s="1056"/>
      <c r="AJX114" s="1056"/>
      <c r="AJY114" s="1056"/>
      <c r="AJZ114" s="1056"/>
      <c r="AKA114" s="1056"/>
      <c r="AKB114" s="1056"/>
      <c r="AKC114" s="1056"/>
      <c r="AKD114" s="1056"/>
      <c r="AKE114" s="1056"/>
      <c r="AKF114" s="1056"/>
      <c r="AKG114" s="1056"/>
      <c r="AKH114" s="1056"/>
      <c r="AKI114" s="1056"/>
      <c r="AKJ114" s="1056"/>
      <c r="AKK114" s="1056"/>
      <c r="AKL114" s="1056"/>
      <c r="AKM114" s="1056"/>
      <c r="AKN114" s="1056"/>
      <c r="AKO114" s="1056"/>
      <c r="AKP114" s="1056"/>
      <c r="AKQ114" s="1056"/>
      <c r="AKR114" s="1056"/>
      <c r="AKS114" s="1056"/>
      <c r="AKT114" s="1056"/>
      <c r="AKU114" s="1056"/>
      <c r="AKV114" s="1056"/>
      <c r="AKW114" s="1056"/>
      <c r="AKX114" s="1056"/>
      <c r="AKY114" s="1056"/>
      <c r="AKZ114" s="1056"/>
      <c r="ALA114" s="1056"/>
      <c r="ALB114" s="1056"/>
      <c r="ALC114" s="1056"/>
      <c r="ALD114" s="1056"/>
      <c r="ALE114" s="1056"/>
      <c r="ALF114" s="1056"/>
      <c r="ALG114" s="1056"/>
      <c r="ALH114" s="1056"/>
      <c r="ALI114" s="1056"/>
      <c r="ALJ114" s="1056"/>
      <c r="ALK114" s="1056"/>
      <c r="ALL114" s="1056"/>
      <c r="ALM114" s="1056"/>
      <c r="ALN114" s="1056"/>
      <c r="ALO114" s="1056"/>
      <c r="ALP114" s="1056"/>
      <c r="ALQ114" s="1056"/>
      <c r="ALR114" s="1056"/>
      <c r="ALS114" s="1056"/>
      <c r="ALT114" s="1056"/>
      <c r="ALU114" s="1056"/>
      <c r="ALV114" s="1056"/>
      <c r="ALW114" s="1056"/>
      <c r="ALX114" s="1056"/>
      <c r="ALY114" s="1056"/>
      <c r="ALZ114" s="1056"/>
      <c r="AMA114" s="1056"/>
      <c r="AMB114" s="1056"/>
      <c r="AMC114" s="1056"/>
      <c r="AMD114" s="1056"/>
      <c r="AME114" s="1056"/>
      <c r="AMF114" s="1056"/>
      <c r="AMG114" s="1056"/>
      <c r="AMH114" s="1056"/>
      <c r="AMI114" s="1056"/>
      <c r="AMJ114" s="1056"/>
      <c r="AMK114" s="1056"/>
      <c r="AML114" s="1056"/>
      <c r="AMM114" s="1056"/>
      <c r="AMN114" s="1056"/>
      <c r="AMO114" s="1056"/>
      <c r="AMP114" s="1056"/>
      <c r="AMQ114" s="1056"/>
      <c r="AMR114" s="1056"/>
      <c r="AMS114" s="1056"/>
      <c r="AMT114" s="1056"/>
      <c r="AMU114" s="1056"/>
      <c r="AMV114" s="1056"/>
      <c r="AMW114" s="1056"/>
      <c r="AMX114" s="1056"/>
      <c r="AMY114" s="1056"/>
      <c r="AMZ114" s="1056"/>
      <c r="ANA114" s="1056"/>
      <c r="ANB114" s="1056"/>
      <c r="ANC114" s="1056"/>
      <c r="AND114" s="1056"/>
      <c r="ANE114" s="1056"/>
      <c r="ANF114" s="1056"/>
      <c r="ANG114" s="1056"/>
      <c r="ANH114" s="1056"/>
      <c r="ANI114" s="1056"/>
      <c r="ANJ114" s="1056"/>
      <c r="ANK114" s="1056"/>
      <c r="ANL114" s="1056"/>
      <c r="ANM114" s="1056"/>
      <c r="ANN114" s="1056"/>
      <c r="ANO114" s="1056"/>
      <c r="ANP114" s="1056"/>
      <c r="ANQ114" s="1056"/>
      <c r="ANR114" s="1056"/>
      <c r="ANS114" s="1056"/>
      <c r="ANT114" s="1056"/>
      <c r="ANU114" s="1056"/>
      <c r="ANV114" s="1056"/>
      <c r="ANW114" s="1056"/>
      <c r="ANX114" s="1056"/>
      <c r="ANY114" s="1056"/>
      <c r="ANZ114" s="1056"/>
      <c r="AOA114" s="1056"/>
      <c r="AOB114" s="1056"/>
      <c r="AOC114" s="1056"/>
      <c r="AOD114" s="1056"/>
      <c r="AOE114" s="1056"/>
      <c r="AOF114" s="1056"/>
      <c r="AOG114" s="1056"/>
      <c r="AOH114" s="1056"/>
      <c r="AOI114" s="1056"/>
      <c r="AOJ114" s="1056"/>
      <c r="AOK114" s="1056"/>
      <c r="AOL114" s="1056"/>
      <c r="AOM114" s="1056"/>
      <c r="AON114" s="1056"/>
      <c r="AOO114" s="1056"/>
      <c r="AOP114" s="1056"/>
      <c r="AOQ114" s="1056"/>
      <c r="AOR114" s="1056"/>
      <c r="AOS114" s="1056"/>
      <c r="AOT114" s="1056"/>
      <c r="AOU114" s="1056"/>
      <c r="AOV114" s="1056"/>
      <c r="AOW114" s="1056"/>
      <c r="AOX114" s="1056"/>
      <c r="AOY114" s="1056"/>
      <c r="AOZ114" s="1056"/>
      <c r="APA114" s="1056"/>
      <c r="APB114" s="1056"/>
      <c r="APC114" s="1056"/>
      <c r="APD114" s="1056"/>
      <c r="APE114" s="1056"/>
      <c r="APF114" s="1056"/>
      <c r="APG114" s="1056"/>
      <c r="APH114" s="1056"/>
      <c r="API114" s="1056"/>
      <c r="APJ114" s="1056"/>
      <c r="APK114" s="1056"/>
      <c r="APL114" s="1056"/>
      <c r="APM114" s="1056"/>
      <c r="APN114" s="1056"/>
      <c r="APO114" s="1056"/>
      <c r="APP114" s="1056"/>
      <c r="APQ114" s="1056"/>
      <c r="APR114" s="1056"/>
      <c r="APS114" s="1056"/>
      <c r="APT114" s="1056"/>
      <c r="APU114" s="1056"/>
      <c r="APV114" s="1056"/>
      <c r="APW114" s="1056"/>
      <c r="APX114" s="1056"/>
      <c r="APY114" s="1056"/>
      <c r="APZ114" s="1056"/>
      <c r="AQA114" s="1056"/>
      <c r="AQB114" s="1056"/>
      <c r="AQC114" s="1056"/>
      <c r="AQD114" s="1056"/>
      <c r="AQE114" s="1056"/>
      <c r="AQF114" s="1056"/>
      <c r="AQG114" s="1056"/>
      <c r="AQH114" s="1056"/>
      <c r="AQI114" s="1056"/>
      <c r="AQJ114" s="1056"/>
      <c r="AQK114" s="1056"/>
      <c r="AQL114" s="1056"/>
      <c r="AQM114" s="1056"/>
      <c r="AQN114" s="1056"/>
      <c r="AQO114" s="1056"/>
      <c r="AQP114" s="1056"/>
      <c r="AQQ114" s="1056"/>
      <c r="AQR114" s="1056"/>
      <c r="AQS114" s="1056"/>
      <c r="AQT114" s="1056"/>
      <c r="AQU114" s="1056"/>
      <c r="AQV114" s="1056"/>
      <c r="AQW114" s="1056"/>
      <c r="AQX114" s="1056"/>
      <c r="AQY114" s="1056"/>
      <c r="AQZ114" s="1056"/>
      <c r="ARA114" s="1056"/>
      <c r="ARB114" s="1056"/>
      <c r="ARC114" s="1056"/>
      <c r="ARD114" s="1056"/>
      <c r="ARE114" s="1056"/>
      <c r="ARF114" s="1056"/>
      <c r="ARG114" s="1056"/>
      <c r="ARH114" s="1056"/>
      <c r="ARI114" s="1056"/>
      <c r="ARJ114" s="1056"/>
      <c r="ARK114" s="1056"/>
      <c r="ARL114" s="1056"/>
      <c r="ARM114" s="1056"/>
      <c r="ARN114" s="1056"/>
      <c r="ARO114" s="1056"/>
      <c r="ARP114" s="1056"/>
      <c r="ARQ114" s="1056"/>
      <c r="ARR114" s="1056"/>
      <c r="ARS114" s="1056"/>
      <c r="ART114" s="1056"/>
      <c r="ARU114" s="1056"/>
      <c r="ARV114" s="1056"/>
      <c r="ARW114" s="1056"/>
      <c r="ARX114" s="1056"/>
      <c r="ARY114" s="1056"/>
      <c r="ARZ114" s="1056"/>
      <c r="ASA114" s="1056"/>
      <c r="ASB114" s="1056"/>
      <c r="ASC114" s="1056"/>
      <c r="ASD114" s="1056"/>
      <c r="ASE114" s="1056"/>
      <c r="ASF114" s="1056"/>
      <c r="ASG114" s="1056"/>
      <c r="ASH114" s="1056"/>
      <c r="ASI114" s="1056"/>
      <c r="ASJ114" s="1056"/>
      <c r="ASK114" s="1056"/>
      <c r="ASL114" s="1056"/>
      <c r="ASM114" s="1056"/>
      <c r="ASN114" s="1056"/>
      <c r="ASO114" s="1056"/>
      <c r="ASP114" s="1056"/>
      <c r="ASQ114" s="1056"/>
      <c r="ASR114" s="1056"/>
      <c r="ASS114" s="1056"/>
      <c r="AST114" s="1056"/>
      <c r="ASU114" s="1056"/>
      <c r="ASV114" s="1056"/>
      <c r="ASW114" s="1056"/>
      <c r="ASX114" s="1056"/>
      <c r="ASY114" s="1056"/>
      <c r="ASZ114" s="1056"/>
      <c r="ATA114" s="1056"/>
      <c r="ATB114" s="1056"/>
      <c r="ATC114" s="1056"/>
      <c r="ATD114" s="1056"/>
      <c r="ATE114" s="1056"/>
      <c r="ATF114" s="1056"/>
      <c r="ATG114" s="1056"/>
      <c r="ATH114" s="1056"/>
      <c r="ATI114" s="1056"/>
      <c r="ATJ114" s="1056"/>
      <c r="ATK114" s="1056"/>
      <c r="ATL114" s="1056"/>
      <c r="ATM114" s="1056"/>
      <c r="ATN114" s="1056"/>
      <c r="ATO114" s="1056"/>
      <c r="ATP114" s="1056"/>
      <c r="ATQ114" s="1056"/>
      <c r="ATR114" s="1056"/>
      <c r="ATS114" s="1056"/>
      <c r="ATT114" s="1056"/>
      <c r="ATU114" s="1056"/>
      <c r="ATV114" s="1056"/>
      <c r="ATW114" s="1056"/>
      <c r="ATX114" s="1056"/>
      <c r="ATY114" s="1056"/>
      <c r="ATZ114" s="1056"/>
      <c r="AUA114" s="1056"/>
      <c r="AUB114" s="1056"/>
      <c r="AUC114" s="1056"/>
      <c r="AUD114" s="1056"/>
      <c r="AUE114" s="1056"/>
      <c r="AUF114" s="1056"/>
      <c r="AUG114" s="1056"/>
      <c r="AUH114" s="1056"/>
      <c r="AUI114" s="1056"/>
      <c r="AUJ114" s="1056"/>
      <c r="AUK114" s="1056"/>
      <c r="AUL114" s="1056"/>
      <c r="AUM114" s="1056"/>
      <c r="AUN114" s="1056"/>
      <c r="AUO114" s="1056"/>
      <c r="AUP114" s="1056"/>
      <c r="AUQ114" s="1056"/>
      <c r="AUR114" s="1056"/>
      <c r="AUS114" s="1056"/>
      <c r="AUT114" s="1056"/>
      <c r="AUU114" s="1056"/>
      <c r="AUV114" s="1056"/>
      <c r="AUW114" s="1056"/>
      <c r="AUX114" s="1056"/>
      <c r="AUY114" s="1056"/>
      <c r="AUZ114" s="1056"/>
      <c r="AVA114" s="1056"/>
      <c r="AVB114" s="1056"/>
      <c r="AVC114" s="1056"/>
      <c r="AVD114" s="1056"/>
      <c r="AVE114" s="1056"/>
      <c r="AVF114" s="1056"/>
      <c r="AVG114" s="1056"/>
      <c r="AVH114" s="1056"/>
      <c r="AVI114" s="1056"/>
      <c r="AVJ114" s="1056"/>
      <c r="AVK114" s="1056"/>
      <c r="AVL114" s="1056"/>
      <c r="AVM114" s="1056"/>
      <c r="AVN114" s="1056"/>
      <c r="AVO114" s="1056"/>
      <c r="AVP114" s="1056"/>
      <c r="AVQ114" s="1056"/>
      <c r="AVR114" s="1056"/>
      <c r="AVS114" s="1056"/>
      <c r="AVT114" s="1056"/>
      <c r="AVU114" s="1056"/>
      <c r="AVV114" s="1056"/>
      <c r="AVW114" s="1056"/>
      <c r="AVX114" s="1056"/>
      <c r="AVY114" s="1056"/>
      <c r="AVZ114" s="1056"/>
      <c r="AWA114" s="1056"/>
      <c r="AWB114" s="1056"/>
      <c r="AWC114" s="1056"/>
      <c r="AWD114" s="1056"/>
      <c r="AWE114" s="1056"/>
      <c r="AWF114" s="1056"/>
      <c r="AWG114" s="1056"/>
      <c r="AWH114" s="1056"/>
      <c r="AWI114" s="1056"/>
      <c r="AWJ114" s="1056"/>
      <c r="AWK114" s="1056"/>
      <c r="AWL114" s="1056"/>
      <c r="AWM114" s="1056"/>
      <c r="AWN114" s="1056"/>
      <c r="AWO114" s="1056"/>
      <c r="AWP114" s="1056"/>
      <c r="AWQ114" s="1056"/>
      <c r="AWR114" s="1056"/>
      <c r="AWS114" s="1056"/>
      <c r="AWT114" s="1056"/>
      <c r="AWU114" s="1056"/>
      <c r="AWV114" s="1056"/>
      <c r="AWW114" s="1056"/>
      <c r="AWX114" s="1056"/>
      <c r="AWY114" s="1056"/>
      <c r="AWZ114" s="1056"/>
      <c r="AXA114" s="1056"/>
      <c r="AXB114" s="1056"/>
      <c r="AXC114" s="1056"/>
      <c r="AXD114" s="1056"/>
      <c r="AXE114" s="1056"/>
      <c r="AXF114" s="1056"/>
      <c r="AXG114" s="1056"/>
      <c r="AXH114" s="1056"/>
      <c r="AXI114" s="1056"/>
      <c r="AXJ114" s="1056"/>
      <c r="AXK114" s="1056"/>
      <c r="AXL114" s="1056"/>
      <c r="AXM114" s="1056"/>
      <c r="AXN114" s="1056"/>
      <c r="AXO114" s="1056"/>
      <c r="AXP114" s="1056"/>
      <c r="AXQ114" s="1056"/>
      <c r="AXR114" s="1056"/>
      <c r="AXS114" s="1056"/>
      <c r="AXT114" s="1056"/>
      <c r="AXU114" s="1056"/>
      <c r="AXV114" s="1056"/>
      <c r="AXW114" s="1056"/>
      <c r="AXX114" s="1056"/>
      <c r="AXY114" s="1056"/>
      <c r="AXZ114" s="1056"/>
      <c r="AYA114" s="1056"/>
      <c r="AYB114" s="1056"/>
      <c r="AYC114" s="1056"/>
      <c r="AYD114" s="1056"/>
      <c r="AYE114" s="1056"/>
      <c r="AYF114" s="1056"/>
      <c r="AYG114" s="1056"/>
      <c r="AYH114" s="1056"/>
      <c r="AYI114" s="1056"/>
      <c r="AYJ114" s="1056"/>
      <c r="AYK114" s="1056"/>
      <c r="AYL114" s="1056"/>
      <c r="AYM114" s="1056"/>
      <c r="AYN114" s="1056"/>
      <c r="AYO114" s="1056"/>
      <c r="AYP114" s="1056"/>
      <c r="AYQ114" s="1056"/>
      <c r="AYR114" s="1056"/>
      <c r="AYS114" s="1056"/>
      <c r="AYT114" s="1056"/>
      <c r="AYU114" s="1056"/>
      <c r="AYV114" s="1056"/>
      <c r="AYW114" s="1056"/>
      <c r="AYX114" s="1056"/>
      <c r="AYY114" s="1056"/>
      <c r="AYZ114" s="1056"/>
      <c r="AZA114" s="1056"/>
      <c r="AZB114" s="1056"/>
      <c r="AZC114" s="1056"/>
      <c r="AZD114" s="1056"/>
      <c r="AZE114" s="1056"/>
      <c r="AZF114" s="1056"/>
      <c r="AZG114" s="1056"/>
      <c r="AZH114" s="1056"/>
      <c r="AZI114" s="1056"/>
      <c r="AZJ114" s="1056"/>
      <c r="AZK114" s="1056"/>
      <c r="AZL114" s="1056"/>
      <c r="AZM114" s="1056"/>
      <c r="AZN114" s="1056"/>
      <c r="AZO114" s="1056"/>
      <c r="AZP114" s="1056"/>
      <c r="AZQ114" s="1056"/>
      <c r="AZR114" s="1056"/>
      <c r="AZS114" s="1056"/>
      <c r="AZT114" s="1056"/>
      <c r="AZU114" s="1056"/>
      <c r="AZV114" s="1056"/>
      <c r="AZW114" s="1056"/>
      <c r="AZX114" s="1056"/>
      <c r="AZY114" s="1056"/>
      <c r="AZZ114" s="1056"/>
      <c r="BAA114" s="1056"/>
      <c r="BAB114" s="1056"/>
      <c r="BAC114" s="1056"/>
      <c r="BAD114" s="1056"/>
      <c r="BAE114" s="1056"/>
      <c r="BAF114" s="1056"/>
      <c r="BAG114" s="1056"/>
      <c r="BAH114" s="1056"/>
      <c r="BAI114" s="1056"/>
      <c r="BAJ114" s="1056"/>
      <c r="BAK114" s="1056"/>
      <c r="BAL114" s="1056"/>
      <c r="BAM114" s="1056"/>
      <c r="BAN114" s="1056"/>
      <c r="BAO114" s="1056"/>
      <c r="BAP114" s="1056"/>
      <c r="BAQ114" s="1056"/>
      <c r="BAR114" s="1056"/>
      <c r="BAS114" s="1056"/>
      <c r="BAT114" s="1056"/>
      <c r="BAU114" s="1056"/>
      <c r="BAV114" s="1056"/>
      <c r="BAW114" s="1056"/>
      <c r="BAX114" s="1056"/>
      <c r="BAY114" s="1056"/>
      <c r="BAZ114" s="1056"/>
      <c r="BBA114" s="1056"/>
      <c r="BBB114" s="1056"/>
      <c r="BBC114" s="1056"/>
      <c r="BBD114" s="1056"/>
      <c r="BBE114" s="1056"/>
      <c r="BBF114" s="1056"/>
      <c r="BBG114" s="1056"/>
      <c r="BBH114" s="1056"/>
      <c r="BBI114" s="1056"/>
      <c r="BBJ114" s="1056"/>
      <c r="BBK114" s="1056"/>
      <c r="BBL114" s="1056"/>
      <c r="BBM114" s="1056"/>
      <c r="BBN114" s="1056"/>
      <c r="BBO114" s="1056"/>
      <c r="BBP114" s="1056"/>
      <c r="BBQ114" s="1056"/>
      <c r="BBR114" s="1056"/>
      <c r="BBS114" s="1056"/>
      <c r="BBT114" s="1056"/>
      <c r="BBU114" s="1056"/>
      <c r="BBV114" s="1056"/>
      <c r="BBW114" s="1056"/>
      <c r="BBX114" s="1056"/>
      <c r="BBY114" s="1056"/>
      <c r="BBZ114" s="1056"/>
      <c r="BCA114" s="1056"/>
      <c r="BCB114" s="1056"/>
      <c r="BCC114" s="1056"/>
      <c r="BCD114" s="1056"/>
      <c r="BCE114" s="1056"/>
      <c r="BCF114" s="1056"/>
      <c r="BCG114" s="1056"/>
      <c r="BCH114" s="1056"/>
      <c r="BCI114" s="1056"/>
      <c r="BCJ114" s="1056"/>
      <c r="BCK114" s="1056"/>
      <c r="BCL114" s="1056"/>
      <c r="BCM114" s="1056"/>
      <c r="BCN114" s="1056"/>
      <c r="BCO114" s="1056"/>
      <c r="BCP114" s="1056"/>
      <c r="BCQ114" s="1056"/>
      <c r="BCR114" s="1056"/>
      <c r="BCS114" s="1056"/>
      <c r="BCT114" s="1056"/>
      <c r="BCU114" s="1056"/>
      <c r="BCV114" s="1056"/>
      <c r="BCW114" s="1056"/>
      <c r="BCX114" s="1056"/>
      <c r="BCY114" s="1056"/>
      <c r="BCZ114" s="1056"/>
      <c r="BDA114" s="1056"/>
      <c r="BDB114" s="1056"/>
      <c r="BDC114" s="1056"/>
      <c r="BDD114" s="1056"/>
      <c r="BDE114" s="1056"/>
      <c r="BDF114" s="1056"/>
      <c r="BDG114" s="1056"/>
      <c r="BDH114" s="1056"/>
      <c r="BDI114" s="1056"/>
      <c r="BDJ114" s="1056"/>
      <c r="BDK114" s="1056"/>
      <c r="BDL114" s="1056"/>
      <c r="BDM114" s="1056"/>
      <c r="BDN114" s="1056"/>
      <c r="BDO114" s="1056"/>
      <c r="BDP114" s="1056"/>
      <c r="BDQ114" s="1056"/>
      <c r="BDR114" s="1056"/>
      <c r="BDS114" s="1056"/>
      <c r="BDT114" s="1056"/>
      <c r="BDU114" s="1056"/>
      <c r="BDV114" s="1056"/>
      <c r="BDW114" s="1056"/>
      <c r="BDX114" s="1056"/>
      <c r="BDY114" s="1056"/>
      <c r="BDZ114" s="1056"/>
      <c r="BEA114" s="1056"/>
      <c r="BEB114" s="1056"/>
      <c r="BEC114" s="1056"/>
      <c r="BED114" s="1056"/>
      <c r="BEE114" s="1056"/>
      <c r="BEF114" s="1056"/>
      <c r="BEG114" s="1056"/>
      <c r="BEH114" s="1056"/>
      <c r="BEI114" s="1056"/>
      <c r="BEJ114" s="1056"/>
      <c r="BEK114" s="1056"/>
      <c r="BEL114" s="1056"/>
      <c r="BEM114" s="1056"/>
      <c r="BEN114" s="1056"/>
      <c r="BEO114" s="1056"/>
      <c r="BEP114" s="1056"/>
      <c r="BEQ114" s="1056"/>
      <c r="BER114" s="1056"/>
      <c r="BES114" s="1056"/>
      <c r="BET114" s="1056"/>
      <c r="BEU114" s="1056"/>
      <c r="BEV114" s="1056"/>
      <c r="BEW114" s="1056"/>
      <c r="BEX114" s="1056"/>
      <c r="BEY114" s="1056"/>
      <c r="BEZ114" s="1056"/>
      <c r="BFA114" s="1056"/>
      <c r="BFB114" s="1056"/>
      <c r="BFC114" s="1056"/>
      <c r="BFD114" s="1056"/>
      <c r="BFE114" s="1056"/>
      <c r="BFF114" s="1056"/>
      <c r="BFG114" s="1056"/>
      <c r="BFH114" s="1056"/>
      <c r="BFI114" s="1056"/>
      <c r="BFJ114" s="1056"/>
      <c r="BFK114" s="1056"/>
      <c r="BFL114" s="1056"/>
      <c r="BFM114" s="1056"/>
      <c r="BFN114" s="1056"/>
      <c r="BFO114" s="1056"/>
      <c r="BFP114" s="1056"/>
      <c r="BFQ114" s="1056"/>
      <c r="BFR114" s="1056"/>
      <c r="BFS114" s="1056"/>
      <c r="BFT114" s="1056"/>
      <c r="BFU114" s="1056"/>
      <c r="BFV114" s="1056"/>
      <c r="BFW114" s="1056"/>
      <c r="BFX114" s="1056"/>
      <c r="BFY114" s="1056"/>
      <c r="BFZ114" s="1056"/>
      <c r="BGA114" s="1056"/>
      <c r="BGB114" s="1056"/>
      <c r="BGC114" s="1056"/>
      <c r="BGD114" s="1056"/>
      <c r="BGE114" s="1056"/>
      <c r="BGF114" s="1056"/>
      <c r="BGG114" s="1056"/>
      <c r="BGH114" s="1056"/>
      <c r="BGI114" s="1056"/>
      <c r="BGJ114" s="1056"/>
      <c r="BGK114" s="1056"/>
      <c r="BGL114" s="1056"/>
      <c r="BGM114" s="1056"/>
      <c r="BGN114" s="1056"/>
      <c r="BGO114" s="1056"/>
      <c r="BGP114" s="1056"/>
      <c r="BGQ114" s="1056"/>
      <c r="BGR114" s="1056"/>
      <c r="BGS114" s="1056"/>
      <c r="BGT114" s="1056"/>
      <c r="BGU114" s="1056"/>
      <c r="BGV114" s="1056"/>
      <c r="BGW114" s="1056"/>
      <c r="BGX114" s="1056"/>
      <c r="BGY114" s="1056"/>
      <c r="BGZ114" s="1056"/>
      <c r="BHA114" s="1056"/>
      <c r="BHB114" s="1056"/>
      <c r="BHC114" s="1056"/>
      <c r="BHD114" s="1056"/>
      <c r="BHE114" s="1056"/>
      <c r="BHF114" s="1056"/>
      <c r="BHG114" s="1056"/>
      <c r="BHH114" s="1056"/>
      <c r="BHI114" s="1056"/>
      <c r="BHJ114" s="1056"/>
      <c r="BHK114" s="1056"/>
      <c r="BHL114" s="1056"/>
      <c r="BHM114" s="1056"/>
      <c r="BHN114" s="1056"/>
      <c r="BHO114" s="1056"/>
      <c r="BHP114" s="1056"/>
      <c r="BHQ114" s="1056"/>
      <c r="BHR114" s="1056"/>
      <c r="BHS114" s="1056"/>
      <c r="BHT114" s="1056"/>
      <c r="BHU114" s="1056"/>
      <c r="BHV114" s="1056"/>
      <c r="BHW114" s="1056"/>
      <c r="BHX114" s="1056"/>
      <c r="BHY114" s="1056"/>
      <c r="BHZ114" s="1056"/>
      <c r="BIA114" s="1056"/>
      <c r="BIB114" s="1056"/>
      <c r="BIC114" s="1056"/>
      <c r="BID114" s="1056"/>
      <c r="BIE114" s="1056"/>
      <c r="BIF114" s="1056"/>
      <c r="BIG114" s="1056"/>
      <c r="BIH114" s="1056"/>
      <c r="BII114" s="1056"/>
      <c r="BIJ114" s="1056"/>
      <c r="BIK114" s="1056"/>
      <c r="BIL114" s="1056"/>
      <c r="BIM114" s="1056"/>
      <c r="BIN114" s="1056"/>
      <c r="BIO114" s="1056"/>
      <c r="BIP114" s="1056"/>
      <c r="BIQ114" s="1056"/>
      <c r="BIR114" s="1056"/>
      <c r="BIS114" s="1056"/>
      <c r="BIT114" s="1056"/>
      <c r="BIU114" s="1056"/>
      <c r="BIV114" s="1056"/>
      <c r="BIW114" s="1056"/>
      <c r="BIX114" s="1056"/>
      <c r="BIY114" s="1056"/>
      <c r="BIZ114" s="1056"/>
      <c r="BJA114" s="1056"/>
      <c r="BJB114" s="1056"/>
      <c r="BJC114" s="1056"/>
      <c r="BJD114" s="1056"/>
      <c r="BJE114" s="1056"/>
      <c r="BJF114" s="1056"/>
      <c r="BJG114" s="1056"/>
      <c r="BJH114" s="1056"/>
      <c r="BJI114" s="1056"/>
      <c r="BJJ114" s="1056"/>
      <c r="BJK114" s="1056"/>
      <c r="BJL114" s="1056"/>
      <c r="BJM114" s="1056"/>
      <c r="BJN114" s="1056"/>
      <c r="BJO114" s="1056"/>
      <c r="BJP114" s="1056"/>
      <c r="BJQ114" s="1056"/>
      <c r="BJR114" s="1056"/>
      <c r="BJS114" s="1056"/>
      <c r="BJT114" s="1056"/>
      <c r="BJU114" s="1056"/>
      <c r="BJV114" s="1056"/>
      <c r="BJW114" s="1056"/>
      <c r="BJX114" s="1056"/>
      <c r="BJY114" s="1056"/>
      <c r="BJZ114" s="1056"/>
      <c r="BKA114" s="1056"/>
      <c r="BKB114" s="1056"/>
      <c r="BKC114" s="1056"/>
      <c r="BKD114" s="1056"/>
      <c r="BKE114" s="1056"/>
      <c r="BKF114" s="1056"/>
      <c r="BKG114" s="1056"/>
      <c r="BKH114" s="1056"/>
      <c r="BKI114" s="1056"/>
      <c r="BKJ114" s="1056"/>
      <c r="BKK114" s="1056"/>
      <c r="BKL114" s="1056"/>
      <c r="BKM114" s="1056"/>
      <c r="BKN114" s="1056"/>
      <c r="BKO114" s="1056"/>
      <c r="BKP114" s="1056"/>
      <c r="BKQ114" s="1056"/>
      <c r="BKR114" s="1056"/>
      <c r="BKS114" s="1056"/>
      <c r="BKT114" s="1056"/>
      <c r="BKU114" s="1056"/>
      <c r="BKV114" s="1056"/>
      <c r="BKW114" s="1056"/>
      <c r="BKX114" s="1056"/>
      <c r="BKY114" s="1056"/>
      <c r="BKZ114" s="1056"/>
      <c r="BLA114" s="1056"/>
      <c r="BLB114" s="1056"/>
      <c r="BLC114" s="1056"/>
      <c r="BLD114" s="1056"/>
      <c r="BLE114" s="1056"/>
      <c r="BLF114" s="1056"/>
      <c r="BLG114" s="1056"/>
      <c r="BLH114" s="1056"/>
      <c r="BLI114" s="1056"/>
      <c r="BLJ114" s="1056"/>
      <c r="BLK114" s="1056"/>
      <c r="BLL114" s="1056"/>
      <c r="BLM114" s="1056"/>
      <c r="BLN114" s="1056"/>
      <c r="BLO114" s="1056"/>
      <c r="BLP114" s="1056"/>
      <c r="BLQ114" s="1056"/>
      <c r="BLR114" s="1056"/>
      <c r="BLS114" s="1056"/>
      <c r="BLT114" s="1056"/>
      <c r="BLU114" s="1056"/>
      <c r="BLV114" s="1056"/>
      <c r="BLW114" s="1056"/>
      <c r="BLX114" s="1056"/>
      <c r="BLY114" s="1056"/>
      <c r="BLZ114" s="1056"/>
      <c r="BMA114" s="1056"/>
      <c r="BMB114" s="1056"/>
      <c r="BMC114" s="1056"/>
      <c r="BMD114" s="1056"/>
      <c r="BME114" s="1056"/>
      <c r="BMF114" s="1056"/>
      <c r="BMG114" s="1056"/>
      <c r="BMH114" s="1056"/>
      <c r="BMI114" s="1056"/>
      <c r="BMJ114" s="1056"/>
      <c r="BMK114" s="1056"/>
      <c r="BML114" s="1056"/>
      <c r="BMM114" s="1056"/>
      <c r="BMN114" s="1056"/>
      <c r="BMO114" s="1056"/>
      <c r="BMP114" s="1056"/>
      <c r="BMQ114" s="1056"/>
      <c r="BMR114" s="1056"/>
      <c r="BMS114" s="1056"/>
      <c r="BMT114" s="1056"/>
      <c r="BMU114" s="1056"/>
      <c r="BMV114" s="1056"/>
      <c r="BMW114" s="1056"/>
      <c r="BMX114" s="1056"/>
      <c r="BMY114" s="1056"/>
      <c r="BMZ114" s="1056"/>
      <c r="BNA114" s="1056"/>
      <c r="BNB114" s="1056"/>
      <c r="BNC114" s="1056"/>
      <c r="BND114" s="1056"/>
      <c r="BNE114" s="1056"/>
      <c r="BNF114" s="1056"/>
      <c r="BNG114" s="1056"/>
      <c r="BNH114" s="1056"/>
      <c r="BNI114" s="1056"/>
      <c r="BNJ114" s="1056"/>
      <c r="BNK114" s="1056"/>
      <c r="BNL114" s="1056"/>
      <c r="BNM114" s="1056"/>
      <c r="BNN114" s="1056"/>
      <c r="BNO114" s="1056"/>
      <c r="BNP114" s="1056"/>
      <c r="BNQ114" s="1056"/>
      <c r="BNR114" s="1056"/>
      <c r="BNS114" s="1056"/>
      <c r="BNT114" s="1056"/>
      <c r="BNU114" s="1056"/>
      <c r="BNV114" s="1056"/>
      <c r="BNW114" s="1056"/>
      <c r="BNX114" s="1056"/>
      <c r="BNY114" s="1056"/>
      <c r="BNZ114" s="1056"/>
      <c r="BOA114" s="1056"/>
      <c r="BOB114" s="1056"/>
      <c r="BOC114" s="1056"/>
      <c r="BOD114" s="1056"/>
      <c r="BOE114" s="1056"/>
      <c r="BOF114" s="1056"/>
      <c r="BOG114" s="1056"/>
      <c r="BOH114" s="1056"/>
      <c r="BOI114" s="1056"/>
      <c r="BOJ114" s="1056"/>
      <c r="BOK114" s="1056"/>
      <c r="BOL114" s="1056"/>
      <c r="BOM114" s="1056"/>
      <c r="BON114" s="1056"/>
      <c r="BOO114" s="1056"/>
      <c r="BOP114" s="1056"/>
      <c r="BOQ114" s="1056"/>
      <c r="BOR114" s="1056"/>
      <c r="BOS114" s="1056"/>
      <c r="BOT114" s="1056"/>
      <c r="BOU114" s="1056"/>
      <c r="BOV114" s="1056"/>
      <c r="BOW114" s="1056"/>
      <c r="BOX114" s="1056"/>
      <c r="BOY114" s="1056"/>
      <c r="BOZ114" s="1056"/>
      <c r="BPA114" s="1056"/>
      <c r="BPB114" s="1056"/>
      <c r="BPC114" s="1056"/>
      <c r="BPD114" s="1056"/>
      <c r="BPE114" s="1056"/>
      <c r="BPF114" s="1056"/>
      <c r="BPG114" s="1056"/>
      <c r="BPH114" s="1056"/>
      <c r="BPI114" s="1056"/>
      <c r="BPJ114" s="1056"/>
      <c r="BPK114" s="1056"/>
      <c r="BPL114" s="1056"/>
      <c r="BPM114" s="1056"/>
      <c r="BPN114" s="1056"/>
      <c r="BPO114" s="1056"/>
      <c r="BPP114" s="1056"/>
      <c r="BPQ114" s="1056"/>
      <c r="BPR114" s="1056"/>
      <c r="BPS114" s="1056"/>
      <c r="BPT114" s="1056"/>
      <c r="BPU114" s="1056"/>
      <c r="BPV114" s="1056"/>
      <c r="BPW114" s="1056"/>
      <c r="BPX114" s="1056"/>
      <c r="BPY114" s="1056"/>
      <c r="BPZ114" s="1056"/>
      <c r="BQA114" s="1056"/>
      <c r="BQB114" s="1056"/>
      <c r="BQC114" s="1056"/>
      <c r="BQD114" s="1056"/>
      <c r="BQE114" s="1056"/>
      <c r="BQF114" s="1056"/>
      <c r="BQG114" s="1056"/>
      <c r="BQH114" s="1056"/>
      <c r="BQI114" s="1056"/>
      <c r="BQJ114" s="1056"/>
      <c r="BQK114" s="1056"/>
      <c r="BQL114" s="1056"/>
      <c r="BQM114" s="1056"/>
      <c r="BQN114" s="1056"/>
      <c r="BQO114" s="1056"/>
      <c r="BQP114" s="1056"/>
      <c r="BQQ114" s="1056"/>
      <c r="BQR114" s="1056"/>
      <c r="BQS114" s="1056"/>
      <c r="BQT114" s="1056"/>
      <c r="BQU114" s="1056"/>
      <c r="BQV114" s="1056"/>
      <c r="BQW114" s="1056"/>
      <c r="BQX114" s="1056"/>
      <c r="BQY114" s="1056"/>
      <c r="BQZ114" s="1056"/>
      <c r="BRA114" s="1056"/>
      <c r="BRB114" s="1056"/>
      <c r="BRC114" s="1056"/>
      <c r="BRD114" s="1056"/>
      <c r="BRE114" s="1056"/>
      <c r="BRF114" s="1056"/>
      <c r="BRG114" s="1056"/>
      <c r="BRH114" s="1056"/>
      <c r="BRI114" s="1056"/>
      <c r="BRJ114" s="1056"/>
      <c r="BRK114" s="1056"/>
      <c r="BRL114" s="1056"/>
      <c r="BRM114" s="1056"/>
      <c r="BRN114" s="1056"/>
      <c r="BRO114" s="1056"/>
      <c r="BRP114" s="1056"/>
      <c r="BRQ114" s="1056"/>
      <c r="BRR114" s="1056"/>
      <c r="BRS114" s="1056"/>
      <c r="BRT114" s="1056"/>
      <c r="BRU114" s="1056"/>
      <c r="BRV114" s="1056"/>
      <c r="BRW114" s="1056"/>
      <c r="BRX114" s="1056"/>
      <c r="BRY114" s="1056"/>
      <c r="BRZ114" s="1056"/>
      <c r="BSA114" s="1056"/>
      <c r="BSB114" s="1056"/>
      <c r="BSC114" s="1056"/>
      <c r="BSD114" s="1056"/>
      <c r="BSE114" s="1056"/>
      <c r="BSF114" s="1056"/>
      <c r="BSG114" s="1056"/>
      <c r="BSH114" s="1056"/>
      <c r="BSI114" s="1056"/>
      <c r="BSJ114" s="1056"/>
      <c r="BSK114" s="1056"/>
      <c r="BSL114" s="1056"/>
      <c r="BSM114" s="1056"/>
      <c r="BSN114" s="1056"/>
      <c r="BSO114" s="1056"/>
      <c r="BSP114" s="1056"/>
      <c r="BSQ114" s="1056"/>
      <c r="BSR114" s="1056"/>
      <c r="BSS114" s="1056"/>
      <c r="BST114" s="1056"/>
      <c r="BSU114" s="1056"/>
      <c r="BSV114" s="1056"/>
      <c r="BSW114" s="1056"/>
      <c r="BSX114" s="1056"/>
      <c r="BSY114" s="1056"/>
      <c r="BSZ114" s="1056"/>
      <c r="BTA114" s="1056"/>
      <c r="BTB114" s="1056"/>
      <c r="BTC114" s="1056"/>
      <c r="BTD114" s="1056"/>
      <c r="BTE114" s="1056"/>
      <c r="BTF114" s="1056"/>
      <c r="BTG114" s="1056"/>
      <c r="BTH114" s="1056"/>
      <c r="BTI114" s="1056"/>
    </row>
    <row r="115" spans="1:1881" s="1060" customFormat="1" ht="116.25" hidden="1" customHeight="1" thickBot="1" x14ac:dyDescent="0.35">
      <c r="A115" s="1071">
        <v>40</v>
      </c>
      <c r="B115" s="1069" t="s">
        <v>345</v>
      </c>
      <c r="C115" s="1072" t="s">
        <v>1034</v>
      </c>
      <c r="D115" s="1075" t="s">
        <v>1035</v>
      </c>
      <c r="E115" s="1053" t="e">
        <f>HLOOKUP($D$2,'2020 Data(H)'!$C$1:$AI$426,28,FALSE)</f>
        <v>#N/A</v>
      </c>
      <c r="F115" s="287">
        <v>0</v>
      </c>
      <c r="G115" s="722"/>
      <c r="H115" s="764"/>
      <c r="I115" s="1055"/>
      <c r="J115" s="1068"/>
      <c r="K115" s="1056"/>
      <c r="L115" s="1057"/>
      <c r="M115" s="1056"/>
      <c r="N115" s="1058"/>
      <c r="O115" s="1056"/>
      <c r="P115" s="1056"/>
      <c r="Q115" s="1056"/>
      <c r="R115" s="1056"/>
      <c r="S115" s="1056"/>
      <c r="T115" s="1056"/>
      <c r="U115" s="1056"/>
      <c r="V115" s="1056"/>
      <c r="W115" s="1056"/>
      <c r="X115" s="1056"/>
      <c r="Y115" s="1056"/>
      <c r="Z115" s="1073"/>
      <c r="AA115" s="1073"/>
      <c r="AB115" s="1073"/>
      <c r="AC115" s="1073"/>
      <c r="AD115" s="1073"/>
      <c r="AE115" s="1073"/>
      <c r="AF115" s="1073"/>
      <c r="AG115" s="1073"/>
      <c r="AH115" s="1073"/>
      <c r="AI115" s="1073"/>
      <c r="AJ115" s="1073"/>
      <c r="AK115" s="1073"/>
      <c r="AL115" s="1073"/>
      <c r="AM115" s="1073"/>
      <c r="AN115" s="1073"/>
      <c r="AO115" s="1073"/>
      <c r="AP115" s="1073"/>
      <c r="AQ115" s="1073"/>
      <c r="AR115" s="1073"/>
      <c r="AS115" s="1056"/>
      <c r="AT115" s="1056"/>
      <c r="AU115" s="1056"/>
      <c r="AV115" s="1056"/>
      <c r="AW115" s="1056"/>
      <c r="AX115" s="1056"/>
      <c r="AY115" s="1056"/>
      <c r="AZ115" s="1056"/>
      <c r="BA115" s="1056"/>
      <c r="BB115" s="1056"/>
      <c r="BC115" s="1056"/>
      <c r="BD115" s="1056"/>
      <c r="BE115" s="1056"/>
      <c r="BF115" s="1056"/>
      <c r="BG115" s="1056"/>
      <c r="BH115" s="1056"/>
      <c r="BI115" s="1056"/>
      <c r="BJ115" s="1056"/>
      <c r="BK115" s="1056"/>
      <c r="BL115" s="1056"/>
      <c r="BM115" s="1056"/>
      <c r="BN115" s="1056"/>
      <c r="BO115" s="1056"/>
      <c r="BP115" s="1056"/>
      <c r="BQ115" s="1056"/>
      <c r="BR115" s="1056"/>
      <c r="BS115" s="1056"/>
      <c r="BT115" s="1056"/>
      <c r="BU115" s="1056"/>
      <c r="BV115" s="1056"/>
      <c r="BW115" s="1056"/>
      <c r="BX115" s="1056"/>
      <c r="BY115" s="1056"/>
      <c r="BZ115" s="1056"/>
      <c r="CA115" s="1056"/>
      <c r="CB115" s="1056"/>
      <c r="CC115" s="1056"/>
      <c r="CD115" s="1056"/>
      <c r="CE115" s="1056"/>
      <c r="CF115" s="1056"/>
      <c r="CG115" s="1056"/>
      <c r="CH115" s="1056"/>
      <c r="CI115" s="1056"/>
      <c r="CJ115" s="1056"/>
      <c r="CK115" s="1056"/>
      <c r="CL115" s="1056"/>
      <c r="CM115" s="1056"/>
      <c r="CN115" s="1056"/>
      <c r="CO115" s="1056"/>
      <c r="CP115" s="1056"/>
      <c r="CQ115" s="1056"/>
      <c r="CR115" s="1056"/>
      <c r="CS115" s="1056"/>
      <c r="CT115" s="1056"/>
      <c r="CU115" s="1056"/>
      <c r="CV115" s="1056"/>
      <c r="CW115" s="1056"/>
      <c r="CX115" s="1056"/>
      <c r="CY115" s="1056"/>
      <c r="CZ115" s="1056"/>
      <c r="DA115" s="1056"/>
      <c r="DB115" s="1056"/>
      <c r="DC115" s="1056"/>
      <c r="DD115" s="1056"/>
      <c r="DE115" s="1056"/>
      <c r="DF115" s="1056"/>
      <c r="DG115" s="1056"/>
      <c r="DH115" s="1056"/>
      <c r="DI115" s="1056"/>
      <c r="DJ115" s="1056"/>
      <c r="DK115" s="1056"/>
      <c r="DL115" s="1056"/>
      <c r="DM115" s="1056"/>
      <c r="DN115" s="1056"/>
      <c r="DO115" s="1056"/>
      <c r="DP115" s="1056"/>
      <c r="DQ115" s="1056"/>
      <c r="DR115" s="1056"/>
      <c r="DS115" s="1056"/>
      <c r="DT115" s="1056"/>
      <c r="DU115" s="1056"/>
      <c r="DV115" s="1056"/>
      <c r="DW115" s="1056"/>
      <c r="DX115" s="1056"/>
      <c r="DY115" s="1056"/>
      <c r="DZ115" s="1056"/>
      <c r="EA115" s="1056"/>
      <c r="EB115" s="1056"/>
      <c r="EC115" s="1056"/>
      <c r="ED115" s="1056"/>
      <c r="EE115" s="1056"/>
      <c r="EF115" s="1056"/>
      <c r="EG115" s="1056"/>
      <c r="EH115" s="1056"/>
      <c r="EI115" s="1056"/>
      <c r="EJ115" s="1056"/>
      <c r="EK115" s="1056"/>
      <c r="EL115" s="1056"/>
      <c r="EM115" s="1056"/>
      <c r="EN115" s="1056"/>
      <c r="EO115" s="1056"/>
      <c r="EP115" s="1056"/>
      <c r="EQ115" s="1056"/>
      <c r="ER115" s="1056"/>
      <c r="ES115" s="1056"/>
      <c r="ET115" s="1056"/>
      <c r="EU115" s="1056"/>
      <c r="EV115" s="1056"/>
      <c r="EW115" s="1056"/>
      <c r="EX115" s="1056"/>
      <c r="EY115" s="1056"/>
      <c r="EZ115" s="1056"/>
      <c r="FA115" s="1056"/>
      <c r="FB115" s="1056"/>
      <c r="FC115" s="1056"/>
      <c r="FD115" s="1056"/>
      <c r="FE115" s="1056"/>
      <c r="FF115" s="1056"/>
      <c r="FG115" s="1056"/>
      <c r="FH115" s="1056"/>
      <c r="FI115" s="1056"/>
      <c r="FJ115" s="1056"/>
      <c r="FK115" s="1056"/>
      <c r="FL115" s="1056"/>
      <c r="FM115" s="1056"/>
      <c r="FN115" s="1056"/>
      <c r="FO115" s="1056"/>
      <c r="FP115" s="1056"/>
      <c r="FQ115" s="1056"/>
      <c r="FR115" s="1056"/>
      <c r="FS115" s="1056"/>
      <c r="FT115" s="1056"/>
      <c r="FU115" s="1056"/>
      <c r="FV115" s="1056"/>
      <c r="FW115" s="1056"/>
      <c r="FX115" s="1056"/>
      <c r="FY115" s="1056"/>
      <c r="FZ115" s="1056"/>
      <c r="GA115" s="1056"/>
      <c r="GB115" s="1056"/>
      <c r="GC115" s="1056"/>
      <c r="GD115" s="1056"/>
      <c r="GE115" s="1056"/>
      <c r="GF115" s="1056"/>
      <c r="GG115" s="1056"/>
      <c r="GH115" s="1056"/>
      <c r="GI115" s="1056"/>
      <c r="GJ115" s="1056"/>
      <c r="GK115" s="1056"/>
      <c r="GL115" s="1056"/>
      <c r="GM115" s="1056"/>
      <c r="GN115" s="1056"/>
      <c r="GO115" s="1056"/>
      <c r="GP115" s="1056"/>
      <c r="GQ115" s="1056"/>
      <c r="GR115" s="1056"/>
      <c r="GS115" s="1056"/>
      <c r="GT115" s="1056"/>
      <c r="GU115" s="1056"/>
      <c r="GV115" s="1056"/>
      <c r="GW115" s="1056"/>
      <c r="GX115" s="1056"/>
      <c r="GY115" s="1056"/>
      <c r="GZ115" s="1056"/>
      <c r="HA115" s="1056"/>
      <c r="HB115" s="1056"/>
      <c r="HC115" s="1056"/>
      <c r="HD115" s="1056"/>
      <c r="HE115" s="1056"/>
      <c r="HF115" s="1056"/>
      <c r="HG115" s="1056"/>
      <c r="HH115" s="1056"/>
      <c r="HI115" s="1056"/>
      <c r="HJ115" s="1056"/>
      <c r="HK115" s="1056"/>
      <c r="HL115" s="1056"/>
      <c r="HM115" s="1056"/>
      <c r="HN115" s="1056"/>
      <c r="HO115" s="1056"/>
      <c r="HP115" s="1056"/>
      <c r="HQ115" s="1056"/>
      <c r="HR115" s="1056"/>
      <c r="HS115" s="1056"/>
      <c r="HT115" s="1056"/>
      <c r="HU115" s="1056"/>
      <c r="HV115" s="1056"/>
      <c r="HW115" s="1056"/>
      <c r="HX115" s="1056"/>
      <c r="HY115" s="1056"/>
      <c r="HZ115" s="1056"/>
      <c r="IA115" s="1056"/>
      <c r="IB115" s="1056"/>
      <c r="IC115" s="1056"/>
      <c r="ID115" s="1056"/>
      <c r="IE115" s="1056"/>
      <c r="IF115" s="1056"/>
      <c r="IG115" s="1056"/>
      <c r="IH115" s="1056"/>
      <c r="II115" s="1056"/>
      <c r="IJ115" s="1056"/>
      <c r="IK115" s="1056"/>
      <c r="IL115" s="1056"/>
      <c r="IM115" s="1056"/>
      <c r="IN115" s="1056"/>
      <c r="IO115" s="1056"/>
      <c r="IP115" s="1056"/>
      <c r="IQ115" s="1056"/>
      <c r="IR115" s="1056"/>
      <c r="IS115" s="1056"/>
      <c r="IT115" s="1056"/>
      <c r="IU115" s="1056"/>
      <c r="IV115" s="1056"/>
      <c r="IW115" s="1056"/>
      <c r="IX115" s="1056"/>
      <c r="IY115" s="1056"/>
      <c r="IZ115" s="1056"/>
      <c r="JA115" s="1056"/>
      <c r="JB115" s="1056"/>
      <c r="JC115" s="1056"/>
      <c r="JD115" s="1056"/>
      <c r="JE115" s="1056"/>
      <c r="JF115" s="1056"/>
      <c r="JG115" s="1056"/>
      <c r="JH115" s="1056"/>
      <c r="JI115" s="1056"/>
      <c r="JJ115" s="1056"/>
      <c r="JK115" s="1056"/>
      <c r="JL115" s="1056"/>
      <c r="JM115" s="1056"/>
      <c r="JN115" s="1056"/>
      <c r="JO115" s="1056"/>
      <c r="JP115" s="1056"/>
      <c r="JQ115" s="1056"/>
      <c r="JR115" s="1056"/>
      <c r="JS115" s="1056"/>
      <c r="JT115" s="1056"/>
      <c r="JU115" s="1056"/>
      <c r="JV115" s="1056"/>
      <c r="JW115" s="1056"/>
      <c r="JX115" s="1056"/>
      <c r="JY115" s="1056"/>
      <c r="JZ115" s="1056"/>
      <c r="KA115" s="1056"/>
      <c r="KB115" s="1056"/>
      <c r="KC115" s="1056"/>
      <c r="KD115" s="1056"/>
      <c r="KE115" s="1056"/>
      <c r="KF115" s="1056"/>
      <c r="KG115" s="1056"/>
      <c r="KH115" s="1056"/>
      <c r="KI115" s="1056"/>
      <c r="KJ115" s="1056"/>
      <c r="KK115" s="1056"/>
      <c r="KL115" s="1056"/>
      <c r="KM115" s="1056"/>
      <c r="KN115" s="1056"/>
      <c r="KO115" s="1056"/>
      <c r="KP115" s="1056"/>
      <c r="KQ115" s="1056"/>
      <c r="KR115" s="1056"/>
      <c r="KS115" s="1056"/>
      <c r="KT115" s="1056"/>
      <c r="KU115" s="1056"/>
      <c r="KV115" s="1056"/>
      <c r="KW115" s="1056"/>
      <c r="KX115" s="1056"/>
      <c r="KY115" s="1056"/>
      <c r="KZ115" s="1056"/>
      <c r="LA115" s="1056"/>
      <c r="LB115" s="1056"/>
      <c r="LC115" s="1056"/>
      <c r="LD115" s="1056"/>
      <c r="LE115" s="1056"/>
      <c r="LF115" s="1056"/>
      <c r="LG115" s="1056"/>
      <c r="LH115" s="1056"/>
      <c r="LI115" s="1056"/>
      <c r="LJ115" s="1056"/>
      <c r="LK115" s="1056"/>
      <c r="LL115" s="1056"/>
      <c r="LM115" s="1056"/>
      <c r="LN115" s="1056"/>
      <c r="LO115" s="1056"/>
      <c r="LP115" s="1056"/>
      <c r="LQ115" s="1056"/>
      <c r="LR115" s="1056"/>
      <c r="LS115" s="1056"/>
      <c r="LT115" s="1056"/>
      <c r="LU115" s="1056"/>
      <c r="LV115" s="1056"/>
      <c r="LW115" s="1056"/>
      <c r="LX115" s="1056"/>
      <c r="LY115" s="1056"/>
      <c r="LZ115" s="1056"/>
      <c r="MA115" s="1056"/>
      <c r="MB115" s="1056"/>
      <c r="MC115" s="1056"/>
      <c r="MD115" s="1056"/>
      <c r="ME115" s="1056"/>
      <c r="MF115" s="1056"/>
      <c r="MG115" s="1056"/>
      <c r="MH115" s="1056"/>
      <c r="MI115" s="1056"/>
      <c r="MJ115" s="1056"/>
      <c r="MK115" s="1056"/>
      <c r="ML115" s="1056"/>
      <c r="MM115" s="1056"/>
      <c r="MN115" s="1056"/>
      <c r="MO115" s="1056"/>
      <c r="MP115" s="1056"/>
      <c r="MQ115" s="1056"/>
      <c r="MR115" s="1056"/>
      <c r="MS115" s="1056"/>
      <c r="MT115" s="1056"/>
      <c r="MU115" s="1056"/>
      <c r="MV115" s="1056"/>
      <c r="MW115" s="1056"/>
      <c r="MX115" s="1056"/>
      <c r="MY115" s="1056"/>
      <c r="MZ115" s="1056"/>
      <c r="NA115" s="1056"/>
      <c r="NB115" s="1056"/>
      <c r="NC115" s="1056"/>
      <c r="ND115" s="1056"/>
      <c r="NE115" s="1056"/>
      <c r="NF115" s="1056"/>
      <c r="NG115" s="1056"/>
      <c r="NH115" s="1056"/>
      <c r="NI115" s="1056"/>
      <c r="NJ115" s="1056"/>
      <c r="NK115" s="1056"/>
      <c r="NL115" s="1056"/>
      <c r="NM115" s="1056"/>
      <c r="NN115" s="1056"/>
      <c r="NO115" s="1056"/>
      <c r="NP115" s="1056"/>
      <c r="NQ115" s="1056"/>
      <c r="NR115" s="1056"/>
      <c r="NS115" s="1056"/>
      <c r="NT115" s="1056"/>
      <c r="NU115" s="1056"/>
      <c r="NV115" s="1056"/>
      <c r="NW115" s="1056"/>
      <c r="NX115" s="1056"/>
      <c r="NY115" s="1056"/>
      <c r="NZ115" s="1056"/>
      <c r="OA115" s="1056"/>
      <c r="OB115" s="1056"/>
      <c r="OC115" s="1056"/>
      <c r="OD115" s="1056"/>
      <c r="OE115" s="1056"/>
      <c r="OF115" s="1056"/>
      <c r="OG115" s="1056"/>
      <c r="OH115" s="1056"/>
      <c r="OI115" s="1056"/>
      <c r="OJ115" s="1056"/>
      <c r="OK115" s="1056"/>
      <c r="OL115" s="1056"/>
      <c r="OM115" s="1056"/>
      <c r="ON115" s="1056"/>
      <c r="OO115" s="1056"/>
      <c r="OP115" s="1056"/>
      <c r="OQ115" s="1056"/>
      <c r="OR115" s="1056"/>
      <c r="OS115" s="1056"/>
      <c r="OT115" s="1056"/>
      <c r="OU115" s="1056"/>
      <c r="OV115" s="1056"/>
      <c r="OW115" s="1056"/>
      <c r="OX115" s="1056"/>
      <c r="OY115" s="1056"/>
      <c r="OZ115" s="1056"/>
      <c r="PA115" s="1056"/>
      <c r="PB115" s="1056"/>
      <c r="PC115" s="1056"/>
      <c r="PD115" s="1056"/>
      <c r="PE115" s="1056"/>
      <c r="PF115" s="1056"/>
      <c r="PG115" s="1056"/>
      <c r="PH115" s="1056"/>
      <c r="PI115" s="1056"/>
      <c r="PJ115" s="1056"/>
      <c r="PK115" s="1056"/>
      <c r="PL115" s="1056"/>
      <c r="PM115" s="1056"/>
      <c r="PN115" s="1056"/>
      <c r="PO115" s="1056"/>
      <c r="PP115" s="1056"/>
      <c r="PQ115" s="1056"/>
      <c r="PR115" s="1056"/>
      <c r="PS115" s="1056"/>
      <c r="PT115" s="1056"/>
      <c r="PU115" s="1056"/>
      <c r="PV115" s="1056"/>
      <c r="PW115" s="1056"/>
      <c r="PX115" s="1056"/>
      <c r="PY115" s="1056"/>
      <c r="PZ115" s="1056"/>
      <c r="QA115" s="1056"/>
      <c r="QB115" s="1056"/>
      <c r="QC115" s="1056"/>
      <c r="QD115" s="1056"/>
      <c r="QE115" s="1056"/>
      <c r="QF115" s="1056"/>
      <c r="QG115" s="1056"/>
      <c r="QH115" s="1056"/>
      <c r="QI115" s="1056"/>
      <c r="QJ115" s="1056"/>
      <c r="QK115" s="1056"/>
      <c r="QL115" s="1056"/>
      <c r="QM115" s="1056"/>
      <c r="QN115" s="1056"/>
      <c r="QO115" s="1056"/>
      <c r="QP115" s="1056"/>
      <c r="QQ115" s="1056"/>
      <c r="QR115" s="1056"/>
      <c r="QS115" s="1056"/>
      <c r="QT115" s="1056"/>
      <c r="QU115" s="1056"/>
      <c r="QV115" s="1056"/>
      <c r="QW115" s="1056"/>
      <c r="QX115" s="1056"/>
      <c r="QY115" s="1056"/>
      <c r="QZ115" s="1056"/>
      <c r="RA115" s="1056"/>
      <c r="RB115" s="1056"/>
      <c r="RC115" s="1056"/>
      <c r="RD115" s="1056"/>
      <c r="RE115" s="1056"/>
      <c r="RF115" s="1056"/>
      <c r="RG115" s="1056"/>
      <c r="RH115" s="1056"/>
      <c r="RI115" s="1056"/>
      <c r="RJ115" s="1056"/>
      <c r="RK115" s="1056"/>
      <c r="RL115" s="1056"/>
      <c r="RM115" s="1056"/>
      <c r="RN115" s="1056"/>
      <c r="RO115" s="1056"/>
      <c r="RP115" s="1056"/>
      <c r="RQ115" s="1056"/>
      <c r="RR115" s="1056"/>
      <c r="RS115" s="1056"/>
      <c r="RT115" s="1056"/>
      <c r="RU115" s="1056"/>
      <c r="RV115" s="1056"/>
      <c r="RW115" s="1056"/>
      <c r="RX115" s="1056"/>
      <c r="RY115" s="1056"/>
      <c r="RZ115" s="1056"/>
      <c r="SA115" s="1056"/>
      <c r="SB115" s="1056"/>
      <c r="SC115" s="1056"/>
      <c r="SD115" s="1056"/>
      <c r="SE115" s="1056"/>
      <c r="SF115" s="1056"/>
      <c r="SG115" s="1056"/>
      <c r="SH115" s="1056"/>
      <c r="SI115" s="1056"/>
      <c r="SJ115" s="1056"/>
      <c r="SK115" s="1056"/>
      <c r="SL115" s="1056"/>
      <c r="SM115" s="1056"/>
      <c r="SN115" s="1056"/>
      <c r="SO115" s="1056"/>
      <c r="SP115" s="1056"/>
      <c r="SQ115" s="1056"/>
      <c r="SR115" s="1056"/>
      <c r="SS115" s="1056"/>
      <c r="ST115" s="1056"/>
      <c r="SU115" s="1056"/>
      <c r="SV115" s="1056"/>
      <c r="SW115" s="1056"/>
      <c r="SX115" s="1056"/>
      <c r="SY115" s="1056"/>
      <c r="SZ115" s="1056"/>
      <c r="TA115" s="1056"/>
      <c r="TB115" s="1056"/>
      <c r="TC115" s="1056"/>
      <c r="TD115" s="1056"/>
      <c r="TE115" s="1056"/>
      <c r="TF115" s="1056"/>
      <c r="TG115" s="1056"/>
      <c r="TH115" s="1056"/>
      <c r="TI115" s="1056"/>
      <c r="TJ115" s="1056"/>
      <c r="TK115" s="1056"/>
      <c r="TL115" s="1056"/>
      <c r="TM115" s="1056"/>
      <c r="TN115" s="1056"/>
      <c r="TO115" s="1056"/>
      <c r="TP115" s="1056"/>
      <c r="TQ115" s="1056"/>
      <c r="TR115" s="1056"/>
      <c r="TS115" s="1056"/>
      <c r="TT115" s="1056"/>
      <c r="TU115" s="1056"/>
      <c r="TV115" s="1056"/>
      <c r="TW115" s="1056"/>
      <c r="TX115" s="1056"/>
      <c r="TY115" s="1056"/>
      <c r="TZ115" s="1056"/>
      <c r="UA115" s="1056"/>
      <c r="UB115" s="1056"/>
      <c r="UC115" s="1056"/>
      <c r="UD115" s="1056"/>
      <c r="UE115" s="1056"/>
      <c r="UF115" s="1056"/>
      <c r="UG115" s="1056"/>
      <c r="UH115" s="1056"/>
      <c r="UI115" s="1056"/>
      <c r="UJ115" s="1056"/>
      <c r="UK115" s="1056"/>
      <c r="UL115" s="1056"/>
      <c r="UM115" s="1056"/>
      <c r="UN115" s="1056"/>
      <c r="UO115" s="1056"/>
      <c r="UP115" s="1056"/>
      <c r="UQ115" s="1056"/>
      <c r="UR115" s="1056"/>
      <c r="US115" s="1056"/>
      <c r="UT115" s="1056"/>
      <c r="UU115" s="1056"/>
      <c r="UV115" s="1056"/>
      <c r="UW115" s="1056"/>
      <c r="UX115" s="1056"/>
      <c r="UY115" s="1056"/>
      <c r="UZ115" s="1056"/>
      <c r="VA115" s="1056"/>
      <c r="VB115" s="1056"/>
      <c r="VC115" s="1056"/>
      <c r="VD115" s="1056"/>
      <c r="VE115" s="1056"/>
      <c r="VF115" s="1056"/>
      <c r="VG115" s="1056"/>
      <c r="VH115" s="1056"/>
      <c r="VI115" s="1056"/>
      <c r="VJ115" s="1056"/>
      <c r="VK115" s="1056"/>
      <c r="VL115" s="1056"/>
      <c r="VM115" s="1056"/>
      <c r="VN115" s="1056"/>
      <c r="VO115" s="1056"/>
      <c r="VP115" s="1056"/>
      <c r="VQ115" s="1056"/>
      <c r="VR115" s="1056"/>
      <c r="VS115" s="1056"/>
      <c r="VT115" s="1056"/>
      <c r="VU115" s="1056"/>
      <c r="VV115" s="1056"/>
      <c r="VW115" s="1056"/>
      <c r="VX115" s="1056"/>
      <c r="VY115" s="1056"/>
      <c r="VZ115" s="1056"/>
      <c r="WA115" s="1056"/>
      <c r="WB115" s="1056"/>
      <c r="WC115" s="1056"/>
      <c r="WD115" s="1056"/>
      <c r="WE115" s="1056"/>
      <c r="WF115" s="1056"/>
      <c r="WG115" s="1056"/>
      <c r="WH115" s="1056"/>
      <c r="WI115" s="1056"/>
      <c r="WJ115" s="1056"/>
      <c r="WK115" s="1056"/>
      <c r="WL115" s="1056"/>
      <c r="WM115" s="1056"/>
      <c r="WN115" s="1056"/>
      <c r="WO115" s="1056"/>
      <c r="WP115" s="1056"/>
      <c r="WQ115" s="1056"/>
      <c r="WR115" s="1056"/>
      <c r="WS115" s="1056"/>
      <c r="WT115" s="1056"/>
      <c r="WU115" s="1056"/>
      <c r="WV115" s="1056"/>
      <c r="WW115" s="1056"/>
      <c r="WX115" s="1056"/>
      <c r="WY115" s="1056"/>
      <c r="WZ115" s="1056"/>
      <c r="XA115" s="1056"/>
      <c r="XB115" s="1056"/>
      <c r="XC115" s="1056"/>
      <c r="XD115" s="1056"/>
      <c r="XE115" s="1056"/>
      <c r="XF115" s="1056"/>
      <c r="XG115" s="1056"/>
      <c r="XH115" s="1056"/>
      <c r="XI115" s="1056"/>
      <c r="XJ115" s="1056"/>
      <c r="XK115" s="1056"/>
      <c r="XL115" s="1056"/>
      <c r="XM115" s="1056"/>
      <c r="XN115" s="1056"/>
      <c r="XO115" s="1056"/>
      <c r="XP115" s="1056"/>
      <c r="XQ115" s="1056"/>
      <c r="XR115" s="1056"/>
      <c r="XS115" s="1056"/>
      <c r="XT115" s="1056"/>
      <c r="XU115" s="1056"/>
      <c r="XV115" s="1056"/>
      <c r="XW115" s="1056"/>
      <c r="XX115" s="1056"/>
      <c r="XY115" s="1056"/>
      <c r="XZ115" s="1056"/>
      <c r="YA115" s="1056"/>
      <c r="YB115" s="1056"/>
      <c r="YC115" s="1056"/>
      <c r="YD115" s="1056"/>
      <c r="YE115" s="1056"/>
      <c r="YF115" s="1056"/>
      <c r="YG115" s="1056"/>
      <c r="YH115" s="1056"/>
      <c r="YI115" s="1056"/>
      <c r="YJ115" s="1056"/>
      <c r="YK115" s="1056"/>
      <c r="YL115" s="1056"/>
      <c r="YM115" s="1056"/>
      <c r="YN115" s="1056"/>
      <c r="YO115" s="1056"/>
      <c r="YP115" s="1056"/>
      <c r="YQ115" s="1056"/>
      <c r="YR115" s="1056"/>
      <c r="YS115" s="1056"/>
      <c r="YT115" s="1056"/>
      <c r="YU115" s="1056"/>
      <c r="YV115" s="1056"/>
      <c r="YW115" s="1056"/>
      <c r="YX115" s="1056"/>
      <c r="YY115" s="1056"/>
      <c r="YZ115" s="1056"/>
      <c r="ZA115" s="1056"/>
      <c r="ZB115" s="1056"/>
      <c r="ZC115" s="1056"/>
      <c r="ZD115" s="1056"/>
      <c r="ZE115" s="1056"/>
      <c r="ZF115" s="1056"/>
      <c r="ZG115" s="1056"/>
      <c r="ZH115" s="1056"/>
      <c r="ZI115" s="1056"/>
      <c r="ZJ115" s="1056"/>
      <c r="ZK115" s="1056"/>
      <c r="ZL115" s="1056"/>
      <c r="ZM115" s="1056"/>
      <c r="ZN115" s="1056"/>
      <c r="ZO115" s="1056"/>
      <c r="ZP115" s="1056"/>
      <c r="ZQ115" s="1056"/>
      <c r="ZR115" s="1056"/>
      <c r="ZS115" s="1056"/>
      <c r="ZT115" s="1056"/>
      <c r="ZU115" s="1056"/>
      <c r="ZV115" s="1056"/>
      <c r="ZW115" s="1056"/>
      <c r="ZX115" s="1056"/>
      <c r="ZY115" s="1056"/>
      <c r="ZZ115" s="1056"/>
      <c r="AAA115" s="1056"/>
      <c r="AAB115" s="1056"/>
      <c r="AAC115" s="1056"/>
      <c r="AAD115" s="1056"/>
      <c r="AAE115" s="1056"/>
      <c r="AAF115" s="1056"/>
      <c r="AAG115" s="1056"/>
      <c r="AAH115" s="1056"/>
      <c r="AAI115" s="1056"/>
      <c r="AAJ115" s="1056"/>
      <c r="AAK115" s="1056"/>
      <c r="AAL115" s="1056"/>
      <c r="AAM115" s="1056"/>
      <c r="AAN115" s="1056"/>
      <c r="AAO115" s="1056"/>
      <c r="AAP115" s="1056"/>
      <c r="AAQ115" s="1056"/>
      <c r="AAR115" s="1056"/>
      <c r="AAS115" s="1056"/>
      <c r="AAT115" s="1056"/>
      <c r="AAU115" s="1056"/>
      <c r="AAV115" s="1056"/>
      <c r="AAW115" s="1056"/>
      <c r="AAX115" s="1056"/>
      <c r="AAY115" s="1056"/>
      <c r="AAZ115" s="1056"/>
      <c r="ABA115" s="1056"/>
      <c r="ABB115" s="1056"/>
      <c r="ABC115" s="1056"/>
      <c r="ABD115" s="1056"/>
      <c r="ABE115" s="1056"/>
      <c r="ABF115" s="1056"/>
      <c r="ABG115" s="1056"/>
      <c r="ABH115" s="1056"/>
      <c r="ABI115" s="1056"/>
      <c r="ABJ115" s="1056"/>
      <c r="ABK115" s="1056"/>
      <c r="ABL115" s="1056"/>
      <c r="ABM115" s="1056"/>
      <c r="ABN115" s="1056"/>
      <c r="ABO115" s="1056"/>
      <c r="ABP115" s="1056"/>
      <c r="ABQ115" s="1056"/>
      <c r="ABR115" s="1056"/>
      <c r="ABS115" s="1056"/>
      <c r="ABT115" s="1056"/>
      <c r="ABU115" s="1056"/>
      <c r="ABV115" s="1056"/>
      <c r="ABW115" s="1056"/>
      <c r="ABX115" s="1056"/>
      <c r="ABY115" s="1056"/>
      <c r="ABZ115" s="1056"/>
      <c r="ACA115" s="1056"/>
      <c r="ACB115" s="1056"/>
      <c r="ACC115" s="1056"/>
      <c r="ACD115" s="1056"/>
      <c r="ACE115" s="1056"/>
      <c r="ACF115" s="1056"/>
      <c r="ACG115" s="1056"/>
      <c r="ACH115" s="1056"/>
      <c r="ACI115" s="1056"/>
      <c r="ACJ115" s="1056"/>
      <c r="ACK115" s="1056"/>
      <c r="ACL115" s="1056"/>
      <c r="ACM115" s="1056"/>
      <c r="ACN115" s="1056"/>
      <c r="ACO115" s="1056"/>
      <c r="ACP115" s="1056"/>
      <c r="ACQ115" s="1056"/>
      <c r="ACR115" s="1056"/>
      <c r="ACS115" s="1056"/>
      <c r="ACT115" s="1056"/>
      <c r="ACU115" s="1056"/>
      <c r="ACV115" s="1056"/>
      <c r="ACW115" s="1056"/>
      <c r="ACX115" s="1056"/>
      <c r="ACY115" s="1056"/>
      <c r="ACZ115" s="1056"/>
      <c r="ADA115" s="1056"/>
      <c r="ADB115" s="1056"/>
      <c r="ADC115" s="1056"/>
      <c r="ADD115" s="1056"/>
      <c r="ADE115" s="1056"/>
      <c r="ADF115" s="1056"/>
      <c r="ADG115" s="1056"/>
      <c r="ADH115" s="1056"/>
      <c r="ADI115" s="1056"/>
      <c r="ADJ115" s="1056"/>
      <c r="ADK115" s="1056"/>
      <c r="ADL115" s="1056"/>
      <c r="ADM115" s="1056"/>
      <c r="ADN115" s="1056"/>
      <c r="ADO115" s="1056"/>
      <c r="ADP115" s="1056"/>
      <c r="ADQ115" s="1056"/>
      <c r="ADR115" s="1056"/>
      <c r="ADS115" s="1056"/>
      <c r="ADT115" s="1056"/>
      <c r="ADU115" s="1056"/>
      <c r="ADV115" s="1056"/>
      <c r="ADW115" s="1056"/>
      <c r="ADX115" s="1056"/>
      <c r="ADY115" s="1056"/>
      <c r="ADZ115" s="1056"/>
      <c r="AEA115" s="1056"/>
      <c r="AEB115" s="1056"/>
      <c r="AEC115" s="1056"/>
      <c r="AED115" s="1056"/>
      <c r="AEE115" s="1056"/>
      <c r="AEF115" s="1056"/>
      <c r="AEG115" s="1056"/>
      <c r="AEH115" s="1056"/>
      <c r="AEI115" s="1056"/>
      <c r="AEJ115" s="1056"/>
      <c r="AEK115" s="1056"/>
      <c r="AEL115" s="1056"/>
      <c r="AEM115" s="1056"/>
      <c r="AEN115" s="1056"/>
      <c r="AEO115" s="1056"/>
      <c r="AEP115" s="1056"/>
      <c r="AEQ115" s="1056"/>
      <c r="AER115" s="1056"/>
      <c r="AES115" s="1056"/>
      <c r="AET115" s="1056"/>
      <c r="AEU115" s="1056"/>
      <c r="AEV115" s="1056"/>
      <c r="AEW115" s="1056"/>
      <c r="AEX115" s="1056"/>
      <c r="AEY115" s="1056"/>
      <c r="AEZ115" s="1056"/>
      <c r="AFA115" s="1056"/>
      <c r="AFB115" s="1056"/>
      <c r="AFC115" s="1056"/>
      <c r="AFD115" s="1056"/>
      <c r="AFE115" s="1056"/>
      <c r="AFF115" s="1056"/>
      <c r="AFG115" s="1056"/>
      <c r="AFH115" s="1056"/>
      <c r="AFI115" s="1056"/>
      <c r="AFJ115" s="1056"/>
      <c r="AFK115" s="1056"/>
      <c r="AFL115" s="1056"/>
      <c r="AFM115" s="1056"/>
      <c r="AFN115" s="1056"/>
      <c r="AFO115" s="1056"/>
      <c r="AFP115" s="1056"/>
      <c r="AFQ115" s="1056"/>
      <c r="AFR115" s="1056"/>
      <c r="AFS115" s="1056"/>
      <c r="AFT115" s="1056"/>
      <c r="AFU115" s="1056"/>
      <c r="AFV115" s="1056"/>
      <c r="AFW115" s="1056"/>
      <c r="AFX115" s="1056"/>
      <c r="AFY115" s="1056"/>
      <c r="AFZ115" s="1056"/>
      <c r="AGA115" s="1056"/>
      <c r="AGB115" s="1056"/>
      <c r="AGC115" s="1056"/>
      <c r="AGD115" s="1056"/>
      <c r="AGE115" s="1056"/>
      <c r="AGF115" s="1056"/>
      <c r="AGG115" s="1056"/>
      <c r="AGH115" s="1056"/>
      <c r="AGI115" s="1056"/>
      <c r="AGJ115" s="1056"/>
      <c r="AGK115" s="1056"/>
      <c r="AGL115" s="1056"/>
      <c r="AGM115" s="1056"/>
      <c r="AGN115" s="1056"/>
      <c r="AGO115" s="1056"/>
      <c r="AGP115" s="1056"/>
      <c r="AGQ115" s="1056"/>
      <c r="AGR115" s="1056"/>
      <c r="AGS115" s="1056"/>
      <c r="AGT115" s="1056"/>
      <c r="AGU115" s="1056"/>
      <c r="AGV115" s="1056"/>
      <c r="AGW115" s="1056"/>
      <c r="AGX115" s="1056"/>
      <c r="AGY115" s="1056"/>
      <c r="AGZ115" s="1056"/>
      <c r="AHA115" s="1056"/>
      <c r="AHB115" s="1056"/>
      <c r="AHC115" s="1056"/>
      <c r="AHD115" s="1056"/>
      <c r="AHE115" s="1056"/>
      <c r="AHF115" s="1056"/>
      <c r="AHG115" s="1056"/>
      <c r="AHH115" s="1056"/>
      <c r="AHI115" s="1056"/>
      <c r="AHJ115" s="1056"/>
      <c r="AHK115" s="1056"/>
      <c r="AHL115" s="1056"/>
      <c r="AHM115" s="1056"/>
      <c r="AHN115" s="1056"/>
      <c r="AHO115" s="1056"/>
      <c r="AHP115" s="1056"/>
      <c r="AHQ115" s="1056"/>
      <c r="AHR115" s="1056"/>
      <c r="AHS115" s="1056"/>
      <c r="AHT115" s="1056"/>
      <c r="AHU115" s="1056"/>
      <c r="AHV115" s="1056"/>
      <c r="AHW115" s="1056"/>
      <c r="AHX115" s="1056"/>
      <c r="AHY115" s="1056"/>
      <c r="AHZ115" s="1056"/>
      <c r="AIA115" s="1056"/>
      <c r="AIB115" s="1056"/>
      <c r="AIC115" s="1056"/>
      <c r="AID115" s="1056"/>
      <c r="AIE115" s="1056"/>
      <c r="AIF115" s="1056"/>
      <c r="AIG115" s="1056"/>
      <c r="AIH115" s="1056"/>
      <c r="AII115" s="1056"/>
      <c r="AIJ115" s="1056"/>
      <c r="AIK115" s="1056"/>
      <c r="AIL115" s="1056"/>
      <c r="AIM115" s="1056"/>
      <c r="AIN115" s="1056"/>
      <c r="AIO115" s="1056"/>
      <c r="AIP115" s="1056"/>
      <c r="AIQ115" s="1056"/>
      <c r="AIR115" s="1056"/>
      <c r="AIS115" s="1056"/>
      <c r="AIT115" s="1056"/>
      <c r="AIU115" s="1056"/>
      <c r="AIV115" s="1056"/>
      <c r="AIW115" s="1056"/>
      <c r="AIX115" s="1056"/>
      <c r="AIY115" s="1056"/>
      <c r="AIZ115" s="1056"/>
      <c r="AJA115" s="1056"/>
      <c r="AJB115" s="1056"/>
      <c r="AJC115" s="1056"/>
      <c r="AJD115" s="1056"/>
      <c r="AJE115" s="1056"/>
      <c r="AJF115" s="1056"/>
      <c r="AJG115" s="1056"/>
      <c r="AJH115" s="1056"/>
      <c r="AJI115" s="1056"/>
      <c r="AJJ115" s="1056"/>
      <c r="AJK115" s="1056"/>
      <c r="AJL115" s="1056"/>
      <c r="AJM115" s="1056"/>
      <c r="AJN115" s="1056"/>
      <c r="AJO115" s="1056"/>
      <c r="AJP115" s="1056"/>
      <c r="AJQ115" s="1056"/>
      <c r="AJR115" s="1056"/>
      <c r="AJS115" s="1056"/>
      <c r="AJT115" s="1056"/>
      <c r="AJU115" s="1056"/>
      <c r="AJV115" s="1056"/>
      <c r="AJW115" s="1056"/>
      <c r="AJX115" s="1056"/>
      <c r="AJY115" s="1056"/>
      <c r="AJZ115" s="1056"/>
      <c r="AKA115" s="1056"/>
      <c r="AKB115" s="1056"/>
      <c r="AKC115" s="1056"/>
      <c r="AKD115" s="1056"/>
      <c r="AKE115" s="1056"/>
      <c r="AKF115" s="1056"/>
      <c r="AKG115" s="1056"/>
      <c r="AKH115" s="1056"/>
      <c r="AKI115" s="1056"/>
      <c r="AKJ115" s="1056"/>
      <c r="AKK115" s="1056"/>
      <c r="AKL115" s="1056"/>
      <c r="AKM115" s="1056"/>
      <c r="AKN115" s="1056"/>
      <c r="AKO115" s="1056"/>
      <c r="AKP115" s="1056"/>
      <c r="AKQ115" s="1056"/>
      <c r="AKR115" s="1056"/>
      <c r="AKS115" s="1056"/>
      <c r="AKT115" s="1056"/>
      <c r="AKU115" s="1056"/>
      <c r="AKV115" s="1056"/>
      <c r="AKW115" s="1056"/>
      <c r="AKX115" s="1056"/>
      <c r="AKY115" s="1056"/>
      <c r="AKZ115" s="1056"/>
      <c r="ALA115" s="1056"/>
      <c r="ALB115" s="1056"/>
      <c r="ALC115" s="1056"/>
      <c r="ALD115" s="1056"/>
      <c r="ALE115" s="1056"/>
      <c r="ALF115" s="1056"/>
      <c r="ALG115" s="1056"/>
      <c r="ALH115" s="1056"/>
      <c r="ALI115" s="1056"/>
      <c r="ALJ115" s="1056"/>
      <c r="ALK115" s="1056"/>
      <c r="ALL115" s="1056"/>
      <c r="ALM115" s="1056"/>
      <c r="ALN115" s="1056"/>
      <c r="ALO115" s="1056"/>
      <c r="ALP115" s="1056"/>
      <c r="ALQ115" s="1056"/>
      <c r="ALR115" s="1056"/>
      <c r="ALS115" s="1056"/>
      <c r="ALT115" s="1056"/>
      <c r="ALU115" s="1056"/>
      <c r="ALV115" s="1056"/>
      <c r="ALW115" s="1056"/>
      <c r="ALX115" s="1056"/>
      <c r="ALY115" s="1056"/>
      <c r="ALZ115" s="1056"/>
      <c r="AMA115" s="1056"/>
      <c r="AMB115" s="1056"/>
      <c r="AMC115" s="1056"/>
      <c r="AMD115" s="1056"/>
      <c r="AME115" s="1056"/>
      <c r="AMF115" s="1056"/>
      <c r="AMG115" s="1056"/>
      <c r="AMH115" s="1056"/>
      <c r="AMI115" s="1056"/>
      <c r="AMJ115" s="1056"/>
      <c r="AMK115" s="1056"/>
      <c r="AML115" s="1056"/>
      <c r="AMM115" s="1056"/>
      <c r="AMN115" s="1056"/>
      <c r="AMO115" s="1056"/>
      <c r="AMP115" s="1056"/>
      <c r="AMQ115" s="1056"/>
      <c r="AMR115" s="1056"/>
      <c r="AMS115" s="1056"/>
      <c r="AMT115" s="1056"/>
      <c r="AMU115" s="1056"/>
      <c r="AMV115" s="1056"/>
      <c r="AMW115" s="1056"/>
      <c r="AMX115" s="1056"/>
      <c r="AMY115" s="1056"/>
      <c r="AMZ115" s="1056"/>
      <c r="ANA115" s="1056"/>
      <c r="ANB115" s="1056"/>
      <c r="ANC115" s="1056"/>
      <c r="AND115" s="1056"/>
      <c r="ANE115" s="1056"/>
      <c r="ANF115" s="1056"/>
      <c r="ANG115" s="1056"/>
      <c r="ANH115" s="1056"/>
      <c r="ANI115" s="1056"/>
      <c r="ANJ115" s="1056"/>
      <c r="ANK115" s="1056"/>
      <c r="ANL115" s="1056"/>
      <c r="ANM115" s="1056"/>
      <c r="ANN115" s="1056"/>
      <c r="ANO115" s="1056"/>
      <c r="ANP115" s="1056"/>
      <c r="ANQ115" s="1056"/>
      <c r="ANR115" s="1056"/>
      <c r="ANS115" s="1056"/>
      <c r="ANT115" s="1056"/>
      <c r="ANU115" s="1056"/>
      <c r="ANV115" s="1056"/>
      <c r="ANW115" s="1056"/>
      <c r="ANX115" s="1056"/>
      <c r="ANY115" s="1056"/>
      <c r="ANZ115" s="1056"/>
      <c r="AOA115" s="1056"/>
      <c r="AOB115" s="1056"/>
      <c r="AOC115" s="1056"/>
      <c r="AOD115" s="1056"/>
      <c r="AOE115" s="1056"/>
      <c r="AOF115" s="1056"/>
      <c r="AOG115" s="1056"/>
      <c r="AOH115" s="1056"/>
      <c r="AOI115" s="1056"/>
      <c r="AOJ115" s="1056"/>
      <c r="AOK115" s="1056"/>
      <c r="AOL115" s="1056"/>
      <c r="AOM115" s="1056"/>
      <c r="AON115" s="1056"/>
      <c r="AOO115" s="1056"/>
      <c r="AOP115" s="1056"/>
      <c r="AOQ115" s="1056"/>
      <c r="AOR115" s="1056"/>
      <c r="AOS115" s="1056"/>
      <c r="AOT115" s="1056"/>
      <c r="AOU115" s="1056"/>
      <c r="AOV115" s="1056"/>
      <c r="AOW115" s="1056"/>
      <c r="AOX115" s="1056"/>
      <c r="AOY115" s="1056"/>
      <c r="AOZ115" s="1056"/>
      <c r="APA115" s="1056"/>
      <c r="APB115" s="1056"/>
      <c r="APC115" s="1056"/>
      <c r="APD115" s="1056"/>
      <c r="APE115" s="1056"/>
      <c r="APF115" s="1056"/>
      <c r="APG115" s="1056"/>
      <c r="APH115" s="1056"/>
      <c r="API115" s="1056"/>
      <c r="APJ115" s="1056"/>
      <c r="APK115" s="1056"/>
      <c r="APL115" s="1056"/>
      <c r="APM115" s="1056"/>
      <c r="APN115" s="1056"/>
      <c r="APO115" s="1056"/>
      <c r="APP115" s="1056"/>
      <c r="APQ115" s="1056"/>
      <c r="APR115" s="1056"/>
      <c r="APS115" s="1056"/>
      <c r="APT115" s="1056"/>
      <c r="APU115" s="1056"/>
      <c r="APV115" s="1056"/>
      <c r="APW115" s="1056"/>
      <c r="APX115" s="1056"/>
      <c r="APY115" s="1056"/>
      <c r="APZ115" s="1056"/>
      <c r="AQA115" s="1056"/>
      <c r="AQB115" s="1056"/>
      <c r="AQC115" s="1056"/>
      <c r="AQD115" s="1056"/>
      <c r="AQE115" s="1056"/>
      <c r="AQF115" s="1056"/>
      <c r="AQG115" s="1056"/>
      <c r="AQH115" s="1056"/>
      <c r="AQI115" s="1056"/>
      <c r="AQJ115" s="1056"/>
      <c r="AQK115" s="1056"/>
      <c r="AQL115" s="1056"/>
      <c r="AQM115" s="1056"/>
      <c r="AQN115" s="1056"/>
      <c r="AQO115" s="1056"/>
      <c r="AQP115" s="1056"/>
      <c r="AQQ115" s="1056"/>
      <c r="AQR115" s="1056"/>
      <c r="AQS115" s="1056"/>
      <c r="AQT115" s="1056"/>
      <c r="AQU115" s="1056"/>
      <c r="AQV115" s="1056"/>
      <c r="AQW115" s="1056"/>
      <c r="AQX115" s="1056"/>
      <c r="AQY115" s="1056"/>
      <c r="AQZ115" s="1056"/>
      <c r="ARA115" s="1056"/>
      <c r="ARB115" s="1056"/>
      <c r="ARC115" s="1056"/>
      <c r="ARD115" s="1056"/>
      <c r="ARE115" s="1056"/>
      <c r="ARF115" s="1056"/>
      <c r="ARG115" s="1056"/>
      <c r="ARH115" s="1056"/>
      <c r="ARI115" s="1056"/>
      <c r="ARJ115" s="1056"/>
      <c r="ARK115" s="1056"/>
      <c r="ARL115" s="1056"/>
      <c r="ARM115" s="1056"/>
      <c r="ARN115" s="1056"/>
      <c r="ARO115" s="1056"/>
      <c r="ARP115" s="1056"/>
      <c r="ARQ115" s="1056"/>
      <c r="ARR115" s="1056"/>
      <c r="ARS115" s="1056"/>
      <c r="ART115" s="1056"/>
      <c r="ARU115" s="1056"/>
      <c r="ARV115" s="1056"/>
      <c r="ARW115" s="1056"/>
      <c r="ARX115" s="1056"/>
      <c r="ARY115" s="1056"/>
      <c r="ARZ115" s="1056"/>
      <c r="ASA115" s="1056"/>
      <c r="ASB115" s="1056"/>
      <c r="ASC115" s="1056"/>
      <c r="ASD115" s="1056"/>
      <c r="ASE115" s="1056"/>
      <c r="ASF115" s="1056"/>
      <c r="ASG115" s="1056"/>
      <c r="ASH115" s="1056"/>
      <c r="ASI115" s="1056"/>
      <c r="ASJ115" s="1056"/>
      <c r="ASK115" s="1056"/>
      <c r="ASL115" s="1056"/>
      <c r="ASM115" s="1056"/>
      <c r="ASN115" s="1056"/>
      <c r="ASO115" s="1056"/>
      <c r="ASP115" s="1056"/>
      <c r="ASQ115" s="1056"/>
      <c r="ASR115" s="1056"/>
      <c r="ASS115" s="1056"/>
      <c r="AST115" s="1056"/>
      <c r="ASU115" s="1056"/>
      <c r="ASV115" s="1056"/>
      <c r="ASW115" s="1056"/>
      <c r="ASX115" s="1056"/>
      <c r="ASY115" s="1056"/>
      <c r="ASZ115" s="1056"/>
      <c r="ATA115" s="1056"/>
      <c r="ATB115" s="1056"/>
      <c r="ATC115" s="1056"/>
      <c r="ATD115" s="1056"/>
      <c r="ATE115" s="1056"/>
      <c r="ATF115" s="1056"/>
      <c r="ATG115" s="1056"/>
      <c r="ATH115" s="1056"/>
      <c r="ATI115" s="1056"/>
      <c r="ATJ115" s="1056"/>
      <c r="ATK115" s="1056"/>
      <c r="ATL115" s="1056"/>
      <c r="ATM115" s="1056"/>
      <c r="ATN115" s="1056"/>
      <c r="ATO115" s="1056"/>
      <c r="ATP115" s="1056"/>
      <c r="ATQ115" s="1056"/>
      <c r="ATR115" s="1056"/>
      <c r="ATS115" s="1056"/>
      <c r="ATT115" s="1056"/>
      <c r="ATU115" s="1056"/>
      <c r="ATV115" s="1056"/>
      <c r="ATW115" s="1056"/>
      <c r="ATX115" s="1056"/>
      <c r="ATY115" s="1056"/>
      <c r="ATZ115" s="1056"/>
      <c r="AUA115" s="1056"/>
      <c r="AUB115" s="1056"/>
      <c r="AUC115" s="1056"/>
      <c r="AUD115" s="1056"/>
      <c r="AUE115" s="1056"/>
      <c r="AUF115" s="1056"/>
      <c r="AUG115" s="1056"/>
      <c r="AUH115" s="1056"/>
      <c r="AUI115" s="1056"/>
      <c r="AUJ115" s="1056"/>
      <c r="AUK115" s="1056"/>
      <c r="AUL115" s="1056"/>
      <c r="AUM115" s="1056"/>
      <c r="AUN115" s="1056"/>
      <c r="AUO115" s="1056"/>
      <c r="AUP115" s="1056"/>
      <c r="AUQ115" s="1056"/>
      <c r="AUR115" s="1056"/>
      <c r="AUS115" s="1056"/>
      <c r="AUT115" s="1056"/>
      <c r="AUU115" s="1056"/>
      <c r="AUV115" s="1056"/>
      <c r="AUW115" s="1056"/>
      <c r="AUX115" s="1056"/>
      <c r="AUY115" s="1056"/>
      <c r="AUZ115" s="1056"/>
      <c r="AVA115" s="1056"/>
      <c r="AVB115" s="1056"/>
      <c r="AVC115" s="1056"/>
      <c r="AVD115" s="1056"/>
      <c r="AVE115" s="1056"/>
      <c r="AVF115" s="1056"/>
      <c r="AVG115" s="1056"/>
      <c r="AVH115" s="1056"/>
      <c r="AVI115" s="1056"/>
      <c r="AVJ115" s="1056"/>
      <c r="AVK115" s="1056"/>
      <c r="AVL115" s="1056"/>
      <c r="AVM115" s="1056"/>
      <c r="AVN115" s="1056"/>
      <c r="AVO115" s="1056"/>
      <c r="AVP115" s="1056"/>
      <c r="AVQ115" s="1056"/>
      <c r="AVR115" s="1056"/>
      <c r="AVS115" s="1056"/>
      <c r="AVT115" s="1056"/>
      <c r="AVU115" s="1056"/>
      <c r="AVV115" s="1056"/>
      <c r="AVW115" s="1056"/>
      <c r="AVX115" s="1056"/>
      <c r="AVY115" s="1056"/>
      <c r="AVZ115" s="1056"/>
      <c r="AWA115" s="1056"/>
      <c r="AWB115" s="1056"/>
      <c r="AWC115" s="1056"/>
      <c r="AWD115" s="1056"/>
      <c r="AWE115" s="1056"/>
      <c r="AWF115" s="1056"/>
      <c r="AWG115" s="1056"/>
      <c r="AWH115" s="1056"/>
      <c r="AWI115" s="1056"/>
      <c r="AWJ115" s="1056"/>
      <c r="AWK115" s="1056"/>
      <c r="AWL115" s="1056"/>
      <c r="AWM115" s="1056"/>
      <c r="AWN115" s="1056"/>
      <c r="AWO115" s="1056"/>
      <c r="AWP115" s="1056"/>
      <c r="AWQ115" s="1056"/>
      <c r="AWR115" s="1056"/>
      <c r="AWS115" s="1056"/>
      <c r="AWT115" s="1056"/>
      <c r="AWU115" s="1056"/>
      <c r="AWV115" s="1056"/>
      <c r="AWW115" s="1056"/>
      <c r="AWX115" s="1056"/>
      <c r="AWY115" s="1056"/>
      <c r="AWZ115" s="1056"/>
      <c r="AXA115" s="1056"/>
      <c r="AXB115" s="1056"/>
      <c r="AXC115" s="1056"/>
      <c r="AXD115" s="1056"/>
      <c r="AXE115" s="1056"/>
      <c r="AXF115" s="1056"/>
      <c r="AXG115" s="1056"/>
      <c r="AXH115" s="1056"/>
      <c r="AXI115" s="1056"/>
      <c r="AXJ115" s="1056"/>
      <c r="AXK115" s="1056"/>
      <c r="AXL115" s="1056"/>
      <c r="AXM115" s="1056"/>
      <c r="AXN115" s="1056"/>
      <c r="AXO115" s="1056"/>
      <c r="AXP115" s="1056"/>
      <c r="AXQ115" s="1056"/>
      <c r="AXR115" s="1056"/>
      <c r="AXS115" s="1056"/>
      <c r="AXT115" s="1056"/>
      <c r="AXU115" s="1056"/>
      <c r="AXV115" s="1056"/>
      <c r="AXW115" s="1056"/>
      <c r="AXX115" s="1056"/>
      <c r="AXY115" s="1056"/>
      <c r="AXZ115" s="1056"/>
      <c r="AYA115" s="1056"/>
      <c r="AYB115" s="1056"/>
      <c r="AYC115" s="1056"/>
      <c r="AYD115" s="1056"/>
      <c r="AYE115" s="1056"/>
      <c r="AYF115" s="1056"/>
      <c r="AYG115" s="1056"/>
      <c r="AYH115" s="1056"/>
      <c r="AYI115" s="1056"/>
      <c r="AYJ115" s="1056"/>
      <c r="AYK115" s="1056"/>
      <c r="AYL115" s="1056"/>
      <c r="AYM115" s="1056"/>
      <c r="AYN115" s="1056"/>
      <c r="AYO115" s="1056"/>
      <c r="AYP115" s="1056"/>
      <c r="AYQ115" s="1056"/>
      <c r="AYR115" s="1056"/>
      <c r="AYS115" s="1056"/>
      <c r="AYT115" s="1056"/>
      <c r="AYU115" s="1056"/>
      <c r="AYV115" s="1056"/>
      <c r="AYW115" s="1056"/>
      <c r="AYX115" s="1056"/>
      <c r="AYY115" s="1056"/>
      <c r="AYZ115" s="1056"/>
      <c r="AZA115" s="1056"/>
      <c r="AZB115" s="1056"/>
      <c r="AZC115" s="1056"/>
      <c r="AZD115" s="1056"/>
      <c r="AZE115" s="1056"/>
      <c r="AZF115" s="1056"/>
      <c r="AZG115" s="1056"/>
      <c r="AZH115" s="1056"/>
      <c r="AZI115" s="1056"/>
      <c r="AZJ115" s="1056"/>
      <c r="AZK115" s="1056"/>
      <c r="AZL115" s="1056"/>
      <c r="AZM115" s="1056"/>
      <c r="AZN115" s="1056"/>
      <c r="AZO115" s="1056"/>
      <c r="AZP115" s="1056"/>
      <c r="AZQ115" s="1056"/>
      <c r="AZR115" s="1056"/>
      <c r="AZS115" s="1056"/>
      <c r="AZT115" s="1056"/>
      <c r="AZU115" s="1056"/>
      <c r="AZV115" s="1056"/>
      <c r="AZW115" s="1056"/>
      <c r="AZX115" s="1056"/>
      <c r="AZY115" s="1056"/>
      <c r="AZZ115" s="1056"/>
      <c r="BAA115" s="1056"/>
      <c r="BAB115" s="1056"/>
      <c r="BAC115" s="1056"/>
      <c r="BAD115" s="1056"/>
      <c r="BAE115" s="1056"/>
      <c r="BAF115" s="1056"/>
      <c r="BAG115" s="1056"/>
      <c r="BAH115" s="1056"/>
      <c r="BAI115" s="1056"/>
      <c r="BAJ115" s="1056"/>
      <c r="BAK115" s="1056"/>
      <c r="BAL115" s="1056"/>
      <c r="BAM115" s="1056"/>
      <c r="BAN115" s="1056"/>
      <c r="BAO115" s="1056"/>
      <c r="BAP115" s="1056"/>
      <c r="BAQ115" s="1056"/>
      <c r="BAR115" s="1056"/>
      <c r="BAS115" s="1056"/>
      <c r="BAT115" s="1056"/>
      <c r="BAU115" s="1056"/>
      <c r="BAV115" s="1056"/>
      <c r="BAW115" s="1056"/>
      <c r="BAX115" s="1056"/>
      <c r="BAY115" s="1056"/>
      <c r="BAZ115" s="1056"/>
      <c r="BBA115" s="1056"/>
      <c r="BBB115" s="1056"/>
      <c r="BBC115" s="1056"/>
      <c r="BBD115" s="1056"/>
      <c r="BBE115" s="1056"/>
      <c r="BBF115" s="1056"/>
      <c r="BBG115" s="1056"/>
      <c r="BBH115" s="1056"/>
      <c r="BBI115" s="1056"/>
      <c r="BBJ115" s="1056"/>
      <c r="BBK115" s="1056"/>
      <c r="BBL115" s="1056"/>
      <c r="BBM115" s="1056"/>
      <c r="BBN115" s="1056"/>
      <c r="BBO115" s="1056"/>
      <c r="BBP115" s="1056"/>
      <c r="BBQ115" s="1056"/>
      <c r="BBR115" s="1056"/>
      <c r="BBS115" s="1056"/>
      <c r="BBT115" s="1056"/>
      <c r="BBU115" s="1056"/>
      <c r="BBV115" s="1056"/>
      <c r="BBW115" s="1056"/>
      <c r="BBX115" s="1056"/>
      <c r="BBY115" s="1056"/>
      <c r="BBZ115" s="1056"/>
      <c r="BCA115" s="1056"/>
      <c r="BCB115" s="1056"/>
      <c r="BCC115" s="1056"/>
      <c r="BCD115" s="1056"/>
      <c r="BCE115" s="1056"/>
      <c r="BCF115" s="1056"/>
      <c r="BCG115" s="1056"/>
      <c r="BCH115" s="1056"/>
      <c r="BCI115" s="1056"/>
      <c r="BCJ115" s="1056"/>
      <c r="BCK115" s="1056"/>
      <c r="BCL115" s="1056"/>
      <c r="BCM115" s="1056"/>
      <c r="BCN115" s="1056"/>
      <c r="BCO115" s="1056"/>
      <c r="BCP115" s="1056"/>
      <c r="BCQ115" s="1056"/>
      <c r="BCR115" s="1056"/>
      <c r="BCS115" s="1056"/>
      <c r="BCT115" s="1056"/>
      <c r="BCU115" s="1056"/>
      <c r="BCV115" s="1056"/>
      <c r="BCW115" s="1056"/>
      <c r="BCX115" s="1056"/>
      <c r="BCY115" s="1056"/>
      <c r="BCZ115" s="1056"/>
      <c r="BDA115" s="1056"/>
      <c r="BDB115" s="1056"/>
      <c r="BDC115" s="1056"/>
      <c r="BDD115" s="1056"/>
      <c r="BDE115" s="1056"/>
      <c r="BDF115" s="1056"/>
      <c r="BDG115" s="1056"/>
      <c r="BDH115" s="1056"/>
      <c r="BDI115" s="1056"/>
      <c r="BDJ115" s="1056"/>
      <c r="BDK115" s="1056"/>
      <c r="BDL115" s="1056"/>
      <c r="BDM115" s="1056"/>
      <c r="BDN115" s="1056"/>
      <c r="BDO115" s="1056"/>
      <c r="BDP115" s="1056"/>
      <c r="BDQ115" s="1056"/>
      <c r="BDR115" s="1056"/>
      <c r="BDS115" s="1056"/>
      <c r="BDT115" s="1056"/>
      <c r="BDU115" s="1056"/>
      <c r="BDV115" s="1056"/>
      <c r="BDW115" s="1056"/>
      <c r="BDX115" s="1056"/>
      <c r="BDY115" s="1056"/>
      <c r="BDZ115" s="1056"/>
      <c r="BEA115" s="1056"/>
      <c r="BEB115" s="1056"/>
      <c r="BEC115" s="1056"/>
      <c r="BED115" s="1056"/>
      <c r="BEE115" s="1056"/>
      <c r="BEF115" s="1056"/>
      <c r="BEG115" s="1056"/>
      <c r="BEH115" s="1056"/>
      <c r="BEI115" s="1056"/>
      <c r="BEJ115" s="1056"/>
      <c r="BEK115" s="1056"/>
      <c r="BEL115" s="1056"/>
      <c r="BEM115" s="1056"/>
      <c r="BEN115" s="1056"/>
      <c r="BEO115" s="1056"/>
      <c r="BEP115" s="1056"/>
      <c r="BEQ115" s="1056"/>
      <c r="BER115" s="1056"/>
      <c r="BES115" s="1056"/>
      <c r="BET115" s="1056"/>
      <c r="BEU115" s="1056"/>
      <c r="BEV115" s="1056"/>
      <c r="BEW115" s="1056"/>
      <c r="BEX115" s="1056"/>
      <c r="BEY115" s="1056"/>
      <c r="BEZ115" s="1056"/>
      <c r="BFA115" s="1056"/>
      <c r="BFB115" s="1056"/>
      <c r="BFC115" s="1056"/>
      <c r="BFD115" s="1056"/>
      <c r="BFE115" s="1056"/>
      <c r="BFF115" s="1056"/>
      <c r="BFG115" s="1056"/>
      <c r="BFH115" s="1056"/>
      <c r="BFI115" s="1056"/>
      <c r="BFJ115" s="1056"/>
      <c r="BFK115" s="1056"/>
      <c r="BFL115" s="1056"/>
      <c r="BFM115" s="1056"/>
      <c r="BFN115" s="1056"/>
      <c r="BFO115" s="1056"/>
      <c r="BFP115" s="1056"/>
      <c r="BFQ115" s="1056"/>
      <c r="BFR115" s="1056"/>
      <c r="BFS115" s="1056"/>
      <c r="BFT115" s="1056"/>
      <c r="BFU115" s="1056"/>
      <c r="BFV115" s="1056"/>
      <c r="BFW115" s="1056"/>
      <c r="BFX115" s="1056"/>
      <c r="BFY115" s="1056"/>
      <c r="BFZ115" s="1056"/>
      <c r="BGA115" s="1056"/>
      <c r="BGB115" s="1056"/>
      <c r="BGC115" s="1056"/>
      <c r="BGD115" s="1056"/>
      <c r="BGE115" s="1056"/>
      <c r="BGF115" s="1056"/>
      <c r="BGG115" s="1056"/>
      <c r="BGH115" s="1056"/>
      <c r="BGI115" s="1056"/>
      <c r="BGJ115" s="1056"/>
      <c r="BGK115" s="1056"/>
      <c r="BGL115" s="1056"/>
      <c r="BGM115" s="1056"/>
      <c r="BGN115" s="1056"/>
      <c r="BGO115" s="1056"/>
      <c r="BGP115" s="1056"/>
      <c r="BGQ115" s="1056"/>
      <c r="BGR115" s="1056"/>
      <c r="BGS115" s="1056"/>
      <c r="BGT115" s="1056"/>
      <c r="BGU115" s="1056"/>
      <c r="BGV115" s="1056"/>
      <c r="BGW115" s="1056"/>
      <c r="BGX115" s="1056"/>
      <c r="BGY115" s="1056"/>
      <c r="BGZ115" s="1056"/>
      <c r="BHA115" s="1056"/>
      <c r="BHB115" s="1056"/>
      <c r="BHC115" s="1056"/>
      <c r="BHD115" s="1056"/>
      <c r="BHE115" s="1056"/>
      <c r="BHF115" s="1056"/>
      <c r="BHG115" s="1056"/>
      <c r="BHH115" s="1056"/>
      <c r="BHI115" s="1056"/>
      <c r="BHJ115" s="1056"/>
      <c r="BHK115" s="1056"/>
      <c r="BHL115" s="1056"/>
      <c r="BHM115" s="1056"/>
      <c r="BHN115" s="1056"/>
      <c r="BHO115" s="1056"/>
      <c r="BHP115" s="1056"/>
      <c r="BHQ115" s="1056"/>
      <c r="BHR115" s="1056"/>
      <c r="BHS115" s="1056"/>
      <c r="BHT115" s="1056"/>
      <c r="BHU115" s="1056"/>
      <c r="BHV115" s="1056"/>
      <c r="BHW115" s="1056"/>
      <c r="BHX115" s="1056"/>
      <c r="BHY115" s="1056"/>
      <c r="BHZ115" s="1056"/>
      <c r="BIA115" s="1056"/>
      <c r="BIB115" s="1056"/>
      <c r="BIC115" s="1056"/>
      <c r="BID115" s="1056"/>
      <c r="BIE115" s="1056"/>
      <c r="BIF115" s="1056"/>
      <c r="BIG115" s="1056"/>
      <c r="BIH115" s="1056"/>
      <c r="BII115" s="1056"/>
      <c r="BIJ115" s="1056"/>
      <c r="BIK115" s="1056"/>
      <c r="BIL115" s="1056"/>
      <c r="BIM115" s="1056"/>
      <c r="BIN115" s="1056"/>
      <c r="BIO115" s="1056"/>
      <c r="BIP115" s="1056"/>
      <c r="BIQ115" s="1056"/>
      <c r="BIR115" s="1056"/>
      <c r="BIS115" s="1056"/>
      <c r="BIT115" s="1056"/>
      <c r="BIU115" s="1056"/>
      <c r="BIV115" s="1056"/>
      <c r="BIW115" s="1056"/>
      <c r="BIX115" s="1056"/>
      <c r="BIY115" s="1056"/>
      <c r="BIZ115" s="1056"/>
      <c r="BJA115" s="1056"/>
      <c r="BJB115" s="1056"/>
      <c r="BJC115" s="1056"/>
      <c r="BJD115" s="1056"/>
      <c r="BJE115" s="1056"/>
      <c r="BJF115" s="1056"/>
      <c r="BJG115" s="1056"/>
      <c r="BJH115" s="1056"/>
      <c r="BJI115" s="1056"/>
      <c r="BJJ115" s="1056"/>
      <c r="BJK115" s="1056"/>
      <c r="BJL115" s="1056"/>
      <c r="BJM115" s="1056"/>
      <c r="BJN115" s="1056"/>
      <c r="BJO115" s="1056"/>
      <c r="BJP115" s="1056"/>
      <c r="BJQ115" s="1056"/>
      <c r="BJR115" s="1056"/>
      <c r="BJS115" s="1056"/>
      <c r="BJT115" s="1056"/>
      <c r="BJU115" s="1056"/>
      <c r="BJV115" s="1056"/>
      <c r="BJW115" s="1056"/>
      <c r="BJX115" s="1056"/>
      <c r="BJY115" s="1056"/>
      <c r="BJZ115" s="1056"/>
      <c r="BKA115" s="1056"/>
      <c r="BKB115" s="1056"/>
      <c r="BKC115" s="1056"/>
      <c r="BKD115" s="1056"/>
      <c r="BKE115" s="1056"/>
      <c r="BKF115" s="1056"/>
      <c r="BKG115" s="1056"/>
      <c r="BKH115" s="1056"/>
      <c r="BKI115" s="1056"/>
      <c r="BKJ115" s="1056"/>
      <c r="BKK115" s="1056"/>
      <c r="BKL115" s="1056"/>
      <c r="BKM115" s="1056"/>
      <c r="BKN115" s="1056"/>
      <c r="BKO115" s="1056"/>
      <c r="BKP115" s="1056"/>
      <c r="BKQ115" s="1056"/>
      <c r="BKR115" s="1056"/>
      <c r="BKS115" s="1056"/>
      <c r="BKT115" s="1056"/>
      <c r="BKU115" s="1056"/>
      <c r="BKV115" s="1056"/>
      <c r="BKW115" s="1056"/>
      <c r="BKX115" s="1056"/>
      <c r="BKY115" s="1056"/>
      <c r="BKZ115" s="1056"/>
      <c r="BLA115" s="1056"/>
      <c r="BLB115" s="1056"/>
      <c r="BLC115" s="1056"/>
      <c r="BLD115" s="1056"/>
      <c r="BLE115" s="1056"/>
      <c r="BLF115" s="1056"/>
      <c r="BLG115" s="1056"/>
      <c r="BLH115" s="1056"/>
      <c r="BLI115" s="1056"/>
      <c r="BLJ115" s="1056"/>
      <c r="BLK115" s="1056"/>
      <c r="BLL115" s="1056"/>
      <c r="BLM115" s="1056"/>
      <c r="BLN115" s="1056"/>
      <c r="BLO115" s="1056"/>
      <c r="BLP115" s="1056"/>
      <c r="BLQ115" s="1056"/>
      <c r="BLR115" s="1056"/>
      <c r="BLS115" s="1056"/>
      <c r="BLT115" s="1056"/>
      <c r="BLU115" s="1056"/>
      <c r="BLV115" s="1056"/>
      <c r="BLW115" s="1056"/>
      <c r="BLX115" s="1056"/>
      <c r="BLY115" s="1056"/>
      <c r="BLZ115" s="1056"/>
      <c r="BMA115" s="1056"/>
      <c r="BMB115" s="1056"/>
      <c r="BMC115" s="1056"/>
      <c r="BMD115" s="1056"/>
      <c r="BME115" s="1056"/>
      <c r="BMF115" s="1056"/>
      <c r="BMG115" s="1056"/>
      <c r="BMH115" s="1056"/>
      <c r="BMI115" s="1056"/>
      <c r="BMJ115" s="1056"/>
      <c r="BMK115" s="1056"/>
      <c r="BML115" s="1056"/>
      <c r="BMM115" s="1056"/>
      <c r="BMN115" s="1056"/>
      <c r="BMO115" s="1056"/>
      <c r="BMP115" s="1056"/>
      <c r="BMQ115" s="1056"/>
      <c r="BMR115" s="1056"/>
      <c r="BMS115" s="1056"/>
      <c r="BMT115" s="1056"/>
      <c r="BMU115" s="1056"/>
      <c r="BMV115" s="1056"/>
      <c r="BMW115" s="1056"/>
      <c r="BMX115" s="1056"/>
      <c r="BMY115" s="1056"/>
      <c r="BMZ115" s="1056"/>
      <c r="BNA115" s="1056"/>
      <c r="BNB115" s="1056"/>
      <c r="BNC115" s="1056"/>
      <c r="BND115" s="1056"/>
      <c r="BNE115" s="1056"/>
      <c r="BNF115" s="1056"/>
      <c r="BNG115" s="1056"/>
      <c r="BNH115" s="1056"/>
      <c r="BNI115" s="1056"/>
      <c r="BNJ115" s="1056"/>
      <c r="BNK115" s="1056"/>
      <c r="BNL115" s="1056"/>
      <c r="BNM115" s="1056"/>
      <c r="BNN115" s="1056"/>
      <c r="BNO115" s="1056"/>
      <c r="BNP115" s="1056"/>
      <c r="BNQ115" s="1056"/>
      <c r="BNR115" s="1056"/>
      <c r="BNS115" s="1056"/>
      <c r="BNT115" s="1056"/>
      <c r="BNU115" s="1056"/>
      <c r="BNV115" s="1056"/>
      <c r="BNW115" s="1056"/>
      <c r="BNX115" s="1056"/>
      <c r="BNY115" s="1056"/>
      <c r="BNZ115" s="1056"/>
      <c r="BOA115" s="1056"/>
      <c r="BOB115" s="1056"/>
      <c r="BOC115" s="1056"/>
      <c r="BOD115" s="1056"/>
      <c r="BOE115" s="1056"/>
      <c r="BOF115" s="1056"/>
      <c r="BOG115" s="1056"/>
      <c r="BOH115" s="1056"/>
      <c r="BOI115" s="1056"/>
      <c r="BOJ115" s="1056"/>
      <c r="BOK115" s="1056"/>
      <c r="BOL115" s="1056"/>
      <c r="BOM115" s="1056"/>
      <c r="BON115" s="1056"/>
      <c r="BOO115" s="1056"/>
      <c r="BOP115" s="1056"/>
      <c r="BOQ115" s="1056"/>
      <c r="BOR115" s="1056"/>
      <c r="BOS115" s="1056"/>
      <c r="BOT115" s="1056"/>
      <c r="BOU115" s="1056"/>
      <c r="BOV115" s="1056"/>
      <c r="BOW115" s="1056"/>
      <c r="BOX115" s="1056"/>
      <c r="BOY115" s="1056"/>
      <c r="BOZ115" s="1056"/>
      <c r="BPA115" s="1056"/>
      <c r="BPB115" s="1056"/>
      <c r="BPC115" s="1056"/>
      <c r="BPD115" s="1056"/>
      <c r="BPE115" s="1056"/>
      <c r="BPF115" s="1056"/>
      <c r="BPG115" s="1056"/>
      <c r="BPH115" s="1056"/>
      <c r="BPI115" s="1056"/>
      <c r="BPJ115" s="1056"/>
      <c r="BPK115" s="1056"/>
      <c r="BPL115" s="1056"/>
      <c r="BPM115" s="1056"/>
      <c r="BPN115" s="1056"/>
      <c r="BPO115" s="1056"/>
      <c r="BPP115" s="1056"/>
      <c r="BPQ115" s="1056"/>
      <c r="BPR115" s="1056"/>
      <c r="BPS115" s="1056"/>
      <c r="BPT115" s="1056"/>
      <c r="BPU115" s="1056"/>
      <c r="BPV115" s="1056"/>
      <c r="BPW115" s="1056"/>
      <c r="BPX115" s="1056"/>
      <c r="BPY115" s="1056"/>
      <c r="BPZ115" s="1056"/>
      <c r="BQA115" s="1056"/>
      <c r="BQB115" s="1056"/>
      <c r="BQC115" s="1056"/>
      <c r="BQD115" s="1056"/>
      <c r="BQE115" s="1056"/>
      <c r="BQF115" s="1056"/>
      <c r="BQG115" s="1056"/>
      <c r="BQH115" s="1056"/>
      <c r="BQI115" s="1056"/>
      <c r="BQJ115" s="1056"/>
      <c r="BQK115" s="1056"/>
      <c r="BQL115" s="1056"/>
      <c r="BQM115" s="1056"/>
      <c r="BQN115" s="1056"/>
      <c r="BQO115" s="1056"/>
      <c r="BQP115" s="1056"/>
      <c r="BQQ115" s="1056"/>
      <c r="BQR115" s="1056"/>
      <c r="BQS115" s="1056"/>
      <c r="BQT115" s="1056"/>
      <c r="BQU115" s="1056"/>
      <c r="BQV115" s="1056"/>
      <c r="BQW115" s="1056"/>
      <c r="BQX115" s="1056"/>
      <c r="BQY115" s="1056"/>
      <c r="BQZ115" s="1056"/>
      <c r="BRA115" s="1056"/>
      <c r="BRB115" s="1056"/>
      <c r="BRC115" s="1056"/>
      <c r="BRD115" s="1056"/>
      <c r="BRE115" s="1056"/>
      <c r="BRF115" s="1056"/>
      <c r="BRG115" s="1056"/>
      <c r="BRH115" s="1056"/>
      <c r="BRI115" s="1056"/>
      <c r="BRJ115" s="1056"/>
      <c r="BRK115" s="1056"/>
      <c r="BRL115" s="1056"/>
      <c r="BRM115" s="1056"/>
      <c r="BRN115" s="1056"/>
      <c r="BRO115" s="1056"/>
      <c r="BRP115" s="1056"/>
      <c r="BRQ115" s="1056"/>
      <c r="BRR115" s="1056"/>
      <c r="BRS115" s="1056"/>
      <c r="BRT115" s="1056"/>
      <c r="BRU115" s="1056"/>
      <c r="BRV115" s="1056"/>
      <c r="BRW115" s="1056"/>
      <c r="BRX115" s="1056"/>
      <c r="BRY115" s="1056"/>
      <c r="BRZ115" s="1056"/>
      <c r="BSA115" s="1056"/>
      <c r="BSB115" s="1056"/>
      <c r="BSC115" s="1056"/>
      <c r="BSD115" s="1056"/>
      <c r="BSE115" s="1056"/>
      <c r="BSF115" s="1056"/>
      <c r="BSG115" s="1056"/>
      <c r="BSH115" s="1056"/>
      <c r="BSI115" s="1056"/>
      <c r="BSJ115" s="1056"/>
      <c r="BSK115" s="1056"/>
      <c r="BSL115" s="1056"/>
      <c r="BSM115" s="1056"/>
      <c r="BSN115" s="1056"/>
      <c r="BSO115" s="1056"/>
      <c r="BSP115" s="1056"/>
      <c r="BSQ115" s="1056"/>
      <c r="BSR115" s="1056"/>
      <c r="BSS115" s="1056"/>
      <c r="BST115" s="1056"/>
      <c r="BSU115" s="1056"/>
      <c r="BSV115" s="1056"/>
      <c r="BSW115" s="1056"/>
      <c r="BSX115" s="1056"/>
      <c r="BSY115" s="1056"/>
      <c r="BSZ115" s="1056"/>
      <c r="BTA115" s="1056"/>
      <c r="BTB115" s="1056"/>
      <c r="BTC115" s="1056"/>
      <c r="BTD115" s="1056"/>
      <c r="BTE115" s="1056"/>
      <c r="BTF115" s="1056"/>
      <c r="BTG115" s="1056"/>
      <c r="BTH115" s="1056"/>
      <c r="BTI115" s="1056"/>
    </row>
    <row r="116" spans="1:1881" s="1060" customFormat="1" ht="104.25" hidden="1" customHeight="1" thickBot="1" x14ac:dyDescent="0.35">
      <c r="A116" s="1071">
        <v>107</v>
      </c>
      <c r="B116" s="1069" t="s">
        <v>345</v>
      </c>
      <c r="C116" s="1072" t="s">
        <v>1034</v>
      </c>
      <c r="D116" s="1075" t="s">
        <v>1036</v>
      </c>
      <c r="E116" s="1053" t="e">
        <f>HLOOKUP($D$2,'2020 Data(H)'!$C$1:$AI$426,65,FALSE)</f>
        <v>#N/A</v>
      </c>
      <c r="F116" s="287">
        <v>0</v>
      </c>
      <c r="G116" s="722"/>
      <c r="H116" s="764"/>
      <c r="I116" s="1055"/>
      <c r="J116" s="1068"/>
      <c r="K116" s="1056"/>
      <c r="L116" s="1057"/>
      <c r="M116" s="1056"/>
      <c r="N116" s="1058"/>
      <c r="O116" s="1056"/>
      <c r="P116" s="1056"/>
      <c r="Q116" s="1056"/>
      <c r="R116" s="1056"/>
      <c r="S116" s="1056"/>
      <c r="T116" s="1056"/>
      <c r="U116" s="1056"/>
      <c r="V116" s="1056"/>
      <c r="W116" s="1056"/>
      <c r="X116" s="1056"/>
      <c r="Y116" s="1056"/>
      <c r="Z116" s="1073"/>
      <c r="AA116" s="1073"/>
      <c r="AB116" s="1073"/>
      <c r="AC116" s="1073"/>
      <c r="AD116" s="1073"/>
      <c r="AE116" s="1073"/>
      <c r="AF116" s="1073"/>
      <c r="AG116" s="1073"/>
      <c r="AH116" s="1073"/>
      <c r="AI116" s="1073"/>
      <c r="AJ116" s="1073"/>
      <c r="AK116" s="1073"/>
      <c r="AL116" s="1073"/>
      <c r="AM116" s="1073"/>
      <c r="AN116" s="1073"/>
      <c r="AO116" s="1073"/>
      <c r="AP116" s="1073"/>
      <c r="AQ116" s="1073"/>
      <c r="AR116" s="1073"/>
      <c r="AS116" s="1056"/>
      <c r="AT116" s="1056"/>
      <c r="AU116" s="1056"/>
      <c r="AV116" s="1056"/>
      <c r="AW116" s="1056"/>
      <c r="AX116" s="1056"/>
      <c r="AY116" s="1056"/>
      <c r="AZ116" s="1056"/>
      <c r="BA116" s="1056"/>
      <c r="BB116" s="1056"/>
      <c r="BC116" s="1056"/>
      <c r="BD116" s="1056"/>
      <c r="BE116" s="1056"/>
      <c r="BF116" s="1056"/>
      <c r="BG116" s="1056"/>
      <c r="BH116" s="1056"/>
      <c r="BI116" s="1056"/>
      <c r="BJ116" s="1056"/>
      <c r="BK116" s="1056"/>
      <c r="BL116" s="1056"/>
      <c r="BM116" s="1056"/>
      <c r="BN116" s="1056"/>
      <c r="BO116" s="1056"/>
      <c r="BP116" s="1056"/>
      <c r="BQ116" s="1056"/>
      <c r="BR116" s="1056"/>
      <c r="BS116" s="1056"/>
      <c r="BT116" s="1056"/>
      <c r="BU116" s="1056"/>
      <c r="BV116" s="1056"/>
      <c r="BW116" s="1056"/>
      <c r="BX116" s="1056"/>
      <c r="BY116" s="1056"/>
      <c r="BZ116" s="1056"/>
      <c r="CA116" s="1056"/>
      <c r="CB116" s="1056"/>
      <c r="CC116" s="1056"/>
      <c r="CD116" s="1056"/>
      <c r="CE116" s="1056"/>
      <c r="CF116" s="1056"/>
      <c r="CG116" s="1056"/>
      <c r="CH116" s="1056"/>
      <c r="CI116" s="1056"/>
      <c r="CJ116" s="1056"/>
      <c r="CK116" s="1056"/>
      <c r="CL116" s="1056"/>
      <c r="CM116" s="1056"/>
      <c r="CN116" s="1056"/>
      <c r="CO116" s="1056"/>
      <c r="CP116" s="1056"/>
      <c r="CQ116" s="1056"/>
      <c r="CR116" s="1056"/>
      <c r="CS116" s="1056"/>
      <c r="CT116" s="1056"/>
      <c r="CU116" s="1056"/>
      <c r="CV116" s="1056"/>
      <c r="CW116" s="1056"/>
      <c r="CX116" s="1056"/>
      <c r="CY116" s="1056"/>
      <c r="CZ116" s="1056"/>
      <c r="DA116" s="1056"/>
      <c r="DB116" s="1056"/>
      <c r="DC116" s="1056"/>
      <c r="DD116" s="1056"/>
      <c r="DE116" s="1056"/>
      <c r="DF116" s="1056"/>
      <c r="DG116" s="1056"/>
      <c r="DH116" s="1056"/>
      <c r="DI116" s="1056"/>
      <c r="DJ116" s="1056"/>
      <c r="DK116" s="1056"/>
      <c r="DL116" s="1056"/>
      <c r="DM116" s="1056"/>
      <c r="DN116" s="1056"/>
      <c r="DO116" s="1056"/>
      <c r="DP116" s="1056"/>
      <c r="DQ116" s="1056"/>
      <c r="DR116" s="1056"/>
      <c r="DS116" s="1056"/>
      <c r="DT116" s="1056"/>
      <c r="DU116" s="1056"/>
      <c r="DV116" s="1056"/>
      <c r="DW116" s="1056"/>
      <c r="DX116" s="1056"/>
      <c r="DY116" s="1056"/>
      <c r="DZ116" s="1056"/>
      <c r="EA116" s="1056"/>
      <c r="EB116" s="1056"/>
      <c r="EC116" s="1056"/>
      <c r="ED116" s="1056"/>
      <c r="EE116" s="1056"/>
      <c r="EF116" s="1056"/>
      <c r="EG116" s="1056"/>
      <c r="EH116" s="1056"/>
      <c r="EI116" s="1056"/>
      <c r="EJ116" s="1056"/>
      <c r="EK116" s="1056"/>
      <c r="EL116" s="1056"/>
      <c r="EM116" s="1056"/>
      <c r="EN116" s="1056"/>
      <c r="EO116" s="1056"/>
      <c r="EP116" s="1056"/>
      <c r="EQ116" s="1056"/>
      <c r="ER116" s="1056"/>
      <c r="ES116" s="1056"/>
      <c r="ET116" s="1056"/>
      <c r="EU116" s="1056"/>
      <c r="EV116" s="1056"/>
      <c r="EW116" s="1056"/>
      <c r="EX116" s="1056"/>
      <c r="EY116" s="1056"/>
      <c r="EZ116" s="1056"/>
      <c r="FA116" s="1056"/>
      <c r="FB116" s="1056"/>
      <c r="FC116" s="1056"/>
      <c r="FD116" s="1056"/>
      <c r="FE116" s="1056"/>
      <c r="FF116" s="1056"/>
      <c r="FG116" s="1056"/>
      <c r="FH116" s="1056"/>
      <c r="FI116" s="1056"/>
      <c r="FJ116" s="1056"/>
      <c r="FK116" s="1056"/>
      <c r="FL116" s="1056"/>
      <c r="FM116" s="1056"/>
      <c r="FN116" s="1056"/>
      <c r="FO116" s="1056"/>
      <c r="FP116" s="1056"/>
      <c r="FQ116" s="1056"/>
      <c r="FR116" s="1056"/>
      <c r="FS116" s="1056"/>
      <c r="FT116" s="1056"/>
      <c r="FU116" s="1056"/>
      <c r="FV116" s="1056"/>
      <c r="FW116" s="1056"/>
      <c r="FX116" s="1056"/>
      <c r="FY116" s="1056"/>
      <c r="FZ116" s="1056"/>
      <c r="GA116" s="1056"/>
      <c r="GB116" s="1056"/>
      <c r="GC116" s="1056"/>
      <c r="GD116" s="1056"/>
      <c r="GE116" s="1056"/>
      <c r="GF116" s="1056"/>
      <c r="GG116" s="1056"/>
      <c r="GH116" s="1056"/>
      <c r="GI116" s="1056"/>
      <c r="GJ116" s="1056"/>
      <c r="GK116" s="1056"/>
      <c r="GL116" s="1056"/>
      <c r="GM116" s="1056"/>
      <c r="GN116" s="1056"/>
      <c r="GO116" s="1056"/>
      <c r="GP116" s="1056"/>
      <c r="GQ116" s="1056"/>
      <c r="GR116" s="1056"/>
      <c r="GS116" s="1056"/>
      <c r="GT116" s="1056"/>
      <c r="GU116" s="1056"/>
      <c r="GV116" s="1056"/>
      <c r="GW116" s="1056"/>
      <c r="GX116" s="1056"/>
      <c r="GY116" s="1056"/>
      <c r="GZ116" s="1056"/>
      <c r="HA116" s="1056"/>
      <c r="HB116" s="1056"/>
      <c r="HC116" s="1056"/>
      <c r="HD116" s="1056"/>
      <c r="HE116" s="1056"/>
      <c r="HF116" s="1056"/>
      <c r="HG116" s="1056"/>
      <c r="HH116" s="1056"/>
      <c r="HI116" s="1056"/>
      <c r="HJ116" s="1056"/>
      <c r="HK116" s="1056"/>
      <c r="HL116" s="1056"/>
      <c r="HM116" s="1056"/>
      <c r="HN116" s="1056"/>
      <c r="HO116" s="1056"/>
      <c r="HP116" s="1056"/>
      <c r="HQ116" s="1056"/>
      <c r="HR116" s="1056"/>
      <c r="HS116" s="1056"/>
      <c r="HT116" s="1056"/>
      <c r="HU116" s="1056"/>
      <c r="HV116" s="1056"/>
      <c r="HW116" s="1056"/>
      <c r="HX116" s="1056"/>
      <c r="HY116" s="1056"/>
      <c r="HZ116" s="1056"/>
      <c r="IA116" s="1056"/>
      <c r="IB116" s="1056"/>
      <c r="IC116" s="1056"/>
      <c r="ID116" s="1056"/>
      <c r="IE116" s="1056"/>
      <c r="IF116" s="1056"/>
      <c r="IG116" s="1056"/>
      <c r="IH116" s="1056"/>
      <c r="II116" s="1056"/>
      <c r="IJ116" s="1056"/>
      <c r="IK116" s="1056"/>
      <c r="IL116" s="1056"/>
      <c r="IM116" s="1056"/>
      <c r="IN116" s="1056"/>
      <c r="IO116" s="1056"/>
      <c r="IP116" s="1056"/>
      <c r="IQ116" s="1056"/>
      <c r="IR116" s="1056"/>
      <c r="IS116" s="1056"/>
      <c r="IT116" s="1056"/>
      <c r="IU116" s="1056"/>
      <c r="IV116" s="1056"/>
      <c r="IW116" s="1056"/>
      <c r="IX116" s="1056"/>
      <c r="IY116" s="1056"/>
      <c r="IZ116" s="1056"/>
      <c r="JA116" s="1056"/>
      <c r="JB116" s="1056"/>
      <c r="JC116" s="1056"/>
      <c r="JD116" s="1056"/>
      <c r="JE116" s="1056"/>
      <c r="JF116" s="1056"/>
      <c r="JG116" s="1056"/>
      <c r="JH116" s="1056"/>
      <c r="JI116" s="1056"/>
      <c r="JJ116" s="1056"/>
      <c r="JK116" s="1056"/>
      <c r="JL116" s="1056"/>
      <c r="JM116" s="1056"/>
      <c r="JN116" s="1056"/>
      <c r="JO116" s="1056"/>
      <c r="JP116" s="1056"/>
      <c r="JQ116" s="1056"/>
      <c r="JR116" s="1056"/>
      <c r="JS116" s="1056"/>
      <c r="JT116" s="1056"/>
      <c r="JU116" s="1056"/>
      <c r="JV116" s="1056"/>
      <c r="JW116" s="1056"/>
      <c r="JX116" s="1056"/>
      <c r="JY116" s="1056"/>
      <c r="JZ116" s="1056"/>
      <c r="KA116" s="1056"/>
      <c r="KB116" s="1056"/>
      <c r="KC116" s="1056"/>
      <c r="KD116" s="1056"/>
      <c r="KE116" s="1056"/>
      <c r="KF116" s="1056"/>
      <c r="KG116" s="1056"/>
      <c r="KH116" s="1056"/>
      <c r="KI116" s="1056"/>
      <c r="KJ116" s="1056"/>
      <c r="KK116" s="1056"/>
      <c r="KL116" s="1056"/>
      <c r="KM116" s="1056"/>
      <c r="KN116" s="1056"/>
      <c r="KO116" s="1056"/>
      <c r="KP116" s="1056"/>
      <c r="KQ116" s="1056"/>
      <c r="KR116" s="1056"/>
      <c r="KS116" s="1056"/>
      <c r="KT116" s="1056"/>
      <c r="KU116" s="1056"/>
      <c r="KV116" s="1056"/>
      <c r="KW116" s="1056"/>
      <c r="KX116" s="1056"/>
      <c r="KY116" s="1056"/>
      <c r="KZ116" s="1056"/>
      <c r="LA116" s="1056"/>
      <c r="LB116" s="1056"/>
      <c r="LC116" s="1056"/>
      <c r="LD116" s="1056"/>
      <c r="LE116" s="1056"/>
      <c r="LF116" s="1056"/>
      <c r="LG116" s="1056"/>
      <c r="LH116" s="1056"/>
      <c r="LI116" s="1056"/>
      <c r="LJ116" s="1056"/>
      <c r="LK116" s="1056"/>
      <c r="LL116" s="1056"/>
      <c r="LM116" s="1056"/>
      <c r="LN116" s="1056"/>
      <c r="LO116" s="1056"/>
      <c r="LP116" s="1056"/>
      <c r="LQ116" s="1056"/>
      <c r="LR116" s="1056"/>
      <c r="LS116" s="1056"/>
      <c r="LT116" s="1056"/>
      <c r="LU116" s="1056"/>
      <c r="LV116" s="1056"/>
      <c r="LW116" s="1056"/>
      <c r="LX116" s="1056"/>
      <c r="LY116" s="1056"/>
      <c r="LZ116" s="1056"/>
      <c r="MA116" s="1056"/>
      <c r="MB116" s="1056"/>
      <c r="MC116" s="1056"/>
      <c r="MD116" s="1056"/>
      <c r="ME116" s="1056"/>
      <c r="MF116" s="1056"/>
      <c r="MG116" s="1056"/>
      <c r="MH116" s="1056"/>
      <c r="MI116" s="1056"/>
      <c r="MJ116" s="1056"/>
      <c r="MK116" s="1056"/>
      <c r="ML116" s="1056"/>
      <c r="MM116" s="1056"/>
      <c r="MN116" s="1056"/>
      <c r="MO116" s="1056"/>
      <c r="MP116" s="1056"/>
      <c r="MQ116" s="1056"/>
      <c r="MR116" s="1056"/>
      <c r="MS116" s="1056"/>
      <c r="MT116" s="1056"/>
      <c r="MU116" s="1056"/>
      <c r="MV116" s="1056"/>
      <c r="MW116" s="1056"/>
      <c r="MX116" s="1056"/>
      <c r="MY116" s="1056"/>
      <c r="MZ116" s="1056"/>
      <c r="NA116" s="1056"/>
      <c r="NB116" s="1056"/>
      <c r="NC116" s="1056"/>
      <c r="ND116" s="1056"/>
      <c r="NE116" s="1056"/>
      <c r="NF116" s="1056"/>
      <c r="NG116" s="1056"/>
      <c r="NH116" s="1056"/>
      <c r="NI116" s="1056"/>
      <c r="NJ116" s="1056"/>
      <c r="NK116" s="1056"/>
      <c r="NL116" s="1056"/>
      <c r="NM116" s="1056"/>
      <c r="NN116" s="1056"/>
      <c r="NO116" s="1056"/>
      <c r="NP116" s="1056"/>
      <c r="NQ116" s="1056"/>
      <c r="NR116" s="1056"/>
      <c r="NS116" s="1056"/>
      <c r="NT116" s="1056"/>
      <c r="NU116" s="1056"/>
      <c r="NV116" s="1056"/>
      <c r="NW116" s="1056"/>
      <c r="NX116" s="1056"/>
      <c r="NY116" s="1056"/>
      <c r="NZ116" s="1056"/>
      <c r="OA116" s="1056"/>
      <c r="OB116" s="1056"/>
      <c r="OC116" s="1056"/>
      <c r="OD116" s="1056"/>
      <c r="OE116" s="1056"/>
      <c r="OF116" s="1056"/>
      <c r="OG116" s="1056"/>
      <c r="OH116" s="1056"/>
      <c r="OI116" s="1056"/>
      <c r="OJ116" s="1056"/>
      <c r="OK116" s="1056"/>
      <c r="OL116" s="1056"/>
      <c r="OM116" s="1056"/>
      <c r="ON116" s="1056"/>
      <c r="OO116" s="1056"/>
      <c r="OP116" s="1056"/>
      <c r="OQ116" s="1056"/>
      <c r="OR116" s="1056"/>
      <c r="OS116" s="1056"/>
      <c r="OT116" s="1056"/>
      <c r="OU116" s="1056"/>
      <c r="OV116" s="1056"/>
      <c r="OW116" s="1056"/>
      <c r="OX116" s="1056"/>
      <c r="OY116" s="1056"/>
      <c r="OZ116" s="1056"/>
      <c r="PA116" s="1056"/>
      <c r="PB116" s="1056"/>
      <c r="PC116" s="1056"/>
      <c r="PD116" s="1056"/>
      <c r="PE116" s="1056"/>
      <c r="PF116" s="1056"/>
      <c r="PG116" s="1056"/>
      <c r="PH116" s="1056"/>
      <c r="PI116" s="1056"/>
      <c r="PJ116" s="1056"/>
      <c r="PK116" s="1056"/>
      <c r="PL116" s="1056"/>
      <c r="PM116" s="1056"/>
      <c r="PN116" s="1056"/>
      <c r="PO116" s="1056"/>
      <c r="PP116" s="1056"/>
      <c r="PQ116" s="1056"/>
      <c r="PR116" s="1056"/>
      <c r="PS116" s="1056"/>
      <c r="PT116" s="1056"/>
      <c r="PU116" s="1056"/>
      <c r="PV116" s="1056"/>
      <c r="PW116" s="1056"/>
      <c r="PX116" s="1056"/>
      <c r="PY116" s="1056"/>
      <c r="PZ116" s="1056"/>
      <c r="QA116" s="1056"/>
      <c r="QB116" s="1056"/>
      <c r="QC116" s="1056"/>
      <c r="QD116" s="1056"/>
      <c r="QE116" s="1056"/>
      <c r="QF116" s="1056"/>
      <c r="QG116" s="1056"/>
      <c r="QH116" s="1056"/>
      <c r="QI116" s="1056"/>
      <c r="QJ116" s="1056"/>
      <c r="QK116" s="1056"/>
      <c r="QL116" s="1056"/>
      <c r="QM116" s="1056"/>
      <c r="QN116" s="1056"/>
      <c r="QO116" s="1056"/>
      <c r="QP116" s="1056"/>
      <c r="QQ116" s="1056"/>
      <c r="QR116" s="1056"/>
      <c r="QS116" s="1056"/>
      <c r="QT116" s="1056"/>
      <c r="QU116" s="1056"/>
      <c r="QV116" s="1056"/>
      <c r="QW116" s="1056"/>
      <c r="QX116" s="1056"/>
      <c r="QY116" s="1056"/>
      <c r="QZ116" s="1056"/>
      <c r="RA116" s="1056"/>
      <c r="RB116" s="1056"/>
      <c r="RC116" s="1056"/>
      <c r="RD116" s="1056"/>
      <c r="RE116" s="1056"/>
      <c r="RF116" s="1056"/>
      <c r="RG116" s="1056"/>
      <c r="RH116" s="1056"/>
      <c r="RI116" s="1056"/>
      <c r="RJ116" s="1056"/>
      <c r="RK116" s="1056"/>
      <c r="RL116" s="1056"/>
      <c r="RM116" s="1056"/>
      <c r="RN116" s="1056"/>
      <c r="RO116" s="1056"/>
      <c r="RP116" s="1056"/>
      <c r="RQ116" s="1056"/>
      <c r="RR116" s="1056"/>
      <c r="RS116" s="1056"/>
      <c r="RT116" s="1056"/>
      <c r="RU116" s="1056"/>
      <c r="RV116" s="1056"/>
      <c r="RW116" s="1056"/>
      <c r="RX116" s="1056"/>
      <c r="RY116" s="1056"/>
      <c r="RZ116" s="1056"/>
      <c r="SA116" s="1056"/>
      <c r="SB116" s="1056"/>
      <c r="SC116" s="1056"/>
      <c r="SD116" s="1056"/>
      <c r="SE116" s="1056"/>
      <c r="SF116" s="1056"/>
      <c r="SG116" s="1056"/>
      <c r="SH116" s="1056"/>
      <c r="SI116" s="1056"/>
      <c r="SJ116" s="1056"/>
      <c r="SK116" s="1056"/>
      <c r="SL116" s="1056"/>
      <c r="SM116" s="1056"/>
      <c r="SN116" s="1056"/>
      <c r="SO116" s="1056"/>
      <c r="SP116" s="1056"/>
      <c r="SQ116" s="1056"/>
      <c r="SR116" s="1056"/>
      <c r="SS116" s="1056"/>
      <c r="ST116" s="1056"/>
      <c r="SU116" s="1056"/>
      <c r="SV116" s="1056"/>
      <c r="SW116" s="1056"/>
      <c r="SX116" s="1056"/>
      <c r="SY116" s="1056"/>
      <c r="SZ116" s="1056"/>
      <c r="TA116" s="1056"/>
      <c r="TB116" s="1056"/>
      <c r="TC116" s="1056"/>
      <c r="TD116" s="1056"/>
      <c r="TE116" s="1056"/>
      <c r="TF116" s="1056"/>
      <c r="TG116" s="1056"/>
      <c r="TH116" s="1056"/>
      <c r="TI116" s="1056"/>
      <c r="TJ116" s="1056"/>
      <c r="TK116" s="1056"/>
      <c r="TL116" s="1056"/>
      <c r="TM116" s="1056"/>
      <c r="TN116" s="1056"/>
      <c r="TO116" s="1056"/>
      <c r="TP116" s="1056"/>
      <c r="TQ116" s="1056"/>
      <c r="TR116" s="1056"/>
      <c r="TS116" s="1056"/>
      <c r="TT116" s="1056"/>
      <c r="TU116" s="1056"/>
      <c r="TV116" s="1056"/>
      <c r="TW116" s="1056"/>
      <c r="TX116" s="1056"/>
      <c r="TY116" s="1056"/>
      <c r="TZ116" s="1056"/>
      <c r="UA116" s="1056"/>
      <c r="UB116" s="1056"/>
      <c r="UC116" s="1056"/>
      <c r="UD116" s="1056"/>
      <c r="UE116" s="1056"/>
      <c r="UF116" s="1056"/>
      <c r="UG116" s="1056"/>
      <c r="UH116" s="1056"/>
      <c r="UI116" s="1056"/>
      <c r="UJ116" s="1056"/>
      <c r="UK116" s="1056"/>
      <c r="UL116" s="1056"/>
      <c r="UM116" s="1056"/>
      <c r="UN116" s="1056"/>
      <c r="UO116" s="1056"/>
      <c r="UP116" s="1056"/>
      <c r="UQ116" s="1056"/>
      <c r="UR116" s="1056"/>
      <c r="US116" s="1056"/>
      <c r="UT116" s="1056"/>
      <c r="UU116" s="1056"/>
      <c r="UV116" s="1056"/>
      <c r="UW116" s="1056"/>
      <c r="UX116" s="1056"/>
      <c r="UY116" s="1056"/>
      <c r="UZ116" s="1056"/>
      <c r="VA116" s="1056"/>
      <c r="VB116" s="1056"/>
      <c r="VC116" s="1056"/>
      <c r="VD116" s="1056"/>
      <c r="VE116" s="1056"/>
      <c r="VF116" s="1056"/>
      <c r="VG116" s="1056"/>
      <c r="VH116" s="1056"/>
      <c r="VI116" s="1056"/>
      <c r="VJ116" s="1056"/>
      <c r="VK116" s="1056"/>
      <c r="VL116" s="1056"/>
      <c r="VM116" s="1056"/>
      <c r="VN116" s="1056"/>
      <c r="VO116" s="1056"/>
      <c r="VP116" s="1056"/>
      <c r="VQ116" s="1056"/>
      <c r="VR116" s="1056"/>
      <c r="VS116" s="1056"/>
      <c r="VT116" s="1056"/>
      <c r="VU116" s="1056"/>
      <c r="VV116" s="1056"/>
      <c r="VW116" s="1056"/>
      <c r="VX116" s="1056"/>
      <c r="VY116" s="1056"/>
      <c r="VZ116" s="1056"/>
      <c r="WA116" s="1056"/>
      <c r="WB116" s="1056"/>
      <c r="WC116" s="1056"/>
      <c r="WD116" s="1056"/>
      <c r="WE116" s="1056"/>
      <c r="WF116" s="1056"/>
      <c r="WG116" s="1056"/>
      <c r="WH116" s="1056"/>
      <c r="WI116" s="1056"/>
      <c r="WJ116" s="1056"/>
      <c r="WK116" s="1056"/>
      <c r="WL116" s="1056"/>
      <c r="WM116" s="1056"/>
      <c r="WN116" s="1056"/>
      <c r="WO116" s="1056"/>
      <c r="WP116" s="1056"/>
      <c r="WQ116" s="1056"/>
      <c r="WR116" s="1056"/>
      <c r="WS116" s="1056"/>
      <c r="WT116" s="1056"/>
      <c r="WU116" s="1056"/>
      <c r="WV116" s="1056"/>
      <c r="WW116" s="1056"/>
      <c r="WX116" s="1056"/>
      <c r="WY116" s="1056"/>
      <c r="WZ116" s="1056"/>
      <c r="XA116" s="1056"/>
      <c r="XB116" s="1056"/>
      <c r="XC116" s="1056"/>
      <c r="XD116" s="1056"/>
      <c r="XE116" s="1056"/>
      <c r="XF116" s="1056"/>
      <c r="XG116" s="1056"/>
      <c r="XH116" s="1056"/>
      <c r="XI116" s="1056"/>
      <c r="XJ116" s="1056"/>
      <c r="XK116" s="1056"/>
      <c r="XL116" s="1056"/>
      <c r="XM116" s="1056"/>
      <c r="XN116" s="1056"/>
      <c r="XO116" s="1056"/>
      <c r="XP116" s="1056"/>
      <c r="XQ116" s="1056"/>
      <c r="XR116" s="1056"/>
      <c r="XS116" s="1056"/>
      <c r="XT116" s="1056"/>
      <c r="XU116" s="1056"/>
      <c r="XV116" s="1056"/>
      <c r="XW116" s="1056"/>
      <c r="XX116" s="1056"/>
      <c r="XY116" s="1056"/>
      <c r="XZ116" s="1056"/>
      <c r="YA116" s="1056"/>
      <c r="YB116" s="1056"/>
      <c r="YC116" s="1056"/>
      <c r="YD116" s="1056"/>
      <c r="YE116" s="1056"/>
      <c r="YF116" s="1056"/>
      <c r="YG116" s="1056"/>
      <c r="YH116" s="1056"/>
      <c r="YI116" s="1056"/>
      <c r="YJ116" s="1056"/>
      <c r="YK116" s="1056"/>
      <c r="YL116" s="1056"/>
      <c r="YM116" s="1056"/>
      <c r="YN116" s="1056"/>
      <c r="YO116" s="1056"/>
      <c r="YP116" s="1056"/>
      <c r="YQ116" s="1056"/>
      <c r="YR116" s="1056"/>
      <c r="YS116" s="1056"/>
      <c r="YT116" s="1056"/>
      <c r="YU116" s="1056"/>
      <c r="YV116" s="1056"/>
      <c r="YW116" s="1056"/>
      <c r="YX116" s="1056"/>
      <c r="YY116" s="1056"/>
      <c r="YZ116" s="1056"/>
      <c r="ZA116" s="1056"/>
      <c r="ZB116" s="1056"/>
      <c r="ZC116" s="1056"/>
      <c r="ZD116" s="1056"/>
      <c r="ZE116" s="1056"/>
      <c r="ZF116" s="1056"/>
      <c r="ZG116" s="1056"/>
      <c r="ZH116" s="1056"/>
      <c r="ZI116" s="1056"/>
      <c r="ZJ116" s="1056"/>
      <c r="ZK116" s="1056"/>
      <c r="ZL116" s="1056"/>
      <c r="ZM116" s="1056"/>
      <c r="ZN116" s="1056"/>
      <c r="ZO116" s="1056"/>
      <c r="ZP116" s="1056"/>
      <c r="ZQ116" s="1056"/>
      <c r="ZR116" s="1056"/>
      <c r="ZS116" s="1056"/>
      <c r="ZT116" s="1056"/>
      <c r="ZU116" s="1056"/>
      <c r="ZV116" s="1056"/>
      <c r="ZW116" s="1056"/>
      <c r="ZX116" s="1056"/>
      <c r="ZY116" s="1056"/>
      <c r="ZZ116" s="1056"/>
      <c r="AAA116" s="1056"/>
      <c r="AAB116" s="1056"/>
      <c r="AAC116" s="1056"/>
      <c r="AAD116" s="1056"/>
      <c r="AAE116" s="1056"/>
      <c r="AAF116" s="1056"/>
      <c r="AAG116" s="1056"/>
      <c r="AAH116" s="1056"/>
      <c r="AAI116" s="1056"/>
      <c r="AAJ116" s="1056"/>
      <c r="AAK116" s="1056"/>
      <c r="AAL116" s="1056"/>
      <c r="AAM116" s="1056"/>
      <c r="AAN116" s="1056"/>
      <c r="AAO116" s="1056"/>
      <c r="AAP116" s="1056"/>
      <c r="AAQ116" s="1056"/>
      <c r="AAR116" s="1056"/>
      <c r="AAS116" s="1056"/>
      <c r="AAT116" s="1056"/>
      <c r="AAU116" s="1056"/>
      <c r="AAV116" s="1056"/>
      <c r="AAW116" s="1056"/>
      <c r="AAX116" s="1056"/>
      <c r="AAY116" s="1056"/>
      <c r="AAZ116" s="1056"/>
      <c r="ABA116" s="1056"/>
      <c r="ABB116" s="1056"/>
      <c r="ABC116" s="1056"/>
      <c r="ABD116" s="1056"/>
      <c r="ABE116" s="1056"/>
      <c r="ABF116" s="1056"/>
      <c r="ABG116" s="1056"/>
      <c r="ABH116" s="1056"/>
      <c r="ABI116" s="1056"/>
      <c r="ABJ116" s="1056"/>
      <c r="ABK116" s="1056"/>
      <c r="ABL116" s="1056"/>
      <c r="ABM116" s="1056"/>
      <c r="ABN116" s="1056"/>
      <c r="ABO116" s="1056"/>
      <c r="ABP116" s="1056"/>
      <c r="ABQ116" s="1056"/>
      <c r="ABR116" s="1056"/>
      <c r="ABS116" s="1056"/>
      <c r="ABT116" s="1056"/>
      <c r="ABU116" s="1056"/>
      <c r="ABV116" s="1056"/>
      <c r="ABW116" s="1056"/>
      <c r="ABX116" s="1056"/>
      <c r="ABY116" s="1056"/>
      <c r="ABZ116" s="1056"/>
      <c r="ACA116" s="1056"/>
      <c r="ACB116" s="1056"/>
      <c r="ACC116" s="1056"/>
      <c r="ACD116" s="1056"/>
      <c r="ACE116" s="1056"/>
      <c r="ACF116" s="1056"/>
      <c r="ACG116" s="1056"/>
      <c r="ACH116" s="1056"/>
      <c r="ACI116" s="1056"/>
      <c r="ACJ116" s="1056"/>
      <c r="ACK116" s="1056"/>
      <c r="ACL116" s="1056"/>
      <c r="ACM116" s="1056"/>
      <c r="ACN116" s="1056"/>
      <c r="ACO116" s="1056"/>
      <c r="ACP116" s="1056"/>
      <c r="ACQ116" s="1056"/>
      <c r="ACR116" s="1056"/>
      <c r="ACS116" s="1056"/>
      <c r="ACT116" s="1056"/>
      <c r="ACU116" s="1056"/>
      <c r="ACV116" s="1056"/>
      <c r="ACW116" s="1056"/>
      <c r="ACX116" s="1056"/>
      <c r="ACY116" s="1056"/>
      <c r="ACZ116" s="1056"/>
      <c r="ADA116" s="1056"/>
      <c r="ADB116" s="1056"/>
      <c r="ADC116" s="1056"/>
      <c r="ADD116" s="1056"/>
      <c r="ADE116" s="1056"/>
      <c r="ADF116" s="1056"/>
      <c r="ADG116" s="1056"/>
      <c r="ADH116" s="1056"/>
      <c r="ADI116" s="1056"/>
      <c r="ADJ116" s="1056"/>
      <c r="ADK116" s="1056"/>
      <c r="ADL116" s="1056"/>
      <c r="ADM116" s="1056"/>
      <c r="ADN116" s="1056"/>
      <c r="ADO116" s="1056"/>
      <c r="ADP116" s="1056"/>
      <c r="ADQ116" s="1056"/>
      <c r="ADR116" s="1056"/>
      <c r="ADS116" s="1056"/>
      <c r="ADT116" s="1056"/>
      <c r="ADU116" s="1056"/>
      <c r="ADV116" s="1056"/>
      <c r="ADW116" s="1056"/>
      <c r="ADX116" s="1056"/>
      <c r="ADY116" s="1056"/>
      <c r="ADZ116" s="1056"/>
      <c r="AEA116" s="1056"/>
      <c r="AEB116" s="1056"/>
      <c r="AEC116" s="1056"/>
      <c r="AED116" s="1056"/>
      <c r="AEE116" s="1056"/>
      <c r="AEF116" s="1056"/>
      <c r="AEG116" s="1056"/>
      <c r="AEH116" s="1056"/>
      <c r="AEI116" s="1056"/>
      <c r="AEJ116" s="1056"/>
      <c r="AEK116" s="1056"/>
      <c r="AEL116" s="1056"/>
      <c r="AEM116" s="1056"/>
      <c r="AEN116" s="1056"/>
      <c r="AEO116" s="1056"/>
      <c r="AEP116" s="1056"/>
      <c r="AEQ116" s="1056"/>
      <c r="AER116" s="1056"/>
      <c r="AES116" s="1056"/>
      <c r="AET116" s="1056"/>
      <c r="AEU116" s="1056"/>
      <c r="AEV116" s="1056"/>
      <c r="AEW116" s="1056"/>
      <c r="AEX116" s="1056"/>
      <c r="AEY116" s="1056"/>
      <c r="AEZ116" s="1056"/>
      <c r="AFA116" s="1056"/>
      <c r="AFB116" s="1056"/>
      <c r="AFC116" s="1056"/>
      <c r="AFD116" s="1056"/>
      <c r="AFE116" s="1056"/>
      <c r="AFF116" s="1056"/>
      <c r="AFG116" s="1056"/>
      <c r="AFH116" s="1056"/>
      <c r="AFI116" s="1056"/>
      <c r="AFJ116" s="1056"/>
      <c r="AFK116" s="1056"/>
      <c r="AFL116" s="1056"/>
      <c r="AFM116" s="1056"/>
      <c r="AFN116" s="1056"/>
      <c r="AFO116" s="1056"/>
      <c r="AFP116" s="1056"/>
      <c r="AFQ116" s="1056"/>
      <c r="AFR116" s="1056"/>
      <c r="AFS116" s="1056"/>
      <c r="AFT116" s="1056"/>
      <c r="AFU116" s="1056"/>
      <c r="AFV116" s="1056"/>
      <c r="AFW116" s="1056"/>
      <c r="AFX116" s="1056"/>
      <c r="AFY116" s="1056"/>
      <c r="AFZ116" s="1056"/>
      <c r="AGA116" s="1056"/>
      <c r="AGB116" s="1056"/>
      <c r="AGC116" s="1056"/>
      <c r="AGD116" s="1056"/>
      <c r="AGE116" s="1056"/>
      <c r="AGF116" s="1056"/>
      <c r="AGG116" s="1056"/>
      <c r="AGH116" s="1056"/>
      <c r="AGI116" s="1056"/>
      <c r="AGJ116" s="1056"/>
      <c r="AGK116" s="1056"/>
      <c r="AGL116" s="1056"/>
      <c r="AGM116" s="1056"/>
      <c r="AGN116" s="1056"/>
      <c r="AGO116" s="1056"/>
      <c r="AGP116" s="1056"/>
      <c r="AGQ116" s="1056"/>
      <c r="AGR116" s="1056"/>
      <c r="AGS116" s="1056"/>
      <c r="AGT116" s="1056"/>
      <c r="AGU116" s="1056"/>
      <c r="AGV116" s="1056"/>
      <c r="AGW116" s="1056"/>
      <c r="AGX116" s="1056"/>
      <c r="AGY116" s="1056"/>
      <c r="AGZ116" s="1056"/>
      <c r="AHA116" s="1056"/>
      <c r="AHB116" s="1056"/>
      <c r="AHC116" s="1056"/>
      <c r="AHD116" s="1056"/>
      <c r="AHE116" s="1056"/>
      <c r="AHF116" s="1056"/>
      <c r="AHG116" s="1056"/>
      <c r="AHH116" s="1056"/>
      <c r="AHI116" s="1056"/>
      <c r="AHJ116" s="1056"/>
      <c r="AHK116" s="1056"/>
      <c r="AHL116" s="1056"/>
      <c r="AHM116" s="1056"/>
      <c r="AHN116" s="1056"/>
      <c r="AHO116" s="1056"/>
      <c r="AHP116" s="1056"/>
      <c r="AHQ116" s="1056"/>
      <c r="AHR116" s="1056"/>
      <c r="AHS116" s="1056"/>
      <c r="AHT116" s="1056"/>
      <c r="AHU116" s="1056"/>
      <c r="AHV116" s="1056"/>
      <c r="AHW116" s="1056"/>
      <c r="AHX116" s="1056"/>
      <c r="AHY116" s="1056"/>
      <c r="AHZ116" s="1056"/>
      <c r="AIA116" s="1056"/>
      <c r="AIB116" s="1056"/>
      <c r="AIC116" s="1056"/>
      <c r="AID116" s="1056"/>
      <c r="AIE116" s="1056"/>
      <c r="AIF116" s="1056"/>
      <c r="AIG116" s="1056"/>
      <c r="AIH116" s="1056"/>
      <c r="AII116" s="1056"/>
      <c r="AIJ116" s="1056"/>
      <c r="AIK116" s="1056"/>
      <c r="AIL116" s="1056"/>
      <c r="AIM116" s="1056"/>
      <c r="AIN116" s="1056"/>
      <c r="AIO116" s="1056"/>
      <c r="AIP116" s="1056"/>
      <c r="AIQ116" s="1056"/>
      <c r="AIR116" s="1056"/>
      <c r="AIS116" s="1056"/>
      <c r="AIT116" s="1056"/>
      <c r="AIU116" s="1056"/>
      <c r="AIV116" s="1056"/>
      <c r="AIW116" s="1056"/>
      <c r="AIX116" s="1056"/>
      <c r="AIY116" s="1056"/>
      <c r="AIZ116" s="1056"/>
      <c r="AJA116" s="1056"/>
      <c r="AJB116" s="1056"/>
      <c r="AJC116" s="1056"/>
      <c r="AJD116" s="1056"/>
      <c r="AJE116" s="1056"/>
      <c r="AJF116" s="1056"/>
      <c r="AJG116" s="1056"/>
      <c r="AJH116" s="1056"/>
      <c r="AJI116" s="1056"/>
      <c r="AJJ116" s="1056"/>
      <c r="AJK116" s="1056"/>
      <c r="AJL116" s="1056"/>
      <c r="AJM116" s="1056"/>
      <c r="AJN116" s="1056"/>
      <c r="AJO116" s="1056"/>
      <c r="AJP116" s="1056"/>
      <c r="AJQ116" s="1056"/>
      <c r="AJR116" s="1056"/>
      <c r="AJS116" s="1056"/>
      <c r="AJT116" s="1056"/>
      <c r="AJU116" s="1056"/>
      <c r="AJV116" s="1056"/>
      <c r="AJW116" s="1056"/>
      <c r="AJX116" s="1056"/>
      <c r="AJY116" s="1056"/>
      <c r="AJZ116" s="1056"/>
      <c r="AKA116" s="1056"/>
      <c r="AKB116" s="1056"/>
      <c r="AKC116" s="1056"/>
      <c r="AKD116" s="1056"/>
      <c r="AKE116" s="1056"/>
      <c r="AKF116" s="1056"/>
      <c r="AKG116" s="1056"/>
      <c r="AKH116" s="1056"/>
      <c r="AKI116" s="1056"/>
      <c r="AKJ116" s="1056"/>
      <c r="AKK116" s="1056"/>
      <c r="AKL116" s="1056"/>
      <c r="AKM116" s="1056"/>
      <c r="AKN116" s="1056"/>
      <c r="AKO116" s="1056"/>
      <c r="AKP116" s="1056"/>
      <c r="AKQ116" s="1056"/>
      <c r="AKR116" s="1056"/>
      <c r="AKS116" s="1056"/>
      <c r="AKT116" s="1056"/>
      <c r="AKU116" s="1056"/>
      <c r="AKV116" s="1056"/>
      <c r="AKW116" s="1056"/>
      <c r="AKX116" s="1056"/>
      <c r="AKY116" s="1056"/>
      <c r="AKZ116" s="1056"/>
      <c r="ALA116" s="1056"/>
      <c r="ALB116" s="1056"/>
      <c r="ALC116" s="1056"/>
      <c r="ALD116" s="1056"/>
      <c r="ALE116" s="1056"/>
      <c r="ALF116" s="1056"/>
      <c r="ALG116" s="1056"/>
      <c r="ALH116" s="1056"/>
      <c r="ALI116" s="1056"/>
      <c r="ALJ116" s="1056"/>
      <c r="ALK116" s="1056"/>
      <c r="ALL116" s="1056"/>
      <c r="ALM116" s="1056"/>
      <c r="ALN116" s="1056"/>
      <c r="ALO116" s="1056"/>
      <c r="ALP116" s="1056"/>
      <c r="ALQ116" s="1056"/>
      <c r="ALR116" s="1056"/>
      <c r="ALS116" s="1056"/>
      <c r="ALT116" s="1056"/>
      <c r="ALU116" s="1056"/>
      <c r="ALV116" s="1056"/>
      <c r="ALW116" s="1056"/>
      <c r="ALX116" s="1056"/>
      <c r="ALY116" s="1056"/>
      <c r="ALZ116" s="1056"/>
      <c r="AMA116" s="1056"/>
      <c r="AMB116" s="1056"/>
      <c r="AMC116" s="1056"/>
      <c r="AMD116" s="1056"/>
      <c r="AME116" s="1056"/>
      <c r="AMF116" s="1056"/>
      <c r="AMG116" s="1056"/>
      <c r="AMH116" s="1056"/>
      <c r="AMI116" s="1056"/>
      <c r="AMJ116" s="1056"/>
      <c r="AMK116" s="1056"/>
      <c r="AML116" s="1056"/>
      <c r="AMM116" s="1056"/>
      <c r="AMN116" s="1056"/>
      <c r="AMO116" s="1056"/>
      <c r="AMP116" s="1056"/>
      <c r="AMQ116" s="1056"/>
      <c r="AMR116" s="1056"/>
      <c r="AMS116" s="1056"/>
      <c r="AMT116" s="1056"/>
      <c r="AMU116" s="1056"/>
      <c r="AMV116" s="1056"/>
      <c r="AMW116" s="1056"/>
      <c r="AMX116" s="1056"/>
      <c r="AMY116" s="1056"/>
      <c r="AMZ116" s="1056"/>
      <c r="ANA116" s="1056"/>
      <c r="ANB116" s="1056"/>
      <c r="ANC116" s="1056"/>
      <c r="AND116" s="1056"/>
      <c r="ANE116" s="1056"/>
      <c r="ANF116" s="1056"/>
      <c r="ANG116" s="1056"/>
      <c r="ANH116" s="1056"/>
      <c r="ANI116" s="1056"/>
      <c r="ANJ116" s="1056"/>
      <c r="ANK116" s="1056"/>
      <c r="ANL116" s="1056"/>
      <c r="ANM116" s="1056"/>
      <c r="ANN116" s="1056"/>
      <c r="ANO116" s="1056"/>
      <c r="ANP116" s="1056"/>
      <c r="ANQ116" s="1056"/>
      <c r="ANR116" s="1056"/>
      <c r="ANS116" s="1056"/>
      <c r="ANT116" s="1056"/>
      <c r="ANU116" s="1056"/>
      <c r="ANV116" s="1056"/>
      <c r="ANW116" s="1056"/>
      <c r="ANX116" s="1056"/>
      <c r="ANY116" s="1056"/>
      <c r="ANZ116" s="1056"/>
      <c r="AOA116" s="1056"/>
      <c r="AOB116" s="1056"/>
      <c r="AOC116" s="1056"/>
      <c r="AOD116" s="1056"/>
      <c r="AOE116" s="1056"/>
      <c r="AOF116" s="1056"/>
      <c r="AOG116" s="1056"/>
      <c r="AOH116" s="1056"/>
      <c r="AOI116" s="1056"/>
      <c r="AOJ116" s="1056"/>
      <c r="AOK116" s="1056"/>
      <c r="AOL116" s="1056"/>
      <c r="AOM116" s="1056"/>
      <c r="AON116" s="1056"/>
      <c r="AOO116" s="1056"/>
      <c r="AOP116" s="1056"/>
      <c r="AOQ116" s="1056"/>
      <c r="AOR116" s="1056"/>
      <c r="AOS116" s="1056"/>
      <c r="AOT116" s="1056"/>
      <c r="AOU116" s="1056"/>
      <c r="AOV116" s="1056"/>
      <c r="AOW116" s="1056"/>
      <c r="AOX116" s="1056"/>
      <c r="AOY116" s="1056"/>
      <c r="AOZ116" s="1056"/>
      <c r="APA116" s="1056"/>
      <c r="APB116" s="1056"/>
      <c r="APC116" s="1056"/>
      <c r="APD116" s="1056"/>
      <c r="APE116" s="1056"/>
      <c r="APF116" s="1056"/>
      <c r="APG116" s="1056"/>
      <c r="APH116" s="1056"/>
      <c r="API116" s="1056"/>
      <c r="APJ116" s="1056"/>
      <c r="APK116" s="1056"/>
      <c r="APL116" s="1056"/>
      <c r="APM116" s="1056"/>
      <c r="APN116" s="1056"/>
      <c r="APO116" s="1056"/>
      <c r="APP116" s="1056"/>
      <c r="APQ116" s="1056"/>
      <c r="APR116" s="1056"/>
      <c r="APS116" s="1056"/>
      <c r="APT116" s="1056"/>
      <c r="APU116" s="1056"/>
      <c r="APV116" s="1056"/>
      <c r="APW116" s="1056"/>
      <c r="APX116" s="1056"/>
      <c r="APY116" s="1056"/>
      <c r="APZ116" s="1056"/>
      <c r="AQA116" s="1056"/>
      <c r="AQB116" s="1056"/>
      <c r="AQC116" s="1056"/>
      <c r="AQD116" s="1056"/>
      <c r="AQE116" s="1056"/>
      <c r="AQF116" s="1056"/>
      <c r="AQG116" s="1056"/>
      <c r="AQH116" s="1056"/>
      <c r="AQI116" s="1056"/>
      <c r="AQJ116" s="1056"/>
      <c r="AQK116" s="1056"/>
      <c r="AQL116" s="1056"/>
      <c r="AQM116" s="1056"/>
      <c r="AQN116" s="1056"/>
      <c r="AQO116" s="1056"/>
      <c r="AQP116" s="1056"/>
      <c r="AQQ116" s="1056"/>
      <c r="AQR116" s="1056"/>
      <c r="AQS116" s="1056"/>
      <c r="AQT116" s="1056"/>
      <c r="AQU116" s="1056"/>
      <c r="AQV116" s="1056"/>
      <c r="AQW116" s="1056"/>
      <c r="AQX116" s="1056"/>
      <c r="AQY116" s="1056"/>
      <c r="AQZ116" s="1056"/>
      <c r="ARA116" s="1056"/>
      <c r="ARB116" s="1056"/>
      <c r="ARC116" s="1056"/>
      <c r="ARD116" s="1056"/>
      <c r="ARE116" s="1056"/>
      <c r="ARF116" s="1056"/>
      <c r="ARG116" s="1056"/>
      <c r="ARH116" s="1056"/>
      <c r="ARI116" s="1056"/>
      <c r="ARJ116" s="1056"/>
      <c r="ARK116" s="1056"/>
      <c r="ARL116" s="1056"/>
      <c r="ARM116" s="1056"/>
      <c r="ARN116" s="1056"/>
      <c r="ARO116" s="1056"/>
      <c r="ARP116" s="1056"/>
      <c r="ARQ116" s="1056"/>
      <c r="ARR116" s="1056"/>
      <c r="ARS116" s="1056"/>
      <c r="ART116" s="1056"/>
      <c r="ARU116" s="1056"/>
      <c r="ARV116" s="1056"/>
      <c r="ARW116" s="1056"/>
      <c r="ARX116" s="1056"/>
      <c r="ARY116" s="1056"/>
      <c r="ARZ116" s="1056"/>
      <c r="ASA116" s="1056"/>
      <c r="ASB116" s="1056"/>
      <c r="ASC116" s="1056"/>
      <c r="ASD116" s="1056"/>
      <c r="ASE116" s="1056"/>
      <c r="ASF116" s="1056"/>
      <c r="ASG116" s="1056"/>
      <c r="ASH116" s="1056"/>
      <c r="ASI116" s="1056"/>
      <c r="ASJ116" s="1056"/>
      <c r="ASK116" s="1056"/>
      <c r="ASL116" s="1056"/>
      <c r="ASM116" s="1056"/>
      <c r="ASN116" s="1056"/>
      <c r="ASO116" s="1056"/>
      <c r="ASP116" s="1056"/>
      <c r="ASQ116" s="1056"/>
      <c r="ASR116" s="1056"/>
      <c r="ASS116" s="1056"/>
      <c r="AST116" s="1056"/>
      <c r="ASU116" s="1056"/>
      <c r="ASV116" s="1056"/>
      <c r="ASW116" s="1056"/>
      <c r="ASX116" s="1056"/>
      <c r="ASY116" s="1056"/>
      <c r="ASZ116" s="1056"/>
      <c r="ATA116" s="1056"/>
      <c r="ATB116" s="1056"/>
      <c r="ATC116" s="1056"/>
      <c r="ATD116" s="1056"/>
      <c r="ATE116" s="1056"/>
      <c r="ATF116" s="1056"/>
      <c r="ATG116" s="1056"/>
      <c r="ATH116" s="1056"/>
      <c r="ATI116" s="1056"/>
      <c r="ATJ116" s="1056"/>
      <c r="ATK116" s="1056"/>
      <c r="ATL116" s="1056"/>
      <c r="ATM116" s="1056"/>
      <c r="ATN116" s="1056"/>
      <c r="ATO116" s="1056"/>
      <c r="ATP116" s="1056"/>
      <c r="ATQ116" s="1056"/>
      <c r="ATR116" s="1056"/>
      <c r="ATS116" s="1056"/>
      <c r="ATT116" s="1056"/>
      <c r="ATU116" s="1056"/>
      <c r="ATV116" s="1056"/>
      <c r="ATW116" s="1056"/>
      <c r="ATX116" s="1056"/>
      <c r="ATY116" s="1056"/>
      <c r="ATZ116" s="1056"/>
      <c r="AUA116" s="1056"/>
      <c r="AUB116" s="1056"/>
      <c r="AUC116" s="1056"/>
      <c r="AUD116" s="1056"/>
      <c r="AUE116" s="1056"/>
      <c r="AUF116" s="1056"/>
      <c r="AUG116" s="1056"/>
      <c r="AUH116" s="1056"/>
      <c r="AUI116" s="1056"/>
      <c r="AUJ116" s="1056"/>
      <c r="AUK116" s="1056"/>
      <c r="AUL116" s="1056"/>
      <c r="AUM116" s="1056"/>
      <c r="AUN116" s="1056"/>
      <c r="AUO116" s="1056"/>
      <c r="AUP116" s="1056"/>
      <c r="AUQ116" s="1056"/>
      <c r="AUR116" s="1056"/>
      <c r="AUS116" s="1056"/>
      <c r="AUT116" s="1056"/>
      <c r="AUU116" s="1056"/>
      <c r="AUV116" s="1056"/>
      <c r="AUW116" s="1056"/>
      <c r="AUX116" s="1056"/>
      <c r="AUY116" s="1056"/>
      <c r="AUZ116" s="1056"/>
      <c r="AVA116" s="1056"/>
      <c r="AVB116" s="1056"/>
      <c r="AVC116" s="1056"/>
      <c r="AVD116" s="1056"/>
      <c r="AVE116" s="1056"/>
      <c r="AVF116" s="1056"/>
      <c r="AVG116" s="1056"/>
      <c r="AVH116" s="1056"/>
      <c r="AVI116" s="1056"/>
      <c r="AVJ116" s="1056"/>
      <c r="AVK116" s="1056"/>
      <c r="AVL116" s="1056"/>
      <c r="AVM116" s="1056"/>
      <c r="AVN116" s="1056"/>
      <c r="AVO116" s="1056"/>
      <c r="AVP116" s="1056"/>
      <c r="AVQ116" s="1056"/>
      <c r="AVR116" s="1056"/>
      <c r="AVS116" s="1056"/>
      <c r="AVT116" s="1056"/>
      <c r="AVU116" s="1056"/>
      <c r="AVV116" s="1056"/>
      <c r="AVW116" s="1056"/>
      <c r="AVX116" s="1056"/>
      <c r="AVY116" s="1056"/>
      <c r="AVZ116" s="1056"/>
      <c r="AWA116" s="1056"/>
      <c r="AWB116" s="1056"/>
      <c r="AWC116" s="1056"/>
      <c r="AWD116" s="1056"/>
      <c r="AWE116" s="1056"/>
      <c r="AWF116" s="1056"/>
      <c r="AWG116" s="1056"/>
      <c r="AWH116" s="1056"/>
      <c r="AWI116" s="1056"/>
      <c r="AWJ116" s="1056"/>
      <c r="AWK116" s="1056"/>
      <c r="AWL116" s="1056"/>
      <c r="AWM116" s="1056"/>
      <c r="AWN116" s="1056"/>
      <c r="AWO116" s="1056"/>
      <c r="AWP116" s="1056"/>
      <c r="AWQ116" s="1056"/>
      <c r="AWR116" s="1056"/>
      <c r="AWS116" s="1056"/>
      <c r="AWT116" s="1056"/>
      <c r="AWU116" s="1056"/>
      <c r="AWV116" s="1056"/>
      <c r="AWW116" s="1056"/>
      <c r="AWX116" s="1056"/>
      <c r="AWY116" s="1056"/>
      <c r="AWZ116" s="1056"/>
      <c r="AXA116" s="1056"/>
      <c r="AXB116" s="1056"/>
      <c r="AXC116" s="1056"/>
      <c r="AXD116" s="1056"/>
      <c r="AXE116" s="1056"/>
      <c r="AXF116" s="1056"/>
      <c r="AXG116" s="1056"/>
      <c r="AXH116" s="1056"/>
      <c r="AXI116" s="1056"/>
      <c r="AXJ116" s="1056"/>
      <c r="AXK116" s="1056"/>
      <c r="AXL116" s="1056"/>
      <c r="AXM116" s="1056"/>
      <c r="AXN116" s="1056"/>
      <c r="AXO116" s="1056"/>
      <c r="AXP116" s="1056"/>
      <c r="AXQ116" s="1056"/>
      <c r="AXR116" s="1056"/>
      <c r="AXS116" s="1056"/>
      <c r="AXT116" s="1056"/>
      <c r="AXU116" s="1056"/>
      <c r="AXV116" s="1056"/>
      <c r="AXW116" s="1056"/>
      <c r="AXX116" s="1056"/>
      <c r="AXY116" s="1056"/>
      <c r="AXZ116" s="1056"/>
      <c r="AYA116" s="1056"/>
      <c r="AYB116" s="1056"/>
      <c r="AYC116" s="1056"/>
      <c r="AYD116" s="1056"/>
      <c r="AYE116" s="1056"/>
      <c r="AYF116" s="1056"/>
      <c r="AYG116" s="1056"/>
      <c r="AYH116" s="1056"/>
      <c r="AYI116" s="1056"/>
      <c r="AYJ116" s="1056"/>
      <c r="AYK116" s="1056"/>
      <c r="AYL116" s="1056"/>
      <c r="AYM116" s="1056"/>
      <c r="AYN116" s="1056"/>
      <c r="AYO116" s="1056"/>
      <c r="AYP116" s="1056"/>
      <c r="AYQ116" s="1056"/>
      <c r="AYR116" s="1056"/>
      <c r="AYS116" s="1056"/>
      <c r="AYT116" s="1056"/>
      <c r="AYU116" s="1056"/>
      <c r="AYV116" s="1056"/>
      <c r="AYW116" s="1056"/>
      <c r="AYX116" s="1056"/>
      <c r="AYY116" s="1056"/>
      <c r="AYZ116" s="1056"/>
      <c r="AZA116" s="1056"/>
      <c r="AZB116" s="1056"/>
      <c r="AZC116" s="1056"/>
      <c r="AZD116" s="1056"/>
      <c r="AZE116" s="1056"/>
      <c r="AZF116" s="1056"/>
      <c r="AZG116" s="1056"/>
      <c r="AZH116" s="1056"/>
      <c r="AZI116" s="1056"/>
      <c r="AZJ116" s="1056"/>
      <c r="AZK116" s="1056"/>
      <c r="AZL116" s="1056"/>
      <c r="AZM116" s="1056"/>
      <c r="AZN116" s="1056"/>
      <c r="AZO116" s="1056"/>
      <c r="AZP116" s="1056"/>
      <c r="AZQ116" s="1056"/>
      <c r="AZR116" s="1056"/>
      <c r="AZS116" s="1056"/>
      <c r="AZT116" s="1056"/>
      <c r="AZU116" s="1056"/>
      <c r="AZV116" s="1056"/>
      <c r="AZW116" s="1056"/>
      <c r="AZX116" s="1056"/>
      <c r="AZY116" s="1056"/>
      <c r="AZZ116" s="1056"/>
      <c r="BAA116" s="1056"/>
      <c r="BAB116" s="1056"/>
      <c r="BAC116" s="1056"/>
      <c r="BAD116" s="1056"/>
      <c r="BAE116" s="1056"/>
      <c r="BAF116" s="1056"/>
      <c r="BAG116" s="1056"/>
      <c r="BAH116" s="1056"/>
      <c r="BAI116" s="1056"/>
      <c r="BAJ116" s="1056"/>
      <c r="BAK116" s="1056"/>
      <c r="BAL116" s="1056"/>
      <c r="BAM116" s="1056"/>
      <c r="BAN116" s="1056"/>
      <c r="BAO116" s="1056"/>
      <c r="BAP116" s="1056"/>
      <c r="BAQ116" s="1056"/>
      <c r="BAR116" s="1056"/>
      <c r="BAS116" s="1056"/>
      <c r="BAT116" s="1056"/>
      <c r="BAU116" s="1056"/>
      <c r="BAV116" s="1056"/>
      <c r="BAW116" s="1056"/>
      <c r="BAX116" s="1056"/>
      <c r="BAY116" s="1056"/>
      <c r="BAZ116" s="1056"/>
      <c r="BBA116" s="1056"/>
      <c r="BBB116" s="1056"/>
      <c r="BBC116" s="1056"/>
      <c r="BBD116" s="1056"/>
      <c r="BBE116" s="1056"/>
      <c r="BBF116" s="1056"/>
      <c r="BBG116" s="1056"/>
      <c r="BBH116" s="1056"/>
      <c r="BBI116" s="1056"/>
      <c r="BBJ116" s="1056"/>
      <c r="BBK116" s="1056"/>
      <c r="BBL116" s="1056"/>
      <c r="BBM116" s="1056"/>
      <c r="BBN116" s="1056"/>
      <c r="BBO116" s="1056"/>
      <c r="BBP116" s="1056"/>
      <c r="BBQ116" s="1056"/>
      <c r="BBR116" s="1056"/>
      <c r="BBS116" s="1056"/>
      <c r="BBT116" s="1056"/>
      <c r="BBU116" s="1056"/>
      <c r="BBV116" s="1056"/>
      <c r="BBW116" s="1056"/>
      <c r="BBX116" s="1056"/>
      <c r="BBY116" s="1056"/>
      <c r="BBZ116" s="1056"/>
      <c r="BCA116" s="1056"/>
      <c r="BCB116" s="1056"/>
      <c r="BCC116" s="1056"/>
      <c r="BCD116" s="1056"/>
      <c r="BCE116" s="1056"/>
      <c r="BCF116" s="1056"/>
      <c r="BCG116" s="1056"/>
      <c r="BCH116" s="1056"/>
      <c r="BCI116" s="1056"/>
      <c r="BCJ116" s="1056"/>
      <c r="BCK116" s="1056"/>
      <c r="BCL116" s="1056"/>
      <c r="BCM116" s="1056"/>
      <c r="BCN116" s="1056"/>
      <c r="BCO116" s="1056"/>
      <c r="BCP116" s="1056"/>
      <c r="BCQ116" s="1056"/>
      <c r="BCR116" s="1056"/>
      <c r="BCS116" s="1056"/>
      <c r="BCT116" s="1056"/>
      <c r="BCU116" s="1056"/>
      <c r="BCV116" s="1056"/>
      <c r="BCW116" s="1056"/>
      <c r="BCX116" s="1056"/>
      <c r="BCY116" s="1056"/>
      <c r="BCZ116" s="1056"/>
      <c r="BDA116" s="1056"/>
      <c r="BDB116" s="1056"/>
      <c r="BDC116" s="1056"/>
      <c r="BDD116" s="1056"/>
      <c r="BDE116" s="1056"/>
      <c r="BDF116" s="1056"/>
      <c r="BDG116" s="1056"/>
      <c r="BDH116" s="1056"/>
      <c r="BDI116" s="1056"/>
      <c r="BDJ116" s="1056"/>
      <c r="BDK116" s="1056"/>
      <c r="BDL116" s="1056"/>
      <c r="BDM116" s="1056"/>
      <c r="BDN116" s="1056"/>
      <c r="BDO116" s="1056"/>
      <c r="BDP116" s="1056"/>
      <c r="BDQ116" s="1056"/>
      <c r="BDR116" s="1056"/>
      <c r="BDS116" s="1056"/>
      <c r="BDT116" s="1056"/>
      <c r="BDU116" s="1056"/>
      <c r="BDV116" s="1056"/>
      <c r="BDW116" s="1056"/>
      <c r="BDX116" s="1056"/>
      <c r="BDY116" s="1056"/>
      <c r="BDZ116" s="1056"/>
      <c r="BEA116" s="1056"/>
      <c r="BEB116" s="1056"/>
      <c r="BEC116" s="1056"/>
      <c r="BED116" s="1056"/>
      <c r="BEE116" s="1056"/>
      <c r="BEF116" s="1056"/>
      <c r="BEG116" s="1056"/>
      <c r="BEH116" s="1056"/>
      <c r="BEI116" s="1056"/>
      <c r="BEJ116" s="1056"/>
      <c r="BEK116" s="1056"/>
      <c r="BEL116" s="1056"/>
      <c r="BEM116" s="1056"/>
      <c r="BEN116" s="1056"/>
      <c r="BEO116" s="1056"/>
      <c r="BEP116" s="1056"/>
      <c r="BEQ116" s="1056"/>
      <c r="BER116" s="1056"/>
      <c r="BES116" s="1056"/>
      <c r="BET116" s="1056"/>
      <c r="BEU116" s="1056"/>
      <c r="BEV116" s="1056"/>
      <c r="BEW116" s="1056"/>
      <c r="BEX116" s="1056"/>
      <c r="BEY116" s="1056"/>
      <c r="BEZ116" s="1056"/>
      <c r="BFA116" s="1056"/>
      <c r="BFB116" s="1056"/>
      <c r="BFC116" s="1056"/>
      <c r="BFD116" s="1056"/>
      <c r="BFE116" s="1056"/>
      <c r="BFF116" s="1056"/>
      <c r="BFG116" s="1056"/>
      <c r="BFH116" s="1056"/>
      <c r="BFI116" s="1056"/>
      <c r="BFJ116" s="1056"/>
      <c r="BFK116" s="1056"/>
      <c r="BFL116" s="1056"/>
      <c r="BFM116" s="1056"/>
      <c r="BFN116" s="1056"/>
      <c r="BFO116" s="1056"/>
      <c r="BFP116" s="1056"/>
      <c r="BFQ116" s="1056"/>
      <c r="BFR116" s="1056"/>
      <c r="BFS116" s="1056"/>
      <c r="BFT116" s="1056"/>
      <c r="BFU116" s="1056"/>
      <c r="BFV116" s="1056"/>
      <c r="BFW116" s="1056"/>
      <c r="BFX116" s="1056"/>
      <c r="BFY116" s="1056"/>
      <c r="BFZ116" s="1056"/>
      <c r="BGA116" s="1056"/>
      <c r="BGB116" s="1056"/>
      <c r="BGC116" s="1056"/>
      <c r="BGD116" s="1056"/>
      <c r="BGE116" s="1056"/>
      <c r="BGF116" s="1056"/>
      <c r="BGG116" s="1056"/>
      <c r="BGH116" s="1056"/>
      <c r="BGI116" s="1056"/>
      <c r="BGJ116" s="1056"/>
      <c r="BGK116" s="1056"/>
      <c r="BGL116" s="1056"/>
      <c r="BGM116" s="1056"/>
      <c r="BGN116" s="1056"/>
      <c r="BGO116" s="1056"/>
      <c r="BGP116" s="1056"/>
      <c r="BGQ116" s="1056"/>
      <c r="BGR116" s="1056"/>
      <c r="BGS116" s="1056"/>
      <c r="BGT116" s="1056"/>
      <c r="BGU116" s="1056"/>
      <c r="BGV116" s="1056"/>
      <c r="BGW116" s="1056"/>
      <c r="BGX116" s="1056"/>
      <c r="BGY116" s="1056"/>
      <c r="BGZ116" s="1056"/>
      <c r="BHA116" s="1056"/>
      <c r="BHB116" s="1056"/>
      <c r="BHC116" s="1056"/>
      <c r="BHD116" s="1056"/>
      <c r="BHE116" s="1056"/>
      <c r="BHF116" s="1056"/>
      <c r="BHG116" s="1056"/>
      <c r="BHH116" s="1056"/>
      <c r="BHI116" s="1056"/>
      <c r="BHJ116" s="1056"/>
      <c r="BHK116" s="1056"/>
      <c r="BHL116" s="1056"/>
      <c r="BHM116" s="1056"/>
      <c r="BHN116" s="1056"/>
      <c r="BHO116" s="1056"/>
      <c r="BHP116" s="1056"/>
      <c r="BHQ116" s="1056"/>
      <c r="BHR116" s="1056"/>
      <c r="BHS116" s="1056"/>
      <c r="BHT116" s="1056"/>
      <c r="BHU116" s="1056"/>
      <c r="BHV116" s="1056"/>
      <c r="BHW116" s="1056"/>
      <c r="BHX116" s="1056"/>
      <c r="BHY116" s="1056"/>
      <c r="BHZ116" s="1056"/>
      <c r="BIA116" s="1056"/>
      <c r="BIB116" s="1056"/>
      <c r="BIC116" s="1056"/>
      <c r="BID116" s="1056"/>
      <c r="BIE116" s="1056"/>
      <c r="BIF116" s="1056"/>
      <c r="BIG116" s="1056"/>
      <c r="BIH116" s="1056"/>
      <c r="BII116" s="1056"/>
      <c r="BIJ116" s="1056"/>
      <c r="BIK116" s="1056"/>
      <c r="BIL116" s="1056"/>
      <c r="BIM116" s="1056"/>
      <c r="BIN116" s="1056"/>
      <c r="BIO116" s="1056"/>
      <c r="BIP116" s="1056"/>
      <c r="BIQ116" s="1056"/>
      <c r="BIR116" s="1056"/>
      <c r="BIS116" s="1056"/>
      <c r="BIT116" s="1056"/>
      <c r="BIU116" s="1056"/>
      <c r="BIV116" s="1056"/>
      <c r="BIW116" s="1056"/>
      <c r="BIX116" s="1056"/>
      <c r="BIY116" s="1056"/>
      <c r="BIZ116" s="1056"/>
      <c r="BJA116" s="1056"/>
      <c r="BJB116" s="1056"/>
      <c r="BJC116" s="1056"/>
      <c r="BJD116" s="1056"/>
      <c r="BJE116" s="1056"/>
      <c r="BJF116" s="1056"/>
      <c r="BJG116" s="1056"/>
      <c r="BJH116" s="1056"/>
      <c r="BJI116" s="1056"/>
      <c r="BJJ116" s="1056"/>
      <c r="BJK116" s="1056"/>
      <c r="BJL116" s="1056"/>
      <c r="BJM116" s="1056"/>
      <c r="BJN116" s="1056"/>
      <c r="BJO116" s="1056"/>
      <c r="BJP116" s="1056"/>
      <c r="BJQ116" s="1056"/>
      <c r="BJR116" s="1056"/>
      <c r="BJS116" s="1056"/>
      <c r="BJT116" s="1056"/>
      <c r="BJU116" s="1056"/>
      <c r="BJV116" s="1056"/>
      <c r="BJW116" s="1056"/>
      <c r="BJX116" s="1056"/>
      <c r="BJY116" s="1056"/>
      <c r="BJZ116" s="1056"/>
      <c r="BKA116" s="1056"/>
      <c r="BKB116" s="1056"/>
      <c r="BKC116" s="1056"/>
      <c r="BKD116" s="1056"/>
      <c r="BKE116" s="1056"/>
      <c r="BKF116" s="1056"/>
      <c r="BKG116" s="1056"/>
      <c r="BKH116" s="1056"/>
      <c r="BKI116" s="1056"/>
      <c r="BKJ116" s="1056"/>
      <c r="BKK116" s="1056"/>
      <c r="BKL116" s="1056"/>
      <c r="BKM116" s="1056"/>
      <c r="BKN116" s="1056"/>
      <c r="BKO116" s="1056"/>
      <c r="BKP116" s="1056"/>
      <c r="BKQ116" s="1056"/>
      <c r="BKR116" s="1056"/>
      <c r="BKS116" s="1056"/>
      <c r="BKT116" s="1056"/>
      <c r="BKU116" s="1056"/>
      <c r="BKV116" s="1056"/>
      <c r="BKW116" s="1056"/>
      <c r="BKX116" s="1056"/>
      <c r="BKY116" s="1056"/>
      <c r="BKZ116" s="1056"/>
      <c r="BLA116" s="1056"/>
      <c r="BLB116" s="1056"/>
      <c r="BLC116" s="1056"/>
      <c r="BLD116" s="1056"/>
      <c r="BLE116" s="1056"/>
      <c r="BLF116" s="1056"/>
      <c r="BLG116" s="1056"/>
      <c r="BLH116" s="1056"/>
      <c r="BLI116" s="1056"/>
      <c r="BLJ116" s="1056"/>
      <c r="BLK116" s="1056"/>
      <c r="BLL116" s="1056"/>
      <c r="BLM116" s="1056"/>
      <c r="BLN116" s="1056"/>
      <c r="BLO116" s="1056"/>
      <c r="BLP116" s="1056"/>
      <c r="BLQ116" s="1056"/>
      <c r="BLR116" s="1056"/>
      <c r="BLS116" s="1056"/>
      <c r="BLT116" s="1056"/>
      <c r="BLU116" s="1056"/>
      <c r="BLV116" s="1056"/>
      <c r="BLW116" s="1056"/>
      <c r="BLX116" s="1056"/>
      <c r="BLY116" s="1056"/>
      <c r="BLZ116" s="1056"/>
      <c r="BMA116" s="1056"/>
      <c r="BMB116" s="1056"/>
      <c r="BMC116" s="1056"/>
      <c r="BMD116" s="1056"/>
      <c r="BME116" s="1056"/>
      <c r="BMF116" s="1056"/>
      <c r="BMG116" s="1056"/>
      <c r="BMH116" s="1056"/>
      <c r="BMI116" s="1056"/>
      <c r="BMJ116" s="1056"/>
      <c r="BMK116" s="1056"/>
      <c r="BML116" s="1056"/>
      <c r="BMM116" s="1056"/>
      <c r="BMN116" s="1056"/>
      <c r="BMO116" s="1056"/>
      <c r="BMP116" s="1056"/>
      <c r="BMQ116" s="1056"/>
      <c r="BMR116" s="1056"/>
      <c r="BMS116" s="1056"/>
      <c r="BMT116" s="1056"/>
      <c r="BMU116" s="1056"/>
      <c r="BMV116" s="1056"/>
      <c r="BMW116" s="1056"/>
      <c r="BMX116" s="1056"/>
      <c r="BMY116" s="1056"/>
      <c r="BMZ116" s="1056"/>
      <c r="BNA116" s="1056"/>
      <c r="BNB116" s="1056"/>
      <c r="BNC116" s="1056"/>
      <c r="BND116" s="1056"/>
      <c r="BNE116" s="1056"/>
      <c r="BNF116" s="1056"/>
      <c r="BNG116" s="1056"/>
      <c r="BNH116" s="1056"/>
      <c r="BNI116" s="1056"/>
      <c r="BNJ116" s="1056"/>
      <c r="BNK116" s="1056"/>
      <c r="BNL116" s="1056"/>
      <c r="BNM116" s="1056"/>
      <c r="BNN116" s="1056"/>
      <c r="BNO116" s="1056"/>
      <c r="BNP116" s="1056"/>
      <c r="BNQ116" s="1056"/>
      <c r="BNR116" s="1056"/>
      <c r="BNS116" s="1056"/>
      <c r="BNT116" s="1056"/>
      <c r="BNU116" s="1056"/>
      <c r="BNV116" s="1056"/>
      <c r="BNW116" s="1056"/>
      <c r="BNX116" s="1056"/>
      <c r="BNY116" s="1056"/>
      <c r="BNZ116" s="1056"/>
      <c r="BOA116" s="1056"/>
      <c r="BOB116" s="1056"/>
      <c r="BOC116" s="1056"/>
      <c r="BOD116" s="1056"/>
      <c r="BOE116" s="1056"/>
      <c r="BOF116" s="1056"/>
      <c r="BOG116" s="1056"/>
      <c r="BOH116" s="1056"/>
      <c r="BOI116" s="1056"/>
      <c r="BOJ116" s="1056"/>
      <c r="BOK116" s="1056"/>
      <c r="BOL116" s="1056"/>
      <c r="BOM116" s="1056"/>
      <c r="BON116" s="1056"/>
      <c r="BOO116" s="1056"/>
      <c r="BOP116" s="1056"/>
      <c r="BOQ116" s="1056"/>
      <c r="BOR116" s="1056"/>
      <c r="BOS116" s="1056"/>
      <c r="BOT116" s="1056"/>
      <c r="BOU116" s="1056"/>
      <c r="BOV116" s="1056"/>
      <c r="BOW116" s="1056"/>
      <c r="BOX116" s="1056"/>
      <c r="BOY116" s="1056"/>
      <c r="BOZ116" s="1056"/>
      <c r="BPA116" s="1056"/>
      <c r="BPB116" s="1056"/>
      <c r="BPC116" s="1056"/>
      <c r="BPD116" s="1056"/>
      <c r="BPE116" s="1056"/>
      <c r="BPF116" s="1056"/>
      <c r="BPG116" s="1056"/>
      <c r="BPH116" s="1056"/>
      <c r="BPI116" s="1056"/>
      <c r="BPJ116" s="1056"/>
      <c r="BPK116" s="1056"/>
      <c r="BPL116" s="1056"/>
      <c r="BPM116" s="1056"/>
      <c r="BPN116" s="1056"/>
      <c r="BPO116" s="1056"/>
      <c r="BPP116" s="1056"/>
      <c r="BPQ116" s="1056"/>
      <c r="BPR116" s="1056"/>
      <c r="BPS116" s="1056"/>
      <c r="BPT116" s="1056"/>
      <c r="BPU116" s="1056"/>
      <c r="BPV116" s="1056"/>
      <c r="BPW116" s="1056"/>
      <c r="BPX116" s="1056"/>
      <c r="BPY116" s="1056"/>
      <c r="BPZ116" s="1056"/>
      <c r="BQA116" s="1056"/>
      <c r="BQB116" s="1056"/>
      <c r="BQC116" s="1056"/>
      <c r="BQD116" s="1056"/>
      <c r="BQE116" s="1056"/>
      <c r="BQF116" s="1056"/>
      <c r="BQG116" s="1056"/>
      <c r="BQH116" s="1056"/>
      <c r="BQI116" s="1056"/>
      <c r="BQJ116" s="1056"/>
      <c r="BQK116" s="1056"/>
      <c r="BQL116" s="1056"/>
      <c r="BQM116" s="1056"/>
      <c r="BQN116" s="1056"/>
      <c r="BQO116" s="1056"/>
      <c r="BQP116" s="1056"/>
      <c r="BQQ116" s="1056"/>
      <c r="BQR116" s="1056"/>
      <c r="BQS116" s="1056"/>
      <c r="BQT116" s="1056"/>
      <c r="BQU116" s="1056"/>
      <c r="BQV116" s="1056"/>
      <c r="BQW116" s="1056"/>
      <c r="BQX116" s="1056"/>
      <c r="BQY116" s="1056"/>
      <c r="BQZ116" s="1056"/>
      <c r="BRA116" s="1056"/>
      <c r="BRB116" s="1056"/>
      <c r="BRC116" s="1056"/>
      <c r="BRD116" s="1056"/>
      <c r="BRE116" s="1056"/>
      <c r="BRF116" s="1056"/>
      <c r="BRG116" s="1056"/>
      <c r="BRH116" s="1056"/>
      <c r="BRI116" s="1056"/>
      <c r="BRJ116" s="1056"/>
      <c r="BRK116" s="1056"/>
      <c r="BRL116" s="1056"/>
      <c r="BRM116" s="1056"/>
      <c r="BRN116" s="1056"/>
      <c r="BRO116" s="1056"/>
      <c r="BRP116" s="1056"/>
      <c r="BRQ116" s="1056"/>
      <c r="BRR116" s="1056"/>
      <c r="BRS116" s="1056"/>
      <c r="BRT116" s="1056"/>
      <c r="BRU116" s="1056"/>
      <c r="BRV116" s="1056"/>
      <c r="BRW116" s="1056"/>
      <c r="BRX116" s="1056"/>
      <c r="BRY116" s="1056"/>
      <c r="BRZ116" s="1056"/>
      <c r="BSA116" s="1056"/>
      <c r="BSB116" s="1056"/>
      <c r="BSC116" s="1056"/>
      <c r="BSD116" s="1056"/>
      <c r="BSE116" s="1056"/>
      <c r="BSF116" s="1056"/>
      <c r="BSG116" s="1056"/>
      <c r="BSH116" s="1056"/>
      <c r="BSI116" s="1056"/>
      <c r="BSJ116" s="1056"/>
      <c r="BSK116" s="1056"/>
      <c r="BSL116" s="1056"/>
      <c r="BSM116" s="1056"/>
      <c r="BSN116" s="1056"/>
      <c r="BSO116" s="1056"/>
      <c r="BSP116" s="1056"/>
      <c r="BSQ116" s="1056"/>
      <c r="BSR116" s="1056"/>
      <c r="BSS116" s="1056"/>
      <c r="BST116" s="1056"/>
      <c r="BSU116" s="1056"/>
      <c r="BSV116" s="1056"/>
      <c r="BSW116" s="1056"/>
      <c r="BSX116" s="1056"/>
      <c r="BSY116" s="1056"/>
      <c r="BSZ116" s="1056"/>
      <c r="BTA116" s="1056"/>
      <c r="BTB116" s="1056"/>
      <c r="BTC116" s="1056"/>
      <c r="BTD116" s="1056"/>
      <c r="BTE116" s="1056"/>
      <c r="BTF116" s="1056"/>
      <c r="BTG116" s="1056"/>
      <c r="BTH116" s="1056"/>
      <c r="BTI116" s="1056"/>
    </row>
    <row r="117" spans="1:1881" s="1060" customFormat="1" ht="107.25" hidden="1" customHeight="1" thickBot="1" x14ac:dyDescent="0.35">
      <c r="A117" s="1071">
        <v>108</v>
      </c>
      <c r="B117" s="1069" t="s">
        <v>345</v>
      </c>
      <c r="C117" s="1072" t="s">
        <v>1034</v>
      </c>
      <c r="D117" s="1075" t="s">
        <v>1384</v>
      </c>
      <c r="E117" s="1053" t="e">
        <f>HLOOKUP($D$2,'2020 Data(H)'!$C$1:$AI$426,66,FALSE)</f>
        <v>#N/A</v>
      </c>
      <c r="F117" s="287">
        <v>0</v>
      </c>
      <c r="G117" s="722"/>
      <c r="H117" s="764"/>
      <c r="I117" s="1055"/>
      <c r="J117" s="1068"/>
      <c r="K117" s="1056"/>
      <c r="L117" s="1057"/>
      <c r="M117" s="1056"/>
      <c r="N117" s="1058"/>
      <c r="O117" s="1056"/>
      <c r="P117" s="1056"/>
      <c r="Q117" s="1056"/>
      <c r="R117" s="1056"/>
      <c r="S117" s="1056"/>
      <c r="T117" s="1056"/>
      <c r="U117" s="1056"/>
      <c r="V117" s="1056"/>
      <c r="W117" s="1056"/>
      <c r="X117" s="1056"/>
      <c r="Y117" s="1056"/>
      <c r="Z117" s="1073"/>
      <c r="AA117" s="1073"/>
      <c r="AB117" s="1073"/>
      <c r="AC117" s="1073"/>
      <c r="AD117" s="1073"/>
      <c r="AE117" s="1073"/>
      <c r="AF117" s="1073"/>
      <c r="AG117" s="1073"/>
      <c r="AH117" s="1073"/>
      <c r="AI117" s="1073"/>
      <c r="AJ117" s="1073"/>
      <c r="AK117" s="1073"/>
      <c r="AL117" s="1073"/>
      <c r="AM117" s="1073"/>
      <c r="AN117" s="1073"/>
      <c r="AO117" s="1073"/>
      <c r="AP117" s="1073"/>
      <c r="AQ117" s="1073"/>
      <c r="AR117" s="1073"/>
      <c r="AS117" s="1056"/>
      <c r="AT117" s="1056"/>
      <c r="AU117" s="1056"/>
      <c r="AV117" s="1056"/>
      <c r="AW117" s="1056"/>
      <c r="AX117" s="1056"/>
      <c r="AY117" s="1056"/>
      <c r="AZ117" s="1056"/>
      <c r="BA117" s="1056"/>
      <c r="BB117" s="1056"/>
      <c r="BC117" s="1056"/>
      <c r="BD117" s="1056"/>
      <c r="BE117" s="1056"/>
      <c r="BF117" s="1056"/>
      <c r="BG117" s="1056"/>
      <c r="BH117" s="1056"/>
      <c r="BI117" s="1056"/>
      <c r="BJ117" s="1056"/>
      <c r="BK117" s="1056"/>
      <c r="BL117" s="1056"/>
      <c r="BM117" s="1056"/>
      <c r="BN117" s="1056"/>
      <c r="BO117" s="1056"/>
      <c r="BP117" s="1056"/>
      <c r="BQ117" s="1056"/>
      <c r="BR117" s="1056"/>
      <c r="BS117" s="1056"/>
      <c r="BT117" s="1056"/>
      <c r="BU117" s="1056"/>
      <c r="BV117" s="1056"/>
      <c r="BW117" s="1056"/>
      <c r="BX117" s="1056"/>
      <c r="BY117" s="1056"/>
      <c r="BZ117" s="1056"/>
      <c r="CA117" s="1056"/>
      <c r="CB117" s="1056"/>
      <c r="CC117" s="1056"/>
      <c r="CD117" s="1056"/>
      <c r="CE117" s="1056"/>
      <c r="CF117" s="1056"/>
      <c r="CG117" s="1056"/>
      <c r="CH117" s="1056"/>
      <c r="CI117" s="1056"/>
      <c r="CJ117" s="1056"/>
      <c r="CK117" s="1056"/>
      <c r="CL117" s="1056"/>
      <c r="CM117" s="1056"/>
      <c r="CN117" s="1056"/>
      <c r="CO117" s="1056"/>
      <c r="CP117" s="1056"/>
      <c r="CQ117" s="1056"/>
      <c r="CR117" s="1056"/>
      <c r="CS117" s="1056"/>
      <c r="CT117" s="1056"/>
      <c r="CU117" s="1056"/>
      <c r="CV117" s="1056"/>
      <c r="CW117" s="1056"/>
      <c r="CX117" s="1056"/>
      <c r="CY117" s="1056"/>
      <c r="CZ117" s="1056"/>
      <c r="DA117" s="1056"/>
      <c r="DB117" s="1056"/>
      <c r="DC117" s="1056"/>
      <c r="DD117" s="1056"/>
      <c r="DE117" s="1056"/>
      <c r="DF117" s="1056"/>
      <c r="DG117" s="1056"/>
      <c r="DH117" s="1056"/>
      <c r="DI117" s="1056"/>
      <c r="DJ117" s="1056"/>
      <c r="DK117" s="1056"/>
      <c r="DL117" s="1056"/>
      <c r="DM117" s="1056"/>
      <c r="DN117" s="1056"/>
      <c r="DO117" s="1056"/>
      <c r="DP117" s="1056"/>
      <c r="DQ117" s="1056"/>
      <c r="DR117" s="1056"/>
      <c r="DS117" s="1056"/>
      <c r="DT117" s="1056"/>
      <c r="DU117" s="1056"/>
      <c r="DV117" s="1056"/>
      <c r="DW117" s="1056"/>
      <c r="DX117" s="1056"/>
      <c r="DY117" s="1056"/>
      <c r="DZ117" s="1056"/>
      <c r="EA117" s="1056"/>
      <c r="EB117" s="1056"/>
      <c r="EC117" s="1056"/>
      <c r="ED117" s="1056"/>
      <c r="EE117" s="1056"/>
      <c r="EF117" s="1056"/>
      <c r="EG117" s="1056"/>
      <c r="EH117" s="1056"/>
      <c r="EI117" s="1056"/>
      <c r="EJ117" s="1056"/>
      <c r="EK117" s="1056"/>
      <c r="EL117" s="1056"/>
      <c r="EM117" s="1056"/>
      <c r="EN117" s="1056"/>
      <c r="EO117" s="1056"/>
      <c r="EP117" s="1056"/>
      <c r="EQ117" s="1056"/>
      <c r="ER117" s="1056"/>
      <c r="ES117" s="1056"/>
      <c r="ET117" s="1056"/>
      <c r="EU117" s="1056"/>
      <c r="EV117" s="1056"/>
      <c r="EW117" s="1056"/>
      <c r="EX117" s="1056"/>
      <c r="EY117" s="1056"/>
      <c r="EZ117" s="1056"/>
      <c r="FA117" s="1056"/>
      <c r="FB117" s="1056"/>
      <c r="FC117" s="1056"/>
      <c r="FD117" s="1056"/>
      <c r="FE117" s="1056"/>
      <c r="FF117" s="1056"/>
      <c r="FG117" s="1056"/>
      <c r="FH117" s="1056"/>
      <c r="FI117" s="1056"/>
      <c r="FJ117" s="1056"/>
      <c r="FK117" s="1056"/>
      <c r="FL117" s="1056"/>
      <c r="FM117" s="1056"/>
      <c r="FN117" s="1056"/>
      <c r="FO117" s="1056"/>
      <c r="FP117" s="1056"/>
      <c r="FQ117" s="1056"/>
      <c r="FR117" s="1056"/>
      <c r="FS117" s="1056"/>
      <c r="FT117" s="1056"/>
      <c r="FU117" s="1056"/>
      <c r="FV117" s="1056"/>
      <c r="FW117" s="1056"/>
      <c r="FX117" s="1056"/>
      <c r="FY117" s="1056"/>
      <c r="FZ117" s="1056"/>
      <c r="GA117" s="1056"/>
      <c r="GB117" s="1056"/>
      <c r="GC117" s="1056"/>
      <c r="GD117" s="1056"/>
      <c r="GE117" s="1056"/>
      <c r="GF117" s="1056"/>
      <c r="GG117" s="1056"/>
      <c r="GH117" s="1056"/>
      <c r="GI117" s="1056"/>
      <c r="GJ117" s="1056"/>
      <c r="GK117" s="1056"/>
      <c r="GL117" s="1056"/>
      <c r="GM117" s="1056"/>
      <c r="GN117" s="1056"/>
      <c r="GO117" s="1056"/>
      <c r="GP117" s="1056"/>
      <c r="GQ117" s="1056"/>
      <c r="GR117" s="1056"/>
      <c r="GS117" s="1056"/>
      <c r="GT117" s="1056"/>
      <c r="GU117" s="1056"/>
      <c r="GV117" s="1056"/>
      <c r="GW117" s="1056"/>
      <c r="GX117" s="1056"/>
      <c r="GY117" s="1056"/>
      <c r="GZ117" s="1056"/>
      <c r="HA117" s="1056"/>
      <c r="HB117" s="1056"/>
      <c r="HC117" s="1056"/>
      <c r="HD117" s="1056"/>
      <c r="HE117" s="1056"/>
      <c r="HF117" s="1056"/>
      <c r="HG117" s="1056"/>
      <c r="HH117" s="1056"/>
      <c r="HI117" s="1056"/>
      <c r="HJ117" s="1056"/>
      <c r="HK117" s="1056"/>
      <c r="HL117" s="1056"/>
      <c r="HM117" s="1056"/>
      <c r="HN117" s="1056"/>
      <c r="HO117" s="1056"/>
      <c r="HP117" s="1056"/>
      <c r="HQ117" s="1056"/>
      <c r="HR117" s="1056"/>
      <c r="HS117" s="1056"/>
      <c r="HT117" s="1056"/>
      <c r="HU117" s="1056"/>
      <c r="HV117" s="1056"/>
      <c r="HW117" s="1056"/>
      <c r="HX117" s="1056"/>
      <c r="HY117" s="1056"/>
      <c r="HZ117" s="1056"/>
      <c r="IA117" s="1056"/>
      <c r="IB117" s="1056"/>
      <c r="IC117" s="1056"/>
      <c r="ID117" s="1056"/>
      <c r="IE117" s="1056"/>
      <c r="IF117" s="1056"/>
      <c r="IG117" s="1056"/>
      <c r="IH117" s="1056"/>
      <c r="II117" s="1056"/>
      <c r="IJ117" s="1056"/>
      <c r="IK117" s="1056"/>
      <c r="IL117" s="1056"/>
      <c r="IM117" s="1056"/>
      <c r="IN117" s="1056"/>
      <c r="IO117" s="1056"/>
      <c r="IP117" s="1056"/>
      <c r="IQ117" s="1056"/>
      <c r="IR117" s="1056"/>
      <c r="IS117" s="1056"/>
      <c r="IT117" s="1056"/>
      <c r="IU117" s="1056"/>
      <c r="IV117" s="1056"/>
      <c r="IW117" s="1056"/>
      <c r="IX117" s="1056"/>
      <c r="IY117" s="1056"/>
      <c r="IZ117" s="1056"/>
      <c r="JA117" s="1056"/>
      <c r="JB117" s="1056"/>
      <c r="JC117" s="1056"/>
      <c r="JD117" s="1056"/>
      <c r="JE117" s="1056"/>
      <c r="JF117" s="1056"/>
      <c r="JG117" s="1056"/>
      <c r="JH117" s="1056"/>
      <c r="JI117" s="1056"/>
      <c r="JJ117" s="1056"/>
      <c r="JK117" s="1056"/>
      <c r="JL117" s="1056"/>
      <c r="JM117" s="1056"/>
      <c r="JN117" s="1056"/>
      <c r="JO117" s="1056"/>
      <c r="JP117" s="1056"/>
      <c r="JQ117" s="1056"/>
      <c r="JR117" s="1056"/>
      <c r="JS117" s="1056"/>
      <c r="JT117" s="1056"/>
      <c r="JU117" s="1056"/>
      <c r="JV117" s="1056"/>
      <c r="JW117" s="1056"/>
      <c r="JX117" s="1056"/>
      <c r="JY117" s="1056"/>
      <c r="JZ117" s="1056"/>
      <c r="KA117" s="1056"/>
      <c r="KB117" s="1056"/>
      <c r="KC117" s="1056"/>
      <c r="KD117" s="1056"/>
      <c r="KE117" s="1056"/>
      <c r="KF117" s="1056"/>
      <c r="KG117" s="1056"/>
      <c r="KH117" s="1056"/>
      <c r="KI117" s="1056"/>
      <c r="KJ117" s="1056"/>
      <c r="KK117" s="1056"/>
      <c r="KL117" s="1056"/>
      <c r="KM117" s="1056"/>
      <c r="KN117" s="1056"/>
      <c r="KO117" s="1056"/>
      <c r="KP117" s="1056"/>
      <c r="KQ117" s="1056"/>
      <c r="KR117" s="1056"/>
      <c r="KS117" s="1056"/>
      <c r="KT117" s="1056"/>
      <c r="KU117" s="1056"/>
      <c r="KV117" s="1056"/>
      <c r="KW117" s="1056"/>
      <c r="KX117" s="1056"/>
      <c r="KY117" s="1056"/>
      <c r="KZ117" s="1056"/>
      <c r="LA117" s="1056"/>
      <c r="LB117" s="1056"/>
      <c r="LC117" s="1056"/>
      <c r="LD117" s="1056"/>
      <c r="LE117" s="1056"/>
      <c r="LF117" s="1056"/>
      <c r="LG117" s="1056"/>
      <c r="LH117" s="1056"/>
      <c r="LI117" s="1056"/>
      <c r="LJ117" s="1056"/>
      <c r="LK117" s="1056"/>
      <c r="LL117" s="1056"/>
      <c r="LM117" s="1056"/>
      <c r="LN117" s="1056"/>
      <c r="LO117" s="1056"/>
      <c r="LP117" s="1056"/>
      <c r="LQ117" s="1056"/>
      <c r="LR117" s="1056"/>
      <c r="LS117" s="1056"/>
      <c r="LT117" s="1056"/>
      <c r="LU117" s="1056"/>
      <c r="LV117" s="1056"/>
      <c r="LW117" s="1056"/>
      <c r="LX117" s="1056"/>
      <c r="LY117" s="1056"/>
      <c r="LZ117" s="1056"/>
      <c r="MA117" s="1056"/>
      <c r="MB117" s="1056"/>
      <c r="MC117" s="1056"/>
      <c r="MD117" s="1056"/>
      <c r="ME117" s="1056"/>
      <c r="MF117" s="1056"/>
      <c r="MG117" s="1056"/>
      <c r="MH117" s="1056"/>
      <c r="MI117" s="1056"/>
      <c r="MJ117" s="1056"/>
      <c r="MK117" s="1056"/>
      <c r="ML117" s="1056"/>
      <c r="MM117" s="1056"/>
      <c r="MN117" s="1056"/>
      <c r="MO117" s="1056"/>
      <c r="MP117" s="1056"/>
      <c r="MQ117" s="1056"/>
      <c r="MR117" s="1056"/>
      <c r="MS117" s="1056"/>
      <c r="MT117" s="1056"/>
      <c r="MU117" s="1056"/>
      <c r="MV117" s="1056"/>
      <c r="MW117" s="1056"/>
      <c r="MX117" s="1056"/>
      <c r="MY117" s="1056"/>
      <c r="MZ117" s="1056"/>
      <c r="NA117" s="1056"/>
      <c r="NB117" s="1056"/>
      <c r="NC117" s="1056"/>
      <c r="ND117" s="1056"/>
      <c r="NE117" s="1056"/>
      <c r="NF117" s="1056"/>
      <c r="NG117" s="1056"/>
      <c r="NH117" s="1056"/>
      <c r="NI117" s="1056"/>
      <c r="NJ117" s="1056"/>
      <c r="NK117" s="1056"/>
      <c r="NL117" s="1056"/>
      <c r="NM117" s="1056"/>
      <c r="NN117" s="1056"/>
      <c r="NO117" s="1056"/>
      <c r="NP117" s="1056"/>
      <c r="NQ117" s="1056"/>
      <c r="NR117" s="1056"/>
      <c r="NS117" s="1056"/>
      <c r="NT117" s="1056"/>
      <c r="NU117" s="1056"/>
      <c r="NV117" s="1056"/>
      <c r="NW117" s="1056"/>
      <c r="NX117" s="1056"/>
      <c r="NY117" s="1056"/>
      <c r="NZ117" s="1056"/>
      <c r="OA117" s="1056"/>
      <c r="OB117" s="1056"/>
      <c r="OC117" s="1056"/>
      <c r="OD117" s="1056"/>
      <c r="OE117" s="1056"/>
      <c r="OF117" s="1056"/>
      <c r="OG117" s="1056"/>
      <c r="OH117" s="1056"/>
      <c r="OI117" s="1056"/>
      <c r="OJ117" s="1056"/>
      <c r="OK117" s="1056"/>
      <c r="OL117" s="1056"/>
      <c r="OM117" s="1056"/>
      <c r="ON117" s="1056"/>
      <c r="OO117" s="1056"/>
      <c r="OP117" s="1056"/>
      <c r="OQ117" s="1056"/>
      <c r="OR117" s="1056"/>
      <c r="OS117" s="1056"/>
      <c r="OT117" s="1056"/>
      <c r="OU117" s="1056"/>
      <c r="OV117" s="1056"/>
      <c r="OW117" s="1056"/>
      <c r="OX117" s="1056"/>
      <c r="OY117" s="1056"/>
      <c r="OZ117" s="1056"/>
      <c r="PA117" s="1056"/>
      <c r="PB117" s="1056"/>
      <c r="PC117" s="1056"/>
      <c r="PD117" s="1056"/>
      <c r="PE117" s="1056"/>
      <c r="PF117" s="1056"/>
      <c r="PG117" s="1056"/>
      <c r="PH117" s="1056"/>
      <c r="PI117" s="1056"/>
      <c r="PJ117" s="1056"/>
      <c r="PK117" s="1056"/>
      <c r="PL117" s="1056"/>
      <c r="PM117" s="1056"/>
      <c r="PN117" s="1056"/>
      <c r="PO117" s="1056"/>
      <c r="PP117" s="1056"/>
      <c r="PQ117" s="1056"/>
      <c r="PR117" s="1056"/>
      <c r="PS117" s="1056"/>
      <c r="PT117" s="1056"/>
      <c r="PU117" s="1056"/>
      <c r="PV117" s="1056"/>
      <c r="PW117" s="1056"/>
      <c r="PX117" s="1056"/>
      <c r="PY117" s="1056"/>
      <c r="PZ117" s="1056"/>
      <c r="QA117" s="1056"/>
      <c r="QB117" s="1056"/>
      <c r="QC117" s="1056"/>
      <c r="QD117" s="1056"/>
      <c r="QE117" s="1056"/>
      <c r="QF117" s="1056"/>
      <c r="QG117" s="1056"/>
      <c r="QH117" s="1056"/>
      <c r="QI117" s="1056"/>
      <c r="QJ117" s="1056"/>
      <c r="QK117" s="1056"/>
      <c r="QL117" s="1056"/>
      <c r="QM117" s="1056"/>
      <c r="QN117" s="1056"/>
      <c r="QO117" s="1056"/>
      <c r="QP117" s="1056"/>
      <c r="QQ117" s="1056"/>
      <c r="QR117" s="1056"/>
      <c r="QS117" s="1056"/>
      <c r="QT117" s="1056"/>
      <c r="QU117" s="1056"/>
      <c r="QV117" s="1056"/>
      <c r="QW117" s="1056"/>
      <c r="QX117" s="1056"/>
      <c r="QY117" s="1056"/>
      <c r="QZ117" s="1056"/>
      <c r="RA117" s="1056"/>
      <c r="RB117" s="1056"/>
      <c r="RC117" s="1056"/>
      <c r="RD117" s="1056"/>
      <c r="RE117" s="1056"/>
      <c r="RF117" s="1056"/>
      <c r="RG117" s="1056"/>
      <c r="RH117" s="1056"/>
      <c r="RI117" s="1056"/>
      <c r="RJ117" s="1056"/>
      <c r="RK117" s="1056"/>
      <c r="RL117" s="1056"/>
      <c r="RM117" s="1056"/>
      <c r="RN117" s="1056"/>
      <c r="RO117" s="1056"/>
      <c r="RP117" s="1056"/>
      <c r="RQ117" s="1056"/>
      <c r="RR117" s="1056"/>
      <c r="RS117" s="1056"/>
      <c r="RT117" s="1056"/>
      <c r="RU117" s="1056"/>
      <c r="RV117" s="1056"/>
      <c r="RW117" s="1056"/>
      <c r="RX117" s="1056"/>
      <c r="RY117" s="1056"/>
      <c r="RZ117" s="1056"/>
      <c r="SA117" s="1056"/>
      <c r="SB117" s="1056"/>
      <c r="SC117" s="1056"/>
      <c r="SD117" s="1056"/>
      <c r="SE117" s="1056"/>
      <c r="SF117" s="1056"/>
      <c r="SG117" s="1056"/>
      <c r="SH117" s="1056"/>
      <c r="SI117" s="1056"/>
      <c r="SJ117" s="1056"/>
      <c r="SK117" s="1056"/>
      <c r="SL117" s="1056"/>
      <c r="SM117" s="1056"/>
      <c r="SN117" s="1056"/>
      <c r="SO117" s="1056"/>
      <c r="SP117" s="1056"/>
      <c r="SQ117" s="1056"/>
      <c r="SR117" s="1056"/>
      <c r="SS117" s="1056"/>
      <c r="ST117" s="1056"/>
      <c r="SU117" s="1056"/>
      <c r="SV117" s="1056"/>
      <c r="SW117" s="1056"/>
      <c r="SX117" s="1056"/>
      <c r="SY117" s="1056"/>
      <c r="SZ117" s="1056"/>
      <c r="TA117" s="1056"/>
      <c r="TB117" s="1056"/>
      <c r="TC117" s="1056"/>
      <c r="TD117" s="1056"/>
      <c r="TE117" s="1056"/>
      <c r="TF117" s="1056"/>
      <c r="TG117" s="1056"/>
      <c r="TH117" s="1056"/>
      <c r="TI117" s="1056"/>
      <c r="TJ117" s="1056"/>
      <c r="TK117" s="1056"/>
      <c r="TL117" s="1056"/>
      <c r="TM117" s="1056"/>
      <c r="TN117" s="1056"/>
      <c r="TO117" s="1056"/>
      <c r="TP117" s="1056"/>
      <c r="TQ117" s="1056"/>
      <c r="TR117" s="1056"/>
      <c r="TS117" s="1056"/>
      <c r="TT117" s="1056"/>
      <c r="TU117" s="1056"/>
      <c r="TV117" s="1056"/>
      <c r="TW117" s="1056"/>
      <c r="TX117" s="1056"/>
      <c r="TY117" s="1056"/>
      <c r="TZ117" s="1056"/>
      <c r="UA117" s="1056"/>
      <c r="UB117" s="1056"/>
      <c r="UC117" s="1056"/>
      <c r="UD117" s="1056"/>
      <c r="UE117" s="1056"/>
      <c r="UF117" s="1056"/>
      <c r="UG117" s="1056"/>
      <c r="UH117" s="1056"/>
      <c r="UI117" s="1056"/>
      <c r="UJ117" s="1056"/>
      <c r="UK117" s="1056"/>
      <c r="UL117" s="1056"/>
      <c r="UM117" s="1056"/>
      <c r="UN117" s="1056"/>
      <c r="UO117" s="1056"/>
      <c r="UP117" s="1056"/>
      <c r="UQ117" s="1056"/>
      <c r="UR117" s="1056"/>
      <c r="US117" s="1056"/>
      <c r="UT117" s="1056"/>
      <c r="UU117" s="1056"/>
      <c r="UV117" s="1056"/>
      <c r="UW117" s="1056"/>
      <c r="UX117" s="1056"/>
      <c r="UY117" s="1056"/>
      <c r="UZ117" s="1056"/>
      <c r="VA117" s="1056"/>
      <c r="VB117" s="1056"/>
      <c r="VC117" s="1056"/>
      <c r="VD117" s="1056"/>
      <c r="VE117" s="1056"/>
      <c r="VF117" s="1056"/>
      <c r="VG117" s="1056"/>
      <c r="VH117" s="1056"/>
      <c r="VI117" s="1056"/>
      <c r="VJ117" s="1056"/>
      <c r="VK117" s="1056"/>
      <c r="VL117" s="1056"/>
      <c r="VM117" s="1056"/>
      <c r="VN117" s="1056"/>
      <c r="VO117" s="1056"/>
      <c r="VP117" s="1056"/>
      <c r="VQ117" s="1056"/>
      <c r="VR117" s="1056"/>
      <c r="VS117" s="1056"/>
      <c r="VT117" s="1056"/>
      <c r="VU117" s="1056"/>
      <c r="VV117" s="1056"/>
      <c r="VW117" s="1056"/>
      <c r="VX117" s="1056"/>
      <c r="VY117" s="1056"/>
      <c r="VZ117" s="1056"/>
      <c r="WA117" s="1056"/>
      <c r="WB117" s="1056"/>
      <c r="WC117" s="1056"/>
      <c r="WD117" s="1056"/>
      <c r="WE117" s="1056"/>
      <c r="WF117" s="1056"/>
      <c r="WG117" s="1056"/>
      <c r="WH117" s="1056"/>
      <c r="WI117" s="1056"/>
      <c r="WJ117" s="1056"/>
      <c r="WK117" s="1056"/>
      <c r="WL117" s="1056"/>
      <c r="WM117" s="1056"/>
      <c r="WN117" s="1056"/>
      <c r="WO117" s="1056"/>
      <c r="WP117" s="1056"/>
      <c r="WQ117" s="1056"/>
      <c r="WR117" s="1056"/>
      <c r="WS117" s="1056"/>
      <c r="WT117" s="1056"/>
      <c r="WU117" s="1056"/>
      <c r="WV117" s="1056"/>
      <c r="WW117" s="1056"/>
      <c r="WX117" s="1056"/>
      <c r="WY117" s="1056"/>
      <c r="WZ117" s="1056"/>
      <c r="XA117" s="1056"/>
      <c r="XB117" s="1056"/>
      <c r="XC117" s="1056"/>
      <c r="XD117" s="1056"/>
      <c r="XE117" s="1056"/>
      <c r="XF117" s="1056"/>
      <c r="XG117" s="1056"/>
      <c r="XH117" s="1056"/>
      <c r="XI117" s="1056"/>
      <c r="XJ117" s="1056"/>
      <c r="XK117" s="1056"/>
      <c r="XL117" s="1056"/>
      <c r="XM117" s="1056"/>
      <c r="XN117" s="1056"/>
      <c r="XO117" s="1056"/>
      <c r="XP117" s="1056"/>
      <c r="XQ117" s="1056"/>
      <c r="XR117" s="1056"/>
      <c r="XS117" s="1056"/>
      <c r="XT117" s="1056"/>
      <c r="XU117" s="1056"/>
      <c r="XV117" s="1056"/>
      <c r="XW117" s="1056"/>
      <c r="XX117" s="1056"/>
      <c r="XY117" s="1056"/>
      <c r="XZ117" s="1056"/>
      <c r="YA117" s="1056"/>
      <c r="YB117" s="1056"/>
      <c r="YC117" s="1056"/>
      <c r="YD117" s="1056"/>
      <c r="YE117" s="1056"/>
      <c r="YF117" s="1056"/>
      <c r="YG117" s="1056"/>
      <c r="YH117" s="1056"/>
      <c r="YI117" s="1056"/>
      <c r="YJ117" s="1056"/>
      <c r="YK117" s="1056"/>
      <c r="YL117" s="1056"/>
      <c r="YM117" s="1056"/>
      <c r="YN117" s="1056"/>
      <c r="YO117" s="1056"/>
      <c r="YP117" s="1056"/>
      <c r="YQ117" s="1056"/>
      <c r="YR117" s="1056"/>
      <c r="YS117" s="1056"/>
      <c r="YT117" s="1056"/>
      <c r="YU117" s="1056"/>
      <c r="YV117" s="1056"/>
      <c r="YW117" s="1056"/>
      <c r="YX117" s="1056"/>
      <c r="YY117" s="1056"/>
      <c r="YZ117" s="1056"/>
      <c r="ZA117" s="1056"/>
      <c r="ZB117" s="1056"/>
      <c r="ZC117" s="1056"/>
      <c r="ZD117" s="1056"/>
      <c r="ZE117" s="1056"/>
      <c r="ZF117" s="1056"/>
      <c r="ZG117" s="1056"/>
      <c r="ZH117" s="1056"/>
      <c r="ZI117" s="1056"/>
      <c r="ZJ117" s="1056"/>
      <c r="ZK117" s="1056"/>
      <c r="ZL117" s="1056"/>
      <c r="ZM117" s="1056"/>
      <c r="ZN117" s="1056"/>
      <c r="ZO117" s="1056"/>
      <c r="ZP117" s="1056"/>
      <c r="ZQ117" s="1056"/>
      <c r="ZR117" s="1056"/>
      <c r="ZS117" s="1056"/>
      <c r="ZT117" s="1056"/>
      <c r="ZU117" s="1056"/>
      <c r="ZV117" s="1056"/>
      <c r="ZW117" s="1056"/>
      <c r="ZX117" s="1056"/>
      <c r="ZY117" s="1056"/>
      <c r="ZZ117" s="1056"/>
      <c r="AAA117" s="1056"/>
      <c r="AAB117" s="1056"/>
      <c r="AAC117" s="1056"/>
      <c r="AAD117" s="1056"/>
      <c r="AAE117" s="1056"/>
      <c r="AAF117" s="1056"/>
      <c r="AAG117" s="1056"/>
      <c r="AAH117" s="1056"/>
      <c r="AAI117" s="1056"/>
      <c r="AAJ117" s="1056"/>
      <c r="AAK117" s="1056"/>
      <c r="AAL117" s="1056"/>
      <c r="AAM117" s="1056"/>
      <c r="AAN117" s="1056"/>
      <c r="AAO117" s="1056"/>
      <c r="AAP117" s="1056"/>
      <c r="AAQ117" s="1056"/>
      <c r="AAR117" s="1056"/>
      <c r="AAS117" s="1056"/>
      <c r="AAT117" s="1056"/>
      <c r="AAU117" s="1056"/>
      <c r="AAV117" s="1056"/>
      <c r="AAW117" s="1056"/>
      <c r="AAX117" s="1056"/>
      <c r="AAY117" s="1056"/>
      <c r="AAZ117" s="1056"/>
      <c r="ABA117" s="1056"/>
      <c r="ABB117" s="1056"/>
      <c r="ABC117" s="1056"/>
      <c r="ABD117" s="1056"/>
      <c r="ABE117" s="1056"/>
      <c r="ABF117" s="1056"/>
      <c r="ABG117" s="1056"/>
      <c r="ABH117" s="1056"/>
      <c r="ABI117" s="1056"/>
      <c r="ABJ117" s="1056"/>
      <c r="ABK117" s="1056"/>
      <c r="ABL117" s="1056"/>
      <c r="ABM117" s="1056"/>
      <c r="ABN117" s="1056"/>
      <c r="ABO117" s="1056"/>
      <c r="ABP117" s="1056"/>
      <c r="ABQ117" s="1056"/>
      <c r="ABR117" s="1056"/>
      <c r="ABS117" s="1056"/>
      <c r="ABT117" s="1056"/>
      <c r="ABU117" s="1056"/>
      <c r="ABV117" s="1056"/>
      <c r="ABW117" s="1056"/>
      <c r="ABX117" s="1056"/>
      <c r="ABY117" s="1056"/>
      <c r="ABZ117" s="1056"/>
      <c r="ACA117" s="1056"/>
      <c r="ACB117" s="1056"/>
      <c r="ACC117" s="1056"/>
      <c r="ACD117" s="1056"/>
      <c r="ACE117" s="1056"/>
      <c r="ACF117" s="1056"/>
      <c r="ACG117" s="1056"/>
      <c r="ACH117" s="1056"/>
      <c r="ACI117" s="1056"/>
      <c r="ACJ117" s="1056"/>
      <c r="ACK117" s="1056"/>
      <c r="ACL117" s="1056"/>
      <c r="ACM117" s="1056"/>
      <c r="ACN117" s="1056"/>
      <c r="ACO117" s="1056"/>
      <c r="ACP117" s="1056"/>
      <c r="ACQ117" s="1056"/>
      <c r="ACR117" s="1056"/>
      <c r="ACS117" s="1056"/>
      <c r="ACT117" s="1056"/>
      <c r="ACU117" s="1056"/>
      <c r="ACV117" s="1056"/>
      <c r="ACW117" s="1056"/>
      <c r="ACX117" s="1056"/>
      <c r="ACY117" s="1056"/>
      <c r="ACZ117" s="1056"/>
      <c r="ADA117" s="1056"/>
      <c r="ADB117" s="1056"/>
      <c r="ADC117" s="1056"/>
      <c r="ADD117" s="1056"/>
      <c r="ADE117" s="1056"/>
      <c r="ADF117" s="1056"/>
      <c r="ADG117" s="1056"/>
      <c r="ADH117" s="1056"/>
      <c r="ADI117" s="1056"/>
      <c r="ADJ117" s="1056"/>
      <c r="ADK117" s="1056"/>
      <c r="ADL117" s="1056"/>
      <c r="ADM117" s="1056"/>
      <c r="ADN117" s="1056"/>
      <c r="ADO117" s="1056"/>
      <c r="ADP117" s="1056"/>
      <c r="ADQ117" s="1056"/>
      <c r="ADR117" s="1056"/>
      <c r="ADS117" s="1056"/>
      <c r="ADT117" s="1056"/>
      <c r="ADU117" s="1056"/>
      <c r="ADV117" s="1056"/>
      <c r="ADW117" s="1056"/>
      <c r="ADX117" s="1056"/>
      <c r="ADY117" s="1056"/>
      <c r="ADZ117" s="1056"/>
      <c r="AEA117" s="1056"/>
      <c r="AEB117" s="1056"/>
      <c r="AEC117" s="1056"/>
      <c r="AED117" s="1056"/>
      <c r="AEE117" s="1056"/>
      <c r="AEF117" s="1056"/>
      <c r="AEG117" s="1056"/>
      <c r="AEH117" s="1056"/>
      <c r="AEI117" s="1056"/>
      <c r="AEJ117" s="1056"/>
      <c r="AEK117" s="1056"/>
      <c r="AEL117" s="1056"/>
      <c r="AEM117" s="1056"/>
      <c r="AEN117" s="1056"/>
      <c r="AEO117" s="1056"/>
      <c r="AEP117" s="1056"/>
      <c r="AEQ117" s="1056"/>
      <c r="AER117" s="1056"/>
      <c r="AES117" s="1056"/>
      <c r="AET117" s="1056"/>
      <c r="AEU117" s="1056"/>
      <c r="AEV117" s="1056"/>
      <c r="AEW117" s="1056"/>
      <c r="AEX117" s="1056"/>
      <c r="AEY117" s="1056"/>
      <c r="AEZ117" s="1056"/>
      <c r="AFA117" s="1056"/>
      <c r="AFB117" s="1056"/>
      <c r="AFC117" s="1056"/>
      <c r="AFD117" s="1056"/>
      <c r="AFE117" s="1056"/>
      <c r="AFF117" s="1056"/>
      <c r="AFG117" s="1056"/>
      <c r="AFH117" s="1056"/>
      <c r="AFI117" s="1056"/>
      <c r="AFJ117" s="1056"/>
      <c r="AFK117" s="1056"/>
      <c r="AFL117" s="1056"/>
      <c r="AFM117" s="1056"/>
      <c r="AFN117" s="1056"/>
      <c r="AFO117" s="1056"/>
      <c r="AFP117" s="1056"/>
      <c r="AFQ117" s="1056"/>
      <c r="AFR117" s="1056"/>
      <c r="AFS117" s="1056"/>
      <c r="AFT117" s="1056"/>
      <c r="AFU117" s="1056"/>
      <c r="AFV117" s="1056"/>
      <c r="AFW117" s="1056"/>
      <c r="AFX117" s="1056"/>
      <c r="AFY117" s="1056"/>
      <c r="AFZ117" s="1056"/>
      <c r="AGA117" s="1056"/>
      <c r="AGB117" s="1056"/>
      <c r="AGC117" s="1056"/>
      <c r="AGD117" s="1056"/>
      <c r="AGE117" s="1056"/>
      <c r="AGF117" s="1056"/>
      <c r="AGG117" s="1056"/>
      <c r="AGH117" s="1056"/>
      <c r="AGI117" s="1056"/>
      <c r="AGJ117" s="1056"/>
      <c r="AGK117" s="1056"/>
      <c r="AGL117" s="1056"/>
      <c r="AGM117" s="1056"/>
      <c r="AGN117" s="1056"/>
      <c r="AGO117" s="1056"/>
      <c r="AGP117" s="1056"/>
      <c r="AGQ117" s="1056"/>
      <c r="AGR117" s="1056"/>
      <c r="AGS117" s="1056"/>
      <c r="AGT117" s="1056"/>
      <c r="AGU117" s="1056"/>
      <c r="AGV117" s="1056"/>
      <c r="AGW117" s="1056"/>
      <c r="AGX117" s="1056"/>
      <c r="AGY117" s="1056"/>
      <c r="AGZ117" s="1056"/>
      <c r="AHA117" s="1056"/>
      <c r="AHB117" s="1056"/>
      <c r="AHC117" s="1056"/>
      <c r="AHD117" s="1056"/>
      <c r="AHE117" s="1056"/>
      <c r="AHF117" s="1056"/>
      <c r="AHG117" s="1056"/>
      <c r="AHH117" s="1056"/>
      <c r="AHI117" s="1056"/>
      <c r="AHJ117" s="1056"/>
      <c r="AHK117" s="1056"/>
      <c r="AHL117" s="1056"/>
      <c r="AHM117" s="1056"/>
      <c r="AHN117" s="1056"/>
      <c r="AHO117" s="1056"/>
      <c r="AHP117" s="1056"/>
      <c r="AHQ117" s="1056"/>
      <c r="AHR117" s="1056"/>
      <c r="AHS117" s="1056"/>
      <c r="AHT117" s="1056"/>
      <c r="AHU117" s="1056"/>
      <c r="AHV117" s="1056"/>
      <c r="AHW117" s="1056"/>
      <c r="AHX117" s="1056"/>
      <c r="AHY117" s="1056"/>
      <c r="AHZ117" s="1056"/>
      <c r="AIA117" s="1056"/>
      <c r="AIB117" s="1056"/>
      <c r="AIC117" s="1056"/>
      <c r="AID117" s="1056"/>
      <c r="AIE117" s="1056"/>
      <c r="AIF117" s="1056"/>
      <c r="AIG117" s="1056"/>
      <c r="AIH117" s="1056"/>
      <c r="AII117" s="1056"/>
      <c r="AIJ117" s="1056"/>
      <c r="AIK117" s="1056"/>
      <c r="AIL117" s="1056"/>
      <c r="AIM117" s="1056"/>
      <c r="AIN117" s="1056"/>
      <c r="AIO117" s="1056"/>
      <c r="AIP117" s="1056"/>
      <c r="AIQ117" s="1056"/>
      <c r="AIR117" s="1056"/>
      <c r="AIS117" s="1056"/>
      <c r="AIT117" s="1056"/>
      <c r="AIU117" s="1056"/>
      <c r="AIV117" s="1056"/>
      <c r="AIW117" s="1056"/>
      <c r="AIX117" s="1056"/>
      <c r="AIY117" s="1056"/>
      <c r="AIZ117" s="1056"/>
      <c r="AJA117" s="1056"/>
      <c r="AJB117" s="1056"/>
      <c r="AJC117" s="1056"/>
      <c r="AJD117" s="1056"/>
      <c r="AJE117" s="1056"/>
      <c r="AJF117" s="1056"/>
      <c r="AJG117" s="1056"/>
      <c r="AJH117" s="1056"/>
      <c r="AJI117" s="1056"/>
      <c r="AJJ117" s="1056"/>
      <c r="AJK117" s="1056"/>
      <c r="AJL117" s="1056"/>
      <c r="AJM117" s="1056"/>
      <c r="AJN117" s="1056"/>
      <c r="AJO117" s="1056"/>
      <c r="AJP117" s="1056"/>
      <c r="AJQ117" s="1056"/>
      <c r="AJR117" s="1056"/>
      <c r="AJS117" s="1056"/>
      <c r="AJT117" s="1056"/>
      <c r="AJU117" s="1056"/>
      <c r="AJV117" s="1056"/>
      <c r="AJW117" s="1056"/>
      <c r="AJX117" s="1056"/>
      <c r="AJY117" s="1056"/>
      <c r="AJZ117" s="1056"/>
      <c r="AKA117" s="1056"/>
      <c r="AKB117" s="1056"/>
      <c r="AKC117" s="1056"/>
      <c r="AKD117" s="1056"/>
      <c r="AKE117" s="1056"/>
      <c r="AKF117" s="1056"/>
      <c r="AKG117" s="1056"/>
      <c r="AKH117" s="1056"/>
      <c r="AKI117" s="1056"/>
      <c r="AKJ117" s="1056"/>
      <c r="AKK117" s="1056"/>
      <c r="AKL117" s="1056"/>
      <c r="AKM117" s="1056"/>
      <c r="AKN117" s="1056"/>
      <c r="AKO117" s="1056"/>
      <c r="AKP117" s="1056"/>
      <c r="AKQ117" s="1056"/>
      <c r="AKR117" s="1056"/>
      <c r="AKS117" s="1056"/>
      <c r="AKT117" s="1056"/>
      <c r="AKU117" s="1056"/>
      <c r="AKV117" s="1056"/>
      <c r="AKW117" s="1056"/>
      <c r="AKX117" s="1056"/>
      <c r="AKY117" s="1056"/>
      <c r="AKZ117" s="1056"/>
      <c r="ALA117" s="1056"/>
      <c r="ALB117" s="1056"/>
      <c r="ALC117" s="1056"/>
      <c r="ALD117" s="1056"/>
      <c r="ALE117" s="1056"/>
      <c r="ALF117" s="1056"/>
      <c r="ALG117" s="1056"/>
      <c r="ALH117" s="1056"/>
      <c r="ALI117" s="1056"/>
      <c r="ALJ117" s="1056"/>
      <c r="ALK117" s="1056"/>
      <c r="ALL117" s="1056"/>
      <c r="ALM117" s="1056"/>
      <c r="ALN117" s="1056"/>
      <c r="ALO117" s="1056"/>
      <c r="ALP117" s="1056"/>
      <c r="ALQ117" s="1056"/>
      <c r="ALR117" s="1056"/>
      <c r="ALS117" s="1056"/>
      <c r="ALT117" s="1056"/>
      <c r="ALU117" s="1056"/>
      <c r="ALV117" s="1056"/>
      <c r="ALW117" s="1056"/>
      <c r="ALX117" s="1056"/>
      <c r="ALY117" s="1056"/>
      <c r="ALZ117" s="1056"/>
      <c r="AMA117" s="1056"/>
      <c r="AMB117" s="1056"/>
      <c r="AMC117" s="1056"/>
      <c r="AMD117" s="1056"/>
      <c r="AME117" s="1056"/>
      <c r="AMF117" s="1056"/>
      <c r="AMG117" s="1056"/>
      <c r="AMH117" s="1056"/>
      <c r="AMI117" s="1056"/>
      <c r="AMJ117" s="1056"/>
      <c r="AMK117" s="1056"/>
      <c r="AML117" s="1056"/>
      <c r="AMM117" s="1056"/>
      <c r="AMN117" s="1056"/>
      <c r="AMO117" s="1056"/>
      <c r="AMP117" s="1056"/>
      <c r="AMQ117" s="1056"/>
      <c r="AMR117" s="1056"/>
      <c r="AMS117" s="1056"/>
      <c r="AMT117" s="1056"/>
      <c r="AMU117" s="1056"/>
      <c r="AMV117" s="1056"/>
      <c r="AMW117" s="1056"/>
      <c r="AMX117" s="1056"/>
      <c r="AMY117" s="1056"/>
      <c r="AMZ117" s="1056"/>
      <c r="ANA117" s="1056"/>
      <c r="ANB117" s="1056"/>
      <c r="ANC117" s="1056"/>
      <c r="AND117" s="1056"/>
      <c r="ANE117" s="1056"/>
      <c r="ANF117" s="1056"/>
      <c r="ANG117" s="1056"/>
      <c r="ANH117" s="1056"/>
      <c r="ANI117" s="1056"/>
      <c r="ANJ117" s="1056"/>
      <c r="ANK117" s="1056"/>
      <c r="ANL117" s="1056"/>
      <c r="ANM117" s="1056"/>
      <c r="ANN117" s="1056"/>
      <c r="ANO117" s="1056"/>
      <c r="ANP117" s="1056"/>
      <c r="ANQ117" s="1056"/>
      <c r="ANR117" s="1056"/>
      <c r="ANS117" s="1056"/>
      <c r="ANT117" s="1056"/>
      <c r="ANU117" s="1056"/>
      <c r="ANV117" s="1056"/>
      <c r="ANW117" s="1056"/>
      <c r="ANX117" s="1056"/>
      <c r="ANY117" s="1056"/>
      <c r="ANZ117" s="1056"/>
      <c r="AOA117" s="1056"/>
      <c r="AOB117" s="1056"/>
      <c r="AOC117" s="1056"/>
      <c r="AOD117" s="1056"/>
      <c r="AOE117" s="1056"/>
      <c r="AOF117" s="1056"/>
      <c r="AOG117" s="1056"/>
      <c r="AOH117" s="1056"/>
      <c r="AOI117" s="1056"/>
      <c r="AOJ117" s="1056"/>
      <c r="AOK117" s="1056"/>
      <c r="AOL117" s="1056"/>
      <c r="AOM117" s="1056"/>
      <c r="AON117" s="1056"/>
      <c r="AOO117" s="1056"/>
      <c r="AOP117" s="1056"/>
      <c r="AOQ117" s="1056"/>
      <c r="AOR117" s="1056"/>
      <c r="AOS117" s="1056"/>
      <c r="AOT117" s="1056"/>
      <c r="AOU117" s="1056"/>
      <c r="AOV117" s="1056"/>
      <c r="AOW117" s="1056"/>
      <c r="AOX117" s="1056"/>
      <c r="AOY117" s="1056"/>
      <c r="AOZ117" s="1056"/>
      <c r="APA117" s="1056"/>
      <c r="APB117" s="1056"/>
      <c r="APC117" s="1056"/>
      <c r="APD117" s="1056"/>
      <c r="APE117" s="1056"/>
      <c r="APF117" s="1056"/>
      <c r="APG117" s="1056"/>
      <c r="APH117" s="1056"/>
      <c r="API117" s="1056"/>
      <c r="APJ117" s="1056"/>
      <c r="APK117" s="1056"/>
      <c r="APL117" s="1056"/>
      <c r="APM117" s="1056"/>
      <c r="APN117" s="1056"/>
      <c r="APO117" s="1056"/>
      <c r="APP117" s="1056"/>
      <c r="APQ117" s="1056"/>
      <c r="APR117" s="1056"/>
      <c r="APS117" s="1056"/>
      <c r="APT117" s="1056"/>
      <c r="APU117" s="1056"/>
      <c r="APV117" s="1056"/>
      <c r="APW117" s="1056"/>
      <c r="APX117" s="1056"/>
      <c r="APY117" s="1056"/>
      <c r="APZ117" s="1056"/>
      <c r="AQA117" s="1056"/>
      <c r="AQB117" s="1056"/>
      <c r="AQC117" s="1056"/>
      <c r="AQD117" s="1056"/>
      <c r="AQE117" s="1056"/>
      <c r="AQF117" s="1056"/>
      <c r="AQG117" s="1056"/>
      <c r="AQH117" s="1056"/>
      <c r="AQI117" s="1056"/>
      <c r="AQJ117" s="1056"/>
      <c r="AQK117" s="1056"/>
      <c r="AQL117" s="1056"/>
      <c r="AQM117" s="1056"/>
      <c r="AQN117" s="1056"/>
      <c r="AQO117" s="1056"/>
      <c r="AQP117" s="1056"/>
      <c r="AQQ117" s="1056"/>
      <c r="AQR117" s="1056"/>
      <c r="AQS117" s="1056"/>
      <c r="AQT117" s="1056"/>
      <c r="AQU117" s="1056"/>
      <c r="AQV117" s="1056"/>
      <c r="AQW117" s="1056"/>
      <c r="AQX117" s="1056"/>
      <c r="AQY117" s="1056"/>
      <c r="AQZ117" s="1056"/>
      <c r="ARA117" s="1056"/>
      <c r="ARB117" s="1056"/>
      <c r="ARC117" s="1056"/>
      <c r="ARD117" s="1056"/>
      <c r="ARE117" s="1056"/>
      <c r="ARF117" s="1056"/>
      <c r="ARG117" s="1056"/>
      <c r="ARH117" s="1056"/>
      <c r="ARI117" s="1056"/>
      <c r="ARJ117" s="1056"/>
      <c r="ARK117" s="1056"/>
      <c r="ARL117" s="1056"/>
      <c r="ARM117" s="1056"/>
      <c r="ARN117" s="1056"/>
      <c r="ARO117" s="1056"/>
      <c r="ARP117" s="1056"/>
      <c r="ARQ117" s="1056"/>
      <c r="ARR117" s="1056"/>
      <c r="ARS117" s="1056"/>
      <c r="ART117" s="1056"/>
      <c r="ARU117" s="1056"/>
      <c r="ARV117" s="1056"/>
      <c r="ARW117" s="1056"/>
      <c r="ARX117" s="1056"/>
      <c r="ARY117" s="1056"/>
      <c r="ARZ117" s="1056"/>
      <c r="ASA117" s="1056"/>
      <c r="ASB117" s="1056"/>
      <c r="ASC117" s="1056"/>
      <c r="ASD117" s="1056"/>
      <c r="ASE117" s="1056"/>
      <c r="ASF117" s="1056"/>
      <c r="ASG117" s="1056"/>
      <c r="ASH117" s="1056"/>
      <c r="ASI117" s="1056"/>
      <c r="ASJ117" s="1056"/>
      <c r="ASK117" s="1056"/>
      <c r="ASL117" s="1056"/>
      <c r="ASM117" s="1056"/>
      <c r="ASN117" s="1056"/>
      <c r="ASO117" s="1056"/>
      <c r="ASP117" s="1056"/>
      <c r="ASQ117" s="1056"/>
      <c r="ASR117" s="1056"/>
      <c r="ASS117" s="1056"/>
      <c r="AST117" s="1056"/>
      <c r="ASU117" s="1056"/>
      <c r="ASV117" s="1056"/>
      <c r="ASW117" s="1056"/>
      <c r="ASX117" s="1056"/>
      <c r="ASY117" s="1056"/>
      <c r="ASZ117" s="1056"/>
      <c r="ATA117" s="1056"/>
      <c r="ATB117" s="1056"/>
      <c r="ATC117" s="1056"/>
      <c r="ATD117" s="1056"/>
      <c r="ATE117" s="1056"/>
      <c r="ATF117" s="1056"/>
      <c r="ATG117" s="1056"/>
      <c r="ATH117" s="1056"/>
      <c r="ATI117" s="1056"/>
      <c r="ATJ117" s="1056"/>
      <c r="ATK117" s="1056"/>
      <c r="ATL117" s="1056"/>
      <c r="ATM117" s="1056"/>
      <c r="ATN117" s="1056"/>
      <c r="ATO117" s="1056"/>
      <c r="ATP117" s="1056"/>
      <c r="ATQ117" s="1056"/>
      <c r="ATR117" s="1056"/>
      <c r="ATS117" s="1056"/>
      <c r="ATT117" s="1056"/>
      <c r="ATU117" s="1056"/>
      <c r="ATV117" s="1056"/>
      <c r="ATW117" s="1056"/>
      <c r="ATX117" s="1056"/>
      <c r="ATY117" s="1056"/>
      <c r="ATZ117" s="1056"/>
      <c r="AUA117" s="1056"/>
      <c r="AUB117" s="1056"/>
      <c r="AUC117" s="1056"/>
      <c r="AUD117" s="1056"/>
      <c r="AUE117" s="1056"/>
      <c r="AUF117" s="1056"/>
      <c r="AUG117" s="1056"/>
      <c r="AUH117" s="1056"/>
      <c r="AUI117" s="1056"/>
      <c r="AUJ117" s="1056"/>
      <c r="AUK117" s="1056"/>
      <c r="AUL117" s="1056"/>
      <c r="AUM117" s="1056"/>
      <c r="AUN117" s="1056"/>
      <c r="AUO117" s="1056"/>
      <c r="AUP117" s="1056"/>
      <c r="AUQ117" s="1056"/>
      <c r="AUR117" s="1056"/>
      <c r="AUS117" s="1056"/>
      <c r="AUT117" s="1056"/>
      <c r="AUU117" s="1056"/>
      <c r="AUV117" s="1056"/>
      <c r="AUW117" s="1056"/>
      <c r="AUX117" s="1056"/>
      <c r="AUY117" s="1056"/>
      <c r="AUZ117" s="1056"/>
      <c r="AVA117" s="1056"/>
      <c r="AVB117" s="1056"/>
      <c r="AVC117" s="1056"/>
      <c r="AVD117" s="1056"/>
      <c r="AVE117" s="1056"/>
      <c r="AVF117" s="1056"/>
      <c r="AVG117" s="1056"/>
      <c r="AVH117" s="1056"/>
      <c r="AVI117" s="1056"/>
      <c r="AVJ117" s="1056"/>
      <c r="AVK117" s="1056"/>
      <c r="AVL117" s="1056"/>
      <c r="AVM117" s="1056"/>
      <c r="AVN117" s="1056"/>
      <c r="AVO117" s="1056"/>
      <c r="AVP117" s="1056"/>
      <c r="AVQ117" s="1056"/>
      <c r="AVR117" s="1056"/>
      <c r="AVS117" s="1056"/>
      <c r="AVT117" s="1056"/>
      <c r="AVU117" s="1056"/>
      <c r="AVV117" s="1056"/>
      <c r="AVW117" s="1056"/>
      <c r="AVX117" s="1056"/>
      <c r="AVY117" s="1056"/>
      <c r="AVZ117" s="1056"/>
      <c r="AWA117" s="1056"/>
      <c r="AWB117" s="1056"/>
      <c r="AWC117" s="1056"/>
      <c r="AWD117" s="1056"/>
      <c r="AWE117" s="1056"/>
      <c r="AWF117" s="1056"/>
      <c r="AWG117" s="1056"/>
      <c r="AWH117" s="1056"/>
      <c r="AWI117" s="1056"/>
      <c r="AWJ117" s="1056"/>
      <c r="AWK117" s="1056"/>
      <c r="AWL117" s="1056"/>
      <c r="AWM117" s="1056"/>
      <c r="AWN117" s="1056"/>
      <c r="AWO117" s="1056"/>
      <c r="AWP117" s="1056"/>
      <c r="AWQ117" s="1056"/>
      <c r="AWR117" s="1056"/>
      <c r="AWS117" s="1056"/>
      <c r="AWT117" s="1056"/>
      <c r="AWU117" s="1056"/>
      <c r="AWV117" s="1056"/>
      <c r="AWW117" s="1056"/>
      <c r="AWX117" s="1056"/>
      <c r="AWY117" s="1056"/>
      <c r="AWZ117" s="1056"/>
      <c r="AXA117" s="1056"/>
      <c r="AXB117" s="1056"/>
      <c r="AXC117" s="1056"/>
      <c r="AXD117" s="1056"/>
      <c r="AXE117" s="1056"/>
      <c r="AXF117" s="1056"/>
      <c r="AXG117" s="1056"/>
      <c r="AXH117" s="1056"/>
      <c r="AXI117" s="1056"/>
      <c r="AXJ117" s="1056"/>
      <c r="AXK117" s="1056"/>
      <c r="AXL117" s="1056"/>
      <c r="AXM117" s="1056"/>
      <c r="AXN117" s="1056"/>
      <c r="AXO117" s="1056"/>
      <c r="AXP117" s="1056"/>
      <c r="AXQ117" s="1056"/>
      <c r="AXR117" s="1056"/>
      <c r="AXS117" s="1056"/>
      <c r="AXT117" s="1056"/>
      <c r="AXU117" s="1056"/>
      <c r="AXV117" s="1056"/>
      <c r="AXW117" s="1056"/>
      <c r="AXX117" s="1056"/>
      <c r="AXY117" s="1056"/>
      <c r="AXZ117" s="1056"/>
      <c r="AYA117" s="1056"/>
      <c r="AYB117" s="1056"/>
      <c r="AYC117" s="1056"/>
      <c r="AYD117" s="1056"/>
      <c r="AYE117" s="1056"/>
      <c r="AYF117" s="1056"/>
      <c r="AYG117" s="1056"/>
      <c r="AYH117" s="1056"/>
      <c r="AYI117" s="1056"/>
      <c r="AYJ117" s="1056"/>
      <c r="AYK117" s="1056"/>
      <c r="AYL117" s="1056"/>
      <c r="AYM117" s="1056"/>
      <c r="AYN117" s="1056"/>
      <c r="AYO117" s="1056"/>
      <c r="AYP117" s="1056"/>
      <c r="AYQ117" s="1056"/>
      <c r="AYR117" s="1056"/>
      <c r="AYS117" s="1056"/>
      <c r="AYT117" s="1056"/>
      <c r="AYU117" s="1056"/>
      <c r="AYV117" s="1056"/>
      <c r="AYW117" s="1056"/>
      <c r="AYX117" s="1056"/>
      <c r="AYY117" s="1056"/>
      <c r="AYZ117" s="1056"/>
      <c r="AZA117" s="1056"/>
      <c r="AZB117" s="1056"/>
      <c r="AZC117" s="1056"/>
      <c r="AZD117" s="1056"/>
      <c r="AZE117" s="1056"/>
      <c r="AZF117" s="1056"/>
      <c r="AZG117" s="1056"/>
      <c r="AZH117" s="1056"/>
      <c r="AZI117" s="1056"/>
      <c r="AZJ117" s="1056"/>
      <c r="AZK117" s="1056"/>
      <c r="AZL117" s="1056"/>
      <c r="AZM117" s="1056"/>
      <c r="AZN117" s="1056"/>
      <c r="AZO117" s="1056"/>
      <c r="AZP117" s="1056"/>
      <c r="AZQ117" s="1056"/>
      <c r="AZR117" s="1056"/>
      <c r="AZS117" s="1056"/>
      <c r="AZT117" s="1056"/>
      <c r="AZU117" s="1056"/>
      <c r="AZV117" s="1056"/>
      <c r="AZW117" s="1056"/>
      <c r="AZX117" s="1056"/>
      <c r="AZY117" s="1056"/>
      <c r="AZZ117" s="1056"/>
      <c r="BAA117" s="1056"/>
      <c r="BAB117" s="1056"/>
      <c r="BAC117" s="1056"/>
      <c r="BAD117" s="1056"/>
      <c r="BAE117" s="1056"/>
      <c r="BAF117" s="1056"/>
      <c r="BAG117" s="1056"/>
      <c r="BAH117" s="1056"/>
      <c r="BAI117" s="1056"/>
      <c r="BAJ117" s="1056"/>
      <c r="BAK117" s="1056"/>
      <c r="BAL117" s="1056"/>
      <c r="BAM117" s="1056"/>
      <c r="BAN117" s="1056"/>
      <c r="BAO117" s="1056"/>
      <c r="BAP117" s="1056"/>
      <c r="BAQ117" s="1056"/>
      <c r="BAR117" s="1056"/>
      <c r="BAS117" s="1056"/>
      <c r="BAT117" s="1056"/>
      <c r="BAU117" s="1056"/>
      <c r="BAV117" s="1056"/>
      <c r="BAW117" s="1056"/>
      <c r="BAX117" s="1056"/>
      <c r="BAY117" s="1056"/>
      <c r="BAZ117" s="1056"/>
      <c r="BBA117" s="1056"/>
      <c r="BBB117" s="1056"/>
      <c r="BBC117" s="1056"/>
      <c r="BBD117" s="1056"/>
      <c r="BBE117" s="1056"/>
      <c r="BBF117" s="1056"/>
      <c r="BBG117" s="1056"/>
      <c r="BBH117" s="1056"/>
      <c r="BBI117" s="1056"/>
      <c r="BBJ117" s="1056"/>
      <c r="BBK117" s="1056"/>
      <c r="BBL117" s="1056"/>
      <c r="BBM117" s="1056"/>
      <c r="BBN117" s="1056"/>
      <c r="BBO117" s="1056"/>
      <c r="BBP117" s="1056"/>
      <c r="BBQ117" s="1056"/>
      <c r="BBR117" s="1056"/>
      <c r="BBS117" s="1056"/>
      <c r="BBT117" s="1056"/>
      <c r="BBU117" s="1056"/>
      <c r="BBV117" s="1056"/>
      <c r="BBW117" s="1056"/>
      <c r="BBX117" s="1056"/>
      <c r="BBY117" s="1056"/>
      <c r="BBZ117" s="1056"/>
      <c r="BCA117" s="1056"/>
      <c r="BCB117" s="1056"/>
      <c r="BCC117" s="1056"/>
      <c r="BCD117" s="1056"/>
      <c r="BCE117" s="1056"/>
      <c r="BCF117" s="1056"/>
      <c r="BCG117" s="1056"/>
      <c r="BCH117" s="1056"/>
      <c r="BCI117" s="1056"/>
      <c r="BCJ117" s="1056"/>
      <c r="BCK117" s="1056"/>
      <c r="BCL117" s="1056"/>
      <c r="BCM117" s="1056"/>
      <c r="BCN117" s="1056"/>
      <c r="BCO117" s="1056"/>
      <c r="BCP117" s="1056"/>
      <c r="BCQ117" s="1056"/>
      <c r="BCR117" s="1056"/>
      <c r="BCS117" s="1056"/>
      <c r="BCT117" s="1056"/>
      <c r="BCU117" s="1056"/>
      <c r="BCV117" s="1056"/>
      <c r="BCW117" s="1056"/>
      <c r="BCX117" s="1056"/>
      <c r="BCY117" s="1056"/>
      <c r="BCZ117" s="1056"/>
      <c r="BDA117" s="1056"/>
      <c r="BDB117" s="1056"/>
      <c r="BDC117" s="1056"/>
      <c r="BDD117" s="1056"/>
      <c r="BDE117" s="1056"/>
      <c r="BDF117" s="1056"/>
      <c r="BDG117" s="1056"/>
      <c r="BDH117" s="1056"/>
      <c r="BDI117" s="1056"/>
      <c r="BDJ117" s="1056"/>
      <c r="BDK117" s="1056"/>
      <c r="BDL117" s="1056"/>
      <c r="BDM117" s="1056"/>
      <c r="BDN117" s="1056"/>
      <c r="BDO117" s="1056"/>
      <c r="BDP117" s="1056"/>
      <c r="BDQ117" s="1056"/>
      <c r="BDR117" s="1056"/>
      <c r="BDS117" s="1056"/>
      <c r="BDT117" s="1056"/>
      <c r="BDU117" s="1056"/>
      <c r="BDV117" s="1056"/>
      <c r="BDW117" s="1056"/>
      <c r="BDX117" s="1056"/>
      <c r="BDY117" s="1056"/>
      <c r="BDZ117" s="1056"/>
      <c r="BEA117" s="1056"/>
      <c r="BEB117" s="1056"/>
      <c r="BEC117" s="1056"/>
      <c r="BED117" s="1056"/>
      <c r="BEE117" s="1056"/>
      <c r="BEF117" s="1056"/>
      <c r="BEG117" s="1056"/>
      <c r="BEH117" s="1056"/>
      <c r="BEI117" s="1056"/>
      <c r="BEJ117" s="1056"/>
      <c r="BEK117" s="1056"/>
      <c r="BEL117" s="1056"/>
      <c r="BEM117" s="1056"/>
      <c r="BEN117" s="1056"/>
      <c r="BEO117" s="1056"/>
      <c r="BEP117" s="1056"/>
      <c r="BEQ117" s="1056"/>
      <c r="BER117" s="1056"/>
      <c r="BES117" s="1056"/>
      <c r="BET117" s="1056"/>
      <c r="BEU117" s="1056"/>
      <c r="BEV117" s="1056"/>
      <c r="BEW117" s="1056"/>
      <c r="BEX117" s="1056"/>
      <c r="BEY117" s="1056"/>
      <c r="BEZ117" s="1056"/>
      <c r="BFA117" s="1056"/>
      <c r="BFB117" s="1056"/>
      <c r="BFC117" s="1056"/>
      <c r="BFD117" s="1056"/>
      <c r="BFE117" s="1056"/>
      <c r="BFF117" s="1056"/>
      <c r="BFG117" s="1056"/>
      <c r="BFH117" s="1056"/>
      <c r="BFI117" s="1056"/>
      <c r="BFJ117" s="1056"/>
      <c r="BFK117" s="1056"/>
      <c r="BFL117" s="1056"/>
      <c r="BFM117" s="1056"/>
      <c r="BFN117" s="1056"/>
      <c r="BFO117" s="1056"/>
      <c r="BFP117" s="1056"/>
      <c r="BFQ117" s="1056"/>
      <c r="BFR117" s="1056"/>
      <c r="BFS117" s="1056"/>
      <c r="BFT117" s="1056"/>
      <c r="BFU117" s="1056"/>
      <c r="BFV117" s="1056"/>
      <c r="BFW117" s="1056"/>
      <c r="BFX117" s="1056"/>
      <c r="BFY117" s="1056"/>
      <c r="BFZ117" s="1056"/>
      <c r="BGA117" s="1056"/>
      <c r="BGB117" s="1056"/>
      <c r="BGC117" s="1056"/>
      <c r="BGD117" s="1056"/>
      <c r="BGE117" s="1056"/>
      <c r="BGF117" s="1056"/>
      <c r="BGG117" s="1056"/>
      <c r="BGH117" s="1056"/>
      <c r="BGI117" s="1056"/>
      <c r="BGJ117" s="1056"/>
      <c r="BGK117" s="1056"/>
      <c r="BGL117" s="1056"/>
      <c r="BGM117" s="1056"/>
      <c r="BGN117" s="1056"/>
      <c r="BGO117" s="1056"/>
      <c r="BGP117" s="1056"/>
      <c r="BGQ117" s="1056"/>
      <c r="BGR117" s="1056"/>
      <c r="BGS117" s="1056"/>
      <c r="BGT117" s="1056"/>
      <c r="BGU117" s="1056"/>
      <c r="BGV117" s="1056"/>
      <c r="BGW117" s="1056"/>
      <c r="BGX117" s="1056"/>
      <c r="BGY117" s="1056"/>
      <c r="BGZ117" s="1056"/>
      <c r="BHA117" s="1056"/>
      <c r="BHB117" s="1056"/>
      <c r="BHC117" s="1056"/>
      <c r="BHD117" s="1056"/>
      <c r="BHE117" s="1056"/>
      <c r="BHF117" s="1056"/>
      <c r="BHG117" s="1056"/>
      <c r="BHH117" s="1056"/>
      <c r="BHI117" s="1056"/>
      <c r="BHJ117" s="1056"/>
      <c r="BHK117" s="1056"/>
      <c r="BHL117" s="1056"/>
      <c r="BHM117" s="1056"/>
      <c r="BHN117" s="1056"/>
      <c r="BHO117" s="1056"/>
      <c r="BHP117" s="1056"/>
      <c r="BHQ117" s="1056"/>
      <c r="BHR117" s="1056"/>
      <c r="BHS117" s="1056"/>
      <c r="BHT117" s="1056"/>
      <c r="BHU117" s="1056"/>
      <c r="BHV117" s="1056"/>
      <c r="BHW117" s="1056"/>
      <c r="BHX117" s="1056"/>
      <c r="BHY117" s="1056"/>
      <c r="BHZ117" s="1056"/>
      <c r="BIA117" s="1056"/>
      <c r="BIB117" s="1056"/>
      <c r="BIC117" s="1056"/>
      <c r="BID117" s="1056"/>
      <c r="BIE117" s="1056"/>
      <c r="BIF117" s="1056"/>
      <c r="BIG117" s="1056"/>
      <c r="BIH117" s="1056"/>
      <c r="BII117" s="1056"/>
      <c r="BIJ117" s="1056"/>
      <c r="BIK117" s="1056"/>
      <c r="BIL117" s="1056"/>
      <c r="BIM117" s="1056"/>
      <c r="BIN117" s="1056"/>
      <c r="BIO117" s="1056"/>
      <c r="BIP117" s="1056"/>
      <c r="BIQ117" s="1056"/>
      <c r="BIR117" s="1056"/>
      <c r="BIS117" s="1056"/>
      <c r="BIT117" s="1056"/>
      <c r="BIU117" s="1056"/>
      <c r="BIV117" s="1056"/>
      <c r="BIW117" s="1056"/>
      <c r="BIX117" s="1056"/>
      <c r="BIY117" s="1056"/>
      <c r="BIZ117" s="1056"/>
      <c r="BJA117" s="1056"/>
      <c r="BJB117" s="1056"/>
      <c r="BJC117" s="1056"/>
      <c r="BJD117" s="1056"/>
      <c r="BJE117" s="1056"/>
      <c r="BJF117" s="1056"/>
      <c r="BJG117" s="1056"/>
      <c r="BJH117" s="1056"/>
      <c r="BJI117" s="1056"/>
      <c r="BJJ117" s="1056"/>
      <c r="BJK117" s="1056"/>
      <c r="BJL117" s="1056"/>
      <c r="BJM117" s="1056"/>
      <c r="BJN117" s="1056"/>
      <c r="BJO117" s="1056"/>
      <c r="BJP117" s="1056"/>
      <c r="BJQ117" s="1056"/>
      <c r="BJR117" s="1056"/>
      <c r="BJS117" s="1056"/>
      <c r="BJT117" s="1056"/>
      <c r="BJU117" s="1056"/>
      <c r="BJV117" s="1056"/>
      <c r="BJW117" s="1056"/>
      <c r="BJX117" s="1056"/>
      <c r="BJY117" s="1056"/>
      <c r="BJZ117" s="1056"/>
      <c r="BKA117" s="1056"/>
      <c r="BKB117" s="1056"/>
      <c r="BKC117" s="1056"/>
      <c r="BKD117" s="1056"/>
      <c r="BKE117" s="1056"/>
      <c r="BKF117" s="1056"/>
      <c r="BKG117" s="1056"/>
      <c r="BKH117" s="1056"/>
      <c r="BKI117" s="1056"/>
      <c r="BKJ117" s="1056"/>
      <c r="BKK117" s="1056"/>
      <c r="BKL117" s="1056"/>
      <c r="BKM117" s="1056"/>
      <c r="BKN117" s="1056"/>
      <c r="BKO117" s="1056"/>
      <c r="BKP117" s="1056"/>
      <c r="BKQ117" s="1056"/>
      <c r="BKR117" s="1056"/>
      <c r="BKS117" s="1056"/>
      <c r="BKT117" s="1056"/>
      <c r="BKU117" s="1056"/>
      <c r="BKV117" s="1056"/>
      <c r="BKW117" s="1056"/>
      <c r="BKX117" s="1056"/>
      <c r="BKY117" s="1056"/>
      <c r="BKZ117" s="1056"/>
      <c r="BLA117" s="1056"/>
      <c r="BLB117" s="1056"/>
      <c r="BLC117" s="1056"/>
      <c r="BLD117" s="1056"/>
      <c r="BLE117" s="1056"/>
      <c r="BLF117" s="1056"/>
      <c r="BLG117" s="1056"/>
      <c r="BLH117" s="1056"/>
      <c r="BLI117" s="1056"/>
      <c r="BLJ117" s="1056"/>
      <c r="BLK117" s="1056"/>
      <c r="BLL117" s="1056"/>
      <c r="BLM117" s="1056"/>
      <c r="BLN117" s="1056"/>
      <c r="BLO117" s="1056"/>
      <c r="BLP117" s="1056"/>
      <c r="BLQ117" s="1056"/>
      <c r="BLR117" s="1056"/>
      <c r="BLS117" s="1056"/>
      <c r="BLT117" s="1056"/>
      <c r="BLU117" s="1056"/>
      <c r="BLV117" s="1056"/>
      <c r="BLW117" s="1056"/>
      <c r="BLX117" s="1056"/>
      <c r="BLY117" s="1056"/>
      <c r="BLZ117" s="1056"/>
      <c r="BMA117" s="1056"/>
      <c r="BMB117" s="1056"/>
      <c r="BMC117" s="1056"/>
      <c r="BMD117" s="1056"/>
      <c r="BME117" s="1056"/>
      <c r="BMF117" s="1056"/>
      <c r="BMG117" s="1056"/>
      <c r="BMH117" s="1056"/>
      <c r="BMI117" s="1056"/>
      <c r="BMJ117" s="1056"/>
      <c r="BMK117" s="1056"/>
      <c r="BML117" s="1056"/>
      <c r="BMM117" s="1056"/>
      <c r="BMN117" s="1056"/>
      <c r="BMO117" s="1056"/>
      <c r="BMP117" s="1056"/>
      <c r="BMQ117" s="1056"/>
      <c r="BMR117" s="1056"/>
      <c r="BMS117" s="1056"/>
      <c r="BMT117" s="1056"/>
      <c r="BMU117" s="1056"/>
      <c r="BMV117" s="1056"/>
      <c r="BMW117" s="1056"/>
      <c r="BMX117" s="1056"/>
      <c r="BMY117" s="1056"/>
      <c r="BMZ117" s="1056"/>
      <c r="BNA117" s="1056"/>
      <c r="BNB117" s="1056"/>
      <c r="BNC117" s="1056"/>
      <c r="BND117" s="1056"/>
      <c r="BNE117" s="1056"/>
      <c r="BNF117" s="1056"/>
      <c r="BNG117" s="1056"/>
      <c r="BNH117" s="1056"/>
      <c r="BNI117" s="1056"/>
      <c r="BNJ117" s="1056"/>
      <c r="BNK117" s="1056"/>
      <c r="BNL117" s="1056"/>
      <c r="BNM117" s="1056"/>
      <c r="BNN117" s="1056"/>
      <c r="BNO117" s="1056"/>
      <c r="BNP117" s="1056"/>
      <c r="BNQ117" s="1056"/>
      <c r="BNR117" s="1056"/>
      <c r="BNS117" s="1056"/>
      <c r="BNT117" s="1056"/>
      <c r="BNU117" s="1056"/>
      <c r="BNV117" s="1056"/>
      <c r="BNW117" s="1056"/>
      <c r="BNX117" s="1056"/>
      <c r="BNY117" s="1056"/>
      <c r="BNZ117" s="1056"/>
      <c r="BOA117" s="1056"/>
      <c r="BOB117" s="1056"/>
      <c r="BOC117" s="1056"/>
      <c r="BOD117" s="1056"/>
      <c r="BOE117" s="1056"/>
      <c r="BOF117" s="1056"/>
      <c r="BOG117" s="1056"/>
      <c r="BOH117" s="1056"/>
      <c r="BOI117" s="1056"/>
      <c r="BOJ117" s="1056"/>
      <c r="BOK117" s="1056"/>
      <c r="BOL117" s="1056"/>
      <c r="BOM117" s="1056"/>
      <c r="BON117" s="1056"/>
      <c r="BOO117" s="1056"/>
      <c r="BOP117" s="1056"/>
      <c r="BOQ117" s="1056"/>
      <c r="BOR117" s="1056"/>
      <c r="BOS117" s="1056"/>
      <c r="BOT117" s="1056"/>
      <c r="BOU117" s="1056"/>
      <c r="BOV117" s="1056"/>
      <c r="BOW117" s="1056"/>
      <c r="BOX117" s="1056"/>
      <c r="BOY117" s="1056"/>
      <c r="BOZ117" s="1056"/>
      <c r="BPA117" s="1056"/>
      <c r="BPB117" s="1056"/>
      <c r="BPC117" s="1056"/>
      <c r="BPD117" s="1056"/>
      <c r="BPE117" s="1056"/>
      <c r="BPF117" s="1056"/>
      <c r="BPG117" s="1056"/>
      <c r="BPH117" s="1056"/>
      <c r="BPI117" s="1056"/>
      <c r="BPJ117" s="1056"/>
      <c r="BPK117" s="1056"/>
      <c r="BPL117" s="1056"/>
      <c r="BPM117" s="1056"/>
      <c r="BPN117" s="1056"/>
      <c r="BPO117" s="1056"/>
      <c r="BPP117" s="1056"/>
      <c r="BPQ117" s="1056"/>
      <c r="BPR117" s="1056"/>
      <c r="BPS117" s="1056"/>
      <c r="BPT117" s="1056"/>
      <c r="BPU117" s="1056"/>
      <c r="BPV117" s="1056"/>
      <c r="BPW117" s="1056"/>
      <c r="BPX117" s="1056"/>
      <c r="BPY117" s="1056"/>
      <c r="BPZ117" s="1056"/>
      <c r="BQA117" s="1056"/>
      <c r="BQB117" s="1056"/>
      <c r="BQC117" s="1056"/>
      <c r="BQD117" s="1056"/>
      <c r="BQE117" s="1056"/>
      <c r="BQF117" s="1056"/>
      <c r="BQG117" s="1056"/>
      <c r="BQH117" s="1056"/>
      <c r="BQI117" s="1056"/>
      <c r="BQJ117" s="1056"/>
      <c r="BQK117" s="1056"/>
      <c r="BQL117" s="1056"/>
      <c r="BQM117" s="1056"/>
      <c r="BQN117" s="1056"/>
      <c r="BQO117" s="1056"/>
      <c r="BQP117" s="1056"/>
      <c r="BQQ117" s="1056"/>
      <c r="BQR117" s="1056"/>
      <c r="BQS117" s="1056"/>
      <c r="BQT117" s="1056"/>
      <c r="BQU117" s="1056"/>
      <c r="BQV117" s="1056"/>
      <c r="BQW117" s="1056"/>
      <c r="BQX117" s="1056"/>
      <c r="BQY117" s="1056"/>
      <c r="BQZ117" s="1056"/>
      <c r="BRA117" s="1056"/>
      <c r="BRB117" s="1056"/>
      <c r="BRC117" s="1056"/>
      <c r="BRD117" s="1056"/>
      <c r="BRE117" s="1056"/>
      <c r="BRF117" s="1056"/>
      <c r="BRG117" s="1056"/>
      <c r="BRH117" s="1056"/>
      <c r="BRI117" s="1056"/>
      <c r="BRJ117" s="1056"/>
      <c r="BRK117" s="1056"/>
      <c r="BRL117" s="1056"/>
      <c r="BRM117" s="1056"/>
      <c r="BRN117" s="1056"/>
      <c r="BRO117" s="1056"/>
      <c r="BRP117" s="1056"/>
      <c r="BRQ117" s="1056"/>
      <c r="BRR117" s="1056"/>
      <c r="BRS117" s="1056"/>
      <c r="BRT117" s="1056"/>
      <c r="BRU117" s="1056"/>
      <c r="BRV117" s="1056"/>
      <c r="BRW117" s="1056"/>
      <c r="BRX117" s="1056"/>
      <c r="BRY117" s="1056"/>
      <c r="BRZ117" s="1056"/>
      <c r="BSA117" s="1056"/>
      <c r="BSB117" s="1056"/>
      <c r="BSC117" s="1056"/>
      <c r="BSD117" s="1056"/>
      <c r="BSE117" s="1056"/>
      <c r="BSF117" s="1056"/>
      <c r="BSG117" s="1056"/>
      <c r="BSH117" s="1056"/>
      <c r="BSI117" s="1056"/>
      <c r="BSJ117" s="1056"/>
      <c r="BSK117" s="1056"/>
      <c r="BSL117" s="1056"/>
      <c r="BSM117" s="1056"/>
      <c r="BSN117" s="1056"/>
      <c r="BSO117" s="1056"/>
      <c r="BSP117" s="1056"/>
      <c r="BSQ117" s="1056"/>
      <c r="BSR117" s="1056"/>
      <c r="BSS117" s="1056"/>
      <c r="BST117" s="1056"/>
      <c r="BSU117" s="1056"/>
      <c r="BSV117" s="1056"/>
      <c r="BSW117" s="1056"/>
      <c r="BSX117" s="1056"/>
      <c r="BSY117" s="1056"/>
      <c r="BSZ117" s="1056"/>
      <c r="BTA117" s="1056"/>
      <c r="BTB117" s="1056"/>
      <c r="BTC117" s="1056"/>
      <c r="BTD117" s="1056"/>
      <c r="BTE117" s="1056"/>
      <c r="BTF117" s="1056"/>
      <c r="BTG117" s="1056"/>
      <c r="BTH117" s="1056"/>
      <c r="BTI117" s="1056"/>
    </row>
    <row r="118" spans="1:1881" s="1060" customFormat="1" ht="93" hidden="1" customHeight="1" thickBot="1" x14ac:dyDescent="0.35">
      <c r="A118" s="1071">
        <v>41</v>
      </c>
      <c r="B118" s="1069" t="s">
        <v>345</v>
      </c>
      <c r="C118" s="1072" t="s">
        <v>1034</v>
      </c>
      <c r="D118" s="1075" t="s">
        <v>1385</v>
      </c>
      <c r="E118" s="1053" t="e">
        <f>HLOOKUP($D$2,'2020 Data(H)'!$C$1:$AI$426,29,FALSE)</f>
        <v>#N/A</v>
      </c>
      <c r="F118" s="287">
        <v>0</v>
      </c>
      <c r="G118" s="722"/>
      <c r="H118" s="764"/>
      <c r="I118" s="1055"/>
      <c r="J118" s="1068"/>
      <c r="K118" s="1056"/>
      <c r="L118" s="1057"/>
      <c r="M118" s="1056"/>
      <c r="N118" s="1058"/>
      <c r="O118" s="1056"/>
      <c r="P118" s="1056"/>
      <c r="Q118" s="1056"/>
      <c r="R118" s="1056"/>
      <c r="S118" s="1056"/>
      <c r="T118" s="1056"/>
      <c r="U118" s="1056"/>
      <c r="V118" s="1056"/>
      <c r="W118" s="1056"/>
      <c r="X118" s="1056"/>
      <c r="Y118" s="1056"/>
      <c r="Z118" s="1073"/>
      <c r="AA118" s="1073"/>
      <c r="AB118" s="1073"/>
      <c r="AC118" s="1073"/>
      <c r="AD118" s="1073"/>
      <c r="AE118" s="1073"/>
      <c r="AF118" s="1073"/>
      <c r="AG118" s="1073"/>
      <c r="AH118" s="1073"/>
      <c r="AI118" s="1073"/>
      <c r="AJ118" s="1073"/>
      <c r="AK118" s="1073"/>
      <c r="AL118" s="1073"/>
      <c r="AM118" s="1073"/>
      <c r="AN118" s="1073"/>
      <c r="AO118" s="1073"/>
      <c r="AP118" s="1073"/>
      <c r="AQ118" s="1073"/>
      <c r="AR118" s="1073"/>
      <c r="AS118" s="1056"/>
      <c r="AT118" s="1056"/>
      <c r="AU118" s="1056"/>
      <c r="AV118" s="1056"/>
      <c r="AW118" s="1056"/>
      <c r="AX118" s="1056"/>
      <c r="AY118" s="1056"/>
      <c r="AZ118" s="1056"/>
      <c r="BA118" s="1056"/>
      <c r="BB118" s="1056"/>
      <c r="BC118" s="1056"/>
      <c r="BD118" s="1056"/>
      <c r="BE118" s="1056"/>
      <c r="BF118" s="1056"/>
      <c r="BG118" s="1056"/>
      <c r="BH118" s="1056"/>
      <c r="BI118" s="1056"/>
      <c r="BJ118" s="1056"/>
      <c r="BK118" s="1056"/>
      <c r="BL118" s="1056"/>
      <c r="BM118" s="1056"/>
      <c r="BN118" s="1056"/>
      <c r="BO118" s="1056"/>
      <c r="BP118" s="1056"/>
      <c r="BQ118" s="1056"/>
      <c r="BR118" s="1056"/>
      <c r="BS118" s="1056"/>
      <c r="BT118" s="1056"/>
      <c r="BU118" s="1056"/>
      <c r="BV118" s="1056"/>
      <c r="BW118" s="1056"/>
      <c r="BX118" s="1056"/>
      <c r="BY118" s="1056"/>
      <c r="BZ118" s="1056"/>
      <c r="CA118" s="1056"/>
      <c r="CB118" s="1056"/>
      <c r="CC118" s="1056"/>
      <c r="CD118" s="1056"/>
      <c r="CE118" s="1056"/>
      <c r="CF118" s="1056"/>
      <c r="CG118" s="1056"/>
      <c r="CH118" s="1056"/>
      <c r="CI118" s="1056"/>
      <c r="CJ118" s="1056"/>
      <c r="CK118" s="1056"/>
      <c r="CL118" s="1056"/>
      <c r="CM118" s="1056"/>
      <c r="CN118" s="1056"/>
      <c r="CO118" s="1056"/>
      <c r="CP118" s="1056"/>
      <c r="CQ118" s="1056"/>
      <c r="CR118" s="1056"/>
      <c r="CS118" s="1056"/>
      <c r="CT118" s="1056"/>
      <c r="CU118" s="1056"/>
      <c r="CV118" s="1056"/>
      <c r="CW118" s="1056"/>
      <c r="CX118" s="1056"/>
      <c r="CY118" s="1056"/>
      <c r="CZ118" s="1056"/>
      <c r="DA118" s="1056"/>
      <c r="DB118" s="1056"/>
      <c r="DC118" s="1056"/>
      <c r="DD118" s="1056"/>
      <c r="DE118" s="1056"/>
      <c r="DF118" s="1056"/>
      <c r="DG118" s="1056"/>
      <c r="DH118" s="1056"/>
      <c r="DI118" s="1056"/>
      <c r="DJ118" s="1056"/>
      <c r="DK118" s="1056"/>
      <c r="DL118" s="1056"/>
      <c r="DM118" s="1056"/>
      <c r="DN118" s="1056"/>
      <c r="DO118" s="1056"/>
      <c r="DP118" s="1056"/>
      <c r="DQ118" s="1056"/>
      <c r="DR118" s="1056"/>
      <c r="DS118" s="1056"/>
      <c r="DT118" s="1056"/>
      <c r="DU118" s="1056"/>
      <c r="DV118" s="1056"/>
      <c r="DW118" s="1056"/>
      <c r="DX118" s="1056"/>
      <c r="DY118" s="1056"/>
      <c r="DZ118" s="1056"/>
      <c r="EA118" s="1056"/>
      <c r="EB118" s="1056"/>
      <c r="EC118" s="1056"/>
      <c r="ED118" s="1056"/>
      <c r="EE118" s="1056"/>
      <c r="EF118" s="1056"/>
      <c r="EG118" s="1056"/>
      <c r="EH118" s="1056"/>
      <c r="EI118" s="1056"/>
      <c r="EJ118" s="1056"/>
      <c r="EK118" s="1056"/>
      <c r="EL118" s="1056"/>
      <c r="EM118" s="1056"/>
      <c r="EN118" s="1056"/>
      <c r="EO118" s="1056"/>
      <c r="EP118" s="1056"/>
      <c r="EQ118" s="1056"/>
      <c r="ER118" s="1056"/>
      <c r="ES118" s="1056"/>
      <c r="ET118" s="1056"/>
      <c r="EU118" s="1056"/>
      <c r="EV118" s="1056"/>
      <c r="EW118" s="1056"/>
      <c r="EX118" s="1056"/>
      <c r="EY118" s="1056"/>
      <c r="EZ118" s="1056"/>
      <c r="FA118" s="1056"/>
      <c r="FB118" s="1056"/>
      <c r="FC118" s="1056"/>
      <c r="FD118" s="1056"/>
      <c r="FE118" s="1056"/>
      <c r="FF118" s="1056"/>
      <c r="FG118" s="1056"/>
      <c r="FH118" s="1056"/>
      <c r="FI118" s="1056"/>
      <c r="FJ118" s="1056"/>
      <c r="FK118" s="1056"/>
      <c r="FL118" s="1056"/>
      <c r="FM118" s="1056"/>
      <c r="FN118" s="1056"/>
      <c r="FO118" s="1056"/>
      <c r="FP118" s="1056"/>
      <c r="FQ118" s="1056"/>
      <c r="FR118" s="1056"/>
      <c r="FS118" s="1056"/>
      <c r="FT118" s="1056"/>
      <c r="FU118" s="1056"/>
      <c r="FV118" s="1056"/>
      <c r="FW118" s="1056"/>
      <c r="FX118" s="1056"/>
      <c r="FY118" s="1056"/>
      <c r="FZ118" s="1056"/>
      <c r="GA118" s="1056"/>
      <c r="GB118" s="1056"/>
      <c r="GC118" s="1056"/>
      <c r="GD118" s="1056"/>
      <c r="GE118" s="1056"/>
      <c r="GF118" s="1056"/>
      <c r="GG118" s="1056"/>
      <c r="GH118" s="1056"/>
      <c r="GI118" s="1056"/>
      <c r="GJ118" s="1056"/>
      <c r="GK118" s="1056"/>
      <c r="GL118" s="1056"/>
      <c r="GM118" s="1056"/>
      <c r="GN118" s="1056"/>
      <c r="GO118" s="1056"/>
      <c r="GP118" s="1056"/>
      <c r="GQ118" s="1056"/>
      <c r="GR118" s="1056"/>
      <c r="GS118" s="1056"/>
      <c r="GT118" s="1056"/>
      <c r="GU118" s="1056"/>
      <c r="GV118" s="1056"/>
      <c r="GW118" s="1056"/>
      <c r="GX118" s="1056"/>
      <c r="GY118" s="1056"/>
      <c r="GZ118" s="1056"/>
      <c r="HA118" s="1056"/>
      <c r="HB118" s="1056"/>
      <c r="HC118" s="1056"/>
      <c r="HD118" s="1056"/>
      <c r="HE118" s="1056"/>
      <c r="HF118" s="1056"/>
      <c r="HG118" s="1056"/>
      <c r="HH118" s="1056"/>
      <c r="HI118" s="1056"/>
      <c r="HJ118" s="1056"/>
      <c r="HK118" s="1056"/>
      <c r="HL118" s="1056"/>
      <c r="HM118" s="1056"/>
      <c r="HN118" s="1056"/>
      <c r="HO118" s="1056"/>
      <c r="HP118" s="1056"/>
      <c r="HQ118" s="1056"/>
      <c r="HR118" s="1056"/>
      <c r="HS118" s="1056"/>
      <c r="HT118" s="1056"/>
      <c r="HU118" s="1056"/>
      <c r="HV118" s="1056"/>
      <c r="HW118" s="1056"/>
      <c r="HX118" s="1056"/>
      <c r="HY118" s="1056"/>
      <c r="HZ118" s="1056"/>
      <c r="IA118" s="1056"/>
      <c r="IB118" s="1056"/>
      <c r="IC118" s="1056"/>
      <c r="ID118" s="1056"/>
      <c r="IE118" s="1056"/>
      <c r="IF118" s="1056"/>
      <c r="IG118" s="1056"/>
      <c r="IH118" s="1056"/>
      <c r="II118" s="1056"/>
      <c r="IJ118" s="1056"/>
      <c r="IK118" s="1056"/>
      <c r="IL118" s="1056"/>
      <c r="IM118" s="1056"/>
      <c r="IN118" s="1056"/>
      <c r="IO118" s="1056"/>
      <c r="IP118" s="1056"/>
      <c r="IQ118" s="1056"/>
      <c r="IR118" s="1056"/>
      <c r="IS118" s="1056"/>
      <c r="IT118" s="1056"/>
      <c r="IU118" s="1056"/>
      <c r="IV118" s="1056"/>
      <c r="IW118" s="1056"/>
      <c r="IX118" s="1056"/>
      <c r="IY118" s="1056"/>
      <c r="IZ118" s="1056"/>
      <c r="JA118" s="1056"/>
      <c r="JB118" s="1056"/>
      <c r="JC118" s="1056"/>
      <c r="JD118" s="1056"/>
      <c r="JE118" s="1056"/>
      <c r="JF118" s="1056"/>
      <c r="JG118" s="1056"/>
      <c r="JH118" s="1056"/>
      <c r="JI118" s="1056"/>
      <c r="JJ118" s="1056"/>
      <c r="JK118" s="1056"/>
      <c r="JL118" s="1056"/>
      <c r="JM118" s="1056"/>
      <c r="JN118" s="1056"/>
      <c r="JO118" s="1056"/>
      <c r="JP118" s="1056"/>
      <c r="JQ118" s="1056"/>
      <c r="JR118" s="1056"/>
      <c r="JS118" s="1056"/>
      <c r="JT118" s="1056"/>
      <c r="JU118" s="1056"/>
      <c r="JV118" s="1056"/>
      <c r="JW118" s="1056"/>
      <c r="JX118" s="1056"/>
      <c r="JY118" s="1056"/>
      <c r="JZ118" s="1056"/>
      <c r="KA118" s="1056"/>
      <c r="KB118" s="1056"/>
      <c r="KC118" s="1056"/>
      <c r="KD118" s="1056"/>
      <c r="KE118" s="1056"/>
      <c r="KF118" s="1056"/>
      <c r="KG118" s="1056"/>
      <c r="KH118" s="1056"/>
      <c r="KI118" s="1056"/>
      <c r="KJ118" s="1056"/>
      <c r="KK118" s="1056"/>
      <c r="KL118" s="1056"/>
      <c r="KM118" s="1056"/>
      <c r="KN118" s="1056"/>
      <c r="KO118" s="1056"/>
      <c r="KP118" s="1056"/>
      <c r="KQ118" s="1056"/>
      <c r="KR118" s="1056"/>
      <c r="KS118" s="1056"/>
      <c r="KT118" s="1056"/>
      <c r="KU118" s="1056"/>
      <c r="KV118" s="1056"/>
      <c r="KW118" s="1056"/>
      <c r="KX118" s="1056"/>
      <c r="KY118" s="1056"/>
      <c r="KZ118" s="1056"/>
      <c r="LA118" s="1056"/>
      <c r="LB118" s="1056"/>
      <c r="LC118" s="1056"/>
      <c r="LD118" s="1056"/>
      <c r="LE118" s="1056"/>
      <c r="LF118" s="1056"/>
      <c r="LG118" s="1056"/>
      <c r="LH118" s="1056"/>
      <c r="LI118" s="1056"/>
      <c r="LJ118" s="1056"/>
      <c r="LK118" s="1056"/>
      <c r="LL118" s="1056"/>
      <c r="LM118" s="1056"/>
      <c r="LN118" s="1056"/>
      <c r="LO118" s="1056"/>
      <c r="LP118" s="1056"/>
      <c r="LQ118" s="1056"/>
      <c r="LR118" s="1056"/>
      <c r="LS118" s="1056"/>
      <c r="LT118" s="1056"/>
      <c r="LU118" s="1056"/>
      <c r="LV118" s="1056"/>
      <c r="LW118" s="1056"/>
      <c r="LX118" s="1056"/>
      <c r="LY118" s="1056"/>
      <c r="LZ118" s="1056"/>
      <c r="MA118" s="1056"/>
      <c r="MB118" s="1056"/>
      <c r="MC118" s="1056"/>
      <c r="MD118" s="1056"/>
      <c r="ME118" s="1056"/>
      <c r="MF118" s="1056"/>
      <c r="MG118" s="1056"/>
      <c r="MH118" s="1056"/>
      <c r="MI118" s="1056"/>
      <c r="MJ118" s="1056"/>
      <c r="MK118" s="1056"/>
      <c r="ML118" s="1056"/>
      <c r="MM118" s="1056"/>
      <c r="MN118" s="1056"/>
      <c r="MO118" s="1056"/>
      <c r="MP118" s="1056"/>
      <c r="MQ118" s="1056"/>
      <c r="MR118" s="1056"/>
      <c r="MS118" s="1056"/>
      <c r="MT118" s="1056"/>
      <c r="MU118" s="1056"/>
      <c r="MV118" s="1056"/>
      <c r="MW118" s="1056"/>
      <c r="MX118" s="1056"/>
      <c r="MY118" s="1056"/>
      <c r="MZ118" s="1056"/>
      <c r="NA118" s="1056"/>
      <c r="NB118" s="1056"/>
      <c r="NC118" s="1056"/>
      <c r="ND118" s="1056"/>
      <c r="NE118" s="1056"/>
      <c r="NF118" s="1056"/>
      <c r="NG118" s="1056"/>
      <c r="NH118" s="1056"/>
      <c r="NI118" s="1056"/>
      <c r="NJ118" s="1056"/>
      <c r="NK118" s="1056"/>
      <c r="NL118" s="1056"/>
      <c r="NM118" s="1056"/>
      <c r="NN118" s="1056"/>
      <c r="NO118" s="1056"/>
      <c r="NP118" s="1056"/>
      <c r="NQ118" s="1056"/>
      <c r="NR118" s="1056"/>
      <c r="NS118" s="1056"/>
      <c r="NT118" s="1056"/>
      <c r="NU118" s="1056"/>
      <c r="NV118" s="1056"/>
      <c r="NW118" s="1056"/>
      <c r="NX118" s="1056"/>
      <c r="NY118" s="1056"/>
      <c r="NZ118" s="1056"/>
      <c r="OA118" s="1056"/>
      <c r="OB118" s="1056"/>
      <c r="OC118" s="1056"/>
      <c r="OD118" s="1056"/>
      <c r="OE118" s="1056"/>
      <c r="OF118" s="1056"/>
      <c r="OG118" s="1056"/>
      <c r="OH118" s="1056"/>
      <c r="OI118" s="1056"/>
      <c r="OJ118" s="1056"/>
      <c r="OK118" s="1056"/>
      <c r="OL118" s="1056"/>
      <c r="OM118" s="1056"/>
      <c r="ON118" s="1056"/>
      <c r="OO118" s="1056"/>
      <c r="OP118" s="1056"/>
      <c r="OQ118" s="1056"/>
      <c r="OR118" s="1056"/>
      <c r="OS118" s="1056"/>
      <c r="OT118" s="1056"/>
      <c r="OU118" s="1056"/>
      <c r="OV118" s="1056"/>
      <c r="OW118" s="1056"/>
      <c r="OX118" s="1056"/>
      <c r="OY118" s="1056"/>
      <c r="OZ118" s="1056"/>
      <c r="PA118" s="1056"/>
      <c r="PB118" s="1056"/>
      <c r="PC118" s="1056"/>
      <c r="PD118" s="1056"/>
      <c r="PE118" s="1056"/>
      <c r="PF118" s="1056"/>
      <c r="PG118" s="1056"/>
      <c r="PH118" s="1056"/>
      <c r="PI118" s="1056"/>
      <c r="PJ118" s="1056"/>
      <c r="PK118" s="1056"/>
      <c r="PL118" s="1056"/>
      <c r="PM118" s="1056"/>
      <c r="PN118" s="1056"/>
      <c r="PO118" s="1056"/>
      <c r="PP118" s="1056"/>
      <c r="PQ118" s="1056"/>
      <c r="PR118" s="1056"/>
      <c r="PS118" s="1056"/>
      <c r="PT118" s="1056"/>
      <c r="PU118" s="1056"/>
      <c r="PV118" s="1056"/>
      <c r="PW118" s="1056"/>
      <c r="PX118" s="1056"/>
      <c r="PY118" s="1056"/>
      <c r="PZ118" s="1056"/>
      <c r="QA118" s="1056"/>
      <c r="QB118" s="1056"/>
      <c r="QC118" s="1056"/>
      <c r="QD118" s="1056"/>
      <c r="QE118" s="1056"/>
      <c r="QF118" s="1056"/>
      <c r="QG118" s="1056"/>
      <c r="QH118" s="1056"/>
      <c r="QI118" s="1056"/>
      <c r="QJ118" s="1056"/>
      <c r="QK118" s="1056"/>
      <c r="QL118" s="1056"/>
      <c r="QM118" s="1056"/>
      <c r="QN118" s="1056"/>
      <c r="QO118" s="1056"/>
      <c r="QP118" s="1056"/>
      <c r="QQ118" s="1056"/>
      <c r="QR118" s="1056"/>
      <c r="QS118" s="1056"/>
      <c r="QT118" s="1056"/>
      <c r="QU118" s="1056"/>
      <c r="QV118" s="1056"/>
      <c r="QW118" s="1056"/>
      <c r="QX118" s="1056"/>
      <c r="QY118" s="1056"/>
      <c r="QZ118" s="1056"/>
      <c r="RA118" s="1056"/>
      <c r="RB118" s="1056"/>
      <c r="RC118" s="1056"/>
      <c r="RD118" s="1056"/>
      <c r="RE118" s="1056"/>
      <c r="RF118" s="1056"/>
      <c r="RG118" s="1056"/>
      <c r="RH118" s="1056"/>
      <c r="RI118" s="1056"/>
      <c r="RJ118" s="1056"/>
      <c r="RK118" s="1056"/>
      <c r="RL118" s="1056"/>
      <c r="RM118" s="1056"/>
      <c r="RN118" s="1056"/>
      <c r="RO118" s="1056"/>
      <c r="RP118" s="1056"/>
      <c r="RQ118" s="1056"/>
      <c r="RR118" s="1056"/>
      <c r="RS118" s="1056"/>
      <c r="RT118" s="1056"/>
      <c r="RU118" s="1056"/>
      <c r="RV118" s="1056"/>
      <c r="RW118" s="1056"/>
      <c r="RX118" s="1056"/>
      <c r="RY118" s="1056"/>
      <c r="RZ118" s="1056"/>
      <c r="SA118" s="1056"/>
      <c r="SB118" s="1056"/>
      <c r="SC118" s="1056"/>
      <c r="SD118" s="1056"/>
      <c r="SE118" s="1056"/>
      <c r="SF118" s="1056"/>
      <c r="SG118" s="1056"/>
      <c r="SH118" s="1056"/>
      <c r="SI118" s="1056"/>
      <c r="SJ118" s="1056"/>
      <c r="SK118" s="1056"/>
      <c r="SL118" s="1056"/>
      <c r="SM118" s="1056"/>
      <c r="SN118" s="1056"/>
      <c r="SO118" s="1056"/>
      <c r="SP118" s="1056"/>
      <c r="SQ118" s="1056"/>
      <c r="SR118" s="1056"/>
      <c r="SS118" s="1056"/>
      <c r="ST118" s="1056"/>
      <c r="SU118" s="1056"/>
      <c r="SV118" s="1056"/>
      <c r="SW118" s="1056"/>
      <c r="SX118" s="1056"/>
      <c r="SY118" s="1056"/>
      <c r="SZ118" s="1056"/>
      <c r="TA118" s="1056"/>
      <c r="TB118" s="1056"/>
      <c r="TC118" s="1056"/>
      <c r="TD118" s="1056"/>
      <c r="TE118" s="1056"/>
      <c r="TF118" s="1056"/>
      <c r="TG118" s="1056"/>
      <c r="TH118" s="1056"/>
      <c r="TI118" s="1056"/>
      <c r="TJ118" s="1056"/>
      <c r="TK118" s="1056"/>
      <c r="TL118" s="1056"/>
      <c r="TM118" s="1056"/>
      <c r="TN118" s="1056"/>
      <c r="TO118" s="1056"/>
      <c r="TP118" s="1056"/>
      <c r="TQ118" s="1056"/>
      <c r="TR118" s="1056"/>
      <c r="TS118" s="1056"/>
      <c r="TT118" s="1056"/>
      <c r="TU118" s="1056"/>
      <c r="TV118" s="1056"/>
      <c r="TW118" s="1056"/>
      <c r="TX118" s="1056"/>
      <c r="TY118" s="1056"/>
      <c r="TZ118" s="1056"/>
      <c r="UA118" s="1056"/>
      <c r="UB118" s="1056"/>
      <c r="UC118" s="1056"/>
      <c r="UD118" s="1056"/>
      <c r="UE118" s="1056"/>
      <c r="UF118" s="1056"/>
      <c r="UG118" s="1056"/>
      <c r="UH118" s="1056"/>
      <c r="UI118" s="1056"/>
      <c r="UJ118" s="1056"/>
      <c r="UK118" s="1056"/>
      <c r="UL118" s="1056"/>
      <c r="UM118" s="1056"/>
      <c r="UN118" s="1056"/>
      <c r="UO118" s="1056"/>
      <c r="UP118" s="1056"/>
      <c r="UQ118" s="1056"/>
      <c r="UR118" s="1056"/>
      <c r="US118" s="1056"/>
      <c r="UT118" s="1056"/>
      <c r="UU118" s="1056"/>
      <c r="UV118" s="1056"/>
      <c r="UW118" s="1056"/>
      <c r="UX118" s="1056"/>
      <c r="UY118" s="1056"/>
      <c r="UZ118" s="1056"/>
      <c r="VA118" s="1056"/>
      <c r="VB118" s="1056"/>
      <c r="VC118" s="1056"/>
      <c r="VD118" s="1056"/>
      <c r="VE118" s="1056"/>
      <c r="VF118" s="1056"/>
      <c r="VG118" s="1056"/>
      <c r="VH118" s="1056"/>
      <c r="VI118" s="1056"/>
      <c r="VJ118" s="1056"/>
      <c r="VK118" s="1056"/>
      <c r="VL118" s="1056"/>
      <c r="VM118" s="1056"/>
      <c r="VN118" s="1056"/>
      <c r="VO118" s="1056"/>
      <c r="VP118" s="1056"/>
      <c r="VQ118" s="1056"/>
      <c r="VR118" s="1056"/>
      <c r="VS118" s="1056"/>
      <c r="VT118" s="1056"/>
      <c r="VU118" s="1056"/>
      <c r="VV118" s="1056"/>
      <c r="VW118" s="1056"/>
      <c r="VX118" s="1056"/>
      <c r="VY118" s="1056"/>
      <c r="VZ118" s="1056"/>
      <c r="WA118" s="1056"/>
      <c r="WB118" s="1056"/>
      <c r="WC118" s="1056"/>
      <c r="WD118" s="1056"/>
      <c r="WE118" s="1056"/>
      <c r="WF118" s="1056"/>
      <c r="WG118" s="1056"/>
      <c r="WH118" s="1056"/>
      <c r="WI118" s="1056"/>
      <c r="WJ118" s="1056"/>
      <c r="WK118" s="1056"/>
      <c r="WL118" s="1056"/>
      <c r="WM118" s="1056"/>
      <c r="WN118" s="1056"/>
      <c r="WO118" s="1056"/>
      <c r="WP118" s="1056"/>
      <c r="WQ118" s="1056"/>
      <c r="WR118" s="1056"/>
      <c r="WS118" s="1056"/>
      <c r="WT118" s="1056"/>
      <c r="WU118" s="1056"/>
      <c r="WV118" s="1056"/>
      <c r="WW118" s="1056"/>
      <c r="WX118" s="1056"/>
      <c r="WY118" s="1056"/>
      <c r="WZ118" s="1056"/>
      <c r="XA118" s="1056"/>
      <c r="XB118" s="1056"/>
      <c r="XC118" s="1056"/>
      <c r="XD118" s="1056"/>
      <c r="XE118" s="1056"/>
      <c r="XF118" s="1056"/>
      <c r="XG118" s="1056"/>
      <c r="XH118" s="1056"/>
      <c r="XI118" s="1056"/>
      <c r="XJ118" s="1056"/>
      <c r="XK118" s="1056"/>
      <c r="XL118" s="1056"/>
      <c r="XM118" s="1056"/>
      <c r="XN118" s="1056"/>
      <c r="XO118" s="1056"/>
      <c r="XP118" s="1056"/>
      <c r="XQ118" s="1056"/>
      <c r="XR118" s="1056"/>
      <c r="XS118" s="1056"/>
      <c r="XT118" s="1056"/>
      <c r="XU118" s="1056"/>
      <c r="XV118" s="1056"/>
      <c r="XW118" s="1056"/>
      <c r="XX118" s="1056"/>
      <c r="XY118" s="1056"/>
      <c r="XZ118" s="1056"/>
      <c r="YA118" s="1056"/>
      <c r="YB118" s="1056"/>
      <c r="YC118" s="1056"/>
      <c r="YD118" s="1056"/>
      <c r="YE118" s="1056"/>
      <c r="YF118" s="1056"/>
      <c r="YG118" s="1056"/>
      <c r="YH118" s="1056"/>
      <c r="YI118" s="1056"/>
      <c r="YJ118" s="1056"/>
      <c r="YK118" s="1056"/>
      <c r="YL118" s="1056"/>
      <c r="YM118" s="1056"/>
      <c r="YN118" s="1056"/>
      <c r="YO118" s="1056"/>
      <c r="YP118" s="1056"/>
      <c r="YQ118" s="1056"/>
      <c r="YR118" s="1056"/>
      <c r="YS118" s="1056"/>
      <c r="YT118" s="1056"/>
      <c r="YU118" s="1056"/>
      <c r="YV118" s="1056"/>
      <c r="YW118" s="1056"/>
      <c r="YX118" s="1056"/>
      <c r="YY118" s="1056"/>
      <c r="YZ118" s="1056"/>
      <c r="ZA118" s="1056"/>
      <c r="ZB118" s="1056"/>
      <c r="ZC118" s="1056"/>
      <c r="ZD118" s="1056"/>
      <c r="ZE118" s="1056"/>
      <c r="ZF118" s="1056"/>
      <c r="ZG118" s="1056"/>
      <c r="ZH118" s="1056"/>
      <c r="ZI118" s="1056"/>
      <c r="ZJ118" s="1056"/>
      <c r="ZK118" s="1056"/>
      <c r="ZL118" s="1056"/>
      <c r="ZM118" s="1056"/>
      <c r="ZN118" s="1056"/>
      <c r="ZO118" s="1056"/>
      <c r="ZP118" s="1056"/>
      <c r="ZQ118" s="1056"/>
      <c r="ZR118" s="1056"/>
      <c r="ZS118" s="1056"/>
      <c r="ZT118" s="1056"/>
      <c r="ZU118" s="1056"/>
      <c r="ZV118" s="1056"/>
      <c r="ZW118" s="1056"/>
      <c r="ZX118" s="1056"/>
      <c r="ZY118" s="1056"/>
      <c r="ZZ118" s="1056"/>
      <c r="AAA118" s="1056"/>
      <c r="AAB118" s="1056"/>
      <c r="AAC118" s="1056"/>
      <c r="AAD118" s="1056"/>
      <c r="AAE118" s="1056"/>
      <c r="AAF118" s="1056"/>
      <c r="AAG118" s="1056"/>
      <c r="AAH118" s="1056"/>
      <c r="AAI118" s="1056"/>
      <c r="AAJ118" s="1056"/>
      <c r="AAK118" s="1056"/>
      <c r="AAL118" s="1056"/>
      <c r="AAM118" s="1056"/>
      <c r="AAN118" s="1056"/>
      <c r="AAO118" s="1056"/>
      <c r="AAP118" s="1056"/>
      <c r="AAQ118" s="1056"/>
      <c r="AAR118" s="1056"/>
      <c r="AAS118" s="1056"/>
      <c r="AAT118" s="1056"/>
      <c r="AAU118" s="1056"/>
      <c r="AAV118" s="1056"/>
      <c r="AAW118" s="1056"/>
      <c r="AAX118" s="1056"/>
      <c r="AAY118" s="1056"/>
      <c r="AAZ118" s="1056"/>
      <c r="ABA118" s="1056"/>
      <c r="ABB118" s="1056"/>
      <c r="ABC118" s="1056"/>
      <c r="ABD118" s="1056"/>
      <c r="ABE118" s="1056"/>
      <c r="ABF118" s="1056"/>
      <c r="ABG118" s="1056"/>
      <c r="ABH118" s="1056"/>
      <c r="ABI118" s="1056"/>
      <c r="ABJ118" s="1056"/>
      <c r="ABK118" s="1056"/>
      <c r="ABL118" s="1056"/>
      <c r="ABM118" s="1056"/>
      <c r="ABN118" s="1056"/>
      <c r="ABO118" s="1056"/>
      <c r="ABP118" s="1056"/>
      <c r="ABQ118" s="1056"/>
      <c r="ABR118" s="1056"/>
      <c r="ABS118" s="1056"/>
      <c r="ABT118" s="1056"/>
      <c r="ABU118" s="1056"/>
      <c r="ABV118" s="1056"/>
      <c r="ABW118" s="1056"/>
      <c r="ABX118" s="1056"/>
      <c r="ABY118" s="1056"/>
      <c r="ABZ118" s="1056"/>
      <c r="ACA118" s="1056"/>
      <c r="ACB118" s="1056"/>
      <c r="ACC118" s="1056"/>
      <c r="ACD118" s="1056"/>
      <c r="ACE118" s="1056"/>
      <c r="ACF118" s="1056"/>
      <c r="ACG118" s="1056"/>
      <c r="ACH118" s="1056"/>
      <c r="ACI118" s="1056"/>
      <c r="ACJ118" s="1056"/>
      <c r="ACK118" s="1056"/>
      <c r="ACL118" s="1056"/>
      <c r="ACM118" s="1056"/>
      <c r="ACN118" s="1056"/>
      <c r="ACO118" s="1056"/>
      <c r="ACP118" s="1056"/>
      <c r="ACQ118" s="1056"/>
      <c r="ACR118" s="1056"/>
      <c r="ACS118" s="1056"/>
      <c r="ACT118" s="1056"/>
      <c r="ACU118" s="1056"/>
      <c r="ACV118" s="1056"/>
      <c r="ACW118" s="1056"/>
      <c r="ACX118" s="1056"/>
      <c r="ACY118" s="1056"/>
      <c r="ACZ118" s="1056"/>
      <c r="ADA118" s="1056"/>
      <c r="ADB118" s="1056"/>
      <c r="ADC118" s="1056"/>
      <c r="ADD118" s="1056"/>
      <c r="ADE118" s="1056"/>
      <c r="ADF118" s="1056"/>
      <c r="ADG118" s="1056"/>
      <c r="ADH118" s="1056"/>
      <c r="ADI118" s="1056"/>
      <c r="ADJ118" s="1056"/>
      <c r="ADK118" s="1056"/>
      <c r="ADL118" s="1056"/>
      <c r="ADM118" s="1056"/>
      <c r="ADN118" s="1056"/>
      <c r="ADO118" s="1056"/>
      <c r="ADP118" s="1056"/>
      <c r="ADQ118" s="1056"/>
      <c r="ADR118" s="1056"/>
      <c r="ADS118" s="1056"/>
      <c r="ADT118" s="1056"/>
      <c r="ADU118" s="1056"/>
      <c r="ADV118" s="1056"/>
      <c r="ADW118" s="1056"/>
      <c r="ADX118" s="1056"/>
      <c r="ADY118" s="1056"/>
      <c r="ADZ118" s="1056"/>
      <c r="AEA118" s="1056"/>
      <c r="AEB118" s="1056"/>
      <c r="AEC118" s="1056"/>
      <c r="AED118" s="1056"/>
      <c r="AEE118" s="1056"/>
      <c r="AEF118" s="1056"/>
      <c r="AEG118" s="1056"/>
      <c r="AEH118" s="1056"/>
      <c r="AEI118" s="1056"/>
      <c r="AEJ118" s="1056"/>
      <c r="AEK118" s="1056"/>
      <c r="AEL118" s="1056"/>
      <c r="AEM118" s="1056"/>
      <c r="AEN118" s="1056"/>
      <c r="AEO118" s="1056"/>
      <c r="AEP118" s="1056"/>
      <c r="AEQ118" s="1056"/>
      <c r="AER118" s="1056"/>
      <c r="AES118" s="1056"/>
      <c r="AET118" s="1056"/>
      <c r="AEU118" s="1056"/>
      <c r="AEV118" s="1056"/>
      <c r="AEW118" s="1056"/>
      <c r="AEX118" s="1056"/>
      <c r="AEY118" s="1056"/>
      <c r="AEZ118" s="1056"/>
      <c r="AFA118" s="1056"/>
      <c r="AFB118" s="1056"/>
      <c r="AFC118" s="1056"/>
      <c r="AFD118" s="1056"/>
      <c r="AFE118" s="1056"/>
      <c r="AFF118" s="1056"/>
      <c r="AFG118" s="1056"/>
      <c r="AFH118" s="1056"/>
      <c r="AFI118" s="1056"/>
      <c r="AFJ118" s="1056"/>
      <c r="AFK118" s="1056"/>
      <c r="AFL118" s="1056"/>
      <c r="AFM118" s="1056"/>
      <c r="AFN118" s="1056"/>
      <c r="AFO118" s="1056"/>
      <c r="AFP118" s="1056"/>
      <c r="AFQ118" s="1056"/>
      <c r="AFR118" s="1056"/>
      <c r="AFS118" s="1056"/>
      <c r="AFT118" s="1056"/>
      <c r="AFU118" s="1056"/>
      <c r="AFV118" s="1056"/>
      <c r="AFW118" s="1056"/>
      <c r="AFX118" s="1056"/>
      <c r="AFY118" s="1056"/>
      <c r="AFZ118" s="1056"/>
      <c r="AGA118" s="1056"/>
      <c r="AGB118" s="1056"/>
      <c r="AGC118" s="1056"/>
      <c r="AGD118" s="1056"/>
      <c r="AGE118" s="1056"/>
      <c r="AGF118" s="1056"/>
      <c r="AGG118" s="1056"/>
      <c r="AGH118" s="1056"/>
      <c r="AGI118" s="1056"/>
      <c r="AGJ118" s="1056"/>
      <c r="AGK118" s="1056"/>
      <c r="AGL118" s="1056"/>
      <c r="AGM118" s="1056"/>
      <c r="AGN118" s="1056"/>
      <c r="AGO118" s="1056"/>
      <c r="AGP118" s="1056"/>
      <c r="AGQ118" s="1056"/>
      <c r="AGR118" s="1056"/>
      <c r="AGS118" s="1056"/>
      <c r="AGT118" s="1056"/>
      <c r="AGU118" s="1056"/>
      <c r="AGV118" s="1056"/>
      <c r="AGW118" s="1056"/>
      <c r="AGX118" s="1056"/>
      <c r="AGY118" s="1056"/>
      <c r="AGZ118" s="1056"/>
      <c r="AHA118" s="1056"/>
      <c r="AHB118" s="1056"/>
      <c r="AHC118" s="1056"/>
      <c r="AHD118" s="1056"/>
      <c r="AHE118" s="1056"/>
      <c r="AHF118" s="1056"/>
      <c r="AHG118" s="1056"/>
      <c r="AHH118" s="1056"/>
      <c r="AHI118" s="1056"/>
      <c r="AHJ118" s="1056"/>
      <c r="AHK118" s="1056"/>
      <c r="AHL118" s="1056"/>
      <c r="AHM118" s="1056"/>
      <c r="AHN118" s="1056"/>
      <c r="AHO118" s="1056"/>
      <c r="AHP118" s="1056"/>
      <c r="AHQ118" s="1056"/>
      <c r="AHR118" s="1056"/>
      <c r="AHS118" s="1056"/>
      <c r="AHT118" s="1056"/>
      <c r="AHU118" s="1056"/>
      <c r="AHV118" s="1056"/>
      <c r="AHW118" s="1056"/>
      <c r="AHX118" s="1056"/>
      <c r="AHY118" s="1056"/>
      <c r="AHZ118" s="1056"/>
      <c r="AIA118" s="1056"/>
      <c r="AIB118" s="1056"/>
      <c r="AIC118" s="1056"/>
      <c r="AID118" s="1056"/>
      <c r="AIE118" s="1056"/>
      <c r="AIF118" s="1056"/>
      <c r="AIG118" s="1056"/>
      <c r="AIH118" s="1056"/>
      <c r="AII118" s="1056"/>
      <c r="AIJ118" s="1056"/>
      <c r="AIK118" s="1056"/>
      <c r="AIL118" s="1056"/>
      <c r="AIM118" s="1056"/>
      <c r="AIN118" s="1056"/>
      <c r="AIO118" s="1056"/>
      <c r="AIP118" s="1056"/>
      <c r="AIQ118" s="1056"/>
      <c r="AIR118" s="1056"/>
      <c r="AIS118" s="1056"/>
      <c r="AIT118" s="1056"/>
      <c r="AIU118" s="1056"/>
      <c r="AIV118" s="1056"/>
      <c r="AIW118" s="1056"/>
      <c r="AIX118" s="1056"/>
      <c r="AIY118" s="1056"/>
      <c r="AIZ118" s="1056"/>
      <c r="AJA118" s="1056"/>
      <c r="AJB118" s="1056"/>
      <c r="AJC118" s="1056"/>
      <c r="AJD118" s="1056"/>
      <c r="AJE118" s="1056"/>
      <c r="AJF118" s="1056"/>
      <c r="AJG118" s="1056"/>
      <c r="AJH118" s="1056"/>
      <c r="AJI118" s="1056"/>
      <c r="AJJ118" s="1056"/>
      <c r="AJK118" s="1056"/>
      <c r="AJL118" s="1056"/>
      <c r="AJM118" s="1056"/>
      <c r="AJN118" s="1056"/>
      <c r="AJO118" s="1056"/>
      <c r="AJP118" s="1056"/>
      <c r="AJQ118" s="1056"/>
      <c r="AJR118" s="1056"/>
      <c r="AJS118" s="1056"/>
      <c r="AJT118" s="1056"/>
      <c r="AJU118" s="1056"/>
      <c r="AJV118" s="1056"/>
      <c r="AJW118" s="1056"/>
      <c r="AJX118" s="1056"/>
      <c r="AJY118" s="1056"/>
      <c r="AJZ118" s="1056"/>
      <c r="AKA118" s="1056"/>
      <c r="AKB118" s="1056"/>
      <c r="AKC118" s="1056"/>
      <c r="AKD118" s="1056"/>
      <c r="AKE118" s="1056"/>
      <c r="AKF118" s="1056"/>
      <c r="AKG118" s="1056"/>
      <c r="AKH118" s="1056"/>
      <c r="AKI118" s="1056"/>
      <c r="AKJ118" s="1056"/>
      <c r="AKK118" s="1056"/>
      <c r="AKL118" s="1056"/>
      <c r="AKM118" s="1056"/>
      <c r="AKN118" s="1056"/>
      <c r="AKO118" s="1056"/>
      <c r="AKP118" s="1056"/>
      <c r="AKQ118" s="1056"/>
      <c r="AKR118" s="1056"/>
      <c r="AKS118" s="1056"/>
      <c r="AKT118" s="1056"/>
      <c r="AKU118" s="1056"/>
      <c r="AKV118" s="1056"/>
      <c r="AKW118" s="1056"/>
      <c r="AKX118" s="1056"/>
      <c r="AKY118" s="1056"/>
      <c r="AKZ118" s="1056"/>
      <c r="ALA118" s="1056"/>
      <c r="ALB118" s="1056"/>
      <c r="ALC118" s="1056"/>
      <c r="ALD118" s="1056"/>
      <c r="ALE118" s="1056"/>
      <c r="ALF118" s="1056"/>
      <c r="ALG118" s="1056"/>
      <c r="ALH118" s="1056"/>
      <c r="ALI118" s="1056"/>
      <c r="ALJ118" s="1056"/>
      <c r="ALK118" s="1056"/>
      <c r="ALL118" s="1056"/>
      <c r="ALM118" s="1056"/>
      <c r="ALN118" s="1056"/>
      <c r="ALO118" s="1056"/>
      <c r="ALP118" s="1056"/>
      <c r="ALQ118" s="1056"/>
      <c r="ALR118" s="1056"/>
      <c r="ALS118" s="1056"/>
      <c r="ALT118" s="1056"/>
      <c r="ALU118" s="1056"/>
      <c r="ALV118" s="1056"/>
      <c r="ALW118" s="1056"/>
      <c r="ALX118" s="1056"/>
      <c r="ALY118" s="1056"/>
      <c r="ALZ118" s="1056"/>
      <c r="AMA118" s="1056"/>
      <c r="AMB118" s="1056"/>
      <c r="AMC118" s="1056"/>
      <c r="AMD118" s="1056"/>
      <c r="AME118" s="1056"/>
      <c r="AMF118" s="1056"/>
      <c r="AMG118" s="1056"/>
      <c r="AMH118" s="1056"/>
      <c r="AMI118" s="1056"/>
      <c r="AMJ118" s="1056"/>
      <c r="AMK118" s="1056"/>
      <c r="AML118" s="1056"/>
      <c r="AMM118" s="1056"/>
      <c r="AMN118" s="1056"/>
      <c r="AMO118" s="1056"/>
      <c r="AMP118" s="1056"/>
      <c r="AMQ118" s="1056"/>
      <c r="AMR118" s="1056"/>
      <c r="AMS118" s="1056"/>
      <c r="AMT118" s="1056"/>
      <c r="AMU118" s="1056"/>
      <c r="AMV118" s="1056"/>
      <c r="AMW118" s="1056"/>
      <c r="AMX118" s="1056"/>
      <c r="AMY118" s="1056"/>
      <c r="AMZ118" s="1056"/>
      <c r="ANA118" s="1056"/>
      <c r="ANB118" s="1056"/>
      <c r="ANC118" s="1056"/>
      <c r="AND118" s="1056"/>
      <c r="ANE118" s="1056"/>
      <c r="ANF118" s="1056"/>
      <c r="ANG118" s="1056"/>
      <c r="ANH118" s="1056"/>
      <c r="ANI118" s="1056"/>
      <c r="ANJ118" s="1056"/>
      <c r="ANK118" s="1056"/>
      <c r="ANL118" s="1056"/>
      <c r="ANM118" s="1056"/>
      <c r="ANN118" s="1056"/>
      <c r="ANO118" s="1056"/>
      <c r="ANP118" s="1056"/>
      <c r="ANQ118" s="1056"/>
      <c r="ANR118" s="1056"/>
      <c r="ANS118" s="1056"/>
      <c r="ANT118" s="1056"/>
      <c r="ANU118" s="1056"/>
      <c r="ANV118" s="1056"/>
      <c r="ANW118" s="1056"/>
      <c r="ANX118" s="1056"/>
      <c r="ANY118" s="1056"/>
      <c r="ANZ118" s="1056"/>
      <c r="AOA118" s="1056"/>
      <c r="AOB118" s="1056"/>
      <c r="AOC118" s="1056"/>
      <c r="AOD118" s="1056"/>
      <c r="AOE118" s="1056"/>
      <c r="AOF118" s="1056"/>
      <c r="AOG118" s="1056"/>
      <c r="AOH118" s="1056"/>
      <c r="AOI118" s="1056"/>
      <c r="AOJ118" s="1056"/>
      <c r="AOK118" s="1056"/>
      <c r="AOL118" s="1056"/>
      <c r="AOM118" s="1056"/>
      <c r="AON118" s="1056"/>
      <c r="AOO118" s="1056"/>
      <c r="AOP118" s="1056"/>
      <c r="AOQ118" s="1056"/>
      <c r="AOR118" s="1056"/>
      <c r="AOS118" s="1056"/>
      <c r="AOT118" s="1056"/>
      <c r="AOU118" s="1056"/>
      <c r="AOV118" s="1056"/>
      <c r="AOW118" s="1056"/>
      <c r="AOX118" s="1056"/>
      <c r="AOY118" s="1056"/>
      <c r="AOZ118" s="1056"/>
      <c r="APA118" s="1056"/>
      <c r="APB118" s="1056"/>
      <c r="APC118" s="1056"/>
      <c r="APD118" s="1056"/>
      <c r="APE118" s="1056"/>
      <c r="APF118" s="1056"/>
      <c r="APG118" s="1056"/>
      <c r="APH118" s="1056"/>
      <c r="API118" s="1056"/>
      <c r="APJ118" s="1056"/>
      <c r="APK118" s="1056"/>
      <c r="APL118" s="1056"/>
      <c r="APM118" s="1056"/>
      <c r="APN118" s="1056"/>
      <c r="APO118" s="1056"/>
      <c r="APP118" s="1056"/>
      <c r="APQ118" s="1056"/>
      <c r="APR118" s="1056"/>
      <c r="APS118" s="1056"/>
      <c r="APT118" s="1056"/>
      <c r="APU118" s="1056"/>
      <c r="APV118" s="1056"/>
      <c r="APW118" s="1056"/>
      <c r="APX118" s="1056"/>
      <c r="APY118" s="1056"/>
      <c r="APZ118" s="1056"/>
      <c r="AQA118" s="1056"/>
      <c r="AQB118" s="1056"/>
      <c r="AQC118" s="1056"/>
      <c r="AQD118" s="1056"/>
      <c r="AQE118" s="1056"/>
      <c r="AQF118" s="1056"/>
      <c r="AQG118" s="1056"/>
      <c r="AQH118" s="1056"/>
      <c r="AQI118" s="1056"/>
      <c r="AQJ118" s="1056"/>
      <c r="AQK118" s="1056"/>
      <c r="AQL118" s="1056"/>
      <c r="AQM118" s="1056"/>
      <c r="AQN118" s="1056"/>
      <c r="AQO118" s="1056"/>
      <c r="AQP118" s="1056"/>
      <c r="AQQ118" s="1056"/>
      <c r="AQR118" s="1056"/>
      <c r="AQS118" s="1056"/>
      <c r="AQT118" s="1056"/>
      <c r="AQU118" s="1056"/>
      <c r="AQV118" s="1056"/>
      <c r="AQW118" s="1056"/>
      <c r="AQX118" s="1056"/>
      <c r="AQY118" s="1056"/>
      <c r="AQZ118" s="1056"/>
      <c r="ARA118" s="1056"/>
      <c r="ARB118" s="1056"/>
      <c r="ARC118" s="1056"/>
      <c r="ARD118" s="1056"/>
      <c r="ARE118" s="1056"/>
      <c r="ARF118" s="1056"/>
      <c r="ARG118" s="1056"/>
      <c r="ARH118" s="1056"/>
      <c r="ARI118" s="1056"/>
      <c r="ARJ118" s="1056"/>
      <c r="ARK118" s="1056"/>
      <c r="ARL118" s="1056"/>
      <c r="ARM118" s="1056"/>
      <c r="ARN118" s="1056"/>
      <c r="ARO118" s="1056"/>
      <c r="ARP118" s="1056"/>
      <c r="ARQ118" s="1056"/>
      <c r="ARR118" s="1056"/>
      <c r="ARS118" s="1056"/>
      <c r="ART118" s="1056"/>
      <c r="ARU118" s="1056"/>
      <c r="ARV118" s="1056"/>
      <c r="ARW118" s="1056"/>
      <c r="ARX118" s="1056"/>
      <c r="ARY118" s="1056"/>
      <c r="ARZ118" s="1056"/>
      <c r="ASA118" s="1056"/>
      <c r="ASB118" s="1056"/>
      <c r="ASC118" s="1056"/>
      <c r="ASD118" s="1056"/>
      <c r="ASE118" s="1056"/>
      <c r="ASF118" s="1056"/>
      <c r="ASG118" s="1056"/>
      <c r="ASH118" s="1056"/>
      <c r="ASI118" s="1056"/>
      <c r="ASJ118" s="1056"/>
      <c r="ASK118" s="1056"/>
      <c r="ASL118" s="1056"/>
      <c r="ASM118" s="1056"/>
      <c r="ASN118" s="1056"/>
      <c r="ASO118" s="1056"/>
      <c r="ASP118" s="1056"/>
      <c r="ASQ118" s="1056"/>
      <c r="ASR118" s="1056"/>
      <c r="ASS118" s="1056"/>
      <c r="AST118" s="1056"/>
      <c r="ASU118" s="1056"/>
      <c r="ASV118" s="1056"/>
      <c r="ASW118" s="1056"/>
      <c r="ASX118" s="1056"/>
      <c r="ASY118" s="1056"/>
      <c r="ASZ118" s="1056"/>
      <c r="ATA118" s="1056"/>
      <c r="ATB118" s="1056"/>
      <c r="ATC118" s="1056"/>
      <c r="ATD118" s="1056"/>
      <c r="ATE118" s="1056"/>
      <c r="ATF118" s="1056"/>
      <c r="ATG118" s="1056"/>
      <c r="ATH118" s="1056"/>
      <c r="ATI118" s="1056"/>
      <c r="ATJ118" s="1056"/>
      <c r="ATK118" s="1056"/>
      <c r="ATL118" s="1056"/>
      <c r="ATM118" s="1056"/>
      <c r="ATN118" s="1056"/>
      <c r="ATO118" s="1056"/>
      <c r="ATP118" s="1056"/>
      <c r="ATQ118" s="1056"/>
      <c r="ATR118" s="1056"/>
      <c r="ATS118" s="1056"/>
      <c r="ATT118" s="1056"/>
      <c r="ATU118" s="1056"/>
      <c r="ATV118" s="1056"/>
      <c r="ATW118" s="1056"/>
      <c r="ATX118" s="1056"/>
      <c r="ATY118" s="1056"/>
      <c r="ATZ118" s="1056"/>
      <c r="AUA118" s="1056"/>
      <c r="AUB118" s="1056"/>
      <c r="AUC118" s="1056"/>
      <c r="AUD118" s="1056"/>
      <c r="AUE118" s="1056"/>
      <c r="AUF118" s="1056"/>
      <c r="AUG118" s="1056"/>
      <c r="AUH118" s="1056"/>
      <c r="AUI118" s="1056"/>
      <c r="AUJ118" s="1056"/>
      <c r="AUK118" s="1056"/>
      <c r="AUL118" s="1056"/>
      <c r="AUM118" s="1056"/>
      <c r="AUN118" s="1056"/>
      <c r="AUO118" s="1056"/>
      <c r="AUP118" s="1056"/>
      <c r="AUQ118" s="1056"/>
      <c r="AUR118" s="1056"/>
      <c r="AUS118" s="1056"/>
      <c r="AUT118" s="1056"/>
      <c r="AUU118" s="1056"/>
      <c r="AUV118" s="1056"/>
      <c r="AUW118" s="1056"/>
      <c r="AUX118" s="1056"/>
      <c r="AUY118" s="1056"/>
      <c r="AUZ118" s="1056"/>
      <c r="AVA118" s="1056"/>
      <c r="AVB118" s="1056"/>
      <c r="AVC118" s="1056"/>
      <c r="AVD118" s="1056"/>
      <c r="AVE118" s="1056"/>
      <c r="AVF118" s="1056"/>
      <c r="AVG118" s="1056"/>
      <c r="AVH118" s="1056"/>
      <c r="AVI118" s="1056"/>
      <c r="AVJ118" s="1056"/>
      <c r="AVK118" s="1056"/>
      <c r="AVL118" s="1056"/>
      <c r="AVM118" s="1056"/>
      <c r="AVN118" s="1056"/>
      <c r="AVO118" s="1056"/>
      <c r="AVP118" s="1056"/>
      <c r="AVQ118" s="1056"/>
      <c r="AVR118" s="1056"/>
      <c r="AVS118" s="1056"/>
      <c r="AVT118" s="1056"/>
      <c r="AVU118" s="1056"/>
      <c r="AVV118" s="1056"/>
      <c r="AVW118" s="1056"/>
      <c r="AVX118" s="1056"/>
      <c r="AVY118" s="1056"/>
      <c r="AVZ118" s="1056"/>
      <c r="AWA118" s="1056"/>
      <c r="AWB118" s="1056"/>
      <c r="AWC118" s="1056"/>
      <c r="AWD118" s="1056"/>
      <c r="AWE118" s="1056"/>
      <c r="AWF118" s="1056"/>
      <c r="AWG118" s="1056"/>
      <c r="AWH118" s="1056"/>
      <c r="AWI118" s="1056"/>
      <c r="AWJ118" s="1056"/>
      <c r="AWK118" s="1056"/>
      <c r="AWL118" s="1056"/>
      <c r="AWM118" s="1056"/>
      <c r="AWN118" s="1056"/>
      <c r="AWO118" s="1056"/>
      <c r="AWP118" s="1056"/>
      <c r="AWQ118" s="1056"/>
      <c r="AWR118" s="1056"/>
      <c r="AWS118" s="1056"/>
      <c r="AWT118" s="1056"/>
      <c r="AWU118" s="1056"/>
      <c r="AWV118" s="1056"/>
      <c r="AWW118" s="1056"/>
      <c r="AWX118" s="1056"/>
      <c r="AWY118" s="1056"/>
      <c r="AWZ118" s="1056"/>
      <c r="AXA118" s="1056"/>
      <c r="AXB118" s="1056"/>
      <c r="AXC118" s="1056"/>
      <c r="AXD118" s="1056"/>
      <c r="AXE118" s="1056"/>
      <c r="AXF118" s="1056"/>
      <c r="AXG118" s="1056"/>
      <c r="AXH118" s="1056"/>
      <c r="AXI118" s="1056"/>
      <c r="AXJ118" s="1056"/>
      <c r="AXK118" s="1056"/>
      <c r="AXL118" s="1056"/>
      <c r="AXM118" s="1056"/>
      <c r="AXN118" s="1056"/>
      <c r="AXO118" s="1056"/>
      <c r="AXP118" s="1056"/>
      <c r="AXQ118" s="1056"/>
      <c r="AXR118" s="1056"/>
      <c r="AXS118" s="1056"/>
      <c r="AXT118" s="1056"/>
      <c r="AXU118" s="1056"/>
      <c r="AXV118" s="1056"/>
      <c r="AXW118" s="1056"/>
      <c r="AXX118" s="1056"/>
      <c r="AXY118" s="1056"/>
      <c r="AXZ118" s="1056"/>
      <c r="AYA118" s="1056"/>
      <c r="AYB118" s="1056"/>
      <c r="AYC118" s="1056"/>
      <c r="AYD118" s="1056"/>
      <c r="AYE118" s="1056"/>
      <c r="AYF118" s="1056"/>
      <c r="AYG118" s="1056"/>
      <c r="AYH118" s="1056"/>
      <c r="AYI118" s="1056"/>
      <c r="AYJ118" s="1056"/>
      <c r="AYK118" s="1056"/>
      <c r="AYL118" s="1056"/>
      <c r="AYM118" s="1056"/>
      <c r="AYN118" s="1056"/>
      <c r="AYO118" s="1056"/>
      <c r="AYP118" s="1056"/>
      <c r="AYQ118" s="1056"/>
      <c r="AYR118" s="1056"/>
      <c r="AYS118" s="1056"/>
      <c r="AYT118" s="1056"/>
      <c r="AYU118" s="1056"/>
      <c r="AYV118" s="1056"/>
      <c r="AYW118" s="1056"/>
      <c r="AYX118" s="1056"/>
      <c r="AYY118" s="1056"/>
      <c r="AYZ118" s="1056"/>
      <c r="AZA118" s="1056"/>
      <c r="AZB118" s="1056"/>
      <c r="AZC118" s="1056"/>
      <c r="AZD118" s="1056"/>
      <c r="AZE118" s="1056"/>
      <c r="AZF118" s="1056"/>
      <c r="AZG118" s="1056"/>
      <c r="AZH118" s="1056"/>
      <c r="AZI118" s="1056"/>
      <c r="AZJ118" s="1056"/>
      <c r="AZK118" s="1056"/>
      <c r="AZL118" s="1056"/>
      <c r="AZM118" s="1056"/>
      <c r="AZN118" s="1056"/>
      <c r="AZO118" s="1056"/>
      <c r="AZP118" s="1056"/>
      <c r="AZQ118" s="1056"/>
      <c r="AZR118" s="1056"/>
      <c r="AZS118" s="1056"/>
      <c r="AZT118" s="1056"/>
      <c r="AZU118" s="1056"/>
      <c r="AZV118" s="1056"/>
      <c r="AZW118" s="1056"/>
      <c r="AZX118" s="1056"/>
      <c r="AZY118" s="1056"/>
      <c r="AZZ118" s="1056"/>
      <c r="BAA118" s="1056"/>
      <c r="BAB118" s="1056"/>
      <c r="BAC118" s="1056"/>
      <c r="BAD118" s="1056"/>
      <c r="BAE118" s="1056"/>
      <c r="BAF118" s="1056"/>
      <c r="BAG118" s="1056"/>
      <c r="BAH118" s="1056"/>
      <c r="BAI118" s="1056"/>
      <c r="BAJ118" s="1056"/>
      <c r="BAK118" s="1056"/>
      <c r="BAL118" s="1056"/>
      <c r="BAM118" s="1056"/>
      <c r="BAN118" s="1056"/>
      <c r="BAO118" s="1056"/>
      <c r="BAP118" s="1056"/>
      <c r="BAQ118" s="1056"/>
      <c r="BAR118" s="1056"/>
      <c r="BAS118" s="1056"/>
      <c r="BAT118" s="1056"/>
      <c r="BAU118" s="1056"/>
      <c r="BAV118" s="1056"/>
      <c r="BAW118" s="1056"/>
      <c r="BAX118" s="1056"/>
      <c r="BAY118" s="1056"/>
      <c r="BAZ118" s="1056"/>
      <c r="BBA118" s="1056"/>
      <c r="BBB118" s="1056"/>
      <c r="BBC118" s="1056"/>
      <c r="BBD118" s="1056"/>
      <c r="BBE118" s="1056"/>
      <c r="BBF118" s="1056"/>
      <c r="BBG118" s="1056"/>
      <c r="BBH118" s="1056"/>
      <c r="BBI118" s="1056"/>
      <c r="BBJ118" s="1056"/>
      <c r="BBK118" s="1056"/>
      <c r="BBL118" s="1056"/>
      <c r="BBM118" s="1056"/>
      <c r="BBN118" s="1056"/>
      <c r="BBO118" s="1056"/>
      <c r="BBP118" s="1056"/>
      <c r="BBQ118" s="1056"/>
      <c r="BBR118" s="1056"/>
      <c r="BBS118" s="1056"/>
      <c r="BBT118" s="1056"/>
      <c r="BBU118" s="1056"/>
      <c r="BBV118" s="1056"/>
      <c r="BBW118" s="1056"/>
      <c r="BBX118" s="1056"/>
      <c r="BBY118" s="1056"/>
      <c r="BBZ118" s="1056"/>
      <c r="BCA118" s="1056"/>
      <c r="BCB118" s="1056"/>
      <c r="BCC118" s="1056"/>
      <c r="BCD118" s="1056"/>
      <c r="BCE118" s="1056"/>
      <c r="BCF118" s="1056"/>
      <c r="BCG118" s="1056"/>
      <c r="BCH118" s="1056"/>
      <c r="BCI118" s="1056"/>
      <c r="BCJ118" s="1056"/>
      <c r="BCK118" s="1056"/>
      <c r="BCL118" s="1056"/>
      <c r="BCM118" s="1056"/>
      <c r="BCN118" s="1056"/>
      <c r="BCO118" s="1056"/>
      <c r="BCP118" s="1056"/>
      <c r="BCQ118" s="1056"/>
      <c r="BCR118" s="1056"/>
      <c r="BCS118" s="1056"/>
      <c r="BCT118" s="1056"/>
      <c r="BCU118" s="1056"/>
      <c r="BCV118" s="1056"/>
      <c r="BCW118" s="1056"/>
      <c r="BCX118" s="1056"/>
      <c r="BCY118" s="1056"/>
      <c r="BCZ118" s="1056"/>
      <c r="BDA118" s="1056"/>
      <c r="BDB118" s="1056"/>
      <c r="BDC118" s="1056"/>
      <c r="BDD118" s="1056"/>
      <c r="BDE118" s="1056"/>
      <c r="BDF118" s="1056"/>
      <c r="BDG118" s="1056"/>
      <c r="BDH118" s="1056"/>
      <c r="BDI118" s="1056"/>
      <c r="BDJ118" s="1056"/>
      <c r="BDK118" s="1056"/>
      <c r="BDL118" s="1056"/>
      <c r="BDM118" s="1056"/>
      <c r="BDN118" s="1056"/>
      <c r="BDO118" s="1056"/>
      <c r="BDP118" s="1056"/>
      <c r="BDQ118" s="1056"/>
      <c r="BDR118" s="1056"/>
      <c r="BDS118" s="1056"/>
      <c r="BDT118" s="1056"/>
      <c r="BDU118" s="1056"/>
      <c r="BDV118" s="1056"/>
      <c r="BDW118" s="1056"/>
      <c r="BDX118" s="1056"/>
      <c r="BDY118" s="1056"/>
      <c r="BDZ118" s="1056"/>
      <c r="BEA118" s="1056"/>
      <c r="BEB118" s="1056"/>
      <c r="BEC118" s="1056"/>
      <c r="BED118" s="1056"/>
      <c r="BEE118" s="1056"/>
      <c r="BEF118" s="1056"/>
      <c r="BEG118" s="1056"/>
      <c r="BEH118" s="1056"/>
      <c r="BEI118" s="1056"/>
      <c r="BEJ118" s="1056"/>
      <c r="BEK118" s="1056"/>
      <c r="BEL118" s="1056"/>
      <c r="BEM118" s="1056"/>
      <c r="BEN118" s="1056"/>
      <c r="BEO118" s="1056"/>
      <c r="BEP118" s="1056"/>
      <c r="BEQ118" s="1056"/>
      <c r="BER118" s="1056"/>
      <c r="BES118" s="1056"/>
      <c r="BET118" s="1056"/>
      <c r="BEU118" s="1056"/>
      <c r="BEV118" s="1056"/>
      <c r="BEW118" s="1056"/>
      <c r="BEX118" s="1056"/>
      <c r="BEY118" s="1056"/>
      <c r="BEZ118" s="1056"/>
      <c r="BFA118" s="1056"/>
      <c r="BFB118" s="1056"/>
      <c r="BFC118" s="1056"/>
      <c r="BFD118" s="1056"/>
      <c r="BFE118" s="1056"/>
      <c r="BFF118" s="1056"/>
      <c r="BFG118" s="1056"/>
      <c r="BFH118" s="1056"/>
      <c r="BFI118" s="1056"/>
      <c r="BFJ118" s="1056"/>
      <c r="BFK118" s="1056"/>
      <c r="BFL118" s="1056"/>
      <c r="BFM118" s="1056"/>
      <c r="BFN118" s="1056"/>
      <c r="BFO118" s="1056"/>
      <c r="BFP118" s="1056"/>
      <c r="BFQ118" s="1056"/>
      <c r="BFR118" s="1056"/>
      <c r="BFS118" s="1056"/>
      <c r="BFT118" s="1056"/>
      <c r="BFU118" s="1056"/>
      <c r="BFV118" s="1056"/>
      <c r="BFW118" s="1056"/>
      <c r="BFX118" s="1056"/>
      <c r="BFY118" s="1056"/>
      <c r="BFZ118" s="1056"/>
      <c r="BGA118" s="1056"/>
      <c r="BGB118" s="1056"/>
      <c r="BGC118" s="1056"/>
      <c r="BGD118" s="1056"/>
      <c r="BGE118" s="1056"/>
      <c r="BGF118" s="1056"/>
      <c r="BGG118" s="1056"/>
      <c r="BGH118" s="1056"/>
      <c r="BGI118" s="1056"/>
      <c r="BGJ118" s="1056"/>
      <c r="BGK118" s="1056"/>
      <c r="BGL118" s="1056"/>
      <c r="BGM118" s="1056"/>
      <c r="BGN118" s="1056"/>
      <c r="BGO118" s="1056"/>
      <c r="BGP118" s="1056"/>
      <c r="BGQ118" s="1056"/>
      <c r="BGR118" s="1056"/>
      <c r="BGS118" s="1056"/>
      <c r="BGT118" s="1056"/>
      <c r="BGU118" s="1056"/>
      <c r="BGV118" s="1056"/>
      <c r="BGW118" s="1056"/>
      <c r="BGX118" s="1056"/>
      <c r="BGY118" s="1056"/>
      <c r="BGZ118" s="1056"/>
      <c r="BHA118" s="1056"/>
      <c r="BHB118" s="1056"/>
      <c r="BHC118" s="1056"/>
      <c r="BHD118" s="1056"/>
      <c r="BHE118" s="1056"/>
      <c r="BHF118" s="1056"/>
      <c r="BHG118" s="1056"/>
      <c r="BHH118" s="1056"/>
      <c r="BHI118" s="1056"/>
      <c r="BHJ118" s="1056"/>
      <c r="BHK118" s="1056"/>
      <c r="BHL118" s="1056"/>
      <c r="BHM118" s="1056"/>
      <c r="BHN118" s="1056"/>
      <c r="BHO118" s="1056"/>
      <c r="BHP118" s="1056"/>
      <c r="BHQ118" s="1056"/>
      <c r="BHR118" s="1056"/>
      <c r="BHS118" s="1056"/>
      <c r="BHT118" s="1056"/>
      <c r="BHU118" s="1056"/>
      <c r="BHV118" s="1056"/>
      <c r="BHW118" s="1056"/>
      <c r="BHX118" s="1056"/>
      <c r="BHY118" s="1056"/>
      <c r="BHZ118" s="1056"/>
      <c r="BIA118" s="1056"/>
      <c r="BIB118" s="1056"/>
      <c r="BIC118" s="1056"/>
      <c r="BID118" s="1056"/>
      <c r="BIE118" s="1056"/>
      <c r="BIF118" s="1056"/>
      <c r="BIG118" s="1056"/>
      <c r="BIH118" s="1056"/>
      <c r="BII118" s="1056"/>
      <c r="BIJ118" s="1056"/>
      <c r="BIK118" s="1056"/>
      <c r="BIL118" s="1056"/>
      <c r="BIM118" s="1056"/>
      <c r="BIN118" s="1056"/>
      <c r="BIO118" s="1056"/>
      <c r="BIP118" s="1056"/>
      <c r="BIQ118" s="1056"/>
      <c r="BIR118" s="1056"/>
      <c r="BIS118" s="1056"/>
      <c r="BIT118" s="1056"/>
      <c r="BIU118" s="1056"/>
      <c r="BIV118" s="1056"/>
      <c r="BIW118" s="1056"/>
      <c r="BIX118" s="1056"/>
      <c r="BIY118" s="1056"/>
      <c r="BIZ118" s="1056"/>
      <c r="BJA118" s="1056"/>
      <c r="BJB118" s="1056"/>
      <c r="BJC118" s="1056"/>
      <c r="BJD118" s="1056"/>
      <c r="BJE118" s="1056"/>
      <c r="BJF118" s="1056"/>
      <c r="BJG118" s="1056"/>
      <c r="BJH118" s="1056"/>
      <c r="BJI118" s="1056"/>
      <c r="BJJ118" s="1056"/>
      <c r="BJK118" s="1056"/>
      <c r="BJL118" s="1056"/>
      <c r="BJM118" s="1056"/>
      <c r="BJN118" s="1056"/>
      <c r="BJO118" s="1056"/>
      <c r="BJP118" s="1056"/>
      <c r="BJQ118" s="1056"/>
      <c r="BJR118" s="1056"/>
      <c r="BJS118" s="1056"/>
      <c r="BJT118" s="1056"/>
      <c r="BJU118" s="1056"/>
      <c r="BJV118" s="1056"/>
      <c r="BJW118" s="1056"/>
      <c r="BJX118" s="1056"/>
      <c r="BJY118" s="1056"/>
      <c r="BJZ118" s="1056"/>
      <c r="BKA118" s="1056"/>
      <c r="BKB118" s="1056"/>
      <c r="BKC118" s="1056"/>
      <c r="BKD118" s="1056"/>
      <c r="BKE118" s="1056"/>
      <c r="BKF118" s="1056"/>
      <c r="BKG118" s="1056"/>
      <c r="BKH118" s="1056"/>
      <c r="BKI118" s="1056"/>
      <c r="BKJ118" s="1056"/>
      <c r="BKK118" s="1056"/>
      <c r="BKL118" s="1056"/>
      <c r="BKM118" s="1056"/>
      <c r="BKN118" s="1056"/>
      <c r="BKO118" s="1056"/>
      <c r="BKP118" s="1056"/>
      <c r="BKQ118" s="1056"/>
      <c r="BKR118" s="1056"/>
      <c r="BKS118" s="1056"/>
      <c r="BKT118" s="1056"/>
      <c r="BKU118" s="1056"/>
      <c r="BKV118" s="1056"/>
      <c r="BKW118" s="1056"/>
      <c r="BKX118" s="1056"/>
      <c r="BKY118" s="1056"/>
      <c r="BKZ118" s="1056"/>
      <c r="BLA118" s="1056"/>
      <c r="BLB118" s="1056"/>
      <c r="BLC118" s="1056"/>
      <c r="BLD118" s="1056"/>
      <c r="BLE118" s="1056"/>
      <c r="BLF118" s="1056"/>
      <c r="BLG118" s="1056"/>
      <c r="BLH118" s="1056"/>
      <c r="BLI118" s="1056"/>
      <c r="BLJ118" s="1056"/>
      <c r="BLK118" s="1056"/>
      <c r="BLL118" s="1056"/>
      <c r="BLM118" s="1056"/>
      <c r="BLN118" s="1056"/>
      <c r="BLO118" s="1056"/>
      <c r="BLP118" s="1056"/>
      <c r="BLQ118" s="1056"/>
      <c r="BLR118" s="1056"/>
      <c r="BLS118" s="1056"/>
      <c r="BLT118" s="1056"/>
      <c r="BLU118" s="1056"/>
      <c r="BLV118" s="1056"/>
      <c r="BLW118" s="1056"/>
      <c r="BLX118" s="1056"/>
      <c r="BLY118" s="1056"/>
      <c r="BLZ118" s="1056"/>
      <c r="BMA118" s="1056"/>
      <c r="BMB118" s="1056"/>
      <c r="BMC118" s="1056"/>
      <c r="BMD118" s="1056"/>
      <c r="BME118" s="1056"/>
      <c r="BMF118" s="1056"/>
      <c r="BMG118" s="1056"/>
      <c r="BMH118" s="1056"/>
      <c r="BMI118" s="1056"/>
      <c r="BMJ118" s="1056"/>
      <c r="BMK118" s="1056"/>
      <c r="BML118" s="1056"/>
      <c r="BMM118" s="1056"/>
      <c r="BMN118" s="1056"/>
      <c r="BMO118" s="1056"/>
      <c r="BMP118" s="1056"/>
      <c r="BMQ118" s="1056"/>
      <c r="BMR118" s="1056"/>
      <c r="BMS118" s="1056"/>
      <c r="BMT118" s="1056"/>
      <c r="BMU118" s="1056"/>
      <c r="BMV118" s="1056"/>
      <c r="BMW118" s="1056"/>
      <c r="BMX118" s="1056"/>
      <c r="BMY118" s="1056"/>
      <c r="BMZ118" s="1056"/>
      <c r="BNA118" s="1056"/>
      <c r="BNB118" s="1056"/>
      <c r="BNC118" s="1056"/>
      <c r="BND118" s="1056"/>
      <c r="BNE118" s="1056"/>
      <c r="BNF118" s="1056"/>
      <c r="BNG118" s="1056"/>
      <c r="BNH118" s="1056"/>
      <c r="BNI118" s="1056"/>
      <c r="BNJ118" s="1056"/>
      <c r="BNK118" s="1056"/>
      <c r="BNL118" s="1056"/>
      <c r="BNM118" s="1056"/>
      <c r="BNN118" s="1056"/>
      <c r="BNO118" s="1056"/>
      <c r="BNP118" s="1056"/>
      <c r="BNQ118" s="1056"/>
      <c r="BNR118" s="1056"/>
      <c r="BNS118" s="1056"/>
      <c r="BNT118" s="1056"/>
      <c r="BNU118" s="1056"/>
      <c r="BNV118" s="1056"/>
      <c r="BNW118" s="1056"/>
      <c r="BNX118" s="1056"/>
      <c r="BNY118" s="1056"/>
      <c r="BNZ118" s="1056"/>
      <c r="BOA118" s="1056"/>
      <c r="BOB118" s="1056"/>
      <c r="BOC118" s="1056"/>
      <c r="BOD118" s="1056"/>
      <c r="BOE118" s="1056"/>
      <c r="BOF118" s="1056"/>
      <c r="BOG118" s="1056"/>
      <c r="BOH118" s="1056"/>
      <c r="BOI118" s="1056"/>
      <c r="BOJ118" s="1056"/>
      <c r="BOK118" s="1056"/>
      <c r="BOL118" s="1056"/>
      <c r="BOM118" s="1056"/>
      <c r="BON118" s="1056"/>
      <c r="BOO118" s="1056"/>
      <c r="BOP118" s="1056"/>
      <c r="BOQ118" s="1056"/>
      <c r="BOR118" s="1056"/>
      <c r="BOS118" s="1056"/>
      <c r="BOT118" s="1056"/>
      <c r="BOU118" s="1056"/>
      <c r="BOV118" s="1056"/>
      <c r="BOW118" s="1056"/>
      <c r="BOX118" s="1056"/>
      <c r="BOY118" s="1056"/>
      <c r="BOZ118" s="1056"/>
      <c r="BPA118" s="1056"/>
      <c r="BPB118" s="1056"/>
      <c r="BPC118" s="1056"/>
      <c r="BPD118" s="1056"/>
      <c r="BPE118" s="1056"/>
      <c r="BPF118" s="1056"/>
      <c r="BPG118" s="1056"/>
      <c r="BPH118" s="1056"/>
      <c r="BPI118" s="1056"/>
      <c r="BPJ118" s="1056"/>
      <c r="BPK118" s="1056"/>
      <c r="BPL118" s="1056"/>
      <c r="BPM118" s="1056"/>
      <c r="BPN118" s="1056"/>
      <c r="BPO118" s="1056"/>
      <c r="BPP118" s="1056"/>
      <c r="BPQ118" s="1056"/>
      <c r="BPR118" s="1056"/>
      <c r="BPS118" s="1056"/>
      <c r="BPT118" s="1056"/>
      <c r="BPU118" s="1056"/>
      <c r="BPV118" s="1056"/>
      <c r="BPW118" s="1056"/>
      <c r="BPX118" s="1056"/>
      <c r="BPY118" s="1056"/>
      <c r="BPZ118" s="1056"/>
      <c r="BQA118" s="1056"/>
      <c r="BQB118" s="1056"/>
      <c r="BQC118" s="1056"/>
      <c r="BQD118" s="1056"/>
      <c r="BQE118" s="1056"/>
      <c r="BQF118" s="1056"/>
      <c r="BQG118" s="1056"/>
      <c r="BQH118" s="1056"/>
      <c r="BQI118" s="1056"/>
      <c r="BQJ118" s="1056"/>
      <c r="BQK118" s="1056"/>
      <c r="BQL118" s="1056"/>
      <c r="BQM118" s="1056"/>
      <c r="BQN118" s="1056"/>
      <c r="BQO118" s="1056"/>
      <c r="BQP118" s="1056"/>
      <c r="BQQ118" s="1056"/>
      <c r="BQR118" s="1056"/>
      <c r="BQS118" s="1056"/>
      <c r="BQT118" s="1056"/>
      <c r="BQU118" s="1056"/>
      <c r="BQV118" s="1056"/>
      <c r="BQW118" s="1056"/>
      <c r="BQX118" s="1056"/>
      <c r="BQY118" s="1056"/>
      <c r="BQZ118" s="1056"/>
      <c r="BRA118" s="1056"/>
      <c r="BRB118" s="1056"/>
      <c r="BRC118" s="1056"/>
      <c r="BRD118" s="1056"/>
      <c r="BRE118" s="1056"/>
      <c r="BRF118" s="1056"/>
      <c r="BRG118" s="1056"/>
      <c r="BRH118" s="1056"/>
      <c r="BRI118" s="1056"/>
      <c r="BRJ118" s="1056"/>
      <c r="BRK118" s="1056"/>
      <c r="BRL118" s="1056"/>
      <c r="BRM118" s="1056"/>
      <c r="BRN118" s="1056"/>
      <c r="BRO118" s="1056"/>
      <c r="BRP118" s="1056"/>
      <c r="BRQ118" s="1056"/>
      <c r="BRR118" s="1056"/>
      <c r="BRS118" s="1056"/>
      <c r="BRT118" s="1056"/>
      <c r="BRU118" s="1056"/>
      <c r="BRV118" s="1056"/>
      <c r="BRW118" s="1056"/>
      <c r="BRX118" s="1056"/>
      <c r="BRY118" s="1056"/>
      <c r="BRZ118" s="1056"/>
      <c r="BSA118" s="1056"/>
      <c r="BSB118" s="1056"/>
      <c r="BSC118" s="1056"/>
      <c r="BSD118" s="1056"/>
      <c r="BSE118" s="1056"/>
      <c r="BSF118" s="1056"/>
      <c r="BSG118" s="1056"/>
      <c r="BSH118" s="1056"/>
      <c r="BSI118" s="1056"/>
      <c r="BSJ118" s="1056"/>
      <c r="BSK118" s="1056"/>
      <c r="BSL118" s="1056"/>
      <c r="BSM118" s="1056"/>
      <c r="BSN118" s="1056"/>
      <c r="BSO118" s="1056"/>
      <c r="BSP118" s="1056"/>
      <c r="BSQ118" s="1056"/>
      <c r="BSR118" s="1056"/>
      <c r="BSS118" s="1056"/>
      <c r="BST118" s="1056"/>
      <c r="BSU118" s="1056"/>
      <c r="BSV118" s="1056"/>
      <c r="BSW118" s="1056"/>
      <c r="BSX118" s="1056"/>
      <c r="BSY118" s="1056"/>
      <c r="BSZ118" s="1056"/>
      <c r="BTA118" s="1056"/>
      <c r="BTB118" s="1056"/>
      <c r="BTC118" s="1056"/>
      <c r="BTD118" s="1056"/>
      <c r="BTE118" s="1056"/>
      <c r="BTF118" s="1056"/>
      <c r="BTG118" s="1056"/>
      <c r="BTH118" s="1056"/>
      <c r="BTI118" s="1056"/>
    </row>
    <row r="119" spans="1:1881" s="1060" customFormat="1" ht="120.75" hidden="1" customHeight="1" thickBot="1" x14ac:dyDescent="0.35">
      <c r="A119" s="1071">
        <v>194</v>
      </c>
      <c r="B119" s="1069" t="s">
        <v>345</v>
      </c>
      <c r="C119" s="1072" t="s">
        <v>1034</v>
      </c>
      <c r="D119" s="1075" t="s">
        <v>1037</v>
      </c>
      <c r="E119" s="1053" t="e">
        <f>HLOOKUP($D$2,'2020 Data(H)'!$C$1:$AI$426,75,FALSE)</f>
        <v>#N/A</v>
      </c>
      <c r="F119" s="287">
        <v>0</v>
      </c>
      <c r="G119" s="722"/>
      <c r="H119" s="764"/>
      <c r="I119" s="1055"/>
      <c r="J119" s="1068"/>
      <c r="K119" s="1056"/>
      <c r="L119" s="1057"/>
      <c r="M119" s="1056"/>
      <c r="N119" s="1058"/>
      <c r="O119" s="1056"/>
      <c r="P119" s="1056"/>
      <c r="Q119" s="1056"/>
      <c r="R119" s="1056"/>
      <c r="S119" s="1056"/>
      <c r="T119" s="1056"/>
      <c r="U119" s="1056"/>
      <c r="V119" s="1056"/>
      <c r="W119" s="1056"/>
      <c r="X119" s="1056"/>
      <c r="Y119" s="1056"/>
      <c r="Z119" s="1073"/>
      <c r="AA119" s="1073"/>
      <c r="AB119" s="1073"/>
      <c r="AC119" s="1073"/>
      <c r="AD119" s="1073"/>
      <c r="AE119" s="1073"/>
      <c r="AF119" s="1073"/>
      <c r="AG119" s="1073"/>
      <c r="AH119" s="1073"/>
      <c r="AI119" s="1073"/>
      <c r="AJ119" s="1073"/>
      <c r="AK119" s="1073"/>
      <c r="AL119" s="1073"/>
      <c r="AM119" s="1073"/>
      <c r="AN119" s="1073"/>
      <c r="AO119" s="1073"/>
      <c r="AP119" s="1073"/>
      <c r="AQ119" s="1073"/>
      <c r="AR119" s="1073"/>
      <c r="AS119" s="1056"/>
      <c r="AT119" s="1056"/>
      <c r="AU119" s="1056"/>
      <c r="AV119" s="1056"/>
      <c r="AW119" s="1056"/>
      <c r="AX119" s="1056"/>
      <c r="AY119" s="1056"/>
      <c r="AZ119" s="1056"/>
      <c r="BA119" s="1056"/>
      <c r="BB119" s="1056"/>
      <c r="BC119" s="1056"/>
      <c r="BD119" s="1056"/>
      <c r="BE119" s="1056"/>
      <c r="BF119" s="1056"/>
      <c r="BG119" s="1056"/>
      <c r="BH119" s="1056"/>
      <c r="BI119" s="1056"/>
      <c r="BJ119" s="1056"/>
      <c r="BK119" s="1056"/>
      <c r="BL119" s="1056"/>
      <c r="BM119" s="1056"/>
      <c r="BN119" s="1056"/>
      <c r="BO119" s="1056"/>
      <c r="BP119" s="1056"/>
      <c r="BQ119" s="1056"/>
      <c r="BR119" s="1056"/>
      <c r="BS119" s="1056"/>
      <c r="BT119" s="1056"/>
      <c r="BU119" s="1056"/>
      <c r="BV119" s="1056"/>
      <c r="BW119" s="1056"/>
      <c r="BX119" s="1056"/>
      <c r="BY119" s="1056"/>
      <c r="BZ119" s="1056"/>
      <c r="CA119" s="1056"/>
      <c r="CB119" s="1056"/>
      <c r="CC119" s="1056"/>
      <c r="CD119" s="1056"/>
      <c r="CE119" s="1056"/>
      <c r="CF119" s="1056"/>
      <c r="CG119" s="1056"/>
      <c r="CH119" s="1056"/>
      <c r="CI119" s="1056"/>
      <c r="CJ119" s="1056"/>
      <c r="CK119" s="1056"/>
      <c r="CL119" s="1056"/>
      <c r="CM119" s="1056"/>
      <c r="CN119" s="1056"/>
      <c r="CO119" s="1056"/>
      <c r="CP119" s="1056"/>
      <c r="CQ119" s="1056"/>
      <c r="CR119" s="1056"/>
      <c r="CS119" s="1056"/>
      <c r="CT119" s="1056"/>
      <c r="CU119" s="1056"/>
      <c r="CV119" s="1056"/>
      <c r="CW119" s="1056"/>
      <c r="CX119" s="1056"/>
      <c r="CY119" s="1056"/>
      <c r="CZ119" s="1056"/>
      <c r="DA119" s="1056"/>
      <c r="DB119" s="1056"/>
      <c r="DC119" s="1056"/>
      <c r="DD119" s="1056"/>
      <c r="DE119" s="1056"/>
      <c r="DF119" s="1056"/>
      <c r="DG119" s="1056"/>
      <c r="DH119" s="1056"/>
      <c r="DI119" s="1056"/>
      <c r="DJ119" s="1056"/>
      <c r="DK119" s="1056"/>
      <c r="DL119" s="1056"/>
      <c r="DM119" s="1056"/>
      <c r="DN119" s="1056"/>
      <c r="DO119" s="1056"/>
      <c r="DP119" s="1056"/>
      <c r="DQ119" s="1056"/>
      <c r="DR119" s="1056"/>
      <c r="DS119" s="1056"/>
      <c r="DT119" s="1056"/>
      <c r="DU119" s="1056"/>
      <c r="DV119" s="1056"/>
      <c r="DW119" s="1056"/>
      <c r="DX119" s="1056"/>
      <c r="DY119" s="1056"/>
      <c r="DZ119" s="1056"/>
      <c r="EA119" s="1056"/>
      <c r="EB119" s="1056"/>
      <c r="EC119" s="1056"/>
      <c r="ED119" s="1056"/>
      <c r="EE119" s="1056"/>
      <c r="EF119" s="1056"/>
      <c r="EG119" s="1056"/>
      <c r="EH119" s="1056"/>
      <c r="EI119" s="1056"/>
      <c r="EJ119" s="1056"/>
      <c r="EK119" s="1056"/>
      <c r="EL119" s="1056"/>
      <c r="EM119" s="1056"/>
      <c r="EN119" s="1056"/>
      <c r="EO119" s="1056"/>
      <c r="EP119" s="1056"/>
      <c r="EQ119" s="1056"/>
      <c r="ER119" s="1056"/>
      <c r="ES119" s="1056"/>
      <c r="ET119" s="1056"/>
      <c r="EU119" s="1056"/>
      <c r="EV119" s="1056"/>
      <c r="EW119" s="1056"/>
      <c r="EX119" s="1056"/>
      <c r="EY119" s="1056"/>
      <c r="EZ119" s="1056"/>
      <c r="FA119" s="1056"/>
      <c r="FB119" s="1056"/>
      <c r="FC119" s="1056"/>
      <c r="FD119" s="1056"/>
      <c r="FE119" s="1056"/>
      <c r="FF119" s="1056"/>
      <c r="FG119" s="1056"/>
      <c r="FH119" s="1056"/>
      <c r="FI119" s="1056"/>
      <c r="FJ119" s="1056"/>
      <c r="FK119" s="1056"/>
      <c r="FL119" s="1056"/>
      <c r="FM119" s="1056"/>
      <c r="FN119" s="1056"/>
      <c r="FO119" s="1056"/>
      <c r="FP119" s="1056"/>
      <c r="FQ119" s="1056"/>
      <c r="FR119" s="1056"/>
      <c r="FS119" s="1056"/>
      <c r="FT119" s="1056"/>
      <c r="FU119" s="1056"/>
      <c r="FV119" s="1056"/>
      <c r="FW119" s="1056"/>
      <c r="FX119" s="1056"/>
      <c r="FY119" s="1056"/>
      <c r="FZ119" s="1056"/>
      <c r="GA119" s="1056"/>
      <c r="GB119" s="1056"/>
      <c r="GC119" s="1056"/>
      <c r="GD119" s="1056"/>
      <c r="GE119" s="1056"/>
      <c r="GF119" s="1056"/>
      <c r="GG119" s="1056"/>
      <c r="GH119" s="1056"/>
      <c r="GI119" s="1056"/>
      <c r="GJ119" s="1056"/>
      <c r="GK119" s="1056"/>
      <c r="GL119" s="1056"/>
      <c r="GM119" s="1056"/>
      <c r="GN119" s="1056"/>
      <c r="GO119" s="1056"/>
      <c r="GP119" s="1056"/>
      <c r="GQ119" s="1056"/>
      <c r="GR119" s="1056"/>
      <c r="GS119" s="1056"/>
      <c r="GT119" s="1056"/>
      <c r="GU119" s="1056"/>
      <c r="GV119" s="1056"/>
      <c r="GW119" s="1056"/>
      <c r="GX119" s="1056"/>
      <c r="GY119" s="1056"/>
      <c r="GZ119" s="1056"/>
      <c r="HA119" s="1056"/>
      <c r="HB119" s="1056"/>
      <c r="HC119" s="1056"/>
      <c r="HD119" s="1056"/>
      <c r="HE119" s="1056"/>
      <c r="HF119" s="1056"/>
      <c r="HG119" s="1056"/>
      <c r="HH119" s="1056"/>
      <c r="HI119" s="1056"/>
      <c r="HJ119" s="1056"/>
      <c r="HK119" s="1056"/>
      <c r="HL119" s="1056"/>
      <c r="HM119" s="1056"/>
      <c r="HN119" s="1056"/>
      <c r="HO119" s="1056"/>
      <c r="HP119" s="1056"/>
      <c r="HQ119" s="1056"/>
      <c r="HR119" s="1056"/>
      <c r="HS119" s="1056"/>
      <c r="HT119" s="1056"/>
      <c r="HU119" s="1056"/>
      <c r="HV119" s="1056"/>
      <c r="HW119" s="1056"/>
      <c r="HX119" s="1056"/>
      <c r="HY119" s="1056"/>
      <c r="HZ119" s="1056"/>
      <c r="IA119" s="1056"/>
      <c r="IB119" s="1056"/>
      <c r="IC119" s="1056"/>
      <c r="ID119" s="1056"/>
      <c r="IE119" s="1056"/>
      <c r="IF119" s="1056"/>
      <c r="IG119" s="1056"/>
      <c r="IH119" s="1056"/>
      <c r="II119" s="1056"/>
      <c r="IJ119" s="1056"/>
      <c r="IK119" s="1056"/>
      <c r="IL119" s="1056"/>
      <c r="IM119" s="1056"/>
      <c r="IN119" s="1056"/>
      <c r="IO119" s="1056"/>
      <c r="IP119" s="1056"/>
      <c r="IQ119" s="1056"/>
      <c r="IR119" s="1056"/>
      <c r="IS119" s="1056"/>
      <c r="IT119" s="1056"/>
      <c r="IU119" s="1056"/>
      <c r="IV119" s="1056"/>
      <c r="IW119" s="1056"/>
      <c r="IX119" s="1056"/>
      <c r="IY119" s="1056"/>
      <c r="IZ119" s="1056"/>
      <c r="JA119" s="1056"/>
      <c r="JB119" s="1056"/>
      <c r="JC119" s="1056"/>
      <c r="JD119" s="1056"/>
      <c r="JE119" s="1056"/>
      <c r="JF119" s="1056"/>
      <c r="JG119" s="1056"/>
      <c r="JH119" s="1056"/>
      <c r="JI119" s="1056"/>
      <c r="JJ119" s="1056"/>
      <c r="JK119" s="1056"/>
      <c r="JL119" s="1056"/>
      <c r="JM119" s="1056"/>
      <c r="JN119" s="1056"/>
      <c r="JO119" s="1056"/>
      <c r="JP119" s="1056"/>
      <c r="JQ119" s="1056"/>
      <c r="JR119" s="1056"/>
      <c r="JS119" s="1056"/>
      <c r="JT119" s="1056"/>
      <c r="JU119" s="1056"/>
      <c r="JV119" s="1056"/>
      <c r="JW119" s="1056"/>
      <c r="JX119" s="1056"/>
      <c r="JY119" s="1056"/>
      <c r="JZ119" s="1056"/>
      <c r="KA119" s="1056"/>
      <c r="KB119" s="1056"/>
      <c r="KC119" s="1056"/>
      <c r="KD119" s="1056"/>
      <c r="KE119" s="1056"/>
      <c r="KF119" s="1056"/>
      <c r="KG119" s="1056"/>
      <c r="KH119" s="1056"/>
      <c r="KI119" s="1056"/>
      <c r="KJ119" s="1056"/>
      <c r="KK119" s="1056"/>
      <c r="KL119" s="1056"/>
      <c r="KM119" s="1056"/>
      <c r="KN119" s="1056"/>
      <c r="KO119" s="1056"/>
      <c r="KP119" s="1056"/>
      <c r="KQ119" s="1056"/>
      <c r="KR119" s="1056"/>
      <c r="KS119" s="1056"/>
      <c r="KT119" s="1056"/>
      <c r="KU119" s="1056"/>
      <c r="KV119" s="1056"/>
      <c r="KW119" s="1056"/>
      <c r="KX119" s="1056"/>
      <c r="KY119" s="1056"/>
      <c r="KZ119" s="1056"/>
      <c r="LA119" s="1056"/>
      <c r="LB119" s="1056"/>
      <c r="LC119" s="1056"/>
      <c r="LD119" s="1056"/>
      <c r="LE119" s="1056"/>
      <c r="LF119" s="1056"/>
      <c r="LG119" s="1056"/>
      <c r="LH119" s="1056"/>
      <c r="LI119" s="1056"/>
      <c r="LJ119" s="1056"/>
      <c r="LK119" s="1056"/>
      <c r="LL119" s="1056"/>
      <c r="LM119" s="1056"/>
      <c r="LN119" s="1056"/>
      <c r="LO119" s="1056"/>
      <c r="LP119" s="1056"/>
      <c r="LQ119" s="1056"/>
      <c r="LR119" s="1056"/>
      <c r="LS119" s="1056"/>
      <c r="LT119" s="1056"/>
      <c r="LU119" s="1056"/>
      <c r="LV119" s="1056"/>
      <c r="LW119" s="1056"/>
      <c r="LX119" s="1056"/>
      <c r="LY119" s="1056"/>
      <c r="LZ119" s="1056"/>
      <c r="MA119" s="1056"/>
      <c r="MB119" s="1056"/>
      <c r="MC119" s="1056"/>
      <c r="MD119" s="1056"/>
      <c r="ME119" s="1056"/>
      <c r="MF119" s="1056"/>
      <c r="MG119" s="1056"/>
      <c r="MH119" s="1056"/>
      <c r="MI119" s="1056"/>
      <c r="MJ119" s="1056"/>
      <c r="MK119" s="1056"/>
      <c r="ML119" s="1056"/>
      <c r="MM119" s="1056"/>
      <c r="MN119" s="1056"/>
      <c r="MO119" s="1056"/>
      <c r="MP119" s="1056"/>
      <c r="MQ119" s="1056"/>
      <c r="MR119" s="1056"/>
      <c r="MS119" s="1056"/>
      <c r="MT119" s="1056"/>
      <c r="MU119" s="1056"/>
      <c r="MV119" s="1056"/>
      <c r="MW119" s="1056"/>
      <c r="MX119" s="1056"/>
      <c r="MY119" s="1056"/>
      <c r="MZ119" s="1056"/>
      <c r="NA119" s="1056"/>
      <c r="NB119" s="1056"/>
      <c r="NC119" s="1056"/>
      <c r="ND119" s="1056"/>
      <c r="NE119" s="1056"/>
      <c r="NF119" s="1056"/>
      <c r="NG119" s="1056"/>
      <c r="NH119" s="1056"/>
      <c r="NI119" s="1056"/>
      <c r="NJ119" s="1056"/>
      <c r="NK119" s="1056"/>
      <c r="NL119" s="1056"/>
      <c r="NM119" s="1056"/>
      <c r="NN119" s="1056"/>
      <c r="NO119" s="1056"/>
      <c r="NP119" s="1056"/>
      <c r="NQ119" s="1056"/>
      <c r="NR119" s="1056"/>
      <c r="NS119" s="1056"/>
      <c r="NT119" s="1056"/>
      <c r="NU119" s="1056"/>
      <c r="NV119" s="1056"/>
      <c r="NW119" s="1056"/>
      <c r="NX119" s="1056"/>
      <c r="NY119" s="1056"/>
      <c r="NZ119" s="1056"/>
      <c r="OA119" s="1056"/>
      <c r="OB119" s="1056"/>
      <c r="OC119" s="1056"/>
      <c r="OD119" s="1056"/>
      <c r="OE119" s="1056"/>
      <c r="OF119" s="1056"/>
      <c r="OG119" s="1056"/>
      <c r="OH119" s="1056"/>
      <c r="OI119" s="1056"/>
      <c r="OJ119" s="1056"/>
      <c r="OK119" s="1056"/>
      <c r="OL119" s="1056"/>
      <c r="OM119" s="1056"/>
      <c r="ON119" s="1056"/>
      <c r="OO119" s="1056"/>
      <c r="OP119" s="1056"/>
      <c r="OQ119" s="1056"/>
      <c r="OR119" s="1056"/>
      <c r="OS119" s="1056"/>
      <c r="OT119" s="1056"/>
      <c r="OU119" s="1056"/>
      <c r="OV119" s="1056"/>
      <c r="OW119" s="1056"/>
      <c r="OX119" s="1056"/>
      <c r="OY119" s="1056"/>
      <c r="OZ119" s="1056"/>
      <c r="PA119" s="1056"/>
      <c r="PB119" s="1056"/>
      <c r="PC119" s="1056"/>
      <c r="PD119" s="1056"/>
      <c r="PE119" s="1056"/>
      <c r="PF119" s="1056"/>
      <c r="PG119" s="1056"/>
      <c r="PH119" s="1056"/>
      <c r="PI119" s="1056"/>
      <c r="PJ119" s="1056"/>
      <c r="PK119" s="1056"/>
      <c r="PL119" s="1056"/>
      <c r="PM119" s="1056"/>
      <c r="PN119" s="1056"/>
      <c r="PO119" s="1056"/>
      <c r="PP119" s="1056"/>
      <c r="PQ119" s="1056"/>
      <c r="PR119" s="1056"/>
      <c r="PS119" s="1056"/>
      <c r="PT119" s="1056"/>
      <c r="PU119" s="1056"/>
      <c r="PV119" s="1056"/>
      <c r="PW119" s="1056"/>
      <c r="PX119" s="1056"/>
      <c r="PY119" s="1056"/>
      <c r="PZ119" s="1056"/>
      <c r="QA119" s="1056"/>
      <c r="QB119" s="1056"/>
      <c r="QC119" s="1056"/>
      <c r="QD119" s="1056"/>
      <c r="QE119" s="1056"/>
      <c r="QF119" s="1056"/>
      <c r="QG119" s="1056"/>
      <c r="QH119" s="1056"/>
      <c r="QI119" s="1056"/>
      <c r="QJ119" s="1056"/>
      <c r="QK119" s="1056"/>
      <c r="QL119" s="1056"/>
      <c r="QM119" s="1056"/>
      <c r="QN119" s="1056"/>
      <c r="QO119" s="1056"/>
      <c r="QP119" s="1056"/>
      <c r="QQ119" s="1056"/>
      <c r="QR119" s="1056"/>
      <c r="QS119" s="1056"/>
      <c r="QT119" s="1056"/>
      <c r="QU119" s="1056"/>
      <c r="QV119" s="1056"/>
      <c r="QW119" s="1056"/>
      <c r="QX119" s="1056"/>
      <c r="QY119" s="1056"/>
      <c r="QZ119" s="1056"/>
      <c r="RA119" s="1056"/>
      <c r="RB119" s="1056"/>
      <c r="RC119" s="1056"/>
      <c r="RD119" s="1056"/>
      <c r="RE119" s="1056"/>
      <c r="RF119" s="1056"/>
      <c r="RG119" s="1056"/>
      <c r="RH119" s="1056"/>
      <c r="RI119" s="1056"/>
      <c r="RJ119" s="1056"/>
      <c r="RK119" s="1056"/>
      <c r="RL119" s="1056"/>
      <c r="RM119" s="1056"/>
      <c r="RN119" s="1056"/>
      <c r="RO119" s="1056"/>
      <c r="RP119" s="1056"/>
      <c r="RQ119" s="1056"/>
      <c r="RR119" s="1056"/>
      <c r="RS119" s="1056"/>
      <c r="RT119" s="1056"/>
      <c r="RU119" s="1056"/>
      <c r="RV119" s="1056"/>
      <c r="RW119" s="1056"/>
      <c r="RX119" s="1056"/>
      <c r="RY119" s="1056"/>
      <c r="RZ119" s="1056"/>
      <c r="SA119" s="1056"/>
      <c r="SB119" s="1056"/>
      <c r="SC119" s="1056"/>
      <c r="SD119" s="1056"/>
      <c r="SE119" s="1056"/>
      <c r="SF119" s="1056"/>
      <c r="SG119" s="1056"/>
      <c r="SH119" s="1056"/>
      <c r="SI119" s="1056"/>
      <c r="SJ119" s="1056"/>
      <c r="SK119" s="1056"/>
      <c r="SL119" s="1056"/>
      <c r="SM119" s="1056"/>
      <c r="SN119" s="1056"/>
      <c r="SO119" s="1056"/>
      <c r="SP119" s="1056"/>
      <c r="SQ119" s="1056"/>
      <c r="SR119" s="1056"/>
      <c r="SS119" s="1056"/>
      <c r="ST119" s="1056"/>
      <c r="SU119" s="1056"/>
      <c r="SV119" s="1056"/>
      <c r="SW119" s="1056"/>
      <c r="SX119" s="1056"/>
      <c r="SY119" s="1056"/>
      <c r="SZ119" s="1056"/>
      <c r="TA119" s="1056"/>
      <c r="TB119" s="1056"/>
      <c r="TC119" s="1056"/>
      <c r="TD119" s="1056"/>
      <c r="TE119" s="1056"/>
      <c r="TF119" s="1056"/>
      <c r="TG119" s="1056"/>
      <c r="TH119" s="1056"/>
      <c r="TI119" s="1056"/>
      <c r="TJ119" s="1056"/>
      <c r="TK119" s="1056"/>
      <c r="TL119" s="1056"/>
      <c r="TM119" s="1056"/>
      <c r="TN119" s="1056"/>
      <c r="TO119" s="1056"/>
      <c r="TP119" s="1056"/>
      <c r="TQ119" s="1056"/>
      <c r="TR119" s="1056"/>
      <c r="TS119" s="1056"/>
      <c r="TT119" s="1056"/>
      <c r="TU119" s="1056"/>
      <c r="TV119" s="1056"/>
      <c r="TW119" s="1056"/>
      <c r="TX119" s="1056"/>
      <c r="TY119" s="1056"/>
      <c r="TZ119" s="1056"/>
      <c r="UA119" s="1056"/>
      <c r="UB119" s="1056"/>
      <c r="UC119" s="1056"/>
      <c r="UD119" s="1056"/>
      <c r="UE119" s="1056"/>
      <c r="UF119" s="1056"/>
      <c r="UG119" s="1056"/>
      <c r="UH119" s="1056"/>
      <c r="UI119" s="1056"/>
      <c r="UJ119" s="1056"/>
      <c r="UK119" s="1056"/>
      <c r="UL119" s="1056"/>
      <c r="UM119" s="1056"/>
      <c r="UN119" s="1056"/>
      <c r="UO119" s="1056"/>
      <c r="UP119" s="1056"/>
      <c r="UQ119" s="1056"/>
      <c r="UR119" s="1056"/>
      <c r="US119" s="1056"/>
      <c r="UT119" s="1056"/>
      <c r="UU119" s="1056"/>
      <c r="UV119" s="1056"/>
      <c r="UW119" s="1056"/>
      <c r="UX119" s="1056"/>
      <c r="UY119" s="1056"/>
      <c r="UZ119" s="1056"/>
      <c r="VA119" s="1056"/>
      <c r="VB119" s="1056"/>
      <c r="VC119" s="1056"/>
      <c r="VD119" s="1056"/>
      <c r="VE119" s="1056"/>
      <c r="VF119" s="1056"/>
      <c r="VG119" s="1056"/>
      <c r="VH119" s="1056"/>
      <c r="VI119" s="1056"/>
      <c r="VJ119" s="1056"/>
      <c r="VK119" s="1056"/>
      <c r="VL119" s="1056"/>
      <c r="VM119" s="1056"/>
      <c r="VN119" s="1056"/>
      <c r="VO119" s="1056"/>
      <c r="VP119" s="1056"/>
      <c r="VQ119" s="1056"/>
      <c r="VR119" s="1056"/>
      <c r="VS119" s="1056"/>
      <c r="VT119" s="1056"/>
      <c r="VU119" s="1056"/>
      <c r="VV119" s="1056"/>
      <c r="VW119" s="1056"/>
      <c r="VX119" s="1056"/>
      <c r="VY119" s="1056"/>
      <c r="VZ119" s="1056"/>
      <c r="WA119" s="1056"/>
      <c r="WB119" s="1056"/>
      <c r="WC119" s="1056"/>
      <c r="WD119" s="1056"/>
      <c r="WE119" s="1056"/>
      <c r="WF119" s="1056"/>
      <c r="WG119" s="1056"/>
      <c r="WH119" s="1056"/>
      <c r="WI119" s="1056"/>
      <c r="WJ119" s="1056"/>
      <c r="WK119" s="1056"/>
      <c r="WL119" s="1056"/>
      <c r="WM119" s="1056"/>
      <c r="WN119" s="1056"/>
      <c r="WO119" s="1056"/>
      <c r="WP119" s="1056"/>
      <c r="WQ119" s="1056"/>
      <c r="WR119" s="1056"/>
      <c r="WS119" s="1056"/>
      <c r="WT119" s="1056"/>
      <c r="WU119" s="1056"/>
      <c r="WV119" s="1056"/>
      <c r="WW119" s="1056"/>
      <c r="WX119" s="1056"/>
      <c r="WY119" s="1056"/>
      <c r="WZ119" s="1056"/>
      <c r="XA119" s="1056"/>
      <c r="XB119" s="1056"/>
      <c r="XC119" s="1056"/>
      <c r="XD119" s="1056"/>
      <c r="XE119" s="1056"/>
      <c r="XF119" s="1056"/>
      <c r="XG119" s="1056"/>
      <c r="XH119" s="1056"/>
      <c r="XI119" s="1056"/>
      <c r="XJ119" s="1056"/>
      <c r="XK119" s="1056"/>
      <c r="XL119" s="1056"/>
      <c r="XM119" s="1056"/>
      <c r="XN119" s="1056"/>
      <c r="XO119" s="1056"/>
      <c r="XP119" s="1056"/>
      <c r="XQ119" s="1056"/>
      <c r="XR119" s="1056"/>
      <c r="XS119" s="1056"/>
      <c r="XT119" s="1056"/>
      <c r="XU119" s="1056"/>
      <c r="XV119" s="1056"/>
      <c r="XW119" s="1056"/>
      <c r="XX119" s="1056"/>
      <c r="XY119" s="1056"/>
      <c r="XZ119" s="1056"/>
      <c r="YA119" s="1056"/>
      <c r="YB119" s="1056"/>
      <c r="YC119" s="1056"/>
      <c r="YD119" s="1056"/>
      <c r="YE119" s="1056"/>
      <c r="YF119" s="1056"/>
      <c r="YG119" s="1056"/>
      <c r="YH119" s="1056"/>
      <c r="YI119" s="1056"/>
      <c r="YJ119" s="1056"/>
      <c r="YK119" s="1056"/>
      <c r="YL119" s="1056"/>
      <c r="YM119" s="1056"/>
      <c r="YN119" s="1056"/>
      <c r="YO119" s="1056"/>
      <c r="YP119" s="1056"/>
      <c r="YQ119" s="1056"/>
      <c r="YR119" s="1056"/>
      <c r="YS119" s="1056"/>
      <c r="YT119" s="1056"/>
      <c r="YU119" s="1056"/>
      <c r="YV119" s="1056"/>
      <c r="YW119" s="1056"/>
      <c r="YX119" s="1056"/>
      <c r="YY119" s="1056"/>
      <c r="YZ119" s="1056"/>
      <c r="ZA119" s="1056"/>
      <c r="ZB119" s="1056"/>
      <c r="ZC119" s="1056"/>
      <c r="ZD119" s="1056"/>
      <c r="ZE119" s="1056"/>
      <c r="ZF119" s="1056"/>
      <c r="ZG119" s="1056"/>
      <c r="ZH119" s="1056"/>
      <c r="ZI119" s="1056"/>
      <c r="ZJ119" s="1056"/>
      <c r="ZK119" s="1056"/>
      <c r="ZL119" s="1056"/>
      <c r="ZM119" s="1056"/>
      <c r="ZN119" s="1056"/>
      <c r="ZO119" s="1056"/>
      <c r="ZP119" s="1056"/>
      <c r="ZQ119" s="1056"/>
      <c r="ZR119" s="1056"/>
      <c r="ZS119" s="1056"/>
      <c r="ZT119" s="1056"/>
      <c r="ZU119" s="1056"/>
      <c r="ZV119" s="1056"/>
      <c r="ZW119" s="1056"/>
      <c r="ZX119" s="1056"/>
      <c r="ZY119" s="1056"/>
      <c r="ZZ119" s="1056"/>
      <c r="AAA119" s="1056"/>
      <c r="AAB119" s="1056"/>
      <c r="AAC119" s="1056"/>
      <c r="AAD119" s="1056"/>
      <c r="AAE119" s="1056"/>
      <c r="AAF119" s="1056"/>
      <c r="AAG119" s="1056"/>
      <c r="AAH119" s="1056"/>
      <c r="AAI119" s="1056"/>
      <c r="AAJ119" s="1056"/>
      <c r="AAK119" s="1056"/>
      <c r="AAL119" s="1056"/>
      <c r="AAM119" s="1056"/>
      <c r="AAN119" s="1056"/>
      <c r="AAO119" s="1056"/>
      <c r="AAP119" s="1056"/>
      <c r="AAQ119" s="1056"/>
      <c r="AAR119" s="1056"/>
      <c r="AAS119" s="1056"/>
      <c r="AAT119" s="1056"/>
      <c r="AAU119" s="1056"/>
      <c r="AAV119" s="1056"/>
      <c r="AAW119" s="1056"/>
      <c r="AAX119" s="1056"/>
      <c r="AAY119" s="1056"/>
      <c r="AAZ119" s="1056"/>
      <c r="ABA119" s="1056"/>
      <c r="ABB119" s="1056"/>
      <c r="ABC119" s="1056"/>
      <c r="ABD119" s="1056"/>
      <c r="ABE119" s="1056"/>
      <c r="ABF119" s="1056"/>
      <c r="ABG119" s="1056"/>
      <c r="ABH119" s="1056"/>
      <c r="ABI119" s="1056"/>
      <c r="ABJ119" s="1056"/>
      <c r="ABK119" s="1056"/>
      <c r="ABL119" s="1056"/>
      <c r="ABM119" s="1056"/>
      <c r="ABN119" s="1056"/>
      <c r="ABO119" s="1056"/>
      <c r="ABP119" s="1056"/>
      <c r="ABQ119" s="1056"/>
      <c r="ABR119" s="1056"/>
      <c r="ABS119" s="1056"/>
      <c r="ABT119" s="1056"/>
      <c r="ABU119" s="1056"/>
      <c r="ABV119" s="1056"/>
      <c r="ABW119" s="1056"/>
      <c r="ABX119" s="1056"/>
      <c r="ABY119" s="1056"/>
      <c r="ABZ119" s="1056"/>
      <c r="ACA119" s="1056"/>
      <c r="ACB119" s="1056"/>
      <c r="ACC119" s="1056"/>
      <c r="ACD119" s="1056"/>
      <c r="ACE119" s="1056"/>
      <c r="ACF119" s="1056"/>
      <c r="ACG119" s="1056"/>
      <c r="ACH119" s="1056"/>
      <c r="ACI119" s="1056"/>
      <c r="ACJ119" s="1056"/>
      <c r="ACK119" s="1056"/>
      <c r="ACL119" s="1056"/>
      <c r="ACM119" s="1056"/>
      <c r="ACN119" s="1056"/>
      <c r="ACO119" s="1056"/>
      <c r="ACP119" s="1056"/>
      <c r="ACQ119" s="1056"/>
      <c r="ACR119" s="1056"/>
      <c r="ACS119" s="1056"/>
      <c r="ACT119" s="1056"/>
      <c r="ACU119" s="1056"/>
      <c r="ACV119" s="1056"/>
      <c r="ACW119" s="1056"/>
      <c r="ACX119" s="1056"/>
      <c r="ACY119" s="1056"/>
      <c r="ACZ119" s="1056"/>
      <c r="ADA119" s="1056"/>
      <c r="ADB119" s="1056"/>
      <c r="ADC119" s="1056"/>
      <c r="ADD119" s="1056"/>
      <c r="ADE119" s="1056"/>
      <c r="ADF119" s="1056"/>
      <c r="ADG119" s="1056"/>
      <c r="ADH119" s="1056"/>
      <c r="ADI119" s="1056"/>
      <c r="ADJ119" s="1056"/>
      <c r="ADK119" s="1056"/>
      <c r="ADL119" s="1056"/>
      <c r="ADM119" s="1056"/>
      <c r="ADN119" s="1056"/>
      <c r="ADO119" s="1056"/>
      <c r="ADP119" s="1056"/>
      <c r="ADQ119" s="1056"/>
      <c r="ADR119" s="1056"/>
      <c r="ADS119" s="1056"/>
      <c r="ADT119" s="1056"/>
      <c r="ADU119" s="1056"/>
      <c r="ADV119" s="1056"/>
      <c r="ADW119" s="1056"/>
      <c r="ADX119" s="1056"/>
      <c r="ADY119" s="1056"/>
      <c r="ADZ119" s="1056"/>
      <c r="AEA119" s="1056"/>
      <c r="AEB119" s="1056"/>
      <c r="AEC119" s="1056"/>
      <c r="AED119" s="1056"/>
      <c r="AEE119" s="1056"/>
      <c r="AEF119" s="1056"/>
      <c r="AEG119" s="1056"/>
      <c r="AEH119" s="1056"/>
      <c r="AEI119" s="1056"/>
      <c r="AEJ119" s="1056"/>
      <c r="AEK119" s="1056"/>
      <c r="AEL119" s="1056"/>
      <c r="AEM119" s="1056"/>
      <c r="AEN119" s="1056"/>
      <c r="AEO119" s="1056"/>
      <c r="AEP119" s="1056"/>
      <c r="AEQ119" s="1056"/>
      <c r="AER119" s="1056"/>
      <c r="AES119" s="1056"/>
      <c r="AET119" s="1056"/>
      <c r="AEU119" s="1056"/>
      <c r="AEV119" s="1056"/>
      <c r="AEW119" s="1056"/>
      <c r="AEX119" s="1056"/>
      <c r="AEY119" s="1056"/>
      <c r="AEZ119" s="1056"/>
      <c r="AFA119" s="1056"/>
      <c r="AFB119" s="1056"/>
      <c r="AFC119" s="1056"/>
      <c r="AFD119" s="1056"/>
      <c r="AFE119" s="1056"/>
      <c r="AFF119" s="1056"/>
      <c r="AFG119" s="1056"/>
      <c r="AFH119" s="1056"/>
      <c r="AFI119" s="1056"/>
      <c r="AFJ119" s="1056"/>
      <c r="AFK119" s="1056"/>
      <c r="AFL119" s="1056"/>
      <c r="AFM119" s="1056"/>
      <c r="AFN119" s="1056"/>
      <c r="AFO119" s="1056"/>
      <c r="AFP119" s="1056"/>
      <c r="AFQ119" s="1056"/>
      <c r="AFR119" s="1056"/>
      <c r="AFS119" s="1056"/>
      <c r="AFT119" s="1056"/>
      <c r="AFU119" s="1056"/>
      <c r="AFV119" s="1056"/>
      <c r="AFW119" s="1056"/>
      <c r="AFX119" s="1056"/>
      <c r="AFY119" s="1056"/>
      <c r="AFZ119" s="1056"/>
      <c r="AGA119" s="1056"/>
      <c r="AGB119" s="1056"/>
      <c r="AGC119" s="1056"/>
      <c r="AGD119" s="1056"/>
      <c r="AGE119" s="1056"/>
      <c r="AGF119" s="1056"/>
      <c r="AGG119" s="1056"/>
      <c r="AGH119" s="1056"/>
      <c r="AGI119" s="1056"/>
      <c r="AGJ119" s="1056"/>
      <c r="AGK119" s="1056"/>
      <c r="AGL119" s="1056"/>
      <c r="AGM119" s="1056"/>
      <c r="AGN119" s="1056"/>
      <c r="AGO119" s="1056"/>
      <c r="AGP119" s="1056"/>
      <c r="AGQ119" s="1056"/>
      <c r="AGR119" s="1056"/>
      <c r="AGS119" s="1056"/>
      <c r="AGT119" s="1056"/>
      <c r="AGU119" s="1056"/>
      <c r="AGV119" s="1056"/>
      <c r="AGW119" s="1056"/>
      <c r="AGX119" s="1056"/>
      <c r="AGY119" s="1056"/>
      <c r="AGZ119" s="1056"/>
      <c r="AHA119" s="1056"/>
      <c r="AHB119" s="1056"/>
      <c r="AHC119" s="1056"/>
      <c r="AHD119" s="1056"/>
      <c r="AHE119" s="1056"/>
      <c r="AHF119" s="1056"/>
      <c r="AHG119" s="1056"/>
      <c r="AHH119" s="1056"/>
      <c r="AHI119" s="1056"/>
      <c r="AHJ119" s="1056"/>
      <c r="AHK119" s="1056"/>
      <c r="AHL119" s="1056"/>
      <c r="AHM119" s="1056"/>
      <c r="AHN119" s="1056"/>
      <c r="AHO119" s="1056"/>
      <c r="AHP119" s="1056"/>
      <c r="AHQ119" s="1056"/>
      <c r="AHR119" s="1056"/>
      <c r="AHS119" s="1056"/>
      <c r="AHT119" s="1056"/>
      <c r="AHU119" s="1056"/>
      <c r="AHV119" s="1056"/>
      <c r="AHW119" s="1056"/>
      <c r="AHX119" s="1056"/>
      <c r="AHY119" s="1056"/>
      <c r="AHZ119" s="1056"/>
      <c r="AIA119" s="1056"/>
      <c r="AIB119" s="1056"/>
      <c r="AIC119" s="1056"/>
      <c r="AID119" s="1056"/>
      <c r="AIE119" s="1056"/>
      <c r="AIF119" s="1056"/>
      <c r="AIG119" s="1056"/>
      <c r="AIH119" s="1056"/>
      <c r="AII119" s="1056"/>
      <c r="AIJ119" s="1056"/>
      <c r="AIK119" s="1056"/>
      <c r="AIL119" s="1056"/>
      <c r="AIM119" s="1056"/>
      <c r="AIN119" s="1056"/>
      <c r="AIO119" s="1056"/>
      <c r="AIP119" s="1056"/>
      <c r="AIQ119" s="1056"/>
      <c r="AIR119" s="1056"/>
      <c r="AIS119" s="1056"/>
      <c r="AIT119" s="1056"/>
      <c r="AIU119" s="1056"/>
      <c r="AIV119" s="1056"/>
      <c r="AIW119" s="1056"/>
      <c r="AIX119" s="1056"/>
      <c r="AIY119" s="1056"/>
      <c r="AIZ119" s="1056"/>
      <c r="AJA119" s="1056"/>
      <c r="AJB119" s="1056"/>
      <c r="AJC119" s="1056"/>
      <c r="AJD119" s="1056"/>
      <c r="AJE119" s="1056"/>
      <c r="AJF119" s="1056"/>
      <c r="AJG119" s="1056"/>
      <c r="AJH119" s="1056"/>
      <c r="AJI119" s="1056"/>
      <c r="AJJ119" s="1056"/>
      <c r="AJK119" s="1056"/>
      <c r="AJL119" s="1056"/>
      <c r="AJM119" s="1056"/>
      <c r="AJN119" s="1056"/>
      <c r="AJO119" s="1056"/>
      <c r="AJP119" s="1056"/>
      <c r="AJQ119" s="1056"/>
      <c r="AJR119" s="1056"/>
      <c r="AJS119" s="1056"/>
      <c r="AJT119" s="1056"/>
      <c r="AJU119" s="1056"/>
      <c r="AJV119" s="1056"/>
      <c r="AJW119" s="1056"/>
      <c r="AJX119" s="1056"/>
      <c r="AJY119" s="1056"/>
      <c r="AJZ119" s="1056"/>
      <c r="AKA119" s="1056"/>
      <c r="AKB119" s="1056"/>
      <c r="AKC119" s="1056"/>
      <c r="AKD119" s="1056"/>
      <c r="AKE119" s="1056"/>
      <c r="AKF119" s="1056"/>
      <c r="AKG119" s="1056"/>
      <c r="AKH119" s="1056"/>
      <c r="AKI119" s="1056"/>
      <c r="AKJ119" s="1056"/>
      <c r="AKK119" s="1056"/>
      <c r="AKL119" s="1056"/>
      <c r="AKM119" s="1056"/>
      <c r="AKN119" s="1056"/>
      <c r="AKO119" s="1056"/>
      <c r="AKP119" s="1056"/>
      <c r="AKQ119" s="1056"/>
      <c r="AKR119" s="1056"/>
      <c r="AKS119" s="1056"/>
      <c r="AKT119" s="1056"/>
      <c r="AKU119" s="1056"/>
      <c r="AKV119" s="1056"/>
      <c r="AKW119" s="1056"/>
      <c r="AKX119" s="1056"/>
      <c r="AKY119" s="1056"/>
      <c r="AKZ119" s="1056"/>
      <c r="ALA119" s="1056"/>
      <c r="ALB119" s="1056"/>
      <c r="ALC119" s="1056"/>
      <c r="ALD119" s="1056"/>
      <c r="ALE119" s="1056"/>
      <c r="ALF119" s="1056"/>
      <c r="ALG119" s="1056"/>
      <c r="ALH119" s="1056"/>
      <c r="ALI119" s="1056"/>
      <c r="ALJ119" s="1056"/>
      <c r="ALK119" s="1056"/>
      <c r="ALL119" s="1056"/>
      <c r="ALM119" s="1056"/>
      <c r="ALN119" s="1056"/>
      <c r="ALO119" s="1056"/>
      <c r="ALP119" s="1056"/>
      <c r="ALQ119" s="1056"/>
      <c r="ALR119" s="1056"/>
      <c r="ALS119" s="1056"/>
      <c r="ALT119" s="1056"/>
      <c r="ALU119" s="1056"/>
      <c r="ALV119" s="1056"/>
      <c r="ALW119" s="1056"/>
      <c r="ALX119" s="1056"/>
      <c r="ALY119" s="1056"/>
      <c r="ALZ119" s="1056"/>
      <c r="AMA119" s="1056"/>
      <c r="AMB119" s="1056"/>
      <c r="AMC119" s="1056"/>
      <c r="AMD119" s="1056"/>
      <c r="AME119" s="1056"/>
      <c r="AMF119" s="1056"/>
      <c r="AMG119" s="1056"/>
      <c r="AMH119" s="1056"/>
      <c r="AMI119" s="1056"/>
      <c r="AMJ119" s="1056"/>
      <c r="AMK119" s="1056"/>
      <c r="AML119" s="1056"/>
      <c r="AMM119" s="1056"/>
      <c r="AMN119" s="1056"/>
      <c r="AMO119" s="1056"/>
      <c r="AMP119" s="1056"/>
      <c r="AMQ119" s="1056"/>
      <c r="AMR119" s="1056"/>
      <c r="AMS119" s="1056"/>
      <c r="AMT119" s="1056"/>
      <c r="AMU119" s="1056"/>
      <c r="AMV119" s="1056"/>
      <c r="AMW119" s="1056"/>
      <c r="AMX119" s="1056"/>
      <c r="AMY119" s="1056"/>
      <c r="AMZ119" s="1056"/>
      <c r="ANA119" s="1056"/>
      <c r="ANB119" s="1056"/>
      <c r="ANC119" s="1056"/>
      <c r="AND119" s="1056"/>
      <c r="ANE119" s="1056"/>
      <c r="ANF119" s="1056"/>
      <c r="ANG119" s="1056"/>
      <c r="ANH119" s="1056"/>
      <c r="ANI119" s="1056"/>
      <c r="ANJ119" s="1056"/>
      <c r="ANK119" s="1056"/>
      <c r="ANL119" s="1056"/>
      <c r="ANM119" s="1056"/>
      <c r="ANN119" s="1056"/>
      <c r="ANO119" s="1056"/>
      <c r="ANP119" s="1056"/>
      <c r="ANQ119" s="1056"/>
      <c r="ANR119" s="1056"/>
      <c r="ANS119" s="1056"/>
      <c r="ANT119" s="1056"/>
      <c r="ANU119" s="1056"/>
      <c r="ANV119" s="1056"/>
      <c r="ANW119" s="1056"/>
      <c r="ANX119" s="1056"/>
      <c r="ANY119" s="1056"/>
      <c r="ANZ119" s="1056"/>
      <c r="AOA119" s="1056"/>
      <c r="AOB119" s="1056"/>
      <c r="AOC119" s="1056"/>
      <c r="AOD119" s="1056"/>
      <c r="AOE119" s="1056"/>
      <c r="AOF119" s="1056"/>
      <c r="AOG119" s="1056"/>
      <c r="AOH119" s="1056"/>
      <c r="AOI119" s="1056"/>
      <c r="AOJ119" s="1056"/>
      <c r="AOK119" s="1056"/>
      <c r="AOL119" s="1056"/>
      <c r="AOM119" s="1056"/>
      <c r="AON119" s="1056"/>
      <c r="AOO119" s="1056"/>
      <c r="AOP119" s="1056"/>
      <c r="AOQ119" s="1056"/>
      <c r="AOR119" s="1056"/>
      <c r="AOS119" s="1056"/>
      <c r="AOT119" s="1056"/>
      <c r="AOU119" s="1056"/>
      <c r="AOV119" s="1056"/>
      <c r="AOW119" s="1056"/>
      <c r="AOX119" s="1056"/>
      <c r="AOY119" s="1056"/>
      <c r="AOZ119" s="1056"/>
      <c r="APA119" s="1056"/>
      <c r="APB119" s="1056"/>
      <c r="APC119" s="1056"/>
      <c r="APD119" s="1056"/>
      <c r="APE119" s="1056"/>
      <c r="APF119" s="1056"/>
      <c r="APG119" s="1056"/>
      <c r="APH119" s="1056"/>
      <c r="API119" s="1056"/>
      <c r="APJ119" s="1056"/>
      <c r="APK119" s="1056"/>
      <c r="APL119" s="1056"/>
      <c r="APM119" s="1056"/>
      <c r="APN119" s="1056"/>
      <c r="APO119" s="1056"/>
      <c r="APP119" s="1056"/>
      <c r="APQ119" s="1056"/>
      <c r="APR119" s="1056"/>
      <c r="APS119" s="1056"/>
      <c r="APT119" s="1056"/>
      <c r="APU119" s="1056"/>
      <c r="APV119" s="1056"/>
      <c r="APW119" s="1056"/>
      <c r="APX119" s="1056"/>
      <c r="APY119" s="1056"/>
      <c r="APZ119" s="1056"/>
      <c r="AQA119" s="1056"/>
      <c r="AQB119" s="1056"/>
      <c r="AQC119" s="1056"/>
      <c r="AQD119" s="1056"/>
      <c r="AQE119" s="1056"/>
      <c r="AQF119" s="1056"/>
      <c r="AQG119" s="1056"/>
      <c r="AQH119" s="1056"/>
      <c r="AQI119" s="1056"/>
      <c r="AQJ119" s="1056"/>
      <c r="AQK119" s="1056"/>
      <c r="AQL119" s="1056"/>
      <c r="AQM119" s="1056"/>
      <c r="AQN119" s="1056"/>
      <c r="AQO119" s="1056"/>
      <c r="AQP119" s="1056"/>
      <c r="AQQ119" s="1056"/>
      <c r="AQR119" s="1056"/>
      <c r="AQS119" s="1056"/>
      <c r="AQT119" s="1056"/>
      <c r="AQU119" s="1056"/>
      <c r="AQV119" s="1056"/>
      <c r="AQW119" s="1056"/>
      <c r="AQX119" s="1056"/>
      <c r="AQY119" s="1056"/>
      <c r="AQZ119" s="1056"/>
      <c r="ARA119" s="1056"/>
      <c r="ARB119" s="1056"/>
      <c r="ARC119" s="1056"/>
      <c r="ARD119" s="1056"/>
      <c r="ARE119" s="1056"/>
      <c r="ARF119" s="1056"/>
      <c r="ARG119" s="1056"/>
      <c r="ARH119" s="1056"/>
      <c r="ARI119" s="1056"/>
      <c r="ARJ119" s="1056"/>
      <c r="ARK119" s="1056"/>
      <c r="ARL119" s="1056"/>
      <c r="ARM119" s="1056"/>
      <c r="ARN119" s="1056"/>
      <c r="ARO119" s="1056"/>
      <c r="ARP119" s="1056"/>
      <c r="ARQ119" s="1056"/>
      <c r="ARR119" s="1056"/>
      <c r="ARS119" s="1056"/>
      <c r="ART119" s="1056"/>
      <c r="ARU119" s="1056"/>
      <c r="ARV119" s="1056"/>
      <c r="ARW119" s="1056"/>
      <c r="ARX119" s="1056"/>
      <c r="ARY119" s="1056"/>
      <c r="ARZ119" s="1056"/>
      <c r="ASA119" s="1056"/>
      <c r="ASB119" s="1056"/>
      <c r="ASC119" s="1056"/>
      <c r="ASD119" s="1056"/>
      <c r="ASE119" s="1056"/>
      <c r="ASF119" s="1056"/>
      <c r="ASG119" s="1056"/>
      <c r="ASH119" s="1056"/>
      <c r="ASI119" s="1056"/>
      <c r="ASJ119" s="1056"/>
      <c r="ASK119" s="1056"/>
      <c r="ASL119" s="1056"/>
      <c r="ASM119" s="1056"/>
      <c r="ASN119" s="1056"/>
      <c r="ASO119" s="1056"/>
      <c r="ASP119" s="1056"/>
      <c r="ASQ119" s="1056"/>
      <c r="ASR119" s="1056"/>
      <c r="ASS119" s="1056"/>
      <c r="AST119" s="1056"/>
      <c r="ASU119" s="1056"/>
      <c r="ASV119" s="1056"/>
      <c r="ASW119" s="1056"/>
      <c r="ASX119" s="1056"/>
      <c r="ASY119" s="1056"/>
      <c r="ASZ119" s="1056"/>
      <c r="ATA119" s="1056"/>
      <c r="ATB119" s="1056"/>
      <c r="ATC119" s="1056"/>
      <c r="ATD119" s="1056"/>
      <c r="ATE119" s="1056"/>
      <c r="ATF119" s="1056"/>
      <c r="ATG119" s="1056"/>
      <c r="ATH119" s="1056"/>
      <c r="ATI119" s="1056"/>
      <c r="ATJ119" s="1056"/>
      <c r="ATK119" s="1056"/>
      <c r="ATL119" s="1056"/>
      <c r="ATM119" s="1056"/>
      <c r="ATN119" s="1056"/>
      <c r="ATO119" s="1056"/>
      <c r="ATP119" s="1056"/>
      <c r="ATQ119" s="1056"/>
      <c r="ATR119" s="1056"/>
      <c r="ATS119" s="1056"/>
      <c r="ATT119" s="1056"/>
      <c r="ATU119" s="1056"/>
      <c r="ATV119" s="1056"/>
      <c r="ATW119" s="1056"/>
      <c r="ATX119" s="1056"/>
      <c r="ATY119" s="1056"/>
      <c r="ATZ119" s="1056"/>
      <c r="AUA119" s="1056"/>
      <c r="AUB119" s="1056"/>
      <c r="AUC119" s="1056"/>
      <c r="AUD119" s="1056"/>
      <c r="AUE119" s="1056"/>
      <c r="AUF119" s="1056"/>
      <c r="AUG119" s="1056"/>
      <c r="AUH119" s="1056"/>
      <c r="AUI119" s="1056"/>
      <c r="AUJ119" s="1056"/>
      <c r="AUK119" s="1056"/>
      <c r="AUL119" s="1056"/>
      <c r="AUM119" s="1056"/>
      <c r="AUN119" s="1056"/>
      <c r="AUO119" s="1056"/>
      <c r="AUP119" s="1056"/>
      <c r="AUQ119" s="1056"/>
      <c r="AUR119" s="1056"/>
      <c r="AUS119" s="1056"/>
      <c r="AUT119" s="1056"/>
      <c r="AUU119" s="1056"/>
      <c r="AUV119" s="1056"/>
      <c r="AUW119" s="1056"/>
      <c r="AUX119" s="1056"/>
      <c r="AUY119" s="1056"/>
      <c r="AUZ119" s="1056"/>
      <c r="AVA119" s="1056"/>
      <c r="AVB119" s="1056"/>
      <c r="AVC119" s="1056"/>
      <c r="AVD119" s="1056"/>
      <c r="AVE119" s="1056"/>
      <c r="AVF119" s="1056"/>
      <c r="AVG119" s="1056"/>
      <c r="AVH119" s="1056"/>
      <c r="AVI119" s="1056"/>
      <c r="AVJ119" s="1056"/>
      <c r="AVK119" s="1056"/>
      <c r="AVL119" s="1056"/>
      <c r="AVM119" s="1056"/>
      <c r="AVN119" s="1056"/>
      <c r="AVO119" s="1056"/>
      <c r="AVP119" s="1056"/>
      <c r="AVQ119" s="1056"/>
      <c r="AVR119" s="1056"/>
      <c r="AVS119" s="1056"/>
      <c r="AVT119" s="1056"/>
      <c r="AVU119" s="1056"/>
      <c r="AVV119" s="1056"/>
      <c r="AVW119" s="1056"/>
      <c r="AVX119" s="1056"/>
      <c r="AVY119" s="1056"/>
      <c r="AVZ119" s="1056"/>
      <c r="AWA119" s="1056"/>
      <c r="AWB119" s="1056"/>
      <c r="AWC119" s="1056"/>
      <c r="AWD119" s="1056"/>
      <c r="AWE119" s="1056"/>
      <c r="AWF119" s="1056"/>
      <c r="AWG119" s="1056"/>
      <c r="AWH119" s="1056"/>
      <c r="AWI119" s="1056"/>
      <c r="AWJ119" s="1056"/>
      <c r="AWK119" s="1056"/>
      <c r="AWL119" s="1056"/>
      <c r="AWM119" s="1056"/>
      <c r="AWN119" s="1056"/>
      <c r="AWO119" s="1056"/>
      <c r="AWP119" s="1056"/>
      <c r="AWQ119" s="1056"/>
      <c r="AWR119" s="1056"/>
      <c r="AWS119" s="1056"/>
      <c r="AWT119" s="1056"/>
      <c r="AWU119" s="1056"/>
      <c r="AWV119" s="1056"/>
      <c r="AWW119" s="1056"/>
      <c r="AWX119" s="1056"/>
      <c r="AWY119" s="1056"/>
      <c r="AWZ119" s="1056"/>
      <c r="AXA119" s="1056"/>
      <c r="AXB119" s="1056"/>
      <c r="AXC119" s="1056"/>
      <c r="AXD119" s="1056"/>
      <c r="AXE119" s="1056"/>
      <c r="AXF119" s="1056"/>
      <c r="AXG119" s="1056"/>
      <c r="AXH119" s="1056"/>
      <c r="AXI119" s="1056"/>
      <c r="AXJ119" s="1056"/>
      <c r="AXK119" s="1056"/>
      <c r="AXL119" s="1056"/>
      <c r="AXM119" s="1056"/>
      <c r="AXN119" s="1056"/>
      <c r="AXO119" s="1056"/>
      <c r="AXP119" s="1056"/>
      <c r="AXQ119" s="1056"/>
      <c r="AXR119" s="1056"/>
      <c r="AXS119" s="1056"/>
      <c r="AXT119" s="1056"/>
      <c r="AXU119" s="1056"/>
      <c r="AXV119" s="1056"/>
      <c r="AXW119" s="1056"/>
      <c r="AXX119" s="1056"/>
      <c r="AXY119" s="1056"/>
      <c r="AXZ119" s="1056"/>
      <c r="AYA119" s="1056"/>
      <c r="AYB119" s="1056"/>
      <c r="AYC119" s="1056"/>
      <c r="AYD119" s="1056"/>
      <c r="AYE119" s="1056"/>
      <c r="AYF119" s="1056"/>
      <c r="AYG119" s="1056"/>
      <c r="AYH119" s="1056"/>
      <c r="AYI119" s="1056"/>
      <c r="AYJ119" s="1056"/>
      <c r="AYK119" s="1056"/>
      <c r="AYL119" s="1056"/>
      <c r="AYM119" s="1056"/>
      <c r="AYN119" s="1056"/>
      <c r="AYO119" s="1056"/>
      <c r="AYP119" s="1056"/>
      <c r="AYQ119" s="1056"/>
      <c r="AYR119" s="1056"/>
      <c r="AYS119" s="1056"/>
      <c r="AYT119" s="1056"/>
      <c r="AYU119" s="1056"/>
      <c r="AYV119" s="1056"/>
      <c r="AYW119" s="1056"/>
      <c r="AYX119" s="1056"/>
      <c r="AYY119" s="1056"/>
      <c r="AYZ119" s="1056"/>
      <c r="AZA119" s="1056"/>
      <c r="AZB119" s="1056"/>
      <c r="AZC119" s="1056"/>
      <c r="AZD119" s="1056"/>
      <c r="AZE119" s="1056"/>
      <c r="AZF119" s="1056"/>
      <c r="AZG119" s="1056"/>
      <c r="AZH119" s="1056"/>
      <c r="AZI119" s="1056"/>
      <c r="AZJ119" s="1056"/>
      <c r="AZK119" s="1056"/>
      <c r="AZL119" s="1056"/>
      <c r="AZM119" s="1056"/>
      <c r="AZN119" s="1056"/>
      <c r="AZO119" s="1056"/>
      <c r="AZP119" s="1056"/>
      <c r="AZQ119" s="1056"/>
      <c r="AZR119" s="1056"/>
      <c r="AZS119" s="1056"/>
      <c r="AZT119" s="1056"/>
      <c r="AZU119" s="1056"/>
      <c r="AZV119" s="1056"/>
      <c r="AZW119" s="1056"/>
      <c r="AZX119" s="1056"/>
      <c r="AZY119" s="1056"/>
      <c r="AZZ119" s="1056"/>
      <c r="BAA119" s="1056"/>
      <c r="BAB119" s="1056"/>
      <c r="BAC119" s="1056"/>
      <c r="BAD119" s="1056"/>
      <c r="BAE119" s="1056"/>
      <c r="BAF119" s="1056"/>
      <c r="BAG119" s="1056"/>
      <c r="BAH119" s="1056"/>
      <c r="BAI119" s="1056"/>
      <c r="BAJ119" s="1056"/>
      <c r="BAK119" s="1056"/>
      <c r="BAL119" s="1056"/>
      <c r="BAM119" s="1056"/>
      <c r="BAN119" s="1056"/>
      <c r="BAO119" s="1056"/>
      <c r="BAP119" s="1056"/>
      <c r="BAQ119" s="1056"/>
      <c r="BAR119" s="1056"/>
      <c r="BAS119" s="1056"/>
      <c r="BAT119" s="1056"/>
      <c r="BAU119" s="1056"/>
      <c r="BAV119" s="1056"/>
      <c r="BAW119" s="1056"/>
      <c r="BAX119" s="1056"/>
      <c r="BAY119" s="1056"/>
      <c r="BAZ119" s="1056"/>
      <c r="BBA119" s="1056"/>
      <c r="BBB119" s="1056"/>
      <c r="BBC119" s="1056"/>
      <c r="BBD119" s="1056"/>
      <c r="BBE119" s="1056"/>
      <c r="BBF119" s="1056"/>
      <c r="BBG119" s="1056"/>
      <c r="BBH119" s="1056"/>
      <c r="BBI119" s="1056"/>
      <c r="BBJ119" s="1056"/>
      <c r="BBK119" s="1056"/>
      <c r="BBL119" s="1056"/>
      <c r="BBM119" s="1056"/>
      <c r="BBN119" s="1056"/>
      <c r="BBO119" s="1056"/>
      <c r="BBP119" s="1056"/>
      <c r="BBQ119" s="1056"/>
      <c r="BBR119" s="1056"/>
      <c r="BBS119" s="1056"/>
      <c r="BBT119" s="1056"/>
      <c r="BBU119" s="1056"/>
      <c r="BBV119" s="1056"/>
      <c r="BBW119" s="1056"/>
      <c r="BBX119" s="1056"/>
      <c r="BBY119" s="1056"/>
      <c r="BBZ119" s="1056"/>
      <c r="BCA119" s="1056"/>
      <c r="BCB119" s="1056"/>
      <c r="BCC119" s="1056"/>
      <c r="BCD119" s="1056"/>
      <c r="BCE119" s="1056"/>
      <c r="BCF119" s="1056"/>
      <c r="BCG119" s="1056"/>
      <c r="BCH119" s="1056"/>
      <c r="BCI119" s="1056"/>
      <c r="BCJ119" s="1056"/>
      <c r="BCK119" s="1056"/>
      <c r="BCL119" s="1056"/>
      <c r="BCM119" s="1056"/>
      <c r="BCN119" s="1056"/>
      <c r="BCO119" s="1056"/>
      <c r="BCP119" s="1056"/>
      <c r="BCQ119" s="1056"/>
      <c r="BCR119" s="1056"/>
      <c r="BCS119" s="1056"/>
      <c r="BCT119" s="1056"/>
      <c r="BCU119" s="1056"/>
      <c r="BCV119" s="1056"/>
      <c r="BCW119" s="1056"/>
      <c r="BCX119" s="1056"/>
      <c r="BCY119" s="1056"/>
      <c r="BCZ119" s="1056"/>
      <c r="BDA119" s="1056"/>
      <c r="BDB119" s="1056"/>
      <c r="BDC119" s="1056"/>
      <c r="BDD119" s="1056"/>
      <c r="BDE119" s="1056"/>
      <c r="BDF119" s="1056"/>
      <c r="BDG119" s="1056"/>
      <c r="BDH119" s="1056"/>
      <c r="BDI119" s="1056"/>
      <c r="BDJ119" s="1056"/>
      <c r="BDK119" s="1056"/>
      <c r="BDL119" s="1056"/>
      <c r="BDM119" s="1056"/>
      <c r="BDN119" s="1056"/>
      <c r="BDO119" s="1056"/>
      <c r="BDP119" s="1056"/>
      <c r="BDQ119" s="1056"/>
      <c r="BDR119" s="1056"/>
      <c r="BDS119" s="1056"/>
      <c r="BDT119" s="1056"/>
      <c r="BDU119" s="1056"/>
      <c r="BDV119" s="1056"/>
      <c r="BDW119" s="1056"/>
      <c r="BDX119" s="1056"/>
      <c r="BDY119" s="1056"/>
      <c r="BDZ119" s="1056"/>
      <c r="BEA119" s="1056"/>
      <c r="BEB119" s="1056"/>
      <c r="BEC119" s="1056"/>
      <c r="BED119" s="1056"/>
      <c r="BEE119" s="1056"/>
      <c r="BEF119" s="1056"/>
      <c r="BEG119" s="1056"/>
      <c r="BEH119" s="1056"/>
      <c r="BEI119" s="1056"/>
      <c r="BEJ119" s="1056"/>
      <c r="BEK119" s="1056"/>
      <c r="BEL119" s="1056"/>
      <c r="BEM119" s="1056"/>
      <c r="BEN119" s="1056"/>
      <c r="BEO119" s="1056"/>
      <c r="BEP119" s="1056"/>
      <c r="BEQ119" s="1056"/>
      <c r="BER119" s="1056"/>
      <c r="BES119" s="1056"/>
      <c r="BET119" s="1056"/>
      <c r="BEU119" s="1056"/>
      <c r="BEV119" s="1056"/>
      <c r="BEW119" s="1056"/>
      <c r="BEX119" s="1056"/>
      <c r="BEY119" s="1056"/>
      <c r="BEZ119" s="1056"/>
      <c r="BFA119" s="1056"/>
      <c r="BFB119" s="1056"/>
      <c r="BFC119" s="1056"/>
      <c r="BFD119" s="1056"/>
      <c r="BFE119" s="1056"/>
      <c r="BFF119" s="1056"/>
      <c r="BFG119" s="1056"/>
      <c r="BFH119" s="1056"/>
      <c r="BFI119" s="1056"/>
      <c r="BFJ119" s="1056"/>
      <c r="BFK119" s="1056"/>
      <c r="BFL119" s="1056"/>
      <c r="BFM119" s="1056"/>
      <c r="BFN119" s="1056"/>
      <c r="BFO119" s="1056"/>
      <c r="BFP119" s="1056"/>
      <c r="BFQ119" s="1056"/>
      <c r="BFR119" s="1056"/>
      <c r="BFS119" s="1056"/>
      <c r="BFT119" s="1056"/>
      <c r="BFU119" s="1056"/>
      <c r="BFV119" s="1056"/>
      <c r="BFW119" s="1056"/>
      <c r="BFX119" s="1056"/>
      <c r="BFY119" s="1056"/>
      <c r="BFZ119" s="1056"/>
      <c r="BGA119" s="1056"/>
      <c r="BGB119" s="1056"/>
      <c r="BGC119" s="1056"/>
      <c r="BGD119" s="1056"/>
      <c r="BGE119" s="1056"/>
      <c r="BGF119" s="1056"/>
      <c r="BGG119" s="1056"/>
      <c r="BGH119" s="1056"/>
      <c r="BGI119" s="1056"/>
      <c r="BGJ119" s="1056"/>
      <c r="BGK119" s="1056"/>
      <c r="BGL119" s="1056"/>
      <c r="BGM119" s="1056"/>
      <c r="BGN119" s="1056"/>
      <c r="BGO119" s="1056"/>
      <c r="BGP119" s="1056"/>
      <c r="BGQ119" s="1056"/>
      <c r="BGR119" s="1056"/>
      <c r="BGS119" s="1056"/>
      <c r="BGT119" s="1056"/>
      <c r="BGU119" s="1056"/>
      <c r="BGV119" s="1056"/>
      <c r="BGW119" s="1056"/>
      <c r="BGX119" s="1056"/>
      <c r="BGY119" s="1056"/>
      <c r="BGZ119" s="1056"/>
      <c r="BHA119" s="1056"/>
      <c r="BHB119" s="1056"/>
      <c r="BHC119" s="1056"/>
      <c r="BHD119" s="1056"/>
      <c r="BHE119" s="1056"/>
      <c r="BHF119" s="1056"/>
      <c r="BHG119" s="1056"/>
      <c r="BHH119" s="1056"/>
      <c r="BHI119" s="1056"/>
      <c r="BHJ119" s="1056"/>
      <c r="BHK119" s="1056"/>
      <c r="BHL119" s="1056"/>
      <c r="BHM119" s="1056"/>
      <c r="BHN119" s="1056"/>
      <c r="BHO119" s="1056"/>
      <c r="BHP119" s="1056"/>
      <c r="BHQ119" s="1056"/>
      <c r="BHR119" s="1056"/>
      <c r="BHS119" s="1056"/>
      <c r="BHT119" s="1056"/>
      <c r="BHU119" s="1056"/>
      <c r="BHV119" s="1056"/>
      <c r="BHW119" s="1056"/>
      <c r="BHX119" s="1056"/>
      <c r="BHY119" s="1056"/>
      <c r="BHZ119" s="1056"/>
      <c r="BIA119" s="1056"/>
      <c r="BIB119" s="1056"/>
      <c r="BIC119" s="1056"/>
      <c r="BID119" s="1056"/>
      <c r="BIE119" s="1056"/>
      <c r="BIF119" s="1056"/>
      <c r="BIG119" s="1056"/>
      <c r="BIH119" s="1056"/>
      <c r="BII119" s="1056"/>
      <c r="BIJ119" s="1056"/>
      <c r="BIK119" s="1056"/>
      <c r="BIL119" s="1056"/>
      <c r="BIM119" s="1056"/>
      <c r="BIN119" s="1056"/>
      <c r="BIO119" s="1056"/>
      <c r="BIP119" s="1056"/>
      <c r="BIQ119" s="1056"/>
      <c r="BIR119" s="1056"/>
      <c r="BIS119" s="1056"/>
      <c r="BIT119" s="1056"/>
      <c r="BIU119" s="1056"/>
      <c r="BIV119" s="1056"/>
      <c r="BIW119" s="1056"/>
      <c r="BIX119" s="1056"/>
      <c r="BIY119" s="1056"/>
      <c r="BIZ119" s="1056"/>
      <c r="BJA119" s="1056"/>
      <c r="BJB119" s="1056"/>
      <c r="BJC119" s="1056"/>
      <c r="BJD119" s="1056"/>
      <c r="BJE119" s="1056"/>
      <c r="BJF119" s="1056"/>
      <c r="BJG119" s="1056"/>
      <c r="BJH119" s="1056"/>
      <c r="BJI119" s="1056"/>
      <c r="BJJ119" s="1056"/>
      <c r="BJK119" s="1056"/>
      <c r="BJL119" s="1056"/>
      <c r="BJM119" s="1056"/>
      <c r="BJN119" s="1056"/>
      <c r="BJO119" s="1056"/>
      <c r="BJP119" s="1056"/>
      <c r="BJQ119" s="1056"/>
      <c r="BJR119" s="1056"/>
      <c r="BJS119" s="1056"/>
      <c r="BJT119" s="1056"/>
      <c r="BJU119" s="1056"/>
      <c r="BJV119" s="1056"/>
      <c r="BJW119" s="1056"/>
      <c r="BJX119" s="1056"/>
      <c r="BJY119" s="1056"/>
      <c r="BJZ119" s="1056"/>
      <c r="BKA119" s="1056"/>
      <c r="BKB119" s="1056"/>
      <c r="BKC119" s="1056"/>
      <c r="BKD119" s="1056"/>
      <c r="BKE119" s="1056"/>
      <c r="BKF119" s="1056"/>
      <c r="BKG119" s="1056"/>
      <c r="BKH119" s="1056"/>
      <c r="BKI119" s="1056"/>
      <c r="BKJ119" s="1056"/>
      <c r="BKK119" s="1056"/>
      <c r="BKL119" s="1056"/>
      <c r="BKM119" s="1056"/>
      <c r="BKN119" s="1056"/>
      <c r="BKO119" s="1056"/>
      <c r="BKP119" s="1056"/>
      <c r="BKQ119" s="1056"/>
      <c r="BKR119" s="1056"/>
      <c r="BKS119" s="1056"/>
      <c r="BKT119" s="1056"/>
      <c r="BKU119" s="1056"/>
      <c r="BKV119" s="1056"/>
      <c r="BKW119" s="1056"/>
      <c r="BKX119" s="1056"/>
      <c r="BKY119" s="1056"/>
      <c r="BKZ119" s="1056"/>
      <c r="BLA119" s="1056"/>
      <c r="BLB119" s="1056"/>
      <c r="BLC119" s="1056"/>
      <c r="BLD119" s="1056"/>
      <c r="BLE119" s="1056"/>
      <c r="BLF119" s="1056"/>
      <c r="BLG119" s="1056"/>
      <c r="BLH119" s="1056"/>
      <c r="BLI119" s="1056"/>
      <c r="BLJ119" s="1056"/>
      <c r="BLK119" s="1056"/>
      <c r="BLL119" s="1056"/>
      <c r="BLM119" s="1056"/>
      <c r="BLN119" s="1056"/>
      <c r="BLO119" s="1056"/>
      <c r="BLP119" s="1056"/>
      <c r="BLQ119" s="1056"/>
      <c r="BLR119" s="1056"/>
      <c r="BLS119" s="1056"/>
      <c r="BLT119" s="1056"/>
      <c r="BLU119" s="1056"/>
      <c r="BLV119" s="1056"/>
      <c r="BLW119" s="1056"/>
      <c r="BLX119" s="1056"/>
      <c r="BLY119" s="1056"/>
      <c r="BLZ119" s="1056"/>
      <c r="BMA119" s="1056"/>
      <c r="BMB119" s="1056"/>
      <c r="BMC119" s="1056"/>
      <c r="BMD119" s="1056"/>
      <c r="BME119" s="1056"/>
      <c r="BMF119" s="1056"/>
      <c r="BMG119" s="1056"/>
      <c r="BMH119" s="1056"/>
      <c r="BMI119" s="1056"/>
      <c r="BMJ119" s="1056"/>
      <c r="BMK119" s="1056"/>
      <c r="BML119" s="1056"/>
      <c r="BMM119" s="1056"/>
      <c r="BMN119" s="1056"/>
      <c r="BMO119" s="1056"/>
      <c r="BMP119" s="1056"/>
      <c r="BMQ119" s="1056"/>
      <c r="BMR119" s="1056"/>
      <c r="BMS119" s="1056"/>
      <c r="BMT119" s="1056"/>
      <c r="BMU119" s="1056"/>
      <c r="BMV119" s="1056"/>
      <c r="BMW119" s="1056"/>
      <c r="BMX119" s="1056"/>
      <c r="BMY119" s="1056"/>
      <c r="BMZ119" s="1056"/>
      <c r="BNA119" s="1056"/>
      <c r="BNB119" s="1056"/>
      <c r="BNC119" s="1056"/>
      <c r="BND119" s="1056"/>
      <c r="BNE119" s="1056"/>
      <c r="BNF119" s="1056"/>
      <c r="BNG119" s="1056"/>
      <c r="BNH119" s="1056"/>
      <c r="BNI119" s="1056"/>
      <c r="BNJ119" s="1056"/>
      <c r="BNK119" s="1056"/>
      <c r="BNL119" s="1056"/>
      <c r="BNM119" s="1056"/>
      <c r="BNN119" s="1056"/>
      <c r="BNO119" s="1056"/>
      <c r="BNP119" s="1056"/>
      <c r="BNQ119" s="1056"/>
      <c r="BNR119" s="1056"/>
      <c r="BNS119" s="1056"/>
      <c r="BNT119" s="1056"/>
      <c r="BNU119" s="1056"/>
      <c r="BNV119" s="1056"/>
      <c r="BNW119" s="1056"/>
      <c r="BNX119" s="1056"/>
      <c r="BNY119" s="1056"/>
      <c r="BNZ119" s="1056"/>
      <c r="BOA119" s="1056"/>
      <c r="BOB119" s="1056"/>
      <c r="BOC119" s="1056"/>
      <c r="BOD119" s="1056"/>
      <c r="BOE119" s="1056"/>
      <c r="BOF119" s="1056"/>
      <c r="BOG119" s="1056"/>
      <c r="BOH119" s="1056"/>
      <c r="BOI119" s="1056"/>
      <c r="BOJ119" s="1056"/>
      <c r="BOK119" s="1056"/>
      <c r="BOL119" s="1056"/>
      <c r="BOM119" s="1056"/>
      <c r="BON119" s="1056"/>
      <c r="BOO119" s="1056"/>
      <c r="BOP119" s="1056"/>
      <c r="BOQ119" s="1056"/>
      <c r="BOR119" s="1056"/>
      <c r="BOS119" s="1056"/>
      <c r="BOT119" s="1056"/>
      <c r="BOU119" s="1056"/>
      <c r="BOV119" s="1056"/>
      <c r="BOW119" s="1056"/>
      <c r="BOX119" s="1056"/>
      <c r="BOY119" s="1056"/>
      <c r="BOZ119" s="1056"/>
      <c r="BPA119" s="1056"/>
      <c r="BPB119" s="1056"/>
      <c r="BPC119" s="1056"/>
      <c r="BPD119" s="1056"/>
      <c r="BPE119" s="1056"/>
      <c r="BPF119" s="1056"/>
      <c r="BPG119" s="1056"/>
      <c r="BPH119" s="1056"/>
      <c r="BPI119" s="1056"/>
      <c r="BPJ119" s="1056"/>
      <c r="BPK119" s="1056"/>
      <c r="BPL119" s="1056"/>
      <c r="BPM119" s="1056"/>
      <c r="BPN119" s="1056"/>
      <c r="BPO119" s="1056"/>
      <c r="BPP119" s="1056"/>
      <c r="BPQ119" s="1056"/>
      <c r="BPR119" s="1056"/>
      <c r="BPS119" s="1056"/>
      <c r="BPT119" s="1056"/>
      <c r="BPU119" s="1056"/>
      <c r="BPV119" s="1056"/>
      <c r="BPW119" s="1056"/>
      <c r="BPX119" s="1056"/>
      <c r="BPY119" s="1056"/>
      <c r="BPZ119" s="1056"/>
      <c r="BQA119" s="1056"/>
      <c r="BQB119" s="1056"/>
      <c r="BQC119" s="1056"/>
      <c r="BQD119" s="1056"/>
      <c r="BQE119" s="1056"/>
      <c r="BQF119" s="1056"/>
      <c r="BQG119" s="1056"/>
      <c r="BQH119" s="1056"/>
      <c r="BQI119" s="1056"/>
      <c r="BQJ119" s="1056"/>
      <c r="BQK119" s="1056"/>
      <c r="BQL119" s="1056"/>
      <c r="BQM119" s="1056"/>
      <c r="BQN119" s="1056"/>
      <c r="BQO119" s="1056"/>
      <c r="BQP119" s="1056"/>
      <c r="BQQ119" s="1056"/>
      <c r="BQR119" s="1056"/>
      <c r="BQS119" s="1056"/>
      <c r="BQT119" s="1056"/>
      <c r="BQU119" s="1056"/>
      <c r="BQV119" s="1056"/>
      <c r="BQW119" s="1056"/>
      <c r="BQX119" s="1056"/>
      <c r="BQY119" s="1056"/>
      <c r="BQZ119" s="1056"/>
      <c r="BRA119" s="1056"/>
      <c r="BRB119" s="1056"/>
      <c r="BRC119" s="1056"/>
      <c r="BRD119" s="1056"/>
      <c r="BRE119" s="1056"/>
      <c r="BRF119" s="1056"/>
      <c r="BRG119" s="1056"/>
      <c r="BRH119" s="1056"/>
      <c r="BRI119" s="1056"/>
      <c r="BRJ119" s="1056"/>
      <c r="BRK119" s="1056"/>
      <c r="BRL119" s="1056"/>
      <c r="BRM119" s="1056"/>
      <c r="BRN119" s="1056"/>
      <c r="BRO119" s="1056"/>
      <c r="BRP119" s="1056"/>
      <c r="BRQ119" s="1056"/>
      <c r="BRR119" s="1056"/>
      <c r="BRS119" s="1056"/>
      <c r="BRT119" s="1056"/>
      <c r="BRU119" s="1056"/>
      <c r="BRV119" s="1056"/>
      <c r="BRW119" s="1056"/>
      <c r="BRX119" s="1056"/>
      <c r="BRY119" s="1056"/>
      <c r="BRZ119" s="1056"/>
      <c r="BSA119" s="1056"/>
      <c r="BSB119" s="1056"/>
      <c r="BSC119" s="1056"/>
      <c r="BSD119" s="1056"/>
      <c r="BSE119" s="1056"/>
      <c r="BSF119" s="1056"/>
      <c r="BSG119" s="1056"/>
      <c r="BSH119" s="1056"/>
      <c r="BSI119" s="1056"/>
      <c r="BSJ119" s="1056"/>
      <c r="BSK119" s="1056"/>
      <c r="BSL119" s="1056"/>
      <c r="BSM119" s="1056"/>
      <c r="BSN119" s="1056"/>
      <c r="BSO119" s="1056"/>
      <c r="BSP119" s="1056"/>
      <c r="BSQ119" s="1056"/>
      <c r="BSR119" s="1056"/>
      <c r="BSS119" s="1056"/>
      <c r="BST119" s="1056"/>
      <c r="BSU119" s="1056"/>
      <c r="BSV119" s="1056"/>
      <c r="BSW119" s="1056"/>
      <c r="BSX119" s="1056"/>
      <c r="BSY119" s="1056"/>
      <c r="BSZ119" s="1056"/>
      <c r="BTA119" s="1056"/>
      <c r="BTB119" s="1056"/>
      <c r="BTC119" s="1056"/>
      <c r="BTD119" s="1056"/>
      <c r="BTE119" s="1056"/>
      <c r="BTF119" s="1056"/>
      <c r="BTG119" s="1056"/>
      <c r="BTH119" s="1056"/>
      <c r="BTI119" s="1056"/>
    </row>
    <row r="120" spans="1:1881" s="1060" customFormat="1" ht="123.75" hidden="1" customHeight="1" thickBot="1" x14ac:dyDescent="0.35">
      <c r="A120" s="1071">
        <v>294</v>
      </c>
      <c r="B120" s="1069" t="s">
        <v>345</v>
      </c>
      <c r="C120" s="1072" t="s">
        <v>1034</v>
      </c>
      <c r="D120" s="1075" t="s">
        <v>1038</v>
      </c>
      <c r="E120" s="1053" t="e">
        <f>HLOOKUP($D$2,'2020 Data(H)'!$C$1:$AI$426,83,FALSE)</f>
        <v>#N/A</v>
      </c>
      <c r="F120" s="287">
        <v>0</v>
      </c>
      <c r="G120" s="722"/>
      <c r="H120" s="764"/>
      <c r="I120" s="1055"/>
      <c r="J120" s="1068"/>
      <c r="K120" s="1056"/>
      <c r="L120" s="1057"/>
      <c r="M120" s="1056"/>
      <c r="N120" s="1058"/>
      <c r="O120" s="1056"/>
      <c r="P120" s="1056"/>
      <c r="Q120" s="1056"/>
      <c r="R120" s="1056"/>
      <c r="S120" s="1056"/>
      <c r="T120" s="1056"/>
      <c r="U120" s="1056"/>
      <c r="V120" s="1056"/>
      <c r="W120" s="1056"/>
      <c r="X120" s="1056"/>
      <c r="Y120" s="1056"/>
      <c r="Z120" s="1073"/>
      <c r="AA120" s="1073"/>
      <c r="AB120" s="1073"/>
      <c r="AC120" s="1073"/>
      <c r="AD120" s="1073"/>
      <c r="AE120" s="1073"/>
      <c r="AF120" s="1073"/>
      <c r="AG120" s="1073"/>
      <c r="AH120" s="1073"/>
      <c r="AI120" s="1073"/>
      <c r="AJ120" s="1073"/>
      <c r="AK120" s="1073"/>
      <c r="AL120" s="1073"/>
      <c r="AM120" s="1073"/>
      <c r="AN120" s="1073"/>
      <c r="AO120" s="1073"/>
      <c r="AP120" s="1073"/>
      <c r="AQ120" s="1073"/>
      <c r="AR120" s="1073"/>
      <c r="AS120" s="1056"/>
      <c r="AT120" s="1056"/>
      <c r="AU120" s="1056"/>
      <c r="AV120" s="1056"/>
      <c r="AW120" s="1056"/>
      <c r="AX120" s="1056"/>
      <c r="AY120" s="1056"/>
      <c r="AZ120" s="1056"/>
      <c r="BA120" s="1056"/>
      <c r="BB120" s="1056"/>
      <c r="BC120" s="1056"/>
      <c r="BD120" s="1056"/>
      <c r="BE120" s="1056"/>
      <c r="BF120" s="1056"/>
      <c r="BG120" s="1056"/>
      <c r="BH120" s="1056"/>
      <c r="BI120" s="1056"/>
      <c r="BJ120" s="1056"/>
      <c r="BK120" s="1056"/>
      <c r="BL120" s="1056"/>
      <c r="BM120" s="1056"/>
      <c r="BN120" s="1056"/>
      <c r="BO120" s="1056"/>
      <c r="BP120" s="1056"/>
      <c r="BQ120" s="1056"/>
      <c r="BR120" s="1056"/>
      <c r="BS120" s="1056"/>
      <c r="BT120" s="1056"/>
      <c r="BU120" s="1056"/>
      <c r="BV120" s="1056"/>
      <c r="BW120" s="1056"/>
      <c r="BX120" s="1056"/>
      <c r="BY120" s="1056"/>
      <c r="BZ120" s="1056"/>
      <c r="CA120" s="1056"/>
      <c r="CB120" s="1056"/>
      <c r="CC120" s="1056"/>
      <c r="CD120" s="1056"/>
      <c r="CE120" s="1056"/>
      <c r="CF120" s="1056"/>
      <c r="CG120" s="1056"/>
      <c r="CH120" s="1056"/>
      <c r="CI120" s="1056"/>
      <c r="CJ120" s="1056"/>
      <c r="CK120" s="1056"/>
      <c r="CL120" s="1056"/>
      <c r="CM120" s="1056"/>
      <c r="CN120" s="1056"/>
      <c r="CO120" s="1056"/>
      <c r="CP120" s="1056"/>
      <c r="CQ120" s="1056"/>
      <c r="CR120" s="1056"/>
      <c r="CS120" s="1056"/>
      <c r="CT120" s="1056"/>
      <c r="CU120" s="1056"/>
      <c r="CV120" s="1056"/>
      <c r="CW120" s="1056"/>
      <c r="CX120" s="1056"/>
      <c r="CY120" s="1056"/>
      <c r="CZ120" s="1056"/>
      <c r="DA120" s="1056"/>
      <c r="DB120" s="1056"/>
      <c r="DC120" s="1056"/>
      <c r="DD120" s="1056"/>
      <c r="DE120" s="1056"/>
      <c r="DF120" s="1056"/>
      <c r="DG120" s="1056"/>
      <c r="DH120" s="1056"/>
      <c r="DI120" s="1056"/>
      <c r="DJ120" s="1056"/>
      <c r="DK120" s="1056"/>
      <c r="DL120" s="1056"/>
      <c r="DM120" s="1056"/>
      <c r="DN120" s="1056"/>
      <c r="DO120" s="1056"/>
      <c r="DP120" s="1056"/>
      <c r="DQ120" s="1056"/>
      <c r="DR120" s="1056"/>
      <c r="DS120" s="1056"/>
      <c r="DT120" s="1056"/>
      <c r="DU120" s="1056"/>
      <c r="DV120" s="1056"/>
      <c r="DW120" s="1056"/>
      <c r="DX120" s="1056"/>
      <c r="DY120" s="1056"/>
      <c r="DZ120" s="1056"/>
      <c r="EA120" s="1056"/>
      <c r="EB120" s="1056"/>
      <c r="EC120" s="1056"/>
      <c r="ED120" s="1056"/>
      <c r="EE120" s="1056"/>
      <c r="EF120" s="1056"/>
      <c r="EG120" s="1056"/>
      <c r="EH120" s="1056"/>
      <c r="EI120" s="1056"/>
      <c r="EJ120" s="1056"/>
      <c r="EK120" s="1056"/>
      <c r="EL120" s="1056"/>
      <c r="EM120" s="1056"/>
      <c r="EN120" s="1056"/>
      <c r="EO120" s="1056"/>
      <c r="EP120" s="1056"/>
      <c r="EQ120" s="1056"/>
      <c r="ER120" s="1056"/>
      <c r="ES120" s="1056"/>
      <c r="ET120" s="1056"/>
      <c r="EU120" s="1056"/>
      <c r="EV120" s="1056"/>
      <c r="EW120" s="1056"/>
      <c r="EX120" s="1056"/>
      <c r="EY120" s="1056"/>
      <c r="EZ120" s="1056"/>
      <c r="FA120" s="1056"/>
      <c r="FB120" s="1056"/>
      <c r="FC120" s="1056"/>
      <c r="FD120" s="1056"/>
      <c r="FE120" s="1056"/>
      <c r="FF120" s="1056"/>
      <c r="FG120" s="1056"/>
      <c r="FH120" s="1056"/>
      <c r="FI120" s="1056"/>
      <c r="FJ120" s="1056"/>
      <c r="FK120" s="1056"/>
      <c r="FL120" s="1056"/>
      <c r="FM120" s="1056"/>
      <c r="FN120" s="1056"/>
      <c r="FO120" s="1056"/>
      <c r="FP120" s="1056"/>
      <c r="FQ120" s="1056"/>
      <c r="FR120" s="1056"/>
      <c r="FS120" s="1056"/>
      <c r="FT120" s="1056"/>
      <c r="FU120" s="1056"/>
      <c r="FV120" s="1056"/>
      <c r="FW120" s="1056"/>
      <c r="FX120" s="1056"/>
      <c r="FY120" s="1056"/>
      <c r="FZ120" s="1056"/>
      <c r="GA120" s="1056"/>
      <c r="GB120" s="1056"/>
      <c r="GC120" s="1056"/>
      <c r="GD120" s="1056"/>
      <c r="GE120" s="1056"/>
      <c r="GF120" s="1056"/>
      <c r="GG120" s="1056"/>
      <c r="GH120" s="1056"/>
      <c r="GI120" s="1056"/>
      <c r="GJ120" s="1056"/>
      <c r="GK120" s="1056"/>
      <c r="GL120" s="1056"/>
      <c r="GM120" s="1056"/>
      <c r="GN120" s="1056"/>
      <c r="GO120" s="1056"/>
      <c r="GP120" s="1056"/>
      <c r="GQ120" s="1056"/>
      <c r="GR120" s="1056"/>
      <c r="GS120" s="1056"/>
      <c r="GT120" s="1056"/>
      <c r="GU120" s="1056"/>
      <c r="GV120" s="1056"/>
      <c r="GW120" s="1056"/>
      <c r="GX120" s="1056"/>
      <c r="GY120" s="1056"/>
      <c r="GZ120" s="1056"/>
      <c r="HA120" s="1056"/>
      <c r="HB120" s="1056"/>
      <c r="HC120" s="1056"/>
      <c r="HD120" s="1056"/>
      <c r="HE120" s="1056"/>
      <c r="HF120" s="1056"/>
      <c r="HG120" s="1056"/>
      <c r="HH120" s="1056"/>
      <c r="HI120" s="1056"/>
      <c r="HJ120" s="1056"/>
      <c r="HK120" s="1056"/>
      <c r="HL120" s="1056"/>
      <c r="HM120" s="1056"/>
      <c r="HN120" s="1056"/>
      <c r="HO120" s="1056"/>
      <c r="HP120" s="1056"/>
      <c r="HQ120" s="1056"/>
      <c r="HR120" s="1056"/>
      <c r="HS120" s="1056"/>
      <c r="HT120" s="1056"/>
      <c r="HU120" s="1056"/>
      <c r="HV120" s="1056"/>
      <c r="HW120" s="1056"/>
      <c r="HX120" s="1056"/>
      <c r="HY120" s="1056"/>
      <c r="HZ120" s="1056"/>
      <c r="IA120" s="1056"/>
      <c r="IB120" s="1056"/>
      <c r="IC120" s="1056"/>
      <c r="ID120" s="1056"/>
      <c r="IE120" s="1056"/>
      <c r="IF120" s="1056"/>
      <c r="IG120" s="1056"/>
      <c r="IH120" s="1056"/>
      <c r="II120" s="1056"/>
      <c r="IJ120" s="1056"/>
      <c r="IK120" s="1056"/>
      <c r="IL120" s="1056"/>
      <c r="IM120" s="1056"/>
      <c r="IN120" s="1056"/>
      <c r="IO120" s="1056"/>
      <c r="IP120" s="1056"/>
      <c r="IQ120" s="1056"/>
      <c r="IR120" s="1056"/>
      <c r="IS120" s="1056"/>
      <c r="IT120" s="1056"/>
      <c r="IU120" s="1056"/>
      <c r="IV120" s="1056"/>
      <c r="IW120" s="1056"/>
      <c r="IX120" s="1056"/>
      <c r="IY120" s="1056"/>
      <c r="IZ120" s="1056"/>
      <c r="JA120" s="1056"/>
      <c r="JB120" s="1056"/>
      <c r="JC120" s="1056"/>
      <c r="JD120" s="1056"/>
      <c r="JE120" s="1056"/>
      <c r="JF120" s="1056"/>
      <c r="JG120" s="1056"/>
      <c r="JH120" s="1056"/>
      <c r="JI120" s="1056"/>
      <c r="JJ120" s="1056"/>
      <c r="JK120" s="1056"/>
      <c r="JL120" s="1056"/>
      <c r="JM120" s="1056"/>
      <c r="JN120" s="1056"/>
      <c r="JO120" s="1056"/>
      <c r="JP120" s="1056"/>
      <c r="JQ120" s="1056"/>
      <c r="JR120" s="1056"/>
      <c r="JS120" s="1056"/>
      <c r="JT120" s="1056"/>
      <c r="JU120" s="1056"/>
      <c r="JV120" s="1056"/>
      <c r="JW120" s="1056"/>
      <c r="JX120" s="1056"/>
      <c r="JY120" s="1056"/>
      <c r="JZ120" s="1056"/>
      <c r="KA120" s="1056"/>
      <c r="KB120" s="1056"/>
      <c r="KC120" s="1056"/>
      <c r="KD120" s="1056"/>
      <c r="KE120" s="1056"/>
      <c r="KF120" s="1056"/>
      <c r="KG120" s="1056"/>
      <c r="KH120" s="1056"/>
      <c r="KI120" s="1056"/>
      <c r="KJ120" s="1056"/>
      <c r="KK120" s="1056"/>
      <c r="KL120" s="1056"/>
      <c r="KM120" s="1056"/>
      <c r="KN120" s="1056"/>
      <c r="KO120" s="1056"/>
      <c r="KP120" s="1056"/>
      <c r="KQ120" s="1056"/>
      <c r="KR120" s="1056"/>
      <c r="KS120" s="1056"/>
      <c r="KT120" s="1056"/>
      <c r="KU120" s="1056"/>
      <c r="KV120" s="1056"/>
      <c r="KW120" s="1056"/>
      <c r="KX120" s="1056"/>
      <c r="KY120" s="1056"/>
      <c r="KZ120" s="1056"/>
      <c r="LA120" s="1056"/>
      <c r="LB120" s="1056"/>
      <c r="LC120" s="1056"/>
      <c r="LD120" s="1056"/>
      <c r="LE120" s="1056"/>
      <c r="LF120" s="1056"/>
      <c r="LG120" s="1056"/>
      <c r="LH120" s="1056"/>
      <c r="LI120" s="1056"/>
      <c r="LJ120" s="1056"/>
      <c r="LK120" s="1056"/>
      <c r="LL120" s="1056"/>
      <c r="LM120" s="1056"/>
      <c r="LN120" s="1056"/>
      <c r="LO120" s="1056"/>
      <c r="LP120" s="1056"/>
      <c r="LQ120" s="1056"/>
      <c r="LR120" s="1056"/>
      <c r="LS120" s="1056"/>
      <c r="LT120" s="1056"/>
      <c r="LU120" s="1056"/>
      <c r="LV120" s="1056"/>
      <c r="LW120" s="1056"/>
      <c r="LX120" s="1056"/>
      <c r="LY120" s="1056"/>
      <c r="LZ120" s="1056"/>
      <c r="MA120" s="1056"/>
      <c r="MB120" s="1056"/>
      <c r="MC120" s="1056"/>
      <c r="MD120" s="1056"/>
      <c r="ME120" s="1056"/>
      <c r="MF120" s="1056"/>
      <c r="MG120" s="1056"/>
      <c r="MH120" s="1056"/>
      <c r="MI120" s="1056"/>
      <c r="MJ120" s="1056"/>
      <c r="MK120" s="1056"/>
      <c r="ML120" s="1056"/>
      <c r="MM120" s="1056"/>
      <c r="MN120" s="1056"/>
      <c r="MO120" s="1056"/>
      <c r="MP120" s="1056"/>
      <c r="MQ120" s="1056"/>
      <c r="MR120" s="1056"/>
      <c r="MS120" s="1056"/>
      <c r="MT120" s="1056"/>
      <c r="MU120" s="1056"/>
      <c r="MV120" s="1056"/>
      <c r="MW120" s="1056"/>
      <c r="MX120" s="1056"/>
      <c r="MY120" s="1056"/>
      <c r="MZ120" s="1056"/>
      <c r="NA120" s="1056"/>
      <c r="NB120" s="1056"/>
      <c r="NC120" s="1056"/>
      <c r="ND120" s="1056"/>
      <c r="NE120" s="1056"/>
      <c r="NF120" s="1056"/>
      <c r="NG120" s="1056"/>
      <c r="NH120" s="1056"/>
      <c r="NI120" s="1056"/>
      <c r="NJ120" s="1056"/>
      <c r="NK120" s="1056"/>
      <c r="NL120" s="1056"/>
      <c r="NM120" s="1056"/>
      <c r="NN120" s="1056"/>
      <c r="NO120" s="1056"/>
      <c r="NP120" s="1056"/>
      <c r="NQ120" s="1056"/>
      <c r="NR120" s="1056"/>
      <c r="NS120" s="1056"/>
      <c r="NT120" s="1056"/>
      <c r="NU120" s="1056"/>
      <c r="NV120" s="1056"/>
      <c r="NW120" s="1056"/>
      <c r="NX120" s="1056"/>
      <c r="NY120" s="1056"/>
      <c r="NZ120" s="1056"/>
      <c r="OA120" s="1056"/>
      <c r="OB120" s="1056"/>
      <c r="OC120" s="1056"/>
      <c r="OD120" s="1056"/>
      <c r="OE120" s="1056"/>
      <c r="OF120" s="1056"/>
      <c r="OG120" s="1056"/>
      <c r="OH120" s="1056"/>
      <c r="OI120" s="1056"/>
      <c r="OJ120" s="1056"/>
      <c r="OK120" s="1056"/>
      <c r="OL120" s="1056"/>
      <c r="OM120" s="1056"/>
      <c r="ON120" s="1056"/>
      <c r="OO120" s="1056"/>
      <c r="OP120" s="1056"/>
      <c r="OQ120" s="1056"/>
      <c r="OR120" s="1056"/>
      <c r="OS120" s="1056"/>
      <c r="OT120" s="1056"/>
      <c r="OU120" s="1056"/>
      <c r="OV120" s="1056"/>
      <c r="OW120" s="1056"/>
      <c r="OX120" s="1056"/>
      <c r="OY120" s="1056"/>
      <c r="OZ120" s="1056"/>
      <c r="PA120" s="1056"/>
      <c r="PB120" s="1056"/>
      <c r="PC120" s="1056"/>
      <c r="PD120" s="1056"/>
      <c r="PE120" s="1056"/>
      <c r="PF120" s="1056"/>
      <c r="PG120" s="1056"/>
      <c r="PH120" s="1056"/>
      <c r="PI120" s="1056"/>
      <c r="PJ120" s="1056"/>
      <c r="PK120" s="1056"/>
      <c r="PL120" s="1056"/>
      <c r="PM120" s="1056"/>
      <c r="PN120" s="1056"/>
      <c r="PO120" s="1056"/>
      <c r="PP120" s="1056"/>
      <c r="PQ120" s="1056"/>
      <c r="PR120" s="1056"/>
      <c r="PS120" s="1056"/>
      <c r="PT120" s="1056"/>
      <c r="PU120" s="1056"/>
      <c r="PV120" s="1056"/>
      <c r="PW120" s="1056"/>
      <c r="PX120" s="1056"/>
      <c r="PY120" s="1056"/>
      <c r="PZ120" s="1056"/>
      <c r="QA120" s="1056"/>
      <c r="QB120" s="1056"/>
      <c r="QC120" s="1056"/>
      <c r="QD120" s="1056"/>
      <c r="QE120" s="1056"/>
      <c r="QF120" s="1056"/>
      <c r="QG120" s="1056"/>
      <c r="QH120" s="1056"/>
      <c r="QI120" s="1056"/>
      <c r="QJ120" s="1056"/>
      <c r="QK120" s="1056"/>
      <c r="QL120" s="1056"/>
      <c r="QM120" s="1056"/>
      <c r="QN120" s="1056"/>
      <c r="QO120" s="1056"/>
      <c r="QP120" s="1056"/>
      <c r="QQ120" s="1056"/>
      <c r="QR120" s="1056"/>
      <c r="QS120" s="1056"/>
      <c r="QT120" s="1056"/>
      <c r="QU120" s="1056"/>
      <c r="QV120" s="1056"/>
      <c r="QW120" s="1056"/>
      <c r="QX120" s="1056"/>
      <c r="QY120" s="1056"/>
      <c r="QZ120" s="1056"/>
      <c r="RA120" s="1056"/>
      <c r="RB120" s="1056"/>
      <c r="RC120" s="1056"/>
      <c r="RD120" s="1056"/>
      <c r="RE120" s="1056"/>
      <c r="RF120" s="1056"/>
      <c r="RG120" s="1056"/>
      <c r="RH120" s="1056"/>
      <c r="RI120" s="1056"/>
      <c r="RJ120" s="1056"/>
      <c r="RK120" s="1056"/>
      <c r="RL120" s="1056"/>
      <c r="RM120" s="1056"/>
      <c r="RN120" s="1056"/>
      <c r="RO120" s="1056"/>
      <c r="RP120" s="1056"/>
      <c r="RQ120" s="1056"/>
      <c r="RR120" s="1056"/>
      <c r="RS120" s="1056"/>
      <c r="RT120" s="1056"/>
      <c r="RU120" s="1056"/>
      <c r="RV120" s="1056"/>
      <c r="RW120" s="1056"/>
      <c r="RX120" s="1056"/>
      <c r="RY120" s="1056"/>
      <c r="RZ120" s="1056"/>
      <c r="SA120" s="1056"/>
      <c r="SB120" s="1056"/>
      <c r="SC120" s="1056"/>
      <c r="SD120" s="1056"/>
      <c r="SE120" s="1056"/>
      <c r="SF120" s="1056"/>
      <c r="SG120" s="1056"/>
      <c r="SH120" s="1056"/>
      <c r="SI120" s="1056"/>
      <c r="SJ120" s="1056"/>
      <c r="SK120" s="1056"/>
      <c r="SL120" s="1056"/>
      <c r="SM120" s="1056"/>
      <c r="SN120" s="1056"/>
      <c r="SO120" s="1056"/>
      <c r="SP120" s="1056"/>
      <c r="SQ120" s="1056"/>
      <c r="SR120" s="1056"/>
      <c r="SS120" s="1056"/>
      <c r="ST120" s="1056"/>
      <c r="SU120" s="1056"/>
      <c r="SV120" s="1056"/>
      <c r="SW120" s="1056"/>
      <c r="SX120" s="1056"/>
      <c r="SY120" s="1056"/>
      <c r="SZ120" s="1056"/>
      <c r="TA120" s="1056"/>
      <c r="TB120" s="1056"/>
      <c r="TC120" s="1056"/>
      <c r="TD120" s="1056"/>
      <c r="TE120" s="1056"/>
      <c r="TF120" s="1056"/>
      <c r="TG120" s="1056"/>
      <c r="TH120" s="1056"/>
      <c r="TI120" s="1056"/>
      <c r="TJ120" s="1056"/>
      <c r="TK120" s="1056"/>
      <c r="TL120" s="1056"/>
      <c r="TM120" s="1056"/>
      <c r="TN120" s="1056"/>
      <c r="TO120" s="1056"/>
      <c r="TP120" s="1056"/>
      <c r="TQ120" s="1056"/>
      <c r="TR120" s="1056"/>
      <c r="TS120" s="1056"/>
      <c r="TT120" s="1056"/>
      <c r="TU120" s="1056"/>
      <c r="TV120" s="1056"/>
      <c r="TW120" s="1056"/>
      <c r="TX120" s="1056"/>
      <c r="TY120" s="1056"/>
      <c r="TZ120" s="1056"/>
      <c r="UA120" s="1056"/>
      <c r="UB120" s="1056"/>
      <c r="UC120" s="1056"/>
      <c r="UD120" s="1056"/>
      <c r="UE120" s="1056"/>
      <c r="UF120" s="1056"/>
      <c r="UG120" s="1056"/>
      <c r="UH120" s="1056"/>
      <c r="UI120" s="1056"/>
      <c r="UJ120" s="1056"/>
      <c r="UK120" s="1056"/>
      <c r="UL120" s="1056"/>
      <c r="UM120" s="1056"/>
      <c r="UN120" s="1056"/>
      <c r="UO120" s="1056"/>
      <c r="UP120" s="1056"/>
      <c r="UQ120" s="1056"/>
      <c r="UR120" s="1056"/>
      <c r="US120" s="1056"/>
      <c r="UT120" s="1056"/>
      <c r="UU120" s="1056"/>
      <c r="UV120" s="1056"/>
      <c r="UW120" s="1056"/>
      <c r="UX120" s="1056"/>
      <c r="UY120" s="1056"/>
      <c r="UZ120" s="1056"/>
      <c r="VA120" s="1056"/>
      <c r="VB120" s="1056"/>
      <c r="VC120" s="1056"/>
      <c r="VD120" s="1056"/>
      <c r="VE120" s="1056"/>
      <c r="VF120" s="1056"/>
      <c r="VG120" s="1056"/>
      <c r="VH120" s="1056"/>
      <c r="VI120" s="1056"/>
      <c r="VJ120" s="1056"/>
      <c r="VK120" s="1056"/>
      <c r="VL120" s="1056"/>
      <c r="VM120" s="1056"/>
      <c r="VN120" s="1056"/>
      <c r="VO120" s="1056"/>
      <c r="VP120" s="1056"/>
      <c r="VQ120" s="1056"/>
      <c r="VR120" s="1056"/>
      <c r="VS120" s="1056"/>
      <c r="VT120" s="1056"/>
      <c r="VU120" s="1056"/>
      <c r="VV120" s="1056"/>
      <c r="VW120" s="1056"/>
      <c r="VX120" s="1056"/>
      <c r="VY120" s="1056"/>
      <c r="VZ120" s="1056"/>
      <c r="WA120" s="1056"/>
      <c r="WB120" s="1056"/>
      <c r="WC120" s="1056"/>
      <c r="WD120" s="1056"/>
      <c r="WE120" s="1056"/>
      <c r="WF120" s="1056"/>
      <c r="WG120" s="1056"/>
      <c r="WH120" s="1056"/>
      <c r="WI120" s="1056"/>
      <c r="WJ120" s="1056"/>
      <c r="WK120" s="1056"/>
      <c r="WL120" s="1056"/>
      <c r="WM120" s="1056"/>
      <c r="WN120" s="1056"/>
      <c r="WO120" s="1056"/>
      <c r="WP120" s="1056"/>
      <c r="WQ120" s="1056"/>
      <c r="WR120" s="1056"/>
      <c r="WS120" s="1056"/>
      <c r="WT120" s="1056"/>
      <c r="WU120" s="1056"/>
      <c r="WV120" s="1056"/>
      <c r="WW120" s="1056"/>
      <c r="WX120" s="1056"/>
      <c r="WY120" s="1056"/>
      <c r="WZ120" s="1056"/>
      <c r="XA120" s="1056"/>
      <c r="XB120" s="1056"/>
      <c r="XC120" s="1056"/>
      <c r="XD120" s="1056"/>
      <c r="XE120" s="1056"/>
      <c r="XF120" s="1056"/>
      <c r="XG120" s="1056"/>
      <c r="XH120" s="1056"/>
      <c r="XI120" s="1056"/>
      <c r="XJ120" s="1056"/>
      <c r="XK120" s="1056"/>
      <c r="XL120" s="1056"/>
      <c r="XM120" s="1056"/>
      <c r="XN120" s="1056"/>
      <c r="XO120" s="1056"/>
      <c r="XP120" s="1056"/>
      <c r="XQ120" s="1056"/>
      <c r="XR120" s="1056"/>
      <c r="XS120" s="1056"/>
      <c r="XT120" s="1056"/>
      <c r="XU120" s="1056"/>
      <c r="XV120" s="1056"/>
      <c r="XW120" s="1056"/>
      <c r="XX120" s="1056"/>
      <c r="XY120" s="1056"/>
      <c r="XZ120" s="1056"/>
      <c r="YA120" s="1056"/>
      <c r="YB120" s="1056"/>
      <c r="YC120" s="1056"/>
      <c r="YD120" s="1056"/>
      <c r="YE120" s="1056"/>
      <c r="YF120" s="1056"/>
      <c r="YG120" s="1056"/>
      <c r="YH120" s="1056"/>
      <c r="YI120" s="1056"/>
      <c r="YJ120" s="1056"/>
      <c r="YK120" s="1056"/>
      <c r="YL120" s="1056"/>
      <c r="YM120" s="1056"/>
      <c r="YN120" s="1056"/>
      <c r="YO120" s="1056"/>
      <c r="YP120" s="1056"/>
      <c r="YQ120" s="1056"/>
      <c r="YR120" s="1056"/>
      <c r="YS120" s="1056"/>
      <c r="YT120" s="1056"/>
      <c r="YU120" s="1056"/>
      <c r="YV120" s="1056"/>
      <c r="YW120" s="1056"/>
      <c r="YX120" s="1056"/>
      <c r="YY120" s="1056"/>
      <c r="YZ120" s="1056"/>
      <c r="ZA120" s="1056"/>
      <c r="ZB120" s="1056"/>
      <c r="ZC120" s="1056"/>
      <c r="ZD120" s="1056"/>
      <c r="ZE120" s="1056"/>
      <c r="ZF120" s="1056"/>
      <c r="ZG120" s="1056"/>
      <c r="ZH120" s="1056"/>
      <c r="ZI120" s="1056"/>
      <c r="ZJ120" s="1056"/>
      <c r="ZK120" s="1056"/>
      <c r="ZL120" s="1056"/>
      <c r="ZM120" s="1056"/>
      <c r="ZN120" s="1056"/>
      <c r="ZO120" s="1056"/>
      <c r="ZP120" s="1056"/>
      <c r="ZQ120" s="1056"/>
      <c r="ZR120" s="1056"/>
      <c r="ZS120" s="1056"/>
      <c r="ZT120" s="1056"/>
      <c r="ZU120" s="1056"/>
      <c r="ZV120" s="1056"/>
      <c r="ZW120" s="1056"/>
      <c r="ZX120" s="1056"/>
      <c r="ZY120" s="1056"/>
      <c r="ZZ120" s="1056"/>
      <c r="AAA120" s="1056"/>
      <c r="AAB120" s="1056"/>
      <c r="AAC120" s="1056"/>
      <c r="AAD120" s="1056"/>
      <c r="AAE120" s="1056"/>
      <c r="AAF120" s="1056"/>
      <c r="AAG120" s="1056"/>
      <c r="AAH120" s="1056"/>
      <c r="AAI120" s="1056"/>
      <c r="AAJ120" s="1056"/>
      <c r="AAK120" s="1056"/>
      <c r="AAL120" s="1056"/>
      <c r="AAM120" s="1056"/>
      <c r="AAN120" s="1056"/>
      <c r="AAO120" s="1056"/>
      <c r="AAP120" s="1056"/>
      <c r="AAQ120" s="1056"/>
      <c r="AAR120" s="1056"/>
      <c r="AAS120" s="1056"/>
      <c r="AAT120" s="1056"/>
      <c r="AAU120" s="1056"/>
      <c r="AAV120" s="1056"/>
      <c r="AAW120" s="1056"/>
      <c r="AAX120" s="1056"/>
      <c r="AAY120" s="1056"/>
      <c r="AAZ120" s="1056"/>
      <c r="ABA120" s="1056"/>
      <c r="ABB120" s="1056"/>
      <c r="ABC120" s="1056"/>
      <c r="ABD120" s="1056"/>
      <c r="ABE120" s="1056"/>
      <c r="ABF120" s="1056"/>
      <c r="ABG120" s="1056"/>
      <c r="ABH120" s="1056"/>
      <c r="ABI120" s="1056"/>
      <c r="ABJ120" s="1056"/>
      <c r="ABK120" s="1056"/>
      <c r="ABL120" s="1056"/>
      <c r="ABM120" s="1056"/>
      <c r="ABN120" s="1056"/>
      <c r="ABO120" s="1056"/>
      <c r="ABP120" s="1056"/>
      <c r="ABQ120" s="1056"/>
      <c r="ABR120" s="1056"/>
      <c r="ABS120" s="1056"/>
      <c r="ABT120" s="1056"/>
      <c r="ABU120" s="1056"/>
      <c r="ABV120" s="1056"/>
      <c r="ABW120" s="1056"/>
      <c r="ABX120" s="1056"/>
      <c r="ABY120" s="1056"/>
      <c r="ABZ120" s="1056"/>
      <c r="ACA120" s="1056"/>
      <c r="ACB120" s="1056"/>
      <c r="ACC120" s="1056"/>
      <c r="ACD120" s="1056"/>
      <c r="ACE120" s="1056"/>
      <c r="ACF120" s="1056"/>
      <c r="ACG120" s="1056"/>
      <c r="ACH120" s="1056"/>
      <c r="ACI120" s="1056"/>
      <c r="ACJ120" s="1056"/>
      <c r="ACK120" s="1056"/>
      <c r="ACL120" s="1056"/>
      <c r="ACM120" s="1056"/>
      <c r="ACN120" s="1056"/>
      <c r="ACO120" s="1056"/>
      <c r="ACP120" s="1056"/>
      <c r="ACQ120" s="1056"/>
      <c r="ACR120" s="1056"/>
      <c r="ACS120" s="1056"/>
      <c r="ACT120" s="1056"/>
      <c r="ACU120" s="1056"/>
      <c r="ACV120" s="1056"/>
      <c r="ACW120" s="1056"/>
      <c r="ACX120" s="1056"/>
      <c r="ACY120" s="1056"/>
      <c r="ACZ120" s="1056"/>
      <c r="ADA120" s="1056"/>
      <c r="ADB120" s="1056"/>
      <c r="ADC120" s="1056"/>
      <c r="ADD120" s="1056"/>
      <c r="ADE120" s="1056"/>
      <c r="ADF120" s="1056"/>
      <c r="ADG120" s="1056"/>
      <c r="ADH120" s="1056"/>
      <c r="ADI120" s="1056"/>
      <c r="ADJ120" s="1056"/>
      <c r="ADK120" s="1056"/>
      <c r="ADL120" s="1056"/>
      <c r="ADM120" s="1056"/>
      <c r="ADN120" s="1056"/>
      <c r="ADO120" s="1056"/>
      <c r="ADP120" s="1056"/>
      <c r="ADQ120" s="1056"/>
      <c r="ADR120" s="1056"/>
      <c r="ADS120" s="1056"/>
      <c r="ADT120" s="1056"/>
      <c r="ADU120" s="1056"/>
      <c r="ADV120" s="1056"/>
      <c r="ADW120" s="1056"/>
      <c r="ADX120" s="1056"/>
      <c r="ADY120" s="1056"/>
      <c r="ADZ120" s="1056"/>
      <c r="AEA120" s="1056"/>
      <c r="AEB120" s="1056"/>
      <c r="AEC120" s="1056"/>
      <c r="AED120" s="1056"/>
      <c r="AEE120" s="1056"/>
      <c r="AEF120" s="1056"/>
      <c r="AEG120" s="1056"/>
      <c r="AEH120" s="1056"/>
      <c r="AEI120" s="1056"/>
      <c r="AEJ120" s="1056"/>
      <c r="AEK120" s="1056"/>
      <c r="AEL120" s="1056"/>
      <c r="AEM120" s="1056"/>
      <c r="AEN120" s="1056"/>
      <c r="AEO120" s="1056"/>
      <c r="AEP120" s="1056"/>
      <c r="AEQ120" s="1056"/>
      <c r="AER120" s="1056"/>
      <c r="AES120" s="1056"/>
      <c r="AET120" s="1056"/>
      <c r="AEU120" s="1056"/>
      <c r="AEV120" s="1056"/>
      <c r="AEW120" s="1056"/>
      <c r="AEX120" s="1056"/>
      <c r="AEY120" s="1056"/>
      <c r="AEZ120" s="1056"/>
      <c r="AFA120" s="1056"/>
      <c r="AFB120" s="1056"/>
      <c r="AFC120" s="1056"/>
      <c r="AFD120" s="1056"/>
      <c r="AFE120" s="1056"/>
      <c r="AFF120" s="1056"/>
      <c r="AFG120" s="1056"/>
      <c r="AFH120" s="1056"/>
      <c r="AFI120" s="1056"/>
      <c r="AFJ120" s="1056"/>
      <c r="AFK120" s="1056"/>
      <c r="AFL120" s="1056"/>
      <c r="AFM120" s="1056"/>
      <c r="AFN120" s="1056"/>
      <c r="AFO120" s="1056"/>
      <c r="AFP120" s="1056"/>
      <c r="AFQ120" s="1056"/>
      <c r="AFR120" s="1056"/>
      <c r="AFS120" s="1056"/>
      <c r="AFT120" s="1056"/>
      <c r="AFU120" s="1056"/>
      <c r="AFV120" s="1056"/>
      <c r="AFW120" s="1056"/>
      <c r="AFX120" s="1056"/>
      <c r="AFY120" s="1056"/>
      <c r="AFZ120" s="1056"/>
      <c r="AGA120" s="1056"/>
      <c r="AGB120" s="1056"/>
      <c r="AGC120" s="1056"/>
      <c r="AGD120" s="1056"/>
      <c r="AGE120" s="1056"/>
      <c r="AGF120" s="1056"/>
      <c r="AGG120" s="1056"/>
      <c r="AGH120" s="1056"/>
      <c r="AGI120" s="1056"/>
      <c r="AGJ120" s="1056"/>
      <c r="AGK120" s="1056"/>
      <c r="AGL120" s="1056"/>
      <c r="AGM120" s="1056"/>
      <c r="AGN120" s="1056"/>
      <c r="AGO120" s="1056"/>
      <c r="AGP120" s="1056"/>
      <c r="AGQ120" s="1056"/>
      <c r="AGR120" s="1056"/>
      <c r="AGS120" s="1056"/>
      <c r="AGT120" s="1056"/>
      <c r="AGU120" s="1056"/>
      <c r="AGV120" s="1056"/>
      <c r="AGW120" s="1056"/>
      <c r="AGX120" s="1056"/>
      <c r="AGY120" s="1056"/>
      <c r="AGZ120" s="1056"/>
      <c r="AHA120" s="1056"/>
      <c r="AHB120" s="1056"/>
      <c r="AHC120" s="1056"/>
      <c r="AHD120" s="1056"/>
      <c r="AHE120" s="1056"/>
      <c r="AHF120" s="1056"/>
      <c r="AHG120" s="1056"/>
      <c r="AHH120" s="1056"/>
      <c r="AHI120" s="1056"/>
      <c r="AHJ120" s="1056"/>
      <c r="AHK120" s="1056"/>
      <c r="AHL120" s="1056"/>
      <c r="AHM120" s="1056"/>
      <c r="AHN120" s="1056"/>
      <c r="AHO120" s="1056"/>
      <c r="AHP120" s="1056"/>
      <c r="AHQ120" s="1056"/>
      <c r="AHR120" s="1056"/>
      <c r="AHS120" s="1056"/>
      <c r="AHT120" s="1056"/>
      <c r="AHU120" s="1056"/>
      <c r="AHV120" s="1056"/>
      <c r="AHW120" s="1056"/>
      <c r="AHX120" s="1056"/>
      <c r="AHY120" s="1056"/>
      <c r="AHZ120" s="1056"/>
      <c r="AIA120" s="1056"/>
      <c r="AIB120" s="1056"/>
      <c r="AIC120" s="1056"/>
      <c r="AID120" s="1056"/>
      <c r="AIE120" s="1056"/>
      <c r="AIF120" s="1056"/>
      <c r="AIG120" s="1056"/>
      <c r="AIH120" s="1056"/>
      <c r="AII120" s="1056"/>
      <c r="AIJ120" s="1056"/>
      <c r="AIK120" s="1056"/>
      <c r="AIL120" s="1056"/>
      <c r="AIM120" s="1056"/>
      <c r="AIN120" s="1056"/>
      <c r="AIO120" s="1056"/>
      <c r="AIP120" s="1056"/>
      <c r="AIQ120" s="1056"/>
      <c r="AIR120" s="1056"/>
      <c r="AIS120" s="1056"/>
      <c r="AIT120" s="1056"/>
      <c r="AIU120" s="1056"/>
      <c r="AIV120" s="1056"/>
      <c r="AIW120" s="1056"/>
      <c r="AIX120" s="1056"/>
      <c r="AIY120" s="1056"/>
      <c r="AIZ120" s="1056"/>
      <c r="AJA120" s="1056"/>
      <c r="AJB120" s="1056"/>
      <c r="AJC120" s="1056"/>
      <c r="AJD120" s="1056"/>
      <c r="AJE120" s="1056"/>
      <c r="AJF120" s="1056"/>
      <c r="AJG120" s="1056"/>
      <c r="AJH120" s="1056"/>
      <c r="AJI120" s="1056"/>
      <c r="AJJ120" s="1056"/>
      <c r="AJK120" s="1056"/>
      <c r="AJL120" s="1056"/>
      <c r="AJM120" s="1056"/>
      <c r="AJN120" s="1056"/>
      <c r="AJO120" s="1056"/>
      <c r="AJP120" s="1056"/>
      <c r="AJQ120" s="1056"/>
      <c r="AJR120" s="1056"/>
      <c r="AJS120" s="1056"/>
      <c r="AJT120" s="1056"/>
      <c r="AJU120" s="1056"/>
      <c r="AJV120" s="1056"/>
      <c r="AJW120" s="1056"/>
      <c r="AJX120" s="1056"/>
      <c r="AJY120" s="1056"/>
      <c r="AJZ120" s="1056"/>
      <c r="AKA120" s="1056"/>
      <c r="AKB120" s="1056"/>
      <c r="AKC120" s="1056"/>
      <c r="AKD120" s="1056"/>
      <c r="AKE120" s="1056"/>
      <c r="AKF120" s="1056"/>
      <c r="AKG120" s="1056"/>
      <c r="AKH120" s="1056"/>
      <c r="AKI120" s="1056"/>
      <c r="AKJ120" s="1056"/>
      <c r="AKK120" s="1056"/>
      <c r="AKL120" s="1056"/>
      <c r="AKM120" s="1056"/>
      <c r="AKN120" s="1056"/>
      <c r="AKO120" s="1056"/>
      <c r="AKP120" s="1056"/>
      <c r="AKQ120" s="1056"/>
      <c r="AKR120" s="1056"/>
      <c r="AKS120" s="1056"/>
      <c r="AKT120" s="1056"/>
      <c r="AKU120" s="1056"/>
      <c r="AKV120" s="1056"/>
      <c r="AKW120" s="1056"/>
      <c r="AKX120" s="1056"/>
      <c r="AKY120" s="1056"/>
      <c r="AKZ120" s="1056"/>
      <c r="ALA120" s="1056"/>
      <c r="ALB120" s="1056"/>
      <c r="ALC120" s="1056"/>
      <c r="ALD120" s="1056"/>
      <c r="ALE120" s="1056"/>
      <c r="ALF120" s="1056"/>
      <c r="ALG120" s="1056"/>
      <c r="ALH120" s="1056"/>
      <c r="ALI120" s="1056"/>
      <c r="ALJ120" s="1056"/>
      <c r="ALK120" s="1056"/>
      <c r="ALL120" s="1056"/>
      <c r="ALM120" s="1056"/>
      <c r="ALN120" s="1056"/>
      <c r="ALO120" s="1056"/>
      <c r="ALP120" s="1056"/>
      <c r="ALQ120" s="1056"/>
      <c r="ALR120" s="1056"/>
      <c r="ALS120" s="1056"/>
      <c r="ALT120" s="1056"/>
      <c r="ALU120" s="1056"/>
      <c r="ALV120" s="1056"/>
      <c r="ALW120" s="1056"/>
      <c r="ALX120" s="1056"/>
      <c r="ALY120" s="1056"/>
      <c r="ALZ120" s="1056"/>
      <c r="AMA120" s="1056"/>
      <c r="AMB120" s="1056"/>
      <c r="AMC120" s="1056"/>
      <c r="AMD120" s="1056"/>
      <c r="AME120" s="1056"/>
      <c r="AMF120" s="1056"/>
      <c r="AMG120" s="1056"/>
      <c r="AMH120" s="1056"/>
      <c r="AMI120" s="1056"/>
      <c r="AMJ120" s="1056"/>
      <c r="AMK120" s="1056"/>
      <c r="AML120" s="1056"/>
      <c r="AMM120" s="1056"/>
      <c r="AMN120" s="1056"/>
      <c r="AMO120" s="1056"/>
      <c r="AMP120" s="1056"/>
      <c r="AMQ120" s="1056"/>
      <c r="AMR120" s="1056"/>
      <c r="AMS120" s="1056"/>
      <c r="AMT120" s="1056"/>
      <c r="AMU120" s="1056"/>
      <c r="AMV120" s="1056"/>
      <c r="AMW120" s="1056"/>
      <c r="AMX120" s="1056"/>
      <c r="AMY120" s="1056"/>
      <c r="AMZ120" s="1056"/>
      <c r="ANA120" s="1056"/>
      <c r="ANB120" s="1056"/>
      <c r="ANC120" s="1056"/>
      <c r="AND120" s="1056"/>
      <c r="ANE120" s="1056"/>
      <c r="ANF120" s="1056"/>
      <c r="ANG120" s="1056"/>
      <c r="ANH120" s="1056"/>
      <c r="ANI120" s="1056"/>
      <c r="ANJ120" s="1056"/>
      <c r="ANK120" s="1056"/>
      <c r="ANL120" s="1056"/>
      <c r="ANM120" s="1056"/>
      <c r="ANN120" s="1056"/>
      <c r="ANO120" s="1056"/>
      <c r="ANP120" s="1056"/>
      <c r="ANQ120" s="1056"/>
      <c r="ANR120" s="1056"/>
      <c r="ANS120" s="1056"/>
      <c r="ANT120" s="1056"/>
      <c r="ANU120" s="1056"/>
      <c r="ANV120" s="1056"/>
      <c r="ANW120" s="1056"/>
      <c r="ANX120" s="1056"/>
      <c r="ANY120" s="1056"/>
      <c r="ANZ120" s="1056"/>
      <c r="AOA120" s="1056"/>
      <c r="AOB120" s="1056"/>
      <c r="AOC120" s="1056"/>
      <c r="AOD120" s="1056"/>
      <c r="AOE120" s="1056"/>
      <c r="AOF120" s="1056"/>
      <c r="AOG120" s="1056"/>
      <c r="AOH120" s="1056"/>
      <c r="AOI120" s="1056"/>
      <c r="AOJ120" s="1056"/>
      <c r="AOK120" s="1056"/>
      <c r="AOL120" s="1056"/>
      <c r="AOM120" s="1056"/>
      <c r="AON120" s="1056"/>
      <c r="AOO120" s="1056"/>
      <c r="AOP120" s="1056"/>
      <c r="AOQ120" s="1056"/>
      <c r="AOR120" s="1056"/>
      <c r="AOS120" s="1056"/>
      <c r="AOT120" s="1056"/>
      <c r="AOU120" s="1056"/>
      <c r="AOV120" s="1056"/>
      <c r="AOW120" s="1056"/>
      <c r="AOX120" s="1056"/>
      <c r="AOY120" s="1056"/>
      <c r="AOZ120" s="1056"/>
      <c r="APA120" s="1056"/>
      <c r="APB120" s="1056"/>
      <c r="APC120" s="1056"/>
      <c r="APD120" s="1056"/>
      <c r="APE120" s="1056"/>
      <c r="APF120" s="1056"/>
      <c r="APG120" s="1056"/>
      <c r="APH120" s="1056"/>
      <c r="API120" s="1056"/>
      <c r="APJ120" s="1056"/>
      <c r="APK120" s="1056"/>
      <c r="APL120" s="1056"/>
      <c r="APM120" s="1056"/>
      <c r="APN120" s="1056"/>
      <c r="APO120" s="1056"/>
      <c r="APP120" s="1056"/>
      <c r="APQ120" s="1056"/>
      <c r="APR120" s="1056"/>
      <c r="APS120" s="1056"/>
      <c r="APT120" s="1056"/>
      <c r="APU120" s="1056"/>
      <c r="APV120" s="1056"/>
      <c r="APW120" s="1056"/>
      <c r="APX120" s="1056"/>
      <c r="APY120" s="1056"/>
      <c r="APZ120" s="1056"/>
      <c r="AQA120" s="1056"/>
      <c r="AQB120" s="1056"/>
      <c r="AQC120" s="1056"/>
      <c r="AQD120" s="1056"/>
      <c r="AQE120" s="1056"/>
      <c r="AQF120" s="1056"/>
      <c r="AQG120" s="1056"/>
      <c r="AQH120" s="1056"/>
      <c r="AQI120" s="1056"/>
      <c r="AQJ120" s="1056"/>
      <c r="AQK120" s="1056"/>
      <c r="AQL120" s="1056"/>
      <c r="AQM120" s="1056"/>
      <c r="AQN120" s="1056"/>
      <c r="AQO120" s="1056"/>
      <c r="AQP120" s="1056"/>
      <c r="AQQ120" s="1056"/>
      <c r="AQR120" s="1056"/>
      <c r="AQS120" s="1056"/>
      <c r="AQT120" s="1056"/>
      <c r="AQU120" s="1056"/>
      <c r="AQV120" s="1056"/>
      <c r="AQW120" s="1056"/>
      <c r="AQX120" s="1056"/>
      <c r="AQY120" s="1056"/>
      <c r="AQZ120" s="1056"/>
      <c r="ARA120" s="1056"/>
      <c r="ARB120" s="1056"/>
      <c r="ARC120" s="1056"/>
      <c r="ARD120" s="1056"/>
      <c r="ARE120" s="1056"/>
      <c r="ARF120" s="1056"/>
      <c r="ARG120" s="1056"/>
      <c r="ARH120" s="1056"/>
      <c r="ARI120" s="1056"/>
      <c r="ARJ120" s="1056"/>
      <c r="ARK120" s="1056"/>
      <c r="ARL120" s="1056"/>
      <c r="ARM120" s="1056"/>
      <c r="ARN120" s="1056"/>
      <c r="ARO120" s="1056"/>
      <c r="ARP120" s="1056"/>
      <c r="ARQ120" s="1056"/>
      <c r="ARR120" s="1056"/>
      <c r="ARS120" s="1056"/>
      <c r="ART120" s="1056"/>
      <c r="ARU120" s="1056"/>
      <c r="ARV120" s="1056"/>
      <c r="ARW120" s="1056"/>
      <c r="ARX120" s="1056"/>
      <c r="ARY120" s="1056"/>
      <c r="ARZ120" s="1056"/>
      <c r="ASA120" s="1056"/>
      <c r="ASB120" s="1056"/>
      <c r="ASC120" s="1056"/>
      <c r="ASD120" s="1056"/>
      <c r="ASE120" s="1056"/>
      <c r="ASF120" s="1056"/>
      <c r="ASG120" s="1056"/>
      <c r="ASH120" s="1056"/>
      <c r="ASI120" s="1056"/>
      <c r="ASJ120" s="1056"/>
      <c r="ASK120" s="1056"/>
      <c r="ASL120" s="1056"/>
      <c r="ASM120" s="1056"/>
      <c r="ASN120" s="1056"/>
      <c r="ASO120" s="1056"/>
      <c r="ASP120" s="1056"/>
      <c r="ASQ120" s="1056"/>
      <c r="ASR120" s="1056"/>
      <c r="ASS120" s="1056"/>
      <c r="AST120" s="1056"/>
      <c r="ASU120" s="1056"/>
      <c r="ASV120" s="1056"/>
      <c r="ASW120" s="1056"/>
      <c r="ASX120" s="1056"/>
      <c r="ASY120" s="1056"/>
      <c r="ASZ120" s="1056"/>
      <c r="ATA120" s="1056"/>
      <c r="ATB120" s="1056"/>
      <c r="ATC120" s="1056"/>
      <c r="ATD120" s="1056"/>
      <c r="ATE120" s="1056"/>
      <c r="ATF120" s="1056"/>
      <c r="ATG120" s="1056"/>
      <c r="ATH120" s="1056"/>
      <c r="ATI120" s="1056"/>
      <c r="ATJ120" s="1056"/>
      <c r="ATK120" s="1056"/>
      <c r="ATL120" s="1056"/>
      <c r="ATM120" s="1056"/>
      <c r="ATN120" s="1056"/>
      <c r="ATO120" s="1056"/>
      <c r="ATP120" s="1056"/>
      <c r="ATQ120" s="1056"/>
      <c r="ATR120" s="1056"/>
      <c r="ATS120" s="1056"/>
      <c r="ATT120" s="1056"/>
      <c r="ATU120" s="1056"/>
      <c r="ATV120" s="1056"/>
      <c r="ATW120" s="1056"/>
      <c r="ATX120" s="1056"/>
      <c r="ATY120" s="1056"/>
      <c r="ATZ120" s="1056"/>
      <c r="AUA120" s="1056"/>
      <c r="AUB120" s="1056"/>
      <c r="AUC120" s="1056"/>
      <c r="AUD120" s="1056"/>
      <c r="AUE120" s="1056"/>
      <c r="AUF120" s="1056"/>
      <c r="AUG120" s="1056"/>
      <c r="AUH120" s="1056"/>
      <c r="AUI120" s="1056"/>
      <c r="AUJ120" s="1056"/>
      <c r="AUK120" s="1056"/>
      <c r="AUL120" s="1056"/>
      <c r="AUM120" s="1056"/>
      <c r="AUN120" s="1056"/>
      <c r="AUO120" s="1056"/>
      <c r="AUP120" s="1056"/>
      <c r="AUQ120" s="1056"/>
      <c r="AUR120" s="1056"/>
      <c r="AUS120" s="1056"/>
      <c r="AUT120" s="1056"/>
      <c r="AUU120" s="1056"/>
      <c r="AUV120" s="1056"/>
      <c r="AUW120" s="1056"/>
      <c r="AUX120" s="1056"/>
      <c r="AUY120" s="1056"/>
      <c r="AUZ120" s="1056"/>
      <c r="AVA120" s="1056"/>
      <c r="AVB120" s="1056"/>
      <c r="AVC120" s="1056"/>
      <c r="AVD120" s="1056"/>
      <c r="AVE120" s="1056"/>
      <c r="AVF120" s="1056"/>
      <c r="AVG120" s="1056"/>
      <c r="AVH120" s="1056"/>
      <c r="AVI120" s="1056"/>
      <c r="AVJ120" s="1056"/>
      <c r="AVK120" s="1056"/>
      <c r="AVL120" s="1056"/>
      <c r="AVM120" s="1056"/>
      <c r="AVN120" s="1056"/>
      <c r="AVO120" s="1056"/>
      <c r="AVP120" s="1056"/>
      <c r="AVQ120" s="1056"/>
      <c r="AVR120" s="1056"/>
      <c r="AVS120" s="1056"/>
      <c r="AVT120" s="1056"/>
      <c r="AVU120" s="1056"/>
      <c r="AVV120" s="1056"/>
      <c r="AVW120" s="1056"/>
      <c r="AVX120" s="1056"/>
      <c r="AVY120" s="1056"/>
      <c r="AVZ120" s="1056"/>
      <c r="AWA120" s="1056"/>
      <c r="AWB120" s="1056"/>
      <c r="AWC120" s="1056"/>
      <c r="AWD120" s="1056"/>
      <c r="AWE120" s="1056"/>
      <c r="AWF120" s="1056"/>
      <c r="AWG120" s="1056"/>
      <c r="AWH120" s="1056"/>
      <c r="AWI120" s="1056"/>
      <c r="AWJ120" s="1056"/>
      <c r="AWK120" s="1056"/>
      <c r="AWL120" s="1056"/>
      <c r="AWM120" s="1056"/>
      <c r="AWN120" s="1056"/>
      <c r="AWO120" s="1056"/>
      <c r="AWP120" s="1056"/>
      <c r="AWQ120" s="1056"/>
      <c r="AWR120" s="1056"/>
      <c r="AWS120" s="1056"/>
      <c r="AWT120" s="1056"/>
      <c r="AWU120" s="1056"/>
      <c r="AWV120" s="1056"/>
      <c r="AWW120" s="1056"/>
      <c r="AWX120" s="1056"/>
      <c r="AWY120" s="1056"/>
      <c r="AWZ120" s="1056"/>
      <c r="AXA120" s="1056"/>
      <c r="AXB120" s="1056"/>
      <c r="AXC120" s="1056"/>
      <c r="AXD120" s="1056"/>
      <c r="AXE120" s="1056"/>
      <c r="AXF120" s="1056"/>
      <c r="AXG120" s="1056"/>
      <c r="AXH120" s="1056"/>
      <c r="AXI120" s="1056"/>
      <c r="AXJ120" s="1056"/>
      <c r="AXK120" s="1056"/>
      <c r="AXL120" s="1056"/>
      <c r="AXM120" s="1056"/>
      <c r="AXN120" s="1056"/>
      <c r="AXO120" s="1056"/>
      <c r="AXP120" s="1056"/>
      <c r="AXQ120" s="1056"/>
      <c r="AXR120" s="1056"/>
      <c r="AXS120" s="1056"/>
      <c r="AXT120" s="1056"/>
      <c r="AXU120" s="1056"/>
      <c r="AXV120" s="1056"/>
      <c r="AXW120" s="1056"/>
      <c r="AXX120" s="1056"/>
      <c r="AXY120" s="1056"/>
      <c r="AXZ120" s="1056"/>
      <c r="AYA120" s="1056"/>
      <c r="AYB120" s="1056"/>
      <c r="AYC120" s="1056"/>
      <c r="AYD120" s="1056"/>
      <c r="AYE120" s="1056"/>
      <c r="AYF120" s="1056"/>
      <c r="AYG120" s="1056"/>
      <c r="AYH120" s="1056"/>
      <c r="AYI120" s="1056"/>
      <c r="AYJ120" s="1056"/>
      <c r="AYK120" s="1056"/>
      <c r="AYL120" s="1056"/>
      <c r="AYM120" s="1056"/>
      <c r="AYN120" s="1056"/>
      <c r="AYO120" s="1056"/>
      <c r="AYP120" s="1056"/>
      <c r="AYQ120" s="1056"/>
      <c r="AYR120" s="1056"/>
      <c r="AYS120" s="1056"/>
      <c r="AYT120" s="1056"/>
      <c r="AYU120" s="1056"/>
      <c r="AYV120" s="1056"/>
      <c r="AYW120" s="1056"/>
      <c r="AYX120" s="1056"/>
      <c r="AYY120" s="1056"/>
      <c r="AYZ120" s="1056"/>
      <c r="AZA120" s="1056"/>
      <c r="AZB120" s="1056"/>
      <c r="AZC120" s="1056"/>
      <c r="AZD120" s="1056"/>
      <c r="AZE120" s="1056"/>
      <c r="AZF120" s="1056"/>
      <c r="AZG120" s="1056"/>
      <c r="AZH120" s="1056"/>
      <c r="AZI120" s="1056"/>
      <c r="AZJ120" s="1056"/>
      <c r="AZK120" s="1056"/>
      <c r="AZL120" s="1056"/>
      <c r="AZM120" s="1056"/>
      <c r="AZN120" s="1056"/>
      <c r="AZO120" s="1056"/>
      <c r="AZP120" s="1056"/>
      <c r="AZQ120" s="1056"/>
      <c r="AZR120" s="1056"/>
      <c r="AZS120" s="1056"/>
      <c r="AZT120" s="1056"/>
      <c r="AZU120" s="1056"/>
      <c r="AZV120" s="1056"/>
      <c r="AZW120" s="1056"/>
      <c r="AZX120" s="1056"/>
      <c r="AZY120" s="1056"/>
      <c r="AZZ120" s="1056"/>
      <c r="BAA120" s="1056"/>
      <c r="BAB120" s="1056"/>
      <c r="BAC120" s="1056"/>
      <c r="BAD120" s="1056"/>
      <c r="BAE120" s="1056"/>
      <c r="BAF120" s="1056"/>
      <c r="BAG120" s="1056"/>
      <c r="BAH120" s="1056"/>
      <c r="BAI120" s="1056"/>
      <c r="BAJ120" s="1056"/>
      <c r="BAK120" s="1056"/>
      <c r="BAL120" s="1056"/>
      <c r="BAM120" s="1056"/>
      <c r="BAN120" s="1056"/>
      <c r="BAO120" s="1056"/>
      <c r="BAP120" s="1056"/>
      <c r="BAQ120" s="1056"/>
      <c r="BAR120" s="1056"/>
      <c r="BAS120" s="1056"/>
      <c r="BAT120" s="1056"/>
      <c r="BAU120" s="1056"/>
      <c r="BAV120" s="1056"/>
      <c r="BAW120" s="1056"/>
      <c r="BAX120" s="1056"/>
      <c r="BAY120" s="1056"/>
      <c r="BAZ120" s="1056"/>
      <c r="BBA120" s="1056"/>
      <c r="BBB120" s="1056"/>
      <c r="BBC120" s="1056"/>
      <c r="BBD120" s="1056"/>
      <c r="BBE120" s="1056"/>
      <c r="BBF120" s="1056"/>
      <c r="BBG120" s="1056"/>
      <c r="BBH120" s="1056"/>
      <c r="BBI120" s="1056"/>
      <c r="BBJ120" s="1056"/>
      <c r="BBK120" s="1056"/>
      <c r="BBL120" s="1056"/>
      <c r="BBM120" s="1056"/>
      <c r="BBN120" s="1056"/>
      <c r="BBO120" s="1056"/>
      <c r="BBP120" s="1056"/>
      <c r="BBQ120" s="1056"/>
      <c r="BBR120" s="1056"/>
      <c r="BBS120" s="1056"/>
      <c r="BBT120" s="1056"/>
      <c r="BBU120" s="1056"/>
      <c r="BBV120" s="1056"/>
      <c r="BBW120" s="1056"/>
      <c r="BBX120" s="1056"/>
      <c r="BBY120" s="1056"/>
      <c r="BBZ120" s="1056"/>
      <c r="BCA120" s="1056"/>
      <c r="BCB120" s="1056"/>
      <c r="BCC120" s="1056"/>
      <c r="BCD120" s="1056"/>
      <c r="BCE120" s="1056"/>
      <c r="BCF120" s="1056"/>
      <c r="BCG120" s="1056"/>
      <c r="BCH120" s="1056"/>
      <c r="BCI120" s="1056"/>
      <c r="BCJ120" s="1056"/>
      <c r="BCK120" s="1056"/>
      <c r="BCL120" s="1056"/>
      <c r="BCM120" s="1056"/>
      <c r="BCN120" s="1056"/>
      <c r="BCO120" s="1056"/>
      <c r="BCP120" s="1056"/>
      <c r="BCQ120" s="1056"/>
      <c r="BCR120" s="1056"/>
      <c r="BCS120" s="1056"/>
      <c r="BCT120" s="1056"/>
      <c r="BCU120" s="1056"/>
      <c r="BCV120" s="1056"/>
      <c r="BCW120" s="1056"/>
      <c r="BCX120" s="1056"/>
      <c r="BCY120" s="1056"/>
      <c r="BCZ120" s="1056"/>
      <c r="BDA120" s="1056"/>
      <c r="BDB120" s="1056"/>
      <c r="BDC120" s="1056"/>
      <c r="BDD120" s="1056"/>
      <c r="BDE120" s="1056"/>
      <c r="BDF120" s="1056"/>
      <c r="BDG120" s="1056"/>
      <c r="BDH120" s="1056"/>
      <c r="BDI120" s="1056"/>
      <c r="BDJ120" s="1056"/>
      <c r="BDK120" s="1056"/>
      <c r="BDL120" s="1056"/>
      <c r="BDM120" s="1056"/>
      <c r="BDN120" s="1056"/>
      <c r="BDO120" s="1056"/>
      <c r="BDP120" s="1056"/>
      <c r="BDQ120" s="1056"/>
      <c r="BDR120" s="1056"/>
      <c r="BDS120" s="1056"/>
      <c r="BDT120" s="1056"/>
      <c r="BDU120" s="1056"/>
      <c r="BDV120" s="1056"/>
      <c r="BDW120" s="1056"/>
      <c r="BDX120" s="1056"/>
      <c r="BDY120" s="1056"/>
      <c r="BDZ120" s="1056"/>
      <c r="BEA120" s="1056"/>
      <c r="BEB120" s="1056"/>
      <c r="BEC120" s="1056"/>
      <c r="BED120" s="1056"/>
      <c r="BEE120" s="1056"/>
      <c r="BEF120" s="1056"/>
      <c r="BEG120" s="1056"/>
      <c r="BEH120" s="1056"/>
      <c r="BEI120" s="1056"/>
      <c r="BEJ120" s="1056"/>
      <c r="BEK120" s="1056"/>
      <c r="BEL120" s="1056"/>
      <c r="BEM120" s="1056"/>
      <c r="BEN120" s="1056"/>
      <c r="BEO120" s="1056"/>
      <c r="BEP120" s="1056"/>
      <c r="BEQ120" s="1056"/>
      <c r="BER120" s="1056"/>
      <c r="BES120" s="1056"/>
      <c r="BET120" s="1056"/>
      <c r="BEU120" s="1056"/>
      <c r="BEV120" s="1056"/>
      <c r="BEW120" s="1056"/>
      <c r="BEX120" s="1056"/>
      <c r="BEY120" s="1056"/>
      <c r="BEZ120" s="1056"/>
      <c r="BFA120" s="1056"/>
      <c r="BFB120" s="1056"/>
      <c r="BFC120" s="1056"/>
      <c r="BFD120" s="1056"/>
      <c r="BFE120" s="1056"/>
      <c r="BFF120" s="1056"/>
      <c r="BFG120" s="1056"/>
      <c r="BFH120" s="1056"/>
      <c r="BFI120" s="1056"/>
      <c r="BFJ120" s="1056"/>
      <c r="BFK120" s="1056"/>
      <c r="BFL120" s="1056"/>
      <c r="BFM120" s="1056"/>
      <c r="BFN120" s="1056"/>
      <c r="BFO120" s="1056"/>
      <c r="BFP120" s="1056"/>
      <c r="BFQ120" s="1056"/>
      <c r="BFR120" s="1056"/>
      <c r="BFS120" s="1056"/>
      <c r="BFT120" s="1056"/>
      <c r="BFU120" s="1056"/>
      <c r="BFV120" s="1056"/>
      <c r="BFW120" s="1056"/>
      <c r="BFX120" s="1056"/>
      <c r="BFY120" s="1056"/>
      <c r="BFZ120" s="1056"/>
      <c r="BGA120" s="1056"/>
      <c r="BGB120" s="1056"/>
      <c r="BGC120" s="1056"/>
      <c r="BGD120" s="1056"/>
      <c r="BGE120" s="1056"/>
      <c r="BGF120" s="1056"/>
      <c r="BGG120" s="1056"/>
      <c r="BGH120" s="1056"/>
      <c r="BGI120" s="1056"/>
      <c r="BGJ120" s="1056"/>
      <c r="BGK120" s="1056"/>
      <c r="BGL120" s="1056"/>
      <c r="BGM120" s="1056"/>
      <c r="BGN120" s="1056"/>
      <c r="BGO120" s="1056"/>
      <c r="BGP120" s="1056"/>
      <c r="BGQ120" s="1056"/>
      <c r="BGR120" s="1056"/>
      <c r="BGS120" s="1056"/>
      <c r="BGT120" s="1056"/>
      <c r="BGU120" s="1056"/>
      <c r="BGV120" s="1056"/>
      <c r="BGW120" s="1056"/>
      <c r="BGX120" s="1056"/>
      <c r="BGY120" s="1056"/>
      <c r="BGZ120" s="1056"/>
      <c r="BHA120" s="1056"/>
      <c r="BHB120" s="1056"/>
      <c r="BHC120" s="1056"/>
      <c r="BHD120" s="1056"/>
      <c r="BHE120" s="1056"/>
      <c r="BHF120" s="1056"/>
      <c r="BHG120" s="1056"/>
      <c r="BHH120" s="1056"/>
      <c r="BHI120" s="1056"/>
      <c r="BHJ120" s="1056"/>
      <c r="BHK120" s="1056"/>
      <c r="BHL120" s="1056"/>
      <c r="BHM120" s="1056"/>
      <c r="BHN120" s="1056"/>
      <c r="BHO120" s="1056"/>
      <c r="BHP120" s="1056"/>
      <c r="BHQ120" s="1056"/>
      <c r="BHR120" s="1056"/>
      <c r="BHS120" s="1056"/>
      <c r="BHT120" s="1056"/>
      <c r="BHU120" s="1056"/>
      <c r="BHV120" s="1056"/>
      <c r="BHW120" s="1056"/>
      <c r="BHX120" s="1056"/>
      <c r="BHY120" s="1056"/>
      <c r="BHZ120" s="1056"/>
      <c r="BIA120" s="1056"/>
      <c r="BIB120" s="1056"/>
      <c r="BIC120" s="1056"/>
      <c r="BID120" s="1056"/>
      <c r="BIE120" s="1056"/>
      <c r="BIF120" s="1056"/>
      <c r="BIG120" s="1056"/>
      <c r="BIH120" s="1056"/>
      <c r="BII120" s="1056"/>
      <c r="BIJ120" s="1056"/>
      <c r="BIK120" s="1056"/>
      <c r="BIL120" s="1056"/>
      <c r="BIM120" s="1056"/>
      <c r="BIN120" s="1056"/>
      <c r="BIO120" s="1056"/>
      <c r="BIP120" s="1056"/>
      <c r="BIQ120" s="1056"/>
      <c r="BIR120" s="1056"/>
      <c r="BIS120" s="1056"/>
      <c r="BIT120" s="1056"/>
      <c r="BIU120" s="1056"/>
      <c r="BIV120" s="1056"/>
      <c r="BIW120" s="1056"/>
      <c r="BIX120" s="1056"/>
      <c r="BIY120" s="1056"/>
      <c r="BIZ120" s="1056"/>
      <c r="BJA120" s="1056"/>
      <c r="BJB120" s="1056"/>
      <c r="BJC120" s="1056"/>
      <c r="BJD120" s="1056"/>
      <c r="BJE120" s="1056"/>
      <c r="BJF120" s="1056"/>
      <c r="BJG120" s="1056"/>
      <c r="BJH120" s="1056"/>
      <c r="BJI120" s="1056"/>
      <c r="BJJ120" s="1056"/>
      <c r="BJK120" s="1056"/>
      <c r="BJL120" s="1056"/>
      <c r="BJM120" s="1056"/>
      <c r="BJN120" s="1056"/>
      <c r="BJO120" s="1056"/>
      <c r="BJP120" s="1056"/>
      <c r="BJQ120" s="1056"/>
      <c r="BJR120" s="1056"/>
      <c r="BJS120" s="1056"/>
      <c r="BJT120" s="1056"/>
      <c r="BJU120" s="1056"/>
      <c r="BJV120" s="1056"/>
      <c r="BJW120" s="1056"/>
      <c r="BJX120" s="1056"/>
      <c r="BJY120" s="1056"/>
      <c r="BJZ120" s="1056"/>
      <c r="BKA120" s="1056"/>
      <c r="BKB120" s="1056"/>
      <c r="BKC120" s="1056"/>
      <c r="BKD120" s="1056"/>
      <c r="BKE120" s="1056"/>
      <c r="BKF120" s="1056"/>
      <c r="BKG120" s="1056"/>
      <c r="BKH120" s="1056"/>
      <c r="BKI120" s="1056"/>
      <c r="BKJ120" s="1056"/>
      <c r="BKK120" s="1056"/>
      <c r="BKL120" s="1056"/>
      <c r="BKM120" s="1056"/>
      <c r="BKN120" s="1056"/>
      <c r="BKO120" s="1056"/>
      <c r="BKP120" s="1056"/>
      <c r="BKQ120" s="1056"/>
      <c r="BKR120" s="1056"/>
      <c r="BKS120" s="1056"/>
      <c r="BKT120" s="1056"/>
      <c r="BKU120" s="1056"/>
      <c r="BKV120" s="1056"/>
      <c r="BKW120" s="1056"/>
      <c r="BKX120" s="1056"/>
      <c r="BKY120" s="1056"/>
      <c r="BKZ120" s="1056"/>
      <c r="BLA120" s="1056"/>
      <c r="BLB120" s="1056"/>
      <c r="BLC120" s="1056"/>
      <c r="BLD120" s="1056"/>
      <c r="BLE120" s="1056"/>
      <c r="BLF120" s="1056"/>
      <c r="BLG120" s="1056"/>
      <c r="BLH120" s="1056"/>
      <c r="BLI120" s="1056"/>
      <c r="BLJ120" s="1056"/>
      <c r="BLK120" s="1056"/>
      <c r="BLL120" s="1056"/>
      <c r="BLM120" s="1056"/>
      <c r="BLN120" s="1056"/>
      <c r="BLO120" s="1056"/>
      <c r="BLP120" s="1056"/>
      <c r="BLQ120" s="1056"/>
      <c r="BLR120" s="1056"/>
      <c r="BLS120" s="1056"/>
      <c r="BLT120" s="1056"/>
      <c r="BLU120" s="1056"/>
      <c r="BLV120" s="1056"/>
      <c r="BLW120" s="1056"/>
      <c r="BLX120" s="1056"/>
      <c r="BLY120" s="1056"/>
      <c r="BLZ120" s="1056"/>
      <c r="BMA120" s="1056"/>
      <c r="BMB120" s="1056"/>
      <c r="BMC120" s="1056"/>
      <c r="BMD120" s="1056"/>
      <c r="BME120" s="1056"/>
      <c r="BMF120" s="1056"/>
      <c r="BMG120" s="1056"/>
      <c r="BMH120" s="1056"/>
      <c r="BMI120" s="1056"/>
      <c r="BMJ120" s="1056"/>
      <c r="BMK120" s="1056"/>
      <c r="BML120" s="1056"/>
      <c r="BMM120" s="1056"/>
      <c r="BMN120" s="1056"/>
      <c r="BMO120" s="1056"/>
      <c r="BMP120" s="1056"/>
      <c r="BMQ120" s="1056"/>
      <c r="BMR120" s="1056"/>
      <c r="BMS120" s="1056"/>
      <c r="BMT120" s="1056"/>
      <c r="BMU120" s="1056"/>
      <c r="BMV120" s="1056"/>
      <c r="BMW120" s="1056"/>
      <c r="BMX120" s="1056"/>
      <c r="BMY120" s="1056"/>
      <c r="BMZ120" s="1056"/>
      <c r="BNA120" s="1056"/>
      <c r="BNB120" s="1056"/>
      <c r="BNC120" s="1056"/>
      <c r="BND120" s="1056"/>
      <c r="BNE120" s="1056"/>
      <c r="BNF120" s="1056"/>
      <c r="BNG120" s="1056"/>
      <c r="BNH120" s="1056"/>
      <c r="BNI120" s="1056"/>
      <c r="BNJ120" s="1056"/>
      <c r="BNK120" s="1056"/>
      <c r="BNL120" s="1056"/>
      <c r="BNM120" s="1056"/>
      <c r="BNN120" s="1056"/>
      <c r="BNO120" s="1056"/>
      <c r="BNP120" s="1056"/>
      <c r="BNQ120" s="1056"/>
      <c r="BNR120" s="1056"/>
      <c r="BNS120" s="1056"/>
      <c r="BNT120" s="1056"/>
      <c r="BNU120" s="1056"/>
      <c r="BNV120" s="1056"/>
      <c r="BNW120" s="1056"/>
      <c r="BNX120" s="1056"/>
      <c r="BNY120" s="1056"/>
      <c r="BNZ120" s="1056"/>
      <c r="BOA120" s="1056"/>
      <c r="BOB120" s="1056"/>
      <c r="BOC120" s="1056"/>
      <c r="BOD120" s="1056"/>
      <c r="BOE120" s="1056"/>
      <c r="BOF120" s="1056"/>
      <c r="BOG120" s="1056"/>
      <c r="BOH120" s="1056"/>
      <c r="BOI120" s="1056"/>
      <c r="BOJ120" s="1056"/>
      <c r="BOK120" s="1056"/>
      <c r="BOL120" s="1056"/>
      <c r="BOM120" s="1056"/>
      <c r="BON120" s="1056"/>
      <c r="BOO120" s="1056"/>
      <c r="BOP120" s="1056"/>
      <c r="BOQ120" s="1056"/>
      <c r="BOR120" s="1056"/>
      <c r="BOS120" s="1056"/>
      <c r="BOT120" s="1056"/>
      <c r="BOU120" s="1056"/>
      <c r="BOV120" s="1056"/>
      <c r="BOW120" s="1056"/>
      <c r="BOX120" s="1056"/>
      <c r="BOY120" s="1056"/>
      <c r="BOZ120" s="1056"/>
      <c r="BPA120" s="1056"/>
      <c r="BPB120" s="1056"/>
      <c r="BPC120" s="1056"/>
      <c r="BPD120" s="1056"/>
      <c r="BPE120" s="1056"/>
      <c r="BPF120" s="1056"/>
      <c r="BPG120" s="1056"/>
      <c r="BPH120" s="1056"/>
      <c r="BPI120" s="1056"/>
      <c r="BPJ120" s="1056"/>
      <c r="BPK120" s="1056"/>
      <c r="BPL120" s="1056"/>
      <c r="BPM120" s="1056"/>
      <c r="BPN120" s="1056"/>
      <c r="BPO120" s="1056"/>
      <c r="BPP120" s="1056"/>
      <c r="BPQ120" s="1056"/>
      <c r="BPR120" s="1056"/>
      <c r="BPS120" s="1056"/>
      <c r="BPT120" s="1056"/>
      <c r="BPU120" s="1056"/>
      <c r="BPV120" s="1056"/>
      <c r="BPW120" s="1056"/>
      <c r="BPX120" s="1056"/>
      <c r="BPY120" s="1056"/>
      <c r="BPZ120" s="1056"/>
      <c r="BQA120" s="1056"/>
      <c r="BQB120" s="1056"/>
      <c r="BQC120" s="1056"/>
      <c r="BQD120" s="1056"/>
      <c r="BQE120" s="1056"/>
      <c r="BQF120" s="1056"/>
      <c r="BQG120" s="1056"/>
      <c r="BQH120" s="1056"/>
      <c r="BQI120" s="1056"/>
      <c r="BQJ120" s="1056"/>
      <c r="BQK120" s="1056"/>
      <c r="BQL120" s="1056"/>
      <c r="BQM120" s="1056"/>
      <c r="BQN120" s="1056"/>
      <c r="BQO120" s="1056"/>
      <c r="BQP120" s="1056"/>
      <c r="BQQ120" s="1056"/>
      <c r="BQR120" s="1056"/>
      <c r="BQS120" s="1056"/>
      <c r="BQT120" s="1056"/>
      <c r="BQU120" s="1056"/>
      <c r="BQV120" s="1056"/>
      <c r="BQW120" s="1056"/>
      <c r="BQX120" s="1056"/>
      <c r="BQY120" s="1056"/>
      <c r="BQZ120" s="1056"/>
      <c r="BRA120" s="1056"/>
      <c r="BRB120" s="1056"/>
      <c r="BRC120" s="1056"/>
      <c r="BRD120" s="1056"/>
      <c r="BRE120" s="1056"/>
      <c r="BRF120" s="1056"/>
      <c r="BRG120" s="1056"/>
      <c r="BRH120" s="1056"/>
      <c r="BRI120" s="1056"/>
      <c r="BRJ120" s="1056"/>
      <c r="BRK120" s="1056"/>
      <c r="BRL120" s="1056"/>
      <c r="BRM120" s="1056"/>
      <c r="BRN120" s="1056"/>
      <c r="BRO120" s="1056"/>
      <c r="BRP120" s="1056"/>
      <c r="BRQ120" s="1056"/>
      <c r="BRR120" s="1056"/>
      <c r="BRS120" s="1056"/>
      <c r="BRT120" s="1056"/>
      <c r="BRU120" s="1056"/>
      <c r="BRV120" s="1056"/>
      <c r="BRW120" s="1056"/>
      <c r="BRX120" s="1056"/>
      <c r="BRY120" s="1056"/>
      <c r="BRZ120" s="1056"/>
      <c r="BSA120" s="1056"/>
      <c r="BSB120" s="1056"/>
      <c r="BSC120" s="1056"/>
      <c r="BSD120" s="1056"/>
      <c r="BSE120" s="1056"/>
      <c r="BSF120" s="1056"/>
      <c r="BSG120" s="1056"/>
      <c r="BSH120" s="1056"/>
      <c r="BSI120" s="1056"/>
      <c r="BSJ120" s="1056"/>
      <c r="BSK120" s="1056"/>
      <c r="BSL120" s="1056"/>
      <c r="BSM120" s="1056"/>
      <c r="BSN120" s="1056"/>
      <c r="BSO120" s="1056"/>
      <c r="BSP120" s="1056"/>
      <c r="BSQ120" s="1056"/>
      <c r="BSR120" s="1056"/>
      <c r="BSS120" s="1056"/>
      <c r="BST120" s="1056"/>
      <c r="BSU120" s="1056"/>
      <c r="BSV120" s="1056"/>
      <c r="BSW120" s="1056"/>
      <c r="BSX120" s="1056"/>
      <c r="BSY120" s="1056"/>
      <c r="BSZ120" s="1056"/>
      <c r="BTA120" s="1056"/>
      <c r="BTB120" s="1056"/>
      <c r="BTC120" s="1056"/>
      <c r="BTD120" s="1056"/>
      <c r="BTE120" s="1056"/>
      <c r="BTF120" s="1056"/>
      <c r="BTG120" s="1056"/>
      <c r="BTH120" s="1056"/>
      <c r="BTI120" s="1056"/>
    </row>
    <row r="121" spans="1:1881" s="1060" customFormat="1" hidden="1" x14ac:dyDescent="0.3">
      <c r="A121" s="1076"/>
      <c r="B121" s="1077"/>
      <c r="C121" s="1077"/>
      <c r="E121" s="1053"/>
      <c r="G121" s="1078"/>
      <c r="H121" s="1051"/>
      <c r="J121" s="1056"/>
      <c r="K121" s="1056"/>
      <c r="L121" s="1056"/>
      <c r="M121" s="1056"/>
      <c r="N121" s="1058"/>
      <c r="O121" s="1056"/>
      <c r="P121" s="1056"/>
      <c r="Q121" s="1056"/>
      <c r="R121" s="1056"/>
      <c r="S121" s="1056"/>
      <c r="T121" s="1056"/>
      <c r="U121" s="1056"/>
      <c r="V121" s="1056"/>
      <c r="W121" s="1056"/>
      <c r="X121" s="1056"/>
      <c r="Y121" s="1056"/>
      <c r="Z121" s="1056"/>
      <c r="AA121" s="1056"/>
      <c r="AB121" s="1056"/>
      <c r="AC121" s="1056"/>
      <c r="AD121" s="1056"/>
      <c r="AE121" s="1056"/>
      <c r="AF121" s="1056"/>
      <c r="AG121" s="1056"/>
      <c r="AH121" s="1056"/>
      <c r="AI121" s="1056"/>
      <c r="AJ121" s="1056"/>
      <c r="AK121" s="1056"/>
      <c r="AL121" s="1056"/>
      <c r="AM121" s="1056"/>
      <c r="AN121" s="1056"/>
      <c r="AO121" s="1056"/>
      <c r="AP121" s="1056"/>
      <c r="AQ121" s="1056"/>
      <c r="AR121" s="1056"/>
      <c r="AS121" s="1056"/>
      <c r="AT121" s="1056"/>
      <c r="AU121" s="1056"/>
      <c r="AV121" s="1056"/>
      <c r="AW121" s="1056"/>
      <c r="AX121" s="1056"/>
      <c r="AY121" s="1056"/>
      <c r="AZ121" s="1056"/>
      <c r="BA121" s="1056"/>
      <c r="BB121" s="1056"/>
      <c r="BC121" s="1056"/>
      <c r="BD121" s="1056"/>
      <c r="BE121" s="1056"/>
      <c r="BF121" s="1056"/>
      <c r="BG121" s="1056"/>
      <c r="BH121" s="1056"/>
      <c r="BI121" s="1056"/>
      <c r="BJ121" s="1056"/>
      <c r="BK121" s="1056"/>
      <c r="BL121" s="1056"/>
      <c r="BM121" s="1056"/>
      <c r="BN121" s="1056"/>
      <c r="BO121" s="1056"/>
      <c r="BP121" s="1056"/>
      <c r="BQ121" s="1056"/>
      <c r="BR121" s="1056"/>
      <c r="BS121" s="1056"/>
      <c r="BT121" s="1056"/>
      <c r="BU121" s="1056"/>
      <c r="BV121" s="1056"/>
      <c r="BW121" s="1056"/>
      <c r="BX121" s="1056"/>
      <c r="BY121" s="1056"/>
      <c r="BZ121" s="1056"/>
      <c r="CA121" s="1056"/>
      <c r="CB121" s="1056"/>
      <c r="CC121" s="1056"/>
      <c r="CD121" s="1056"/>
      <c r="CE121" s="1056"/>
      <c r="CF121" s="1056"/>
      <c r="CG121" s="1056"/>
      <c r="CH121" s="1056"/>
      <c r="CI121" s="1056"/>
      <c r="CJ121" s="1056"/>
      <c r="CK121" s="1056"/>
      <c r="CL121" s="1056"/>
      <c r="CM121" s="1056"/>
      <c r="CN121" s="1056"/>
      <c r="CO121" s="1056"/>
      <c r="CP121" s="1056"/>
      <c r="CQ121" s="1056"/>
      <c r="CR121" s="1056"/>
      <c r="CS121" s="1056"/>
      <c r="CT121" s="1056"/>
      <c r="CU121" s="1056"/>
      <c r="CV121" s="1056"/>
      <c r="CW121" s="1056"/>
      <c r="CX121" s="1056"/>
      <c r="CY121" s="1056"/>
      <c r="CZ121" s="1056"/>
      <c r="DA121" s="1056"/>
      <c r="DB121" s="1056"/>
      <c r="DC121" s="1056"/>
      <c r="DD121" s="1056"/>
      <c r="DE121" s="1056"/>
      <c r="DF121" s="1056"/>
      <c r="DG121" s="1056"/>
      <c r="DH121" s="1056"/>
      <c r="DI121" s="1056"/>
      <c r="DJ121" s="1056"/>
      <c r="DK121" s="1056"/>
      <c r="DL121" s="1056"/>
      <c r="DM121" s="1056"/>
      <c r="DN121" s="1056"/>
      <c r="DO121" s="1056"/>
      <c r="DP121" s="1056"/>
      <c r="DQ121" s="1056"/>
      <c r="DR121" s="1056"/>
      <c r="DS121" s="1056"/>
      <c r="DT121" s="1056"/>
      <c r="DU121" s="1056"/>
      <c r="DV121" s="1056"/>
      <c r="DW121" s="1056"/>
      <c r="DX121" s="1056"/>
      <c r="DY121" s="1056"/>
      <c r="DZ121" s="1056"/>
      <c r="EA121" s="1056"/>
      <c r="EB121" s="1056"/>
      <c r="EC121" s="1056"/>
      <c r="ED121" s="1056"/>
      <c r="EE121" s="1056"/>
      <c r="EF121" s="1056"/>
      <c r="EG121" s="1056"/>
      <c r="EH121" s="1056"/>
      <c r="EI121" s="1056"/>
      <c r="EJ121" s="1056"/>
      <c r="EK121" s="1056"/>
      <c r="EL121" s="1056"/>
      <c r="EM121" s="1056"/>
      <c r="EN121" s="1056"/>
      <c r="EO121" s="1056"/>
      <c r="EP121" s="1056"/>
      <c r="EQ121" s="1056"/>
      <c r="ER121" s="1056"/>
      <c r="ES121" s="1056"/>
      <c r="ET121" s="1056"/>
      <c r="EU121" s="1056"/>
      <c r="EV121" s="1056"/>
      <c r="EW121" s="1056"/>
      <c r="EX121" s="1056"/>
      <c r="EY121" s="1056"/>
      <c r="EZ121" s="1056"/>
      <c r="FA121" s="1056"/>
      <c r="FB121" s="1056"/>
      <c r="FC121" s="1056"/>
      <c r="FD121" s="1056"/>
      <c r="FE121" s="1056"/>
      <c r="FF121" s="1056"/>
      <c r="FG121" s="1056"/>
      <c r="FH121" s="1056"/>
      <c r="FI121" s="1056"/>
      <c r="FJ121" s="1056"/>
      <c r="FK121" s="1056"/>
      <c r="FL121" s="1056"/>
      <c r="FM121" s="1056"/>
      <c r="FN121" s="1056"/>
      <c r="FO121" s="1056"/>
      <c r="FP121" s="1056"/>
      <c r="FQ121" s="1056"/>
      <c r="FR121" s="1056"/>
      <c r="FS121" s="1056"/>
      <c r="FT121" s="1056"/>
      <c r="FU121" s="1056"/>
      <c r="FV121" s="1056"/>
      <c r="FW121" s="1056"/>
      <c r="FX121" s="1056"/>
      <c r="FY121" s="1056"/>
      <c r="FZ121" s="1056"/>
      <c r="GA121" s="1056"/>
      <c r="GB121" s="1056"/>
      <c r="GC121" s="1056"/>
      <c r="GD121" s="1056"/>
      <c r="GE121" s="1056"/>
      <c r="GF121" s="1056"/>
      <c r="GG121" s="1056"/>
      <c r="GH121" s="1056"/>
      <c r="GI121" s="1056"/>
      <c r="GJ121" s="1056"/>
      <c r="GK121" s="1056"/>
      <c r="GL121" s="1056"/>
      <c r="GM121" s="1056"/>
      <c r="GN121" s="1056"/>
      <c r="GO121" s="1056"/>
      <c r="GP121" s="1056"/>
      <c r="GQ121" s="1056"/>
      <c r="GR121" s="1056"/>
      <c r="GS121" s="1056"/>
      <c r="GT121" s="1056"/>
      <c r="GU121" s="1056"/>
      <c r="GV121" s="1056"/>
      <c r="GW121" s="1056"/>
      <c r="GX121" s="1056"/>
      <c r="GY121" s="1056"/>
      <c r="GZ121" s="1056"/>
      <c r="HA121" s="1056"/>
      <c r="HB121" s="1056"/>
      <c r="HC121" s="1056"/>
      <c r="HD121" s="1056"/>
      <c r="HE121" s="1056"/>
      <c r="HF121" s="1056"/>
      <c r="HG121" s="1056"/>
      <c r="HH121" s="1056"/>
      <c r="HI121" s="1056"/>
      <c r="HJ121" s="1056"/>
      <c r="HK121" s="1056"/>
      <c r="HL121" s="1056"/>
      <c r="HM121" s="1056"/>
      <c r="HN121" s="1056"/>
      <c r="HO121" s="1056"/>
      <c r="HP121" s="1056"/>
      <c r="HQ121" s="1056"/>
      <c r="HR121" s="1056"/>
      <c r="HS121" s="1056"/>
      <c r="HT121" s="1056"/>
      <c r="HU121" s="1056"/>
      <c r="HV121" s="1056"/>
      <c r="HW121" s="1056"/>
      <c r="HX121" s="1056"/>
      <c r="HY121" s="1056"/>
      <c r="HZ121" s="1056"/>
      <c r="IA121" s="1056"/>
      <c r="IB121" s="1056"/>
      <c r="IC121" s="1056"/>
      <c r="ID121" s="1056"/>
      <c r="IE121" s="1056"/>
      <c r="IF121" s="1056"/>
      <c r="IG121" s="1056"/>
      <c r="IH121" s="1056"/>
      <c r="II121" s="1056"/>
      <c r="IJ121" s="1056"/>
      <c r="IK121" s="1056"/>
      <c r="IL121" s="1056"/>
      <c r="IM121" s="1056"/>
      <c r="IN121" s="1056"/>
      <c r="IO121" s="1056"/>
      <c r="IP121" s="1056"/>
      <c r="IQ121" s="1056"/>
      <c r="IR121" s="1056"/>
      <c r="IS121" s="1056"/>
      <c r="IT121" s="1056"/>
      <c r="IU121" s="1056"/>
      <c r="IV121" s="1056"/>
      <c r="IW121" s="1056"/>
      <c r="IX121" s="1056"/>
      <c r="IY121" s="1056"/>
      <c r="IZ121" s="1056"/>
      <c r="JA121" s="1056"/>
      <c r="JB121" s="1056"/>
      <c r="JC121" s="1056"/>
      <c r="JD121" s="1056"/>
      <c r="JE121" s="1056"/>
      <c r="JF121" s="1056"/>
      <c r="JG121" s="1056"/>
      <c r="JH121" s="1056"/>
      <c r="JI121" s="1056"/>
      <c r="JJ121" s="1056"/>
      <c r="JK121" s="1056"/>
      <c r="JL121" s="1056"/>
      <c r="JM121" s="1056"/>
      <c r="JN121" s="1056"/>
      <c r="JO121" s="1056"/>
      <c r="JP121" s="1056"/>
      <c r="JQ121" s="1056"/>
      <c r="JR121" s="1056"/>
      <c r="JS121" s="1056"/>
      <c r="JT121" s="1056"/>
      <c r="JU121" s="1056"/>
      <c r="JV121" s="1056"/>
      <c r="JW121" s="1056"/>
      <c r="JX121" s="1056"/>
      <c r="JY121" s="1056"/>
      <c r="JZ121" s="1056"/>
      <c r="KA121" s="1056"/>
      <c r="KB121" s="1056"/>
      <c r="KC121" s="1056"/>
      <c r="KD121" s="1056"/>
      <c r="KE121" s="1056"/>
      <c r="KF121" s="1056"/>
      <c r="KG121" s="1056"/>
      <c r="KH121" s="1056"/>
      <c r="KI121" s="1056"/>
      <c r="KJ121" s="1056"/>
      <c r="KK121" s="1056"/>
      <c r="KL121" s="1056"/>
      <c r="KM121" s="1056"/>
      <c r="KN121" s="1056"/>
      <c r="KO121" s="1056"/>
      <c r="KP121" s="1056"/>
      <c r="KQ121" s="1056"/>
      <c r="KR121" s="1056"/>
      <c r="KS121" s="1056"/>
      <c r="KT121" s="1056"/>
      <c r="KU121" s="1056"/>
      <c r="KV121" s="1056"/>
      <c r="KW121" s="1056"/>
      <c r="KX121" s="1056"/>
      <c r="KY121" s="1056"/>
      <c r="KZ121" s="1056"/>
      <c r="LA121" s="1056"/>
      <c r="LB121" s="1056"/>
      <c r="LC121" s="1056"/>
      <c r="LD121" s="1056"/>
      <c r="LE121" s="1056"/>
      <c r="LF121" s="1056"/>
      <c r="LG121" s="1056"/>
      <c r="LH121" s="1056"/>
      <c r="LI121" s="1056"/>
      <c r="LJ121" s="1056"/>
      <c r="LK121" s="1056"/>
      <c r="LL121" s="1056"/>
      <c r="LM121" s="1056"/>
      <c r="LN121" s="1056"/>
      <c r="LO121" s="1056"/>
      <c r="LP121" s="1056"/>
      <c r="LQ121" s="1056"/>
      <c r="LR121" s="1056"/>
      <c r="LS121" s="1056"/>
      <c r="LT121" s="1056"/>
      <c r="LU121" s="1056"/>
      <c r="LV121" s="1056"/>
      <c r="LW121" s="1056"/>
      <c r="LX121" s="1056"/>
      <c r="LY121" s="1056"/>
      <c r="LZ121" s="1056"/>
      <c r="MA121" s="1056"/>
      <c r="MB121" s="1056"/>
      <c r="MC121" s="1056"/>
      <c r="MD121" s="1056"/>
      <c r="ME121" s="1056"/>
      <c r="MF121" s="1056"/>
      <c r="MG121" s="1056"/>
      <c r="MH121" s="1056"/>
      <c r="MI121" s="1056"/>
      <c r="MJ121" s="1056"/>
      <c r="MK121" s="1056"/>
      <c r="ML121" s="1056"/>
      <c r="MM121" s="1056"/>
      <c r="MN121" s="1056"/>
      <c r="MO121" s="1056"/>
      <c r="MP121" s="1056"/>
      <c r="MQ121" s="1056"/>
      <c r="MR121" s="1056"/>
      <c r="MS121" s="1056"/>
      <c r="MT121" s="1056"/>
      <c r="MU121" s="1056"/>
      <c r="MV121" s="1056"/>
      <c r="MW121" s="1056"/>
      <c r="MX121" s="1056"/>
      <c r="MY121" s="1056"/>
      <c r="MZ121" s="1056"/>
      <c r="NA121" s="1056"/>
      <c r="NB121" s="1056"/>
      <c r="NC121" s="1056"/>
      <c r="ND121" s="1056"/>
      <c r="NE121" s="1056"/>
      <c r="NF121" s="1056"/>
      <c r="NG121" s="1056"/>
      <c r="NH121" s="1056"/>
      <c r="NI121" s="1056"/>
      <c r="NJ121" s="1056"/>
      <c r="NK121" s="1056"/>
      <c r="NL121" s="1056"/>
      <c r="NM121" s="1056"/>
      <c r="NN121" s="1056"/>
      <c r="NO121" s="1056"/>
      <c r="NP121" s="1056"/>
      <c r="NQ121" s="1056"/>
      <c r="NR121" s="1056"/>
      <c r="NS121" s="1056"/>
      <c r="NT121" s="1056"/>
      <c r="NU121" s="1056"/>
      <c r="NV121" s="1056"/>
      <c r="NW121" s="1056"/>
      <c r="NX121" s="1056"/>
      <c r="NY121" s="1056"/>
      <c r="NZ121" s="1056"/>
      <c r="OA121" s="1056"/>
      <c r="OB121" s="1056"/>
      <c r="OC121" s="1056"/>
      <c r="OD121" s="1056"/>
      <c r="OE121" s="1056"/>
      <c r="OF121" s="1056"/>
      <c r="OG121" s="1056"/>
      <c r="OH121" s="1056"/>
      <c r="OI121" s="1056"/>
      <c r="OJ121" s="1056"/>
      <c r="OK121" s="1056"/>
      <c r="OL121" s="1056"/>
      <c r="OM121" s="1056"/>
      <c r="ON121" s="1056"/>
      <c r="OO121" s="1056"/>
      <c r="OP121" s="1056"/>
      <c r="OQ121" s="1056"/>
      <c r="OR121" s="1056"/>
      <c r="OS121" s="1056"/>
      <c r="OT121" s="1056"/>
      <c r="OU121" s="1056"/>
      <c r="OV121" s="1056"/>
      <c r="OW121" s="1056"/>
      <c r="OX121" s="1056"/>
      <c r="OY121" s="1056"/>
      <c r="OZ121" s="1056"/>
      <c r="PA121" s="1056"/>
      <c r="PB121" s="1056"/>
      <c r="PC121" s="1056"/>
      <c r="PD121" s="1056"/>
      <c r="PE121" s="1056"/>
      <c r="PF121" s="1056"/>
      <c r="PG121" s="1056"/>
      <c r="PH121" s="1056"/>
      <c r="PI121" s="1056"/>
      <c r="PJ121" s="1056"/>
      <c r="PK121" s="1056"/>
      <c r="PL121" s="1056"/>
      <c r="PM121" s="1056"/>
      <c r="PN121" s="1056"/>
      <c r="PO121" s="1056"/>
      <c r="PP121" s="1056"/>
      <c r="PQ121" s="1056"/>
      <c r="PR121" s="1056"/>
      <c r="PS121" s="1056"/>
      <c r="PT121" s="1056"/>
      <c r="PU121" s="1056"/>
      <c r="PV121" s="1056"/>
      <c r="PW121" s="1056"/>
      <c r="PX121" s="1056"/>
      <c r="PY121" s="1056"/>
      <c r="PZ121" s="1056"/>
      <c r="QA121" s="1056"/>
      <c r="QB121" s="1056"/>
      <c r="QC121" s="1056"/>
      <c r="QD121" s="1056"/>
      <c r="QE121" s="1056"/>
      <c r="QF121" s="1056"/>
      <c r="QG121" s="1056"/>
      <c r="QH121" s="1056"/>
      <c r="QI121" s="1056"/>
      <c r="QJ121" s="1056"/>
      <c r="QK121" s="1056"/>
      <c r="QL121" s="1056"/>
      <c r="QM121" s="1056"/>
      <c r="QN121" s="1056"/>
      <c r="QO121" s="1056"/>
      <c r="QP121" s="1056"/>
      <c r="QQ121" s="1056"/>
      <c r="QR121" s="1056"/>
      <c r="QS121" s="1056"/>
      <c r="QT121" s="1056"/>
      <c r="QU121" s="1056"/>
      <c r="QV121" s="1056"/>
      <c r="QW121" s="1056"/>
      <c r="QX121" s="1056"/>
      <c r="QY121" s="1056"/>
      <c r="QZ121" s="1056"/>
      <c r="RA121" s="1056"/>
      <c r="RB121" s="1056"/>
      <c r="RC121" s="1056"/>
      <c r="RD121" s="1056"/>
      <c r="RE121" s="1056"/>
      <c r="RF121" s="1056"/>
      <c r="RG121" s="1056"/>
      <c r="RH121" s="1056"/>
      <c r="RI121" s="1056"/>
      <c r="RJ121" s="1056"/>
      <c r="RK121" s="1056"/>
      <c r="RL121" s="1056"/>
      <c r="RM121" s="1056"/>
      <c r="RN121" s="1056"/>
      <c r="RO121" s="1056"/>
      <c r="RP121" s="1056"/>
      <c r="RQ121" s="1056"/>
      <c r="RR121" s="1056"/>
      <c r="RS121" s="1056"/>
      <c r="RT121" s="1056"/>
      <c r="RU121" s="1056"/>
      <c r="RV121" s="1056"/>
      <c r="RW121" s="1056"/>
      <c r="RX121" s="1056"/>
      <c r="RY121" s="1056"/>
      <c r="RZ121" s="1056"/>
      <c r="SA121" s="1056"/>
      <c r="SB121" s="1056"/>
      <c r="SC121" s="1056"/>
      <c r="SD121" s="1056"/>
      <c r="SE121" s="1056"/>
      <c r="SF121" s="1056"/>
      <c r="SG121" s="1056"/>
      <c r="SH121" s="1056"/>
      <c r="SI121" s="1056"/>
      <c r="SJ121" s="1056"/>
      <c r="SK121" s="1056"/>
      <c r="SL121" s="1056"/>
      <c r="SM121" s="1056"/>
      <c r="SN121" s="1056"/>
      <c r="SO121" s="1056"/>
      <c r="SP121" s="1056"/>
      <c r="SQ121" s="1056"/>
      <c r="SR121" s="1056"/>
      <c r="SS121" s="1056"/>
      <c r="ST121" s="1056"/>
      <c r="SU121" s="1056"/>
      <c r="SV121" s="1056"/>
      <c r="SW121" s="1056"/>
      <c r="SX121" s="1056"/>
      <c r="SY121" s="1056"/>
      <c r="SZ121" s="1056"/>
      <c r="TA121" s="1056"/>
      <c r="TB121" s="1056"/>
      <c r="TC121" s="1056"/>
      <c r="TD121" s="1056"/>
      <c r="TE121" s="1056"/>
      <c r="TF121" s="1056"/>
      <c r="TG121" s="1056"/>
      <c r="TH121" s="1056"/>
      <c r="TI121" s="1056"/>
      <c r="TJ121" s="1056"/>
      <c r="TK121" s="1056"/>
      <c r="TL121" s="1056"/>
      <c r="TM121" s="1056"/>
      <c r="TN121" s="1056"/>
      <c r="TO121" s="1056"/>
      <c r="TP121" s="1056"/>
      <c r="TQ121" s="1056"/>
      <c r="TR121" s="1056"/>
      <c r="TS121" s="1056"/>
      <c r="TT121" s="1056"/>
      <c r="TU121" s="1056"/>
      <c r="TV121" s="1056"/>
      <c r="TW121" s="1056"/>
      <c r="TX121" s="1056"/>
      <c r="TY121" s="1056"/>
      <c r="TZ121" s="1056"/>
      <c r="UA121" s="1056"/>
      <c r="UB121" s="1056"/>
      <c r="UC121" s="1056"/>
      <c r="UD121" s="1056"/>
      <c r="UE121" s="1056"/>
      <c r="UF121" s="1056"/>
      <c r="UG121" s="1056"/>
      <c r="UH121" s="1056"/>
      <c r="UI121" s="1056"/>
      <c r="UJ121" s="1056"/>
      <c r="UK121" s="1056"/>
      <c r="UL121" s="1056"/>
      <c r="UM121" s="1056"/>
      <c r="UN121" s="1056"/>
      <c r="UO121" s="1056"/>
      <c r="UP121" s="1056"/>
      <c r="UQ121" s="1056"/>
      <c r="UR121" s="1056"/>
      <c r="US121" s="1056"/>
      <c r="UT121" s="1056"/>
      <c r="UU121" s="1056"/>
      <c r="UV121" s="1056"/>
      <c r="UW121" s="1056"/>
      <c r="UX121" s="1056"/>
      <c r="UY121" s="1056"/>
      <c r="UZ121" s="1056"/>
      <c r="VA121" s="1056"/>
      <c r="VB121" s="1056"/>
      <c r="VC121" s="1056"/>
      <c r="VD121" s="1056"/>
      <c r="VE121" s="1056"/>
      <c r="VF121" s="1056"/>
      <c r="VG121" s="1056"/>
      <c r="VH121" s="1056"/>
      <c r="VI121" s="1056"/>
      <c r="VJ121" s="1056"/>
      <c r="VK121" s="1056"/>
      <c r="VL121" s="1056"/>
      <c r="VM121" s="1056"/>
      <c r="VN121" s="1056"/>
      <c r="VO121" s="1056"/>
      <c r="VP121" s="1056"/>
      <c r="VQ121" s="1056"/>
      <c r="VR121" s="1056"/>
      <c r="VS121" s="1056"/>
      <c r="VT121" s="1056"/>
      <c r="VU121" s="1056"/>
      <c r="VV121" s="1056"/>
      <c r="VW121" s="1056"/>
      <c r="VX121" s="1056"/>
      <c r="VY121" s="1056"/>
      <c r="VZ121" s="1056"/>
      <c r="WA121" s="1056"/>
      <c r="WB121" s="1056"/>
      <c r="WC121" s="1056"/>
      <c r="WD121" s="1056"/>
      <c r="WE121" s="1056"/>
      <c r="WF121" s="1056"/>
      <c r="WG121" s="1056"/>
      <c r="WH121" s="1056"/>
      <c r="WI121" s="1056"/>
      <c r="WJ121" s="1056"/>
      <c r="WK121" s="1056"/>
      <c r="WL121" s="1056"/>
      <c r="WM121" s="1056"/>
      <c r="WN121" s="1056"/>
      <c r="WO121" s="1056"/>
      <c r="WP121" s="1056"/>
      <c r="WQ121" s="1056"/>
      <c r="WR121" s="1056"/>
      <c r="WS121" s="1056"/>
      <c r="WT121" s="1056"/>
      <c r="WU121" s="1056"/>
      <c r="WV121" s="1056"/>
      <c r="WW121" s="1056"/>
      <c r="WX121" s="1056"/>
      <c r="WY121" s="1056"/>
      <c r="WZ121" s="1056"/>
      <c r="XA121" s="1056"/>
      <c r="XB121" s="1056"/>
      <c r="XC121" s="1056"/>
      <c r="XD121" s="1056"/>
      <c r="XE121" s="1056"/>
      <c r="XF121" s="1056"/>
      <c r="XG121" s="1056"/>
      <c r="XH121" s="1056"/>
      <c r="XI121" s="1056"/>
      <c r="XJ121" s="1056"/>
      <c r="XK121" s="1056"/>
      <c r="XL121" s="1056"/>
      <c r="XM121" s="1056"/>
      <c r="XN121" s="1056"/>
      <c r="XO121" s="1056"/>
      <c r="XP121" s="1056"/>
      <c r="XQ121" s="1056"/>
      <c r="XR121" s="1056"/>
      <c r="XS121" s="1056"/>
      <c r="XT121" s="1056"/>
      <c r="XU121" s="1056"/>
      <c r="XV121" s="1056"/>
      <c r="XW121" s="1056"/>
      <c r="XX121" s="1056"/>
      <c r="XY121" s="1056"/>
      <c r="XZ121" s="1056"/>
      <c r="YA121" s="1056"/>
      <c r="YB121" s="1056"/>
      <c r="YC121" s="1056"/>
      <c r="YD121" s="1056"/>
      <c r="YE121" s="1056"/>
      <c r="YF121" s="1056"/>
      <c r="YG121" s="1056"/>
      <c r="YH121" s="1056"/>
      <c r="YI121" s="1056"/>
      <c r="YJ121" s="1056"/>
      <c r="YK121" s="1056"/>
      <c r="YL121" s="1056"/>
      <c r="YM121" s="1056"/>
      <c r="YN121" s="1056"/>
      <c r="YO121" s="1056"/>
      <c r="YP121" s="1056"/>
      <c r="YQ121" s="1056"/>
      <c r="YR121" s="1056"/>
      <c r="YS121" s="1056"/>
      <c r="YT121" s="1056"/>
      <c r="YU121" s="1056"/>
      <c r="YV121" s="1056"/>
      <c r="YW121" s="1056"/>
      <c r="YX121" s="1056"/>
      <c r="YY121" s="1056"/>
      <c r="YZ121" s="1056"/>
      <c r="ZA121" s="1056"/>
      <c r="ZB121" s="1056"/>
      <c r="ZC121" s="1056"/>
      <c r="ZD121" s="1056"/>
      <c r="ZE121" s="1056"/>
      <c r="ZF121" s="1056"/>
      <c r="ZG121" s="1056"/>
      <c r="ZH121" s="1056"/>
      <c r="ZI121" s="1056"/>
      <c r="ZJ121" s="1056"/>
      <c r="ZK121" s="1056"/>
      <c r="ZL121" s="1056"/>
      <c r="ZM121" s="1056"/>
      <c r="ZN121" s="1056"/>
      <c r="ZO121" s="1056"/>
      <c r="ZP121" s="1056"/>
      <c r="ZQ121" s="1056"/>
      <c r="ZR121" s="1056"/>
      <c r="ZS121" s="1056"/>
      <c r="ZT121" s="1056"/>
      <c r="ZU121" s="1056"/>
      <c r="ZV121" s="1056"/>
      <c r="ZW121" s="1056"/>
      <c r="ZX121" s="1056"/>
      <c r="ZY121" s="1056"/>
      <c r="ZZ121" s="1056"/>
      <c r="AAA121" s="1056"/>
      <c r="AAB121" s="1056"/>
      <c r="AAC121" s="1056"/>
      <c r="AAD121" s="1056"/>
      <c r="AAE121" s="1056"/>
      <c r="AAF121" s="1056"/>
      <c r="AAG121" s="1056"/>
      <c r="AAH121" s="1056"/>
      <c r="AAI121" s="1056"/>
      <c r="AAJ121" s="1056"/>
      <c r="AAK121" s="1056"/>
      <c r="AAL121" s="1056"/>
      <c r="AAM121" s="1056"/>
      <c r="AAN121" s="1056"/>
      <c r="AAO121" s="1056"/>
      <c r="AAP121" s="1056"/>
      <c r="AAQ121" s="1056"/>
      <c r="AAR121" s="1056"/>
      <c r="AAS121" s="1056"/>
      <c r="AAT121" s="1056"/>
      <c r="AAU121" s="1056"/>
      <c r="AAV121" s="1056"/>
      <c r="AAW121" s="1056"/>
      <c r="AAX121" s="1056"/>
      <c r="AAY121" s="1056"/>
      <c r="AAZ121" s="1056"/>
      <c r="ABA121" s="1056"/>
      <c r="ABB121" s="1056"/>
      <c r="ABC121" s="1056"/>
      <c r="ABD121" s="1056"/>
      <c r="ABE121" s="1056"/>
      <c r="ABF121" s="1056"/>
      <c r="ABG121" s="1056"/>
      <c r="ABH121" s="1056"/>
      <c r="ABI121" s="1056"/>
      <c r="ABJ121" s="1056"/>
      <c r="ABK121" s="1056"/>
      <c r="ABL121" s="1056"/>
      <c r="ABM121" s="1056"/>
      <c r="ABN121" s="1056"/>
      <c r="ABO121" s="1056"/>
      <c r="ABP121" s="1056"/>
      <c r="ABQ121" s="1056"/>
      <c r="ABR121" s="1056"/>
      <c r="ABS121" s="1056"/>
      <c r="ABT121" s="1056"/>
      <c r="ABU121" s="1056"/>
      <c r="ABV121" s="1056"/>
      <c r="ABW121" s="1056"/>
      <c r="ABX121" s="1056"/>
      <c r="ABY121" s="1056"/>
      <c r="ABZ121" s="1056"/>
      <c r="ACA121" s="1056"/>
      <c r="ACB121" s="1056"/>
      <c r="ACC121" s="1056"/>
      <c r="ACD121" s="1056"/>
      <c r="ACE121" s="1056"/>
      <c r="ACF121" s="1056"/>
      <c r="ACG121" s="1056"/>
      <c r="ACH121" s="1056"/>
      <c r="ACI121" s="1056"/>
      <c r="ACJ121" s="1056"/>
      <c r="ACK121" s="1056"/>
      <c r="ACL121" s="1056"/>
      <c r="ACM121" s="1056"/>
      <c r="ACN121" s="1056"/>
      <c r="ACO121" s="1056"/>
      <c r="ACP121" s="1056"/>
      <c r="ACQ121" s="1056"/>
      <c r="ACR121" s="1056"/>
      <c r="ACS121" s="1056"/>
      <c r="ACT121" s="1056"/>
      <c r="ACU121" s="1056"/>
      <c r="ACV121" s="1056"/>
      <c r="ACW121" s="1056"/>
      <c r="ACX121" s="1056"/>
      <c r="ACY121" s="1056"/>
      <c r="ACZ121" s="1056"/>
      <c r="ADA121" s="1056"/>
      <c r="ADB121" s="1056"/>
      <c r="ADC121" s="1056"/>
      <c r="ADD121" s="1056"/>
      <c r="ADE121" s="1056"/>
      <c r="ADF121" s="1056"/>
      <c r="ADG121" s="1056"/>
      <c r="ADH121" s="1056"/>
      <c r="ADI121" s="1056"/>
      <c r="ADJ121" s="1056"/>
      <c r="ADK121" s="1056"/>
      <c r="ADL121" s="1056"/>
      <c r="ADM121" s="1056"/>
      <c r="ADN121" s="1056"/>
      <c r="ADO121" s="1056"/>
      <c r="ADP121" s="1056"/>
      <c r="ADQ121" s="1056"/>
      <c r="ADR121" s="1056"/>
      <c r="ADS121" s="1056"/>
      <c r="ADT121" s="1056"/>
      <c r="ADU121" s="1056"/>
      <c r="ADV121" s="1056"/>
      <c r="ADW121" s="1056"/>
      <c r="ADX121" s="1056"/>
      <c r="ADY121" s="1056"/>
      <c r="ADZ121" s="1056"/>
      <c r="AEA121" s="1056"/>
      <c r="AEB121" s="1056"/>
      <c r="AEC121" s="1056"/>
      <c r="AED121" s="1056"/>
      <c r="AEE121" s="1056"/>
      <c r="AEF121" s="1056"/>
      <c r="AEG121" s="1056"/>
      <c r="AEH121" s="1056"/>
      <c r="AEI121" s="1056"/>
      <c r="AEJ121" s="1056"/>
      <c r="AEK121" s="1056"/>
      <c r="AEL121" s="1056"/>
      <c r="AEM121" s="1056"/>
      <c r="AEN121" s="1056"/>
      <c r="AEO121" s="1056"/>
      <c r="AEP121" s="1056"/>
      <c r="AEQ121" s="1056"/>
      <c r="AER121" s="1056"/>
      <c r="AES121" s="1056"/>
      <c r="AET121" s="1056"/>
      <c r="AEU121" s="1056"/>
      <c r="AEV121" s="1056"/>
      <c r="AEW121" s="1056"/>
      <c r="AEX121" s="1056"/>
      <c r="AEY121" s="1056"/>
      <c r="AEZ121" s="1056"/>
      <c r="AFA121" s="1056"/>
      <c r="AFB121" s="1056"/>
      <c r="AFC121" s="1056"/>
      <c r="AFD121" s="1056"/>
      <c r="AFE121" s="1056"/>
      <c r="AFF121" s="1056"/>
      <c r="AFG121" s="1056"/>
      <c r="AFH121" s="1056"/>
      <c r="AFI121" s="1056"/>
      <c r="AFJ121" s="1056"/>
      <c r="AFK121" s="1056"/>
      <c r="AFL121" s="1056"/>
      <c r="AFM121" s="1056"/>
      <c r="AFN121" s="1056"/>
      <c r="AFO121" s="1056"/>
      <c r="AFP121" s="1056"/>
      <c r="AFQ121" s="1056"/>
      <c r="AFR121" s="1056"/>
      <c r="AFS121" s="1056"/>
      <c r="AFT121" s="1056"/>
      <c r="AFU121" s="1056"/>
      <c r="AFV121" s="1056"/>
      <c r="AFW121" s="1056"/>
      <c r="AFX121" s="1056"/>
      <c r="AFY121" s="1056"/>
      <c r="AFZ121" s="1056"/>
      <c r="AGA121" s="1056"/>
      <c r="AGB121" s="1056"/>
      <c r="AGC121" s="1056"/>
      <c r="AGD121" s="1056"/>
      <c r="AGE121" s="1056"/>
      <c r="AGF121" s="1056"/>
      <c r="AGG121" s="1056"/>
      <c r="AGH121" s="1056"/>
      <c r="AGI121" s="1056"/>
      <c r="AGJ121" s="1056"/>
      <c r="AGK121" s="1056"/>
      <c r="AGL121" s="1056"/>
      <c r="AGM121" s="1056"/>
      <c r="AGN121" s="1056"/>
      <c r="AGO121" s="1056"/>
      <c r="AGP121" s="1056"/>
      <c r="AGQ121" s="1056"/>
      <c r="AGR121" s="1056"/>
      <c r="AGS121" s="1056"/>
      <c r="AGT121" s="1056"/>
      <c r="AGU121" s="1056"/>
      <c r="AGV121" s="1056"/>
      <c r="AGW121" s="1056"/>
      <c r="AGX121" s="1056"/>
      <c r="AGY121" s="1056"/>
      <c r="AGZ121" s="1056"/>
      <c r="AHA121" s="1056"/>
      <c r="AHB121" s="1056"/>
      <c r="AHC121" s="1056"/>
      <c r="AHD121" s="1056"/>
      <c r="AHE121" s="1056"/>
      <c r="AHF121" s="1056"/>
      <c r="AHG121" s="1056"/>
      <c r="AHH121" s="1056"/>
      <c r="AHI121" s="1056"/>
      <c r="AHJ121" s="1056"/>
      <c r="AHK121" s="1056"/>
      <c r="AHL121" s="1056"/>
      <c r="AHM121" s="1056"/>
      <c r="AHN121" s="1056"/>
      <c r="AHO121" s="1056"/>
      <c r="AHP121" s="1056"/>
      <c r="AHQ121" s="1056"/>
      <c r="AHR121" s="1056"/>
      <c r="AHS121" s="1056"/>
      <c r="AHT121" s="1056"/>
      <c r="AHU121" s="1056"/>
      <c r="AHV121" s="1056"/>
      <c r="AHW121" s="1056"/>
      <c r="AHX121" s="1056"/>
      <c r="AHY121" s="1056"/>
      <c r="AHZ121" s="1056"/>
      <c r="AIA121" s="1056"/>
      <c r="AIB121" s="1056"/>
      <c r="AIC121" s="1056"/>
      <c r="AID121" s="1056"/>
      <c r="AIE121" s="1056"/>
      <c r="AIF121" s="1056"/>
      <c r="AIG121" s="1056"/>
      <c r="AIH121" s="1056"/>
      <c r="AII121" s="1056"/>
      <c r="AIJ121" s="1056"/>
      <c r="AIK121" s="1056"/>
      <c r="AIL121" s="1056"/>
      <c r="AIM121" s="1056"/>
      <c r="AIN121" s="1056"/>
      <c r="AIO121" s="1056"/>
      <c r="AIP121" s="1056"/>
      <c r="AIQ121" s="1056"/>
      <c r="AIR121" s="1056"/>
      <c r="AIS121" s="1056"/>
      <c r="AIT121" s="1056"/>
      <c r="AIU121" s="1056"/>
      <c r="AIV121" s="1056"/>
      <c r="AIW121" s="1056"/>
      <c r="AIX121" s="1056"/>
      <c r="AIY121" s="1056"/>
      <c r="AIZ121" s="1056"/>
      <c r="AJA121" s="1056"/>
      <c r="AJB121" s="1056"/>
      <c r="AJC121" s="1056"/>
      <c r="AJD121" s="1056"/>
      <c r="AJE121" s="1056"/>
      <c r="AJF121" s="1056"/>
      <c r="AJG121" s="1056"/>
      <c r="AJH121" s="1056"/>
      <c r="AJI121" s="1056"/>
      <c r="AJJ121" s="1056"/>
      <c r="AJK121" s="1056"/>
      <c r="AJL121" s="1056"/>
      <c r="AJM121" s="1056"/>
      <c r="AJN121" s="1056"/>
      <c r="AJO121" s="1056"/>
      <c r="AJP121" s="1056"/>
      <c r="AJQ121" s="1056"/>
      <c r="AJR121" s="1056"/>
      <c r="AJS121" s="1056"/>
      <c r="AJT121" s="1056"/>
      <c r="AJU121" s="1056"/>
      <c r="AJV121" s="1056"/>
      <c r="AJW121" s="1056"/>
      <c r="AJX121" s="1056"/>
      <c r="AJY121" s="1056"/>
      <c r="AJZ121" s="1056"/>
      <c r="AKA121" s="1056"/>
      <c r="AKB121" s="1056"/>
      <c r="AKC121" s="1056"/>
      <c r="AKD121" s="1056"/>
      <c r="AKE121" s="1056"/>
      <c r="AKF121" s="1056"/>
      <c r="AKG121" s="1056"/>
      <c r="AKH121" s="1056"/>
      <c r="AKI121" s="1056"/>
      <c r="AKJ121" s="1056"/>
      <c r="AKK121" s="1056"/>
      <c r="AKL121" s="1056"/>
      <c r="AKM121" s="1056"/>
      <c r="AKN121" s="1056"/>
      <c r="AKO121" s="1056"/>
      <c r="AKP121" s="1056"/>
      <c r="AKQ121" s="1056"/>
      <c r="AKR121" s="1056"/>
      <c r="AKS121" s="1056"/>
      <c r="AKT121" s="1056"/>
      <c r="AKU121" s="1056"/>
      <c r="AKV121" s="1056"/>
      <c r="AKW121" s="1056"/>
      <c r="AKX121" s="1056"/>
      <c r="AKY121" s="1056"/>
      <c r="AKZ121" s="1056"/>
      <c r="ALA121" s="1056"/>
      <c r="ALB121" s="1056"/>
      <c r="ALC121" s="1056"/>
      <c r="ALD121" s="1056"/>
      <c r="ALE121" s="1056"/>
      <c r="ALF121" s="1056"/>
      <c r="ALG121" s="1056"/>
      <c r="ALH121" s="1056"/>
      <c r="ALI121" s="1056"/>
      <c r="ALJ121" s="1056"/>
      <c r="ALK121" s="1056"/>
      <c r="ALL121" s="1056"/>
      <c r="ALM121" s="1056"/>
      <c r="ALN121" s="1056"/>
      <c r="ALO121" s="1056"/>
      <c r="ALP121" s="1056"/>
      <c r="ALQ121" s="1056"/>
      <c r="ALR121" s="1056"/>
      <c r="ALS121" s="1056"/>
      <c r="ALT121" s="1056"/>
      <c r="ALU121" s="1056"/>
      <c r="ALV121" s="1056"/>
      <c r="ALW121" s="1056"/>
      <c r="ALX121" s="1056"/>
      <c r="ALY121" s="1056"/>
      <c r="ALZ121" s="1056"/>
      <c r="AMA121" s="1056"/>
      <c r="AMB121" s="1056"/>
      <c r="AMC121" s="1056"/>
      <c r="AMD121" s="1056"/>
      <c r="AME121" s="1056"/>
      <c r="AMF121" s="1056"/>
      <c r="AMG121" s="1056"/>
      <c r="AMH121" s="1056"/>
      <c r="AMI121" s="1056"/>
      <c r="AMJ121" s="1056"/>
      <c r="AMK121" s="1056"/>
      <c r="AML121" s="1056"/>
      <c r="AMM121" s="1056"/>
      <c r="AMN121" s="1056"/>
      <c r="AMO121" s="1056"/>
      <c r="AMP121" s="1056"/>
      <c r="AMQ121" s="1056"/>
      <c r="AMR121" s="1056"/>
      <c r="AMS121" s="1056"/>
      <c r="AMT121" s="1056"/>
      <c r="AMU121" s="1056"/>
      <c r="AMV121" s="1056"/>
      <c r="AMW121" s="1056"/>
      <c r="AMX121" s="1056"/>
      <c r="AMY121" s="1056"/>
      <c r="AMZ121" s="1056"/>
      <c r="ANA121" s="1056"/>
      <c r="ANB121" s="1056"/>
      <c r="ANC121" s="1056"/>
      <c r="AND121" s="1056"/>
      <c r="ANE121" s="1056"/>
      <c r="ANF121" s="1056"/>
      <c r="ANG121" s="1056"/>
      <c r="ANH121" s="1056"/>
      <c r="ANI121" s="1056"/>
      <c r="ANJ121" s="1056"/>
      <c r="ANK121" s="1056"/>
      <c r="ANL121" s="1056"/>
      <c r="ANM121" s="1056"/>
      <c r="ANN121" s="1056"/>
      <c r="ANO121" s="1056"/>
      <c r="ANP121" s="1056"/>
      <c r="ANQ121" s="1056"/>
      <c r="ANR121" s="1056"/>
      <c r="ANS121" s="1056"/>
      <c r="ANT121" s="1056"/>
      <c r="ANU121" s="1056"/>
      <c r="ANV121" s="1056"/>
      <c r="ANW121" s="1056"/>
      <c r="ANX121" s="1056"/>
      <c r="ANY121" s="1056"/>
      <c r="ANZ121" s="1056"/>
      <c r="AOA121" s="1056"/>
      <c r="AOB121" s="1056"/>
      <c r="AOC121" s="1056"/>
      <c r="AOD121" s="1056"/>
      <c r="AOE121" s="1056"/>
      <c r="AOF121" s="1056"/>
      <c r="AOG121" s="1056"/>
      <c r="AOH121" s="1056"/>
      <c r="AOI121" s="1056"/>
      <c r="AOJ121" s="1056"/>
      <c r="AOK121" s="1056"/>
      <c r="AOL121" s="1056"/>
      <c r="AOM121" s="1056"/>
      <c r="AON121" s="1056"/>
      <c r="AOO121" s="1056"/>
      <c r="AOP121" s="1056"/>
      <c r="AOQ121" s="1056"/>
      <c r="AOR121" s="1056"/>
      <c r="AOS121" s="1056"/>
      <c r="AOT121" s="1056"/>
      <c r="AOU121" s="1056"/>
      <c r="AOV121" s="1056"/>
      <c r="AOW121" s="1056"/>
      <c r="AOX121" s="1056"/>
      <c r="AOY121" s="1056"/>
      <c r="AOZ121" s="1056"/>
      <c r="APA121" s="1056"/>
      <c r="APB121" s="1056"/>
      <c r="APC121" s="1056"/>
      <c r="APD121" s="1056"/>
      <c r="APE121" s="1056"/>
      <c r="APF121" s="1056"/>
      <c r="APG121" s="1056"/>
      <c r="APH121" s="1056"/>
      <c r="API121" s="1056"/>
      <c r="APJ121" s="1056"/>
      <c r="APK121" s="1056"/>
      <c r="APL121" s="1056"/>
      <c r="APM121" s="1056"/>
      <c r="APN121" s="1056"/>
      <c r="APO121" s="1056"/>
      <c r="APP121" s="1056"/>
      <c r="APQ121" s="1056"/>
      <c r="APR121" s="1056"/>
      <c r="APS121" s="1056"/>
      <c r="APT121" s="1056"/>
      <c r="APU121" s="1056"/>
      <c r="APV121" s="1056"/>
      <c r="APW121" s="1056"/>
      <c r="APX121" s="1056"/>
      <c r="APY121" s="1056"/>
      <c r="APZ121" s="1056"/>
      <c r="AQA121" s="1056"/>
      <c r="AQB121" s="1056"/>
      <c r="AQC121" s="1056"/>
      <c r="AQD121" s="1056"/>
      <c r="AQE121" s="1056"/>
      <c r="AQF121" s="1056"/>
      <c r="AQG121" s="1056"/>
      <c r="AQH121" s="1056"/>
      <c r="AQI121" s="1056"/>
      <c r="AQJ121" s="1056"/>
      <c r="AQK121" s="1056"/>
      <c r="AQL121" s="1056"/>
      <c r="AQM121" s="1056"/>
      <c r="AQN121" s="1056"/>
      <c r="AQO121" s="1056"/>
      <c r="AQP121" s="1056"/>
      <c r="AQQ121" s="1056"/>
      <c r="AQR121" s="1056"/>
      <c r="AQS121" s="1056"/>
      <c r="AQT121" s="1056"/>
      <c r="AQU121" s="1056"/>
      <c r="AQV121" s="1056"/>
      <c r="AQW121" s="1056"/>
      <c r="AQX121" s="1056"/>
      <c r="AQY121" s="1056"/>
      <c r="AQZ121" s="1056"/>
      <c r="ARA121" s="1056"/>
      <c r="ARB121" s="1056"/>
      <c r="ARC121" s="1056"/>
      <c r="ARD121" s="1056"/>
      <c r="ARE121" s="1056"/>
      <c r="ARF121" s="1056"/>
      <c r="ARG121" s="1056"/>
      <c r="ARH121" s="1056"/>
      <c r="ARI121" s="1056"/>
      <c r="ARJ121" s="1056"/>
      <c r="ARK121" s="1056"/>
      <c r="ARL121" s="1056"/>
      <c r="ARM121" s="1056"/>
      <c r="ARN121" s="1056"/>
      <c r="ARO121" s="1056"/>
      <c r="ARP121" s="1056"/>
      <c r="ARQ121" s="1056"/>
      <c r="ARR121" s="1056"/>
      <c r="ARS121" s="1056"/>
      <c r="ART121" s="1056"/>
      <c r="ARU121" s="1056"/>
      <c r="ARV121" s="1056"/>
      <c r="ARW121" s="1056"/>
      <c r="ARX121" s="1056"/>
      <c r="ARY121" s="1056"/>
      <c r="ARZ121" s="1056"/>
      <c r="ASA121" s="1056"/>
      <c r="ASB121" s="1056"/>
      <c r="ASC121" s="1056"/>
      <c r="ASD121" s="1056"/>
      <c r="ASE121" s="1056"/>
      <c r="ASF121" s="1056"/>
      <c r="ASG121" s="1056"/>
      <c r="ASH121" s="1056"/>
      <c r="ASI121" s="1056"/>
      <c r="ASJ121" s="1056"/>
      <c r="ASK121" s="1056"/>
      <c r="ASL121" s="1056"/>
      <c r="ASM121" s="1056"/>
      <c r="ASN121" s="1056"/>
      <c r="ASO121" s="1056"/>
      <c r="ASP121" s="1056"/>
      <c r="ASQ121" s="1056"/>
      <c r="ASR121" s="1056"/>
      <c r="ASS121" s="1056"/>
      <c r="AST121" s="1056"/>
      <c r="ASU121" s="1056"/>
      <c r="ASV121" s="1056"/>
      <c r="ASW121" s="1056"/>
      <c r="ASX121" s="1056"/>
      <c r="ASY121" s="1056"/>
      <c r="ASZ121" s="1056"/>
      <c r="ATA121" s="1056"/>
      <c r="ATB121" s="1056"/>
      <c r="ATC121" s="1056"/>
      <c r="ATD121" s="1056"/>
      <c r="ATE121" s="1056"/>
      <c r="ATF121" s="1056"/>
      <c r="ATG121" s="1056"/>
      <c r="ATH121" s="1056"/>
      <c r="ATI121" s="1056"/>
      <c r="ATJ121" s="1056"/>
      <c r="ATK121" s="1056"/>
      <c r="ATL121" s="1056"/>
      <c r="ATM121" s="1056"/>
      <c r="ATN121" s="1056"/>
      <c r="ATO121" s="1056"/>
      <c r="ATP121" s="1056"/>
      <c r="ATQ121" s="1056"/>
      <c r="ATR121" s="1056"/>
      <c r="ATS121" s="1056"/>
      <c r="ATT121" s="1056"/>
      <c r="ATU121" s="1056"/>
      <c r="ATV121" s="1056"/>
      <c r="ATW121" s="1056"/>
      <c r="ATX121" s="1056"/>
      <c r="ATY121" s="1056"/>
      <c r="ATZ121" s="1056"/>
      <c r="AUA121" s="1056"/>
      <c r="AUB121" s="1056"/>
      <c r="AUC121" s="1056"/>
      <c r="AUD121" s="1056"/>
      <c r="AUE121" s="1056"/>
      <c r="AUF121" s="1056"/>
      <c r="AUG121" s="1056"/>
      <c r="AUH121" s="1056"/>
      <c r="AUI121" s="1056"/>
      <c r="AUJ121" s="1056"/>
      <c r="AUK121" s="1056"/>
      <c r="AUL121" s="1056"/>
      <c r="AUM121" s="1056"/>
      <c r="AUN121" s="1056"/>
      <c r="AUO121" s="1056"/>
      <c r="AUP121" s="1056"/>
      <c r="AUQ121" s="1056"/>
      <c r="AUR121" s="1056"/>
      <c r="AUS121" s="1056"/>
      <c r="AUT121" s="1056"/>
      <c r="AUU121" s="1056"/>
      <c r="AUV121" s="1056"/>
      <c r="AUW121" s="1056"/>
      <c r="AUX121" s="1056"/>
      <c r="AUY121" s="1056"/>
      <c r="AUZ121" s="1056"/>
      <c r="AVA121" s="1056"/>
      <c r="AVB121" s="1056"/>
      <c r="AVC121" s="1056"/>
      <c r="AVD121" s="1056"/>
      <c r="AVE121" s="1056"/>
      <c r="AVF121" s="1056"/>
      <c r="AVG121" s="1056"/>
      <c r="AVH121" s="1056"/>
      <c r="AVI121" s="1056"/>
      <c r="AVJ121" s="1056"/>
      <c r="AVK121" s="1056"/>
      <c r="AVL121" s="1056"/>
      <c r="AVM121" s="1056"/>
      <c r="AVN121" s="1056"/>
      <c r="AVO121" s="1056"/>
      <c r="AVP121" s="1056"/>
      <c r="AVQ121" s="1056"/>
      <c r="AVR121" s="1056"/>
      <c r="AVS121" s="1056"/>
      <c r="AVT121" s="1056"/>
      <c r="AVU121" s="1056"/>
      <c r="AVV121" s="1056"/>
      <c r="AVW121" s="1056"/>
      <c r="AVX121" s="1056"/>
      <c r="AVY121" s="1056"/>
      <c r="AVZ121" s="1056"/>
      <c r="AWA121" s="1056"/>
      <c r="AWB121" s="1056"/>
      <c r="AWC121" s="1056"/>
      <c r="AWD121" s="1056"/>
      <c r="AWE121" s="1056"/>
      <c r="AWF121" s="1056"/>
      <c r="AWG121" s="1056"/>
      <c r="AWH121" s="1056"/>
      <c r="AWI121" s="1056"/>
      <c r="AWJ121" s="1056"/>
      <c r="AWK121" s="1056"/>
      <c r="AWL121" s="1056"/>
      <c r="AWM121" s="1056"/>
      <c r="AWN121" s="1056"/>
      <c r="AWO121" s="1056"/>
      <c r="AWP121" s="1056"/>
      <c r="AWQ121" s="1056"/>
      <c r="AWR121" s="1056"/>
      <c r="AWS121" s="1056"/>
      <c r="AWT121" s="1056"/>
      <c r="AWU121" s="1056"/>
      <c r="AWV121" s="1056"/>
      <c r="AWW121" s="1056"/>
      <c r="AWX121" s="1056"/>
      <c r="AWY121" s="1056"/>
      <c r="AWZ121" s="1056"/>
      <c r="AXA121" s="1056"/>
      <c r="AXB121" s="1056"/>
      <c r="AXC121" s="1056"/>
      <c r="AXD121" s="1056"/>
      <c r="AXE121" s="1056"/>
      <c r="AXF121" s="1056"/>
      <c r="AXG121" s="1056"/>
      <c r="AXH121" s="1056"/>
      <c r="AXI121" s="1056"/>
      <c r="AXJ121" s="1056"/>
      <c r="AXK121" s="1056"/>
      <c r="AXL121" s="1056"/>
      <c r="AXM121" s="1056"/>
      <c r="AXN121" s="1056"/>
      <c r="AXO121" s="1056"/>
      <c r="AXP121" s="1056"/>
      <c r="AXQ121" s="1056"/>
      <c r="AXR121" s="1056"/>
      <c r="AXS121" s="1056"/>
      <c r="AXT121" s="1056"/>
      <c r="AXU121" s="1056"/>
      <c r="AXV121" s="1056"/>
      <c r="AXW121" s="1056"/>
      <c r="AXX121" s="1056"/>
      <c r="AXY121" s="1056"/>
      <c r="AXZ121" s="1056"/>
      <c r="AYA121" s="1056"/>
      <c r="AYB121" s="1056"/>
      <c r="AYC121" s="1056"/>
      <c r="AYD121" s="1056"/>
      <c r="AYE121" s="1056"/>
      <c r="AYF121" s="1056"/>
      <c r="AYG121" s="1056"/>
      <c r="AYH121" s="1056"/>
      <c r="AYI121" s="1056"/>
      <c r="AYJ121" s="1056"/>
      <c r="AYK121" s="1056"/>
      <c r="AYL121" s="1056"/>
      <c r="AYM121" s="1056"/>
      <c r="AYN121" s="1056"/>
      <c r="AYO121" s="1056"/>
      <c r="AYP121" s="1056"/>
      <c r="AYQ121" s="1056"/>
      <c r="AYR121" s="1056"/>
      <c r="AYS121" s="1056"/>
      <c r="AYT121" s="1056"/>
      <c r="AYU121" s="1056"/>
      <c r="AYV121" s="1056"/>
      <c r="AYW121" s="1056"/>
      <c r="AYX121" s="1056"/>
      <c r="AYY121" s="1056"/>
      <c r="AYZ121" s="1056"/>
      <c r="AZA121" s="1056"/>
      <c r="AZB121" s="1056"/>
      <c r="AZC121" s="1056"/>
      <c r="AZD121" s="1056"/>
      <c r="AZE121" s="1056"/>
      <c r="AZF121" s="1056"/>
      <c r="AZG121" s="1056"/>
      <c r="AZH121" s="1056"/>
      <c r="AZI121" s="1056"/>
      <c r="AZJ121" s="1056"/>
      <c r="AZK121" s="1056"/>
      <c r="AZL121" s="1056"/>
      <c r="AZM121" s="1056"/>
      <c r="AZN121" s="1056"/>
      <c r="AZO121" s="1056"/>
      <c r="AZP121" s="1056"/>
      <c r="AZQ121" s="1056"/>
      <c r="AZR121" s="1056"/>
      <c r="AZS121" s="1056"/>
      <c r="AZT121" s="1056"/>
      <c r="AZU121" s="1056"/>
      <c r="AZV121" s="1056"/>
      <c r="AZW121" s="1056"/>
      <c r="AZX121" s="1056"/>
      <c r="AZY121" s="1056"/>
      <c r="AZZ121" s="1056"/>
      <c r="BAA121" s="1056"/>
      <c r="BAB121" s="1056"/>
      <c r="BAC121" s="1056"/>
      <c r="BAD121" s="1056"/>
      <c r="BAE121" s="1056"/>
      <c r="BAF121" s="1056"/>
      <c r="BAG121" s="1056"/>
      <c r="BAH121" s="1056"/>
      <c r="BAI121" s="1056"/>
      <c r="BAJ121" s="1056"/>
      <c r="BAK121" s="1056"/>
      <c r="BAL121" s="1056"/>
      <c r="BAM121" s="1056"/>
      <c r="BAN121" s="1056"/>
      <c r="BAO121" s="1056"/>
      <c r="BAP121" s="1056"/>
      <c r="BAQ121" s="1056"/>
      <c r="BAR121" s="1056"/>
      <c r="BAS121" s="1056"/>
      <c r="BAT121" s="1056"/>
      <c r="BAU121" s="1056"/>
      <c r="BAV121" s="1056"/>
      <c r="BAW121" s="1056"/>
      <c r="BAX121" s="1056"/>
      <c r="BAY121" s="1056"/>
      <c r="BAZ121" s="1056"/>
      <c r="BBA121" s="1056"/>
      <c r="BBB121" s="1056"/>
      <c r="BBC121" s="1056"/>
      <c r="BBD121" s="1056"/>
      <c r="BBE121" s="1056"/>
      <c r="BBF121" s="1056"/>
      <c r="BBG121" s="1056"/>
      <c r="BBH121" s="1056"/>
      <c r="BBI121" s="1056"/>
      <c r="BBJ121" s="1056"/>
      <c r="BBK121" s="1056"/>
      <c r="BBL121" s="1056"/>
      <c r="BBM121" s="1056"/>
      <c r="BBN121" s="1056"/>
      <c r="BBO121" s="1056"/>
      <c r="BBP121" s="1056"/>
      <c r="BBQ121" s="1056"/>
      <c r="BBR121" s="1056"/>
      <c r="BBS121" s="1056"/>
      <c r="BBT121" s="1056"/>
      <c r="BBU121" s="1056"/>
      <c r="BBV121" s="1056"/>
      <c r="BBW121" s="1056"/>
      <c r="BBX121" s="1056"/>
      <c r="BBY121" s="1056"/>
      <c r="BBZ121" s="1056"/>
      <c r="BCA121" s="1056"/>
      <c r="BCB121" s="1056"/>
      <c r="BCC121" s="1056"/>
      <c r="BCD121" s="1056"/>
      <c r="BCE121" s="1056"/>
      <c r="BCF121" s="1056"/>
      <c r="BCG121" s="1056"/>
      <c r="BCH121" s="1056"/>
      <c r="BCI121" s="1056"/>
      <c r="BCJ121" s="1056"/>
      <c r="BCK121" s="1056"/>
      <c r="BCL121" s="1056"/>
      <c r="BCM121" s="1056"/>
      <c r="BCN121" s="1056"/>
      <c r="BCO121" s="1056"/>
      <c r="BCP121" s="1056"/>
      <c r="BCQ121" s="1056"/>
      <c r="BCR121" s="1056"/>
      <c r="BCS121" s="1056"/>
      <c r="BCT121" s="1056"/>
      <c r="BCU121" s="1056"/>
      <c r="BCV121" s="1056"/>
      <c r="BCW121" s="1056"/>
      <c r="BCX121" s="1056"/>
      <c r="BCY121" s="1056"/>
      <c r="BCZ121" s="1056"/>
      <c r="BDA121" s="1056"/>
      <c r="BDB121" s="1056"/>
      <c r="BDC121" s="1056"/>
      <c r="BDD121" s="1056"/>
      <c r="BDE121" s="1056"/>
      <c r="BDF121" s="1056"/>
      <c r="BDG121" s="1056"/>
      <c r="BDH121" s="1056"/>
      <c r="BDI121" s="1056"/>
      <c r="BDJ121" s="1056"/>
      <c r="BDK121" s="1056"/>
      <c r="BDL121" s="1056"/>
      <c r="BDM121" s="1056"/>
      <c r="BDN121" s="1056"/>
      <c r="BDO121" s="1056"/>
      <c r="BDP121" s="1056"/>
      <c r="BDQ121" s="1056"/>
      <c r="BDR121" s="1056"/>
      <c r="BDS121" s="1056"/>
      <c r="BDT121" s="1056"/>
      <c r="BDU121" s="1056"/>
      <c r="BDV121" s="1056"/>
      <c r="BDW121" s="1056"/>
      <c r="BDX121" s="1056"/>
      <c r="BDY121" s="1056"/>
      <c r="BDZ121" s="1056"/>
      <c r="BEA121" s="1056"/>
      <c r="BEB121" s="1056"/>
      <c r="BEC121" s="1056"/>
      <c r="BED121" s="1056"/>
      <c r="BEE121" s="1056"/>
      <c r="BEF121" s="1056"/>
      <c r="BEG121" s="1056"/>
      <c r="BEH121" s="1056"/>
      <c r="BEI121" s="1056"/>
      <c r="BEJ121" s="1056"/>
      <c r="BEK121" s="1056"/>
      <c r="BEL121" s="1056"/>
      <c r="BEM121" s="1056"/>
      <c r="BEN121" s="1056"/>
      <c r="BEO121" s="1056"/>
      <c r="BEP121" s="1056"/>
      <c r="BEQ121" s="1056"/>
      <c r="BER121" s="1056"/>
      <c r="BES121" s="1056"/>
      <c r="BET121" s="1056"/>
      <c r="BEU121" s="1056"/>
      <c r="BEV121" s="1056"/>
      <c r="BEW121" s="1056"/>
      <c r="BEX121" s="1056"/>
      <c r="BEY121" s="1056"/>
      <c r="BEZ121" s="1056"/>
      <c r="BFA121" s="1056"/>
      <c r="BFB121" s="1056"/>
      <c r="BFC121" s="1056"/>
      <c r="BFD121" s="1056"/>
      <c r="BFE121" s="1056"/>
      <c r="BFF121" s="1056"/>
      <c r="BFG121" s="1056"/>
      <c r="BFH121" s="1056"/>
      <c r="BFI121" s="1056"/>
      <c r="BFJ121" s="1056"/>
      <c r="BFK121" s="1056"/>
      <c r="BFL121" s="1056"/>
      <c r="BFM121" s="1056"/>
      <c r="BFN121" s="1056"/>
      <c r="BFO121" s="1056"/>
      <c r="BFP121" s="1056"/>
      <c r="BFQ121" s="1056"/>
      <c r="BFR121" s="1056"/>
      <c r="BFS121" s="1056"/>
      <c r="BFT121" s="1056"/>
      <c r="BFU121" s="1056"/>
      <c r="BFV121" s="1056"/>
      <c r="BFW121" s="1056"/>
      <c r="BFX121" s="1056"/>
      <c r="BFY121" s="1056"/>
      <c r="BFZ121" s="1056"/>
      <c r="BGA121" s="1056"/>
      <c r="BGB121" s="1056"/>
      <c r="BGC121" s="1056"/>
      <c r="BGD121" s="1056"/>
      <c r="BGE121" s="1056"/>
      <c r="BGF121" s="1056"/>
      <c r="BGG121" s="1056"/>
      <c r="BGH121" s="1056"/>
      <c r="BGI121" s="1056"/>
      <c r="BGJ121" s="1056"/>
      <c r="BGK121" s="1056"/>
      <c r="BGL121" s="1056"/>
      <c r="BGM121" s="1056"/>
      <c r="BGN121" s="1056"/>
      <c r="BGO121" s="1056"/>
      <c r="BGP121" s="1056"/>
      <c r="BGQ121" s="1056"/>
      <c r="BGR121" s="1056"/>
      <c r="BGS121" s="1056"/>
      <c r="BGT121" s="1056"/>
      <c r="BGU121" s="1056"/>
      <c r="BGV121" s="1056"/>
      <c r="BGW121" s="1056"/>
      <c r="BGX121" s="1056"/>
      <c r="BGY121" s="1056"/>
      <c r="BGZ121" s="1056"/>
      <c r="BHA121" s="1056"/>
      <c r="BHB121" s="1056"/>
      <c r="BHC121" s="1056"/>
      <c r="BHD121" s="1056"/>
      <c r="BHE121" s="1056"/>
      <c r="BHF121" s="1056"/>
      <c r="BHG121" s="1056"/>
      <c r="BHH121" s="1056"/>
      <c r="BHI121" s="1056"/>
      <c r="BHJ121" s="1056"/>
      <c r="BHK121" s="1056"/>
      <c r="BHL121" s="1056"/>
      <c r="BHM121" s="1056"/>
      <c r="BHN121" s="1056"/>
      <c r="BHO121" s="1056"/>
      <c r="BHP121" s="1056"/>
      <c r="BHQ121" s="1056"/>
      <c r="BHR121" s="1056"/>
      <c r="BHS121" s="1056"/>
      <c r="BHT121" s="1056"/>
      <c r="BHU121" s="1056"/>
      <c r="BHV121" s="1056"/>
      <c r="BHW121" s="1056"/>
      <c r="BHX121" s="1056"/>
      <c r="BHY121" s="1056"/>
      <c r="BHZ121" s="1056"/>
      <c r="BIA121" s="1056"/>
      <c r="BIB121" s="1056"/>
      <c r="BIC121" s="1056"/>
      <c r="BID121" s="1056"/>
      <c r="BIE121" s="1056"/>
      <c r="BIF121" s="1056"/>
      <c r="BIG121" s="1056"/>
      <c r="BIH121" s="1056"/>
      <c r="BII121" s="1056"/>
      <c r="BIJ121" s="1056"/>
      <c r="BIK121" s="1056"/>
      <c r="BIL121" s="1056"/>
      <c r="BIM121" s="1056"/>
      <c r="BIN121" s="1056"/>
      <c r="BIO121" s="1056"/>
      <c r="BIP121" s="1056"/>
      <c r="BIQ121" s="1056"/>
      <c r="BIR121" s="1056"/>
      <c r="BIS121" s="1056"/>
      <c r="BIT121" s="1056"/>
      <c r="BIU121" s="1056"/>
      <c r="BIV121" s="1056"/>
      <c r="BIW121" s="1056"/>
      <c r="BIX121" s="1056"/>
      <c r="BIY121" s="1056"/>
      <c r="BIZ121" s="1056"/>
      <c r="BJA121" s="1056"/>
      <c r="BJB121" s="1056"/>
      <c r="BJC121" s="1056"/>
      <c r="BJD121" s="1056"/>
      <c r="BJE121" s="1056"/>
      <c r="BJF121" s="1056"/>
      <c r="BJG121" s="1056"/>
      <c r="BJH121" s="1056"/>
      <c r="BJI121" s="1056"/>
      <c r="BJJ121" s="1056"/>
      <c r="BJK121" s="1056"/>
      <c r="BJL121" s="1056"/>
      <c r="BJM121" s="1056"/>
      <c r="BJN121" s="1056"/>
      <c r="BJO121" s="1056"/>
      <c r="BJP121" s="1056"/>
      <c r="BJQ121" s="1056"/>
      <c r="BJR121" s="1056"/>
      <c r="BJS121" s="1056"/>
      <c r="BJT121" s="1056"/>
      <c r="BJU121" s="1056"/>
      <c r="BJV121" s="1056"/>
      <c r="BJW121" s="1056"/>
      <c r="BJX121" s="1056"/>
      <c r="BJY121" s="1056"/>
      <c r="BJZ121" s="1056"/>
      <c r="BKA121" s="1056"/>
      <c r="BKB121" s="1056"/>
      <c r="BKC121" s="1056"/>
      <c r="BKD121" s="1056"/>
      <c r="BKE121" s="1056"/>
      <c r="BKF121" s="1056"/>
      <c r="BKG121" s="1056"/>
      <c r="BKH121" s="1056"/>
      <c r="BKI121" s="1056"/>
      <c r="BKJ121" s="1056"/>
      <c r="BKK121" s="1056"/>
      <c r="BKL121" s="1056"/>
      <c r="BKM121" s="1056"/>
      <c r="BKN121" s="1056"/>
      <c r="BKO121" s="1056"/>
      <c r="BKP121" s="1056"/>
      <c r="BKQ121" s="1056"/>
      <c r="BKR121" s="1056"/>
      <c r="BKS121" s="1056"/>
      <c r="BKT121" s="1056"/>
      <c r="BKU121" s="1056"/>
      <c r="BKV121" s="1056"/>
      <c r="BKW121" s="1056"/>
      <c r="BKX121" s="1056"/>
      <c r="BKY121" s="1056"/>
      <c r="BKZ121" s="1056"/>
      <c r="BLA121" s="1056"/>
      <c r="BLB121" s="1056"/>
      <c r="BLC121" s="1056"/>
      <c r="BLD121" s="1056"/>
      <c r="BLE121" s="1056"/>
      <c r="BLF121" s="1056"/>
      <c r="BLG121" s="1056"/>
      <c r="BLH121" s="1056"/>
      <c r="BLI121" s="1056"/>
      <c r="BLJ121" s="1056"/>
      <c r="BLK121" s="1056"/>
      <c r="BLL121" s="1056"/>
      <c r="BLM121" s="1056"/>
      <c r="BLN121" s="1056"/>
      <c r="BLO121" s="1056"/>
      <c r="BLP121" s="1056"/>
      <c r="BLQ121" s="1056"/>
      <c r="BLR121" s="1056"/>
      <c r="BLS121" s="1056"/>
      <c r="BLT121" s="1056"/>
      <c r="BLU121" s="1056"/>
      <c r="BLV121" s="1056"/>
      <c r="BLW121" s="1056"/>
      <c r="BLX121" s="1056"/>
      <c r="BLY121" s="1056"/>
      <c r="BLZ121" s="1056"/>
      <c r="BMA121" s="1056"/>
      <c r="BMB121" s="1056"/>
      <c r="BMC121" s="1056"/>
      <c r="BMD121" s="1056"/>
      <c r="BME121" s="1056"/>
      <c r="BMF121" s="1056"/>
      <c r="BMG121" s="1056"/>
      <c r="BMH121" s="1056"/>
      <c r="BMI121" s="1056"/>
      <c r="BMJ121" s="1056"/>
      <c r="BMK121" s="1056"/>
      <c r="BML121" s="1056"/>
      <c r="BMM121" s="1056"/>
      <c r="BMN121" s="1056"/>
      <c r="BMO121" s="1056"/>
      <c r="BMP121" s="1056"/>
      <c r="BMQ121" s="1056"/>
      <c r="BMR121" s="1056"/>
      <c r="BMS121" s="1056"/>
      <c r="BMT121" s="1056"/>
      <c r="BMU121" s="1056"/>
      <c r="BMV121" s="1056"/>
      <c r="BMW121" s="1056"/>
      <c r="BMX121" s="1056"/>
      <c r="BMY121" s="1056"/>
      <c r="BMZ121" s="1056"/>
      <c r="BNA121" s="1056"/>
      <c r="BNB121" s="1056"/>
      <c r="BNC121" s="1056"/>
      <c r="BND121" s="1056"/>
      <c r="BNE121" s="1056"/>
      <c r="BNF121" s="1056"/>
      <c r="BNG121" s="1056"/>
      <c r="BNH121" s="1056"/>
      <c r="BNI121" s="1056"/>
      <c r="BNJ121" s="1056"/>
      <c r="BNK121" s="1056"/>
      <c r="BNL121" s="1056"/>
      <c r="BNM121" s="1056"/>
      <c r="BNN121" s="1056"/>
      <c r="BNO121" s="1056"/>
      <c r="BNP121" s="1056"/>
      <c r="BNQ121" s="1056"/>
      <c r="BNR121" s="1056"/>
      <c r="BNS121" s="1056"/>
      <c r="BNT121" s="1056"/>
      <c r="BNU121" s="1056"/>
      <c r="BNV121" s="1056"/>
      <c r="BNW121" s="1056"/>
      <c r="BNX121" s="1056"/>
      <c r="BNY121" s="1056"/>
      <c r="BNZ121" s="1056"/>
      <c r="BOA121" s="1056"/>
      <c r="BOB121" s="1056"/>
      <c r="BOC121" s="1056"/>
      <c r="BOD121" s="1056"/>
      <c r="BOE121" s="1056"/>
      <c r="BOF121" s="1056"/>
      <c r="BOG121" s="1056"/>
      <c r="BOH121" s="1056"/>
      <c r="BOI121" s="1056"/>
      <c r="BOJ121" s="1056"/>
      <c r="BOK121" s="1056"/>
      <c r="BOL121" s="1056"/>
      <c r="BOM121" s="1056"/>
      <c r="BON121" s="1056"/>
      <c r="BOO121" s="1056"/>
      <c r="BOP121" s="1056"/>
      <c r="BOQ121" s="1056"/>
      <c r="BOR121" s="1056"/>
      <c r="BOS121" s="1056"/>
      <c r="BOT121" s="1056"/>
      <c r="BOU121" s="1056"/>
      <c r="BOV121" s="1056"/>
      <c r="BOW121" s="1056"/>
      <c r="BOX121" s="1056"/>
      <c r="BOY121" s="1056"/>
      <c r="BOZ121" s="1056"/>
      <c r="BPA121" s="1056"/>
      <c r="BPB121" s="1056"/>
      <c r="BPC121" s="1056"/>
      <c r="BPD121" s="1056"/>
      <c r="BPE121" s="1056"/>
      <c r="BPF121" s="1056"/>
      <c r="BPG121" s="1056"/>
      <c r="BPH121" s="1056"/>
      <c r="BPI121" s="1056"/>
      <c r="BPJ121" s="1056"/>
      <c r="BPK121" s="1056"/>
      <c r="BPL121" s="1056"/>
      <c r="BPM121" s="1056"/>
      <c r="BPN121" s="1056"/>
      <c r="BPO121" s="1056"/>
      <c r="BPP121" s="1056"/>
      <c r="BPQ121" s="1056"/>
      <c r="BPR121" s="1056"/>
      <c r="BPS121" s="1056"/>
      <c r="BPT121" s="1056"/>
      <c r="BPU121" s="1056"/>
      <c r="BPV121" s="1056"/>
      <c r="BPW121" s="1056"/>
      <c r="BPX121" s="1056"/>
      <c r="BPY121" s="1056"/>
      <c r="BPZ121" s="1056"/>
      <c r="BQA121" s="1056"/>
      <c r="BQB121" s="1056"/>
      <c r="BQC121" s="1056"/>
      <c r="BQD121" s="1056"/>
      <c r="BQE121" s="1056"/>
      <c r="BQF121" s="1056"/>
      <c r="BQG121" s="1056"/>
      <c r="BQH121" s="1056"/>
      <c r="BQI121" s="1056"/>
      <c r="BQJ121" s="1056"/>
      <c r="BQK121" s="1056"/>
      <c r="BQL121" s="1056"/>
      <c r="BQM121" s="1056"/>
      <c r="BQN121" s="1056"/>
      <c r="BQO121" s="1056"/>
      <c r="BQP121" s="1056"/>
      <c r="BQQ121" s="1056"/>
      <c r="BQR121" s="1056"/>
      <c r="BQS121" s="1056"/>
      <c r="BQT121" s="1056"/>
      <c r="BQU121" s="1056"/>
      <c r="BQV121" s="1056"/>
      <c r="BQW121" s="1056"/>
      <c r="BQX121" s="1056"/>
      <c r="BQY121" s="1056"/>
      <c r="BQZ121" s="1056"/>
      <c r="BRA121" s="1056"/>
      <c r="BRB121" s="1056"/>
      <c r="BRC121" s="1056"/>
      <c r="BRD121" s="1056"/>
      <c r="BRE121" s="1056"/>
      <c r="BRF121" s="1056"/>
      <c r="BRG121" s="1056"/>
      <c r="BRH121" s="1056"/>
      <c r="BRI121" s="1056"/>
      <c r="BRJ121" s="1056"/>
      <c r="BRK121" s="1056"/>
      <c r="BRL121" s="1056"/>
      <c r="BRM121" s="1056"/>
      <c r="BRN121" s="1056"/>
      <c r="BRO121" s="1056"/>
      <c r="BRP121" s="1056"/>
      <c r="BRQ121" s="1056"/>
      <c r="BRR121" s="1056"/>
      <c r="BRS121" s="1056"/>
      <c r="BRT121" s="1056"/>
      <c r="BRU121" s="1056"/>
      <c r="BRV121" s="1056"/>
      <c r="BRW121" s="1056"/>
      <c r="BRX121" s="1056"/>
      <c r="BRY121" s="1056"/>
      <c r="BRZ121" s="1056"/>
      <c r="BSA121" s="1056"/>
      <c r="BSB121" s="1056"/>
      <c r="BSC121" s="1056"/>
      <c r="BSD121" s="1056"/>
      <c r="BSE121" s="1056"/>
      <c r="BSF121" s="1056"/>
      <c r="BSG121" s="1056"/>
      <c r="BSH121" s="1056"/>
      <c r="BSI121" s="1056"/>
      <c r="BSJ121" s="1056"/>
      <c r="BSK121" s="1056"/>
      <c r="BSL121" s="1056"/>
      <c r="BSM121" s="1056"/>
      <c r="BSN121" s="1056"/>
      <c r="BSO121" s="1056"/>
      <c r="BSP121" s="1056"/>
      <c r="BSQ121" s="1056"/>
      <c r="BSR121" s="1056"/>
      <c r="BSS121" s="1056"/>
      <c r="BST121" s="1056"/>
      <c r="BSU121" s="1056"/>
      <c r="BSV121" s="1056"/>
      <c r="BSW121" s="1056"/>
      <c r="BSX121" s="1056"/>
      <c r="BSY121" s="1056"/>
      <c r="BSZ121" s="1056"/>
      <c r="BTA121" s="1056"/>
      <c r="BTB121" s="1056"/>
      <c r="BTC121" s="1056"/>
      <c r="BTD121" s="1056"/>
      <c r="BTE121" s="1056"/>
      <c r="BTF121" s="1056"/>
      <c r="BTG121" s="1056"/>
      <c r="BTH121" s="1056"/>
      <c r="BTI121" s="1056"/>
    </row>
    <row r="122" spans="1:1881" s="1060" customFormat="1" hidden="1" x14ac:dyDescent="0.3">
      <c r="A122" s="1076"/>
      <c r="B122" s="1077"/>
      <c r="C122" s="1077"/>
      <c r="E122" s="1053"/>
      <c r="G122" s="1078"/>
      <c r="H122" s="1051"/>
      <c r="J122" s="1056"/>
      <c r="K122" s="1056"/>
      <c r="L122" s="1056"/>
      <c r="M122" s="1056"/>
      <c r="N122" s="1058"/>
      <c r="O122" s="1056"/>
      <c r="P122" s="1056"/>
      <c r="Q122" s="1056"/>
      <c r="R122" s="1056"/>
      <c r="S122" s="1056"/>
      <c r="T122" s="1056"/>
      <c r="U122" s="1056"/>
      <c r="V122" s="1056"/>
      <c r="W122" s="1056"/>
      <c r="X122" s="1056"/>
      <c r="Y122" s="1056"/>
      <c r="Z122" s="1056"/>
      <c r="AA122" s="1056"/>
      <c r="AB122" s="1056"/>
      <c r="AC122" s="1056"/>
      <c r="AD122" s="1056"/>
      <c r="AE122" s="1056"/>
      <c r="AF122" s="1056"/>
      <c r="AG122" s="1056"/>
      <c r="AH122" s="1056"/>
      <c r="AI122" s="1056"/>
      <c r="AJ122" s="1056"/>
      <c r="AK122" s="1056"/>
      <c r="AL122" s="1056"/>
      <c r="AM122" s="1056"/>
      <c r="AN122" s="1056"/>
      <c r="AO122" s="1056"/>
      <c r="AP122" s="1056"/>
      <c r="AQ122" s="1056"/>
      <c r="AR122" s="1056"/>
      <c r="AS122" s="1056"/>
      <c r="AT122" s="1056"/>
      <c r="AU122" s="1056"/>
      <c r="AV122" s="1056"/>
      <c r="AW122" s="1056"/>
      <c r="AX122" s="1056"/>
      <c r="AY122" s="1056"/>
      <c r="AZ122" s="1056"/>
      <c r="BA122" s="1056"/>
      <c r="BB122" s="1056"/>
      <c r="BC122" s="1056"/>
      <c r="BD122" s="1056"/>
      <c r="BE122" s="1056"/>
      <c r="BF122" s="1056"/>
      <c r="BG122" s="1056"/>
      <c r="BH122" s="1056"/>
      <c r="BI122" s="1056"/>
      <c r="BJ122" s="1056"/>
      <c r="BK122" s="1056"/>
      <c r="BL122" s="1056"/>
      <c r="BM122" s="1056"/>
      <c r="BN122" s="1056"/>
      <c r="BO122" s="1056"/>
      <c r="BP122" s="1056"/>
      <c r="BQ122" s="1056"/>
      <c r="BR122" s="1056"/>
      <c r="BS122" s="1056"/>
      <c r="BT122" s="1056"/>
      <c r="BU122" s="1056"/>
      <c r="BV122" s="1056"/>
      <c r="BW122" s="1056"/>
      <c r="BX122" s="1056"/>
      <c r="BY122" s="1056"/>
      <c r="BZ122" s="1056"/>
      <c r="CA122" s="1056"/>
      <c r="CB122" s="1056"/>
      <c r="CC122" s="1056"/>
      <c r="CD122" s="1056"/>
      <c r="CE122" s="1056"/>
      <c r="CF122" s="1056"/>
      <c r="CG122" s="1056"/>
      <c r="CH122" s="1056"/>
      <c r="CI122" s="1056"/>
      <c r="CJ122" s="1056"/>
      <c r="CK122" s="1056"/>
      <c r="CL122" s="1056"/>
      <c r="CM122" s="1056"/>
      <c r="CN122" s="1056"/>
      <c r="CO122" s="1056"/>
      <c r="CP122" s="1056"/>
      <c r="CQ122" s="1056"/>
      <c r="CR122" s="1056"/>
      <c r="CS122" s="1056"/>
      <c r="CT122" s="1056"/>
      <c r="CU122" s="1056"/>
      <c r="CV122" s="1056"/>
      <c r="CW122" s="1056"/>
      <c r="CX122" s="1056"/>
      <c r="CY122" s="1056"/>
      <c r="CZ122" s="1056"/>
      <c r="DA122" s="1056"/>
      <c r="DB122" s="1056"/>
      <c r="DC122" s="1056"/>
      <c r="DD122" s="1056"/>
      <c r="DE122" s="1056"/>
      <c r="DF122" s="1056"/>
      <c r="DG122" s="1056"/>
      <c r="DH122" s="1056"/>
      <c r="DI122" s="1056"/>
      <c r="DJ122" s="1056"/>
      <c r="DK122" s="1056"/>
      <c r="DL122" s="1056"/>
      <c r="DM122" s="1056"/>
      <c r="DN122" s="1056"/>
      <c r="DO122" s="1056"/>
      <c r="DP122" s="1056"/>
      <c r="DQ122" s="1056"/>
      <c r="DR122" s="1056"/>
      <c r="DS122" s="1056"/>
      <c r="DT122" s="1056"/>
      <c r="DU122" s="1056"/>
      <c r="DV122" s="1056"/>
      <c r="DW122" s="1056"/>
      <c r="DX122" s="1056"/>
      <c r="DY122" s="1056"/>
      <c r="DZ122" s="1056"/>
      <c r="EA122" s="1056"/>
      <c r="EB122" s="1056"/>
      <c r="EC122" s="1056"/>
      <c r="ED122" s="1056"/>
      <c r="EE122" s="1056"/>
      <c r="EF122" s="1056"/>
      <c r="EG122" s="1056"/>
      <c r="EH122" s="1056"/>
      <c r="EI122" s="1056"/>
      <c r="EJ122" s="1056"/>
      <c r="EK122" s="1056"/>
      <c r="EL122" s="1056"/>
      <c r="EM122" s="1056"/>
      <c r="EN122" s="1056"/>
      <c r="EO122" s="1056"/>
      <c r="EP122" s="1056"/>
      <c r="EQ122" s="1056"/>
      <c r="ER122" s="1056"/>
      <c r="ES122" s="1056"/>
      <c r="ET122" s="1056"/>
      <c r="EU122" s="1056"/>
      <c r="EV122" s="1056"/>
      <c r="EW122" s="1056"/>
      <c r="EX122" s="1056"/>
      <c r="EY122" s="1056"/>
      <c r="EZ122" s="1056"/>
      <c r="FA122" s="1056"/>
      <c r="FB122" s="1056"/>
      <c r="FC122" s="1056"/>
      <c r="FD122" s="1056"/>
      <c r="FE122" s="1056"/>
      <c r="FF122" s="1056"/>
      <c r="FG122" s="1056"/>
      <c r="FH122" s="1056"/>
      <c r="FI122" s="1056"/>
      <c r="FJ122" s="1056"/>
      <c r="FK122" s="1056"/>
      <c r="FL122" s="1056"/>
      <c r="FM122" s="1056"/>
      <c r="FN122" s="1056"/>
      <c r="FO122" s="1056"/>
      <c r="FP122" s="1056"/>
      <c r="FQ122" s="1056"/>
      <c r="FR122" s="1056"/>
      <c r="FS122" s="1056"/>
      <c r="FT122" s="1056"/>
      <c r="FU122" s="1056"/>
      <c r="FV122" s="1056"/>
      <c r="FW122" s="1056"/>
      <c r="FX122" s="1056"/>
      <c r="FY122" s="1056"/>
      <c r="FZ122" s="1056"/>
      <c r="GA122" s="1056"/>
      <c r="GB122" s="1056"/>
      <c r="GC122" s="1056"/>
      <c r="GD122" s="1056"/>
      <c r="GE122" s="1056"/>
      <c r="GF122" s="1056"/>
      <c r="GG122" s="1056"/>
      <c r="GH122" s="1056"/>
      <c r="GI122" s="1056"/>
      <c r="GJ122" s="1056"/>
      <c r="GK122" s="1056"/>
      <c r="GL122" s="1056"/>
      <c r="GM122" s="1056"/>
      <c r="GN122" s="1056"/>
      <c r="GO122" s="1056"/>
      <c r="GP122" s="1056"/>
      <c r="GQ122" s="1056"/>
      <c r="GR122" s="1056"/>
      <c r="GS122" s="1056"/>
      <c r="GT122" s="1056"/>
      <c r="GU122" s="1056"/>
      <c r="GV122" s="1056"/>
      <c r="GW122" s="1056"/>
      <c r="GX122" s="1056"/>
      <c r="GY122" s="1056"/>
      <c r="GZ122" s="1056"/>
      <c r="HA122" s="1056"/>
      <c r="HB122" s="1056"/>
      <c r="HC122" s="1056"/>
      <c r="HD122" s="1056"/>
      <c r="HE122" s="1056"/>
      <c r="HF122" s="1056"/>
      <c r="HG122" s="1056"/>
      <c r="HH122" s="1056"/>
      <c r="HI122" s="1056"/>
      <c r="HJ122" s="1056"/>
      <c r="HK122" s="1056"/>
      <c r="HL122" s="1056"/>
      <c r="HM122" s="1056"/>
      <c r="HN122" s="1056"/>
      <c r="HO122" s="1056"/>
      <c r="HP122" s="1056"/>
      <c r="HQ122" s="1056"/>
      <c r="HR122" s="1056"/>
      <c r="HS122" s="1056"/>
      <c r="HT122" s="1056"/>
      <c r="HU122" s="1056"/>
      <c r="HV122" s="1056"/>
      <c r="HW122" s="1056"/>
      <c r="HX122" s="1056"/>
      <c r="HY122" s="1056"/>
      <c r="HZ122" s="1056"/>
      <c r="IA122" s="1056"/>
      <c r="IB122" s="1056"/>
      <c r="IC122" s="1056"/>
      <c r="ID122" s="1056"/>
      <c r="IE122" s="1056"/>
      <c r="IF122" s="1056"/>
      <c r="IG122" s="1056"/>
      <c r="IH122" s="1056"/>
      <c r="II122" s="1056"/>
      <c r="IJ122" s="1056"/>
      <c r="IK122" s="1056"/>
      <c r="IL122" s="1056"/>
      <c r="IM122" s="1056"/>
      <c r="IN122" s="1056"/>
      <c r="IO122" s="1056"/>
      <c r="IP122" s="1056"/>
      <c r="IQ122" s="1056"/>
      <c r="IR122" s="1056"/>
      <c r="IS122" s="1056"/>
      <c r="IT122" s="1056"/>
      <c r="IU122" s="1056"/>
      <c r="IV122" s="1056"/>
      <c r="IW122" s="1056"/>
      <c r="IX122" s="1056"/>
      <c r="IY122" s="1056"/>
      <c r="IZ122" s="1056"/>
      <c r="JA122" s="1056"/>
      <c r="JB122" s="1056"/>
      <c r="JC122" s="1056"/>
      <c r="JD122" s="1056"/>
      <c r="JE122" s="1056"/>
      <c r="JF122" s="1056"/>
      <c r="JG122" s="1056"/>
      <c r="JH122" s="1056"/>
      <c r="JI122" s="1056"/>
      <c r="JJ122" s="1056"/>
      <c r="JK122" s="1056"/>
      <c r="JL122" s="1056"/>
      <c r="JM122" s="1056"/>
      <c r="JN122" s="1056"/>
      <c r="JO122" s="1056"/>
      <c r="JP122" s="1056"/>
      <c r="JQ122" s="1056"/>
      <c r="JR122" s="1056"/>
      <c r="JS122" s="1056"/>
      <c r="JT122" s="1056"/>
      <c r="JU122" s="1056"/>
      <c r="JV122" s="1056"/>
      <c r="JW122" s="1056"/>
      <c r="JX122" s="1056"/>
      <c r="JY122" s="1056"/>
      <c r="JZ122" s="1056"/>
      <c r="KA122" s="1056"/>
      <c r="KB122" s="1056"/>
      <c r="KC122" s="1056"/>
      <c r="KD122" s="1056"/>
      <c r="KE122" s="1056"/>
      <c r="KF122" s="1056"/>
      <c r="KG122" s="1056"/>
      <c r="KH122" s="1056"/>
      <c r="KI122" s="1056"/>
      <c r="KJ122" s="1056"/>
      <c r="KK122" s="1056"/>
      <c r="KL122" s="1056"/>
      <c r="KM122" s="1056"/>
      <c r="KN122" s="1056"/>
      <c r="KO122" s="1056"/>
      <c r="KP122" s="1056"/>
      <c r="KQ122" s="1056"/>
      <c r="KR122" s="1056"/>
      <c r="KS122" s="1056"/>
      <c r="KT122" s="1056"/>
      <c r="KU122" s="1056"/>
      <c r="KV122" s="1056"/>
      <c r="KW122" s="1056"/>
      <c r="KX122" s="1056"/>
      <c r="KY122" s="1056"/>
      <c r="KZ122" s="1056"/>
      <c r="LA122" s="1056"/>
      <c r="LB122" s="1056"/>
      <c r="LC122" s="1056"/>
      <c r="LD122" s="1056"/>
      <c r="LE122" s="1056"/>
      <c r="LF122" s="1056"/>
      <c r="LG122" s="1056"/>
      <c r="LH122" s="1056"/>
      <c r="LI122" s="1056"/>
      <c r="LJ122" s="1056"/>
      <c r="LK122" s="1056"/>
      <c r="LL122" s="1056"/>
      <c r="LM122" s="1056"/>
      <c r="LN122" s="1056"/>
      <c r="LO122" s="1056"/>
      <c r="LP122" s="1056"/>
      <c r="LQ122" s="1056"/>
      <c r="LR122" s="1056"/>
      <c r="LS122" s="1056"/>
      <c r="LT122" s="1056"/>
      <c r="LU122" s="1056"/>
      <c r="LV122" s="1056"/>
      <c r="LW122" s="1056"/>
      <c r="LX122" s="1056"/>
      <c r="LY122" s="1056"/>
      <c r="LZ122" s="1056"/>
      <c r="MA122" s="1056"/>
      <c r="MB122" s="1056"/>
      <c r="MC122" s="1056"/>
      <c r="MD122" s="1056"/>
      <c r="ME122" s="1056"/>
      <c r="MF122" s="1056"/>
      <c r="MG122" s="1056"/>
      <c r="MH122" s="1056"/>
      <c r="MI122" s="1056"/>
      <c r="MJ122" s="1056"/>
      <c r="MK122" s="1056"/>
      <c r="ML122" s="1056"/>
      <c r="MM122" s="1056"/>
      <c r="MN122" s="1056"/>
      <c r="MO122" s="1056"/>
      <c r="MP122" s="1056"/>
      <c r="MQ122" s="1056"/>
      <c r="MR122" s="1056"/>
      <c r="MS122" s="1056"/>
      <c r="MT122" s="1056"/>
      <c r="MU122" s="1056"/>
      <c r="MV122" s="1056"/>
      <c r="MW122" s="1056"/>
      <c r="MX122" s="1056"/>
      <c r="MY122" s="1056"/>
      <c r="MZ122" s="1056"/>
      <c r="NA122" s="1056"/>
      <c r="NB122" s="1056"/>
      <c r="NC122" s="1056"/>
      <c r="ND122" s="1056"/>
      <c r="NE122" s="1056"/>
      <c r="NF122" s="1056"/>
      <c r="NG122" s="1056"/>
      <c r="NH122" s="1056"/>
      <c r="NI122" s="1056"/>
      <c r="NJ122" s="1056"/>
      <c r="NK122" s="1056"/>
      <c r="NL122" s="1056"/>
      <c r="NM122" s="1056"/>
      <c r="NN122" s="1056"/>
      <c r="NO122" s="1056"/>
      <c r="NP122" s="1056"/>
      <c r="NQ122" s="1056"/>
      <c r="NR122" s="1056"/>
      <c r="NS122" s="1056"/>
      <c r="NT122" s="1056"/>
      <c r="NU122" s="1056"/>
      <c r="NV122" s="1056"/>
      <c r="NW122" s="1056"/>
      <c r="NX122" s="1056"/>
      <c r="NY122" s="1056"/>
      <c r="NZ122" s="1056"/>
      <c r="OA122" s="1056"/>
      <c r="OB122" s="1056"/>
      <c r="OC122" s="1056"/>
      <c r="OD122" s="1056"/>
      <c r="OE122" s="1056"/>
      <c r="OF122" s="1056"/>
      <c r="OG122" s="1056"/>
      <c r="OH122" s="1056"/>
      <c r="OI122" s="1056"/>
      <c r="OJ122" s="1056"/>
      <c r="OK122" s="1056"/>
      <c r="OL122" s="1056"/>
      <c r="OM122" s="1056"/>
      <c r="ON122" s="1056"/>
      <c r="OO122" s="1056"/>
      <c r="OP122" s="1056"/>
      <c r="OQ122" s="1056"/>
      <c r="OR122" s="1056"/>
      <c r="OS122" s="1056"/>
      <c r="OT122" s="1056"/>
      <c r="OU122" s="1056"/>
      <c r="OV122" s="1056"/>
      <c r="OW122" s="1056"/>
      <c r="OX122" s="1056"/>
      <c r="OY122" s="1056"/>
      <c r="OZ122" s="1056"/>
      <c r="PA122" s="1056"/>
      <c r="PB122" s="1056"/>
      <c r="PC122" s="1056"/>
      <c r="PD122" s="1056"/>
      <c r="PE122" s="1056"/>
      <c r="PF122" s="1056"/>
      <c r="PG122" s="1056"/>
      <c r="PH122" s="1056"/>
      <c r="PI122" s="1056"/>
      <c r="PJ122" s="1056"/>
      <c r="PK122" s="1056"/>
      <c r="PL122" s="1056"/>
      <c r="PM122" s="1056"/>
      <c r="PN122" s="1056"/>
      <c r="PO122" s="1056"/>
      <c r="PP122" s="1056"/>
      <c r="PQ122" s="1056"/>
      <c r="PR122" s="1056"/>
      <c r="PS122" s="1056"/>
      <c r="PT122" s="1056"/>
      <c r="PU122" s="1056"/>
      <c r="PV122" s="1056"/>
      <c r="PW122" s="1056"/>
      <c r="PX122" s="1056"/>
      <c r="PY122" s="1056"/>
      <c r="PZ122" s="1056"/>
      <c r="QA122" s="1056"/>
      <c r="QB122" s="1056"/>
      <c r="QC122" s="1056"/>
      <c r="QD122" s="1056"/>
      <c r="QE122" s="1056"/>
      <c r="QF122" s="1056"/>
      <c r="QG122" s="1056"/>
      <c r="QH122" s="1056"/>
      <c r="QI122" s="1056"/>
      <c r="QJ122" s="1056"/>
      <c r="QK122" s="1056"/>
      <c r="QL122" s="1056"/>
      <c r="QM122" s="1056"/>
      <c r="QN122" s="1056"/>
      <c r="QO122" s="1056"/>
      <c r="QP122" s="1056"/>
      <c r="QQ122" s="1056"/>
      <c r="QR122" s="1056"/>
      <c r="QS122" s="1056"/>
      <c r="QT122" s="1056"/>
      <c r="QU122" s="1056"/>
      <c r="QV122" s="1056"/>
      <c r="QW122" s="1056"/>
      <c r="QX122" s="1056"/>
      <c r="QY122" s="1056"/>
      <c r="QZ122" s="1056"/>
      <c r="RA122" s="1056"/>
      <c r="RB122" s="1056"/>
      <c r="RC122" s="1056"/>
      <c r="RD122" s="1056"/>
      <c r="RE122" s="1056"/>
      <c r="RF122" s="1056"/>
      <c r="RG122" s="1056"/>
      <c r="RH122" s="1056"/>
      <c r="RI122" s="1056"/>
      <c r="RJ122" s="1056"/>
      <c r="RK122" s="1056"/>
      <c r="RL122" s="1056"/>
      <c r="RM122" s="1056"/>
      <c r="RN122" s="1056"/>
      <c r="RO122" s="1056"/>
      <c r="RP122" s="1056"/>
      <c r="RQ122" s="1056"/>
      <c r="RR122" s="1056"/>
      <c r="RS122" s="1056"/>
      <c r="RT122" s="1056"/>
      <c r="RU122" s="1056"/>
      <c r="RV122" s="1056"/>
      <c r="RW122" s="1056"/>
      <c r="RX122" s="1056"/>
      <c r="RY122" s="1056"/>
      <c r="RZ122" s="1056"/>
      <c r="SA122" s="1056"/>
      <c r="SB122" s="1056"/>
      <c r="SC122" s="1056"/>
      <c r="SD122" s="1056"/>
      <c r="SE122" s="1056"/>
      <c r="SF122" s="1056"/>
      <c r="SG122" s="1056"/>
      <c r="SH122" s="1056"/>
      <c r="SI122" s="1056"/>
      <c r="SJ122" s="1056"/>
      <c r="SK122" s="1056"/>
      <c r="SL122" s="1056"/>
      <c r="SM122" s="1056"/>
      <c r="SN122" s="1056"/>
      <c r="SO122" s="1056"/>
      <c r="SP122" s="1056"/>
      <c r="SQ122" s="1056"/>
      <c r="SR122" s="1056"/>
      <c r="SS122" s="1056"/>
      <c r="ST122" s="1056"/>
      <c r="SU122" s="1056"/>
      <c r="SV122" s="1056"/>
      <c r="SW122" s="1056"/>
      <c r="SX122" s="1056"/>
      <c r="SY122" s="1056"/>
      <c r="SZ122" s="1056"/>
      <c r="TA122" s="1056"/>
      <c r="TB122" s="1056"/>
      <c r="TC122" s="1056"/>
      <c r="TD122" s="1056"/>
      <c r="TE122" s="1056"/>
      <c r="TF122" s="1056"/>
      <c r="TG122" s="1056"/>
      <c r="TH122" s="1056"/>
      <c r="TI122" s="1056"/>
      <c r="TJ122" s="1056"/>
      <c r="TK122" s="1056"/>
      <c r="TL122" s="1056"/>
      <c r="TM122" s="1056"/>
      <c r="TN122" s="1056"/>
      <c r="TO122" s="1056"/>
      <c r="TP122" s="1056"/>
      <c r="TQ122" s="1056"/>
      <c r="TR122" s="1056"/>
      <c r="TS122" s="1056"/>
      <c r="TT122" s="1056"/>
      <c r="TU122" s="1056"/>
      <c r="TV122" s="1056"/>
      <c r="TW122" s="1056"/>
      <c r="TX122" s="1056"/>
      <c r="TY122" s="1056"/>
      <c r="TZ122" s="1056"/>
      <c r="UA122" s="1056"/>
      <c r="UB122" s="1056"/>
      <c r="UC122" s="1056"/>
      <c r="UD122" s="1056"/>
      <c r="UE122" s="1056"/>
      <c r="UF122" s="1056"/>
      <c r="UG122" s="1056"/>
      <c r="UH122" s="1056"/>
      <c r="UI122" s="1056"/>
      <c r="UJ122" s="1056"/>
      <c r="UK122" s="1056"/>
      <c r="UL122" s="1056"/>
      <c r="UM122" s="1056"/>
      <c r="UN122" s="1056"/>
      <c r="UO122" s="1056"/>
      <c r="UP122" s="1056"/>
      <c r="UQ122" s="1056"/>
      <c r="UR122" s="1056"/>
      <c r="US122" s="1056"/>
      <c r="UT122" s="1056"/>
      <c r="UU122" s="1056"/>
      <c r="UV122" s="1056"/>
      <c r="UW122" s="1056"/>
      <c r="UX122" s="1056"/>
      <c r="UY122" s="1056"/>
      <c r="UZ122" s="1056"/>
      <c r="VA122" s="1056"/>
      <c r="VB122" s="1056"/>
      <c r="VC122" s="1056"/>
      <c r="VD122" s="1056"/>
      <c r="VE122" s="1056"/>
      <c r="VF122" s="1056"/>
      <c r="VG122" s="1056"/>
      <c r="VH122" s="1056"/>
      <c r="VI122" s="1056"/>
      <c r="VJ122" s="1056"/>
      <c r="VK122" s="1056"/>
      <c r="VL122" s="1056"/>
      <c r="VM122" s="1056"/>
      <c r="VN122" s="1056"/>
      <c r="VO122" s="1056"/>
      <c r="VP122" s="1056"/>
      <c r="VQ122" s="1056"/>
      <c r="VR122" s="1056"/>
      <c r="VS122" s="1056"/>
      <c r="VT122" s="1056"/>
      <c r="VU122" s="1056"/>
      <c r="VV122" s="1056"/>
      <c r="VW122" s="1056"/>
      <c r="VX122" s="1056"/>
      <c r="VY122" s="1056"/>
      <c r="VZ122" s="1056"/>
      <c r="WA122" s="1056"/>
      <c r="WB122" s="1056"/>
      <c r="WC122" s="1056"/>
      <c r="WD122" s="1056"/>
      <c r="WE122" s="1056"/>
      <c r="WF122" s="1056"/>
      <c r="WG122" s="1056"/>
      <c r="WH122" s="1056"/>
      <c r="WI122" s="1056"/>
      <c r="WJ122" s="1056"/>
      <c r="WK122" s="1056"/>
      <c r="WL122" s="1056"/>
      <c r="WM122" s="1056"/>
      <c r="WN122" s="1056"/>
      <c r="WO122" s="1056"/>
      <c r="WP122" s="1056"/>
      <c r="WQ122" s="1056"/>
      <c r="WR122" s="1056"/>
      <c r="WS122" s="1056"/>
      <c r="WT122" s="1056"/>
      <c r="WU122" s="1056"/>
      <c r="WV122" s="1056"/>
      <c r="WW122" s="1056"/>
      <c r="WX122" s="1056"/>
      <c r="WY122" s="1056"/>
      <c r="WZ122" s="1056"/>
      <c r="XA122" s="1056"/>
      <c r="XB122" s="1056"/>
      <c r="XC122" s="1056"/>
      <c r="XD122" s="1056"/>
      <c r="XE122" s="1056"/>
      <c r="XF122" s="1056"/>
      <c r="XG122" s="1056"/>
      <c r="XH122" s="1056"/>
      <c r="XI122" s="1056"/>
      <c r="XJ122" s="1056"/>
      <c r="XK122" s="1056"/>
      <c r="XL122" s="1056"/>
      <c r="XM122" s="1056"/>
      <c r="XN122" s="1056"/>
      <c r="XO122" s="1056"/>
      <c r="XP122" s="1056"/>
      <c r="XQ122" s="1056"/>
      <c r="XR122" s="1056"/>
      <c r="XS122" s="1056"/>
      <c r="XT122" s="1056"/>
      <c r="XU122" s="1056"/>
      <c r="XV122" s="1056"/>
      <c r="XW122" s="1056"/>
      <c r="XX122" s="1056"/>
      <c r="XY122" s="1056"/>
      <c r="XZ122" s="1056"/>
      <c r="YA122" s="1056"/>
      <c r="YB122" s="1056"/>
      <c r="YC122" s="1056"/>
      <c r="YD122" s="1056"/>
      <c r="YE122" s="1056"/>
      <c r="YF122" s="1056"/>
      <c r="YG122" s="1056"/>
      <c r="YH122" s="1056"/>
      <c r="YI122" s="1056"/>
      <c r="YJ122" s="1056"/>
      <c r="YK122" s="1056"/>
      <c r="YL122" s="1056"/>
      <c r="YM122" s="1056"/>
      <c r="YN122" s="1056"/>
      <c r="YO122" s="1056"/>
      <c r="YP122" s="1056"/>
      <c r="YQ122" s="1056"/>
      <c r="YR122" s="1056"/>
      <c r="YS122" s="1056"/>
      <c r="YT122" s="1056"/>
      <c r="YU122" s="1056"/>
      <c r="YV122" s="1056"/>
      <c r="YW122" s="1056"/>
      <c r="YX122" s="1056"/>
      <c r="YY122" s="1056"/>
      <c r="YZ122" s="1056"/>
      <c r="ZA122" s="1056"/>
      <c r="ZB122" s="1056"/>
      <c r="ZC122" s="1056"/>
      <c r="ZD122" s="1056"/>
      <c r="ZE122" s="1056"/>
      <c r="ZF122" s="1056"/>
      <c r="ZG122" s="1056"/>
      <c r="ZH122" s="1056"/>
      <c r="ZI122" s="1056"/>
      <c r="ZJ122" s="1056"/>
      <c r="ZK122" s="1056"/>
      <c r="ZL122" s="1056"/>
      <c r="ZM122" s="1056"/>
      <c r="ZN122" s="1056"/>
      <c r="ZO122" s="1056"/>
      <c r="ZP122" s="1056"/>
      <c r="ZQ122" s="1056"/>
      <c r="ZR122" s="1056"/>
      <c r="ZS122" s="1056"/>
      <c r="ZT122" s="1056"/>
      <c r="ZU122" s="1056"/>
      <c r="ZV122" s="1056"/>
      <c r="ZW122" s="1056"/>
      <c r="ZX122" s="1056"/>
      <c r="ZY122" s="1056"/>
      <c r="ZZ122" s="1056"/>
      <c r="AAA122" s="1056"/>
      <c r="AAB122" s="1056"/>
      <c r="AAC122" s="1056"/>
      <c r="AAD122" s="1056"/>
      <c r="AAE122" s="1056"/>
      <c r="AAF122" s="1056"/>
      <c r="AAG122" s="1056"/>
      <c r="AAH122" s="1056"/>
      <c r="AAI122" s="1056"/>
      <c r="AAJ122" s="1056"/>
      <c r="AAK122" s="1056"/>
      <c r="AAL122" s="1056"/>
      <c r="AAM122" s="1056"/>
      <c r="AAN122" s="1056"/>
      <c r="AAO122" s="1056"/>
      <c r="AAP122" s="1056"/>
      <c r="AAQ122" s="1056"/>
      <c r="AAR122" s="1056"/>
      <c r="AAS122" s="1056"/>
      <c r="AAT122" s="1056"/>
      <c r="AAU122" s="1056"/>
      <c r="AAV122" s="1056"/>
      <c r="AAW122" s="1056"/>
      <c r="AAX122" s="1056"/>
      <c r="AAY122" s="1056"/>
      <c r="AAZ122" s="1056"/>
      <c r="ABA122" s="1056"/>
      <c r="ABB122" s="1056"/>
      <c r="ABC122" s="1056"/>
      <c r="ABD122" s="1056"/>
      <c r="ABE122" s="1056"/>
      <c r="ABF122" s="1056"/>
      <c r="ABG122" s="1056"/>
      <c r="ABH122" s="1056"/>
      <c r="ABI122" s="1056"/>
      <c r="ABJ122" s="1056"/>
      <c r="ABK122" s="1056"/>
      <c r="ABL122" s="1056"/>
      <c r="ABM122" s="1056"/>
      <c r="ABN122" s="1056"/>
      <c r="ABO122" s="1056"/>
      <c r="ABP122" s="1056"/>
      <c r="ABQ122" s="1056"/>
      <c r="ABR122" s="1056"/>
      <c r="ABS122" s="1056"/>
      <c r="ABT122" s="1056"/>
      <c r="ABU122" s="1056"/>
      <c r="ABV122" s="1056"/>
      <c r="ABW122" s="1056"/>
      <c r="ABX122" s="1056"/>
      <c r="ABY122" s="1056"/>
      <c r="ABZ122" s="1056"/>
      <c r="ACA122" s="1056"/>
      <c r="ACB122" s="1056"/>
      <c r="ACC122" s="1056"/>
      <c r="ACD122" s="1056"/>
      <c r="ACE122" s="1056"/>
      <c r="ACF122" s="1056"/>
      <c r="ACG122" s="1056"/>
      <c r="ACH122" s="1056"/>
      <c r="ACI122" s="1056"/>
      <c r="ACJ122" s="1056"/>
      <c r="ACK122" s="1056"/>
      <c r="ACL122" s="1056"/>
      <c r="ACM122" s="1056"/>
      <c r="ACN122" s="1056"/>
      <c r="ACO122" s="1056"/>
      <c r="ACP122" s="1056"/>
      <c r="ACQ122" s="1056"/>
      <c r="ACR122" s="1056"/>
      <c r="ACS122" s="1056"/>
      <c r="ACT122" s="1056"/>
      <c r="ACU122" s="1056"/>
      <c r="ACV122" s="1056"/>
      <c r="ACW122" s="1056"/>
      <c r="ACX122" s="1056"/>
      <c r="ACY122" s="1056"/>
      <c r="ACZ122" s="1056"/>
      <c r="ADA122" s="1056"/>
      <c r="ADB122" s="1056"/>
      <c r="ADC122" s="1056"/>
      <c r="ADD122" s="1056"/>
      <c r="ADE122" s="1056"/>
      <c r="ADF122" s="1056"/>
      <c r="ADG122" s="1056"/>
      <c r="ADH122" s="1056"/>
      <c r="ADI122" s="1056"/>
      <c r="ADJ122" s="1056"/>
      <c r="ADK122" s="1056"/>
      <c r="ADL122" s="1056"/>
      <c r="ADM122" s="1056"/>
      <c r="ADN122" s="1056"/>
      <c r="ADO122" s="1056"/>
      <c r="ADP122" s="1056"/>
      <c r="ADQ122" s="1056"/>
      <c r="ADR122" s="1056"/>
      <c r="ADS122" s="1056"/>
      <c r="ADT122" s="1056"/>
      <c r="ADU122" s="1056"/>
      <c r="ADV122" s="1056"/>
      <c r="ADW122" s="1056"/>
      <c r="ADX122" s="1056"/>
      <c r="ADY122" s="1056"/>
      <c r="ADZ122" s="1056"/>
      <c r="AEA122" s="1056"/>
      <c r="AEB122" s="1056"/>
      <c r="AEC122" s="1056"/>
      <c r="AED122" s="1056"/>
      <c r="AEE122" s="1056"/>
      <c r="AEF122" s="1056"/>
      <c r="AEG122" s="1056"/>
      <c r="AEH122" s="1056"/>
      <c r="AEI122" s="1056"/>
      <c r="AEJ122" s="1056"/>
      <c r="AEK122" s="1056"/>
      <c r="AEL122" s="1056"/>
      <c r="AEM122" s="1056"/>
      <c r="AEN122" s="1056"/>
      <c r="AEO122" s="1056"/>
      <c r="AEP122" s="1056"/>
      <c r="AEQ122" s="1056"/>
      <c r="AER122" s="1056"/>
      <c r="AES122" s="1056"/>
      <c r="AET122" s="1056"/>
      <c r="AEU122" s="1056"/>
      <c r="AEV122" s="1056"/>
      <c r="AEW122" s="1056"/>
      <c r="AEX122" s="1056"/>
      <c r="AEY122" s="1056"/>
      <c r="AEZ122" s="1056"/>
      <c r="AFA122" s="1056"/>
      <c r="AFB122" s="1056"/>
      <c r="AFC122" s="1056"/>
      <c r="AFD122" s="1056"/>
      <c r="AFE122" s="1056"/>
      <c r="AFF122" s="1056"/>
      <c r="AFG122" s="1056"/>
      <c r="AFH122" s="1056"/>
      <c r="AFI122" s="1056"/>
      <c r="AFJ122" s="1056"/>
      <c r="AFK122" s="1056"/>
      <c r="AFL122" s="1056"/>
      <c r="AFM122" s="1056"/>
      <c r="AFN122" s="1056"/>
      <c r="AFO122" s="1056"/>
      <c r="AFP122" s="1056"/>
      <c r="AFQ122" s="1056"/>
      <c r="AFR122" s="1056"/>
      <c r="AFS122" s="1056"/>
      <c r="AFT122" s="1056"/>
      <c r="AFU122" s="1056"/>
      <c r="AFV122" s="1056"/>
      <c r="AFW122" s="1056"/>
      <c r="AFX122" s="1056"/>
      <c r="AFY122" s="1056"/>
      <c r="AFZ122" s="1056"/>
      <c r="AGA122" s="1056"/>
      <c r="AGB122" s="1056"/>
      <c r="AGC122" s="1056"/>
      <c r="AGD122" s="1056"/>
      <c r="AGE122" s="1056"/>
      <c r="AGF122" s="1056"/>
      <c r="AGG122" s="1056"/>
      <c r="AGH122" s="1056"/>
      <c r="AGI122" s="1056"/>
      <c r="AGJ122" s="1056"/>
      <c r="AGK122" s="1056"/>
      <c r="AGL122" s="1056"/>
      <c r="AGM122" s="1056"/>
      <c r="AGN122" s="1056"/>
      <c r="AGO122" s="1056"/>
      <c r="AGP122" s="1056"/>
      <c r="AGQ122" s="1056"/>
      <c r="AGR122" s="1056"/>
      <c r="AGS122" s="1056"/>
      <c r="AGT122" s="1056"/>
      <c r="AGU122" s="1056"/>
      <c r="AGV122" s="1056"/>
      <c r="AGW122" s="1056"/>
      <c r="AGX122" s="1056"/>
      <c r="AGY122" s="1056"/>
      <c r="AGZ122" s="1056"/>
      <c r="AHA122" s="1056"/>
      <c r="AHB122" s="1056"/>
      <c r="AHC122" s="1056"/>
      <c r="AHD122" s="1056"/>
      <c r="AHE122" s="1056"/>
      <c r="AHF122" s="1056"/>
      <c r="AHG122" s="1056"/>
      <c r="AHH122" s="1056"/>
      <c r="AHI122" s="1056"/>
      <c r="AHJ122" s="1056"/>
      <c r="AHK122" s="1056"/>
      <c r="AHL122" s="1056"/>
      <c r="AHM122" s="1056"/>
      <c r="AHN122" s="1056"/>
      <c r="AHO122" s="1056"/>
      <c r="AHP122" s="1056"/>
      <c r="AHQ122" s="1056"/>
      <c r="AHR122" s="1056"/>
      <c r="AHS122" s="1056"/>
      <c r="AHT122" s="1056"/>
      <c r="AHU122" s="1056"/>
      <c r="AHV122" s="1056"/>
      <c r="AHW122" s="1056"/>
      <c r="AHX122" s="1056"/>
      <c r="AHY122" s="1056"/>
      <c r="AHZ122" s="1056"/>
      <c r="AIA122" s="1056"/>
      <c r="AIB122" s="1056"/>
      <c r="AIC122" s="1056"/>
      <c r="AID122" s="1056"/>
      <c r="AIE122" s="1056"/>
      <c r="AIF122" s="1056"/>
      <c r="AIG122" s="1056"/>
      <c r="AIH122" s="1056"/>
      <c r="AII122" s="1056"/>
      <c r="AIJ122" s="1056"/>
      <c r="AIK122" s="1056"/>
      <c r="AIL122" s="1056"/>
      <c r="AIM122" s="1056"/>
      <c r="AIN122" s="1056"/>
      <c r="AIO122" s="1056"/>
      <c r="AIP122" s="1056"/>
      <c r="AIQ122" s="1056"/>
      <c r="AIR122" s="1056"/>
      <c r="AIS122" s="1056"/>
      <c r="AIT122" s="1056"/>
      <c r="AIU122" s="1056"/>
      <c r="AIV122" s="1056"/>
      <c r="AIW122" s="1056"/>
      <c r="AIX122" s="1056"/>
      <c r="AIY122" s="1056"/>
      <c r="AIZ122" s="1056"/>
      <c r="AJA122" s="1056"/>
      <c r="AJB122" s="1056"/>
      <c r="AJC122" s="1056"/>
      <c r="AJD122" s="1056"/>
      <c r="AJE122" s="1056"/>
      <c r="AJF122" s="1056"/>
      <c r="AJG122" s="1056"/>
      <c r="AJH122" s="1056"/>
      <c r="AJI122" s="1056"/>
      <c r="AJJ122" s="1056"/>
      <c r="AJK122" s="1056"/>
      <c r="AJL122" s="1056"/>
      <c r="AJM122" s="1056"/>
      <c r="AJN122" s="1056"/>
      <c r="AJO122" s="1056"/>
      <c r="AJP122" s="1056"/>
      <c r="AJQ122" s="1056"/>
      <c r="AJR122" s="1056"/>
      <c r="AJS122" s="1056"/>
      <c r="AJT122" s="1056"/>
      <c r="AJU122" s="1056"/>
      <c r="AJV122" s="1056"/>
      <c r="AJW122" s="1056"/>
      <c r="AJX122" s="1056"/>
      <c r="AJY122" s="1056"/>
      <c r="AJZ122" s="1056"/>
      <c r="AKA122" s="1056"/>
      <c r="AKB122" s="1056"/>
      <c r="AKC122" s="1056"/>
      <c r="AKD122" s="1056"/>
      <c r="AKE122" s="1056"/>
      <c r="AKF122" s="1056"/>
      <c r="AKG122" s="1056"/>
      <c r="AKH122" s="1056"/>
      <c r="AKI122" s="1056"/>
      <c r="AKJ122" s="1056"/>
      <c r="AKK122" s="1056"/>
      <c r="AKL122" s="1056"/>
      <c r="AKM122" s="1056"/>
      <c r="AKN122" s="1056"/>
      <c r="AKO122" s="1056"/>
      <c r="AKP122" s="1056"/>
      <c r="AKQ122" s="1056"/>
      <c r="AKR122" s="1056"/>
      <c r="AKS122" s="1056"/>
      <c r="AKT122" s="1056"/>
      <c r="AKU122" s="1056"/>
      <c r="AKV122" s="1056"/>
      <c r="AKW122" s="1056"/>
      <c r="AKX122" s="1056"/>
      <c r="AKY122" s="1056"/>
      <c r="AKZ122" s="1056"/>
      <c r="ALA122" s="1056"/>
      <c r="ALB122" s="1056"/>
      <c r="ALC122" s="1056"/>
      <c r="ALD122" s="1056"/>
      <c r="ALE122" s="1056"/>
      <c r="ALF122" s="1056"/>
      <c r="ALG122" s="1056"/>
      <c r="ALH122" s="1056"/>
      <c r="ALI122" s="1056"/>
      <c r="ALJ122" s="1056"/>
      <c r="ALK122" s="1056"/>
      <c r="ALL122" s="1056"/>
      <c r="ALM122" s="1056"/>
      <c r="ALN122" s="1056"/>
      <c r="ALO122" s="1056"/>
      <c r="ALP122" s="1056"/>
      <c r="ALQ122" s="1056"/>
      <c r="ALR122" s="1056"/>
      <c r="ALS122" s="1056"/>
      <c r="ALT122" s="1056"/>
      <c r="ALU122" s="1056"/>
      <c r="ALV122" s="1056"/>
      <c r="ALW122" s="1056"/>
      <c r="ALX122" s="1056"/>
      <c r="ALY122" s="1056"/>
      <c r="ALZ122" s="1056"/>
      <c r="AMA122" s="1056"/>
      <c r="AMB122" s="1056"/>
      <c r="AMC122" s="1056"/>
      <c r="AMD122" s="1056"/>
      <c r="AME122" s="1056"/>
      <c r="AMF122" s="1056"/>
      <c r="AMG122" s="1056"/>
      <c r="AMH122" s="1056"/>
      <c r="AMI122" s="1056"/>
      <c r="AMJ122" s="1056"/>
      <c r="AMK122" s="1056"/>
      <c r="AML122" s="1056"/>
      <c r="AMM122" s="1056"/>
      <c r="AMN122" s="1056"/>
      <c r="AMO122" s="1056"/>
      <c r="AMP122" s="1056"/>
      <c r="AMQ122" s="1056"/>
      <c r="AMR122" s="1056"/>
      <c r="AMS122" s="1056"/>
      <c r="AMT122" s="1056"/>
      <c r="AMU122" s="1056"/>
      <c r="AMV122" s="1056"/>
      <c r="AMW122" s="1056"/>
      <c r="AMX122" s="1056"/>
      <c r="AMY122" s="1056"/>
      <c r="AMZ122" s="1056"/>
      <c r="ANA122" s="1056"/>
      <c r="ANB122" s="1056"/>
      <c r="ANC122" s="1056"/>
      <c r="AND122" s="1056"/>
      <c r="ANE122" s="1056"/>
      <c r="ANF122" s="1056"/>
      <c r="ANG122" s="1056"/>
      <c r="ANH122" s="1056"/>
      <c r="ANI122" s="1056"/>
      <c r="ANJ122" s="1056"/>
      <c r="ANK122" s="1056"/>
      <c r="ANL122" s="1056"/>
      <c r="ANM122" s="1056"/>
      <c r="ANN122" s="1056"/>
      <c r="ANO122" s="1056"/>
      <c r="ANP122" s="1056"/>
      <c r="ANQ122" s="1056"/>
      <c r="ANR122" s="1056"/>
      <c r="ANS122" s="1056"/>
      <c r="ANT122" s="1056"/>
      <c r="ANU122" s="1056"/>
      <c r="ANV122" s="1056"/>
      <c r="ANW122" s="1056"/>
      <c r="ANX122" s="1056"/>
      <c r="ANY122" s="1056"/>
      <c r="ANZ122" s="1056"/>
      <c r="AOA122" s="1056"/>
      <c r="AOB122" s="1056"/>
      <c r="AOC122" s="1056"/>
      <c r="AOD122" s="1056"/>
      <c r="AOE122" s="1056"/>
      <c r="AOF122" s="1056"/>
      <c r="AOG122" s="1056"/>
      <c r="AOH122" s="1056"/>
      <c r="AOI122" s="1056"/>
      <c r="AOJ122" s="1056"/>
      <c r="AOK122" s="1056"/>
      <c r="AOL122" s="1056"/>
      <c r="AOM122" s="1056"/>
      <c r="AON122" s="1056"/>
      <c r="AOO122" s="1056"/>
      <c r="AOP122" s="1056"/>
      <c r="AOQ122" s="1056"/>
      <c r="AOR122" s="1056"/>
      <c r="AOS122" s="1056"/>
      <c r="AOT122" s="1056"/>
      <c r="AOU122" s="1056"/>
      <c r="AOV122" s="1056"/>
      <c r="AOW122" s="1056"/>
      <c r="AOX122" s="1056"/>
      <c r="AOY122" s="1056"/>
      <c r="AOZ122" s="1056"/>
      <c r="APA122" s="1056"/>
      <c r="APB122" s="1056"/>
      <c r="APC122" s="1056"/>
      <c r="APD122" s="1056"/>
      <c r="APE122" s="1056"/>
      <c r="APF122" s="1056"/>
      <c r="APG122" s="1056"/>
      <c r="APH122" s="1056"/>
      <c r="API122" s="1056"/>
      <c r="APJ122" s="1056"/>
      <c r="APK122" s="1056"/>
      <c r="APL122" s="1056"/>
      <c r="APM122" s="1056"/>
      <c r="APN122" s="1056"/>
      <c r="APO122" s="1056"/>
      <c r="APP122" s="1056"/>
      <c r="APQ122" s="1056"/>
      <c r="APR122" s="1056"/>
      <c r="APS122" s="1056"/>
      <c r="APT122" s="1056"/>
      <c r="APU122" s="1056"/>
      <c r="APV122" s="1056"/>
      <c r="APW122" s="1056"/>
      <c r="APX122" s="1056"/>
      <c r="APY122" s="1056"/>
      <c r="APZ122" s="1056"/>
      <c r="AQA122" s="1056"/>
      <c r="AQB122" s="1056"/>
      <c r="AQC122" s="1056"/>
      <c r="AQD122" s="1056"/>
      <c r="AQE122" s="1056"/>
      <c r="AQF122" s="1056"/>
      <c r="AQG122" s="1056"/>
      <c r="AQH122" s="1056"/>
      <c r="AQI122" s="1056"/>
      <c r="AQJ122" s="1056"/>
      <c r="AQK122" s="1056"/>
      <c r="AQL122" s="1056"/>
      <c r="AQM122" s="1056"/>
      <c r="AQN122" s="1056"/>
      <c r="AQO122" s="1056"/>
      <c r="AQP122" s="1056"/>
      <c r="AQQ122" s="1056"/>
      <c r="AQR122" s="1056"/>
      <c r="AQS122" s="1056"/>
      <c r="AQT122" s="1056"/>
      <c r="AQU122" s="1056"/>
      <c r="AQV122" s="1056"/>
      <c r="AQW122" s="1056"/>
      <c r="AQX122" s="1056"/>
      <c r="AQY122" s="1056"/>
      <c r="AQZ122" s="1056"/>
      <c r="ARA122" s="1056"/>
      <c r="ARB122" s="1056"/>
      <c r="ARC122" s="1056"/>
      <c r="ARD122" s="1056"/>
      <c r="ARE122" s="1056"/>
      <c r="ARF122" s="1056"/>
      <c r="ARG122" s="1056"/>
      <c r="ARH122" s="1056"/>
      <c r="ARI122" s="1056"/>
      <c r="ARJ122" s="1056"/>
      <c r="ARK122" s="1056"/>
      <c r="ARL122" s="1056"/>
      <c r="ARM122" s="1056"/>
      <c r="ARN122" s="1056"/>
      <c r="ARO122" s="1056"/>
      <c r="ARP122" s="1056"/>
      <c r="ARQ122" s="1056"/>
      <c r="ARR122" s="1056"/>
      <c r="ARS122" s="1056"/>
      <c r="ART122" s="1056"/>
      <c r="ARU122" s="1056"/>
      <c r="ARV122" s="1056"/>
      <c r="ARW122" s="1056"/>
      <c r="ARX122" s="1056"/>
      <c r="ARY122" s="1056"/>
      <c r="ARZ122" s="1056"/>
      <c r="ASA122" s="1056"/>
      <c r="ASB122" s="1056"/>
      <c r="ASC122" s="1056"/>
      <c r="ASD122" s="1056"/>
      <c r="ASE122" s="1056"/>
      <c r="ASF122" s="1056"/>
      <c r="ASG122" s="1056"/>
      <c r="ASH122" s="1056"/>
      <c r="ASI122" s="1056"/>
      <c r="ASJ122" s="1056"/>
      <c r="ASK122" s="1056"/>
      <c r="ASL122" s="1056"/>
      <c r="ASM122" s="1056"/>
      <c r="ASN122" s="1056"/>
      <c r="ASO122" s="1056"/>
      <c r="ASP122" s="1056"/>
      <c r="ASQ122" s="1056"/>
      <c r="ASR122" s="1056"/>
      <c r="ASS122" s="1056"/>
      <c r="AST122" s="1056"/>
      <c r="ASU122" s="1056"/>
      <c r="ASV122" s="1056"/>
      <c r="ASW122" s="1056"/>
      <c r="ASX122" s="1056"/>
      <c r="ASY122" s="1056"/>
      <c r="ASZ122" s="1056"/>
      <c r="ATA122" s="1056"/>
      <c r="ATB122" s="1056"/>
      <c r="ATC122" s="1056"/>
      <c r="ATD122" s="1056"/>
      <c r="ATE122" s="1056"/>
      <c r="ATF122" s="1056"/>
      <c r="ATG122" s="1056"/>
      <c r="ATH122" s="1056"/>
      <c r="ATI122" s="1056"/>
      <c r="ATJ122" s="1056"/>
      <c r="ATK122" s="1056"/>
      <c r="ATL122" s="1056"/>
      <c r="ATM122" s="1056"/>
      <c r="ATN122" s="1056"/>
      <c r="ATO122" s="1056"/>
      <c r="ATP122" s="1056"/>
      <c r="ATQ122" s="1056"/>
      <c r="ATR122" s="1056"/>
      <c r="ATS122" s="1056"/>
      <c r="ATT122" s="1056"/>
      <c r="ATU122" s="1056"/>
      <c r="ATV122" s="1056"/>
      <c r="ATW122" s="1056"/>
      <c r="ATX122" s="1056"/>
      <c r="ATY122" s="1056"/>
      <c r="ATZ122" s="1056"/>
      <c r="AUA122" s="1056"/>
      <c r="AUB122" s="1056"/>
      <c r="AUC122" s="1056"/>
      <c r="AUD122" s="1056"/>
      <c r="AUE122" s="1056"/>
      <c r="AUF122" s="1056"/>
      <c r="AUG122" s="1056"/>
      <c r="AUH122" s="1056"/>
      <c r="AUI122" s="1056"/>
      <c r="AUJ122" s="1056"/>
      <c r="AUK122" s="1056"/>
      <c r="AUL122" s="1056"/>
      <c r="AUM122" s="1056"/>
      <c r="AUN122" s="1056"/>
      <c r="AUO122" s="1056"/>
      <c r="AUP122" s="1056"/>
      <c r="AUQ122" s="1056"/>
      <c r="AUR122" s="1056"/>
      <c r="AUS122" s="1056"/>
      <c r="AUT122" s="1056"/>
      <c r="AUU122" s="1056"/>
      <c r="AUV122" s="1056"/>
      <c r="AUW122" s="1056"/>
      <c r="AUX122" s="1056"/>
      <c r="AUY122" s="1056"/>
      <c r="AUZ122" s="1056"/>
      <c r="AVA122" s="1056"/>
      <c r="AVB122" s="1056"/>
      <c r="AVC122" s="1056"/>
      <c r="AVD122" s="1056"/>
      <c r="AVE122" s="1056"/>
      <c r="AVF122" s="1056"/>
      <c r="AVG122" s="1056"/>
      <c r="AVH122" s="1056"/>
      <c r="AVI122" s="1056"/>
      <c r="AVJ122" s="1056"/>
      <c r="AVK122" s="1056"/>
      <c r="AVL122" s="1056"/>
      <c r="AVM122" s="1056"/>
      <c r="AVN122" s="1056"/>
      <c r="AVO122" s="1056"/>
      <c r="AVP122" s="1056"/>
      <c r="AVQ122" s="1056"/>
      <c r="AVR122" s="1056"/>
      <c r="AVS122" s="1056"/>
      <c r="AVT122" s="1056"/>
      <c r="AVU122" s="1056"/>
      <c r="AVV122" s="1056"/>
      <c r="AVW122" s="1056"/>
      <c r="AVX122" s="1056"/>
      <c r="AVY122" s="1056"/>
      <c r="AVZ122" s="1056"/>
      <c r="AWA122" s="1056"/>
      <c r="AWB122" s="1056"/>
      <c r="AWC122" s="1056"/>
      <c r="AWD122" s="1056"/>
      <c r="AWE122" s="1056"/>
      <c r="AWF122" s="1056"/>
      <c r="AWG122" s="1056"/>
      <c r="AWH122" s="1056"/>
      <c r="AWI122" s="1056"/>
      <c r="AWJ122" s="1056"/>
      <c r="AWK122" s="1056"/>
      <c r="AWL122" s="1056"/>
      <c r="AWM122" s="1056"/>
      <c r="AWN122" s="1056"/>
      <c r="AWO122" s="1056"/>
      <c r="AWP122" s="1056"/>
      <c r="AWQ122" s="1056"/>
      <c r="AWR122" s="1056"/>
      <c r="AWS122" s="1056"/>
      <c r="AWT122" s="1056"/>
      <c r="AWU122" s="1056"/>
      <c r="AWV122" s="1056"/>
      <c r="AWW122" s="1056"/>
      <c r="AWX122" s="1056"/>
      <c r="AWY122" s="1056"/>
      <c r="AWZ122" s="1056"/>
      <c r="AXA122" s="1056"/>
      <c r="AXB122" s="1056"/>
      <c r="AXC122" s="1056"/>
      <c r="AXD122" s="1056"/>
      <c r="AXE122" s="1056"/>
      <c r="AXF122" s="1056"/>
      <c r="AXG122" s="1056"/>
      <c r="AXH122" s="1056"/>
      <c r="AXI122" s="1056"/>
      <c r="AXJ122" s="1056"/>
      <c r="AXK122" s="1056"/>
      <c r="AXL122" s="1056"/>
      <c r="AXM122" s="1056"/>
      <c r="AXN122" s="1056"/>
      <c r="AXO122" s="1056"/>
      <c r="AXP122" s="1056"/>
      <c r="AXQ122" s="1056"/>
      <c r="AXR122" s="1056"/>
      <c r="AXS122" s="1056"/>
      <c r="AXT122" s="1056"/>
      <c r="AXU122" s="1056"/>
      <c r="AXV122" s="1056"/>
      <c r="AXW122" s="1056"/>
      <c r="AXX122" s="1056"/>
      <c r="AXY122" s="1056"/>
      <c r="AXZ122" s="1056"/>
      <c r="AYA122" s="1056"/>
      <c r="AYB122" s="1056"/>
      <c r="AYC122" s="1056"/>
      <c r="AYD122" s="1056"/>
      <c r="AYE122" s="1056"/>
      <c r="AYF122" s="1056"/>
      <c r="AYG122" s="1056"/>
      <c r="AYH122" s="1056"/>
      <c r="AYI122" s="1056"/>
      <c r="AYJ122" s="1056"/>
      <c r="AYK122" s="1056"/>
      <c r="AYL122" s="1056"/>
      <c r="AYM122" s="1056"/>
      <c r="AYN122" s="1056"/>
      <c r="AYO122" s="1056"/>
      <c r="AYP122" s="1056"/>
      <c r="AYQ122" s="1056"/>
      <c r="AYR122" s="1056"/>
      <c r="AYS122" s="1056"/>
      <c r="AYT122" s="1056"/>
      <c r="AYU122" s="1056"/>
      <c r="AYV122" s="1056"/>
      <c r="AYW122" s="1056"/>
      <c r="AYX122" s="1056"/>
      <c r="AYY122" s="1056"/>
      <c r="AYZ122" s="1056"/>
      <c r="AZA122" s="1056"/>
      <c r="AZB122" s="1056"/>
      <c r="AZC122" s="1056"/>
      <c r="AZD122" s="1056"/>
      <c r="AZE122" s="1056"/>
      <c r="AZF122" s="1056"/>
      <c r="AZG122" s="1056"/>
      <c r="AZH122" s="1056"/>
      <c r="AZI122" s="1056"/>
      <c r="AZJ122" s="1056"/>
      <c r="AZK122" s="1056"/>
      <c r="AZL122" s="1056"/>
      <c r="AZM122" s="1056"/>
      <c r="AZN122" s="1056"/>
      <c r="AZO122" s="1056"/>
      <c r="AZP122" s="1056"/>
      <c r="AZQ122" s="1056"/>
      <c r="AZR122" s="1056"/>
      <c r="AZS122" s="1056"/>
      <c r="AZT122" s="1056"/>
      <c r="AZU122" s="1056"/>
      <c r="AZV122" s="1056"/>
      <c r="AZW122" s="1056"/>
      <c r="AZX122" s="1056"/>
      <c r="AZY122" s="1056"/>
      <c r="AZZ122" s="1056"/>
      <c r="BAA122" s="1056"/>
      <c r="BAB122" s="1056"/>
      <c r="BAC122" s="1056"/>
      <c r="BAD122" s="1056"/>
      <c r="BAE122" s="1056"/>
      <c r="BAF122" s="1056"/>
      <c r="BAG122" s="1056"/>
      <c r="BAH122" s="1056"/>
      <c r="BAI122" s="1056"/>
      <c r="BAJ122" s="1056"/>
      <c r="BAK122" s="1056"/>
      <c r="BAL122" s="1056"/>
      <c r="BAM122" s="1056"/>
      <c r="BAN122" s="1056"/>
      <c r="BAO122" s="1056"/>
      <c r="BAP122" s="1056"/>
      <c r="BAQ122" s="1056"/>
      <c r="BAR122" s="1056"/>
      <c r="BAS122" s="1056"/>
      <c r="BAT122" s="1056"/>
      <c r="BAU122" s="1056"/>
      <c r="BAV122" s="1056"/>
      <c r="BAW122" s="1056"/>
      <c r="BAX122" s="1056"/>
      <c r="BAY122" s="1056"/>
      <c r="BAZ122" s="1056"/>
      <c r="BBA122" s="1056"/>
      <c r="BBB122" s="1056"/>
      <c r="BBC122" s="1056"/>
      <c r="BBD122" s="1056"/>
      <c r="BBE122" s="1056"/>
      <c r="BBF122" s="1056"/>
      <c r="BBG122" s="1056"/>
      <c r="BBH122" s="1056"/>
      <c r="BBI122" s="1056"/>
      <c r="BBJ122" s="1056"/>
      <c r="BBK122" s="1056"/>
      <c r="BBL122" s="1056"/>
      <c r="BBM122" s="1056"/>
      <c r="BBN122" s="1056"/>
      <c r="BBO122" s="1056"/>
      <c r="BBP122" s="1056"/>
      <c r="BBQ122" s="1056"/>
      <c r="BBR122" s="1056"/>
      <c r="BBS122" s="1056"/>
      <c r="BBT122" s="1056"/>
      <c r="BBU122" s="1056"/>
      <c r="BBV122" s="1056"/>
      <c r="BBW122" s="1056"/>
      <c r="BBX122" s="1056"/>
      <c r="BBY122" s="1056"/>
      <c r="BBZ122" s="1056"/>
      <c r="BCA122" s="1056"/>
      <c r="BCB122" s="1056"/>
      <c r="BCC122" s="1056"/>
      <c r="BCD122" s="1056"/>
      <c r="BCE122" s="1056"/>
      <c r="BCF122" s="1056"/>
      <c r="BCG122" s="1056"/>
      <c r="BCH122" s="1056"/>
      <c r="BCI122" s="1056"/>
      <c r="BCJ122" s="1056"/>
      <c r="BCK122" s="1056"/>
      <c r="BCL122" s="1056"/>
      <c r="BCM122" s="1056"/>
      <c r="BCN122" s="1056"/>
      <c r="BCO122" s="1056"/>
      <c r="BCP122" s="1056"/>
      <c r="BCQ122" s="1056"/>
      <c r="BCR122" s="1056"/>
      <c r="BCS122" s="1056"/>
      <c r="BCT122" s="1056"/>
      <c r="BCU122" s="1056"/>
      <c r="BCV122" s="1056"/>
      <c r="BCW122" s="1056"/>
      <c r="BCX122" s="1056"/>
      <c r="BCY122" s="1056"/>
      <c r="BCZ122" s="1056"/>
      <c r="BDA122" s="1056"/>
      <c r="BDB122" s="1056"/>
      <c r="BDC122" s="1056"/>
      <c r="BDD122" s="1056"/>
      <c r="BDE122" s="1056"/>
      <c r="BDF122" s="1056"/>
      <c r="BDG122" s="1056"/>
      <c r="BDH122" s="1056"/>
      <c r="BDI122" s="1056"/>
      <c r="BDJ122" s="1056"/>
      <c r="BDK122" s="1056"/>
      <c r="BDL122" s="1056"/>
      <c r="BDM122" s="1056"/>
      <c r="BDN122" s="1056"/>
      <c r="BDO122" s="1056"/>
      <c r="BDP122" s="1056"/>
      <c r="BDQ122" s="1056"/>
      <c r="BDR122" s="1056"/>
      <c r="BDS122" s="1056"/>
      <c r="BDT122" s="1056"/>
      <c r="BDU122" s="1056"/>
      <c r="BDV122" s="1056"/>
      <c r="BDW122" s="1056"/>
      <c r="BDX122" s="1056"/>
      <c r="BDY122" s="1056"/>
      <c r="BDZ122" s="1056"/>
      <c r="BEA122" s="1056"/>
      <c r="BEB122" s="1056"/>
      <c r="BEC122" s="1056"/>
      <c r="BED122" s="1056"/>
      <c r="BEE122" s="1056"/>
      <c r="BEF122" s="1056"/>
      <c r="BEG122" s="1056"/>
      <c r="BEH122" s="1056"/>
      <c r="BEI122" s="1056"/>
      <c r="BEJ122" s="1056"/>
      <c r="BEK122" s="1056"/>
      <c r="BEL122" s="1056"/>
      <c r="BEM122" s="1056"/>
      <c r="BEN122" s="1056"/>
      <c r="BEO122" s="1056"/>
      <c r="BEP122" s="1056"/>
      <c r="BEQ122" s="1056"/>
      <c r="BER122" s="1056"/>
      <c r="BES122" s="1056"/>
      <c r="BET122" s="1056"/>
      <c r="BEU122" s="1056"/>
      <c r="BEV122" s="1056"/>
      <c r="BEW122" s="1056"/>
      <c r="BEX122" s="1056"/>
      <c r="BEY122" s="1056"/>
      <c r="BEZ122" s="1056"/>
      <c r="BFA122" s="1056"/>
      <c r="BFB122" s="1056"/>
      <c r="BFC122" s="1056"/>
      <c r="BFD122" s="1056"/>
      <c r="BFE122" s="1056"/>
      <c r="BFF122" s="1056"/>
      <c r="BFG122" s="1056"/>
      <c r="BFH122" s="1056"/>
      <c r="BFI122" s="1056"/>
      <c r="BFJ122" s="1056"/>
      <c r="BFK122" s="1056"/>
      <c r="BFL122" s="1056"/>
      <c r="BFM122" s="1056"/>
      <c r="BFN122" s="1056"/>
      <c r="BFO122" s="1056"/>
      <c r="BFP122" s="1056"/>
      <c r="BFQ122" s="1056"/>
      <c r="BFR122" s="1056"/>
      <c r="BFS122" s="1056"/>
      <c r="BFT122" s="1056"/>
      <c r="BFU122" s="1056"/>
      <c r="BFV122" s="1056"/>
      <c r="BFW122" s="1056"/>
      <c r="BFX122" s="1056"/>
      <c r="BFY122" s="1056"/>
      <c r="BFZ122" s="1056"/>
      <c r="BGA122" s="1056"/>
      <c r="BGB122" s="1056"/>
      <c r="BGC122" s="1056"/>
      <c r="BGD122" s="1056"/>
      <c r="BGE122" s="1056"/>
      <c r="BGF122" s="1056"/>
      <c r="BGG122" s="1056"/>
      <c r="BGH122" s="1056"/>
      <c r="BGI122" s="1056"/>
      <c r="BGJ122" s="1056"/>
      <c r="BGK122" s="1056"/>
      <c r="BGL122" s="1056"/>
      <c r="BGM122" s="1056"/>
      <c r="BGN122" s="1056"/>
      <c r="BGO122" s="1056"/>
      <c r="BGP122" s="1056"/>
      <c r="BGQ122" s="1056"/>
      <c r="BGR122" s="1056"/>
      <c r="BGS122" s="1056"/>
      <c r="BGT122" s="1056"/>
      <c r="BGU122" s="1056"/>
      <c r="BGV122" s="1056"/>
      <c r="BGW122" s="1056"/>
      <c r="BGX122" s="1056"/>
      <c r="BGY122" s="1056"/>
      <c r="BGZ122" s="1056"/>
      <c r="BHA122" s="1056"/>
      <c r="BHB122" s="1056"/>
      <c r="BHC122" s="1056"/>
      <c r="BHD122" s="1056"/>
      <c r="BHE122" s="1056"/>
      <c r="BHF122" s="1056"/>
      <c r="BHG122" s="1056"/>
      <c r="BHH122" s="1056"/>
      <c r="BHI122" s="1056"/>
      <c r="BHJ122" s="1056"/>
      <c r="BHK122" s="1056"/>
      <c r="BHL122" s="1056"/>
      <c r="BHM122" s="1056"/>
      <c r="BHN122" s="1056"/>
      <c r="BHO122" s="1056"/>
      <c r="BHP122" s="1056"/>
      <c r="BHQ122" s="1056"/>
      <c r="BHR122" s="1056"/>
      <c r="BHS122" s="1056"/>
      <c r="BHT122" s="1056"/>
      <c r="BHU122" s="1056"/>
      <c r="BHV122" s="1056"/>
      <c r="BHW122" s="1056"/>
      <c r="BHX122" s="1056"/>
      <c r="BHY122" s="1056"/>
      <c r="BHZ122" s="1056"/>
      <c r="BIA122" s="1056"/>
      <c r="BIB122" s="1056"/>
      <c r="BIC122" s="1056"/>
      <c r="BID122" s="1056"/>
      <c r="BIE122" s="1056"/>
      <c r="BIF122" s="1056"/>
      <c r="BIG122" s="1056"/>
      <c r="BIH122" s="1056"/>
      <c r="BII122" s="1056"/>
      <c r="BIJ122" s="1056"/>
      <c r="BIK122" s="1056"/>
      <c r="BIL122" s="1056"/>
      <c r="BIM122" s="1056"/>
      <c r="BIN122" s="1056"/>
      <c r="BIO122" s="1056"/>
      <c r="BIP122" s="1056"/>
      <c r="BIQ122" s="1056"/>
      <c r="BIR122" s="1056"/>
      <c r="BIS122" s="1056"/>
      <c r="BIT122" s="1056"/>
      <c r="BIU122" s="1056"/>
      <c r="BIV122" s="1056"/>
      <c r="BIW122" s="1056"/>
      <c r="BIX122" s="1056"/>
      <c r="BIY122" s="1056"/>
      <c r="BIZ122" s="1056"/>
      <c r="BJA122" s="1056"/>
      <c r="BJB122" s="1056"/>
      <c r="BJC122" s="1056"/>
      <c r="BJD122" s="1056"/>
      <c r="BJE122" s="1056"/>
      <c r="BJF122" s="1056"/>
      <c r="BJG122" s="1056"/>
      <c r="BJH122" s="1056"/>
      <c r="BJI122" s="1056"/>
      <c r="BJJ122" s="1056"/>
      <c r="BJK122" s="1056"/>
      <c r="BJL122" s="1056"/>
      <c r="BJM122" s="1056"/>
      <c r="BJN122" s="1056"/>
      <c r="BJO122" s="1056"/>
      <c r="BJP122" s="1056"/>
      <c r="BJQ122" s="1056"/>
      <c r="BJR122" s="1056"/>
      <c r="BJS122" s="1056"/>
      <c r="BJT122" s="1056"/>
      <c r="BJU122" s="1056"/>
      <c r="BJV122" s="1056"/>
      <c r="BJW122" s="1056"/>
      <c r="BJX122" s="1056"/>
      <c r="BJY122" s="1056"/>
      <c r="BJZ122" s="1056"/>
      <c r="BKA122" s="1056"/>
      <c r="BKB122" s="1056"/>
      <c r="BKC122" s="1056"/>
      <c r="BKD122" s="1056"/>
      <c r="BKE122" s="1056"/>
      <c r="BKF122" s="1056"/>
      <c r="BKG122" s="1056"/>
      <c r="BKH122" s="1056"/>
      <c r="BKI122" s="1056"/>
      <c r="BKJ122" s="1056"/>
      <c r="BKK122" s="1056"/>
      <c r="BKL122" s="1056"/>
      <c r="BKM122" s="1056"/>
      <c r="BKN122" s="1056"/>
      <c r="BKO122" s="1056"/>
      <c r="BKP122" s="1056"/>
      <c r="BKQ122" s="1056"/>
      <c r="BKR122" s="1056"/>
      <c r="BKS122" s="1056"/>
      <c r="BKT122" s="1056"/>
      <c r="BKU122" s="1056"/>
      <c r="BKV122" s="1056"/>
      <c r="BKW122" s="1056"/>
      <c r="BKX122" s="1056"/>
      <c r="BKY122" s="1056"/>
      <c r="BKZ122" s="1056"/>
      <c r="BLA122" s="1056"/>
      <c r="BLB122" s="1056"/>
      <c r="BLC122" s="1056"/>
      <c r="BLD122" s="1056"/>
      <c r="BLE122" s="1056"/>
      <c r="BLF122" s="1056"/>
      <c r="BLG122" s="1056"/>
      <c r="BLH122" s="1056"/>
      <c r="BLI122" s="1056"/>
      <c r="BLJ122" s="1056"/>
      <c r="BLK122" s="1056"/>
      <c r="BLL122" s="1056"/>
      <c r="BLM122" s="1056"/>
      <c r="BLN122" s="1056"/>
      <c r="BLO122" s="1056"/>
      <c r="BLP122" s="1056"/>
      <c r="BLQ122" s="1056"/>
      <c r="BLR122" s="1056"/>
      <c r="BLS122" s="1056"/>
      <c r="BLT122" s="1056"/>
      <c r="BLU122" s="1056"/>
      <c r="BLV122" s="1056"/>
      <c r="BLW122" s="1056"/>
      <c r="BLX122" s="1056"/>
      <c r="BLY122" s="1056"/>
      <c r="BLZ122" s="1056"/>
      <c r="BMA122" s="1056"/>
      <c r="BMB122" s="1056"/>
      <c r="BMC122" s="1056"/>
      <c r="BMD122" s="1056"/>
      <c r="BME122" s="1056"/>
      <c r="BMF122" s="1056"/>
      <c r="BMG122" s="1056"/>
      <c r="BMH122" s="1056"/>
      <c r="BMI122" s="1056"/>
      <c r="BMJ122" s="1056"/>
      <c r="BMK122" s="1056"/>
      <c r="BML122" s="1056"/>
      <c r="BMM122" s="1056"/>
      <c r="BMN122" s="1056"/>
      <c r="BMO122" s="1056"/>
      <c r="BMP122" s="1056"/>
      <c r="BMQ122" s="1056"/>
      <c r="BMR122" s="1056"/>
      <c r="BMS122" s="1056"/>
      <c r="BMT122" s="1056"/>
      <c r="BMU122" s="1056"/>
      <c r="BMV122" s="1056"/>
      <c r="BMW122" s="1056"/>
      <c r="BMX122" s="1056"/>
      <c r="BMY122" s="1056"/>
      <c r="BMZ122" s="1056"/>
      <c r="BNA122" s="1056"/>
      <c r="BNB122" s="1056"/>
      <c r="BNC122" s="1056"/>
      <c r="BND122" s="1056"/>
      <c r="BNE122" s="1056"/>
      <c r="BNF122" s="1056"/>
      <c r="BNG122" s="1056"/>
      <c r="BNH122" s="1056"/>
      <c r="BNI122" s="1056"/>
      <c r="BNJ122" s="1056"/>
      <c r="BNK122" s="1056"/>
      <c r="BNL122" s="1056"/>
      <c r="BNM122" s="1056"/>
      <c r="BNN122" s="1056"/>
      <c r="BNO122" s="1056"/>
      <c r="BNP122" s="1056"/>
      <c r="BNQ122" s="1056"/>
      <c r="BNR122" s="1056"/>
      <c r="BNS122" s="1056"/>
      <c r="BNT122" s="1056"/>
      <c r="BNU122" s="1056"/>
      <c r="BNV122" s="1056"/>
      <c r="BNW122" s="1056"/>
      <c r="BNX122" s="1056"/>
      <c r="BNY122" s="1056"/>
      <c r="BNZ122" s="1056"/>
      <c r="BOA122" s="1056"/>
      <c r="BOB122" s="1056"/>
      <c r="BOC122" s="1056"/>
      <c r="BOD122" s="1056"/>
      <c r="BOE122" s="1056"/>
      <c r="BOF122" s="1056"/>
      <c r="BOG122" s="1056"/>
      <c r="BOH122" s="1056"/>
      <c r="BOI122" s="1056"/>
      <c r="BOJ122" s="1056"/>
      <c r="BOK122" s="1056"/>
      <c r="BOL122" s="1056"/>
      <c r="BOM122" s="1056"/>
      <c r="BON122" s="1056"/>
      <c r="BOO122" s="1056"/>
      <c r="BOP122" s="1056"/>
      <c r="BOQ122" s="1056"/>
      <c r="BOR122" s="1056"/>
      <c r="BOS122" s="1056"/>
      <c r="BOT122" s="1056"/>
      <c r="BOU122" s="1056"/>
      <c r="BOV122" s="1056"/>
      <c r="BOW122" s="1056"/>
      <c r="BOX122" s="1056"/>
      <c r="BOY122" s="1056"/>
      <c r="BOZ122" s="1056"/>
      <c r="BPA122" s="1056"/>
      <c r="BPB122" s="1056"/>
      <c r="BPC122" s="1056"/>
      <c r="BPD122" s="1056"/>
      <c r="BPE122" s="1056"/>
      <c r="BPF122" s="1056"/>
      <c r="BPG122" s="1056"/>
      <c r="BPH122" s="1056"/>
      <c r="BPI122" s="1056"/>
      <c r="BPJ122" s="1056"/>
      <c r="BPK122" s="1056"/>
      <c r="BPL122" s="1056"/>
      <c r="BPM122" s="1056"/>
      <c r="BPN122" s="1056"/>
      <c r="BPO122" s="1056"/>
      <c r="BPP122" s="1056"/>
      <c r="BPQ122" s="1056"/>
      <c r="BPR122" s="1056"/>
      <c r="BPS122" s="1056"/>
      <c r="BPT122" s="1056"/>
      <c r="BPU122" s="1056"/>
      <c r="BPV122" s="1056"/>
      <c r="BPW122" s="1056"/>
      <c r="BPX122" s="1056"/>
      <c r="BPY122" s="1056"/>
      <c r="BPZ122" s="1056"/>
      <c r="BQA122" s="1056"/>
      <c r="BQB122" s="1056"/>
      <c r="BQC122" s="1056"/>
      <c r="BQD122" s="1056"/>
      <c r="BQE122" s="1056"/>
      <c r="BQF122" s="1056"/>
      <c r="BQG122" s="1056"/>
      <c r="BQH122" s="1056"/>
      <c r="BQI122" s="1056"/>
      <c r="BQJ122" s="1056"/>
      <c r="BQK122" s="1056"/>
      <c r="BQL122" s="1056"/>
      <c r="BQM122" s="1056"/>
      <c r="BQN122" s="1056"/>
      <c r="BQO122" s="1056"/>
      <c r="BQP122" s="1056"/>
      <c r="BQQ122" s="1056"/>
      <c r="BQR122" s="1056"/>
      <c r="BQS122" s="1056"/>
      <c r="BQT122" s="1056"/>
      <c r="BQU122" s="1056"/>
      <c r="BQV122" s="1056"/>
      <c r="BQW122" s="1056"/>
      <c r="BQX122" s="1056"/>
      <c r="BQY122" s="1056"/>
      <c r="BQZ122" s="1056"/>
      <c r="BRA122" s="1056"/>
      <c r="BRB122" s="1056"/>
      <c r="BRC122" s="1056"/>
      <c r="BRD122" s="1056"/>
      <c r="BRE122" s="1056"/>
      <c r="BRF122" s="1056"/>
      <c r="BRG122" s="1056"/>
      <c r="BRH122" s="1056"/>
      <c r="BRI122" s="1056"/>
      <c r="BRJ122" s="1056"/>
      <c r="BRK122" s="1056"/>
      <c r="BRL122" s="1056"/>
      <c r="BRM122" s="1056"/>
      <c r="BRN122" s="1056"/>
      <c r="BRO122" s="1056"/>
      <c r="BRP122" s="1056"/>
      <c r="BRQ122" s="1056"/>
      <c r="BRR122" s="1056"/>
      <c r="BRS122" s="1056"/>
      <c r="BRT122" s="1056"/>
      <c r="BRU122" s="1056"/>
      <c r="BRV122" s="1056"/>
      <c r="BRW122" s="1056"/>
      <c r="BRX122" s="1056"/>
      <c r="BRY122" s="1056"/>
      <c r="BRZ122" s="1056"/>
      <c r="BSA122" s="1056"/>
      <c r="BSB122" s="1056"/>
      <c r="BSC122" s="1056"/>
      <c r="BSD122" s="1056"/>
      <c r="BSE122" s="1056"/>
      <c r="BSF122" s="1056"/>
      <c r="BSG122" s="1056"/>
      <c r="BSH122" s="1056"/>
      <c r="BSI122" s="1056"/>
      <c r="BSJ122" s="1056"/>
      <c r="BSK122" s="1056"/>
      <c r="BSL122" s="1056"/>
      <c r="BSM122" s="1056"/>
      <c r="BSN122" s="1056"/>
      <c r="BSO122" s="1056"/>
      <c r="BSP122" s="1056"/>
      <c r="BSQ122" s="1056"/>
      <c r="BSR122" s="1056"/>
      <c r="BSS122" s="1056"/>
      <c r="BST122" s="1056"/>
      <c r="BSU122" s="1056"/>
      <c r="BSV122" s="1056"/>
      <c r="BSW122" s="1056"/>
      <c r="BSX122" s="1056"/>
      <c r="BSY122" s="1056"/>
      <c r="BSZ122" s="1056"/>
      <c r="BTA122" s="1056"/>
      <c r="BTB122" s="1056"/>
      <c r="BTC122" s="1056"/>
      <c r="BTD122" s="1056"/>
      <c r="BTE122" s="1056"/>
      <c r="BTF122" s="1056"/>
      <c r="BTG122" s="1056"/>
      <c r="BTH122" s="1056"/>
      <c r="BTI122" s="1056"/>
    </row>
    <row r="123" spans="1:1881" s="1060" customFormat="1" ht="129.75" hidden="1" customHeight="1" thickBot="1" x14ac:dyDescent="0.35">
      <c r="A123" s="1071">
        <v>31</v>
      </c>
      <c r="B123" s="1069" t="s">
        <v>409</v>
      </c>
      <c r="C123" s="1072" t="s">
        <v>1018</v>
      </c>
      <c r="D123" s="1072" t="s">
        <v>1020</v>
      </c>
      <c r="E123" s="1053" t="e">
        <f>HLOOKUP($D$2,'2020 Data(H)'!$C$1:$AI$426,19,FALSE)</f>
        <v>#N/A</v>
      </c>
      <c r="F123" s="287">
        <v>0</v>
      </c>
      <c r="G123" s="722"/>
      <c r="H123" s="764"/>
      <c r="I123" s="1055"/>
      <c r="J123" s="1068"/>
      <c r="K123" s="1056"/>
      <c r="L123" s="1057"/>
      <c r="M123" s="1056"/>
      <c r="N123" s="1058"/>
      <c r="O123" s="1056"/>
      <c r="P123" s="1056"/>
      <c r="Q123" s="1056"/>
      <c r="R123" s="1056"/>
      <c r="S123" s="1056"/>
      <c r="T123" s="1056"/>
      <c r="U123" s="1056"/>
      <c r="V123" s="1056"/>
      <c r="W123" s="1056"/>
      <c r="X123" s="1056"/>
      <c r="Y123" s="1056"/>
      <c r="Z123" s="1073"/>
      <c r="AA123" s="1073"/>
      <c r="AB123" s="1073"/>
      <c r="AC123" s="1073"/>
      <c r="AD123" s="1073"/>
      <c r="AE123" s="1073"/>
      <c r="AF123" s="1073"/>
      <c r="AG123" s="1073"/>
      <c r="AH123" s="1073"/>
      <c r="AI123" s="1073"/>
      <c r="AJ123" s="1073"/>
      <c r="AK123" s="1073"/>
      <c r="AL123" s="1073"/>
      <c r="AM123" s="1073"/>
      <c r="AN123" s="1073"/>
      <c r="AO123" s="1073"/>
      <c r="AP123" s="1073"/>
      <c r="AQ123" s="1073"/>
      <c r="AR123" s="1073"/>
      <c r="AS123" s="1056"/>
      <c r="AT123" s="1056"/>
      <c r="AU123" s="1056"/>
      <c r="AV123" s="1056"/>
      <c r="AW123" s="1056"/>
      <c r="AX123" s="1056"/>
      <c r="AY123" s="1056"/>
      <c r="AZ123" s="1056"/>
      <c r="BA123" s="1056"/>
      <c r="BB123" s="1056"/>
      <c r="BC123" s="1056"/>
      <c r="BD123" s="1056"/>
      <c r="BE123" s="1056"/>
      <c r="BF123" s="1056"/>
      <c r="BG123" s="1056"/>
      <c r="BH123" s="1056"/>
      <c r="BI123" s="1056"/>
      <c r="BJ123" s="1056"/>
      <c r="BK123" s="1056"/>
      <c r="BL123" s="1056"/>
      <c r="BM123" s="1056"/>
      <c r="BN123" s="1056"/>
      <c r="BO123" s="1056"/>
      <c r="BP123" s="1056"/>
      <c r="BQ123" s="1056"/>
      <c r="BR123" s="1056"/>
      <c r="BS123" s="1056"/>
      <c r="BT123" s="1056"/>
      <c r="BU123" s="1056"/>
      <c r="BV123" s="1056"/>
      <c r="BW123" s="1056"/>
      <c r="BX123" s="1056"/>
      <c r="BY123" s="1056"/>
      <c r="BZ123" s="1056"/>
      <c r="CA123" s="1056"/>
      <c r="CB123" s="1056"/>
      <c r="CC123" s="1056"/>
      <c r="CD123" s="1056"/>
      <c r="CE123" s="1056"/>
      <c r="CF123" s="1056"/>
      <c r="CG123" s="1056"/>
      <c r="CH123" s="1056"/>
      <c r="CI123" s="1056"/>
      <c r="CJ123" s="1056"/>
      <c r="CK123" s="1056"/>
      <c r="CL123" s="1056"/>
      <c r="CM123" s="1056"/>
      <c r="CN123" s="1056"/>
      <c r="CO123" s="1056"/>
      <c r="CP123" s="1056"/>
      <c r="CQ123" s="1056"/>
      <c r="CR123" s="1056"/>
      <c r="CS123" s="1056"/>
      <c r="CT123" s="1056"/>
      <c r="CU123" s="1056"/>
      <c r="CV123" s="1056"/>
      <c r="CW123" s="1056"/>
      <c r="CX123" s="1056"/>
      <c r="CY123" s="1056"/>
      <c r="CZ123" s="1056"/>
      <c r="DA123" s="1056"/>
      <c r="DB123" s="1056"/>
      <c r="DC123" s="1056"/>
      <c r="DD123" s="1056"/>
      <c r="DE123" s="1056"/>
      <c r="DF123" s="1056"/>
      <c r="DG123" s="1056"/>
      <c r="DH123" s="1056"/>
      <c r="DI123" s="1056"/>
      <c r="DJ123" s="1056"/>
      <c r="DK123" s="1056"/>
      <c r="DL123" s="1056"/>
      <c r="DM123" s="1056"/>
      <c r="DN123" s="1056"/>
      <c r="DO123" s="1056"/>
      <c r="DP123" s="1056"/>
      <c r="DQ123" s="1056"/>
      <c r="DR123" s="1056"/>
      <c r="DS123" s="1056"/>
      <c r="DT123" s="1056"/>
      <c r="DU123" s="1056"/>
      <c r="DV123" s="1056"/>
      <c r="DW123" s="1056"/>
      <c r="DX123" s="1056"/>
      <c r="DY123" s="1056"/>
      <c r="DZ123" s="1056"/>
      <c r="EA123" s="1056"/>
      <c r="EB123" s="1056"/>
      <c r="EC123" s="1056"/>
      <c r="ED123" s="1056"/>
      <c r="EE123" s="1056"/>
      <c r="EF123" s="1056"/>
      <c r="EG123" s="1056"/>
      <c r="EH123" s="1056"/>
      <c r="EI123" s="1056"/>
      <c r="EJ123" s="1056"/>
      <c r="EK123" s="1056"/>
      <c r="EL123" s="1056"/>
      <c r="EM123" s="1056"/>
      <c r="EN123" s="1056"/>
      <c r="EO123" s="1056"/>
      <c r="EP123" s="1056"/>
      <c r="EQ123" s="1056"/>
      <c r="ER123" s="1056"/>
      <c r="ES123" s="1056"/>
      <c r="ET123" s="1056"/>
      <c r="EU123" s="1056"/>
      <c r="EV123" s="1056"/>
      <c r="EW123" s="1056"/>
      <c r="EX123" s="1056"/>
      <c r="EY123" s="1056"/>
      <c r="EZ123" s="1056"/>
      <c r="FA123" s="1056"/>
      <c r="FB123" s="1056"/>
      <c r="FC123" s="1056"/>
      <c r="FD123" s="1056"/>
      <c r="FE123" s="1056"/>
      <c r="FF123" s="1056"/>
      <c r="FG123" s="1056"/>
      <c r="FH123" s="1056"/>
      <c r="FI123" s="1056"/>
      <c r="FJ123" s="1056"/>
      <c r="FK123" s="1056"/>
      <c r="FL123" s="1056"/>
      <c r="FM123" s="1056"/>
      <c r="FN123" s="1056"/>
      <c r="FO123" s="1056"/>
      <c r="FP123" s="1056"/>
      <c r="FQ123" s="1056"/>
      <c r="FR123" s="1056"/>
      <c r="FS123" s="1056"/>
      <c r="FT123" s="1056"/>
      <c r="FU123" s="1056"/>
      <c r="FV123" s="1056"/>
      <c r="FW123" s="1056"/>
      <c r="FX123" s="1056"/>
      <c r="FY123" s="1056"/>
      <c r="FZ123" s="1056"/>
      <c r="GA123" s="1056"/>
      <c r="GB123" s="1056"/>
      <c r="GC123" s="1056"/>
      <c r="GD123" s="1056"/>
      <c r="GE123" s="1056"/>
      <c r="GF123" s="1056"/>
      <c r="GG123" s="1056"/>
      <c r="GH123" s="1056"/>
      <c r="GI123" s="1056"/>
      <c r="GJ123" s="1056"/>
      <c r="GK123" s="1056"/>
      <c r="GL123" s="1056"/>
      <c r="GM123" s="1056"/>
      <c r="GN123" s="1056"/>
      <c r="GO123" s="1056"/>
      <c r="GP123" s="1056"/>
      <c r="GQ123" s="1056"/>
      <c r="GR123" s="1056"/>
      <c r="GS123" s="1056"/>
      <c r="GT123" s="1056"/>
      <c r="GU123" s="1056"/>
      <c r="GV123" s="1056"/>
      <c r="GW123" s="1056"/>
      <c r="GX123" s="1056"/>
      <c r="GY123" s="1056"/>
      <c r="GZ123" s="1056"/>
      <c r="HA123" s="1056"/>
      <c r="HB123" s="1056"/>
      <c r="HC123" s="1056"/>
      <c r="HD123" s="1056"/>
      <c r="HE123" s="1056"/>
      <c r="HF123" s="1056"/>
      <c r="HG123" s="1056"/>
      <c r="HH123" s="1056"/>
      <c r="HI123" s="1056"/>
      <c r="HJ123" s="1056"/>
      <c r="HK123" s="1056"/>
      <c r="HL123" s="1056"/>
      <c r="HM123" s="1056"/>
      <c r="HN123" s="1056"/>
      <c r="HO123" s="1056"/>
      <c r="HP123" s="1056"/>
      <c r="HQ123" s="1056"/>
      <c r="HR123" s="1056"/>
      <c r="HS123" s="1056"/>
      <c r="HT123" s="1056"/>
      <c r="HU123" s="1056"/>
      <c r="HV123" s="1056"/>
      <c r="HW123" s="1056"/>
      <c r="HX123" s="1056"/>
      <c r="HY123" s="1056"/>
      <c r="HZ123" s="1056"/>
      <c r="IA123" s="1056"/>
      <c r="IB123" s="1056"/>
      <c r="IC123" s="1056"/>
      <c r="ID123" s="1056"/>
      <c r="IE123" s="1056"/>
      <c r="IF123" s="1056"/>
      <c r="IG123" s="1056"/>
      <c r="IH123" s="1056"/>
      <c r="II123" s="1056"/>
      <c r="IJ123" s="1056"/>
      <c r="IK123" s="1056"/>
      <c r="IL123" s="1056"/>
      <c r="IM123" s="1056"/>
      <c r="IN123" s="1056"/>
      <c r="IO123" s="1056"/>
      <c r="IP123" s="1056"/>
      <c r="IQ123" s="1056"/>
      <c r="IR123" s="1056"/>
      <c r="IS123" s="1056"/>
      <c r="IT123" s="1056"/>
      <c r="IU123" s="1056"/>
      <c r="IV123" s="1056"/>
      <c r="IW123" s="1056"/>
      <c r="IX123" s="1056"/>
      <c r="IY123" s="1056"/>
      <c r="IZ123" s="1056"/>
      <c r="JA123" s="1056"/>
      <c r="JB123" s="1056"/>
      <c r="JC123" s="1056"/>
      <c r="JD123" s="1056"/>
      <c r="JE123" s="1056"/>
      <c r="JF123" s="1056"/>
      <c r="JG123" s="1056"/>
      <c r="JH123" s="1056"/>
      <c r="JI123" s="1056"/>
      <c r="JJ123" s="1056"/>
      <c r="JK123" s="1056"/>
      <c r="JL123" s="1056"/>
      <c r="JM123" s="1056"/>
      <c r="JN123" s="1056"/>
      <c r="JO123" s="1056"/>
      <c r="JP123" s="1056"/>
      <c r="JQ123" s="1056"/>
      <c r="JR123" s="1056"/>
      <c r="JS123" s="1056"/>
      <c r="JT123" s="1056"/>
      <c r="JU123" s="1056"/>
      <c r="JV123" s="1056"/>
      <c r="JW123" s="1056"/>
      <c r="JX123" s="1056"/>
      <c r="JY123" s="1056"/>
      <c r="JZ123" s="1056"/>
      <c r="KA123" s="1056"/>
      <c r="KB123" s="1056"/>
      <c r="KC123" s="1056"/>
      <c r="KD123" s="1056"/>
      <c r="KE123" s="1056"/>
      <c r="KF123" s="1056"/>
      <c r="KG123" s="1056"/>
      <c r="KH123" s="1056"/>
      <c r="KI123" s="1056"/>
      <c r="KJ123" s="1056"/>
      <c r="KK123" s="1056"/>
      <c r="KL123" s="1056"/>
      <c r="KM123" s="1056"/>
      <c r="KN123" s="1056"/>
      <c r="KO123" s="1056"/>
      <c r="KP123" s="1056"/>
      <c r="KQ123" s="1056"/>
      <c r="KR123" s="1056"/>
      <c r="KS123" s="1056"/>
      <c r="KT123" s="1056"/>
      <c r="KU123" s="1056"/>
      <c r="KV123" s="1056"/>
      <c r="KW123" s="1056"/>
      <c r="KX123" s="1056"/>
      <c r="KY123" s="1056"/>
      <c r="KZ123" s="1056"/>
      <c r="LA123" s="1056"/>
      <c r="LB123" s="1056"/>
      <c r="LC123" s="1056"/>
      <c r="LD123" s="1056"/>
      <c r="LE123" s="1056"/>
      <c r="LF123" s="1056"/>
      <c r="LG123" s="1056"/>
      <c r="LH123" s="1056"/>
      <c r="LI123" s="1056"/>
      <c r="LJ123" s="1056"/>
      <c r="LK123" s="1056"/>
      <c r="LL123" s="1056"/>
      <c r="LM123" s="1056"/>
      <c r="LN123" s="1056"/>
      <c r="LO123" s="1056"/>
      <c r="LP123" s="1056"/>
      <c r="LQ123" s="1056"/>
      <c r="LR123" s="1056"/>
      <c r="LS123" s="1056"/>
      <c r="LT123" s="1056"/>
      <c r="LU123" s="1056"/>
      <c r="LV123" s="1056"/>
      <c r="LW123" s="1056"/>
      <c r="LX123" s="1056"/>
      <c r="LY123" s="1056"/>
      <c r="LZ123" s="1056"/>
      <c r="MA123" s="1056"/>
      <c r="MB123" s="1056"/>
      <c r="MC123" s="1056"/>
      <c r="MD123" s="1056"/>
      <c r="ME123" s="1056"/>
      <c r="MF123" s="1056"/>
      <c r="MG123" s="1056"/>
      <c r="MH123" s="1056"/>
      <c r="MI123" s="1056"/>
      <c r="MJ123" s="1056"/>
      <c r="MK123" s="1056"/>
      <c r="ML123" s="1056"/>
      <c r="MM123" s="1056"/>
      <c r="MN123" s="1056"/>
      <c r="MO123" s="1056"/>
      <c r="MP123" s="1056"/>
      <c r="MQ123" s="1056"/>
      <c r="MR123" s="1056"/>
      <c r="MS123" s="1056"/>
      <c r="MT123" s="1056"/>
      <c r="MU123" s="1056"/>
      <c r="MV123" s="1056"/>
      <c r="MW123" s="1056"/>
      <c r="MX123" s="1056"/>
      <c r="MY123" s="1056"/>
      <c r="MZ123" s="1056"/>
      <c r="NA123" s="1056"/>
      <c r="NB123" s="1056"/>
      <c r="NC123" s="1056"/>
      <c r="ND123" s="1056"/>
      <c r="NE123" s="1056"/>
      <c r="NF123" s="1056"/>
      <c r="NG123" s="1056"/>
      <c r="NH123" s="1056"/>
      <c r="NI123" s="1056"/>
      <c r="NJ123" s="1056"/>
      <c r="NK123" s="1056"/>
      <c r="NL123" s="1056"/>
      <c r="NM123" s="1056"/>
      <c r="NN123" s="1056"/>
      <c r="NO123" s="1056"/>
      <c r="NP123" s="1056"/>
      <c r="NQ123" s="1056"/>
      <c r="NR123" s="1056"/>
      <c r="NS123" s="1056"/>
      <c r="NT123" s="1056"/>
      <c r="NU123" s="1056"/>
      <c r="NV123" s="1056"/>
      <c r="NW123" s="1056"/>
      <c r="NX123" s="1056"/>
      <c r="NY123" s="1056"/>
      <c r="NZ123" s="1056"/>
      <c r="OA123" s="1056"/>
      <c r="OB123" s="1056"/>
      <c r="OC123" s="1056"/>
      <c r="OD123" s="1056"/>
      <c r="OE123" s="1056"/>
      <c r="OF123" s="1056"/>
      <c r="OG123" s="1056"/>
      <c r="OH123" s="1056"/>
      <c r="OI123" s="1056"/>
      <c r="OJ123" s="1056"/>
      <c r="OK123" s="1056"/>
      <c r="OL123" s="1056"/>
      <c r="OM123" s="1056"/>
      <c r="ON123" s="1056"/>
      <c r="OO123" s="1056"/>
      <c r="OP123" s="1056"/>
      <c r="OQ123" s="1056"/>
      <c r="OR123" s="1056"/>
      <c r="OS123" s="1056"/>
      <c r="OT123" s="1056"/>
      <c r="OU123" s="1056"/>
      <c r="OV123" s="1056"/>
      <c r="OW123" s="1056"/>
      <c r="OX123" s="1056"/>
      <c r="OY123" s="1056"/>
      <c r="OZ123" s="1056"/>
      <c r="PA123" s="1056"/>
      <c r="PB123" s="1056"/>
      <c r="PC123" s="1056"/>
      <c r="PD123" s="1056"/>
      <c r="PE123" s="1056"/>
      <c r="PF123" s="1056"/>
      <c r="PG123" s="1056"/>
      <c r="PH123" s="1056"/>
      <c r="PI123" s="1056"/>
      <c r="PJ123" s="1056"/>
      <c r="PK123" s="1056"/>
      <c r="PL123" s="1056"/>
      <c r="PM123" s="1056"/>
      <c r="PN123" s="1056"/>
      <c r="PO123" s="1056"/>
      <c r="PP123" s="1056"/>
      <c r="PQ123" s="1056"/>
      <c r="PR123" s="1056"/>
      <c r="PS123" s="1056"/>
      <c r="PT123" s="1056"/>
      <c r="PU123" s="1056"/>
      <c r="PV123" s="1056"/>
      <c r="PW123" s="1056"/>
      <c r="PX123" s="1056"/>
      <c r="PY123" s="1056"/>
      <c r="PZ123" s="1056"/>
      <c r="QA123" s="1056"/>
      <c r="QB123" s="1056"/>
      <c r="QC123" s="1056"/>
      <c r="QD123" s="1056"/>
      <c r="QE123" s="1056"/>
      <c r="QF123" s="1056"/>
      <c r="QG123" s="1056"/>
      <c r="QH123" s="1056"/>
      <c r="QI123" s="1056"/>
      <c r="QJ123" s="1056"/>
      <c r="QK123" s="1056"/>
      <c r="QL123" s="1056"/>
      <c r="QM123" s="1056"/>
      <c r="QN123" s="1056"/>
      <c r="QO123" s="1056"/>
      <c r="QP123" s="1056"/>
      <c r="QQ123" s="1056"/>
      <c r="QR123" s="1056"/>
      <c r="QS123" s="1056"/>
      <c r="QT123" s="1056"/>
      <c r="QU123" s="1056"/>
      <c r="QV123" s="1056"/>
      <c r="QW123" s="1056"/>
      <c r="QX123" s="1056"/>
      <c r="QY123" s="1056"/>
      <c r="QZ123" s="1056"/>
      <c r="RA123" s="1056"/>
      <c r="RB123" s="1056"/>
      <c r="RC123" s="1056"/>
      <c r="RD123" s="1056"/>
      <c r="RE123" s="1056"/>
      <c r="RF123" s="1056"/>
      <c r="RG123" s="1056"/>
      <c r="RH123" s="1056"/>
      <c r="RI123" s="1056"/>
      <c r="RJ123" s="1056"/>
      <c r="RK123" s="1056"/>
      <c r="RL123" s="1056"/>
      <c r="RM123" s="1056"/>
      <c r="RN123" s="1056"/>
      <c r="RO123" s="1056"/>
      <c r="RP123" s="1056"/>
      <c r="RQ123" s="1056"/>
      <c r="RR123" s="1056"/>
      <c r="RS123" s="1056"/>
      <c r="RT123" s="1056"/>
      <c r="RU123" s="1056"/>
      <c r="RV123" s="1056"/>
      <c r="RW123" s="1056"/>
      <c r="RX123" s="1056"/>
      <c r="RY123" s="1056"/>
      <c r="RZ123" s="1056"/>
      <c r="SA123" s="1056"/>
      <c r="SB123" s="1056"/>
      <c r="SC123" s="1056"/>
      <c r="SD123" s="1056"/>
      <c r="SE123" s="1056"/>
      <c r="SF123" s="1056"/>
      <c r="SG123" s="1056"/>
      <c r="SH123" s="1056"/>
      <c r="SI123" s="1056"/>
      <c r="SJ123" s="1056"/>
      <c r="SK123" s="1056"/>
      <c r="SL123" s="1056"/>
      <c r="SM123" s="1056"/>
      <c r="SN123" s="1056"/>
      <c r="SO123" s="1056"/>
      <c r="SP123" s="1056"/>
      <c r="SQ123" s="1056"/>
      <c r="SR123" s="1056"/>
      <c r="SS123" s="1056"/>
      <c r="ST123" s="1056"/>
      <c r="SU123" s="1056"/>
      <c r="SV123" s="1056"/>
      <c r="SW123" s="1056"/>
      <c r="SX123" s="1056"/>
      <c r="SY123" s="1056"/>
      <c r="SZ123" s="1056"/>
      <c r="TA123" s="1056"/>
      <c r="TB123" s="1056"/>
      <c r="TC123" s="1056"/>
      <c r="TD123" s="1056"/>
      <c r="TE123" s="1056"/>
      <c r="TF123" s="1056"/>
      <c r="TG123" s="1056"/>
      <c r="TH123" s="1056"/>
      <c r="TI123" s="1056"/>
      <c r="TJ123" s="1056"/>
      <c r="TK123" s="1056"/>
      <c r="TL123" s="1056"/>
      <c r="TM123" s="1056"/>
      <c r="TN123" s="1056"/>
      <c r="TO123" s="1056"/>
      <c r="TP123" s="1056"/>
      <c r="TQ123" s="1056"/>
      <c r="TR123" s="1056"/>
      <c r="TS123" s="1056"/>
      <c r="TT123" s="1056"/>
      <c r="TU123" s="1056"/>
      <c r="TV123" s="1056"/>
      <c r="TW123" s="1056"/>
      <c r="TX123" s="1056"/>
      <c r="TY123" s="1056"/>
      <c r="TZ123" s="1056"/>
      <c r="UA123" s="1056"/>
      <c r="UB123" s="1056"/>
      <c r="UC123" s="1056"/>
      <c r="UD123" s="1056"/>
      <c r="UE123" s="1056"/>
      <c r="UF123" s="1056"/>
      <c r="UG123" s="1056"/>
      <c r="UH123" s="1056"/>
      <c r="UI123" s="1056"/>
      <c r="UJ123" s="1056"/>
      <c r="UK123" s="1056"/>
      <c r="UL123" s="1056"/>
      <c r="UM123" s="1056"/>
      <c r="UN123" s="1056"/>
      <c r="UO123" s="1056"/>
      <c r="UP123" s="1056"/>
      <c r="UQ123" s="1056"/>
      <c r="UR123" s="1056"/>
      <c r="US123" s="1056"/>
      <c r="UT123" s="1056"/>
      <c r="UU123" s="1056"/>
      <c r="UV123" s="1056"/>
      <c r="UW123" s="1056"/>
      <c r="UX123" s="1056"/>
      <c r="UY123" s="1056"/>
      <c r="UZ123" s="1056"/>
      <c r="VA123" s="1056"/>
      <c r="VB123" s="1056"/>
      <c r="VC123" s="1056"/>
      <c r="VD123" s="1056"/>
      <c r="VE123" s="1056"/>
      <c r="VF123" s="1056"/>
      <c r="VG123" s="1056"/>
      <c r="VH123" s="1056"/>
      <c r="VI123" s="1056"/>
      <c r="VJ123" s="1056"/>
      <c r="VK123" s="1056"/>
      <c r="VL123" s="1056"/>
      <c r="VM123" s="1056"/>
      <c r="VN123" s="1056"/>
      <c r="VO123" s="1056"/>
      <c r="VP123" s="1056"/>
      <c r="VQ123" s="1056"/>
      <c r="VR123" s="1056"/>
      <c r="VS123" s="1056"/>
      <c r="VT123" s="1056"/>
      <c r="VU123" s="1056"/>
      <c r="VV123" s="1056"/>
      <c r="VW123" s="1056"/>
      <c r="VX123" s="1056"/>
      <c r="VY123" s="1056"/>
      <c r="VZ123" s="1056"/>
      <c r="WA123" s="1056"/>
      <c r="WB123" s="1056"/>
      <c r="WC123" s="1056"/>
      <c r="WD123" s="1056"/>
      <c r="WE123" s="1056"/>
      <c r="WF123" s="1056"/>
      <c r="WG123" s="1056"/>
      <c r="WH123" s="1056"/>
      <c r="WI123" s="1056"/>
      <c r="WJ123" s="1056"/>
      <c r="WK123" s="1056"/>
      <c r="WL123" s="1056"/>
      <c r="WM123" s="1056"/>
      <c r="WN123" s="1056"/>
      <c r="WO123" s="1056"/>
      <c r="WP123" s="1056"/>
      <c r="WQ123" s="1056"/>
      <c r="WR123" s="1056"/>
      <c r="WS123" s="1056"/>
      <c r="WT123" s="1056"/>
      <c r="WU123" s="1056"/>
      <c r="WV123" s="1056"/>
      <c r="WW123" s="1056"/>
      <c r="WX123" s="1056"/>
      <c r="WY123" s="1056"/>
      <c r="WZ123" s="1056"/>
      <c r="XA123" s="1056"/>
      <c r="XB123" s="1056"/>
      <c r="XC123" s="1056"/>
      <c r="XD123" s="1056"/>
      <c r="XE123" s="1056"/>
      <c r="XF123" s="1056"/>
      <c r="XG123" s="1056"/>
      <c r="XH123" s="1056"/>
      <c r="XI123" s="1056"/>
      <c r="XJ123" s="1056"/>
      <c r="XK123" s="1056"/>
      <c r="XL123" s="1056"/>
      <c r="XM123" s="1056"/>
      <c r="XN123" s="1056"/>
      <c r="XO123" s="1056"/>
      <c r="XP123" s="1056"/>
      <c r="XQ123" s="1056"/>
      <c r="XR123" s="1056"/>
      <c r="XS123" s="1056"/>
      <c r="XT123" s="1056"/>
      <c r="XU123" s="1056"/>
      <c r="XV123" s="1056"/>
      <c r="XW123" s="1056"/>
      <c r="XX123" s="1056"/>
      <c r="XY123" s="1056"/>
      <c r="XZ123" s="1056"/>
      <c r="YA123" s="1056"/>
      <c r="YB123" s="1056"/>
      <c r="YC123" s="1056"/>
      <c r="YD123" s="1056"/>
      <c r="YE123" s="1056"/>
      <c r="YF123" s="1056"/>
      <c r="YG123" s="1056"/>
      <c r="YH123" s="1056"/>
      <c r="YI123" s="1056"/>
      <c r="YJ123" s="1056"/>
      <c r="YK123" s="1056"/>
      <c r="YL123" s="1056"/>
      <c r="YM123" s="1056"/>
      <c r="YN123" s="1056"/>
      <c r="YO123" s="1056"/>
      <c r="YP123" s="1056"/>
      <c r="YQ123" s="1056"/>
      <c r="YR123" s="1056"/>
      <c r="YS123" s="1056"/>
      <c r="YT123" s="1056"/>
      <c r="YU123" s="1056"/>
      <c r="YV123" s="1056"/>
      <c r="YW123" s="1056"/>
      <c r="YX123" s="1056"/>
      <c r="YY123" s="1056"/>
      <c r="YZ123" s="1056"/>
      <c r="ZA123" s="1056"/>
      <c r="ZB123" s="1056"/>
      <c r="ZC123" s="1056"/>
      <c r="ZD123" s="1056"/>
      <c r="ZE123" s="1056"/>
      <c r="ZF123" s="1056"/>
      <c r="ZG123" s="1056"/>
      <c r="ZH123" s="1056"/>
      <c r="ZI123" s="1056"/>
      <c r="ZJ123" s="1056"/>
      <c r="ZK123" s="1056"/>
      <c r="ZL123" s="1056"/>
      <c r="ZM123" s="1056"/>
      <c r="ZN123" s="1056"/>
      <c r="ZO123" s="1056"/>
      <c r="ZP123" s="1056"/>
      <c r="ZQ123" s="1056"/>
      <c r="ZR123" s="1056"/>
      <c r="ZS123" s="1056"/>
      <c r="ZT123" s="1056"/>
      <c r="ZU123" s="1056"/>
      <c r="ZV123" s="1056"/>
      <c r="ZW123" s="1056"/>
      <c r="ZX123" s="1056"/>
      <c r="ZY123" s="1056"/>
      <c r="ZZ123" s="1056"/>
      <c r="AAA123" s="1056"/>
      <c r="AAB123" s="1056"/>
      <c r="AAC123" s="1056"/>
      <c r="AAD123" s="1056"/>
      <c r="AAE123" s="1056"/>
      <c r="AAF123" s="1056"/>
      <c r="AAG123" s="1056"/>
      <c r="AAH123" s="1056"/>
      <c r="AAI123" s="1056"/>
      <c r="AAJ123" s="1056"/>
      <c r="AAK123" s="1056"/>
      <c r="AAL123" s="1056"/>
      <c r="AAM123" s="1056"/>
      <c r="AAN123" s="1056"/>
      <c r="AAO123" s="1056"/>
      <c r="AAP123" s="1056"/>
      <c r="AAQ123" s="1056"/>
      <c r="AAR123" s="1056"/>
      <c r="AAS123" s="1056"/>
      <c r="AAT123" s="1056"/>
      <c r="AAU123" s="1056"/>
      <c r="AAV123" s="1056"/>
      <c r="AAW123" s="1056"/>
      <c r="AAX123" s="1056"/>
      <c r="AAY123" s="1056"/>
      <c r="AAZ123" s="1056"/>
      <c r="ABA123" s="1056"/>
      <c r="ABB123" s="1056"/>
      <c r="ABC123" s="1056"/>
      <c r="ABD123" s="1056"/>
      <c r="ABE123" s="1056"/>
      <c r="ABF123" s="1056"/>
      <c r="ABG123" s="1056"/>
      <c r="ABH123" s="1056"/>
      <c r="ABI123" s="1056"/>
      <c r="ABJ123" s="1056"/>
      <c r="ABK123" s="1056"/>
      <c r="ABL123" s="1056"/>
      <c r="ABM123" s="1056"/>
      <c r="ABN123" s="1056"/>
      <c r="ABO123" s="1056"/>
      <c r="ABP123" s="1056"/>
      <c r="ABQ123" s="1056"/>
      <c r="ABR123" s="1056"/>
      <c r="ABS123" s="1056"/>
      <c r="ABT123" s="1056"/>
      <c r="ABU123" s="1056"/>
      <c r="ABV123" s="1056"/>
      <c r="ABW123" s="1056"/>
      <c r="ABX123" s="1056"/>
      <c r="ABY123" s="1056"/>
      <c r="ABZ123" s="1056"/>
      <c r="ACA123" s="1056"/>
      <c r="ACB123" s="1056"/>
      <c r="ACC123" s="1056"/>
      <c r="ACD123" s="1056"/>
      <c r="ACE123" s="1056"/>
      <c r="ACF123" s="1056"/>
      <c r="ACG123" s="1056"/>
      <c r="ACH123" s="1056"/>
      <c r="ACI123" s="1056"/>
      <c r="ACJ123" s="1056"/>
      <c r="ACK123" s="1056"/>
      <c r="ACL123" s="1056"/>
      <c r="ACM123" s="1056"/>
      <c r="ACN123" s="1056"/>
      <c r="ACO123" s="1056"/>
      <c r="ACP123" s="1056"/>
      <c r="ACQ123" s="1056"/>
      <c r="ACR123" s="1056"/>
      <c r="ACS123" s="1056"/>
      <c r="ACT123" s="1056"/>
      <c r="ACU123" s="1056"/>
      <c r="ACV123" s="1056"/>
      <c r="ACW123" s="1056"/>
      <c r="ACX123" s="1056"/>
      <c r="ACY123" s="1056"/>
      <c r="ACZ123" s="1056"/>
      <c r="ADA123" s="1056"/>
      <c r="ADB123" s="1056"/>
      <c r="ADC123" s="1056"/>
      <c r="ADD123" s="1056"/>
      <c r="ADE123" s="1056"/>
      <c r="ADF123" s="1056"/>
      <c r="ADG123" s="1056"/>
      <c r="ADH123" s="1056"/>
      <c r="ADI123" s="1056"/>
      <c r="ADJ123" s="1056"/>
      <c r="ADK123" s="1056"/>
      <c r="ADL123" s="1056"/>
      <c r="ADM123" s="1056"/>
      <c r="ADN123" s="1056"/>
      <c r="ADO123" s="1056"/>
      <c r="ADP123" s="1056"/>
      <c r="ADQ123" s="1056"/>
      <c r="ADR123" s="1056"/>
      <c r="ADS123" s="1056"/>
      <c r="ADT123" s="1056"/>
      <c r="ADU123" s="1056"/>
      <c r="ADV123" s="1056"/>
      <c r="ADW123" s="1056"/>
      <c r="ADX123" s="1056"/>
      <c r="ADY123" s="1056"/>
      <c r="ADZ123" s="1056"/>
      <c r="AEA123" s="1056"/>
      <c r="AEB123" s="1056"/>
      <c r="AEC123" s="1056"/>
      <c r="AED123" s="1056"/>
      <c r="AEE123" s="1056"/>
      <c r="AEF123" s="1056"/>
      <c r="AEG123" s="1056"/>
      <c r="AEH123" s="1056"/>
      <c r="AEI123" s="1056"/>
      <c r="AEJ123" s="1056"/>
      <c r="AEK123" s="1056"/>
      <c r="AEL123" s="1056"/>
      <c r="AEM123" s="1056"/>
      <c r="AEN123" s="1056"/>
      <c r="AEO123" s="1056"/>
      <c r="AEP123" s="1056"/>
      <c r="AEQ123" s="1056"/>
      <c r="AER123" s="1056"/>
      <c r="AES123" s="1056"/>
      <c r="AET123" s="1056"/>
      <c r="AEU123" s="1056"/>
      <c r="AEV123" s="1056"/>
      <c r="AEW123" s="1056"/>
      <c r="AEX123" s="1056"/>
      <c r="AEY123" s="1056"/>
      <c r="AEZ123" s="1056"/>
      <c r="AFA123" s="1056"/>
      <c r="AFB123" s="1056"/>
      <c r="AFC123" s="1056"/>
      <c r="AFD123" s="1056"/>
      <c r="AFE123" s="1056"/>
      <c r="AFF123" s="1056"/>
      <c r="AFG123" s="1056"/>
      <c r="AFH123" s="1056"/>
      <c r="AFI123" s="1056"/>
      <c r="AFJ123" s="1056"/>
      <c r="AFK123" s="1056"/>
      <c r="AFL123" s="1056"/>
      <c r="AFM123" s="1056"/>
      <c r="AFN123" s="1056"/>
      <c r="AFO123" s="1056"/>
      <c r="AFP123" s="1056"/>
      <c r="AFQ123" s="1056"/>
      <c r="AFR123" s="1056"/>
      <c r="AFS123" s="1056"/>
      <c r="AFT123" s="1056"/>
      <c r="AFU123" s="1056"/>
      <c r="AFV123" s="1056"/>
      <c r="AFW123" s="1056"/>
      <c r="AFX123" s="1056"/>
      <c r="AFY123" s="1056"/>
      <c r="AFZ123" s="1056"/>
      <c r="AGA123" s="1056"/>
      <c r="AGB123" s="1056"/>
      <c r="AGC123" s="1056"/>
      <c r="AGD123" s="1056"/>
      <c r="AGE123" s="1056"/>
      <c r="AGF123" s="1056"/>
      <c r="AGG123" s="1056"/>
      <c r="AGH123" s="1056"/>
      <c r="AGI123" s="1056"/>
      <c r="AGJ123" s="1056"/>
      <c r="AGK123" s="1056"/>
      <c r="AGL123" s="1056"/>
      <c r="AGM123" s="1056"/>
      <c r="AGN123" s="1056"/>
      <c r="AGO123" s="1056"/>
      <c r="AGP123" s="1056"/>
      <c r="AGQ123" s="1056"/>
      <c r="AGR123" s="1056"/>
      <c r="AGS123" s="1056"/>
      <c r="AGT123" s="1056"/>
      <c r="AGU123" s="1056"/>
      <c r="AGV123" s="1056"/>
      <c r="AGW123" s="1056"/>
      <c r="AGX123" s="1056"/>
      <c r="AGY123" s="1056"/>
      <c r="AGZ123" s="1056"/>
      <c r="AHA123" s="1056"/>
      <c r="AHB123" s="1056"/>
      <c r="AHC123" s="1056"/>
      <c r="AHD123" s="1056"/>
      <c r="AHE123" s="1056"/>
      <c r="AHF123" s="1056"/>
      <c r="AHG123" s="1056"/>
      <c r="AHH123" s="1056"/>
      <c r="AHI123" s="1056"/>
      <c r="AHJ123" s="1056"/>
      <c r="AHK123" s="1056"/>
      <c r="AHL123" s="1056"/>
      <c r="AHM123" s="1056"/>
      <c r="AHN123" s="1056"/>
      <c r="AHO123" s="1056"/>
      <c r="AHP123" s="1056"/>
      <c r="AHQ123" s="1056"/>
      <c r="AHR123" s="1056"/>
      <c r="AHS123" s="1056"/>
      <c r="AHT123" s="1056"/>
      <c r="AHU123" s="1056"/>
      <c r="AHV123" s="1056"/>
      <c r="AHW123" s="1056"/>
      <c r="AHX123" s="1056"/>
      <c r="AHY123" s="1056"/>
      <c r="AHZ123" s="1056"/>
      <c r="AIA123" s="1056"/>
      <c r="AIB123" s="1056"/>
      <c r="AIC123" s="1056"/>
      <c r="AID123" s="1056"/>
      <c r="AIE123" s="1056"/>
      <c r="AIF123" s="1056"/>
      <c r="AIG123" s="1056"/>
      <c r="AIH123" s="1056"/>
      <c r="AII123" s="1056"/>
      <c r="AIJ123" s="1056"/>
      <c r="AIK123" s="1056"/>
      <c r="AIL123" s="1056"/>
      <c r="AIM123" s="1056"/>
      <c r="AIN123" s="1056"/>
      <c r="AIO123" s="1056"/>
      <c r="AIP123" s="1056"/>
      <c r="AIQ123" s="1056"/>
      <c r="AIR123" s="1056"/>
      <c r="AIS123" s="1056"/>
      <c r="AIT123" s="1056"/>
      <c r="AIU123" s="1056"/>
      <c r="AIV123" s="1056"/>
      <c r="AIW123" s="1056"/>
      <c r="AIX123" s="1056"/>
      <c r="AIY123" s="1056"/>
      <c r="AIZ123" s="1056"/>
      <c r="AJA123" s="1056"/>
      <c r="AJB123" s="1056"/>
      <c r="AJC123" s="1056"/>
      <c r="AJD123" s="1056"/>
      <c r="AJE123" s="1056"/>
      <c r="AJF123" s="1056"/>
      <c r="AJG123" s="1056"/>
      <c r="AJH123" s="1056"/>
      <c r="AJI123" s="1056"/>
      <c r="AJJ123" s="1056"/>
      <c r="AJK123" s="1056"/>
      <c r="AJL123" s="1056"/>
      <c r="AJM123" s="1056"/>
      <c r="AJN123" s="1056"/>
      <c r="AJO123" s="1056"/>
      <c r="AJP123" s="1056"/>
      <c r="AJQ123" s="1056"/>
      <c r="AJR123" s="1056"/>
      <c r="AJS123" s="1056"/>
      <c r="AJT123" s="1056"/>
      <c r="AJU123" s="1056"/>
      <c r="AJV123" s="1056"/>
      <c r="AJW123" s="1056"/>
      <c r="AJX123" s="1056"/>
      <c r="AJY123" s="1056"/>
      <c r="AJZ123" s="1056"/>
      <c r="AKA123" s="1056"/>
      <c r="AKB123" s="1056"/>
      <c r="AKC123" s="1056"/>
      <c r="AKD123" s="1056"/>
      <c r="AKE123" s="1056"/>
      <c r="AKF123" s="1056"/>
      <c r="AKG123" s="1056"/>
      <c r="AKH123" s="1056"/>
      <c r="AKI123" s="1056"/>
      <c r="AKJ123" s="1056"/>
      <c r="AKK123" s="1056"/>
      <c r="AKL123" s="1056"/>
      <c r="AKM123" s="1056"/>
      <c r="AKN123" s="1056"/>
      <c r="AKO123" s="1056"/>
      <c r="AKP123" s="1056"/>
      <c r="AKQ123" s="1056"/>
      <c r="AKR123" s="1056"/>
      <c r="AKS123" s="1056"/>
      <c r="AKT123" s="1056"/>
      <c r="AKU123" s="1056"/>
      <c r="AKV123" s="1056"/>
      <c r="AKW123" s="1056"/>
      <c r="AKX123" s="1056"/>
      <c r="AKY123" s="1056"/>
      <c r="AKZ123" s="1056"/>
      <c r="ALA123" s="1056"/>
      <c r="ALB123" s="1056"/>
      <c r="ALC123" s="1056"/>
      <c r="ALD123" s="1056"/>
      <c r="ALE123" s="1056"/>
      <c r="ALF123" s="1056"/>
      <c r="ALG123" s="1056"/>
      <c r="ALH123" s="1056"/>
      <c r="ALI123" s="1056"/>
      <c r="ALJ123" s="1056"/>
      <c r="ALK123" s="1056"/>
      <c r="ALL123" s="1056"/>
      <c r="ALM123" s="1056"/>
      <c r="ALN123" s="1056"/>
      <c r="ALO123" s="1056"/>
      <c r="ALP123" s="1056"/>
      <c r="ALQ123" s="1056"/>
      <c r="ALR123" s="1056"/>
      <c r="ALS123" s="1056"/>
      <c r="ALT123" s="1056"/>
      <c r="ALU123" s="1056"/>
      <c r="ALV123" s="1056"/>
      <c r="ALW123" s="1056"/>
      <c r="ALX123" s="1056"/>
      <c r="ALY123" s="1056"/>
      <c r="ALZ123" s="1056"/>
      <c r="AMA123" s="1056"/>
      <c r="AMB123" s="1056"/>
      <c r="AMC123" s="1056"/>
      <c r="AMD123" s="1056"/>
      <c r="AME123" s="1056"/>
      <c r="AMF123" s="1056"/>
      <c r="AMG123" s="1056"/>
      <c r="AMH123" s="1056"/>
      <c r="AMI123" s="1056"/>
      <c r="AMJ123" s="1056"/>
      <c r="AMK123" s="1056"/>
      <c r="AML123" s="1056"/>
      <c r="AMM123" s="1056"/>
      <c r="AMN123" s="1056"/>
      <c r="AMO123" s="1056"/>
      <c r="AMP123" s="1056"/>
      <c r="AMQ123" s="1056"/>
      <c r="AMR123" s="1056"/>
      <c r="AMS123" s="1056"/>
      <c r="AMT123" s="1056"/>
      <c r="AMU123" s="1056"/>
      <c r="AMV123" s="1056"/>
      <c r="AMW123" s="1056"/>
      <c r="AMX123" s="1056"/>
      <c r="AMY123" s="1056"/>
      <c r="AMZ123" s="1056"/>
      <c r="ANA123" s="1056"/>
      <c r="ANB123" s="1056"/>
      <c r="ANC123" s="1056"/>
      <c r="AND123" s="1056"/>
      <c r="ANE123" s="1056"/>
      <c r="ANF123" s="1056"/>
      <c r="ANG123" s="1056"/>
      <c r="ANH123" s="1056"/>
      <c r="ANI123" s="1056"/>
      <c r="ANJ123" s="1056"/>
      <c r="ANK123" s="1056"/>
      <c r="ANL123" s="1056"/>
      <c r="ANM123" s="1056"/>
      <c r="ANN123" s="1056"/>
      <c r="ANO123" s="1056"/>
      <c r="ANP123" s="1056"/>
      <c r="ANQ123" s="1056"/>
      <c r="ANR123" s="1056"/>
      <c r="ANS123" s="1056"/>
      <c r="ANT123" s="1056"/>
      <c r="ANU123" s="1056"/>
      <c r="ANV123" s="1056"/>
      <c r="ANW123" s="1056"/>
      <c r="ANX123" s="1056"/>
      <c r="ANY123" s="1056"/>
      <c r="ANZ123" s="1056"/>
      <c r="AOA123" s="1056"/>
      <c r="AOB123" s="1056"/>
      <c r="AOC123" s="1056"/>
      <c r="AOD123" s="1056"/>
      <c r="AOE123" s="1056"/>
      <c r="AOF123" s="1056"/>
      <c r="AOG123" s="1056"/>
      <c r="AOH123" s="1056"/>
      <c r="AOI123" s="1056"/>
      <c r="AOJ123" s="1056"/>
      <c r="AOK123" s="1056"/>
      <c r="AOL123" s="1056"/>
      <c r="AOM123" s="1056"/>
      <c r="AON123" s="1056"/>
      <c r="AOO123" s="1056"/>
      <c r="AOP123" s="1056"/>
      <c r="AOQ123" s="1056"/>
      <c r="AOR123" s="1056"/>
      <c r="AOS123" s="1056"/>
      <c r="AOT123" s="1056"/>
      <c r="AOU123" s="1056"/>
      <c r="AOV123" s="1056"/>
      <c r="AOW123" s="1056"/>
      <c r="AOX123" s="1056"/>
      <c r="AOY123" s="1056"/>
      <c r="AOZ123" s="1056"/>
      <c r="APA123" s="1056"/>
      <c r="APB123" s="1056"/>
      <c r="APC123" s="1056"/>
      <c r="APD123" s="1056"/>
      <c r="APE123" s="1056"/>
      <c r="APF123" s="1056"/>
      <c r="APG123" s="1056"/>
      <c r="APH123" s="1056"/>
      <c r="API123" s="1056"/>
      <c r="APJ123" s="1056"/>
      <c r="APK123" s="1056"/>
      <c r="APL123" s="1056"/>
      <c r="APM123" s="1056"/>
      <c r="APN123" s="1056"/>
      <c r="APO123" s="1056"/>
      <c r="APP123" s="1056"/>
      <c r="APQ123" s="1056"/>
      <c r="APR123" s="1056"/>
      <c r="APS123" s="1056"/>
      <c r="APT123" s="1056"/>
      <c r="APU123" s="1056"/>
      <c r="APV123" s="1056"/>
      <c r="APW123" s="1056"/>
      <c r="APX123" s="1056"/>
      <c r="APY123" s="1056"/>
      <c r="APZ123" s="1056"/>
      <c r="AQA123" s="1056"/>
      <c r="AQB123" s="1056"/>
      <c r="AQC123" s="1056"/>
      <c r="AQD123" s="1056"/>
      <c r="AQE123" s="1056"/>
      <c r="AQF123" s="1056"/>
      <c r="AQG123" s="1056"/>
      <c r="AQH123" s="1056"/>
      <c r="AQI123" s="1056"/>
      <c r="AQJ123" s="1056"/>
      <c r="AQK123" s="1056"/>
      <c r="AQL123" s="1056"/>
      <c r="AQM123" s="1056"/>
      <c r="AQN123" s="1056"/>
      <c r="AQO123" s="1056"/>
      <c r="AQP123" s="1056"/>
      <c r="AQQ123" s="1056"/>
      <c r="AQR123" s="1056"/>
      <c r="AQS123" s="1056"/>
      <c r="AQT123" s="1056"/>
      <c r="AQU123" s="1056"/>
      <c r="AQV123" s="1056"/>
      <c r="AQW123" s="1056"/>
      <c r="AQX123" s="1056"/>
      <c r="AQY123" s="1056"/>
      <c r="AQZ123" s="1056"/>
      <c r="ARA123" s="1056"/>
      <c r="ARB123" s="1056"/>
      <c r="ARC123" s="1056"/>
      <c r="ARD123" s="1056"/>
      <c r="ARE123" s="1056"/>
      <c r="ARF123" s="1056"/>
      <c r="ARG123" s="1056"/>
      <c r="ARH123" s="1056"/>
      <c r="ARI123" s="1056"/>
      <c r="ARJ123" s="1056"/>
      <c r="ARK123" s="1056"/>
      <c r="ARL123" s="1056"/>
      <c r="ARM123" s="1056"/>
      <c r="ARN123" s="1056"/>
      <c r="ARO123" s="1056"/>
      <c r="ARP123" s="1056"/>
      <c r="ARQ123" s="1056"/>
      <c r="ARR123" s="1056"/>
      <c r="ARS123" s="1056"/>
      <c r="ART123" s="1056"/>
      <c r="ARU123" s="1056"/>
      <c r="ARV123" s="1056"/>
      <c r="ARW123" s="1056"/>
      <c r="ARX123" s="1056"/>
      <c r="ARY123" s="1056"/>
      <c r="ARZ123" s="1056"/>
      <c r="ASA123" s="1056"/>
      <c r="ASB123" s="1056"/>
      <c r="ASC123" s="1056"/>
      <c r="ASD123" s="1056"/>
      <c r="ASE123" s="1056"/>
      <c r="ASF123" s="1056"/>
      <c r="ASG123" s="1056"/>
      <c r="ASH123" s="1056"/>
      <c r="ASI123" s="1056"/>
      <c r="ASJ123" s="1056"/>
      <c r="ASK123" s="1056"/>
      <c r="ASL123" s="1056"/>
      <c r="ASM123" s="1056"/>
      <c r="ASN123" s="1056"/>
      <c r="ASO123" s="1056"/>
      <c r="ASP123" s="1056"/>
      <c r="ASQ123" s="1056"/>
      <c r="ASR123" s="1056"/>
      <c r="ASS123" s="1056"/>
      <c r="AST123" s="1056"/>
      <c r="ASU123" s="1056"/>
      <c r="ASV123" s="1056"/>
      <c r="ASW123" s="1056"/>
      <c r="ASX123" s="1056"/>
      <c r="ASY123" s="1056"/>
      <c r="ASZ123" s="1056"/>
      <c r="ATA123" s="1056"/>
      <c r="ATB123" s="1056"/>
      <c r="ATC123" s="1056"/>
      <c r="ATD123" s="1056"/>
      <c r="ATE123" s="1056"/>
      <c r="ATF123" s="1056"/>
      <c r="ATG123" s="1056"/>
      <c r="ATH123" s="1056"/>
      <c r="ATI123" s="1056"/>
      <c r="ATJ123" s="1056"/>
      <c r="ATK123" s="1056"/>
      <c r="ATL123" s="1056"/>
      <c r="ATM123" s="1056"/>
      <c r="ATN123" s="1056"/>
      <c r="ATO123" s="1056"/>
      <c r="ATP123" s="1056"/>
      <c r="ATQ123" s="1056"/>
      <c r="ATR123" s="1056"/>
      <c r="ATS123" s="1056"/>
      <c r="ATT123" s="1056"/>
      <c r="ATU123" s="1056"/>
      <c r="ATV123" s="1056"/>
      <c r="ATW123" s="1056"/>
      <c r="ATX123" s="1056"/>
      <c r="ATY123" s="1056"/>
      <c r="ATZ123" s="1056"/>
      <c r="AUA123" s="1056"/>
      <c r="AUB123" s="1056"/>
      <c r="AUC123" s="1056"/>
      <c r="AUD123" s="1056"/>
      <c r="AUE123" s="1056"/>
      <c r="AUF123" s="1056"/>
      <c r="AUG123" s="1056"/>
      <c r="AUH123" s="1056"/>
      <c r="AUI123" s="1056"/>
      <c r="AUJ123" s="1056"/>
      <c r="AUK123" s="1056"/>
      <c r="AUL123" s="1056"/>
      <c r="AUM123" s="1056"/>
      <c r="AUN123" s="1056"/>
      <c r="AUO123" s="1056"/>
      <c r="AUP123" s="1056"/>
      <c r="AUQ123" s="1056"/>
      <c r="AUR123" s="1056"/>
      <c r="AUS123" s="1056"/>
      <c r="AUT123" s="1056"/>
      <c r="AUU123" s="1056"/>
      <c r="AUV123" s="1056"/>
      <c r="AUW123" s="1056"/>
      <c r="AUX123" s="1056"/>
      <c r="AUY123" s="1056"/>
      <c r="AUZ123" s="1056"/>
      <c r="AVA123" s="1056"/>
      <c r="AVB123" s="1056"/>
      <c r="AVC123" s="1056"/>
      <c r="AVD123" s="1056"/>
      <c r="AVE123" s="1056"/>
      <c r="AVF123" s="1056"/>
      <c r="AVG123" s="1056"/>
      <c r="AVH123" s="1056"/>
      <c r="AVI123" s="1056"/>
      <c r="AVJ123" s="1056"/>
      <c r="AVK123" s="1056"/>
      <c r="AVL123" s="1056"/>
      <c r="AVM123" s="1056"/>
      <c r="AVN123" s="1056"/>
      <c r="AVO123" s="1056"/>
      <c r="AVP123" s="1056"/>
      <c r="AVQ123" s="1056"/>
      <c r="AVR123" s="1056"/>
      <c r="AVS123" s="1056"/>
      <c r="AVT123" s="1056"/>
      <c r="AVU123" s="1056"/>
      <c r="AVV123" s="1056"/>
      <c r="AVW123" s="1056"/>
      <c r="AVX123" s="1056"/>
      <c r="AVY123" s="1056"/>
      <c r="AVZ123" s="1056"/>
      <c r="AWA123" s="1056"/>
      <c r="AWB123" s="1056"/>
      <c r="AWC123" s="1056"/>
      <c r="AWD123" s="1056"/>
      <c r="AWE123" s="1056"/>
      <c r="AWF123" s="1056"/>
      <c r="AWG123" s="1056"/>
      <c r="AWH123" s="1056"/>
      <c r="AWI123" s="1056"/>
      <c r="AWJ123" s="1056"/>
      <c r="AWK123" s="1056"/>
      <c r="AWL123" s="1056"/>
      <c r="AWM123" s="1056"/>
      <c r="AWN123" s="1056"/>
      <c r="AWO123" s="1056"/>
      <c r="AWP123" s="1056"/>
      <c r="AWQ123" s="1056"/>
      <c r="AWR123" s="1056"/>
      <c r="AWS123" s="1056"/>
      <c r="AWT123" s="1056"/>
      <c r="AWU123" s="1056"/>
      <c r="AWV123" s="1056"/>
      <c r="AWW123" s="1056"/>
      <c r="AWX123" s="1056"/>
      <c r="AWY123" s="1056"/>
      <c r="AWZ123" s="1056"/>
      <c r="AXA123" s="1056"/>
      <c r="AXB123" s="1056"/>
      <c r="AXC123" s="1056"/>
      <c r="AXD123" s="1056"/>
      <c r="AXE123" s="1056"/>
      <c r="AXF123" s="1056"/>
      <c r="AXG123" s="1056"/>
      <c r="AXH123" s="1056"/>
      <c r="AXI123" s="1056"/>
      <c r="AXJ123" s="1056"/>
      <c r="AXK123" s="1056"/>
      <c r="AXL123" s="1056"/>
      <c r="AXM123" s="1056"/>
      <c r="AXN123" s="1056"/>
      <c r="AXO123" s="1056"/>
      <c r="AXP123" s="1056"/>
      <c r="AXQ123" s="1056"/>
      <c r="AXR123" s="1056"/>
      <c r="AXS123" s="1056"/>
      <c r="AXT123" s="1056"/>
      <c r="AXU123" s="1056"/>
      <c r="AXV123" s="1056"/>
      <c r="AXW123" s="1056"/>
      <c r="AXX123" s="1056"/>
      <c r="AXY123" s="1056"/>
      <c r="AXZ123" s="1056"/>
      <c r="AYA123" s="1056"/>
      <c r="AYB123" s="1056"/>
      <c r="AYC123" s="1056"/>
      <c r="AYD123" s="1056"/>
      <c r="AYE123" s="1056"/>
      <c r="AYF123" s="1056"/>
      <c r="AYG123" s="1056"/>
      <c r="AYH123" s="1056"/>
      <c r="AYI123" s="1056"/>
      <c r="AYJ123" s="1056"/>
      <c r="AYK123" s="1056"/>
      <c r="AYL123" s="1056"/>
      <c r="AYM123" s="1056"/>
      <c r="AYN123" s="1056"/>
      <c r="AYO123" s="1056"/>
      <c r="AYP123" s="1056"/>
      <c r="AYQ123" s="1056"/>
      <c r="AYR123" s="1056"/>
      <c r="AYS123" s="1056"/>
      <c r="AYT123" s="1056"/>
      <c r="AYU123" s="1056"/>
      <c r="AYV123" s="1056"/>
      <c r="AYW123" s="1056"/>
      <c r="AYX123" s="1056"/>
      <c r="AYY123" s="1056"/>
      <c r="AYZ123" s="1056"/>
      <c r="AZA123" s="1056"/>
      <c r="AZB123" s="1056"/>
      <c r="AZC123" s="1056"/>
      <c r="AZD123" s="1056"/>
      <c r="AZE123" s="1056"/>
      <c r="AZF123" s="1056"/>
      <c r="AZG123" s="1056"/>
      <c r="AZH123" s="1056"/>
      <c r="AZI123" s="1056"/>
      <c r="AZJ123" s="1056"/>
      <c r="AZK123" s="1056"/>
      <c r="AZL123" s="1056"/>
      <c r="AZM123" s="1056"/>
      <c r="AZN123" s="1056"/>
      <c r="AZO123" s="1056"/>
      <c r="AZP123" s="1056"/>
      <c r="AZQ123" s="1056"/>
      <c r="AZR123" s="1056"/>
      <c r="AZS123" s="1056"/>
      <c r="AZT123" s="1056"/>
      <c r="AZU123" s="1056"/>
      <c r="AZV123" s="1056"/>
      <c r="AZW123" s="1056"/>
      <c r="AZX123" s="1056"/>
      <c r="AZY123" s="1056"/>
      <c r="AZZ123" s="1056"/>
      <c r="BAA123" s="1056"/>
      <c r="BAB123" s="1056"/>
      <c r="BAC123" s="1056"/>
      <c r="BAD123" s="1056"/>
      <c r="BAE123" s="1056"/>
      <c r="BAF123" s="1056"/>
      <c r="BAG123" s="1056"/>
      <c r="BAH123" s="1056"/>
      <c r="BAI123" s="1056"/>
      <c r="BAJ123" s="1056"/>
      <c r="BAK123" s="1056"/>
      <c r="BAL123" s="1056"/>
      <c r="BAM123" s="1056"/>
      <c r="BAN123" s="1056"/>
      <c r="BAO123" s="1056"/>
      <c r="BAP123" s="1056"/>
      <c r="BAQ123" s="1056"/>
      <c r="BAR123" s="1056"/>
      <c r="BAS123" s="1056"/>
      <c r="BAT123" s="1056"/>
      <c r="BAU123" s="1056"/>
      <c r="BAV123" s="1056"/>
      <c r="BAW123" s="1056"/>
      <c r="BAX123" s="1056"/>
      <c r="BAY123" s="1056"/>
      <c r="BAZ123" s="1056"/>
      <c r="BBA123" s="1056"/>
      <c r="BBB123" s="1056"/>
      <c r="BBC123" s="1056"/>
      <c r="BBD123" s="1056"/>
      <c r="BBE123" s="1056"/>
      <c r="BBF123" s="1056"/>
      <c r="BBG123" s="1056"/>
      <c r="BBH123" s="1056"/>
      <c r="BBI123" s="1056"/>
      <c r="BBJ123" s="1056"/>
      <c r="BBK123" s="1056"/>
      <c r="BBL123" s="1056"/>
      <c r="BBM123" s="1056"/>
      <c r="BBN123" s="1056"/>
      <c r="BBO123" s="1056"/>
      <c r="BBP123" s="1056"/>
      <c r="BBQ123" s="1056"/>
      <c r="BBR123" s="1056"/>
      <c r="BBS123" s="1056"/>
      <c r="BBT123" s="1056"/>
      <c r="BBU123" s="1056"/>
      <c r="BBV123" s="1056"/>
      <c r="BBW123" s="1056"/>
      <c r="BBX123" s="1056"/>
      <c r="BBY123" s="1056"/>
      <c r="BBZ123" s="1056"/>
      <c r="BCA123" s="1056"/>
      <c r="BCB123" s="1056"/>
      <c r="BCC123" s="1056"/>
      <c r="BCD123" s="1056"/>
      <c r="BCE123" s="1056"/>
      <c r="BCF123" s="1056"/>
      <c r="BCG123" s="1056"/>
      <c r="BCH123" s="1056"/>
      <c r="BCI123" s="1056"/>
      <c r="BCJ123" s="1056"/>
      <c r="BCK123" s="1056"/>
      <c r="BCL123" s="1056"/>
      <c r="BCM123" s="1056"/>
      <c r="BCN123" s="1056"/>
      <c r="BCO123" s="1056"/>
      <c r="BCP123" s="1056"/>
      <c r="BCQ123" s="1056"/>
      <c r="BCR123" s="1056"/>
      <c r="BCS123" s="1056"/>
      <c r="BCT123" s="1056"/>
      <c r="BCU123" s="1056"/>
      <c r="BCV123" s="1056"/>
      <c r="BCW123" s="1056"/>
      <c r="BCX123" s="1056"/>
      <c r="BCY123" s="1056"/>
      <c r="BCZ123" s="1056"/>
      <c r="BDA123" s="1056"/>
      <c r="BDB123" s="1056"/>
      <c r="BDC123" s="1056"/>
      <c r="BDD123" s="1056"/>
      <c r="BDE123" s="1056"/>
      <c r="BDF123" s="1056"/>
      <c r="BDG123" s="1056"/>
      <c r="BDH123" s="1056"/>
      <c r="BDI123" s="1056"/>
      <c r="BDJ123" s="1056"/>
      <c r="BDK123" s="1056"/>
      <c r="BDL123" s="1056"/>
      <c r="BDM123" s="1056"/>
      <c r="BDN123" s="1056"/>
      <c r="BDO123" s="1056"/>
      <c r="BDP123" s="1056"/>
      <c r="BDQ123" s="1056"/>
      <c r="BDR123" s="1056"/>
      <c r="BDS123" s="1056"/>
      <c r="BDT123" s="1056"/>
      <c r="BDU123" s="1056"/>
      <c r="BDV123" s="1056"/>
      <c r="BDW123" s="1056"/>
      <c r="BDX123" s="1056"/>
      <c r="BDY123" s="1056"/>
      <c r="BDZ123" s="1056"/>
      <c r="BEA123" s="1056"/>
      <c r="BEB123" s="1056"/>
      <c r="BEC123" s="1056"/>
      <c r="BED123" s="1056"/>
      <c r="BEE123" s="1056"/>
      <c r="BEF123" s="1056"/>
      <c r="BEG123" s="1056"/>
      <c r="BEH123" s="1056"/>
      <c r="BEI123" s="1056"/>
      <c r="BEJ123" s="1056"/>
      <c r="BEK123" s="1056"/>
      <c r="BEL123" s="1056"/>
      <c r="BEM123" s="1056"/>
      <c r="BEN123" s="1056"/>
      <c r="BEO123" s="1056"/>
      <c r="BEP123" s="1056"/>
      <c r="BEQ123" s="1056"/>
      <c r="BER123" s="1056"/>
      <c r="BES123" s="1056"/>
      <c r="BET123" s="1056"/>
      <c r="BEU123" s="1056"/>
      <c r="BEV123" s="1056"/>
      <c r="BEW123" s="1056"/>
      <c r="BEX123" s="1056"/>
      <c r="BEY123" s="1056"/>
      <c r="BEZ123" s="1056"/>
      <c r="BFA123" s="1056"/>
      <c r="BFB123" s="1056"/>
      <c r="BFC123" s="1056"/>
      <c r="BFD123" s="1056"/>
      <c r="BFE123" s="1056"/>
      <c r="BFF123" s="1056"/>
      <c r="BFG123" s="1056"/>
      <c r="BFH123" s="1056"/>
      <c r="BFI123" s="1056"/>
      <c r="BFJ123" s="1056"/>
      <c r="BFK123" s="1056"/>
      <c r="BFL123" s="1056"/>
      <c r="BFM123" s="1056"/>
      <c r="BFN123" s="1056"/>
      <c r="BFO123" s="1056"/>
      <c r="BFP123" s="1056"/>
      <c r="BFQ123" s="1056"/>
      <c r="BFR123" s="1056"/>
      <c r="BFS123" s="1056"/>
      <c r="BFT123" s="1056"/>
      <c r="BFU123" s="1056"/>
      <c r="BFV123" s="1056"/>
      <c r="BFW123" s="1056"/>
      <c r="BFX123" s="1056"/>
      <c r="BFY123" s="1056"/>
      <c r="BFZ123" s="1056"/>
      <c r="BGA123" s="1056"/>
      <c r="BGB123" s="1056"/>
      <c r="BGC123" s="1056"/>
      <c r="BGD123" s="1056"/>
      <c r="BGE123" s="1056"/>
      <c r="BGF123" s="1056"/>
      <c r="BGG123" s="1056"/>
      <c r="BGH123" s="1056"/>
      <c r="BGI123" s="1056"/>
      <c r="BGJ123" s="1056"/>
      <c r="BGK123" s="1056"/>
      <c r="BGL123" s="1056"/>
      <c r="BGM123" s="1056"/>
      <c r="BGN123" s="1056"/>
      <c r="BGO123" s="1056"/>
      <c r="BGP123" s="1056"/>
      <c r="BGQ123" s="1056"/>
      <c r="BGR123" s="1056"/>
      <c r="BGS123" s="1056"/>
      <c r="BGT123" s="1056"/>
      <c r="BGU123" s="1056"/>
      <c r="BGV123" s="1056"/>
      <c r="BGW123" s="1056"/>
      <c r="BGX123" s="1056"/>
      <c r="BGY123" s="1056"/>
      <c r="BGZ123" s="1056"/>
      <c r="BHA123" s="1056"/>
      <c r="BHB123" s="1056"/>
      <c r="BHC123" s="1056"/>
      <c r="BHD123" s="1056"/>
      <c r="BHE123" s="1056"/>
      <c r="BHF123" s="1056"/>
      <c r="BHG123" s="1056"/>
      <c r="BHH123" s="1056"/>
      <c r="BHI123" s="1056"/>
      <c r="BHJ123" s="1056"/>
      <c r="BHK123" s="1056"/>
      <c r="BHL123" s="1056"/>
      <c r="BHM123" s="1056"/>
      <c r="BHN123" s="1056"/>
      <c r="BHO123" s="1056"/>
      <c r="BHP123" s="1056"/>
      <c r="BHQ123" s="1056"/>
      <c r="BHR123" s="1056"/>
      <c r="BHS123" s="1056"/>
      <c r="BHT123" s="1056"/>
      <c r="BHU123" s="1056"/>
      <c r="BHV123" s="1056"/>
      <c r="BHW123" s="1056"/>
      <c r="BHX123" s="1056"/>
      <c r="BHY123" s="1056"/>
      <c r="BHZ123" s="1056"/>
      <c r="BIA123" s="1056"/>
      <c r="BIB123" s="1056"/>
      <c r="BIC123" s="1056"/>
      <c r="BID123" s="1056"/>
      <c r="BIE123" s="1056"/>
      <c r="BIF123" s="1056"/>
      <c r="BIG123" s="1056"/>
      <c r="BIH123" s="1056"/>
      <c r="BII123" s="1056"/>
      <c r="BIJ123" s="1056"/>
      <c r="BIK123" s="1056"/>
      <c r="BIL123" s="1056"/>
      <c r="BIM123" s="1056"/>
      <c r="BIN123" s="1056"/>
      <c r="BIO123" s="1056"/>
      <c r="BIP123" s="1056"/>
      <c r="BIQ123" s="1056"/>
      <c r="BIR123" s="1056"/>
      <c r="BIS123" s="1056"/>
      <c r="BIT123" s="1056"/>
      <c r="BIU123" s="1056"/>
      <c r="BIV123" s="1056"/>
      <c r="BIW123" s="1056"/>
      <c r="BIX123" s="1056"/>
      <c r="BIY123" s="1056"/>
      <c r="BIZ123" s="1056"/>
      <c r="BJA123" s="1056"/>
      <c r="BJB123" s="1056"/>
      <c r="BJC123" s="1056"/>
      <c r="BJD123" s="1056"/>
      <c r="BJE123" s="1056"/>
      <c r="BJF123" s="1056"/>
      <c r="BJG123" s="1056"/>
      <c r="BJH123" s="1056"/>
      <c r="BJI123" s="1056"/>
      <c r="BJJ123" s="1056"/>
      <c r="BJK123" s="1056"/>
      <c r="BJL123" s="1056"/>
      <c r="BJM123" s="1056"/>
      <c r="BJN123" s="1056"/>
      <c r="BJO123" s="1056"/>
      <c r="BJP123" s="1056"/>
      <c r="BJQ123" s="1056"/>
      <c r="BJR123" s="1056"/>
      <c r="BJS123" s="1056"/>
      <c r="BJT123" s="1056"/>
      <c r="BJU123" s="1056"/>
      <c r="BJV123" s="1056"/>
      <c r="BJW123" s="1056"/>
      <c r="BJX123" s="1056"/>
      <c r="BJY123" s="1056"/>
      <c r="BJZ123" s="1056"/>
      <c r="BKA123" s="1056"/>
      <c r="BKB123" s="1056"/>
      <c r="BKC123" s="1056"/>
      <c r="BKD123" s="1056"/>
      <c r="BKE123" s="1056"/>
      <c r="BKF123" s="1056"/>
      <c r="BKG123" s="1056"/>
      <c r="BKH123" s="1056"/>
      <c r="BKI123" s="1056"/>
      <c r="BKJ123" s="1056"/>
      <c r="BKK123" s="1056"/>
      <c r="BKL123" s="1056"/>
      <c r="BKM123" s="1056"/>
      <c r="BKN123" s="1056"/>
      <c r="BKO123" s="1056"/>
      <c r="BKP123" s="1056"/>
      <c r="BKQ123" s="1056"/>
      <c r="BKR123" s="1056"/>
      <c r="BKS123" s="1056"/>
      <c r="BKT123" s="1056"/>
      <c r="BKU123" s="1056"/>
      <c r="BKV123" s="1056"/>
      <c r="BKW123" s="1056"/>
      <c r="BKX123" s="1056"/>
      <c r="BKY123" s="1056"/>
      <c r="BKZ123" s="1056"/>
      <c r="BLA123" s="1056"/>
      <c r="BLB123" s="1056"/>
      <c r="BLC123" s="1056"/>
      <c r="BLD123" s="1056"/>
      <c r="BLE123" s="1056"/>
      <c r="BLF123" s="1056"/>
      <c r="BLG123" s="1056"/>
      <c r="BLH123" s="1056"/>
      <c r="BLI123" s="1056"/>
      <c r="BLJ123" s="1056"/>
      <c r="BLK123" s="1056"/>
      <c r="BLL123" s="1056"/>
      <c r="BLM123" s="1056"/>
      <c r="BLN123" s="1056"/>
      <c r="BLO123" s="1056"/>
      <c r="BLP123" s="1056"/>
      <c r="BLQ123" s="1056"/>
      <c r="BLR123" s="1056"/>
      <c r="BLS123" s="1056"/>
      <c r="BLT123" s="1056"/>
      <c r="BLU123" s="1056"/>
      <c r="BLV123" s="1056"/>
      <c r="BLW123" s="1056"/>
      <c r="BLX123" s="1056"/>
      <c r="BLY123" s="1056"/>
      <c r="BLZ123" s="1056"/>
      <c r="BMA123" s="1056"/>
      <c r="BMB123" s="1056"/>
      <c r="BMC123" s="1056"/>
      <c r="BMD123" s="1056"/>
      <c r="BME123" s="1056"/>
      <c r="BMF123" s="1056"/>
      <c r="BMG123" s="1056"/>
      <c r="BMH123" s="1056"/>
      <c r="BMI123" s="1056"/>
      <c r="BMJ123" s="1056"/>
      <c r="BMK123" s="1056"/>
      <c r="BML123" s="1056"/>
      <c r="BMM123" s="1056"/>
      <c r="BMN123" s="1056"/>
      <c r="BMO123" s="1056"/>
      <c r="BMP123" s="1056"/>
      <c r="BMQ123" s="1056"/>
      <c r="BMR123" s="1056"/>
      <c r="BMS123" s="1056"/>
      <c r="BMT123" s="1056"/>
      <c r="BMU123" s="1056"/>
      <c r="BMV123" s="1056"/>
      <c r="BMW123" s="1056"/>
      <c r="BMX123" s="1056"/>
      <c r="BMY123" s="1056"/>
      <c r="BMZ123" s="1056"/>
      <c r="BNA123" s="1056"/>
      <c r="BNB123" s="1056"/>
      <c r="BNC123" s="1056"/>
      <c r="BND123" s="1056"/>
      <c r="BNE123" s="1056"/>
      <c r="BNF123" s="1056"/>
      <c r="BNG123" s="1056"/>
      <c r="BNH123" s="1056"/>
      <c r="BNI123" s="1056"/>
      <c r="BNJ123" s="1056"/>
      <c r="BNK123" s="1056"/>
      <c r="BNL123" s="1056"/>
      <c r="BNM123" s="1056"/>
      <c r="BNN123" s="1056"/>
      <c r="BNO123" s="1056"/>
      <c r="BNP123" s="1056"/>
      <c r="BNQ123" s="1056"/>
      <c r="BNR123" s="1056"/>
      <c r="BNS123" s="1056"/>
      <c r="BNT123" s="1056"/>
      <c r="BNU123" s="1056"/>
      <c r="BNV123" s="1056"/>
      <c r="BNW123" s="1056"/>
      <c r="BNX123" s="1056"/>
      <c r="BNY123" s="1056"/>
      <c r="BNZ123" s="1056"/>
      <c r="BOA123" s="1056"/>
      <c r="BOB123" s="1056"/>
      <c r="BOC123" s="1056"/>
      <c r="BOD123" s="1056"/>
      <c r="BOE123" s="1056"/>
      <c r="BOF123" s="1056"/>
      <c r="BOG123" s="1056"/>
      <c r="BOH123" s="1056"/>
      <c r="BOI123" s="1056"/>
      <c r="BOJ123" s="1056"/>
      <c r="BOK123" s="1056"/>
      <c r="BOL123" s="1056"/>
      <c r="BOM123" s="1056"/>
      <c r="BON123" s="1056"/>
      <c r="BOO123" s="1056"/>
      <c r="BOP123" s="1056"/>
      <c r="BOQ123" s="1056"/>
      <c r="BOR123" s="1056"/>
      <c r="BOS123" s="1056"/>
      <c r="BOT123" s="1056"/>
      <c r="BOU123" s="1056"/>
      <c r="BOV123" s="1056"/>
      <c r="BOW123" s="1056"/>
      <c r="BOX123" s="1056"/>
      <c r="BOY123" s="1056"/>
      <c r="BOZ123" s="1056"/>
      <c r="BPA123" s="1056"/>
      <c r="BPB123" s="1056"/>
      <c r="BPC123" s="1056"/>
      <c r="BPD123" s="1056"/>
      <c r="BPE123" s="1056"/>
      <c r="BPF123" s="1056"/>
      <c r="BPG123" s="1056"/>
      <c r="BPH123" s="1056"/>
      <c r="BPI123" s="1056"/>
      <c r="BPJ123" s="1056"/>
      <c r="BPK123" s="1056"/>
      <c r="BPL123" s="1056"/>
      <c r="BPM123" s="1056"/>
      <c r="BPN123" s="1056"/>
      <c r="BPO123" s="1056"/>
      <c r="BPP123" s="1056"/>
      <c r="BPQ123" s="1056"/>
      <c r="BPR123" s="1056"/>
      <c r="BPS123" s="1056"/>
      <c r="BPT123" s="1056"/>
      <c r="BPU123" s="1056"/>
      <c r="BPV123" s="1056"/>
      <c r="BPW123" s="1056"/>
      <c r="BPX123" s="1056"/>
      <c r="BPY123" s="1056"/>
      <c r="BPZ123" s="1056"/>
      <c r="BQA123" s="1056"/>
      <c r="BQB123" s="1056"/>
      <c r="BQC123" s="1056"/>
      <c r="BQD123" s="1056"/>
      <c r="BQE123" s="1056"/>
      <c r="BQF123" s="1056"/>
      <c r="BQG123" s="1056"/>
      <c r="BQH123" s="1056"/>
      <c r="BQI123" s="1056"/>
      <c r="BQJ123" s="1056"/>
      <c r="BQK123" s="1056"/>
      <c r="BQL123" s="1056"/>
      <c r="BQM123" s="1056"/>
      <c r="BQN123" s="1056"/>
      <c r="BQO123" s="1056"/>
      <c r="BQP123" s="1056"/>
      <c r="BQQ123" s="1056"/>
      <c r="BQR123" s="1056"/>
      <c r="BQS123" s="1056"/>
      <c r="BQT123" s="1056"/>
      <c r="BQU123" s="1056"/>
      <c r="BQV123" s="1056"/>
      <c r="BQW123" s="1056"/>
      <c r="BQX123" s="1056"/>
      <c r="BQY123" s="1056"/>
      <c r="BQZ123" s="1056"/>
      <c r="BRA123" s="1056"/>
      <c r="BRB123" s="1056"/>
      <c r="BRC123" s="1056"/>
      <c r="BRD123" s="1056"/>
      <c r="BRE123" s="1056"/>
      <c r="BRF123" s="1056"/>
      <c r="BRG123" s="1056"/>
      <c r="BRH123" s="1056"/>
      <c r="BRI123" s="1056"/>
      <c r="BRJ123" s="1056"/>
      <c r="BRK123" s="1056"/>
      <c r="BRL123" s="1056"/>
      <c r="BRM123" s="1056"/>
      <c r="BRN123" s="1056"/>
      <c r="BRO123" s="1056"/>
      <c r="BRP123" s="1056"/>
      <c r="BRQ123" s="1056"/>
      <c r="BRR123" s="1056"/>
      <c r="BRS123" s="1056"/>
      <c r="BRT123" s="1056"/>
      <c r="BRU123" s="1056"/>
      <c r="BRV123" s="1056"/>
      <c r="BRW123" s="1056"/>
      <c r="BRX123" s="1056"/>
      <c r="BRY123" s="1056"/>
      <c r="BRZ123" s="1056"/>
      <c r="BSA123" s="1056"/>
      <c r="BSB123" s="1056"/>
      <c r="BSC123" s="1056"/>
      <c r="BSD123" s="1056"/>
      <c r="BSE123" s="1056"/>
      <c r="BSF123" s="1056"/>
      <c r="BSG123" s="1056"/>
      <c r="BSH123" s="1056"/>
      <c r="BSI123" s="1056"/>
      <c r="BSJ123" s="1056"/>
      <c r="BSK123" s="1056"/>
      <c r="BSL123" s="1056"/>
      <c r="BSM123" s="1056"/>
      <c r="BSN123" s="1056"/>
      <c r="BSO123" s="1056"/>
      <c r="BSP123" s="1056"/>
      <c r="BSQ123" s="1056"/>
      <c r="BSR123" s="1056"/>
      <c r="BSS123" s="1056"/>
      <c r="BST123" s="1056"/>
      <c r="BSU123" s="1056"/>
      <c r="BSV123" s="1056"/>
      <c r="BSW123" s="1056"/>
      <c r="BSX123" s="1056"/>
      <c r="BSY123" s="1056"/>
      <c r="BSZ123" s="1056"/>
      <c r="BTA123" s="1056"/>
      <c r="BTB123" s="1056"/>
      <c r="BTC123" s="1056"/>
      <c r="BTD123" s="1056"/>
      <c r="BTE123" s="1056"/>
      <c r="BTF123" s="1056"/>
      <c r="BTG123" s="1056"/>
      <c r="BTH123" s="1056"/>
      <c r="BTI123" s="1056"/>
    </row>
    <row r="124" spans="1:1881" s="1060" customFormat="1" ht="94.5" hidden="1" customHeight="1" thickBot="1" x14ac:dyDescent="0.35">
      <c r="A124" s="1071" t="s">
        <v>1021</v>
      </c>
      <c r="B124" s="1069" t="s">
        <v>409</v>
      </c>
      <c r="C124" s="1072" t="s">
        <v>1022</v>
      </c>
      <c r="D124" s="1072" t="s">
        <v>297</v>
      </c>
      <c r="E124" s="1053" t="e">
        <f>HLOOKUP($D$2,'2020 Data(H)'!$C$1:$AI$426,74,FALSE)</f>
        <v>#N/A</v>
      </c>
      <c r="F124" s="287">
        <v>0</v>
      </c>
      <c r="G124" s="722"/>
      <c r="H124" s="764"/>
      <c r="I124" s="1055"/>
      <c r="J124" s="1068"/>
      <c r="K124" s="1056"/>
      <c r="L124" s="1057"/>
      <c r="M124" s="1056"/>
      <c r="N124" s="1058"/>
      <c r="O124" s="1056"/>
      <c r="P124" s="1056"/>
      <c r="Q124" s="1056"/>
      <c r="R124" s="1056"/>
      <c r="S124" s="1056"/>
      <c r="T124" s="1056"/>
      <c r="U124" s="1056"/>
      <c r="V124" s="1056"/>
      <c r="W124" s="1056"/>
      <c r="X124" s="1056"/>
      <c r="Y124" s="1056"/>
      <c r="Z124" s="1073"/>
      <c r="AA124" s="1073"/>
      <c r="AB124" s="1073"/>
      <c r="AC124" s="1073"/>
      <c r="AD124" s="1073"/>
      <c r="AE124" s="1073"/>
      <c r="AF124" s="1073"/>
      <c r="AG124" s="1073"/>
      <c r="AH124" s="1073"/>
      <c r="AI124" s="1073"/>
      <c r="AJ124" s="1073"/>
      <c r="AK124" s="1073"/>
      <c r="AL124" s="1073"/>
      <c r="AM124" s="1073"/>
      <c r="AN124" s="1073"/>
      <c r="AO124" s="1073"/>
      <c r="AP124" s="1073"/>
      <c r="AQ124" s="1073"/>
      <c r="AR124" s="1073"/>
      <c r="AS124" s="1056"/>
      <c r="AT124" s="1056"/>
      <c r="AU124" s="1056"/>
      <c r="AV124" s="1056"/>
      <c r="AW124" s="1056"/>
      <c r="AX124" s="1056"/>
      <c r="AY124" s="1056"/>
      <c r="AZ124" s="1056"/>
      <c r="BA124" s="1056"/>
      <c r="BB124" s="1056"/>
      <c r="BC124" s="1056"/>
      <c r="BD124" s="1056"/>
      <c r="BE124" s="1056"/>
      <c r="BF124" s="1056"/>
      <c r="BG124" s="1056"/>
      <c r="BH124" s="1056"/>
      <c r="BI124" s="1056"/>
      <c r="BJ124" s="1056"/>
      <c r="BK124" s="1056"/>
      <c r="BL124" s="1056"/>
      <c r="BM124" s="1056"/>
      <c r="BN124" s="1056"/>
      <c r="BO124" s="1056"/>
      <c r="BP124" s="1056"/>
      <c r="BQ124" s="1056"/>
      <c r="BR124" s="1056"/>
      <c r="BS124" s="1056"/>
      <c r="BT124" s="1056"/>
      <c r="BU124" s="1056"/>
      <c r="BV124" s="1056"/>
      <c r="BW124" s="1056"/>
      <c r="BX124" s="1056"/>
      <c r="BY124" s="1056"/>
      <c r="BZ124" s="1056"/>
      <c r="CA124" s="1056"/>
      <c r="CB124" s="1056"/>
      <c r="CC124" s="1056"/>
      <c r="CD124" s="1056"/>
      <c r="CE124" s="1056"/>
      <c r="CF124" s="1056"/>
      <c r="CG124" s="1056"/>
      <c r="CH124" s="1056"/>
      <c r="CI124" s="1056"/>
      <c r="CJ124" s="1056"/>
      <c r="CK124" s="1056"/>
      <c r="CL124" s="1056"/>
      <c r="CM124" s="1056"/>
      <c r="CN124" s="1056"/>
      <c r="CO124" s="1056"/>
      <c r="CP124" s="1056"/>
      <c r="CQ124" s="1056"/>
      <c r="CR124" s="1056"/>
      <c r="CS124" s="1056"/>
      <c r="CT124" s="1056"/>
      <c r="CU124" s="1056"/>
      <c r="CV124" s="1056"/>
      <c r="CW124" s="1056"/>
      <c r="CX124" s="1056"/>
      <c r="CY124" s="1056"/>
      <c r="CZ124" s="1056"/>
      <c r="DA124" s="1056"/>
      <c r="DB124" s="1056"/>
      <c r="DC124" s="1056"/>
      <c r="DD124" s="1056"/>
      <c r="DE124" s="1056"/>
      <c r="DF124" s="1056"/>
      <c r="DG124" s="1056"/>
      <c r="DH124" s="1056"/>
      <c r="DI124" s="1056"/>
      <c r="DJ124" s="1056"/>
      <c r="DK124" s="1056"/>
      <c r="DL124" s="1056"/>
      <c r="DM124" s="1056"/>
      <c r="DN124" s="1056"/>
      <c r="DO124" s="1056"/>
      <c r="DP124" s="1056"/>
      <c r="DQ124" s="1056"/>
      <c r="DR124" s="1056"/>
      <c r="DS124" s="1056"/>
      <c r="DT124" s="1056"/>
      <c r="DU124" s="1056"/>
      <c r="DV124" s="1056"/>
      <c r="DW124" s="1056"/>
      <c r="DX124" s="1056"/>
      <c r="DY124" s="1056"/>
      <c r="DZ124" s="1056"/>
      <c r="EA124" s="1056"/>
      <c r="EB124" s="1056"/>
      <c r="EC124" s="1056"/>
      <c r="ED124" s="1056"/>
      <c r="EE124" s="1056"/>
      <c r="EF124" s="1056"/>
      <c r="EG124" s="1056"/>
      <c r="EH124" s="1056"/>
      <c r="EI124" s="1056"/>
      <c r="EJ124" s="1056"/>
      <c r="EK124" s="1056"/>
      <c r="EL124" s="1056"/>
      <c r="EM124" s="1056"/>
      <c r="EN124" s="1056"/>
      <c r="EO124" s="1056"/>
      <c r="EP124" s="1056"/>
      <c r="EQ124" s="1056"/>
      <c r="ER124" s="1056"/>
      <c r="ES124" s="1056"/>
      <c r="ET124" s="1056"/>
      <c r="EU124" s="1056"/>
      <c r="EV124" s="1056"/>
      <c r="EW124" s="1056"/>
      <c r="EX124" s="1056"/>
      <c r="EY124" s="1056"/>
      <c r="EZ124" s="1056"/>
      <c r="FA124" s="1056"/>
      <c r="FB124" s="1056"/>
      <c r="FC124" s="1056"/>
      <c r="FD124" s="1056"/>
      <c r="FE124" s="1056"/>
      <c r="FF124" s="1056"/>
      <c r="FG124" s="1056"/>
      <c r="FH124" s="1056"/>
      <c r="FI124" s="1056"/>
      <c r="FJ124" s="1056"/>
      <c r="FK124" s="1056"/>
      <c r="FL124" s="1056"/>
      <c r="FM124" s="1056"/>
      <c r="FN124" s="1056"/>
      <c r="FO124" s="1056"/>
      <c r="FP124" s="1056"/>
      <c r="FQ124" s="1056"/>
      <c r="FR124" s="1056"/>
      <c r="FS124" s="1056"/>
      <c r="FT124" s="1056"/>
      <c r="FU124" s="1056"/>
      <c r="FV124" s="1056"/>
      <c r="FW124" s="1056"/>
      <c r="FX124" s="1056"/>
      <c r="FY124" s="1056"/>
      <c r="FZ124" s="1056"/>
      <c r="GA124" s="1056"/>
      <c r="GB124" s="1056"/>
      <c r="GC124" s="1056"/>
      <c r="GD124" s="1056"/>
      <c r="GE124" s="1056"/>
      <c r="GF124" s="1056"/>
      <c r="GG124" s="1056"/>
      <c r="GH124" s="1056"/>
      <c r="GI124" s="1056"/>
      <c r="GJ124" s="1056"/>
      <c r="GK124" s="1056"/>
      <c r="GL124" s="1056"/>
      <c r="GM124" s="1056"/>
      <c r="GN124" s="1056"/>
      <c r="GO124" s="1056"/>
      <c r="GP124" s="1056"/>
      <c r="GQ124" s="1056"/>
      <c r="GR124" s="1056"/>
      <c r="GS124" s="1056"/>
      <c r="GT124" s="1056"/>
      <c r="GU124" s="1056"/>
      <c r="GV124" s="1056"/>
      <c r="GW124" s="1056"/>
      <c r="GX124" s="1056"/>
      <c r="GY124" s="1056"/>
      <c r="GZ124" s="1056"/>
      <c r="HA124" s="1056"/>
      <c r="HB124" s="1056"/>
      <c r="HC124" s="1056"/>
      <c r="HD124" s="1056"/>
      <c r="HE124" s="1056"/>
      <c r="HF124" s="1056"/>
      <c r="HG124" s="1056"/>
      <c r="HH124" s="1056"/>
      <c r="HI124" s="1056"/>
      <c r="HJ124" s="1056"/>
      <c r="HK124" s="1056"/>
      <c r="HL124" s="1056"/>
      <c r="HM124" s="1056"/>
      <c r="HN124" s="1056"/>
      <c r="HO124" s="1056"/>
      <c r="HP124" s="1056"/>
      <c r="HQ124" s="1056"/>
      <c r="HR124" s="1056"/>
      <c r="HS124" s="1056"/>
      <c r="HT124" s="1056"/>
      <c r="HU124" s="1056"/>
      <c r="HV124" s="1056"/>
      <c r="HW124" s="1056"/>
      <c r="HX124" s="1056"/>
      <c r="HY124" s="1056"/>
      <c r="HZ124" s="1056"/>
      <c r="IA124" s="1056"/>
      <c r="IB124" s="1056"/>
      <c r="IC124" s="1056"/>
      <c r="ID124" s="1056"/>
      <c r="IE124" s="1056"/>
      <c r="IF124" s="1056"/>
      <c r="IG124" s="1056"/>
      <c r="IH124" s="1056"/>
      <c r="II124" s="1056"/>
      <c r="IJ124" s="1056"/>
      <c r="IK124" s="1056"/>
      <c r="IL124" s="1056"/>
      <c r="IM124" s="1056"/>
      <c r="IN124" s="1056"/>
      <c r="IO124" s="1056"/>
      <c r="IP124" s="1056"/>
      <c r="IQ124" s="1056"/>
      <c r="IR124" s="1056"/>
      <c r="IS124" s="1056"/>
      <c r="IT124" s="1056"/>
      <c r="IU124" s="1056"/>
      <c r="IV124" s="1056"/>
      <c r="IW124" s="1056"/>
      <c r="IX124" s="1056"/>
      <c r="IY124" s="1056"/>
      <c r="IZ124" s="1056"/>
      <c r="JA124" s="1056"/>
      <c r="JB124" s="1056"/>
      <c r="JC124" s="1056"/>
      <c r="JD124" s="1056"/>
      <c r="JE124" s="1056"/>
      <c r="JF124" s="1056"/>
      <c r="JG124" s="1056"/>
      <c r="JH124" s="1056"/>
      <c r="JI124" s="1056"/>
      <c r="JJ124" s="1056"/>
      <c r="JK124" s="1056"/>
      <c r="JL124" s="1056"/>
      <c r="JM124" s="1056"/>
      <c r="JN124" s="1056"/>
      <c r="JO124" s="1056"/>
      <c r="JP124" s="1056"/>
      <c r="JQ124" s="1056"/>
      <c r="JR124" s="1056"/>
      <c r="JS124" s="1056"/>
      <c r="JT124" s="1056"/>
      <c r="JU124" s="1056"/>
      <c r="JV124" s="1056"/>
      <c r="JW124" s="1056"/>
      <c r="JX124" s="1056"/>
      <c r="JY124" s="1056"/>
      <c r="JZ124" s="1056"/>
      <c r="KA124" s="1056"/>
      <c r="KB124" s="1056"/>
      <c r="KC124" s="1056"/>
      <c r="KD124" s="1056"/>
      <c r="KE124" s="1056"/>
      <c r="KF124" s="1056"/>
      <c r="KG124" s="1056"/>
      <c r="KH124" s="1056"/>
      <c r="KI124" s="1056"/>
      <c r="KJ124" s="1056"/>
      <c r="KK124" s="1056"/>
      <c r="KL124" s="1056"/>
      <c r="KM124" s="1056"/>
      <c r="KN124" s="1056"/>
      <c r="KO124" s="1056"/>
      <c r="KP124" s="1056"/>
      <c r="KQ124" s="1056"/>
      <c r="KR124" s="1056"/>
      <c r="KS124" s="1056"/>
      <c r="KT124" s="1056"/>
      <c r="KU124" s="1056"/>
      <c r="KV124" s="1056"/>
      <c r="KW124" s="1056"/>
      <c r="KX124" s="1056"/>
      <c r="KY124" s="1056"/>
      <c r="KZ124" s="1056"/>
      <c r="LA124" s="1056"/>
      <c r="LB124" s="1056"/>
      <c r="LC124" s="1056"/>
      <c r="LD124" s="1056"/>
      <c r="LE124" s="1056"/>
      <c r="LF124" s="1056"/>
      <c r="LG124" s="1056"/>
      <c r="LH124" s="1056"/>
      <c r="LI124" s="1056"/>
      <c r="LJ124" s="1056"/>
      <c r="LK124" s="1056"/>
      <c r="LL124" s="1056"/>
      <c r="LM124" s="1056"/>
      <c r="LN124" s="1056"/>
      <c r="LO124" s="1056"/>
      <c r="LP124" s="1056"/>
      <c r="LQ124" s="1056"/>
      <c r="LR124" s="1056"/>
      <c r="LS124" s="1056"/>
      <c r="LT124" s="1056"/>
      <c r="LU124" s="1056"/>
      <c r="LV124" s="1056"/>
      <c r="LW124" s="1056"/>
      <c r="LX124" s="1056"/>
      <c r="LY124" s="1056"/>
      <c r="LZ124" s="1056"/>
      <c r="MA124" s="1056"/>
      <c r="MB124" s="1056"/>
      <c r="MC124" s="1056"/>
      <c r="MD124" s="1056"/>
      <c r="ME124" s="1056"/>
      <c r="MF124" s="1056"/>
      <c r="MG124" s="1056"/>
      <c r="MH124" s="1056"/>
      <c r="MI124" s="1056"/>
      <c r="MJ124" s="1056"/>
      <c r="MK124" s="1056"/>
      <c r="ML124" s="1056"/>
      <c r="MM124" s="1056"/>
      <c r="MN124" s="1056"/>
      <c r="MO124" s="1056"/>
      <c r="MP124" s="1056"/>
      <c r="MQ124" s="1056"/>
      <c r="MR124" s="1056"/>
      <c r="MS124" s="1056"/>
      <c r="MT124" s="1056"/>
      <c r="MU124" s="1056"/>
      <c r="MV124" s="1056"/>
      <c r="MW124" s="1056"/>
      <c r="MX124" s="1056"/>
      <c r="MY124" s="1056"/>
      <c r="MZ124" s="1056"/>
      <c r="NA124" s="1056"/>
      <c r="NB124" s="1056"/>
      <c r="NC124" s="1056"/>
      <c r="ND124" s="1056"/>
      <c r="NE124" s="1056"/>
      <c r="NF124" s="1056"/>
      <c r="NG124" s="1056"/>
      <c r="NH124" s="1056"/>
      <c r="NI124" s="1056"/>
      <c r="NJ124" s="1056"/>
      <c r="NK124" s="1056"/>
      <c r="NL124" s="1056"/>
      <c r="NM124" s="1056"/>
      <c r="NN124" s="1056"/>
      <c r="NO124" s="1056"/>
      <c r="NP124" s="1056"/>
      <c r="NQ124" s="1056"/>
      <c r="NR124" s="1056"/>
      <c r="NS124" s="1056"/>
      <c r="NT124" s="1056"/>
      <c r="NU124" s="1056"/>
      <c r="NV124" s="1056"/>
      <c r="NW124" s="1056"/>
      <c r="NX124" s="1056"/>
      <c r="NY124" s="1056"/>
      <c r="NZ124" s="1056"/>
      <c r="OA124" s="1056"/>
      <c r="OB124" s="1056"/>
      <c r="OC124" s="1056"/>
      <c r="OD124" s="1056"/>
      <c r="OE124" s="1056"/>
      <c r="OF124" s="1056"/>
      <c r="OG124" s="1056"/>
      <c r="OH124" s="1056"/>
      <c r="OI124" s="1056"/>
      <c r="OJ124" s="1056"/>
      <c r="OK124" s="1056"/>
      <c r="OL124" s="1056"/>
      <c r="OM124" s="1056"/>
      <c r="ON124" s="1056"/>
      <c r="OO124" s="1056"/>
      <c r="OP124" s="1056"/>
      <c r="OQ124" s="1056"/>
      <c r="OR124" s="1056"/>
      <c r="OS124" s="1056"/>
      <c r="OT124" s="1056"/>
      <c r="OU124" s="1056"/>
      <c r="OV124" s="1056"/>
      <c r="OW124" s="1056"/>
      <c r="OX124" s="1056"/>
      <c r="OY124" s="1056"/>
      <c r="OZ124" s="1056"/>
      <c r="PA124" s="1056"/>
      <c r="PB124" s="1056"/>
      <c r="PC124" s="1056"/>
      <c r="PD124" s="1056"/>
      <c r="PE124" s="1056"/>
      <c r="PF124" s="1056"/>
      <c r="PG124" s="1056"/>
      <c r="PH124" s="1056"/>
      <c r="PI124" s="1056"/>
      <c r="PJ124" s="1056"/>
      <c r="PK124" s="1056"/>
      <c r="PL124" s="1056"/>
      <c r="PM124" s="1056"/>
      <c r="PN124" s="1056"/>
      <c r="PO124" s="1056"/>
      <c r="PP124" s="1056"/>
      <c r="PQ124" s="1056"/>
      <c r="PR124" s="1056"/>
      <c r="PS124" s="1056"/>
      <c r="PT124" s="1056"/>
      <c r="PU124" s="1056"/>
      <c r="PV124" s="1056"/>
      <c r="PW124" s="1056"/>
      <c r="PX124" s="1056"/>
      <c r="PY124" s="1056"/>
      <c r="PZ124" s="1056"/>
      <c r="QA124" s="1056"/>
      <c r="QB124" s="1056"/>
      <c r="QC124" s="1056"/>
      <c r="QD124" s="1056"/>
      <c r="QE124" s="1056"/>
      <c r="QF124" s="1056"/>
      <c r="QG124" s="1056"/>
      <c r="QH124" s="1056"/>
      <c r="QI124" s="1056"/>
      <c r="QJ124" s="1056"/>
      <c r="QK124" s="1056"/>
      <c r="QL124" s="1056"/>
      <c r="QM124" s="1056"/>
      <c r="QN124" s="1056"/>
      <c r="QO124" s="1056"/>
      <c r="QP124" s="1056"/>
      <c r="QQ124" s="1056"/>
      <c r="QR124" s="1056"/>
      <c r="QS124" s="1056"/>
      <c r="QT124" s="1056"/>
      <c r="QU124" s="1056"/>
      <c r="QV124" s="1056"/>
      <c r="QW124" s="1056"/>
      <c r="QX124" s="1056"/>
      <c r="QY124" s="1056"/>
      <c r="QZ124" s="1056"/>
      <c r="RA124" s="1056"/>
      <c r="RB124" s="1056"/>
      <c r="RC124" s="1056"/>
      <c r="RD124" s="1056"/>
      <c r="RE124" s="1056"/>
      <c r="RF124" s="1056"/>
      <c r="RG124" s="1056"/>
      <c r="RH124" s="1056"/>
      <c r="RI124" s="1056"/>
      <c r="RJ124" s="1056"/>
      <c r="RK124" s="1056"/>
      <c r="RL124" s="1056"/>
      <c r="RM124" s="1056"/>
      <c r="RN124" s="1056"/>
      <c r="RO124" s="1056"/>
      <c r="RP124" s="1056"/>
      <c r="RQ124" s="1056"/>
      <c r="RR124" s="1056"/>
      <c r="RS124" s="1056"/>
      <c r="RT124" s="1056"/>
      <c r="RU124" s="1056"/>
      <c r="RV124" s="1056"/>
      <c r="RW124" s="1056"/>
      <c r="RX124" s="1056"/>
      <c r="RY124" s="1056"/>
      <c r="RZ124" s="1056"/>
      <c r="SA124" s="1056"/>
      <c r="SB124" s="1056"/>
      <c r="SC124" s="1056"/>
      <c r="SD124" s="1056"/>
      <c r="SE124" s="1056"/>
      <c r="SF124" s="1056"/>
      <c r="SG124" s="1056"/>
      <c r="SH124" s="1056"/>
      <c r="SI124" s="1056"/>
      <c r="SJ124" s="1056"/>
      <c r="SK124" s="1056"/>
      <c r="SL124" s="1056"/>
      <c r="SM124" s="1056"/>
      <c r="SN124" s="1056"/>
      <c r="SO124" s="1056"/>
      <c r="SP124" s="1056"/>
      <c r="SQ124" s="1056"/>
      <c r="SR124" s="1056"/>
      <c r="SS124" s="1056"/>
      <c r="ST124" s="1056"/>
      <c r="SU124" s="1056"/>
      <c r="SV124" s="1056"/>
      <c r="SW124" s="1056"/>
      <c r="SX124" s="1056"/>
      <c r="SY124" s="1056"/>
      <c r="SZ124" s="1056"/>
      <c r="TA124" s="1056"/>
      <c r="TB124" s="1056"/>
      <c r="TC124" s="1056"/>
      <c r="TD124" s="1056"/>
      <c r="TE124" s="1056"/>
      <c r="TF124" s="1056"/>
      <c r="TG124" s="1056"/>
      <c r="TH124" s="1056"/>
      <c r="TI124" s="1056"/>
      <c r="TJ124" s="1056"/>
      <c r="TK124" s="1056"/>
      <c r="TL124" s="1056"/>
      <c r="TM124" s="1056"/>
      <c r="TN124" s="1056"/>
      <c r="TO124" s="1056"/>
      <c r="TP124" s="1056"/>
      <c r="TQ124" s="1056"/>
      <c r="TR124" s="1056"/>
      <c r="TS124" s="1056"/>
      <c r="TT124" s="1056"/>
      <c r="TU124" s="1056"/>
      <c r="TV124" s="1056"/>
      <c r="TW124" s="1056"/>
      <c r="TX124" s="1056"/>
      <c r="TY124" s="1056"/>
      <c r="TZ124" s="1056"/>
      <c r="UA124" s="1056"/>
      <c r="UB124" s="1056"/>
      <c r="UC124" s="1056"/>
      <c r="UD124" s="1056"/>
      <c r="UE124" s="1056"/>
      <c r="UF124" s="1056"/>
      <c r="UG124" s="1056"/>
      <c r="UH124" s="1056"/>
      <c r="UI124" s="1056"/>
      <c r="UJ124" s="1056"/>
      <c r="UK124" s="1056"/>
      <c r="UL124" s="1056"/>
      <c r="UM124" s="1056"/>
      <c r="UN124" s="1056"/>
      <c r="UO124" s="1056"/>
      <c r="UP124" s="1056"/>
      <c r="UQ124" s="1056"/>
      <c r="UR124" s="1056"/>
      <c r="US124" s="1056"/>
      <c r="UT124" s="1056"/>
      <c r="UU124" s="1056"/>
      <c r="UV124" s="1056"/>
      <c r="UW124" s="1056"/>
      <c r="UX124" s="1056"/>
      <c r="UY124" s="1056"/>
      <c r="UZ124" s="1056"/>
      <c r="VA124" s="1056"/>
      <c r="VB124" s="1056"/>
      <c r="VC124" s="1056"/>
      <c r="VD124" s="1056"/>
      <c r="VE124" s="1056"/>
      <c r="VF124" s="1056"/>
      <c r="VG124" s="1056"/>
      <c r="VH124" s="1056"/>
      <c r="VI124" s="1056"/>
      <c r="VJ124" s="1056"/>
      <c r="VK124" s="1056"/>
      <c r="VL124" s="1056"/>
      <c r="VM124" s="1056"/>
      <c r="VN124" s="1056"/>
      <c r="VO124" s="1056"/>
      <c r="VP124" s="1056"/>
      <c r="VQ124" s="1056"/>
      <c r="VR124" s="1056"/>
      <c r="VS124" s="1056"/>
      <c r="VT124" s="1056"/>
      <c r="VU124" s="1056"/>
      <c r="VV124" s="1056"/>
      <c r="VW124" s="1056"/>
      <c r="VX124" s="1056"/>
      <c r="VY124" s="1056"/>
      <c r="VZ124" s="1056"/>
      <c r="WA124" s="1056"/>
      <c r="WB124" s="1056"/>
      <c r="WC124" s="1056"/>
      <c r="WD124" s="1056"/>
      <c r="WE124" s="1056"/>
      <c r="WF124" s="1056"/>
      <c r="WG124" s="1056"/>
      <c r="WH124" s="1056"/>
      <c r="WI124" s="1056"/>
      <c r="WJ124" s="1056"/>
      <c r="WK124" s="1056"/>
      <c r="WL124" s="1056"/>
      <c r="WM124" s="1056"/>
      <c r="WN124" s="1056"/>
      <c r="WO124" s="1056"/>
      <c r="WP124" s="1056"/>
      <c r="WQ124" s="1056"/>
      <c r="WR124" s="1056"/>
      <c r="WS124" s="1056"/>
      <c r="WT124" s="1056"/>
      <c r="WU124" s="1056"/>
      <c r="WV124" s="1056"/>
      <c r="WW124" s="1056"/>
      <c r="WX124" s="1056"/>
      <c r="WY124" s="1056"/>
      <c r="WZ124" s="1056"/>
      <c r="XA124" s="1056"/>
      <c r="XB124" s="1056"/>
      <c r="XC124" s="1056"/>
      <c r="XD124" s="1056"/>
      <c r="XE124" s="1056"/>
      <c r="XF124" s="1056"/>
      <c r="XG124" s="1056"/>
      <c r="XH124" s="1056"/>
      <c r="XI124" s="1056"/>
      <c r="XJ124" s="1056"/>
      <c r="XK124" s="1056"/>
      <c r="XL124" s="1056"/>
      <c r="XM124" s="1056"/>
      <c r="XN124" s="1056"/>
      <c r="XO124" s="1056"/>
      <c r="XP124" s="1056"/>
      <c r="XQ124" s="1056"/>
      <c r="XR124" s="1056"/>
      <c r="XS124" s="1056"/>
      <c r="XT124" s="1056"/>
      <c r="XU124" s="1056"/>
      <c r="XV124" s="1056"/>
      <c r="XW124" s="1056"/>
      <c r="XX124" s="1056"/>
      <c r="XY124" s="1056"/>
      <c r="XZ124" s="1056"/>
      <c r="YA124" s="1056"/>
      <c r="YB124" s="1056"/>
      <c r="YC124" s="1056"/>
      <c r="YD124" s="1056"/>
      <c r="YE124" s="1056"/>
      <c r="YF124" s="1056"/>
      <c r="YG124" s="1056"/>
      <c r="YH124" s="1056"/>
      <c r="YI124" s="1056"/>
      <c r="YJ124" s="1056"/>
      <c r="YK124" s="1056"/>
      <c r="YL124" s="1056"/>
      <c r="YM124" s="1056"/>
      <c r="YN124" s="1056"/>
      <c r="YO124" s="1056"/>
      <c r="YP124" s="1056"/>
      <c r="YQ124" s="1056"/>
      <c r="YR124" s="1056"/>
      <c r="YS124" s="1056"/>
      <c r="YT124" s="1056"/>
      <c r="YU124" s="1056"/>
      <c r="YV124" s="1056"/>
      <c r="YW124" s="1056"/>
      <c r="YX124" s="1056"/>
      <c r="YY124" s="1056"/>
      <c r="YZ124" s="1056"/>
      <c r="ZA124" s="1056"/>
      <c r="ZB124" s="1056"/>
      <c r="ZC124" s="1056"/>
      <c r="ZD124" s="1056"/>
      <c r="ZE124" s="1056"/>
      <c r="ZF124" s="1056"/>
      <c r="ZG124" s="1056"/>
      <c r="ZH124" s="1056"/>
      <c r="ZI124" s="1056"/>
      <c r="ZJ124" s="1056"/>
      <c r="ZK124" s="1056"/>
      <c r="ZL124" s="1056"/>
      <c r="ZM124" s="1056"/>
      <c r="ZN124" s="1056"/>
      <c r="ZO124" s="1056"/>
      <c r="ZP124" s="1056"/>
      <c r="ZQ124" s="1056"/>
      <c r="ZR124" s="1056"/>
      <c r="ZS124" s="1056"/>
      <c r="ZT124" s="1056"/>
      <c r="ZU124" s="1056"/>
      <c r="ZV124" s="1056"/>
      <c r="ZW124" s="1056"/>
      <c r="ZX124" s="1056"/>
      <c r="ZY124" s="1056"/>
      <c r="ZZ124" s="1056"/>
      <c r="AAA124" s="1056"/>
      <c r="AAB124" s="1056"/>
      <c r="AAC124" s="1056"/>
      <c r="AAD124" s="1056"/>
      <c r="AAE124" s="1056"/>
      <c r="AAF124" s="1056"/>
      <c r="AAG124" s="1056"/>
      <c r="AAH124" s="1056"/>
      <c r="AAI124" s="1056"/>
      <c r="AAJ124" s="1056"/>
      <c r="AAK124" s="1056"/>
      <c r="AAL124" s="1056"/>
      <c r="AAM124" s="1056"/>
      <c r="AAN124" s="1056"/>
      <c r="AAO124" s="1056"/>
      <c r="AAP124" s="1056"/>
      <c r="AAQ124" s="1056"/>
      <c r="AAR124" s="1056"/>
      <c r="AAS124" s="1056"/>
      <c r="AAT124" s="1056"/>
      <c r="AAU124" s="1056"/>
      <c r="AAV124" s="1056"/>
      <c r="AAW124" s="1056"/>
      <c r="AAX124" s="1056"/>
      <c r="AAY124" s="1056"/>
      <c r="AAZ124" s="1056"/>
      <c r="ABA124" s="1056"/>
      <c r="ABB124" s="1056"/>
      <c r="ABC124" s="1056"/>
      <c r="ABD124" s="1056"/>
      <c r="ABE124" s="1056"/>
      <c r="ABF124" s="1056"/>
      <c r="ABG124" s="1056"/>
      <c r="ABH124" s="1056"/>
      <c r="ABI124" s="1056"/>
      <c r="ABJ124" s="1056"/>
      <c r="ABK124" s="1056"/>
      <c r="ABL124" s="1056"/>
      <c r="ABM124" s="1056"/>
      <c r="ABN124" s="1056"/>
      <c r="ABO124" s="1056"/>
      <c r="ABP124" s="1056"/>
      <c r="ABQ124" s="1056"/>
      <c r="ABR124" s="1056"/>
      <c r="ABS124" s="1056"/>
      <c r="ABT124" s="1056"/>
      <c r="ABU124" s="1056"/>
      <c r="ABV124" s="1056"/>
      <c r="ABW124" s="1056"/>
      <c r="ABX124" s="1056"/>
      <c r="ABY124" s="1056"/>
      <c r="ABZ124" s="1056"/>
      <c r="ACA124" s="1056"/>
      <c r="ACB124" s="1056"/>
      <c r="ACC124" s="1056"/>
      <c r="ACD124" s="1056"/>
      <c r="ACE124" s="1056"/>
      <c r="ACF124" s="1056"/>
      <c r="ACG124" s="1056"/>
      <c r="ACH124" s="1056"/>
      <c r="ACI124" s="1056"/>
      <c r="ACJ124" s="1056"/>
      <c r="ACK124" s="1056"/>
      <c r="ACL124" s="1056"/>
      <c r="ACM124" s="1056"/>
      <c r="ACN124" s="1056"/>
      <c r="ACO124" s="1056"/>
      <c r="ACP124" s="1056"/>
      <c r="ACQ124" s="1056"/>
      <c r="ACR124" s="1056"/>
      <c r="ACS124" s="1056"/>
      <c r="ACT124" s="1056"/>
      <c r="ACU124" s="1056"/>
      <c r="ACV124" s="1056"/>
      <c r="ACW124" s="1056"/>
      <c r="ACX124" s="1056"/>
      <c r="ACY124" s="1056"/>
      <c r="ACZ124" s="1056"/>
      <c r="ADA124" s="1056"/>
      <c r="ADB124" s="1056"/>
      <c r="ADC124" s="1056"/>
      <c r="ADD124" s="1056"/>
      <c r="ADE124" s="1056"/>
      <c r="ADF124" s="1056"/>
      <c r="ADG124" s="1056"/>
      <c r="ADH124" s="1056"/>
      <c r="ADI124" s="1056"/>
      <c r="ADJ124" s="1056"/>
      <c r="ADK124" s="1056"/>
      <c r="ADL124" s="1056"/>
      <c r="ADM124" s="1056"/>
      <c r="ADN124" s="1056"/>
      <c r="ADO124" s="1056"/>
      <c r="ADP124" s="1056"/>
      <c r="ADQ124" s="1056"/>
      <c r="ADR124" s="1056"/>
      <c r="ADS124" s="1056"/>
      <c r="ADT124" s="1056"/>
      <c r="ADU124" s="1056"/>
      <c r="ADV124" s="1056"/>
      <c r="ADW124" s="1056"/>
      <c r="ADX124" s="1056"/>
      <c r="ADY124" s="1056"/>
      <c r="ADZ124" s="1056"/>
      <c r="AEA124" s="1056"/>
      <c r="AEB124" s="1056"/>
      <c r="AEC124" s="1056"/>
      <c r="AED124" s="1056"/>
      <c r="AEE124" s="1056"/>
      <c r="AEF124" s="1056"/>
      <c r="AEG124" s="1056"/>
      <c r="AEH124" s="1056"/>
      <c r="AEI124" s="1056"/>
      <c r="AEJ124" s="1056"/>
      <c r="AEK124" s="1056"/>
      <c r="AEL124" s="1056"/>
      <c r="AEM124" s="1056"/>
      <c r="AEN124" s="1056"/>
      <c r="AEO124" s="1056"/>
      <c r="AEP124" s="1056"/>
      <c r="AEQ124" s="1056"/>
      <c r="AER124" s="1056"/>
      <c r="AES124" s="1056"/>
      <c r="AET124" s="1056"/>
      <c r="AEU124" s="1056"/>
      <c r="AEV124" s="1056"/>
      <c r="AEW124" s="1056"/>
      <c r="AEX124" s="1056"/>
      <c r="AEY124" s="1056"/>
      <c r="AEZ124" s="1056"/>
      <c r="AFA124" s="1056"/>
      <c r="AFB124" s="1056"/>
      <c r="AFC124" s="1056"/>
      <c r="AFD124" s="1056"/>
      <c r="AFE124" s="1056"/>
      <c r="AFF124" s="1056"/>
      <c r="AFG124" s="1056"/>
      <c r="AFH124" s="1056"/>
      <c r="AFI124" s="1056"/>
      <c r="AFJ124" s="1056"/>
      <c r="AFK124" s="1056"/>
      <c r="AFL124" s="1056"/>
      <c r="AFM124" s="1056"/>
      <c r="AFN124" s="1056"/>
      <c r="AFO124" s="1056"/>
      <c r="AFP124" s="1056"/>
      <c r="AFQ124" s="1056"/>
      <c r="AFR124" s="1056"/>
      <c r="AFS124" s="1056"/>
      <c r="AFT124" s="1056"/>
      <c r="AFU124" s="1056"/>
      <c r="AFV124" s="1056"/>
      <c r="AFW124" s="1056"/>
      <c r="AFX124" s="1056"/>
      <c r="AFY124" s="1056"/>
      <c r="AFZ124" s="1056"/>
      <c r="AGA124" s="1056"/>
      <c r="AGB124" s="1056"/>
      <c r="AGC124" s="1056"/>
      <c r="AGD124" s="1056"/>
      <c r="AGE124" s="1056"/>
      <c r="AGF124" s="1056"/>
      <c r="AGG124" s="1056"/>
      <c r="AGH124" s="1056"/>
      <c r="AGI124" s="1056"/>
      <c r="AGJ124" s="1056"/>
      <c r="AGK124" s="1056"/>
      <c r="AGL124" s="1056"/>
      <c r="AGM124" s="1056"/>
      <c r="AGN124" s="1056"/>
      <c r="AGO124" s="1056"/>
      <c r="AGP124" s="1056"/>
      <c r="AGQ124" s="1056"/>
      <c r="AGR124" s="1056"/>
      <c r="AGS124" s="1056"/>
      <c r="AGT124" s="1056"/>
      <c r="AGU124" s="1056"/>
      <c r="AGV124" s="1056"/>
      <c r="AGW124" s="1056"/>
      <c r="AGX124" s="1056"/>
      <c r="AGY124" s="1056"/>
      <c r="AGZ124" s="1056"/>
      <c r="AHA124" s="1056"/>
      <c r="AHB124" s="1056"/>
      <c r="AHC124" s="1056"/>
      <c r="AHD124" s="1056"/>
      <c r="AHE124" s="1056"/>
      <c r="AHF124" s="1056"/>
      <c r="AHG124" s="1056"/>
      <c r="AHH124" s="1056"/>
      <c r="AHI124" s="1056"/>
      <c r="AHJ124" s="1056"/>
      <c r="AHK124" s="1056"/>
      <c r="AHL124" s="1056"/>
      <c r="AHM124" s="1056"/>
      <c r="AHN124" s="1056"/>
      <c r="AHO124" s="1056"/>
      <c r="AHP124" s="1056"/>
      <c r="AHQ124" s="1056"/>
      <c r="AHR124" s="1056"/>
      <c r="AHS124" s="1056"/>
      <c r="AHT124" s="1056"/>
      <c r="AHU124" s="1056"/>
      <c r="AHV124" s="1056"/>
      <c r="AHW124" s="1056"/>
      <c r="AHX124" s="1056"/>
      <c r="AHY124" s="1056"/>
      <c r="AHZ124" s="1056"/>
      <c r="AIA124" s="1056"/>
      <c r="AIB124" s="1056"/>
      <c r="AIC124" s="1056"/>
      <c r="AID124" s="1056"/>
      <c r="AIE124" s="1056"/>
      <c r="AIF124" s="1056"/>
      <c r="AIG124" s="1056"/>
      <c r="AIH124" s="1056"/>
      <c r="AII124" s="1056"/>
      <c r="AIJ124" s="1056"/>
      <c r="AIK124" s="1056"/>
      <c r="AIL124" s="1056"/>
      <c r="AIM124" s="1056"/>
      <c r="AIN124" s="1056"/>
      <c r="AIO124" s="1056"/>
      <c r="AIP124" s="1056"/>
      <c r="AIQ124" s="1056"/>
      <c r="AIR124" s="1056"/>
      <c r="AIS124" s="1056"/>
      <c r="AIT124" s="1056"/>
      <c r="AIU124" s="1056"/>
      <c r="AIV124" s="1056"/>
      <c r="AIW124" s="1056"/>
      <c r="AIX124" s="1056"/>
      <c r="AIY124" s="1056"/>
      <c r="AIZ124" s="1056"/>
      <c r="AJA124" s="1056"/>
      <c r="AJB124" s="1056"/>
      <c r="AJC124" s="1056"/>
      <c r="AJD124" s="1056"/>
      <c r="AJE124" s="1056"/>
      <c r="AJF124" s="1056"/>
      <c r="AJG124" s="1056"/>
      <c r="AJH124" s="1056"/>
      <c r="AJI124" s="1056"/>
      <c r="AJJ124" s="1056"/>
      <c r="AJK124" s="1056"/>
      <c r="AJL124" s="1056"/>
      <c r="AJM124" s="1056"/>
      <c r="AJN124" s="1056"/>
      <c r="AJO124" s="1056"/>
      <c r="AJP124" s="1056"/>
      <c r="AJQ124" s="1056"/>
      <c r="AJR124" s="1056"/>
      <c r="AJS124" s="1056"/>
      <c r="AJT124" s="1056"/>
      <c r="AJU124" s="1056"/>
      <c r="AJV124" s="1056"/>
      <c r="AJW124" s="1056"/>
      <c r="AJX124" s="1056"/>
      <c r="AJY124" s="1056"/>
      <c r="AJZ124" s="1056"/>
      <c r="AKA124" s="1056"/>
      <c r="AKB124" s="1056"/>
      <c r="AKC124" s="1056"/>
      <c r="AKD124" s="1056"/>
      <c r="AKE124" s="1056"/>
      <c r="AKF124" s="1056"/>
      <c r="AKG124" s="1056"/>
      <c r="AKH124" s="1056"/>
      <c r="AKI124" s="1056"/>
      <c r="AKJ124" s="1056"/>
      <c r="AKK124" s="1056"/>
      <c r="AKL124" s="1056"/>
      <c r="AKM124" s="1056"/>
      <c r="AKN124" s="1056"/>
      <c r="AKO124" s="1056"/>
      <c r="AKP124" s="1056"/>
      <c r="AKQ124" s="1056"/>
      <c r="AKR124" s="1056"/>
      <c r="AKS124" s="1056"/>
      <c r="AKT124" s="1056"/>
      <c r="AKU124" s="1056"/>
      <c r="AKV124" s="1056"/>
      <c r="AKW124" s="1056"/>
      <c r="AKX124" s="1056"/>
      <c r="AKY124" s="1056"/>
      <c r="AKZ124" s="1056"/>
      <c r="ALA124" s="1056"/>
      <c r="ALB124" s="1056"/>
      <c r="ALC124" s="1056"/>
      <c r="ALD124" s="1056"/>
      <c r="ALE124" s="1056"/>
      <c r="ALF124" s="1056"/>
      <c r="ALG124" s="1056"/>
      <c r="ALH124" s="1056"/>
      <c r="ALI124" s="1056"/>
      <c r="ALJ124" s="1056"/>
      <c r="ALK124" s="1056"/>
      <c r="ALL124" s="1056"/>
      <c r="ALM124" s="1056"/>
      <c r="ALN124" s="1056"/>
      <c r="ALO124" s="1056"/>
      <c r="ALP124" s="1056"/>
      <c r="ALQ124" s="1056"/>
      <c r="ALR124" s="1056"/>
      <c r="ALS124" s="1056"/>
      <c r="ALT124" s="1056"/>
      <c r="ALU124" s="1056"/>
      <c r="ALV124" s="1056"/>
      <c r="ALW124" s="1056"/>
      <c r="ALX124" s="1056"/>
      <c r="ALY124" s="1056"/>
      <c r="ALZ124" s="1056"/>
      <c r="AMA124" s="1056"/>
      <c r="AMB124" s="1056"/>
      <c r="AMC124" s="1056"/>
      <c r="AMD124" s="1056"/>
      <c r="AME124" s="1056"/>
      <c r="AMF124" s="1056"/>
      <c r="AMG124" s="1056"/>
      <c r="AMH124" s="1056"/>
      <c r="AMI124" s="1056"/>
      <c r="AMJ124" s="1056"/>
      <c r="AMK124" s="1056"/>
      <c r="AML124" s="1056"/>
      <c r="AMM124" s="1056"/>
      <c r="AMN124" s="1056"/>
      <c r="AMO124" s="1056"/>
      <c r="AMP124" s="1056"/>
      <c r="AMQ124" s="1056"/>
      <c r="AMR124" s="1056"/>
      <c r="AMS124" s="1056"/>
      <c r="AMT124" s="1056"/>
      <c r="AMU124" s="1056"/>
      <c r="AMV124" s="1056"/>
      <c r="AMW124" s="1056"/>
      <c r="AMX124" s="1056"/>
      <c r="AMY124" s="1056"/>
      <c r="AMZ124" s="1056"/>
      <c r="ANA124" s="1056"/>
      <c r="ANB124" s="1056"/>
      <c r="ANC124" s="1056"/>
      <c r="AND124" s="1056"/>
      <c r="ANE124" s="1056"/>
      <c r="ANF124" s="1056"/>
      <c r="ANG124" s="1056"/>
      <c r="ANH124" s="1056"/>
      <c r="ANI124" s="1056"/>
      <c r="ANJ124" s="1056"/>
      <c r="ANK124" s="1056"/>
      <c r="ANL124" s="1056"/>
      <c r="ANM124" s="1056"/>
      <c r="ANN124" s="1056"/>
      <c r="ANO124" s="1056"/>
      <c r="ANP124" s="1056"/>
      <c r="ANQ124" s="1056"/>
      <c r="ANR124" s="1056"/>
      <c r="ANS124" s="1056"/>
      <c r="ANT124" s="1056"/>
      <c r="ANU124" s="1056"/>
      <c r="ANV124" s="1056"/>
      <c r="ANW124" s="1056"/>
      <c r="ANX124" s="1056"/>
      <c r="ANY124" s="1056"/>
      <c r="ANZ124" s="1056"/>
      <c r="AOA124" s="1056"/>
      <c r="AOB124" s="1056"/>
      <c r="AOC124" s="1056"/>
      <c r="AOD124" s="1056"/>
      <c r="AOE124" s="1056"/>
      <c r="AOF124" s="1056"/>
      <c r="AOG124" s="1056"/>
      <c r="AOH124" s="1056"/>
      <c r="AOI124" s="1056"/>
      <c r="AOJ124" s="1056"/>
      <c r="AOK124" s="1056"/>
      <c r="AOL124" s="1056"/>
      <c r="AOM124" s="1056"/>
      <c r="AON124" s="1056"/>
      <c r="AOO124" s="1056"/>
      <c r="AOP124" s="1056"/>
      <c r="AOQ124" s="1056"/>
      <c r="AOR124" s="1056"/>
      <c r="AOS124" s="1056"/>
      <c r="AOT124" s="1056"/>
      <c r="AOU124" s="1056"/>
      <c r="AOV124" s="1056"/>
      <c r="AOW124" s="1056"/>
      <c r="AOX124" s="1056"/>
      <c r="AOY124" s="1056"/>
      <c r="AOZ124" s="1056"/>
      <c r="APA124" s="1056"/>
      <c r="APB124" s="1056"/>
      <c r="APC124" s="1056"/>
      <c r="APD124" s="1056"/>
      <c r="APE124" s="1056"/>
      <c r="APF124" s="1056"/>
      <c r="APG124" s="1056"/>
      <c r="APH124" s="1056"/>
      <c r="API124" s="1056"/>
      <c r="APJ124" s="1056"/>
      <c r="APK124" s="1056"/>
      <c r="APL124" s="1056"/>
      <c r="APM124" s="1056"/>
      <c r="APN124" s="1056"/>
      <c r="APO124" s="1056"/>
      <c r="APP124" s="1056"/>
      <c r="APQ124" s="1056"/>
      <c r="APR124" s="1056"/>
      <c r="APS124" s="1056"/>
      <c r="APT124" s="1056"/>
      <c r="APU124" s="1056"/>
      <c r="APV124" s="1056"/>
      <c r="APW124" s="1056"/>
      <c r="APX124" s="1056"/>
      <c r="APY124" s="1056"/>
      <c r="APZ124" s="1056"/>
      <c r="AQA124" s="1056"/>
      <c r="AQB124" s="1056"/>
      <c r="AQC124" s="1056"/>
      <c r="AQD124" s="1056"/>
      <c r="AQE124" s="1056"/>
      <c r="AQF124" s="1056"/>
      <c r="AQG124" s="1056"/>
      <c r="AQH124" s="1056"/>
      <c r="AQI124" s="1056"/>
      <c r="AQJ124" s="1056"/>
      <c r="AQK124" s="1056"/>
      <c r="AQL124" s="1056"/>
      <c r="AQM124" s="1056"/>
      <c r="AQN124" s="1056"/>
      <c r="AQO124" s="1056"/>
      <c r="AQP124" s="1056"/>
      <c r="AQQ124" s="1056"/>
      <c r="AQR124" s="1056"/>
      <c r="AQS124" s="1056"/>
      <c r="AQT124" s="1056"/>
      <c r="AQU124" s="1056"/>
      <c r="AQV124" s="1056"/>
      <c r="AQW124" s="1056"/>
      <c r="AQX124" s="1056"/>
      <c r="AQY124" s="1056"/>
      <c r="AQZ124" s="1056"/>
      <c r="ARA124" s="1056"/>
      <c r="ARB124" s="1056"/>
      <c r="ARC124" s="1056"/>
      <c r="ARD124" s="1056"/>
      <c r="ARE124" s="1056"/>
      <c r="ARF124" s="1056"/>
      <c r="ARG124" s="1056"/>
      <c r="ARH124" s="1056"/>
      <c r="ARI124" s="1056"/>
      <c r="ARJ124" s="1056"/>
      <c r="ARK124" s="1056"/>
      <c r="ARL124" s="1056"/>
      <c r="ARM124" s="1056"/>
      <c r="ARN124" s="1056"/>
      <c r="ARO124" s="1056"/>
      <c r="ARP124" s="1056"/>
      <c r="ARQ124" s="1056"/>
      <c r="ARR124" s="1056"/>
      <c r="ARS124" s="1056"/>
      <c r="ART124" s="1056"/>
      <c r="ARU124" s="1056"/>
      <c r="ARV124" s="1056"/>
      <c r="ARW124" s="1056"/>
      <c r="ARX124" s="1056"/>
      <c r="ARY124" s="1056"/>
      <c r="ARZ124" s="1056"/>
      <c r="ASA124" s="1056"/>
      <c r="ASB124" s="1056"/>
      <c r="ASC124" s="1056"/>
      <c r="ASD124" s="1056"/>
      <c r="ASE124" s="1056"/>
      <c r="ASF124" s="1056"/>
      <c r="ASG124" s="1056"/>
      <c r="ASH124" s="1056"/>
      <c r="ASI124" s="1056"/>
      <c r="ASJ124" s="1056"/>
      <c r="ASK124" s="1056"/>
      <c r="ASL124" s="1056"/>
      <c r="ASM124" s="1056"/>
      <c r="ASN124" s="1056"/>
      <c r="ASO124" s="1056"/>
      <c r="ASP124" s="1056"/>
      <c r="ASQ124" s="1056"/>
      <c r="ASR124" s="1056"/>
      <c r="ASS124" s="1056"/>
      <c r="AST124" s="1056"/>
      <c r="ASU124" s="1056"/>
      <c r="ASV124" s="1056"/>
      <c r="ASW124" s="1056"/>
      <c r="ASX124" s="1056"/>
      <c r="ASY124" s="1056"/>
      <c r="ASZ124" s="1056"/>
      <c r="ATA124" s="1056"/>
      <c r="ATB124" s="1056"/>
      <c r="ATC124" s="1056"/>
      <c r="ATD124" s="1056"/>
      <c r="ATE124" s="1056"/>
      <c r="ATF124" s="1056"/>
      <c r="ATG124" s="1056"/>
      <c r="ATH124" s="1056"/>
      <c r="ATI124" s="1056"/>
      <c r="ATJ124" s="1056"/>
      <c r="ATK124" s="1056"/>
      <c r="ATL124" s="1056"/>
      <c r="ATM124" s="1056"/>
      <c r="ATN124" s="1056"/>
      <c r="ATO124" s="1056"/>
      <c r="ATP124" s="1056"/>
      <c r="ATQ124" s="1056"/>
      <c r="ATR124" s="1056"/>
      <c r="ATS124" s="1056"/>
      <c r="ATT124" s="1056"/>
      <c r="ATU124" s="1056"/>
      <c r="ATV124" s="1056"/>
      <c r="ATW124" s="1056"/>
      <c r="ATX124" s="1056"/>
      <c r="ATY124" s="1056"/>
      <c r="ATZ124" s="1056"/>
      <c r="AUA124" s="1056"/>
      <c r="AUB124" s="1056"/>
      <c r="AUC124" s="1056"/>
      <c r="AUD124" s="1056"/>
      <c r="AUE124" s="1056"/>
      <c r="AUF124" s="1056"/>
      <c r="AUG124" s="1056"/>
      <c r="AUH124" s="1056"/>
      <c r="AUI124" s="1056"/>
      <c r="AUJ124" s="1056"/>
      <c r="AUK124" s="1056"/>
      <c r="AUL124" s="1056"/>
      <c r="AUM124" s="1056"/>
      <c r="AUN124" s="1056"/>
      <c r="AUO124" s="1056"/>
      <c r="AUP124" s="1056"/>
      <c r="AUQ124" s="1056"/>
      <c r="AUR124" s="1056"/>
      <c r="AUS124" s="1056"/>
      <c r="AUT124" s="1056"/>
      <c r="AUU124" s="1056"/>
      <c r="AUV124" s="1056"/>
      <c r="AUW124" s="1056"/>
      <c r="AUX124" s="1056"/>
      <c r="AUY124" s="1056"/>
      <c r="AUZ124" s="1056"/>
      <c r="AVA124" s="1056"/>
      <c r="AVB124" s="1056"/>
      <c r="AVC124" s="1056"/>
      <c r="AVD124" s="1056"/>
      <c r="AVE124" s="1056"/>
      <c r="AVF124" s="1056"/>
      <c r="AVG124" s="1056"/>
      <c r="AVH124" s="1056"/>
      <c r="AVI124" s="1056"/>
      <c r="AVJ124" s="1056"/>
      <c r="AVK124" s="1056"/>
      <c r="AVL124" s="1056"/>
      <c r="AVM124" s="1056"/>
      <c r="AVN124" s="1056"/>
      <c r="AVO124" s="1056"/>
      <c r="AVP124" s="1056"/>
      <c r="AVQ124" s="1056"/>
      <c r="AVR124" s="1056"/>
      <c r="AVS124" s="1056"/>
      <c r="AVT124" s="1056"/>
      <c r="AVU124" s="1056"/>
      <c r="AVV124" s="1056"/>
      <c r="AVW124" s="1056"/>
      <c r="AVX124" s="1056"/>
      <c r="AVY124" s="1056"/>
      <c r="AVZ124" s="1056"/>
      <c r="AWA124" s="1056"/>
      <c r="AWB124" s="1056"/>
      <c r="AWC124" s="1056"/>
      <c r="AWD124" s="1056"/>
      <c r="AWE124" s="1056"/>
      <c r="AWF124" s="1056"/>
      <c r="AWG124" s="1056"/>
      <c r="AWH124" s="1056"/>
      <c r="AWI124" s="1056"/>
      <c r="AWJ124" s="1056"/>
      <c r="AWK124" s="1056"/>
      <c r="AWL124" s="1056"/>
      <c r="AWM124" s="1056"/>
      <c r="AWN124" s="1056"/>
      <c r="AWO124" s="1056"/>
      <c r="AWP124" s="1056"/>
      <c r="AWQ124" s="1056"/>
      <c r="AWR124" s="1056"/>
      <c r="AWS124" s="1056"/>
      <c r="AWT124" s="1056"/>
      <c r="AWU124" s="1056"/>
      <c r="AWV124" s="1056"/>
      <c r="AWW124" s="1056"/>
      <c r="AWX124" s="1056"/>
      <c r="AWY124" s="1056"/>
      <c r="AWZ124" s="1056"/>
      <c r="AXA124" s="1056"/>
      <c r="AXB124" s="1056"/>
      <c r="AXC124" s="1056"/>
      <c r="AXD124" s="1056"/>
      <c r="AXE124" s="1056"/>
      <c r="AXF124" s="1056"/>
      <c r="AXG124" s="1056"/>
      <c r="AXH124" s="1056"/>
      <c r="AXI124" s="1056"/>
      <c r="AXJ124" s="1056"/>
      <c r="AXK124" s="1056"/>
      <c r="AXL124" s="1056"/>
      <c r="AXM124" s="1056"/>
      <c r="AXN124" s="1056"/>
      <c r="AXO124" s="1056"/>
      <c r="AXP124" s="1056"/>
      <c r="AXQ124" s="1056"/>
      <c r="AXR124" s="1056"/>
      <c r="AXS124" s="1056"/>
      <c r="AXT124" s="1056"/>
      <c r="AXU124" s="1056"/>
      <c r="AXV124" s="1056"/>
      <c r="AXW124" s="1056"/>
      <c r="AXX124" s="1056"/>
      <c r="AXY124" s="1056"/>
      <c r="AXZ124" s="1056"/>
      <c r="AYA124" s="1056"/>
      <c r="AYB124" s="1056"/>
      <c r="AYC124" s="1056"/>
      <c r="AYD124" s="1056"/>
      <c r="AYE124" s="1056"/>
      <c r="AYF124" s="1056"/>
      <c r="AYG124" s="1056"/>
      <c r="AYH124" s="1056"/>
      <c r="AYI124" s="1056"/>
      <c r="AYJ124" s="1056"/>
      <c r="AYK124" s="1056"/>
      <c r="AYL124" s="1056"/>
      <c r="AYM124" s="1056"/>
      <c r="AYN124" s="1056"/>
      <c r="AYO124" s="1056"/>
      <c r="AYP124" s="1056"/>
      <c r="AYQ124" s="1056"/>
      <c r="AYR124" s="1056"/>
      <c r="AYS124" s="1056"/>
      <c r="AYT124" s="1056"/>
      <c r="AYU124" s="1056"/>
      <c r="AYV124" s="1056"/>
      <c r="AYW124" s="1056"/>
      <c r="AYX124" s="1056"/>
      <c r="AYY124" s="1056"/>
      <c r="AYZ124" s="1056"/>
      <c r="AZA124" s="1056"/>
      <c r="AZB124" s="1056"/>
      <c r="AZC124" s="1056"/>
      <c r="AZD124" s="1056"/>
      <c r="AZE124" s="1056"/>
      <c r="AZF124" s="1056"/>
      <c r="AZG124" s="1056"/>
      <c r="AZH124" s="1056"/>
      <c r="AZI124" s="1056"/>
      <c r="AZJ124" s="1056"/>
      <c r="AZK124" s="1056"/>
      <c r="AZL124" s="1056"/>
      <c r="AZM124" s="1056"/>
      <c r="AZN124" s="1056"/>
      <c r="AZO124" s="1056"/>
      <c r="AZP124" s="1056"/>
      <c r="AZQ124" s="1056"/>
      <c r="AZR124" s="1056"/>
      <c r="AZS124" s="1056"/>
      <c r="AZT124" s="1056"/>
      <c r="AZU124" s="1056"/>
      <c r="AZV124" s="1056"/>
      <c r="AZW124" s="1056"/>
      <c r="AZX124" s="1056"/>
      <c r="AZY124" s="1056"/>
      <c r="AZZ124" s="1056"/>
      <c r="BAA124" s="1056"/>
      <c r="BAB124" s="1056"/>
      <c r="BAC124" s="1056"/>
      <c r="BAD124" s="1056"/>
      <c r="BAE124" s="1056"/>
      <c r="BAF124" s="1056"/>
      <c r="BAG124" s="1056"/>
      <c r="BAH124" s="1056"/>
      <c r="BAI124" s="1056"/>
      <c r="BAJ124" s="1056"/>
      <c r="BAK124" s="1056"/>
      <c r="BAL124" s="1056"/>
      <c r="BAM124" s="1056"/>
      <c r="BAN124" s="1056"/>
      <c r="BAO124" s="1056"/>
      <c r="BAP124" s="1056"/>
      <c r="BAQ124" s="1056"/>
      <c r="BAR124" s="1056"/>
      <c r="BAS124" s="1056"/>
      <c r="BAT124" s="1056"/>
      <c r="BAU124" s="1056"/>
      <c r="BAV124" s="1056"/>
      <c r="BAW124" s="1056"/>
      <c r="BAX124" s="1056"/>
      <c r="BAY124" s="1056"/>
      <c r="BAZ124" s="1056"/>
      <c r="BBA124" s="1056"/>
      <c r="BBB124" s="1056"/>
      <c r="BBC124" s="1056"/>
      <c r="BBD124" s="1056"/>
      <c r="BBE124" s="1056"/>
      <c r="BBF124" s="1056"/>
      <c r="BBG124" s="1056"/>
      <c r="BBH124" s="1056"/>
      <c r="BBI124" s="1056"/>
      <c r="BBJ124" s="1056"/>
      <c r="BBK124" s="1056"/>
      <c r="BBL124" s="1056"/>
      <c r="BBM124" s="1056"/>
      <c r="BBN124" s="1056"/>
      <c r="BBO124" s="1056"/>
      <c r="BBP124" s="1056"/>
      <c r="BBQ124" s="1056"/>
      <c r="BBR124" s="1056"/>
      <c r="BBS124" s="1056"/>
      <c r="BBT124" s="1056"/>
      <c r="BBU124" s="1056"/>
      <c r="BBV124" s="1056"/>
      <c r="BBW124" s="1056"/>
      <c r="BBX124" s="1056"/>
      <c r="BBY124" s="1056"/>
      <c r="BBZ124" s="1056"/>
      <c r="BCA124" s="1056"/>
      <c r="BCB124" s="1056"/>
      <c r="BCC124" s="1056"/>
      <c r="BCD124" s="1056"/>
      <c r="BCE124" s="1056"/>
      <c r="BCF124" s="1056"/>
      <c r="BCG124" s="1056"/>
      <c r="BCH124" s="1056"/>
      <c r="BCI124" s="1056"/>
      <c r="BCJ124" s="1056"/>
      <c r="BCK124" s="1056"/>
      <c r="BCL124" s="1056"/>
      <c r="BCM124" s="1056"/>
      <c r="BCN124" s="1056"/>
      <c r="BCO124" s="1056"/>
      <c r="BCP124" s="1056"/>
      <c r="BCQ124" s="1056"/>
      <c r="BCR124" s="1056"/>
      <c r="BCS124" s="1056"/>
      <c r="BCT124" s="1056"/>
      <c r="BCU124" s="1056"/>
      <c r="BCV124" s="1056"/>
      <c r="BCW124" s="1056"/>
      <c r="BCX124" s="1056"/>
      <c r="BCY124" s="1056"/>
      <c r="BCZ124" s="1056"/>
      <c r="BDA124" s="1056"/>
      <c r="BDB124" s="1056"/>
      <c r="BDC124" s="1056"/>
      <c r="BDD124" s="1056"/>
      <c r="BDE124" s="1056"/>
      <c r="BDF124" s="1056"/>
      <c r="BDG124" s="1056"/>
      <c r="BDH124" s="1056"/>
      <c r="BDI124" s="1056"/>
      <c r="BDJ124" s="1056"/>
      <c r="BDK124" s="1056"/>
      <c r="BDL124" s="1056"/>
      <c r="BDM124" s="1056"/>
      <c r="BDN124" s="1056"/>
      <c r="BDO124" s="1056"/>
      <c r="BDP124" s="1056"/>
      <c r="BDQ124" s="1056"/>
      <c r="BDR124" s="1056"/>
      <c r="BDS124" s="1056"/>
      <c r="BDT124" s="1056"/>
      <c r="BDU124" s="1056"/>
      <c r="BDV124" s="1056"/>
      <c r="BDW124" s="1056"/>
      <c r="BDX124" s="1056"/>
      <c r="BDY124" s="1056"/>
      <c r="BDZ124" s="1056"/>
      <c r="BEA124" s="1056"/>
      <c r="BEB124" s="1056"/>
      <c r="BEC124" s="1056"/>
      <c r="BED124" s="1056"/>
      <c r="BEE124" s="1056"/>
      <c r="BEF124" s="1056"/>
      <c r="BEG124" s="1056"/>
      <c r="BEH124" s="1056"/>
      <c r="BEI124" s="1056"/>
      <c r="BEJ124" s="1056"/>
      <c r="BEK124" s="1056"/>
      <c r="BEL124" s="1056"/>
      <c r="BEM124" s="1056"/>
      <c r="BEN124" s="1056"/>
      <c r="BEO124" s="1056"/>
      <c r="BEP124" s="1056"/>
      <c r="BEQ124" s="1056"/>
      <c r="BER124" s="1056"/>
      <c r="BES124" s="1056"/>
      <c r="BET124" s="1056"/>
      <c r="BEU124" s="1056"/>
      <c r="BEV124" s="1056"/>
      <c r="BEW124" s="1056"/>
      <c r="BEX124" s="1056"/>
      <c r="BEY124" s="1056"/>
      <c r="BEZ124" s="1056"/>
      <c r="BFA124" s="1056"/>
      <c r="BFB124" s="1056"/>
      <c r="BFC124" s="1056"/>
      <c r="BFD124" s="1056"/>
      <c r="BFE124" s="1056"/>
      <c r="BFF124" s="1056"/>
      <c r="BFG124" s="1056"/>
      <c r="BFH124" s="1056"/>
      <c r="BFI124" s="1056"/>
      <c r="BFJ124" s="1056"/>
      <c r="BFK124" s="1056"/>
      <c r="BFL124" s="1056"/>
      <c r="BFM124" s="1056"/>
      <c r="BFN124" s="1056"/>
      <c r="BFO124" s="1056"/>
      <c r="BFP124" s="1056"/>
      <c r="BFQ124" s="1056"/>
      <c r="BFR124" s="1056"/>
      <c r="BFS124" s="1056"/>
      <c r="BFT124" s="1056"/>
      <c r="BFU124" s="1056"/>
      <c r="BFV124" s="1056"/>
      <c r="BFW124" s="1056"/>
      <c r="BFX124" s="1056"/>
      <c r="BFY124" s="1056"/>
      <c r="BFZ124" s="1056"/>
      <c r="BGA124" s="1056"/>
      <c r="BGB124" s="1056"/>
      <c r="BGC124" s="1056"/>
      <c r="BGD124" s="1056"/>
      <c r="BGE124" s="1056"/>
      <c r="BGF124" s="1056"/>
      <c r="BGG124" s="1056"/>
      <c r="BGH124" s="1056"/>
      <c r="BGI124" s="1056"/>
      <c r="BGJ124" s="1056"/>
      <c r="BGK124" s="1056"/>
      <c r="BGL124" s="1056"/>
      <c r="BGM124" s="1056"/>
      <c r="BGN124" s="1056"/>
      <c r="BGO124" s="1056"/>
      <c r="BGP124" s="1056"/>
      <c r="BGQ124" s="1056"/>
      <c r="BGR124" s="1056"/>
      <c r="BGS124" s="1056"/>
      <c r="BGT124" s="1056"/>
      <c r="BGU124" s="1056"/>
      <c r="BGV124" s="1056"/>
      <c r="BGW124" s="1056"/>
      <c r="BGX124" s="1056"/>
      <c r="BGY124" s="1056"/>
      <c r="BGZ124" s="1056"/>
      <c r="BHA124" s="1056"/>
      <c r="BHB124" s="1056"/>
      <c r="BHC124" s="1056"/>
      <c r="BHD124" s="1056"/>
      <c r="BHE124" s="1056"/>
      <c r="BHF124" s="1056"/>
      <c r="BHG124" s="1056"/>
      <c r="BHH124" s="1056"/>
      <c r="BHI124" s="1056"/>
      <c r="BHJ124" s="1056"/>
      <c r="BHK124" s="1056"/>
      <c r="BHL124" s="1056"/>
      <c r="BHM124" s="1056"/>
      <c r="BHN124" s="1056"/>
      <c r="BHO124" s="1056"/>
      <c r="BHP124" s="1056"/>
      <c r="BHQ124" s="1056"/>
      <c r="BHR124" s="1056"/>
      <c r="BHS124" s="1056"/>
      <c r="BHT124" s="1056"/>
      <c r="BHU124" s="1056"/>
      <c r="BHV124" s="1056"/>
      <c r="BHW124" s="1056"/>
      <c r="BHX124" s="1056"/>
      <c r="BHY124" s="1056"/>
      <c r="BHZ124" s="1056"/>
      <c r="BIA124" s="1056"/>
      <c r="BIB124" s="1056"/>
      <c r="BIC124" s="1056"/>
      <c r="BID124" s="1056"/>
      <c r="BIE124" s="1056"/>
      <c r="BIF124" s="1056"/>
      <c r="BIG124" s="1056"/>
      <c r="BIH124" s="1056"/>
      <c r="BII124" s="1056"/>
      <c r="BIJ124" s="1056"/>
      <c r="BIK124" s="1056"/>
      <c r="BIL124" s="1056"/>
      <c r="BIM124" s="1056"/>
      <c r="BIN124" s="1056"/>
      <c r="BIO124" s="1056"/>
      <c r="BIP124" s="1056"/>
      <c r="BIQ124" s="1056"/>
      <c r="BIR124" s="1056"/>
      <c r="BIS124" s="1056"/>
      <c r="BIT124" s="1056"/>
      <c r="BIU124" s="1056"/>
      <c r="BIV124" s="1056"/>
      <c r="BIW124" s="1056"/>
      <c r="BIX124" s="1056"/>
      <c r="BIY124" s="1056"/>
      <c r="BIZ124" s="1056"/>
      <c r="BJA124" s="1056"/>
      <c r="BJB124" s="1056"/>
      <c r="BJC124" s="1056"/>
      <c r="BJD124" s="1056"/>
      <c r="BJE124" s="1056"/>
      <c r="BJF124" s="1056"/>
      <c r="BJG124" s="1056"/>
      <c r="BJH124" s="1056"/>
      <c r="BJI124" s="1056"/>
      <c r="BJJ124" s="1056"/>
      <c r="BJK124" s="1056"/>
      <c r="BJL124" s="1056"/>
      <c r="BJM124" s="1056"/>
      <c r="BJN124" s="1056"/>
      <c r="BJO124" s="1056"/>
      <c r="BJP124" s="1056"/>
      <c r="BJQ124" s="1056"/>
      <c r="BJR124" s="1056"/>
      <c r="BJS124" s="1056"/>
      <c r="BJT124" s="1056"/>
      <c r="BJU124" s="1056"/>
      <c r="BJV124" s="1056"/>
      <c r="BJW124" s="1056"/>
      <c r="BJX124" s="1056"/>
      <c r="BJY124" s="1056"/>
      <c r="BJZ124" s="1056"/>
      <c r="BKA124" s="1056"/>
      <c r="BKB124" s="1056"/>
      <c r="BKC124" s="1056"/>
      <c r="BKD124" s="1056"/>
      <c r="BKE124" s="1056"/>
      <c r="BKF124" s="1056"/>
      <c r="BKG124" s="1056"/>
      <c r="BKH124" s="1056"/>
      <c r="BKI124" s="1056"/>
      <c r="BKJ124" s="1056"/>
      <c r="BKK124" s="1056"/>
      <c r="BKL124" s="1056"/>
      <c r="BKM124" s="1056"/>
      <c r="BKN124" s="1056"/>
      <c r="BKO124" s="1056"/>
      <c r="BKP124" s="1056"/>
      <c r="BKQ124" s="1056"/>
      <c r="BKR124" s="1056"/>
      <c r="BKS124" s="1056"/>
      <c r="BKT124" s="1056"/>
      <c r="BKU124" s="1056"/>
      <c r="BKV124" s="1056"/>
      <c r="BKW124" s="1056"/>
      <c r="BKX124" s="1056"/>
      <c r="BKY124" s="1056"/>
      <c r="BKZ124" s="1056"/>
      <c r="BLA124" s="1056"/>
      <c r="BLB124" s="1056"/>
      <c r="BLC124" s="1056"/>
      <c r="BLD124" s="1056"/>
      <c r="BLE124" s="1056"/>
      <c r="BLF124" s="1056"/>
      <c r="BLG124" s="1056"/>
      <c r="BLH124" s="1056"/>
      <c r="BLI124" s="1056"/>
      <c r="BLJ124" s="1056"/>
      <c r="BLK124" s="1056"/>
      <c r="BLL124" s="1056"/>
      <c r="BLM124" s="1056"/>
      <c r="BLN124" s="1056"/>
      <c r="BLO124" s="1056"/>
      <c r="BLP124" s="1056"/>
      <c r="BLQ124" s="1056"/>
      <c r="BLR124" s="1056"/>
      <c r="BLS124" s="1056"/>
      <c r="BLT124" s="1056"/>
      <c r="BLU124" s="1056"/>
      <c r="BLV124" s="1056"/>
      <c r="BLW124" s="1056"/>
      <c r="BLX124" s="1056"/>
      <c r="BLY124" s="1056"/>
      <c r="BLZ124" s="1056"/>
      <c r="BMA124" s="1056"/>
      <c r="BMB124" s="1056"/>
      <c r="BMC124" s="1056"/>
      <c r="BMD124" s="1056"/>
      <c r="BME124" s="1056"/>
      <c r="BMF124" s="1056"/>
      <c r="BMG124" s="1056"/>
      <c r="BMH124" s="1056"/>
      <c r="BMI124" s="1056"/>
      <c r="BMJ124" s="1056"/>
      <c r="BMK124" s="1056"/>
      <c r="BML124" s="1056"/>
      <c r="BMM124" s="1056"/>
      <c r="BMN124" s="1056"/>
      <c r="BMO124" s="1056"/>
      <c r="BMP124" s="1056"/>
      <c r="BMQ124" s="1056"/>
      <c r="BMR124" s="1056"/>
      <c r="BMS124" s="1056"/>
      <c r="BMT124" s="1056"/>
      <c r="BMU124" s="1056"/>
      <c r="BMV124" s="1056"/>
      <c r="BMW124" s="1056"/>
      <c r="BMX124" s="1056"/>
      <c r="BMY124" s="1056"/>
      <c r="BMZ124" s="1056"/>
      <c r="BNA124" s="1056"/>
      <c r="BNB124" s="1056"/>
      <c r="BNC124" s="1056"/>
      <c r="BND124" s="1056"/>
      <c r="BNE124" s="1056"/>
      <c r="BNF124" s="1056"/>
      <c r="BNG124" s="1056"/>
      <c r="BNH124" s="1056"/>
      <c r="BNI124" s="1056"/>
      <c r="BNJ124" s="1056"/>
      <c r="BNK124" s="1056"/>
      <c r="BNL124" s="1056"/>
      <c r="BNM124" s="1056"/>
      <c r="BNN124" s="1056"/>
      <c r="BNO124" s="1056"/>
      <c r="BNP124" s="1056"/>
      <c r="BNQ124" s="1056"/>
      <c r="BNR124" s="1056"/>
      <c r="BNS124" s="1056"/>
      <c r="BNT124" s="1056"/>
      <c r="BNU124" s="1056"/>
      <c r="BNV124" s="1056"/>
      <c r="BNW124" s="1056"/>
      <c r="BNX124" s="1056"/>
      <c r="BNY124" s="1056"/>
      <c r="BNZ124" s="1056"/>
      <c r="BOA124" s="1056"/>
      <c r="BOB124" s="1056"/>
      <c r="BOC124" s="1056"/>
      <c r="BOD124" s="1056"/>
      <c r="BOE124" s="1056"/>
      <c r="BOF124" s="1056"/>
      <c r="BOG124" s="1056"/>
      <c r="BOH124" s="1056"/>
      <c r="BOI124" s="1056"/>
      <c r="BOJ124" s="1056"/>
      <c r="BOK124" s="1056"/>
      <c r="BOL124" s="1056"/>
      <c r="BOM124" s="1056"/>
      <c r="BON124" s="1056"/>
      <c r="BOO124" s="1056"/>
      <c r="BOP124" s="1056"/>
      <c r="BOQ124" s="1056"/>
      <c r="BOR124" s="1056"/>
      <c r="BOS124" s="1056"/>
      <c r="BOT124" s="1056"/>
      <c r="BOU124" s="1056"/>
      <c r="BOV124" s="1056"/>
      <c r="BOW124" s="1056"/>
      <c r="BOX124" s="1056"/>
      <c r="BOY124" s="1056"/>
      <c r="BOZ124" s="1056"/>
      <c r="BPA124" s="1056"/>
      <c r="BPB124" s="1056"/>
      <c r="BPC124" s="1056"/>
      <c r="BPD124" s="1056"/>
      <c r="BPE124" s="1056"/>
      <c r="BPF124" s="1056"/>
      <c r="BPG124" s="1056"/>
      <c r="BPH124" s="1056"/>
      <c r="BPI124" s="1056"/>
      <c r="BPJ124" s="1056"/>
      <c r="BPK124" s="1056"/>
      <c r="BPL124" s="1056"/>
      <c r="BPM124" s="1056"/>
      <c r="BPN124" s="1056"/>
      <c r="BPO124" s="1056"/>
      <c r="BPP124" s="1056"/>
      <c r="BPQ124" s="1056"/>
      <c r="BPR124" s="1056"/>
      <c r="BPS124" s="1056"/>
      <c r="BPT124" s="1056"/>
      <c r="BPU124" s="1056"/>
      <c r="BPV124" s="1056"/>
      <c r="BPW124" s="1056"/>
      <c r="BPX124" s="1056"/>
      <c r="BPY124" s="1056"/>
      <c r="BPZ124" s="1056"/>
      <c r="BQA124" s="1056"/>
      <c r="BQB124" s="1056"/>
      <c r="BQC124" s="1056"/>
      <c r="BQD124" s="1056"/>
      <c r="BQE124" s="1056"/>
      <c r="BQF124" s="1056"/>
      <c r="BQG124" s="1056"/>
      <c r="BQH124" s="1056"/>
      <c r="BQI124" s="1056"/>
      <c r="BQJ124" s="1056"/>
      <c r="BQK124" s="1056"/>
      <c r="BQL124" s="1056"/>
      <c r="BQM124" s="1056"/>
      <c r="BQN124" s="1056"/>
      <c r="BQO124" s="1056"/>
      <c r="BQP124" s="1056"/>
      <c r="BQQ124" s="1056"/>
      <c r="BQR124" s="1056"/>
      <c r="BQS124" s="1056"/>
      <c r="BQT124" s="1056"/>
      <c r="BQU124" s="1056"/>
      <c r="BQV124" s="1056"/>
      <c r="BQW124" s="1056"/>
      <c r="BQX124" s="1056"/>
      <c r="BQY124" s="1056"/>
      <c r="BQZ124" s="1056"/>
      <c r="BRA124" s="1056"/>
      <c r="BRB124" s="1056"/>
      <c r="BRC124" s="1056"/>
      <c r="BRD124" s="1056"/>
      <c r="BRE124" s="1056"/>
      <c r="BRF124" s="1056"/>
      <c r="BRG124" s="1056"/>
      <c r="BRH124" s="1056"/>
      <c r="BRI124" s="1056"/>
      <c r="BRJ124" s="1056"/>
      <c r="BRK124" s="1056"/>
      <c r="BRL124" s="1056"/>
      <c r="BRM124" s="1056"/>
      <c r="BRN124" s="1056"/>
      <c r="BRO124" s="1056"/>
      <c r="BRP124" s="1056"/>
      <c r="BRQ124" s="1056"/>
      <c r="BRR124" s="1056"/>
      <c r="BRS124" s="1056"/>
      <c r="BRT124" s="1056"/>
      <c r="BRU124" s="1056"/>
      <c r="BRV124" s="1056"/>
      <c r="BRW124" s="1056"/>
      <c r="BRX124" s="1056"/>
      <c r="BRY124" s="1056"/>
      <c r="BRZ124" s="1056"/>
      <c r="BSA124" s="1056"/>
      <c r="BSB124" s="1056"/>
      <c r="BSC124" s="1056"/>
      <c r="BSD124" s="1056"/>
      <c r="BSE124" s="1056"/>
      <c r="BSF124" s="1056"/>
      <c r="BSG124" s="1056"/>
      <c r="BSH124" s="1056"/>
      <c r="BSI124" s="1056"/>
      <c r="BSJ124" s="1056"/>
      <c r="BSK124" s="1056"/>
      <c r="BSL124" s="1056"/>
      <c r="BSM124" s="1056"/>
      <c r="BSN124" s="1056"/>
      <c r="BSO124" s="1056"/>
      <c r="BSP124" s="1056"/>
      <c r="BSQ124" s="1056"/>
      <c r="BSR124" s="1056"/>
      <c r="BSS124" s="1056"/>
      <c r="BST124" s="1056"/>
      <c r="BSU124" s="1056"/>
      <c r="BSV124" s="1056"/>
      <c r="BSW124" s="1056"/>
      <c r="BSX124" s="1056"/>
      <c r="BSY124" s="1056"/>
      <c r="BSZ124" s="1056"/>
      <c r="BTA124" s="1056"/>
      <c r="BTB124" s="1056"/>
      <c r="BTC124" s="1056"/>
      <c r="BTD124" s="1056"/>
      <c r="BTE124" s="1056"/>
      <c r="BTF124" s="1056"/>
      <c r="BTG124" s="1056"/>
      <c r="BTH124" s="1056"/>
      <c r="BTI124" s="1056"/>
    </row>
    <row r="125" spans="1:1881" s="1060" customFormat="1" ht="78" hidden="1" customHeight="1" thickBot="1" x14ac:dyDescent="0.35">
      <c r="A125" s="1071" t="s">
        <v>1023</v>
      </c>
      <c r="B125" s="1069" t="s">
        <v>409</v>
      </c>
      <c r="C125" s="1072" t="s">
        <v>1022</v>
      </c>
      <c r="D125" s="1072" t="s">
        <v>293</v>
      </c>
      <c r="E125" s="1053" t="e">
        <f>HLOOKUP($D$2,'2020 Data(H)'!$C$1:$AI$426,21,FALSE)</f>
        <v>#N/A</v>
      </c>
      <c r="F125" s="287">
        <v>0</v>
      </c>
      <c r="G125" s="722"/>
      <c r="H125" s="764"/>
      <c r="I125" s="1055"/>
      <c r="J125" s="1068"/>
      <c r="K125" s="1056"/>
      <c r="L125" s="1057"/>
      <c r="M125" s="1056"/>
      <c r="N125" s="1058"/>
      <c r="O125" s="1056"/>
      <c r="P125" s="1056"/>
      <c r="Q125" s="1056"/>
      <c r="R125" s="1056"/>
      <c r="S125" s="1056"/>
      <c r="T125" s="1056"/>
      <c r="U125" s="1056"/>
      <c r="V125" s="1056"/>
      <c r="W125" s="1056"/>
      <c r="X125" s="1056"/>
      <c r="Y125" s="1056"/>
      <c r="Z125" s="1073"/>
      <c r="AA125" s="1073"/>
      <c r="AB125" s="1073"/>
      <c r="AC125" s="1073"/>
      <c r="AD125" s="1073"/>
      <c r="AE125" s="1073"/>
      <c r="AF125" s="1073"/>
      <c r="AG125" s="1073"/>
      <c r="AH125" s="1073"/>
      <c r="AI125" s="1073"/>
      <c r="AJ125" s="1073"/>
      <c r="AK125" s="1073"/>
      <c r="AL125" s="1073"/>
      <c r="AM125" s="1073"/>
      <c r="AN125" s="1073"/>
      <c r="AO125" s="1073"/>
      <c r="AP125" s="1073"/>
      <c r="AQ125" s="1073"/>
      <c r="AR125" s="1073"/>
      <c r="AS125" s="1056"/>
      <c r="AT125" s="1056"/>
      <c r="AU125" s="1056"/>
      <c r="AV125" s="1056"/>
      <c r="AW125" s="1056"/>
      <c r="AX125" s="1056"/>
      <c r="AY125" s="1056"/>
      <c r="AZ125" s="1056"/>
      <c r="BA125" s="1056"/>
      <c r="BB125" s="1056"/>
      <c r="BC125" s="1056"/>
      <c r="BD125" s="1056"/>
      <c r="BE125" s="1056"/>
      <c r="BF125" s="1056"/>
      <c r="BG125" s="1056"/>
      <c r="BH125" s="1056"/>
      <c r="BI125" s="1056"/>
      <c r="BJ125" s="1056"/>
      <c r="BK125" s="1056"/>
      <c r="BL125" s="1056"/>
      <c r="BM125" s="1056"/>
      <c r="BN125" s="1056"/>
      <c r="BO125" s="1056"/>
      <c r="BP125" s="1056"/>
      <c r="BQ125" s="1056"/>
      <c r="BR125" s="1056"/>
      <c r="BS125" s="1056"/>
      <c r="BT125" s="1056"/>
      <c r="BU125" s="1056"/>
      <c r="BV125" s="1056"/>
      <c r="BW125" s="1056"/>
      <c r="BX125" s="1056"/>
      <c r="BY125" s="1056"/>
      <c r="BZ125" s="1056"/>
      <c r="CA125" s="1056"/>
      <c r="CB125" s="1056"/>
      <c r="CC125" s="1056"/>
      <c r="CD125" s="1056"/>
      <c r="CE125" s="1056"/>
      <c r="CF125" s="1056"/>
      <c r="CG125" s="1056"/>
      <c r="CH125" s="1056"/>
      <c r="CI125" s="1056"/>
      <c r="CJ125" s="1056"/>
      <c r="CK125" s="1056"/>
      <c r="CL125" s="1056"/>
      <c r="CM125" s="1056"/>
      <c r="CN125" s="1056"/>
      <c r="CO125" s="1056"/>
      <c r="CP125" s="1056"/>
      <c r="CQ125" s="1056"/>
      <c r="CR125" s="1056"/>
      <c r="CS125" s="1056"/>
      <c r="CT125" s="1056"/>
      <c r="CU125" s="1056"/>
      <c r="CV125" s="1056"/>
      <c r="CW125" s="1056"/>
      <c r="CX125" s="1056"/>
      <c r="CY125" s="1056"/>
      <c r="CZ125" s="1056"/>
      <c r="DA125" s="1056"/>
      <c r="DB125" s="1056"/>
      <c r="DC125" s="1056"/>
      <c r="DD125" s="1056"/>
      <c r="DE125" s="1056"/>
      <c r="DF125" s="1056"/>
      <c r="DG125" s="1056"/>
      <c r="DH125" s="1056"/>
      <c r="DI125" s="1056"/>
      <c r="DJ125" s="1056"/>
      <c r="DK125" s="1056"/>
      <c r="DL125" s="1056"/>
      <c r="DM125" s="1056"/>
      <c r="DN125" s="1056"/>
      <c r="DO125" s="1056"/>
      <c r="DP125" s="1056"/>
      <c r="DQ125" s="1056"/>
      <c r="DR125" s="1056"/>
      <c r="DS125" s="1056"/>
      <c r="DT125" s="1056"/>
      <c r="DU125" s="1056"/>
      <c r="DV125" s="1056"/>
      <c r="DW125" s="1056"/>
      <c r="DX125" s="1056"/>
      <c r="DY125" s="1056"/>
      <c r="DZ125" s="1056"/>
      <c r="EA125" s="1056"/>
      <c r="EB125" s="1056"/>
      <c r="EC125" s="1056"/>
      <c r="ED125" s="1056"/>
      <c r="EE125" s="1056"/>
      <c r="EF125" s="1056"/>
      <c r="EG125" s="1056"/>
      <c r="EH125" s="1056"/>
      <c r="EI125" s="1056"/>
      <c r="EJ125" s="1056"/>
      <c r="EK125" s="1056"/>
      <c r="EL125" s="1056"/>
      <c r="EM125" s="1056"/>
      <c r="EN125" s="1056"/>
      <c r="EO125" s="1056"/>
      <c r="EP125" s="1056"/>
      <c r="EQ125" s="1056"/>
      <c r="ER125" s="1056"/>
      <c r="ES125" s="1056"/>
      <c r="ET125" s="1056"/>
      <c r="EU125" s="1056"/>
      <c r="EV125" s="1056"/>
      <c r="EW125" s="1056"/>
      <c r="EX125" s="1056"/>
      <c r="EY125" s="1056"/>
      <c r="EZ125" s="1056"/>
      <c r="FA125" s="1056"/>
      <c r="FB125" s="1056"/>
      <c r="FC125" s="1056"/>
      <c r="FD125" s="1056"/>
      <c r="FE125" s="1056"/>
      <c r="FF125" s="1056"/>
      <c r="FG125" s="1056"/>
      <c r="FH125" s="1056"/>
      <c r="FI125" s="1056"/>
      <c r="FJ125" s="1056"/>
      <c r="FK125" s="1056"/>
      <c r="FL125" s="1056"/>
      <c r="FM125" s="1056"/>
      <c r="FN125" s="1056"/>
      <c r="FO125" s="1056"/>
      <c r="FP125" s="1056"/>
      <c r="FQ125" s="1056"/>
      <c r="FR125" s="1056"/>
      <c r="FS125" s="1056"/>
      <c r="FT125" s="1056"/>
      <c r="FU125" s="1056"/>
      <c r="FV125" s="1056"/>
      <c r="FW125" s="1056"/>
      <c r="FX125" s="1056"/>
      <c r="FY125" s="1056"/>
      <c r="FZ125" s="1056"/>
      <c r="GA125" s="1056"/>
      <c r="GB125" s="1056"/>
      <c r="GC125" s="1056"/>
      <c r="GD125" s="1056"/>
      <c r="GE125" s="1056"/>
      <c r="GF125" s="1056"/>
      <c r="GG125" s="1056"/>
      <c r="GH125" s="1056"/>
      <c r="GI125" s="1056"/>
      <c r="GJ125" s="1056"/>
      <c r="GK125" s="1056"/>
      <c r="GL125" s="1056"/>
      <c r="GM125" s="1056"/>
      <c r="GN125" s="1056"/>
      <c r="GO125" s="1056"/>
      <c r="GP125" s="1056"/>
      <c r="GQ125" s="1056"/>
      <c r="GR125" s="1056"/>
      <c r="GS125" s="1056"/>
      <c r="GT125" s="1056"/>
      <c r="GU125" s="1056"/>
      <c r="GV125" s="1056"/>
      <c r="GW125" s="1056"/>
      <c r="GX125" s="1056"/>
      <c r="GY125" s="1056"/>
      <c r="GZ125" s="1056"/>
      <c r="HA125" s="1056"/>
      <c r="HB125" s="1056"/>
      <c r="HC125" s="1056"/>
      <c r="HD125" s="1056"/>
      <c r="HE125" s="1056"/>
      <c r="HF125" s="1056"/>
      <c r="HG125" s="1056"/>
      <c r="HH125" s="1056"/>
      <c r="HI125" s="1056"/>
      <c r="HJ125" s="1056"/>
      <c r="HK125" s="1056"/>
      <c r="HL125" s="1056"/>
      <c r="HM125" s="1056"/>
      <c r="HN125" s="1056"/>
      <c r="HO125" s="1056"/>
      <c r="HP125" s="1056"/>
      <c r="HQ125" s="1056"/>
      <c r="HR125" s="1056"/>
      <c r="HS125" s="1056"/>
      <c r="HT125" s="1056"/>
      <c r="HU125" s="1056"/>
      <c r="HV125" s="1056"/>
      <c r="HW125" s="1056"/>
      <c r="HX125" s="1056"/>
      <c r="HY125" s="1056"/>
      <c r="HZ125" s="1056"/>
      <c r="IA125" s="1056"/>
      <c r="IB125" s="1056"/>
      <c r="IC125" s="1056"/>
      <c r="ID125" s="1056"/>
      <c r="IE125" s="1056"/>
      <c r="IF125" s="1056"/>
      <c r="IG125" s="1056"/>
      <c r="IH125" s="1056"/>
      <c r="II125" s="1056"/>
      <c r="IJ125" s="1056"/>
      <c r="IK125" s="1056"/>
      <c r="IL125" s="1056"/>
      <c r="IM125" s="1056"/>
      <c r="IN125" s="1056"/>
      <c r="IO125" s="1056"/>
      <c r="IP125" s="1056"/>
      <c r="IQ125" s="1056"/>
      <c r="IR125" s="1056"/>
      <c r="IS125" s="1056"/>
      <c r="IT125" s="1056"/>
      <c r="IU125" s="1056"/>
      <c r="IV125" s="1056"/>
      <c r="IW125" s="1056"/>
      <c r="IX125" s="1056"/>
      <c r="IY125" s="1056"/>
      <c r="IZ125" s="1056"/>
      <c r="JA125" s="1056"/>
      <c r="JB125" s="1056"/>
      <c r="JC125" s="1056"/>
      <c r="JD125" s="1056"/>
      <c r="JE125" s="1056"/>
      <c r="JF125" s="1056"/>
      <c r="JG125" s="1056"/>
      <c r="JH125" s="1056"/>
      <c r="JI125" s="1056"/>
      <c r="JJ125" s="1056"/>
      <c r="JK125" s="1056"/>
      <c r="JL125" s="1056"/>
      <c r="JM125" s="1056"/>
      <c r="JN125" s="1056"/>
      <c r="JO125" s="1056"/>
      <c r="JP125" s="1056"/>
      <c r="JQ125" s="1056"/>
      <c r="JR125" s="1056"/>
      <c r="JS125" s="1056"/>
      <c r="JT125" s="1056"/>
      <c r="JU125" s="1056"/>
      <c r="JV125" s="1056"/>
      <c r="JW125" s="1056"/>
      <c r="JX125" s="1056"/>
      <c r="JY125" s="1056"/>
      <c r="JZ125" s="1056"/>
      <c r="KA125" s="1056"/>
      <c r="KB125" s="1056"/>
      <c r="KC125" s="1056"/>
      <c r="KD125" s="1056"/>
      <c r="KE125" s="1056"/>
      <c r="KF125" s="1056"/>
      <c r="KG125" s="1056"/>
      <c r="KH125" s="1056"/>
      <c r="KI125" s="1056"/>
      <c r="KJ125" s="1056"/>
      <c r="KK125" s="1056"/>
      <c r="KL125" s="1056"/>
      <c r="KM125" s="1056"/>
      <c r="KN125" s="1056"/>
      <c r="KO125" s="1056"/>
      <c r="KP125" s="1056"/>
      <c r="KQ125" s="1056"/>
      <c r="KR125" s="1056"/>
      <c r="KS125" s="1056"/>
      <c r="KT125" s="1056"/>
      <c r="KU125" s="1056"/>
      <c r="KV125" s="1056"/>
      <c r="KW125" s="1056"/>
      <c r="KX125" s="1056"/>
      <c r="KY125" s="1056"/>
      <c r="KZ125" s="1056"/>
      <c r="LA125" s="1056"/>
      <c r="LB125" s="1056"/>
      <c r="LC125" s="1056"/>
      <c r="LD125" s="1056"/>
      <c r="LE125" s="1056"/>
      <c r="LF125" s="1056"/>
      <c r="LG125" s="1056"/>
      <c r="LH125" s="1056"/>
      <c r="LI125" s="1056"/>
      <c r="LJ125" s="1056"/>
      <c r="LK125" s="1056"/>
      <c r="LL125" s="1056"/>
      <c r="LM125" s="1056"/>
      <c r="LN125" s="1056"/>
      <c r="LO125" s="1056"/>
      <c r="LP125" s="1056"/>
      <c r="LQ125" s="1056"/>
      <c r="LR125" s="1056"/>
      <c r="LS125" s="1056"/>
      <c r="LT125" s="1056"/>
      <c r="LU125" s="1056"/>
      <c r="LV125" s="1056"/>
      <c r="LW125" s="1056"/>
      <c r="LX125" s="1056"/>
      <c r="LY125" s="1056"/>
      <c r="LZ125" s="1056"/>
      <c r="MA125" s="1056"/>
      <c r="MB125" s="1056"/>
      <c r="MC125" s="1056"/>
      <c r="MD125" s="1056"/>
      <c r="ME125" s="1056"/>
      <c r="MF125" s="1056"/>
      <c r="MG125" s="1056"/>
      <c r="MH125" s="1056"/>
      <c r="MI125" s="1056"/>
      <c r="MJ125" s="1056"/>
      <c r="MK125" s="1056"/>
      <c r="ML125" s="1056"/>
      <c r="MM125" s="1056"/>
      <c r="MN125" s="1056"/>
      <c r="MO125" s="1056"/>
      <c r="MP125" s="1056"/>
      <c r="MQ125" s="1056"/>
      <c r="MR125" s="1056"/>
      <c r="MS125" s="1056"/>
      <c r="MT125" s="1056"/>
      <c r="MU125" s="1056"/>
      <c r="MV125" s="1056"/>
      <c r="MW125" s="1056"/>
      <c r="MX125" s="1056"/>
      <c r="MY125" s="1056"/>
      <c r="MZ125" s="1056"/>
      <c r="NA125" s="1056"/>
      <c r="NB125" s="1056"/>
      <c r="NC125" s="1056"/>
      <c r="ND125" s="1056"/>
      <c r="NE125" s="1056"/>
      <c r="NF125" s="1056"/>
      <c r="NG125" s="1056"/>
      <c r="NH125" s="1056"/>
      <c r="NI125" s="1056"/>
      <c r="NJ125" s="1056"/>
      <c r="NK125" s="1056"/>
      <c r="NL125" s="1056"/>
      <c r="NM125" s="1056"/>
      <c r="NN125" s="1056"/>
      <c r="NO125" s="1056"/>
      <c r="NP125" s="1056"/>
      <c r="NQ125" s="1056"/>
      <c r="NR125" s="1056"/>
      <c r="NS125" s="1056"/>
      <c r="NT125" s="1056"/>
      <c r="NU125" s="1056"/>
      <c r="NV125" s="1056"/>
      <c r="NW125" s="1056"/>
      <c r="NX125" s="1056"/>
      <c r="NY125" s="1056"/>
      <c r="NZ125" s="1056"/>
      <c r="OA125" s="1056"/>
      <c r="OB125" s="1056"/>
      <c r="OC125" s="1056"/>
      <c r="OD125" s="1056"/>
      <c r="OE125" s="1056"/>
      <c r="OF125" s="1056"/>
      <c r="OG125" s="1056"/>
      <c r="OH125" s="1056"/>
      <c r="OI125" s="1056"/>
      <c r="OJ125" s="1056"/>
      <c r="OK125" s="1056"/>
      <c r="OL125" s="1056"/>
      <c r="OM125" s="1056"/>
      <c r="ON125" s="1056"/>
      <c r="OO125" s="1056"/>
      <c r="OP125" s="1056"/>
      <c r="OQ125" s="1056"/>
      <c r="OR125" s="1056"/>
      <c r="OS125" s="1056"/>
      <c r="OT125" s="1056"/>
      <c r="OU125" s="1056"/>
      <c r="OV125" s="1056"/>
      <c r="OW125" s="1056"/>
      <c r="OX125" s="1056"/>
      <c r="OY125" s="1056"/>
      <c r="OZ125" s="1056"/>
      <c r="PA125" s="1056"/>
      <c r="PB125" s="1056"/>
      <c r="PC125" s="1056"/>
      <c r="PD125" s="1056"/>
      <c r="PE125" s="1056"/>
      <c r="PF125" s="1056"/>
      <c r="PG125" s="1056"/>
      <c r="PH125" s="1056"/>
      <c r="PI125" s="1056"/>
      <c r="PJ125" s="1056"/>
      <c r="PK125" s="1056"/>
      <c r="PL125" s="1056"/>
      <c r="PM125" s="1056"/>
      <c r="PN125" s="1056"/>
      <c r="PO125" s="1056"/>
      <c r="PP125" s="1056"/>
      <c r="PQ125" s="1056"/>
      <c r="PR125" s="1056"/>
      <c r="PS125" s="1056"/>
      <c r="PT125" s="1056"/>
      <c r="PU125" s="1056"/>
      <c r="PV125" s="1056"/>
      <c r="PW125" s="1056"/>
      <c r="PX125" s="1056"/>
      <c r="PY125" s="1056"/>
      <c r="PZ125" s="1056"/>
      <c r="QA125" s="1056"/>
      <c r="QB125" s="1056"/>
      <c r="QC125" s="1056"/>
      <c r="QD125" s="1056"/>
      <c r="QE125" s="1056"/>
      <c r="QF125" s="1056"/>
      <c r="QG125" s="1056"/>
      <c r="QH125" s="1056"/>
      <c r="QI125" s="1056"/>
      <c r="QJ125" s="1056"/>
      <c r="QK125" s="1056"/>
      <c r="QL125" s="1056"/>
      <c r="QM125" s="1056"/>
      <c r="QN125" s="1056"/>
      <c r="QO125" s="1056"/>
      <c r="QP125" s="1056"/>
      <c r="QQ125" s="1056"/>
      <c r="QR125" s="1056"/>
      <c r="QS125" s="1056"/>
      <c r="QT125" s="1056"/>
      <c r="QU125" s="1056"/>
      <c r="QV125" s="1056"/>
      <c r="QW125" s="1056"/>
      <c r="QX125" s="1056"/>
      <c r="QY125" s="1056"/>
      <c r="QZ125" s="1056"/>
      <c r="RA125" s="1056"/>
      <c r="RB125" s="1056"/>
      <c r="RC125" s="1056"/>
      <c r="RD125" s="1056"/>
      <c r="RE125" s="1056"/>
      <c r="RF125" s="1056"/>
      <c r="RG125" s="1056"/>
      <c r="RH125" s="1056"/>
      <c r="RI125" s="1056"/>
      <c r="RJ125" s="1056"/>
      <c r="RK125" s="1056"/>
      <c r="RL125" s="1056"/>
      <c r="RM125" s="1056"/>
      <c r="RN125" s="1056"/>
      <c r="RO125" s="1056"/>
      <c r="RP125" s="1056"/>
      <c r="RQ125" s="1056"/>
      <c r="RR125" s="1056"/>
      <c r="RS125" s="1056"/>
      <c r="RT125" s="1056"/>
      <c r="RU125" s="1056"/>
      <c r="RV125" s="1056"/>
      <c r="RW125" s="1056"/>
      <c r="RX125" s="1056"/>
      <c r="RY125" s="1056"/>
      <c r="RZ125" s="1056"/>
      <c r="SA125" s="1056"/>
      <c r="SB125" s="1056"/>
      <c r="SC125" s="1056"/>
      <c r="SD125" s="1056"/>
      <c r="SE125" s="1056"/>
      <c r="SF125" s="1056"/>
      <c r="SG125" s="1056"/>
      <c r="SH125" s="1056"/>
      <c r="SI125" s="1056"/>
      <c r="SJ125" s="1056"/>
      <c r="SK125" s="1056"/>
      <c r="SL125" s="1056"/>
      <c r="SM125" s="1056"/>
      <c r="SN125" s="1056"/>
      <c r="SO125" s="1056"/>
      <c r="SP125" s="1056"/>
      <c r="SQ125" s="1056"/>
      <c r="SR125" s="1056"/>
      <c r="SS125" s="1056"/>
      <c r="ST125" s="1056"/>
      <c r="SU125" s="1056"/>
      <c r="SV125" s="1056"/>
      <c r="SW125" s="1056"/>
      <c r="SX125" s="1056"/>
      <c r="SY125" s="1056"/>
      <c r="SZ125" s="1056"/>
      <c r="TA125" s="1056"/>
      <c r="TB125" s="1056"/>
      <c r="TC125" s="1056"/>
      <c r="TD125" s="1056"/>
      <c r="TE125" s="1056"/>
      <c r="TF125" s="1056"/>
      <c r="TG125" s="1056"/>
      <c r="TH125" s="1056"/>
      <c r="TI125" s="1056"/>
      <c r="TJ125" s="1056"/>
      <c r="TK125" s="1056"/>
      <c r="TL125" s="1056"/>
      <c r="TM125" s="1056"/>
      <c r="TN125" s="1056"/>
      <c r="TO125" s="1056"/>
      <c r="TP125" s="1056"/>
      <c r="TQ125" s="1056"/>
      <c r="TR125" s="1056"/>
      <c r="TS125" s="1056"/>
      <c r="TT125" s="1056"/>
      <c r="TU125" s="1056"/>
      <c r="TV125" s="1056"/>
      <c r="TW125" s="1056"/>
      <c r="TX125" s="1056"/>
      <c r="TY125" s="1056"/>
      <c r="TZ125" s="1056"/>
      <c r="UA125" s="1056"/>
      <c r="UB125" s="1056"/>
      <c r="UC125" s="1056"/>
      <c r="UD125" s="1056"/>
      <c r="UE125" s="1056"/>
      <c r="UF125" s="1056"/>
      <c r="UG125" s="1056"/>
      <c r="UH125" s="1056"/>
      <c r="UI125" s="1056"/>
      <c r="UJ125" s="1056"/>
      <c r="UK125" s="1056"/>
      <c r="UL125" s="1056"/>
      <c r="UM125" s="1056"/>
      <c r="UN125" s="1056"/>
      <c r="UO125" s="1056"/>
      <c r="UP125" s="1056"/>
      <c r="UQ125" s="1056"/>
      <c r="UR125" s="1056"/>
      <c r="US125" s="1056"/>
      <c r="UT125" s="1056"/>
      <c r="UU125" s="1056"/>
      <c r="UV125" s="1056"/>
      <c r="UW125" s="1056"/>
      <c r="UX125" s="1056"/>
      <c r="UY125" s="1056"/>
      <c r="UZ125" s="1056"/>
      <c r="VA125" s="1056"/>
      <c r="VB125" s="1056"/>
      <c r="VC125" s="1056"/>
      <c r="VD125" s="1056"/>
      <c r="VE125" s="1056"/>
      <c r="VF125" s="1056"/>
      <c r="VG125" s="1056"/>
      <c r="VH125" s="1056"/>
      <c r="VI125" s="1056"/>
      <c r="VJ125" s="1056"/>
      <c r="VK125" s="1056"/>
      <c r="VL125" s="1056"/>
      <c r="VM125" s="1056"/>
      <c r="VN125" s="1056"/>
      <c r="VO125" s="1056"/>
      <c r="VP125" s="1056"/>
      <c r="VQ125" s="1056"/>
      <c r="VR125" s="1056"/>
      <c r="VS125" s="1056"/>
      <c r="VT125" s="1056"/>
      <c r="VU125" s="1056"/>
      <c r="VV125" s="1056"/>
      <c r="VW125" s="1056"/>
      <c r="VX125" s="1056"/>
      <c r="VY125" s="1056"/>
      <c r="VZ125" s="1056"/>
      <c r="WA125" s="1056"/>
      <c r="WB125" s="1056"/>
      <c r="WC125" s="1056"/>
      <c r="WD125" s="1056"/>
      <c r="WE125" s="1056"/>
      <c r="WF125" s="1056"/>
      <c r="WG125" s="1056"/>
      <c r="WH125" s="1056"/>
      <c r="WI125" s="1056"/>
      <c r="WJ125" s="1056"/>
      <c r="WK125" s="1056"/>
      <c r="WL125" s="1056"/>
      <c r="WM125" s="1056"/>
      <c r="WN125" s="1056"/>
      <c r="WO125" s="1056"/>
      <c r="WP125" s="1056"/>
      <c r="WQ125" s="1056"/>
      <c r="WR125" s="1056"/>
      <c r="WS125" s="1056"/>
      <c r="WT125" s="1056"/>
      <c r="WU125" s="1056"/>
      <c r="WV125" s="1056"/>
      <c r="WW125" s="1056"/>
      <c r="WX125" s="1056"/>
      <c r="WY125" s="1056"/>
      <c r="WZ125" s="1056"/>
      <c r="XA125" s="1056"/>
      <c r="XB125" s="1056"/>
      <c r="XC125" s="1056"/>
      <c r="XD125" s="1056"/>
      <c r="XE125" s="1056"/>
      <c r="XF125" s="1056"/>
      <c r="XG125" s="1056"/>
      <c r="XH125" s="1056"/>
      <c r="XI125" s="1056"/>
      <c r="XJ125" s="1056"/>
      <c r="XK125" s="1056"/>
      <c r="XL125" s="1056"/>
      <c r="XM125" s="1056"/>
      <c r="XN125" s="1056"/>
      <c r="XO125" s="1056"/>
      <c r="XP125" s="1056"/>
      <c r="XQ125" s="1056"/>
      <c r="XR125" s="1056"/>
      <c r="XS125" s="1056"/>
      <c r="XT125" s="1056"/>
      <c r="XU125" s="1056"/>
      <c r="XV125" s="1056"/>
      <c r="XW125" s="1056"/>
      <c r="XX125" s="1056"/>
      <c r="XY125" s="1056"/>
      <c r="XZ125" s="1056"/>
      <c r="YA125" s="1056"/>
      <c r="YB125" s="1056"/>
      <c r="YC125" s="1056"/>
      <c r="YD125" s="1056"/>
      <c r="YE125" s="1056"/>
      <c r="YF125" s="1056"/>
      <c r="YG125" s="1056"/>
      <c r="YH125" s="1056"/>
      <c r="YI125" s="1056"/>
      <c r="YJ125" s="1056"/>
      <c r="YK125" s="1056"/>
      <c r="YL125" s="1056"/>
      <c r="YM125" s="1056"/>
      <c r="YN125" s="1056"/>
      <c r="YO125" s="1056"/>
      <c r="YP125" s="1056"/>
      <c r="YQ125" s="1056"/>
      <c r="YR125" s="1056"/>
      <c r="YS125" s="1056"/>
      <c r="YT125" s="1056"/>
      <c r="YU125" s="1056"/>
      <c r="YV125" s="1056"/>
      <c r="YW125" s="1056"/>
      <c r="YX125" s="1056"/>
      <c r="YY125" s="1056"/>
      <c r="YZ125" s="1056"/>
      <c r="ZA125" s="1056"/>
      <c r="ZB125" s="1056"/>
      <c r="ZC125" s="1056"/>
      <c r="ZD125" s="1056"/>
      <c r="ZE125" s="1056"/>
      <c r="ZF125" s="1056"/>
      <c r="ZG125" s="1056"/>
      <c r="ZH125" s="1056"/>
      <c r="ZI125" s="1056"/>
      <c r="ZJ125" s="1056"/>
      <c r="ZK125" s="1056"/>
      <c r="ZL125" s="1056"/>
      <c r="ZM125" s="1056"/>
      <c r="ZN125" s="1056"/>
      <c r="ZO125" s="1056"/>
      <c r="ZP125" s="1056"/>
      <c r="ZQ125" s="1056"/>
      <c r="ZR125" s="1056"/>
      <c r="ZS125" s="1056"/>
      <c r="ZT125" s="1056"/>
      <c r="ZU125" s="1056"/>
      <c r="ZV125" s="1056"/>
      <c r="ZW125" s="1056"/>
      <c r="ZX125" s="1056"/>
      <c r="ZY125" s="1056"/>
      <c r="ZZ125" s="1056"/>
      <c r="AAA125" s="1056"/>
      <c r="AAB125" s="1056"/>
      <c r="AAC125" s="1056"/>
      <c r="AAD125" s="1056"/>
      <c r="AAE125" s="1056"/>
      <c r="AAF125" s="1056"/>
      <c r="AAG125" s="1056"/>
      <c r="AAH125" s="1056"/>
      <c r="AAI125" s="1056"/>
      <c r="AAJ125" s="1056"/>
      <c r="AAK125" s="1056"/>
      <c r="AAL125" s="1056"/>
      <c r="AAM125" s="1056"/>
      <c r="AAN125" s="1056"/>
      <c r="AAO125" s="1056"/>
      <c r="AAP125" s="1056"/>
      <c r="AAQ125" s="1056"/>
      <c r="AAR125" s="1056"/>
      <c r="AAS125" s="1056"/>
      <c r="AAT125" s="1056"/>
      <c r="AAU125" s="1056"/>
      <c r="AAV125" s="1056"/>
      <c r="AAW125" s="1056"/>
      <c r="AAX125" s="1056"/>
      <c r="AAY125" s="1056"/>
      <c r="AAZ125" s="1056"/>
      <c r="ABA125" s="1056"/>
      <c r="ABB125" s="1056"/>
      <c r="ABC125" s="1056"/>
      <c r="ABD125" s="1056"/>
      <c r="ABE125" s="1056"/>
      <c r="ABF125" s="1056"/>
      <c r="ABG125" s="1056"/>
      <c r="ABH125" s="1056"/>
      <c r="ABI125" s="1056"/>
      <c r="ABJ125" s="1056"/>
      <c r="ABK125" s="1056"/>
      <c r="ABL125" s="1056"/>
      <c r="ABM125" s="1056"/>
      <c r="ABN125" s="1056"/>
      <c r="ABO125" s="1056"/>
      <c r="ABP125" s="1056"/>
      <c r="ABQ125" s="1056"/>
      <c r="ABR125" s="1056"/>
      <c r="ABS125" s="1056"/>
      <c r="ABT125" s="1056"/>
      <c r="ABU125" s="1056"/>
      <c r="ABV125" s="1056"/>
      <c r="ABW125" s="1056"/>
      <c r="ABX125" s="1056"/>
      <c r="ABY125" s="1056"/>
      <c r="ABZ125" s="1056"/>
      <c r="ACA125" s="1056"/>
      <c r="ACB125" s="1056"/>
      <c r="ACC125" s="1056"/>
      <c r="ACD125" s="1056"/>
      <c r="ACE125" s="1056"/>
      <c r="ACF125" s="1056"/>
      <c r="ACG125" s="1056"/>
      <c r="ACH125" s="1056"/>
      <c r="ACI125" s="1056"/>
      <c r="ACJ125" s="1056"/>
      <c r="ACK125" s="1056"/>
      <c r="ACL125" s="1056"/>
      <c r="ACM125" s="1056"/>
      <c r="ACN125" s="1056"/>
      <c r="ACO125" s="1056"/>
      <c r="ACP125" s="1056"/>
      <c r="ACQ125" s="1056"/>
      <c r="ACR125" s="1056"/>
      <c r="ACS125" s="1056"/>
      <c r="ACT125" s="1056"/>
      <c r="ACU125" s="1056"/>
      <c r="ACV125" s="1056"/>
      <c r="ACW125" s="1056"/>
      <c r="ACX125" s="1056"/>
      <c r="ACY125" s="1056"/>
      <c r="ACZ125" s="1056"/>
      <c r="ADA125" s="1056"/>
      <c r="ADB125" s="1056"/>
      <c r="ADC125" s="1056"/>
      <c r="ADD125" s="1056"/>
      <c r="ADE125" s="1056"/>
      <c r="ADF125" s="1056"/>
      <c r="ADG125" s="1056"/>
      <c r="ADH125" s="1056"/>
      <c r="ADI125" s="1056"/>
      <c r="ADJ125" s="1056"/>
      <c r="ADK125" s="1056"/>
      <c r="ADL125" s="1056"/>
      <c r="ADM125" s="1056"/>
      <c r="ADN125" s="1056"/>
      <c r="ADO125" s="1056"/>
      <c r="ADP125" s="1056"/>
      <c r="ADQ125" s="1056"/>
      <c r="ADR125" s="1056"/>
      <c r="ADS125" s="1056"/>
      <c r="ADT125" s="1056"/>
      <c r="ADU125" s="1056"/>
      <c r="ADV125" s="1056"/>
      <c r="ADW125" s="1056"/>
      <c r="ADX125" s="1056"/>
      <c r="ADY125" s="1056"/>
      <c r="ADZ125" s="1056"/>
      <c r="AEA125" s="1056"/>
      <c r="AEB125" s="1056"/>
      <c r="AEC125" s="1056"/>
      <c r="AED125" s="1056"/>
      <c r="AEE125" s="1056"/>
      <c r="AEF125" s="1056"/>
      <c r="AEG125" s="1056"/>
      <c r="AEH125" s="1056"/>
      <c r="AEI125" s="1056"/>
      <c r="AEJ125" s="1056"/>
      <c r="AEK125" s="1056"/>
      <c r="AEL125" s="1056"/>
      <c r="AEM125" s="1056"/>
      <c r="AEN125" s="1056"/>
      <c r="AEO125" s="1056"/>
      <c r="AEP125" s="1056"/>
      <c r="AEQ125" s="1056"/>
      <c r="AER125" s="1056"/>
      <c r="AES125" s="1056"/>
      <c r="AET125" s="1056"/>
      <c r="AEU125" s="1056"/>
      <c r="AEV125" s="1056"/>
      <c r="AEW125" s="1056"/>
      <c r="AEX125" s="1056"/>
      <c r="AEY125" s="1056"/>
      <c r="AEZ125" s="1056"/>
      <c r="AFA125" s="1056"/>
      <c r="AFB125" s="1056"/>
      <c r="AFC125" s="1056"/>
      <c r="AFD125" s="1056"/>
      <c r="AFE125" s="1056"/>
      <c r="AFF125" s="1056"/>
      <c r="AFG125" s="1056"/>
      <c r="AFH125" s="1056"/>
      <c r="AFI125" s="1056"/>
      <c r="AFJ125" s="1056"/>
      <c r="AFK125" s="1056"/>
      <c r="AFL125" s="1056"/>
      <c r="AFM125" s="1056"/>
      <c r="AFN125" s="1056"/>
      <c r="AFO125" s="1056"/>
      <c r="AFP125" s="1056"/>
      <c r="AFQ125" s="1056"/>
      <c r="AFR125" s="1056"/>
      <c r="AFS125" s="1056"/>
      <c r="AFT125" s="1056"/>
      <c r="AFU125" s="1056"/>
      <c r="AFV125" s="1056"/>
      <c r="AFW125" s="1056"/>
      <c r="AFX125" s="1056"/>
      <c r="AFY125" s="1056"/>
      <c r="AFZ125" s="1056"/>
      <c r="AGA125" s="1056"/>
      <c r="AGB125" s="1056"/>
      <c r="AGC125" s="1056"/>
      <c r="AGD125" s="1056"/>
      <c r="AGE125" s="1056"/>
      <c r="AGF125" s="1056"/>
      <c r="AGG125" s="1056"/>
      <c r="AGH125" s="1056"/>
      <c r="AGI125" s="1056"/>
      <c r="AGJ125" s="1056"/>
      <c r="AGK125" s="1056"/>
      <c r="AGL125" s="1056"/>
      <c r="AGM125" s="1056"/>
      <c r="AGN125" s="1056"/>
      <c r="AGO125" s="1056"/>
      <c r="AGP125" s="1056"/>
      <c r="AGQ125" s="1056"/>
      <c r="AGR125" s="1056"/>
      <c r="AGS125" s="1056"/>
      <c r="AGT125" s="1056"/>
      <c r="AGU125" s="1056"/>
      <c r="AGV125" s="1056"/>
      <c r="AGW125" s="1056"/>
      <c r="AGX125" s="1056"/>
      <c r="AGY125" s="1056"/>
      <c r="AGZ125" s="1056"/>
      <c r="AHA125" s="1056"/>
      <c r="AHB125" s="1056"/>
      <c r="AHC125" s="1056"/>
      <c r="AHD125" s="1056"/>
      <c r="AHE125" s="1056"/>
      <c r="AHF125" s="1056"/>
      <c r="AHG125" s="1056"/>
      <c r="AHH125" s="1056"/>
      <c r="AHI125" s="1056"/>
      <c r="AHJ125" s="1056"/>
      <c r="AHK125" s="1056"/>
      <c r="AHL125" s="1056"/>
      <c r="AHM125" s="1056"/>
      <c r="AHN125" s="1056"/>
      <c r="AHO125" s="1056"/>
      <c r="AHP125" s="1056"/>
      <c r="AHQ125" s="1056"/>
      <c r="AHR125" s="1056"/>
      <c r="AHS125" s="1056"/>
      <c r="AHT125" s="1056"/>
      <c r="AHU125" s="1056"/>
      <c r="AHV125" s="1056"/>
      <c r="AHW125" s="1056"/>
      <c r="AHX125" s="1056"/>
      <c r="AHY125" s="1056"/>
      <c r="AHZ125" s="1056"/>
      <c r="AIA125" s="1056"/>
      <c r="AIB125" s="1056"/>
      <c r="AIC125" s="1056"/>
      <c r="AID125" s="1056"/>
      <c r="AIE125" s="1056"/>
      <c r="AIF125" s="1056"/>
      <c r="AIG125" s="1056"/>
      <c r="AIH125" s="1056"/>
      <c r="AII125" s="1056"/>
      <c r="AIJ125" s="1056"/>
      <c r="AIK125" s="1056"/>
      <c r="AIL125" s="1056"/>
      <c r="AIM125" s="1056"/>
      <c r="AIN125" s="1056"/>
      <c r="AIO125" s="1056"/>
      <c r="AIP125" s="1056"/>
      <c r="AIQ125" s="1056"/>
      <c r="AIR125" s="1056"/>
      <c r="AIS125" s="1056"/>
      <c r="AIT125" s="1056"/>
      <c r="AIU125" s="1056"/>
      <c r="AIV125" s="1056"/>
      <c r="AIW125" s="1056"/>
      <c r="AIX125" s="1056"/>
      <c r="AIY125" s="1056"/>
      <c r="AIZ125" s="1056"/>
      <c r="AJA125" s="1056"/>
      <c r="AJB125" s="1056"/>
      <c r="AJC125" s="1056"/>
      <c r="AJD125" s="1056"/>
      <c r="AJE125" s="1056"/>
      <c r="AJF125" s="1056"/>
      <c r="AJG125" s="1056"/>
      <c r="AJH125" s="1056"/>
      <c r="AJI125" s="1056"/>
      <c r="AJJ125" s="1056"/>
      <c r="AJK125" s="1056"/>
      <c r="AJL125" s="1056"/>
      <c r="AJM125" s="1056"/>
      <c r="AJN125" s="1056"/>
      <c r="AJO125" s="1056"/>
      <c r="AJP125" s="1056"/>
      <c r="AJQ125" s="1056"/>
      <c r="AJR125" s="1056"/>
      <c r="AJS125" s="1056"/>
      <c r="AJT125" s="1056"/>
      <c r="AJU125" s="1056"/>
      <c r="AJV125" s="1056"/>
      <c r="AJW125" s="1056"/>
      <c r="AJX125" s="1056"/>
      <c r="AJY125" s="1056"/>
      <c r="AJZ125" s="1056"/>
      <c r="AKA125" s="1056"/>
      <c r="AKB125" s="1056"/>
      <c r="AKC125" s="1056"/>
      <c r="AKD125" s="1056"/>
      <c r="AKE125" s="1056"/>
      <c r="AKF125" s="1056"/>
      <c r="AKG125" s="1056"/>
      <c r="AKH125" s="1056"/>
      <c r="AKI125" s="1056"/>
      <c r="AKJ125" s="1056"/>
      <c r="AKK125" s="1056"/>
      <c r="AKL125" s="1056"/>
      <c r="AKM125" s="1056"/>
      <c r="AKN125" s="1056"/>
      <c r="AKO125" s="1056"/>
      <c r="AKP125" s="1056"/>
      <c r="AKQ125" s="1056"/>
      <c r="AKR125" s="1056"/>
      <c r="AKS125" s="1056"/>
      <c r="AKT125" s="1056"/>
      <c r="AKU125" s="1056"/>
      <c r="AKV125" s="1056"/>
      <c r="AKW125" s="1056"/>
      <c r="AKX125" s="1056"/>
      <c r="AKY125" s="1056"/>
      <c r="AKZ125" s="1056"/>
      <c r="ALA125" s="1056"/>
      <c r="ALB125" s="1056"/>
      <c r="ALC125" s="1056"/>
      <c r="ALD125" s="1056"/>
      <c r="ALE125" s="1056"/>
      <c r="ALF125" s="1056"/>
      <c r="ALG125" s="1056"/>
      <c r="ALH125" s="1056"/>
      <c r="ALI125" s="1056"/>
      <c r="ALJ125" s="1056"/>
      <c r="ALK125" s="1056"/>
      <c r="ALL125" s="1056"/>
      <c r="ALM125" s="1056"/>
      <c r="ALN125" s="1056"/>
      <c r="ALO125" s="1056"/>
      <c r="ALP125" s="1056"/>
      <c r="ALQ125" s="1056"/>
      <c r="ALR125" s="1056"/>
      <c r="ALS125" s="1056"/>
      <c r="ALT125" s="1056"/>
      <c r="ALU125" s="1056"/>
      <c r="ALV125" s="1056"/>
      <c r="ALW125" s="1056"/>
      <c r="ALX125" s="1056"/>
      <c r="ALY125" s="1056"/>
      <c r="ALZ125" s="1056"/>
      <c r="AMA125" s="1056"/>
      <c r="AMB125" s="1056"/>
      <c r="AMC125" s="1056"/>
      <c r="AMD125" s="1056"/>
      <c r="AME125" s="1056"/>
      <c r="AMF125" s="1056"/>
      <c r="AMG125" s="1056"/>
      <c r="AMH125" s="1056"/>
      <c r="AMI125" s="1056"/>
      <c r="AMJ125" s="1056"/>
      <c r="AMK125" s="1056"/>
      <c r="AML125" s="1056"/>
      <c r="AMM125" s="1056"/>
      <c r="AMN125" s="1056"/>
      <c r="AMO125" s="1056"/>
      <c r="AMP125" s="1056"/>
      <c r="AMQ125" s="1056"/>
      <c r="AMR125" s="1056"/>
      <c r="AMS125" s="1056"/>
      <c r="AMT125" s="1056"/>
      <c r="AMU125" s="1056"/>
      <c r="AMV125" s="1056"/>
      <c r="AMW125" s="1056"/>
      <c r="AMX125" s="1056"/>
      <c r="AMY125" s="1056"/>
      <c r="AMZ125" s="1056"/>
      <c r="ANA125" s="1056"/>
      <c r="ANB125" s="1056"/>
      <c r="ANC125" s="1056"/>
      <c r="AND125" s="1056"/>
      <c r="ANE125" s="1056"/>
      <c r="ANF125" s="1056"/>
      <c r="ANG125" s="1056"/>
      <c r="ANH125" s="1056"/>
      <c r="ANI125" s="1056"/>
      <c r="ANJ125" s="1056"/>
      <c r="ANK125" s="1056"/>
      <c r="ANL125" s="1056"/>
      <c r="ANM125" s="1056"/>
      <c r="ANN125" s="1056"/>
      <c r="ANO125" s="1056"/>
      <c r="ANP125" s="1056"/>
      <c r="ANQ125" s="1056"/>
      <c r="ANR125" s="1056"/>
      <c r="ANS125" s="1056"/>
      <c r="ANT125" s="1056"/>
      <c r="ANU125" s="1056"/>
      <c r="ANV125" s="1056"/>
      <c r="ANW125" s="1056"/>
      <c r="ANX125" s="1056"/>
      <c r="ANY125" s="1056"/>
      <c r="ANZ125" s="1056"/>
      <c r="AOA125" s="1056"/>
      <c r="AOB125" s="1056"/>
      <c r="AOC125" s="1056"/>
      <c r="AOD125" s="1056"/>
      <c r="AOE125" s="1056"/>
      <c r="AOF125" s="1056"/>
      <c r="AOG125" s="1056"/>
      <c r="AOH125" s="1056"/>
      <c r="AOI125" s="1056"/>
      <c r="AOJ125" s="1056"/>
      <c r="AOK125" s="1056"/>
      <c r="AOL125" s="1056"/>
      <c r="AOM125" s="1056"/>
      <c r="AON125" s="1056"/>
      <c r="AOO125" s="1056"/>
      <c r="AOP125" s="1056"/>
      <c r="AOQ125" s="1056"/>
      <c r="AOR125" s="1056"/>
      <c r="AOS125" s="1056"/>
      <c r="AOT125" s="1056"/>
      <c r="AOU125" s="1056"/>
      <c r="AOV125" s="1056"/>
      <c r="AOW125" s="1056"/>
      <c r="AOX125" s="1056"/>
      <c r="AOY125" s="1056"/>
      <c r="AOZ125" s="1056"/>
      <c r="APA125" s="1056"/>
      <c r="APB125" s="1056"/>
      <c r="APC125" s="1056"/>
      <c r="APD125" s="1056"/>
      <c r="APE125" s="1056"/>
      <c r="APF125" s="1056"/>
      <c r="APG125" s="1056"/>
      <c r="APH125" s="1056"/>
      <c r="API125" s="1056"/>
      <c r="APJ125" s="1056"/>
      <c r="APK125" s="1056"/>
      <c r="APL125" s="1056"/>
      <c r="APM125" s="1056"/>
      <c r="APN125" s="1056"/>
      <c r="APO125" s="1056"/>
      <c r="APP125" s="1056"/>
      <c r="APQ125" s="1056"/>
      <c r="APR125" s="1056"/>
      <c r="APS125" s="1056"/>
      <c r="APT125" s="1056"/>
      <c r="APU125" s="1056"/>
      <c r="APV125" s="1056"/>
      <c r="APW125" s="1056"/>
      <c r="APX125" s="1056"/>
      <c r="APY125" s="1056"/>
      <c r="APZ125" s="1056"/>
      <c r="AQA125" s="1056"/>
      <c r="AQB125" s="1056"/>
      <c r="AQC125" s="1056"/>
      <c r="AQD125" s="1056"/>
      <c r="AQE125" s="1056"/>
      <c r="AQF125" s="1056"/>
      <c r="AQG125" s="1056"/>
      <c r="AQH125" s="1056"/>
      <c r="AQI125" s="1056"/>
      <c r="AQJ125" s="1056"/>
      <c r="AQK125" s="1056"/>
      <c r="AQL125" s="1056"/>
      <c r="AQM125" s="1056"/>
      <c r="AQN125" s="1056"/>
      <c r="AQO125" s="1056"/>
      <c r="AQP125" s="1056"/>
      <c r="AQQ125" s="1056"/>
      <c r="AQR125" s="1056"/>
      <c r="AQS125" s="1056"/>
      <c r="AQT125" s="1056"/>
      <c r="AQU125" s="1056"/>
      <c r="AQV125" s="1056"/>
      <c r="AQW125" s="1056"/>
      <c r="AQX125" s="1056"/>
      <c r="AQY125" s="1056"/>
      <c r="AQZ125" s="1056"/>
      <c r="ARA125" s="1056"/>
      <c r="ARB125" s="1056"/>
      <c r="ARC125" s="1056"/>
      <c r="ARD125" s="1056"/>
      <c r="ARE125" s="1056"/>
      <c r="ARF125" s="1056"/>
      <c r="ARG125" s="1056"/>
      <c r="ARH125" s="1056"/>
      <c r="ARI125" s="1056"/>
      <c r="ARJ125" s="1056"/>
      <c r="ARK125" s="1056"/>
      <c r="ARL125" s="1056"/>
      <c r="ARM125" s="1056"/>
      <c r="ARN125" s="1056"/>
      <c r="ARO125" s="1056"/>
      <c r="ARP125" s="1056"/>
      <c r="ARQ125" s="1056"/>
      <c r="ARR125" s="1056"/>
      <c r="ARS125" s="1056"/>
      <c r="ART125" s="1056"/>
      <c r="ARU125" s="1056"/>
      <c r="ARV125" s="1056"/>
      <c r="ARW125" s="1056"/>
      <c r="ARX125" s="1056"/>
      <c r="ARY125" s="1056"/>
      <c r="ARZ125" s="1056"/>
      <c r="ASA125" s="1056"/>
      <c r="ASB125" s="1056"/>
      <c r="ASC125" s="1056"/>
      <c r="ASD125" s="1056"/>
      <c r="ASE125" s="1056"/>
      <c r="ASF125" s="1056"/>
      <c r="ASG125" s="1056"/>
      <c r="ASH125" s="1056"/>
      <c r="ASI125" s="1056"/>
      <c r="ASJ125" s="1056"/>
      <c r="ASK125" s="1056"/>
      <c r="ASL125" s="1056"/>
      <c r="ASM125" s="1056"/>
      <c r="ASN125" s="1056"/>
      <c r="ASO125" s="1056"/>
      <c r="ASP125" s="1056"/>
      <c r="ASQ125" s="1056"/>
      <c r="ASR125" s="1056"/>
      <c r="ASS125" s="1056"/>
      <c r="AST125" s="1056"/>
      <c r="ASU125" s="1056"/>
      <c r="ASV125" s="1056"/>
      <c r="ASW125" s="1056"/>
      <c r="ASX125" s="1056"/>
      <c r="ASY125" s="1056"/>
      <c r="ASZ125" s="1056"/>
      <c r="ATA125" s="1056"/>
      <c r="ATB125" s="1056"/>
      <c r="ATC125" s="1056"/>
      <c r="ATD125" s="1056"/>
      <c r="ATE125" s="1056"/>
      <c r="ATF125" s="1056"/>
      <c r="ATG125" s="1056"/>
      <c r="ATH125" s="1056"/>
      <c r="ATI125" s="1056"/>
      <c r="ATJ125" s="1056"/>
      <c r="ATK125" s="1056"/>
      <c r="ATL125" s="1056"/>
      <c r="ATM125" s="1056"/>
      <c r="ATN125" s="1056"/>
      <c r="ATO125" s="1056"/>
      <c r="ATP125" s="1056"/>
      <c r="ATQ125" s="1056"/>
      <c r="ATR125" s="1056"/>
      <c r="ATS125" s="1056"/>
      <c r="ATT125" s="1056"/>
      <c r="ATU125" s="1056"/>
      <c r="ATV125" s="1056"/>
      <c r="ATW125" s="1056"/>
      <c r="ATX125" s="1056"/>
      <c r="ATY125" s="1056"/>
      <c r="ATZ125" s="1056"/>
      <c r="AUA125" s="1056"/>
      <c r="AUB125" s="1056"/>
      <c r="AUC125" s="1056"/>
      <c r="AUD125" s="1056"/>
      <c r="AUE125" s="1056"/>
      <c r="AUF125" s="1056"/>
      <c r="AUG125" s="1056"/>
      <c r="AUH125" s="1056"/>
      <c r="AUI125" s="1056"/>
      <c r="AUJ125" s="1056"/>
      <c r="AUK125" s="1056"/>
      <c r="AUL125" s="1056"/>
      <c r="AUM125" s="1056"/>
      <c r="AUN125" s="1056"/>
      <c r="AUO125" s="1056"/>
      <c r="AUP125" s="1056"/>
      <c r="AUQ125" s="1056"/>
      <c r="AUR125" s="1056"/>
      <c r="AUS125" s="1056"/>
      <c r="AUT125" s="1056"/>
      <c r="AUU125" s="1056"/>
      <c r="AUV125" s="1056"/>
      <c r="AUW125" s="1056"/>
      <c r="AUX125" s="1056"/>
      <c r="AUY125" s="1056"/>
      <c r="AUZ125" s="1056"/>
      <c r="AVA125" s="1056"/>
      <c r="AVB125" s="1056"/>
      <c r="AVC125" s="1056"/>
      <c r="AVD125" s="1056"/>
      <c r="AVE125" s="1056"/>
      <c r="AVF125" s="1056"/>
      <c r="AVG125" s="1056"/>
      <c r="AVH125" s="1056"/>
      <c r="AVI125" s="1056"/>
      <c r="AVJ125" s="1056"/>
      <c r="AVK125" s="1056"/>
      <c r="AVL125" s="1056"/>
      <c r="AVM125" s="1056"/>
      <c r="AVN125" s="1056"/>
      <c r="AVO125" s="1056"/>
      <c r="AVP125" s="1056"/>
      <c r="AVQ125" s="1056"/>
      <c r="AVR125" s="1056"/>
      <c r="AVS125" s="1056"/>
      <c r="AVT125" s="1056"/>
      <c r="AVU125" s="1056"/>
      <c r="AVV125" s="1056"/>
      <c r="AVW125" s="1056"/>
      <c r="AVX125" s="1056"/>
      <c r="AVY125" s="1056"/>
      <c r="AVZ125" s="1056"/>
      <c r="AWA125" s="1056"/>
      <c r="AWB125" s="1056"/>
      <c r="AWC125" s="1056"/>
      <c r="AWD125" s="1056"/>
      <c r="AWE125" s="1056"/>
      <c r="AWF125" s="1056"/>
      <c r="AWG125" s="1056"/>
      <c r="AWH125" s="1056"/>
      <c r="AWI125" s="1056"/>
      <c r="AWJ125" s="1056"/>
      <c r="AWK125" s="1056"/>
      <c r="AWL125" s="1056"/>
      <c r="AWM125" s="1056"/>
      <c r="AWN125" s="1056"/>
      <c r="AWO125" s="1056"/>
      <c r="AWP125" s="1056"/>
      <c r="AWQ125" s="1056"/>
      <c r="AWR125" s="1056"/>
      <c r="AWS125" s="1056"/>
      <c r="AWT125" s="1056"/>
      <c r="AWU125" s="1056"/>
      <c r="AWV125" s="1056"/>
      <c r="AWW125" s="1056"/>
      <c r="AWX125" s="1056"/>
      <c r="AWY125" s="1056"/>
      <c r="AWZ125" s="1056"/>
      <c r="AXA125" s="1056"/>
      <c r="AXB125" s="1056"/>
      <c r="AXC125" s="1056"/>
      <c r="AXD125" s="1056"/>
      <c r="AXE125" s="1056"/>
      <c r="AXF125" s="1056"/>
      <c r="AXG125" s="1056"/>
      <c r="AXH125" s="1056"/>
      <c r="AXI125" s="1056"/>
      <c r="AXJ125" s="1056"/>
      <c r="AXK125" s="1056"/>
      <c r="AXL125" s="1056"/>
      <c r="AXM125" s="1056"/>
      <c r="AXN125" s="1056"/>
      <c r="AXO125" s="1056"/>
      <c r="AXP125" s="1056"/>
      <c r="AXQ125" s="1056"/>
      <c r="AXR125" s="1056"/>
      <c r="AXS125" s="1056"/>
      <c r="AXT125" s="1056"/>
      <c r="AXU125" s="1056"/>
      <c r="AXV125" s="1056"/>
      <c r="AXW125" s="1056"/>
      <c r="AXX125" s="1056"/>
      <c r="AXY125" s="1056"/>
      <c r="AXZ125" s="1056"/>
      <c r="AYA125" s="1056"/>
      <c r="AYB125" s="1056"/>
      <c r="AYC125" s="1056"/>
      <c r="AYD125" s="1056"/>
      <c r="AYE125" s="1056"/>
      <c r="AYF125" s="1056"/>
      <c r="AYG125" s="1056"/>
      <c r="AYH125" s="1056"/>
      <c r="AYI125" s="1056"/>
      <c r="AYJ125" s="1056"/>
      <c r="AYK125" s="1056"/>
      <c r="AYL125" s="1056"/>
      <c r="AYM125" s="1056"/>
      <c r="AYN125" s="1056"/>
      <c r="AYO125" s="1056"/>
      <c r="AYP125" s="1056"/>
      <c r="AYQ125" s="1056"/>
      <c r="AYR125" s="1056"/>
      <c r="AYS125" s="1056"/>
      <c r="AYT125" s="1056"/>
      <c r="AYU125" s="1056"/>
      <c r="AYV125" s="1056"/>
      <c r="AYW125" s="1056"/>
      <c r="AYX125" s="1056"/>
      <c r="AYY125" s="1056"/>
      <c r="AYZ125" s="1056"/>
      <c r="AZA125" s="1056"/>
      <c r="AZB125" s="1056"/>
      <c r="AZC125" s="1056"/>
      <c r="AZD125" s="1056"/>
      <c r="AZE125" s="1056"/>
      <c r="AZF125" s="1056"/>
      <c r="AZG125" s="1056"/>
      <c r="AZH125" s="1056"/>
      <c r="AZI125" s="1056"/>
      <c r="AZJ125" s="1056"/>
      <c r="AZK125" s="1056"/>
      <c r="AZL125" s="1056"/>
      <c r="AZM125" s="1056"/>
      <c r="AZN125" s="1056"/>
      <c r="AZO125" s="1056"/>
      <c r="AZP125" s="1056"/>
      <c r="AZQ125" s="1056"/>
      <c r="AZR125" s="1056"/>
      <c r="AZS125" s="1056"/>
      <c r="AZT125" s="1056"/>
      <c r="AZU125" s="1056"/>
      <c r="AZV125" s="1056"/>
      <c r="AZW125" s="1056"/>
      <c r="AZX125" s="1056"/>
      <c r="AZY125" s="1056"/>
      <c r="AZZ125" s="1056"/>
      <c r="BAA125" s="1056"/>
      <c r="BAB125" s="1056"/>
      <c r="BAC125" s="1056"/>
      <c r="BAD125" s="1056"/>
      <c r="BAE125" s="1056"/>
      <c r="BAF125" s="1056"/>
      <c r="BAG125" s="1056"/>
      <c r="BAH125" s="1056"/>
      <c r="BAI125" s="1056"/>
      <c r="BAJ125" s="1056"/>
      <c r="BAK125" s="1056"/>
      <c r="BAL125" s="1056"/>
      <c r="BAM125" s="1056"/>
      <c r="BAN125" s="1056"/>
      <c r="BAO125" s="1056"/>
      <c r="BAP125" s="1056"/>
      <c r="BAQ125" s="1056"/>
      <c r="BAR125" s="1056"/>
      <c r="BAS125" s="1056"/>
      <c r="BAT125" s="1056"/>
      <c r="BAU125" s="1056"/>
      <c r="BAV125" s="1056"/>
      <c r="BAW125" s="1056"/>
      <c r="BAX125" s="1056"/>
      <c r="BAY125" s="1056"/>
      <c r="BAZ125" s="1056"/>
      <c r="BBA125" s="1056"/>
      <c r="BBB125" s="1056"/>
      <c r="BBC125" s="1056"/>
      <c r="BBD125" s="1056"/>
      <c r="BBE125" s="1056"/>
      <c r="BBF125" s="1056"/>
      <c r="BBG125" s="1056"/>
      <c r="BBH125" s="1056"/>
      <c r="BBI125" s="1056"/>
      <c r="BBJ125" s="1056"/>
      <c r="BBK125" s="1056"/>
      <c r="BBL125" s="1056"/>
      <c r="BBM125" s="1056"/>
      <c r="BBN125" s="1056"/>
      <c r="BBO125" s="1056"/>
      <c r="BBP125" s="1056"/>
      <c r="BBQ125" s="1056"/>
      <c r="BBR125" s="1056"/>
      <c r="BBS125" s="1056"/>
      <c r="BBT125" s="1056"/>
      <c r="BBU125" s="1056"/>
      <c r="BBV125" s="1056"/>
      <c r="BBW125" s="1056"/>
      <c r="BBX125" s="1056"/>
      <c r="BBY125" s="1056"/>
      <c r="BBZ125" s="1056"/>
      <c r="BCA125" s="1056"/>
      <c r="BCB125" s="1056"/>
      <c r="BCC125" s="1056"/>
      <c r="BCD125" s="1056"/>
      <c r="BCE125" s="1056"/>
      <c r="BCF125" s="1056"/>
      <c r="BCG125" s="1056"/>
      <c r="BCH125" s="1056"/>
      <c r="BCI125" s="1056"/>
      <c r="BCJ125" s="1056"/>
      <c r="BCK125" s="1056"/>
      <c r="BCL125" s="1056"/>
      <c r="BCM125" s="1056"/>
      <c r="BCN125" s="1056"/>
      <c r="BCO125" s="1056"/>
      <c r="BCP125" s="1056"/>
      <c r="BCQ125" s="1056"/>
      <c r="BCR125" s="1056"/>
      <c r="BCS125" s="1056"/>
      <c r="BCT125" s="1056"/>
      <c r="BCU125" s="1056"/>
      <c r="BCV125" s="1056"/>
      <c r="BCW125" s="1056"/>
      <c r="BCX125" s="1056"/>
      <c r="BCY125" s="1056"/>
      <c r="BCZ125" s="1056"/>
      <c r="BDA125" s="1056"/>
      <c r="BDB125" s="1056"/>
      <c r="BDC125" s="1056"/>
      <c r="BDD125" s="1056"/>
      <c r="BDE125" s="1056"/>
      <c r="BDF125" s="1056"/>
      <c r="BDG125" s="1056"/>
      <c r="BDH125" s="1056"/>
      <c r="BDI125" s="1056"/>
      <c r="BDJ125" s="1056"/>
      <c r="BDK125" s="1056"/>
      <c r="BDL125" s="1056"/>
      <c r="BDM125" s="1056"/>
      <c r="BDN125" s="1056"/>
      <c r="BDO125" s="1056"/>
      <c r="BDP125" s="1056"/>
      <c r="BDQ125" s="1056"/>
      <c r="BDR125" s="1056"/>
      <c r="BDS125" s="1056"/>
      <c r="BDT125" s="1056"/>
      <c r="BDU125" s="1056"/>
      <c r="BDV125" s="1056"/>
      <c r="BDW125" s="1056"/>
      <c r="BDX125" s="1056"/>
      <c r="BDY125" s="1056"/>
      <c r="BDZ125" s="1056"/>
      <c r="BEA125" s="1056"/>
      <c r="BEB125" s="1056"/>
      <c r="BEC125" s="1056"/>
      <c r="BED125" s="1056"/>
      <c r="BEE125" s="1056"/>
      <c r="BEF125" s="1056"/>
      <c r="BEG125" s="1056"/>
      <c r="BEH125" s="1056"/>
      <c r="BEI125" s="1056"/>
      <c r="BEJ125" s="1056"/>
      <c r="BEK125" s="1056"/>
      <c r="BEL125" s="1056"/>
      <c r="BEM125" s="1056"/>
      <c r="BEN125" s="1056"/>
      <c r="BEO125" s="1056"/>
      <c r="BEP125" s="1056"/>
      <c r="BEQ125" s="1056"/>
      <c r="BER125" s="1056"/>
      <c r="BES125" s="1056"/>
      <c r="BET125" s="1056"/>
      <c r="BEU125" s="1056"/>
      <c r="BEV125" s="1056"/>
      <c r="BEW125" s="1056"/>
      <c r="BEX125" s="1056"/>
      <c r="BEY125" s="1056"/>
      <c r="BEZ125" s="1056"/>
      <c r="BFA125" s="1056"/>
      <c r="BFB125" s="1056"/>
      <c r="BFC125" s="1056"/>
      <c r="BFD125" s="1056"/>
      <c r="BFE125" s="1056"/>
      <c r="BFF125" s="1056"/>
      <c r="BFG125" s="1056"/>
      <c r="BFH125" s="1056"/>
      <c r="BFI125" s="1056"/>
      <c r="BFJ125" s="1056"/>
      <c r="BFK125" s="1056"/>
      <c r="BFL125" s="1056"/>
      <c r="BFM125" s="1056"/>
      <c r="BFN125" s="1056"/>
      <c r="BFO125" s="1056"/>
      <c r="BFP125" s="1056"/>
      <c r="BFQ125" s="1056"/>
      <c r="BFR125" s="1056"/>
      <c r="BFS125" s="1056"/>
      <c r="BFT125" s="1056"/>
      <c r="BFU125" s="1056"/>
      <c r="BFV125" s="1056"/>
      <c r="BFW125" s="1056"/>
      <c r="BFX125" s="1056"/>
      <c r="BFY125" s="1056"/>
      <c r="BFZ125" s="1056"/>
      <c r="BGA125" s="1056"/>
      <c r="BGB125" s="1056"/>
      <c r="BGC125" s="1056"/>
      <c r="BGD125" s="1056"/>
      <c r="BGE125" s="1056"/>
      <c r="BGF125" s="1056"/>
      <c r="BGG125" s="1056"/>
      <c r="BGH125" s="1056"/>
      <c r="BGI125" s="1056"/>
      <c r="BGJ125" s="1056"/>
      <c r="BGK125" s="1056"/>
      <c r="BGL125" s="1056"/>
      <c r="BGM125" s="1056"/>
      <c r="BGN125" s="1056"/>
      <c r="BGO125" s="1056"/>
      <c r="BGP125" s="1056"/>
      <c r="BGQ125" s="1056"/>
      <c r="BGR125" s="1056"/>
      <c r="BGS125" s="1056"/>
      <c r="BGT125" s="1056"/>
      <c r="BGU125" s="1056"/>
      <c r="BGV125" s="1056"/>
      <c r="BGW125" s="1056"/>
      <c r="BGX125" s="1056"/>
      <c r="BGY125" s="1056"/>
      <c r="BGZ125" s="1056"/>
      <c r="BHA125" s="1056"/>
      <c r="BHB125" s="1056"/>
      <c r="BHC125" s="1056"/>
      <c r="BHD125" s="1056"/>
      <c r="BHE125" s="1056"/>
      <c r="BHF125" s="1056"/>
      <c r="BHG125" s="1056"/>
      <c r="BHH125" s="1056"/>
      <c r="BHI125" s="1056"/>
      <c r="BHJ125" s="1056"/>
      <c r="BHK125" s="1056"/>
      <c r="BHL125" s="1056"/>
      <c r="BHM125" s="1056"/>
      <c r="BHN125" s="1056"/>
      <c r="BHO125" s="1056"/>
      <c r="BHP125" s="1056"/>
      <c r="BHQ125" s="1056"/>
      <c r="BHR125" s="1056"/>
      <c r="BHS125" s="1056"/>
      <c r="BHT125" s="1056"/>
      <c r="BHU125" s="1056"/>
      <c r="BHV125" s="1056"/>
      <c r="BHW125" s="1056"/>
      <c r="BHX125" s="1056"/>
      <c r="BHY125" s="1056"/>
      <c r="BHZ125" s="1056"/>
      <c r="BIA125" s="1056"/>
      <c r="BIB125" s="1056"/>
      <c r="BIC125" s="1056"/>
      <c r="BID125" s="1056"/>
      <c r="BIE125" s="1056"/>
      <c r="BIF125" s="1056"/>
      <c r="BIG125" s="1056"/>
      <c r="BIH125" s="1056"/>
      <c r="BII125" s="1056"/>
      <c r="BIJ125" s="1056"/>
      <c r="BIK125" s="1056"/>
      <c r="BIL125" s="1056"/>
      <c r="BIM125" s="1056"/>
      <c r="BIN125" s="1056"/>
      <c r="BIO125" s="1056"/>
      <c r="BIP125" s="1056"/>
      <c r="BIQ125" s="1056"/>
      <c r="BIR125" s="1056"/>
      <c r="BIS125" s="1056"/>
      <c r="BIT125" s="1056"/>
      <c r="BIU125" s="1056"/>
      <c r="BIV125" s="1056"/>
      <c r="BIW125" s="1056"/>
      <c r="BIX125" s="1056"/>
      <c r="BIY125" s="1056"/>
      <c r="BIZ125" s="1056"/>
      <c r="BJA125" s="1056"/>
      <c r="BJB125" s="1056"/>
      <c r="BJC125" s="1056"/>
      <c r="BJD125" s="1056"/>
      <c r="BJE125" s="1056"/>
      <c r="BJF125" s="1056"/>
      <c r="BJG125" s="1056"/>
      <c r="BJH125" s="1056"/>
      <c r="BJI125" s="1056"/>
      <c r="BJJ125" s="1056"/>
      <c r="BJK125" s="1056"/>
      <c r="BJL125" s="1056"/>
      <c r="BJM125" s="1056"/>
      <c r="BJN125" s="1056"/>
      <c r="BJO125" s="1056"/>
      <c r="BJP125" s="1056"/>
      <c r="BJQ125" s="1056"/>
      <c r="BJR125" s="1056"/>
      <c r="BJS125" s="1056"/>
      <c r="BJT125" s="1056"/>
      <c r="BJU125" s="1056"/>
      <c r="BJV125" s="1056"/>
      <c r="BJW125" s="1056"/>
      <c r="BJX125" s="1056"/>
      <c r="BJY125" s="1056"/>
      <c r="BJZ125" s="1056"/>
      <c r="BKA125" s="1056"/>
      <c r="BKB125" s="1056"/>
      <c r="BKC125" s="1056"/>
      <c r="BKD125" s="1056"/>
      <c r="BKE125" s="1056"/>
      <c r="BKF125" s="1056"/>
      <c r="BKG125" s="1056"/>
      <c r="BKH125" s="1056"/>
      <c r="BKI125" s="1056"/>
      <c r="BKJ125" s="1056"/>
      <c r="BKK125" s="1056"/>
      <c r="BKL125" s="1056"/>
      <c r="BKM125" s="1056"/>
      <c r="BKN125" s="1056"/>
      <c r="BKO125" s="1056"/>
      <c r="BKP125" s="1056"/>
      <c r="BKQ125" s="1056"/>
      <c r="BKR125" s="1056"/>
      <c r="BKS125" s="1056"/>
      <c r="BKT125" s="1056"/>
      <c r="BKU125" s="1056"/>
      <c r="BKV125" s="1056"/>
      <c r="BKW125" s="1056"/>
      <c r="BKX125" s="1056"/>
      <c r="BKY125" s="1056"/>
      <c r="BKZ125" s="1056"/>
      <c r="BLA125" s="1056"/>
      <c r="BLB125" s="1056"/>
      <c r="BLC125" s="1056"/>
      <c r="BLD125" s="1056"/>
      <c r="BLE125" s="1056"/>
      <c r="BLF125" s="1056"/>
      <c r="BLG125" s="1056"/>
      <c r="BLH125" s="1056"/>
      <c r="BLI125" s="1056"/>
      <c r="BLJ125" s="1056"/>
      <c r="BLK125" s="1056"/>
      <c r="BLL125" s="1056"/>
      <c r="BLM125" s="1056"/>
      <c r="BLN125" s="1056"/>
      <c r="BLO125" s="1056"/>
      <c r="BLP125" s="1056"/>
      <c r="BLQ125" s="1056"/>
      <c r="BLR125" s="1056"/>
      <c r="BLS125" s="1056"/>
      <c r="BLT125" s="1056"/>
      <c r="BLU125" s="1056"/>
      <c r="BLV125" s="1056"/>
      <c r="BLW125" s="1056"/>
      <c r="BLX125" s="1056"/>
      <c r="BLY125" s="1056"/>
      <c r="BLZ125" s="1056"/>
      <c r="BMA125" s="1056"/>
      <c r="BMB125" s="1056"/>
      <c r="BMC125" s="1056"/>
      <c r="BMD125" s="1056"/>
      <c r="BME125" s="1056"/>
      <c r="BMF125" s="1056"/>
      <c r="BMG125" s="1056"/>
      <c r="BMH125" s="1056"/>
      <c r="BMI125" s="1056"/>
      <c r="BMJ125" s="1056"/>
      <c r="BMK125" s="1056"/>
      <c r="BML125" s="1056"/>
      <c r="BMM125" s="1056"/>
      <c r="BMN125" s="1056"/>
      <c r="BMO125" s="1056"/>
      <c r="BMP125" s="1056"/>
      <c r="BMQ125" s="1056"/>
      <c r="BMR125" s="1056"/>
      <c r="BMS125" s="1056"/>
      <c r="BMT125" s="1056"/>
      <c r="BMU125" s="1056"/>
      <c r="BMV125" s="1056"/>
      <c r="BMW125" s="1056"/>
      <c r="BMX125" s="1056"/>
      <c r="BMY125" s="1056"/>
      <c r="BMZ125" s="1056"/>
      <c r="BNA125" s="1056"/>
      <c r="BNB125" s="1056"/>
      <c r="BNC125" s="1056"/>
      <c r="BND125" s="1056"/>
      <c r="BNE125" s="1056"/>
      <c r="BNF125" s="1056"/>
      <c r="BNG125" s="1056"/>
      <c r="BNH125" s="1056"/>
      <c r="BNI125" s="1056"/>
      <c r="BNJ125" s="1056"/>
      <c r="BNK125" s="1056"/>
      <c r="BNL125" s="1056"/>
      <c r="BNM125" s="1056"/>
      <c r="BNN125" s="1056"/>
      <c r="BNO125" s="1056"/>
      <c r="BNP125" s="1056"/>
      <c r="BNQ125" s="1056"/>
      <c r="BNR125" s="1056"/>
      <c r="BNS125" s="1056"/>
      <c r="BNT125" s="1056"/>
      <c r="BNU125" s="1056"/>
      <c r="BNV125" s="1056"/>
      <c r="BNW125" s="1056"/>
      <c r="BNX125" s="1056"/>
      <c r="BNY125" s="1056"/>
      <c r="BNZ125" s="1056"/>
      <c r="BOA125" s="1056"/>
      <c r="BOB125" s="1056"/>
      <c r="BOC125" s="1056"/>
      <c r="BOD125" s="1056"/>
      <c r="BOE125" s="1056"/>
      <c r="BOF125" s="1056"/>
      <c r="BOG125" s="1056"/>
      <c r="BOH125" s="1056"/>
      <c r="BOI125" s="1056"/>
      <c r="BOJ125" s="1056"/>
      <c r="BOK125" s="1056"/>
      <c r="BOL125" s="1056"/>
      <c r="BOM125" s="1056"/>
      <c r="BON125" s="1056"/>
      <c r="BOO125" s="1056"/>
      <c r="BOP125" s="1056"/>
      <c r="BOQ125" s="1056"/>
      <c r="BOR125" s="1056"/>
      <c r="BOS125" s="1056"/>
      <c r="BOT125" s="1056"/>
      <c r="BOU125" s="1056"/>
      <c r="BOV125" s="1056"/>
      <c r="BOW125" s="1056"/>
      <c r="BOX125" s="1056"/>
      <c r="BOY125" s="1056"/>
      <c r="BOZ125" s="1056"/>
      <c r="BPA125" s="1056"/>
      <c r="BPB125" s="1056"/>
      <c r="BPC125" s="1056"/>
      <c r="BPD125" s="1056"/>
      <c r="BPE125" s="1056"/>
      <c r="BPF125" s="1056"/>
      <c r="BPG125" s="1056"/>
      <c r="BPH125" s="1056"/>
      <c r="BPI125" s="1056"/>
      <c r="BPJ125" s="1056"/>
      <c r="BPK125" s="1056"/>
      <c r="BPL125" s="1056"/>
      <c r="BPM125" s="1056"/>
      <c r="BPN125" s="1056"/>
      <c r="BPO125" s="1056"/>
      <c r="BPP125" s="1056"/>
      <c r="BPQ125" s="1056"/>
      <c r="BPR125" s="1056"/>
      <c r="BPS125" s="1056"/>
      <c r="BPT125" s="1056"/>
      <c r="BPU125" s="1056"/>
      <c r="BPV125" s="1056"/>
      <c r="BPW125" s="1056"/>
      <c r="BPX125" s="1056"/>
      <c r="BPY125" s="1056"/>
      <c r="BPZ125" s="1056"/>
      <c r="BQA125" s="1056"/>
      <c r="BQB125" s="1056"/>
      <c r="BQC125" s="1056"/>
      <c r="BQD125" s="1056"/>
      <c r="BQE125" s="1056"/>
      <c r="BQF125" s="1056"/>
      <c r="BQG125" s="1056"/>
      <c r="BQH125" s="1056"/>
      <c r="BQI125" s="1056"/>
      <c r="BQJ125" s="1056"/>
      <c r="BQK125" s="1056"/>
      <c r="BQL125" s="1056"/>
      <c r="BQM125" s="1056"/>
      <c r="BQN125" s="1056"/>
      <c r="BQO125" s="1056"/>
      <c r="BQP125" s="1056"/>
      <c r="BQQ125" s="1056"/>
      <c r="BQR125" s="1056"/>
      <c r="BQS125" s="1056"/>
      <c r="BQT125" s="1056"/>
      <c r="BQU125" s="1056"/>
      <c r="BQV125" s="1056"/>
      <c r="BQW125" s="1056"/>
      <c r="BQX125" s="1056"/>
      <c r="BQY125" s="1056"/>
      <c r="BQZ125" s="1056"/>
      <c r="BRA125" s="1056"/>
      <c r="BRB125" s="1056"/>
      <c r="BRC125" s="1056"/>
      <c r="BRD125" s="1056"/>
      <c r="BRE125" s="1056"/>
      <c r="BRF125" s="1056"/>
      <c r="BRG125" s="1056"/>
      <c r="BRH125" s="1056"/>
      <c r="BRI125" s="1056"/>
      <c r="BRJ125" s="1056"/>
      <c r="BRK125" s="1056"/>
      <c r="BRL125" s="1056"/>
      <c r="BRM125" s="1056"/>
      <c r="BRN125" s="1056"/>
      <c r="BRO125" s="1056"/>
      <c r="BRP125" s="1056"/>
      <c r="BRQ125" s="1056"/>
      <c r="BRR125" s="1056"/>
      <c r="BRS125" s="1056"/>
      <c r="BRT125" s="1056"/>
      <c r="BRU125" s="1056"/>
      <c r="BRV125" s="1056"/>
      <c r="BRW125" s="1056"/>
      <c r="BRX125" s="1056"/>
      <c r="BRY125" s="1056"/>
      <c r="BRZ125" s="1056"/>
      <c r="BSA125" s="1056"/>
      <c r="BSB125" s="1056"/>
      <c r="BSC125" s="1056"/>
      <c r="BSD125" s="1056"/>
      <c r="BSE125" s="1056"/>
      <c r="BSF125" s="1056"/>
      <c r="BSG125" s="1056"/>
      <c r="BSH125" s="1056"/>
      <c r="BSI125" s="1056"/>
      <c r="BSJ125" s="1056"/>
      <c r="BSK125" s="1056"/>
      <c r="BSL125" s="1056"/>
      <c r="BSM125" s="1056"/>
      <c r="BSN125" s="1056"/>
      <c r="BSO125" s="1056"/>
      <c r="BSP125" s="1056"/>
      <c r="BSQ125" s="1056"/>
      <c r="BSR125" s="1056"/>
      <c r="BSS125" s="1056"/>
      <c r="BST125" s="1056"/>
      <c r="BSU125" s="1056"/>
      <c r="BSV125" s="1056"/>
      <c r="BSW125" s="1056"/>
      <c r="BSX125" s="1056"/>
      <c r="BSY125" s="1056"/>
      <c r="BSZ125" s="1056"/>
      <c r="BTA125" s="1056"/>
      <c r="BTB125" s="1056"/>
      <c r="BTC125" s="1056"/>
      <c r="BTD125" s="1056"/>
      <c r="BTE125" s="1056"/>
      <c r="BTF125" s="1056"/>
      <c r="BTG125" s="1056"/>
      <c r="BTH125" s="1056"/>
      <c r="BTI125" s="1056"/>
    </row>
    <row r="126" spans="1:1881" s="1060" customFormat="1" ht="55.5" hidden="1" customHeight="1" thickBot="1" x14ac:dyDescent="0.35">
      <c r="A126" s="1071">
        <v>104</v>
      </c>
      <c r="B126" s="1069" t="s">
        <v>409</v>
      </c>
      <c r="C126" s="808" t="s">
        <v>1039</v>
      </c>
      <c r="D126" s="1075" t="s">
        <v>1040</v>
      </c>
      <c r="E126" s="1053" t="e">
        <f>HLOOKUP($D$2,'2020 Data(H)'!$C$1:$AI$426,64,FALSE)</f>
        <v>#N/A</v>
      </c>
      <c r="F126" s="287">
        <v>0</v>
      </c>
      <c r="G126" s="722"/>
      <c r="H126" s="764"/>
      <c r="I126" s="1055"/>
      <c r="J126" s="1068"/>
      <c r="K126" s="1056"/>
      <c r="L126" s="1057"/>
      <c r="M126" s="1056"/>
      <c r="N126" s="1058"/>
      <c r="O126" s="1056"/>
      <c r="P126" s="1056"/>
      <c r="Q126" s="1056"/>
      <c r="R126" s="1056"/>
      <c r="S126" s="1056"/>
      <c r="T126" s="1056"/>
      <c r="U126" s="1056"/>
      <c r="V126" s="1056"/>
      <c r="W126" s="1056"/>
      <c r="X126" s="1056"/>
      <c r="Y126" s="1056"/>
      <c r="Z126" s="1073"/>
      <c r="AA126" s="1073"/>
      <c r="AB126" s="1073"/>
      <c r="AC126" s="1073"/>
      <c r="AD126" s="1073"/>
      <c r="AE126" s="1073"/>
      <c r="AF126" s="1073"/>
      <c r="AG126" s="1073"/>
      <c r="AH126" s="1073"/>
      <c r="AI126" s="1073"/>
      <c r="AJ126" s="1073"/>
      <c r="AK126" s="1073"/>
      <c r="AL126" s="1073"/>
      <c r="AM126" s="1073"/>
      <c r="AN126" s="1073"/>
      <c r="AO126" s="1073"/>
      <c r="AP126" s="1073"/>
      <c r="AQ126" s="1073"/>
      <c r="AR126" s="1073"/>
      <c r="AS126" s="1056"/>
      <c r="AT126" s="1056"/>
      <c r="AU126" s="1056"/>
      <c r="AV126" s="1056"/>
      <c r="AW126" s="1056"/>
      <c r="AX126" s="1056"/>
      <c r="AY126" s="1056"/>
      <c r="AZ126" s="1056"/>
      <c r="BA126" s="1056"/>
      <c r="BB126" s="1056"/>
      <c r="BC126" s="1056"/>
      <c r="BD126" s="1056"/>
      <c r="BE126" s="1056"/>
      <c r="BF126" s="1056"/>
      <c r="BG126" s="1056"/>
      <c r="BH126" s="1056"/>
      <c r="BI126" s="1056"/>
      <c r="BJ126" s="1056"/>
      <c r="BK126" s="1056"/>
      <c r="BL126" s="1056"/>
      <c r="BM126" s="1056"/>
      <c r="BN126" s="1056"/>
      <c r="BO126" s="1056"/>
      <c r="BP126" s="1056"/>
      <c r="BQ126" s="1056"/>
      <c r="BR126" s="1056"/>
      <c r="BS126" s="1056"/>
      <c r="BT126" s="1056"/>
      <c r="BU126" s="1056"/>
      <c r="BV126" s="1056"/>
      <c r="BW126" s="1056"/>
      <c r="BX126" s="1056"/>
      <c r="BY126" s="1056"/>
      <c r="BZ126" s="1056"/>
      <c r="CA126" s="1056"/>
      <c r="CB126" s="1056"/>
      <c r="CC126" s="1056"/>
      <c r="CD126" s="1056"/>
      <c r="CE126" s="1056"/>
      <c r="CF126" s="1056"/>
      <c r="CG126" s="1056"/>
      <c r="CH126" s="1056"/>
      <c r="CI126" s="1056"/>
      <c r="CJ126" s="1056"/>
      <c r="CK126" s="1056"/>
      <c r="CL126" s="1056"/>
      <c r="CM126" s="1056"/>
      <c r="CN126" s="1056"/>
      <c r="CO126" s="1056"/>
      <c r="CP126" s="1056"/>
      <c r="CQ126" s="1056"/>
      <c r="CR126" s="1056"/>
      <c r="CS126" s="1056"/>
      <c r="CT126" s="1056"/>
      <c r="CU126" s="1056"/>
      <c r="CV126" s="1056"/>
      <c r="CW126" s="1056"/>
      <c r="CX126" s="1056"/>
      <c r="CY126" s="1056"/>
      <c r="CZ126" s="1056"/>
      <c r="DA126" s="1056"/>
      <c r="DB126" s="1056"/>
      <c r="DC126" s="1056"/>
      <c r="DD126" s="1056"/>
      <c r="DE126" s="1056"/>
      <c r="DF126" s="1056"/>
      <c r="DG126" s="1056"/>
      <c r="DH126" s="1056"/>
      <c r="DI126" s="1056"/>
      <c r="DJ126" s="1056"/>
      <c r="DK126" s="1056"/>
      <c r="DL126" s="1056"/>
      <c r="DM126" s="1056"/>
      <c r="DN126" s="1056"/>
      <c r="DO126" s="1056"/>
      <c r="DP126" s="1056"/>
      <c r="DQ126" s="1056"/>
      <c r="DR126" s="1056"/>
      <c r="DS126" s="1056"/>
      <c r="DT126" s="1056"/>
      <c r="DU126" s="1056"/>
      <c r="DV126" s="1056"/>
      <c r="DW126" s="1056"/>
      <c r="DX126" s="1056"/>
      <c r="DY126" s="1056"/>
      <c r="DZ126" s="1056"/>
      <c r="EA126" s="1056"/>
      <c r="EB126" s="1056"/>
      <c r="EC126" s="1056"/>
      <c r="ED126" s="1056"/>
      <c r="EE126" s="1056"/>
      <c r="EF126" s="1056"/>
      <c r="EG126" s="1056"/>
      <c r="EH126" s="1056"/>
      <c r="EI126" s="1056"/>
      <c r="EJ126" s="1056"/>
      <c r="EK126" s="1056"/>
      <c r="EL126" s="1056"/>
      <c r="EM126" s="1056"/>
      <c r="EN126" s="1056"/>
      <c r="EO126" s="1056"/>
      <c r="EP126" s="1056"/>
      <c r="EQ126" s="1056"/>
      <c r="ER126" s="1056"/>
      <c r="ES126" s="1056"/>
      <c r="ET126" s="1056"/>
      <c r="EU126" s="1056"/>
      <c r="EV126" s="1056"/>
      <c r="EW126" s="1056"/>
      <c r="EX126" s="1056"/>
      <c r="EY126" s="1056"/>
      <c r="EZ126" s="1056"/>
      <c r="FA126" s="1056"/>
      <c r="FB126" s="1056"/>
      <c r="FC126" s="1056"/>
      <c r="FD126" s="1056"/>
      <c r="FE126" s="1056"/>
      <c r="FF126" s="1056"/>
      <c r="FG126" s="1056"/>
      <c r="FH126" s="1056"/>
      <c r="FI126" s="1056"/>
      <c r="FJ126" s="1056"/>
      <c r="FK126" s="1056"/>
      <c r="FL126" s="1056"/>
      <c r="FM126" s="1056"/>
      <c r="FN126" s="1056"/>
      <c r="FO126" s="1056"/>
      <c r="FP126" s="1056"/>
      <c r="FQ126" s="1056"/>
      <c r="FR126" s="1056"/>
      <c r="FS126" s="1056"/>
      <c r="FT126" s="1056"/>
      <c r="FU126" s="1056"/>
      <c r="FV126" s="1056"/>
      <c r="FW126" s="1056"/>
      <c r="FX126" s="1056"/>
      <c r="FY126" s="1056"/>
      <c r="FZ126" s="1056"/>
      <c r="GA126" s="1056"/>
      <c r="GB126" s="1056"/>
      <c r="GC126" s="1056"/>
      <c r="GD126" s="1056"/>
      <c r="GE126" s="1056"/>
      <c r="GF126" s="1056"/>
      <c r="GG126" s="1056"/>
      <c r="GH126" s="1056"/>
      <c r="GI126" s="1056"/>
      <c r="GJ126" s="1056"/>
      <c r="GK126" s="1056"/>
      <c r="GL126" s="1056"/>
      <c r="GM126" s="1056"/>
      <c r="GN126" s="1056"/>
      <c r="GO126" s="1056"/>
      <c r="GP126" s="1056"/>
      <c r="GQ126" s="1056"/>
      <c r="GR126" s="1056"/>
      <c r="GS126" s="1056"/>
      <c r="GT126" s="1056"/>
      <c r="GU126" s="1056"/>
      <c r="GV126" s="1056"/>
      <c r="GW126" s="1056"/>
      <c r="GX126" s="1056"/>
      <c r="GY126" s="1056"/>
      <c r="GZ126" s="1056"/>
      <c r="HA126" s="1056"/>
      <c r="HB126" s="1056"/>
      <c r="HC126" s="1056"/>
      <c r="HD126" s="1056"/>
      <c r="HE126" s="1056"/>
      <c r="HF126" s="1056"/>
      <c r="HG126" s="1056"/>
      <c r="HH126" s="1056"/>
      <c r="HI126" s="1056"/>
      <c r="HJ126" s="1056"/>
      <c r="HK126" s="1056"/>
      <c r="HL126" s="1056"/>
      <c r="HM126" s="1056"/>
      <c r="HN126" s="1056"/>
      <c r="HO126" s="1056"/>
      <c r="HP126" s="1056"/>
      <c r="HQ126" s="1056"/>
      <c r="HR126" s="1056"/>
      <c r="HS126" s="1056"/>
      <c r="HT126" s="1056"/>
      <c r="HU126" s="1056"/>
      <c r="HV126" s="1056"/>
      <c r="HW126" s="1056"/>
      <c r="HX126" s="1056"/>
      <c r="HY126" s="1056"/>
      <c r="HZ126" s="1056"/>
      <c r="IA126" s="1056"/>
      <c r="IB126" s="1056"/>
      <c r="IC126" s="1056"/>
      <c r="ID126" s="1056"/>
      <c r="IE126" s="1056"/>
      <c r="IF126" s="1056"/>
      <c r="IG126" s="1056"/>
      <c r="IH126" s="1056"/>
      <c r="II126" s="1056"/>
      <c r="IJ126" s="1056"/>
      <c r="IK126" s="1056"/>
      <c r="IL126" s="1056"/>
      <c r="IM126" s="1056"/>
      <c r="IN126" s="1056"/>
      <c r="IO126" s="1056"/>
      <c r="IP126" s="1056"/>
      <c r="IQ126" s="1056"/>
      <c r="IR126" s="1056"/>
      <c r="IS126" s="1056"/>
      <c r="IT126" s="1056"/>
      <c r="IU126" s="1056"/>
      <c r="IV126" s="1056"/>
      <c r="IW126" s="1056"/>
      <c r="IX126" s="1056"/>
      <c r="IY126" s="1056"/>
      <c r="IZ126" s="1056"/>
      <c r="JA126" s="1056"/>
      <c r="JB126" s="1056"/>
      <c r="JC126" s="1056"/>
      <c r="JD126" s="1056"/>
      <c r="JE126" s="1056"/>
      <c r="JF126" s="1056"/>
      <c r="JG126" s="1056"/>
      <c r="JH126" s="1056"/>
      <c r="JI126" s="1056"/>
      <c r="JJ126" s="1056"/>
      <c r="JK126" s="1056"/>
      <c r="JL126" s="1056"/>
      <c r="JM126" s="1056"/>
      <c r="JN126" s="1056"/>
      <c r="JO126" s="1056"/>
      <c r="JP126" s="1056"/>
      <c r="JQ126" s="1056"/>
      <c r="JR126" s="1056"/>
      <c r="JS126" s="1056"/>
      <c r="JT126" s="1056"/>
      <c r="JU126" s="1056"/>
      <c r="JV126" s="1056"/>
      <c r="JW126" s="1056"/>
      <c r="JX126" s="1056"/>
      <c r="JY126" s="1056"/>
      <c r="JZ126" s="1056"/>
      <c r="KA126" s="1056"/>
      <c r="KB126" s="1056"/>
      <c r="KC126" s="1056"/>
      <c r="KD126" s="1056"/>
      <c r="KE126" s="1056"/>
      <c r="KF126" s="1056"/>
      <c r="KG126" s="1056"/>
      <c r="KH126" s="1056"/>
      <c r="KI126" s="1056"/>
      <c r="KJ126" s="1056"/>
      <c r="KK126" s="1056"/>
      <c r="KL126" s="1056"/>
      <c r="KM126" s="1056"/>
      <c r="KN126" s="1056"/>
      <c r="KO126" s="1056"/>
      <c r="KP126" s="1056"/>
      <c r="KQ126" s="1056"/>
      <c r="KR126" s="1056"/>
      <c r="KS126" s="1056"/>
      <c r="KT126" s="1056"/>
      <c r="KU126" s="1056"/>
      <c r="KV126" s="1056"/>
      <c r="KW126" s="1056"/>
      <c r="KX126" s="1056"/>
      <c r="KY126" s="1056"/>
      <c r="KZ126" s="1056"/>
      <c r="LA126" s="1056"/>
      <c r="LB126" s="1056"/>
      <c r="LC126" s="1056"/>
      <c r="LD126" s="1056"/>
      <c r="LE126" s="1056"/>
      <c r="LF126" s="1056"/>
      <c r="LG126" s="1056"/>
      <c r="LH126" s="1056"/>
      <c r="LI126" s="1056"/>
      <c r="LJ126" s="1056"/>
      <c r="LK126" s="1056"/>
      <c r="LL126" s="1056"/>
      <c r="LM126" s="1056"/>
      <c r="LN126" s="1056"/>
      <c r="LO126" s="1056"/>
      <c r="LP126" s="1056"/>
      <c r="LQ126" s="1056"/>
      <c r="LR126" s="1056"/>
      <c r="LS126" s="1056"/>
      <c r="LT126" s="1056"/>
      <c r="LU126" s="1056"/>
      <c r="LV126" s="1056"/>
      <c r="LW126" s="1056"/>
      <c r="LX126" s="1056"/>
      <c r="LY126" s="1056"/>
      <c r="LZ126" s="1056"/>
      <c r="MA126" s="1056"/>
      <c r="MB126" s="1056"/>
      <c r="MC126" s="1056"/>
      <c r="MD126" s="1056"/>
      <c r="ME126" s="1056"/>
      <c r="MF126" s="1056"/>
      <c r="MG126" s="1056"/>
      <c r="MH126" s="1056"/>
      <c r="MI126" s="1056"/>
      <c r="MJ126" s="1056"/>
      <c r="MK126" s="1056"/>
      <c r="ML126" s="1056"/>
      <c r="MM126" s="1056"/>
      <c r="MN126" s="1056"/>
      <c r="MO126" s="1056"/>
      <c r="MP126" s="1056"/>
      <c r="MQ126" s="1056"/>
      <c r="MR126" s="1056"/>
      <c r="MS126" s="1056"/>
      <c r="MT126" s="1056"/>
      <c r="MU126" s="1056"/>
      <c r="MV126" s="1056"/>
      <c r="MW126" s="1056"/>
      <c r="MX126" s="1056"/>
      <c r="MY126" s="1056"/>
      <c r="MZ126" s="1056"/>
      <c r="NA126" s="1056"/>
      <c r="NB126" s="1056"/>
      <c r="NC126" s="1056"/>
      <c r="ND126" s="1056"/>
      <c r="NE126" s="1056"/>
      <c r="NF126" s="1056"/>
      <c r="NG126" s="1056"/>
      <c r="NH126" s="1056"/>
      <c r="NI126" s="1056"/>
      <c r="NJ126" s="1056"/>
      <c r="NK126" s="1056"/>
      <c r="NL126" s="1056"/>
      <c r="NM126" s="1056"/>
      <c r="NN126" s="1056"/>
      <c r="NO126" s="1056"/>
      <c r="NP126" s="1056"/>
      <c r="NQ126" s="1056"/>
      <c r="NR126" s="1056"/>
      <c r="NS126" s="1056"/>
      <c r="NT126" s="1056"/>
      <c r="NU126" s="1056"/>
      <c r="NV126" s="1056"/>
      <c r="NW126" s="1056"/>
      <c r="NX126" s="1056"/>
      <c r="NY126" s="1056"/>
      <c r="NZ126" s="1056"/>
      <c r="OA126" s="1056"/>
      <c r="OB126" s="1056"/>
      <c r="OC126" s="1056"/>
      <c r="OD126" s="1056"/>
      <c r="OE126" s="1056"/>
      <c r="OF126" s="1056"/>
      <c r="OG126" s="1056"/>
      <c r="OH126" s="1056"/>
      <c r="OI126" s="1056"/>
      <c r="OJ126" s="1056"/>
      <c r="OK126" s="1056"/>
      <c r="OL126" s="1056"/>
      <c r="OM126" s="1056"/>
      <c r="ON126" s="1056"/>
      <c r="OO126" s="1056"/>
      <c r="OP126" s="1056"/>
      <c r="OQ126" s="1056"/>
      <c r="OR126" s="1056"/>
      <c r="OS126" s="1056"/>
      <c r="OT126" s="1056"/>
      <c r="OU126" s="1056"/>
      <c r="OV126" s="1056"/>
      <c r="OW126" s="1056"/>
      <c r="OX126" s="1056"/>
      <c r="OY126" s="1056"/>
      <c r="OZ126" s="1056"/>
      <c r="PA126" s="1056"/>
      <c r="PB126" s="1056"/>
      <c r="PC126" s="1056"/>
      <c r="PD126" s="1056"/>
      <c r="PE126" s="1056"/>
      <c r="PF126" s="1056"/>
      <c r="PG126" s="1056"/>
      <c r="PH126" s="1056"/>
      <c r="PI126" s="1056"/>
      <c r="PJ126" s="1056"/>
      <c r="PK126" s="1056"/>
      <c r="PL126" s="1056"/>
      <c r="PM126" s="1056"/>
      <c r="PN126" s="1056"/>
      <c r="PO126" s="1056"/>
      <c r="PP126" s="1056"/>
      <c r="PQ126" s="1056"/>
      <c r="PR126" s="1056"/>
      <c r="PS126" s="1056"/>
      <c r="PT126" s="1056"/>
      <c r="PU126" s="1056"/>
      <c r="PV126" s="1056"/>
      <c r="PW126" s="1056"/>
      <c r="PX126" s="1056"/>
      <c r="PY126" s="1056"/>
      <c r="PZ126" s="1056"/>
      <c r="QA126" s="1056"/>
      <c r="QB126" s="1056"/>
      <c r="QC126" s="1056"/>
      <c r="QD126" s="1056"/>
      <c r="QE126" s="1056"/>
      <c r="QF126" s="1056"/>
      <c r="QG126" s="1056"/>
      <c r="QH126" s="1056"/>
      <c r="QI126" s="1056"/>
      <c r="QJ126" s="1056"/>
      <c r="QK126" s="1056"/>
      <c r="QL126" s="1056"/>
      <c r="QM126" s="1056"/>
      <c r="QN126" s="1056"/>
      <c r="QO126" s="1056"/>
      <c r="QP126" s="1056"/>
      <c r="QQ126" s="1056"/>
      <c r="QR126" s="1056"/>
      <c r="QS126" s="1056"/>
      <c r="QT126" s="1056"/>
      <c r="QU126" s="1056"/>
      <c r="QV126" s="1056"/>
      <c r="QW126" s="1056"/>
      <c r="QX126" s="1056"/>
      <c r="QY126" s="1056"/>
      <c r="QZ126" s="1056"/>
      <c r="RA126" s="1056"/>
      <c r="RB126" s="1056"/>
      <c r="RC126" s="1056"/>
      <c r="RD126" s="1056"/>
      <c r="RE126" s="1056"/>
      <c r="RF126" s="1056"/>
      <c r="RG126" s="1056"/>
      <c r="RH126" s="1056"/>
      <c r="RI126" s="1056"/>
      <c r="RJ126" s="1056"/>
      <c r="RK126" s="1056"/>
      <c r="RL126" s="1056"/>
      <c r="RM126" s="1056"/>
      <c r="RN126" s="1056"/>
      <c r="RO126" s="1056"/>
      <c r="RP126" s="1056"/>
      <c r="RQ126" s="1056"/>
      <c r="RR126" s="1056"/>
      <c r="RS126" s="1056"/>
      <c r="RT126" s="1056"/>
      <c r="RU126" s="1056"/>
      <c r="RV126" s="1056"/>
      <c r="RW126" s="1056"/>
      <c r="RX126" s="1056"/>
      <c r="RY126" s="1056"/>
      <c r="RZ126" s="1056"/>
      <c r="SA126" s="1056"/>
      <c r="SB126" s="1056"/>
      <c r="SC126" s="1056"/>
      <c r="SD126" s="1056"/>
      <c r="SE126" s="1056"/>
      <c r="SF126" s="1056"/>
      <c r="SG126" s="1056"/>
      <c r="SH126" s="1056"/>
      <c r="SI126" s="1056"/>
      <c r="SJ126" s="1056"/>
      <c r="SK126" s="1056"/>
      <c r="SL126" s="1056"/>
      <c r="SM126" s="1056"/>
      <c r="SN126" s="1056"/>
      <c r="SO126" s="1056"/>
      <c r="SP126" s="1056"/>
      <c r="SQ126" s="1056"/>
      <c r="SR126" s="1056"/>
      <c r="SS126" s="1056"/>
      <c r="ST126" s="1056"/>
      <c r="SU126" s="1056"/>
      <c r="SV126" s="1056"/>
      <c r="SW126" s="1056"/>
      <c r="SX126" s="1056"/>
      <c r="SY126" s="1056"/>
      <c r="SZ126" s="1056"/>
      <c r="TA126" s="1056"/>
      <c r="TB126" s="1056"/>
      <c r="TC126" s="1056"/>
      <c r="TD126" s="1056"/>
      <c r="TE126" s="1056"/>
      <c r="TF126" s="1056"/>
      <c r="TG126" s="1056"/>
      <c r="TH126" s="1056"/>
      <c r="TI126" s="1056"/>
      <c r="TJ126" s="1056"/>
      <c r="TK126" s="1056"/>
      <c r="TL126" s="1056"/>
      <c r="TM126" s="1056"/>
      <c r="TN126" s="1056"/>
      <c r="TO126" s="1056"/>
      <c r="TP126" s="1056"/>
      <c r="TQ126" s="1056"/>
      <c r="TR126" s="1056"/>
      <c r="TS126" s="1056"/>
      <c r="TT126" s="1056"/>
      <c r="TU126" s="1056"/>
      <c r="TV126" s="1056"/>
      <c r="TW126" s="1056"/>
      <c r="TX126" s="1056"/>
      <c r="TY126" s="1056"/>
      <c r="TZ126" s="1056"/>
      <c r="UA126" s="1056"/>
      <c r="UB126" s="1056"/>
      <c r="UC126" s="1056"/>
      <c r="UD126" s="1056"/>
      <c r="UE126" s="1056"/>
      <c r="UF126" s="1056"/>
      <c r="UG126" s="1056"/>
      <c r="UH126" s="1056"/>
      <c r="UI126" s="1056"/>
      <c r="UJ126" s="1056"/>
      <c r="UK126" s="1056"/>
      <c r="UL126" s="1056"/>
      <c r="UM126" s="1056"/>
      <c r="UN126" s="1056"/>
      <c r="UO126" s="1056"/>
      <c r="UP126" s="1056"/>
      <c r="UQ126" s="1056"/>
      <c r="UR126" s="1056"/>
      <c r="US126" s="1056"/>
      <c r="UT126" s="1056"/>
      <c r="UU126" s="1056"/>
      <c r="UV126" s="1056"/>
      <c r="UW126" s="1056"/>
      <c r="UX126" s="1056"/>
      <c r="UY126" s="1056"/>
      <c r="UZ126" s="1056"/>
      <c r="VA126" s="1056"/>
      <c r="VB126" s="1056"/>
      <c r="VC126" s="1056"/>
      <c r="VD126" s="1056"/>
      <c r="VE126" s="1056"/>
      <c r="VF126" s="1056"/>
      <c r="VG126" s="1056"/>
      <c r="VH126" s="1056"/>
      <c r="VI126" s="1056"/>
      <c r="VJ126" s="1056"/>
      <c r="VK126" s="1056"/>
      <c r="VL126" s="1056"/>
      <c r="VM126" s="1056"/>
      <c r="VN126" s="1056"/>
      <c r="VO126" s="1056"/>
      <c r="VP126" s="1056"/>
      <c r="VQ126" s="1056"/>
      <c r="VR126" s="1056"/>
      <c r="VS126" s="1056"/>
      <c r="VT126" s="1056"/>
      <c r="VU126" s="1056"/>
      <c r="VV126" s="1056"/>
      <c r="VW126" s="1056"/>
      <c r="VX126" s="1056"/>
      <c r="VY126" s="1056"/>
      <c r="VZ126" s="1056"/>
      <c r="WA126" s="1056"/>
      <c r="WB126" s="1056"/>
      <c r="WC126" s="1056"/>
      <c r="WD126" s="1056"/>
      <c r="WE126" s="1056"/>
      <c r="WF126" s="1056"/>
      <c r="WG126" s="1056"/>
      <c r="WH126" s="1056"/>
      <c r="WI126" s="1056"/>
      <c r="WJ126" s="1056"/>
      <c r="WK126" s="1056"/>
      <c r="WL126" s="1056"/>
      <c r="WM126" s="1056"/>
      <c r="WN126" s="1056"/>
      <c r="WO126" s="1056"/>
      <c r="WP126" s="1056"/>
      <c r="WQ126" s="1056"/>
      <c r="WR126" s="1056"/>
      <c r="WS126" s="1056"/>
      <c r="WT126" s="1056"/>
      <c r="WU126" s="1056"/>
      <c r="WV126" s="1056"/>
      <c r="WW126" s="1056"/>
      <c r="WX126" s="1056"/>
      <c r="WY126" s="1056"/>
      <c r="WZ126" s="1056"/>
      <c r="XA126" s="1056"/>
      <c r="XB126" s="1056"/>
      <c r="XC126" s="1056"/>
      <c r="XD126" s="1056"/>
      <c r="XE126" s="1056"/>
      <c r="XF126" s="1056"/>
      <c r="XG126" s="1056"/>
      <c r="XH126" s="1056"/>
      <c r="XI126" s="1056"/>
      <c r="XJ126" s="1056"/>
      <c r="XK126" s="1056"/>
      <c r="XL126" s="1056"/>
      <c r="XM126" s="1056"/>
      <c r="XN126" s="1056"/>
      <c r="XO126" s="1056"/>
      <c r="XP126" s="1056"/>
      <c r="XQ126" s="1056"/>
      <c r="XR126" s="1056"/>
      <c r="XS126" s="1056"/>
      <c r="XT126" s="1056"/>
      <c r="XU126" s="1056"/>
      <c r="XV126" s="1056"/>
      <c r="XW126" s="1056"/>
      <c r="XX126" s="1056"/>
      <c r="XY126" s="1056"/>
      <c r="XZ126" s="1056"/>
      <c r="YA126" s="1056"/>
      <c r="YB126" s="1056"/>
      <c r="YC126" s="1056"/>
      <c r="YD126" s="1056"/>
      <c r="YE126" s="1056"/>
      <c r="YF126" s="1056"/>
      <c r="YG126" s="1056"/>
      <c r="YH126" s="1056"/>
      <c r="YI126" s="1056"/>
      <c r="YJ126" s="1056"/>
      <c r="YK126" s="1056"/>
      <c r="YL126" s="1056"/>
      <c r="YM126" s="1056"/>
      <c r="YN126" s="1056"/>
      <c r="YO126" s="1056"/>
      <c r="YP126" s="1056"/>
      <c r="YQ126" s="1056"/>
      <c r="YR126" s="1056"/>
      <c r="YS126" s="1056"/>
      <c r="YT126" s="1056"/>
      <c r="YU126" s="1056"/>
      <c r="YV126" s="1056"/>
      <c r="YW126" s="1056"/>
      <c r="YX126" s="1056"/>
      <c r="YY126" s="1056"/>
      <c r="YZ126" s="1056"/>
      <c r="ZA126" s="1056"/>
      <c r="ZB126" s="1056"/>
      <c r="ZC126" s="1056"/>
      <c r="ZD126" s="1056"/>
      <c r="ZE126" s="1056"/>
      <c r="ZF126" s="1056"/>
      <c r="ZG126" s="1056"/>
      <c r="ZH126" s="1056"/>
      <c r="ZI126" s="1056"/>
      <c r="ZJ126" s="1056"/>
      <c r="ZK126" s="1056"/>
      <c r="ZL126" s="1056"/>
      <c r="ZM126" s="1056"/>
      <c r="ZN126" s="1056"/>
      <c r="ZO126" s="1056"/>
      <c r="ZP126" s="1056"/>
      <c r="ZQ126" s="1056"/>
      <c r="ZR126" s="1056"/>
      <c r="ZS126" s="1056"/>
      <c r="ZT126" s="1056"/>
      <c r="ZU126" s="1056"/>
      <c r="ZV126" s="1056"/>
      <c r="ZW126" s="1056"/>
      <c r="ZX126" s="1056"/>
      <c r="ZY126" s="1056"/>
      <c r="ZZ126" s="1056"/>
      <c r="AAA126" s="1056"/>
      <c r="AAB126" s="1056"/>
      <c r="AAC126" s="1056"/>
      <c r="AAD126" s="1056"/>
      <c r="AAE126" s="1056"/>
      <c r="AAF126" s="1056"/>
      <c r="AAG126" s="1056"/>
      <c r="AAH126" s="1056"/>
      <c r="AAI126" s="1056"/>
      <c r="AAJ126" s="1056"/>
      <c r="AAK126" s="1056"/>
      <c r="AAL126" s="1056"/>
      <c r="AAM126" s="1056"/>
      <c r="AAN126" s="1056"/>
      <c r="AAO126" s="1056"/>
      <c r="AAP126" s="1056"/>
      <c r="AAQ126" s="1056"/>
      <c r="AAR126" s="1056"/>
      <c r="AAS126" s="1056"/>
      <c r="AAT126" s="1056"/>
      <c r="AAU126" s="1056"/>
      <c r="AAV126" s="1056"/>
      <c r="AAW126" s="1056"/>
      <c r="AAX126" s="1056"/>
      <c r="AAY126" s="1056"/>
      <c r="AAZ126" s="1056"/>
      <c r="ABA126" s="1056"/>
      <c r="ABB126" s="1056"/>
      <c r="ABC126" s="1056"/>
      <c r="ABD126" s="1056"/>
      <c r="ABE126" s="1056"/>
      <c r="ABF126" s="1056"/>
      <c r="ABG126" s="1056"/>
      <c r="ABH126" s="1056"/>
      <c r="ABI126" s="1056"/>
      <c r="ABJ126" s="1056"/>
      <c r="ABK126" s="1056"/>
      <c r="ABL126" s="1056"/>
      <c r="ABM126" s="1056"/>
      <c r="ABN126" s="1056"/>
      <c r="ABO126" s="1056"/>
      <c r="ABP126" s="1056"/>
      <c r="ABQ126" s="1056"/>
      <c r="ABR126" s="1056"/>
      <c r="ABS126" s="1056"/>
      <c r="ABT126" s="1056"/>
      <c r="ABU126" s="1056"/>
      <c r="ABV126" s="1056"/>
      <c r="ABW126" s="1056"/>
      <c r="ABX126" s="1056"/>
      <c r="ABY126" s="1056"/>
      <c r="ABZ126" s="1056"/>
      <c r="ACA126" s="1056"/>
      <c r="ACB126" s="1056"/>
      <c r="ACC126" s="1056"/>
      <c r="ACD126" s="1056"/>
      <c r="ACE126" s="1056"/>
      <c r="ACF126" s="1056"/>
      <c r="ACG126" s="1056"/>
      <c r="ACH126" s="1056"/>
      <c r="ACI126" s="1056"/>
      <c r="ACJ126" s="1056"/>
      <c r="ACK126" s="1056"/>
      <c r="ACL126" s="1056"/>
      <c r="ACM126" s="1056"/>
      <c r="ACN126" s="1056"/>
      <c r="ACO126" s="1056"/>
      <c r="ACP126" s="1056"/>
      <c r="ACQ126" s="1056"/>
      <c r="ACR126" s="1056"/>
      <c r="ACS126" s="1056"/>
      <c r="ACT126" s="1056"/>
      <c r="ACU126" s="1056"/>
      <c r="ACV126" s="1056"/>
      <c r="ACW126" s="1056"/>
      <c r="ACX126" s="1056"/>
      <c r="ACY126" s="1056"/>
      <c r="ACZ126" s="1056"/>
      <c r="ADA126" s="1056"/>
      <c r="ADB126" s="1056"/>
      <c r="ADC126" s="1056"/>
      <c r="ADD126" s="1056"/>
      <c r="ADE126" s="1056"/>
      <c r="ADF126" s="1056"/>
      <c r="ADG126" s="1056"/>
      <c r="ADH126" s="1056"/>
      <c r="ADI126" s="1056"/>
      <c r="ADJ126" s="1056"/>
      <c r="ADK126" s="1056"/>
      <c r="ADL126" s="1056"/>
      <c r="ADM126" s="1056"/>
      <c r="ADN126" s="1056"/>
      <c r="ADO126" s="1056"/>
      <c r="ADP126" s="1056"/>
      <c r="ADQ126" s="1056"/>
      <c r="ADR126" s="1056"/>
      <c r="ADS126" s="1056"/>
      <c r="ADT126" s="1056"/>
      <c r="ADU126" s="1056"/>
      <c r="ADV126" s="1056"/>
      <c r="ADW126" s="1056"/>
      <c r="ADX126" s="1056"/>
      <c r="ADY126" s="1056"/>
      <c r="ADZ126" s="1056"/>
      <c r="AEA126" s="1056"/>
      <c r="AEB126" s="1056"/>
      <c r="AEC126" s="1056"/>
      <c r="AED126" s="1056"/>
      <c r="AEE126" s="1056"/>
      <c r="AEF126" s="1056"/>
      <c r="AEG126" s="1056"/>
      <c r="AEH126" s="1056"/>
      <c r="AEI126" s="1056"/>
      <c r="AEJ126" s="1056"/>
      <c r="AEK126" s="1056"/>
      <c r="AEL126" s="1056"/>
      <c r="AEM126" s="1056"/>
      <c r="AEN126" s="1056"/>
      <c r="AEO126" s="1056"/>
      <c r="AEP126" s="1056"/>
      <c r="AEQ126" s="1056"/>
      <c r="AER126" s="1056"/>
      <c r="AES126" s="1056"/>
      <c r="AET126" s="1056"/>
      <c r="AEU126" s="1056"/>
      <c r="AEV126" s="1056"/>
      <c r="AEW126" s="1056"/>
      <c r="AEX126" s="1056"/>
      <c r="AEY126" s="1056"/>
      <c r="AEZ126" s="1056"/>
      <c r="AFA126" s="1056"/>
      <c r="AFB126" s="1056"/>
      <c r="AFC126" s="1056"/>
      <c r="AFD126" s="1056"/>
      <c r="AFE126" s="1056"/>
      <c r="AFF126" s="1056"/>
      <c r="AFG126" s="1056"/>
      <c r="AFH126" s="1056"/>
      <c r="AFI126" s="1056"/>
      <c r="AFJ126" s="1056"/>
      <c r="AFK126" s="1056"/>
      <c r="AFL126" s="1056"/>
      <c r="AFM126" s="1056"/>
      <c r="AFN126" s="1056"/>
      <c r="AFO126" s="1056"/>
      <c r="AFP126" s="1056"/>
      <c r="AFQ126" s="1056"/>
      <c r="AFR126" s="1056"/>
      <c r="AFS126" s="1056"/>
      <c r="AFT126" s="1056"/>
      <c r="AFU126" s="1056"/>
      <c r="AFV126" s="1056"/>
      <c r="AFW126" s="1056"/>
      <c r="AFX126" s="1056"/>
      <c r="AFY126" s="1056"/>
      <c r="AFZ126" s="1056"/>
      <c r="AGA126" s="1056"/>
      <c r="AGB126" s="1056"/>
      <c r="AGC126" s="1056"/>
      <c r="AGD126" s="1056"/>
      <c r="AGE126" s="1056"/>
      <c r="AGF126" s="1056"/>
      <c r="AGG126" s="1056"/>
      <c r="AGH126" s="1056"/>
      <c r="AGI126" s="1056"/>
      <c r="AGJ126" s="1056"/>
      <c r="AGK126" s="1056"/>
      <c r="AGL126" s="1056"/>
      <c r="AGM126" s="1056"/>
      <c r="AGN126" s="1056"/>
      <c r="AGO126" s="1056"/>
      <c r="AGP126" s="1056"/>
      <c r="AGQ126" s="1056"/>
      <c r="AGR126" s="1056"/>
      <c r="AGS126" s="1056"/>
      <c r="AGT126" s="1056"/>
      <c r="AGU126" s="1056"/>
      <c r="AGV126" s="1056"/>
      <c r="AGW126" s="1056"/>
      <c r="AGX126" s="1056"/>
      <c r="AGY126" s="1056"/>
      <c r="AGZ126" s="1056"/>
      <c r="AHA126" s="1056"/>
      <c r="AHB126" s="1056"/>
      <c r="AHC126" s="1056"/>
      <c r="AHD126" s="1056"/>
      <c r="AHE126" s="1056"/>
      <c r="AHF126" s="1056"/>
      <c r="AHG126" s="1056"/>
      <c r="AHH126" s="1056"/>
      <c r="AHI126" s="1056"/>
      <c r="AHJ126" s="1056"/>
      <c r="AHK126" s="1056"/>
      <c r="AHL126" s="1056"/>
      <c r="AHM126" s="1056"/>
      <c r="AHN126" s="1056"/>
      <c r="AHO126" s="1056"/>
      <c r="AHP126" s="1056"/>
      <c r="AHQ126" s="1056"/>
      <c r="AHR126" s="1056"/>
      <c r="AHS126" s="1056"/>
      <c r="AHT126" s="1056"/>
      <c r="AHU126" s="1056"/>
      <c r="AHV126" s="1056"/>
      <c r="AHW126" s="1056"/>
      <c r="AHX126" s="1056"/>
      <c r="AHY126" s="1056"/>
      <c r="AHZ126" s="1056"/>
      <c r="AIA126" s="1056"/>
      <c r="AIB126" s="1056"/>
      <c r="AIC126" s="1056"/>
      <c r="AID126" s="1056"/>
      <c r="AIE126" s="1056"/>
      <c r="AIF126" s="1056"/>
      <c r="AIG126" s="1056"/>
      <c r="AIH126" s="1056"/>
      <c r="AII126" s="1056"/>
      <c r="AIJ126" s="1056"/>
      <c r="AIK126" s="1056"/>
      <c r="AIL126" s="1056"/>
      <c r="AIM126" s="1056"/>
      <c r="AIN126" s="1056"/>
      <c r="AIO126" s="1056"/>
      <c r="AIP126" s="1056"/>
      <c r="AIQ126" s="1056"/>
      <c r="AIR126" s="1056"/>
      <c r="AIS126" s="1056"/>
      <c r="AIT126" s="1056"/>
      <c r="AIU126" s="1056"/>
      <c r="AIV126" s="1056"/>
      <c r="AIW126" s="1056"/>
      <c r="AIX126" s="1056"/>
      <c r="AIY126" s="1056"/>
      <c r="AIZ126" s="1056"/>
      <c r="AJA126" s="1056"/>
      <c r="AJB126" s="1056"/>
      <c r="AJC126" s="1056"/>
      <c r="AJD126" s="1056"/>
      <c r="AJE126" s="1056"/>
      <c r="AJF126" s="1056"/>
      <c r="AJG126" s="1056"/>
      <c r="AJH126" s="1056"/>
      <c r="AJI126" s="1056"/>
      <c r="AJJ126" s="1056"/>
      <c r="AJK126" s="1056"/>
      <c r="AJL126" s="1056"/>
      <c r="AJM126" s="1056"/>
      <c r="AJN126" s="1056"/>
      <c r="AJO126" s="1056"/>
      <c r="AJP126" s="1056"/>
      <c r="AJQ126" s="1056"/>
      <c r="AJR126" s="1056"/>
      <c r="AJS126" s="1056"/>
      <c r="AJT126" s="1056"/>
      <c r="AJU126" s="1056"/>
      <c r="AJV126" s="1056"/>
      <c r="AJW126" s="1056"/>
      <c r="AJX126" s="1056"/>
      <c r="AJY126" s="1056"/>
      <c r="AJZ126" s="1056"/>
      <c r="AKA126" s="1056"/>
      <c r="AKB126" s="1056"/>
      <c r="AKC126" s="1056"/>
      <c r="AKD126" s="1056"/>
      <c r="AKE126" s="1056"/>
      <c r="AKF126" s="1056"/>
      <c r="AKG126" s="1056"/>
      <c r="AKH126" s="1056"/>
      <c r="AKI126" s="1056"/>
      <c r="AKJ126" s="1056"/>
      <c r="AKK126" s="1056"/>
      <c r="AKL126" s="1056"/>
      <c r="AKM126" s="1056"/>
      <c r="AKN126" s="1056"/>
      <c r="AKO126" s="1056"/>
      <c r="AKP126" s="1056"/>
      <c r="AKQ126" s="1056"/>
      <c r="AKR126" s="1056"/>
      <c r="AKS126" s="1056"/>
      <c r="AKT126" s="1056"/>
      <c r="AKU126" s="1056"/>
      <c r="AKV126" s="1056"/>
      <c r="AKW126" s="1056"/>
      <c r="AKX126" s="1056"/>
      <c r="AKY126" s="1056"/>
      <c r="AKZ126" s="1056"/>
      <c r="ALA126" s="1056"/>
      <c r="ALB126" s="1056"/>
      <c r="ALC126" s="1056"/>
      <c r="ALD126" s="1056"/>
      <c r="ALE126" s="1056"/>
      <c r="ALF126" s="1056"/>
      <c r="ALG126" s="1056"/>
      <c r="ALH126" s="1056"/>
      <c r="ALI126" s="1056"/>
      <c r="ALJ126" s="1056"/>
      <c r="ALK126" s="1056"/>
      <c r="ALL126" s="1056"/>
      <c r="ALM126" s="1056"/>
      <c r="ALN126" s="1056"/>
      <c r="ALO126" s="1056"/>
      <c r="ALP126" s="1056"/>
      <c r="ALQ126" s="1056"/>
      <c r="ALR126" s="1056"/>
      <c r="ALS126" s="1056"/>
      <c r="ALT126" s="1056"/>
      <c r="ALU126" s="1056"/>
      <c r="ALV126" s="1056"/>
      <c r="ALW126" s="1056"/>
      <c r="ALX126" s="1056"/>
      <c r="ALY126" s="1056"/>
      <c r="ALZ126" s="1056"/>
      <c r="AMA126" s="1056"/>
      <c r="AMB126" s="1056"/>
      <c r="AMC126" s="1056"/>
      <c r="AMD126" s="1056"/>
      <c r="AME126" s="1056"/>
      <c r="AMF126" s="1056"/>
      <c r="AMG126" s="1056"/>
      <c r="AMH126" s="1056"/>
      <c r="AMI126" s="1056"/>
      <c r="AMJ126" s="1056"/>
      <c r="AMK126" s="1056"/>
      <c r="AML126" s="1056"/>
      <c r="AMM126" s="1056"/>
      <c r="AMN126" s="1056"/>
      <c r="AMO126" s="1056"/>
      <c r="AMP126" s="1056"/>
      <c r="AMQ126" s="1056"/>
      <c r="AMR126" s="1056"/>
      <c r="AMS126" s="1056"/>
      <c r="AMT126" s="1056"/>
      <c r="AMU126" s="1056"/>
      <c r="AMV126" s="1056"/>
      <c r="AMW126" s="1056"/>
      <c r="AMX126" s="1056"/>
      <c r="AMY126" s="1056"/>
      <c r="AMZ126" s="1056"/>
      <c r="ANA126" s="1056"/>
      <c r="ANB126" s="1056"/>
      <c r="ANC126" s="1056"/>
      <c r="AND126" s="1056"/>
      <c r="ANE126" s="1056"/>
      <c r="ANF126" s="1056"/>
      <c r="ANG126" s="1056"/>
      <c r="ANH126" s="1056"/>
      <c r="ANI126" s="1056"/>
      <c r="ANJ126" s="1056"/>
      <c r="ANK126" s="1056"/>
      <c r="ANL126" s="1056"/>
      <c r="ANM126" s="1056"/>
      <c r="ANN126" s="1056"/>
      <c r="ANO126" s="1056"/>
      <c r="ANP126" s="1056"/>
      <c r="ANQ126" s="1056"/>
      <c r="ANR126" s="1056"/>
      <c r="ANS126" s="1056"/>
      <c r="ANT126" s="1056"/>
      <c r="ANU126" s="1056"/>
      <c r="ANV126" s="1056"/>
      <c r="ANW126" s="1056"/>
      <c r="ANX126" s="1056"/>
      <c r="ANY126" s="1056"/>
      <c r="ANZ126" s="1056"/>
      <c r="AOA126" s="1056"/>
      <c r="AOB126" s="1056"/>
      <c r="AOC126" s="1056"/>
      <c r="AOD126" s="1056"/>
      <c r="AOE126" s="1056"/>
      <c r="AOF126" s="1056"/>
      <c r="AOG126" s="1056"/>
      <c r="AOH126" s="1056"/>
      <c r="AOI126" s="1056"/>
      <c r="AOJ126" s="1056"/>
      <c r="AOK126" s="1056"/>
      <c r="AOL126" s="1056"/>
      <c r="AOM126" s="1056"/>
      <c r="AON126" s="1056"/>
      <c r="AOO126" s="1056"/>
      <c r="AOP126" s="1056"/>
      <c r="AOQ126" s="1056"/>
      <c r="AOR126" s="1056"/>
      <c r="AOS126" s="1056"/>
      <c r="AOT126" s="1056"/>
      <c r="AOU126" s="1056"/>
      <c r="AOV126" s="1056"/>
      <c r="AOW126" s="1056"/>
      <c r="AOX126" s="1056"/>
      <c r="AOY126" s="1056"/>
      <c r="AOZ126" s="1056"/>
      <c r="APA126" s="1056"/>
      <c r="APB126" s="1056"/>
      <c r="APC126" s="1056"/>
      <c r="APD126" s="1056"/>
      <c r="APE126" s="1056"/>
      <c r="APF126" s="1056"/>
      <c r="APG126" s="1056"/>
      <c r="APH126" s="1056"/>
      <c r="API126" s="1056"/>
      <c r="APJ126" s="1056"/>
      <c r="APK126" s="1056"/>
      <c r="APL126" s="1056"/>
      <c r="APM126" s="1056"/>
      <c r="APN126" s="1056"/>
      <c r="APO126" s="1056"/>
      <c r="APP126" s="1056"/>
      <c r="APQ126" s="1056"/>
      <c r="APR126" s="1056"/>
      <c r="APS126" s="1056"/>
      <c r="APT126" s="1056"/>
      <c r="APU126" s="1056"/>
      <c r="APV126" s="1056"/>
      <c r="APW126" s="1056"/>
      <c r="APX126" s="1056"/>
      <c r="APY126" s="1056"/>
      <c r="APZ126" s="1056"/>
      <c r="AQA126" s="1056"/>
      <c r="AQB126" s="1056"/>
      <c r="AQC126" s="1056"/>
      <c r="AQD126" s="1056"/>
      <c r="AQE126" s="1056"/>
      <c r="AQF126" s="1056"/>
      <c r="AQG126" s="1056"/>
      <c r="AQH126" s="1056"/>
      <c r="AQI126" s="1056"/>
      <c r="AQJ126" s="1056"/>
      <c r="AQK126" s="1056"/>
      <c r="AQL126" s="1056"/>
      <c r="AQM126" s="1056"/>
      <c r="AQN126" s="1056"/>
      <c r="AQO126" s="1056"/>
      <c r="AQP126" s="1056"/>
      <c r="AQQ126" s="1056"/>
      <c r="AQR126" s="1056"/>
      <c r="AQS126" s="1056"/>
      <c r="AQT126" s="1056"/>
      <c r="AQU126" s="1056"/>
      <c r="AQV126" s="1056"/>
      <c r="AQW126" s="1056"/>
      <c r="AQX126" s="1056"/>
      <c r="AQY126" s="1056"/>
      <c r="AQZ126" s="1056"/>
      <c r="ARA126" s="1056"/>
      <c r="ARB126" s="1056"/>
      <c r="ARC126" s="1056"/>
      <c r="ARD126" s="1056"/>
      <c r="ARE126" s="1056"/>
      <c r="ARF126" s="1056"/>
      <c r="ARG126" s="1056"/>
      <c r="ARH126" s="1056"/>
      <c r="ARI126" s="1056"/>
      <c r="ARJ126" s="1056"/>
      <c r="ARK126" s="1056"/>
      <c r="ARL126" s="1056"/>
      <c r="ARM126" s="1056"/>
      <c r="ARN126" s="1056"/>
      <c r="ARO126" s="1056"/>
      <c r="ARP126" s="1056"/>
      <c r="ARQ126" s="1056"/>
      <c r="ARR126" s="1056"/>
      <c r="ARS126" s="1056"/>
      <c r="ART126" s="1056"/>
      <c r="ARU126" s="1056"/>
      <c r="ARV126" s="1056"/>
      <c r="ARW126" s="1056"/>
      <c r="ARX126" s="1056"/>
      <c r="ARY126" s="1056"/>
      <c r="ARZ126" s="1056"/>
      <c r="ASA126" s="1056"/>
      <c r="ASB126" s="1056"/>
      <c r="ASC126" s="1056"/>
      <c r="ASD126" s="1056"/>
      <c r="ASE126" s="1056"/>
      <c r="ASF126" s="1056"/>
      <c r="ASG126" s="1056"/>
      <c r="ASH126" s="1056"/>
      <c r="ASI126" s="1056"/>
      <c r="ASJ126" s="1056"/>
      <c r="ASK126" s="1056"/>
      <c r="ASL126" s="1056"/>
      <c r="ASM126" s="1056"/>
      <c r="ASN126" s="1056"/>
      <c r="ASO126" s="1056"/>
      <c r="ASP126" s="1056"/>
      <c r="ASQ126" s="1056"/>
      <c r="ASR126" s="1056"/>
      <c r="ASS126" s="1056"/>
      <c r="AST126" s="1056"/>
      <c r="ASU126" s="1056"/>
      <c r="ASV126" s="1056"/>
      <c r="ASW126" s="1056"/>
      <c r="ASX126" s="1056"/>
      <c r="ASY126" s="1056"/>
      <c r="ASZ126" s="1056"/>
      <c r="ATA126" s="1056"/>
      <c r="ATB126" s="1056"/>
      <c r="ATC126" s="1056"/>
      <c r="ATD126" s="1056"/>
      <c r="ATE126" s="1056"/>
      <c r="ATF126" s="1056"/>
      <c r="ATG126" s="1056"/>
      <c r="ATH126" s="1056"/>
      <c r="ATI126" s="1056"/>
      <c r="ATJ126" s="1056"/>
      <c r="ATK126" s="1056"/>
      <c r="ATL126" s="1056"/>
      <c r="ATM126" s="1056"/>
      <c r="ATN126" s="1056"/>
      <c r="ATO126" s="1056"/>
      <c r="ATP126" s="1056"/>
      <c r="ATQ126" s="1056"/>
      <c r="ATR126" s="1056"/>
      <c r="ATS126" s="1056"/>
      <c r="ATT126" s="1056"/>
      <c r="ATU126" s="1056"/>
      <c r="ATV126" s="1056"/>
      <c r="ATW126" s="1056"/>
      <c r="ATX126" s="1056"/>
      <c r="ATY126" s="1056"/>
      <c r="ATZ126" s="1056"/>
      <c r="AUA126" s="1056"/>
      <c r="AUB126" s="1056"/>
      <c r="AUC126" s="1056"/>
      <c r="AUD126" s="1056"/>
      <c r="AUE126" s="1056"/>
      <c r="AUF126" s="1056"/>
      <c r="AUG126" s="1056"/>
      <c r="AUH126" s="1056"/>
      <c r="AUI126" s="1056"/>
      <c r="AUJ126" s="1056"/>
      <c r="AUK126" s="1056"/>
      <c r="AUL126" s="1056"/>
      <c r="AUM126" s="1056"/>
      <c r="AUN126" s="1056"/>
      <c r="AUO126" s="1056"/>
      <c r="AUP126" s="1056"/>
      <c r="AUQ126" s="1056"/>
      <c r="AUR126" s="1056"/>
      <c r="AUS126" s="1056"/>
      <c r="AUT126" s="1056"/>
      <c r="AUU126" s="1056"/>
      <c r="AUV126" s="1056"/>
      <c r="AUW126" s="1056"/>
      <c r="AUX126" s="1056"/>
      <c r="AUY126" s="1056"/>
      <c r="AUZ126" s="1056"/>
      <c r="AVA126" s="1056"/>
      <c r="AVB126" s="1056"/>
      <c r="AVC126" s="1056"/>
      <c r="AVD126" s="1056"/>
      <c r="AVE126" s="1056"/>
      <c r="AVF126" s="1056"/>
      <c r="AVG126" s="1056"/>
      <c r="AVH126" s="1056"/>
      <c r="AVI126" s="1056"/>
      <c r="AVJ126" s="1056"/>
      <c r="AVK126" s="1056"/>
      <c r="AVL126" s="1056"/>
      <c r="AVM126" s="1056"/>
      <c r="AVN126" s="1056"/>
      <c r="AVO126" s="1056"/>
      <c r="AVP126" s="1056"/>
      <c r="AVQ126" s="1056"/>
      <c r="AVR126" s="1056"/>
      <c r="AVS126" s="1056"/>
      <c r="AVT126" s="1056"/>
      <c r="AVU126" s="1056"/>
      <c r="AVV126" s="1056"/>
      <c r="AVW126" s="1056"/>
      <c r="AVX126" s="1056"/>
      <c r="AVY126" s="1056"/>
      <c r="AVZ126" s="1056"/>
      <c r="AWA126" s="1056"/>
      <c r="AWB126" s="1056"/>
      <c r="AWC126" s="1056"/>
      <c r="AWD126" s="1056"/>
      <c r="AWE126" s="1056"/>
      <c r="AWF126" s="1056"/>
      <c r="AWG126" s="1056"/>
      <c r="AWH126" s="1056"/>
      <c r="AWI126" s="1056"/>
      <c r="AWJ126" s="1056"/>
      <c r="AWK126" s="1056"/>
      <c r="AWL126" s="1056"/>
      <c r="AWM126" s="1056"/>
      <c r="AWN126" s="1056"/>
      <c r="AWO126" s="1056"/>
      <c r="AWP126" s="1056"/>
      <c r="AWQ126" s="1056"/>
      <c r="AWR126" s="1056"/>
      <c r="AWS126" s="1056"/>
      <c r="AWT126" s="1056"/>
      <c r="AWU126" s="1056"/>
      <c r="AWV126" s="1056"/>
      <c r="AWW126" s="1056"/>
      <c r="AWX126" s="1056"/>
      <c r="AWY126" s="1056"/>
      <c r="AWZ126" s="1056"/>
      <c r="AXA126" s="1056"/>
      <c r="AXB126" s="1056"/>
      <c r="AXC126" s="1056"/>
      <c r="AXD126" s="1056"/>
      <c r="AXE126" s="1056"/>
      <c r="AXF126" s="1056"/>
      <c r="AXG126" s="1056"/>
      <c r="AXH126" s="1056"/>
      <c r="AXI126" s="1056"/>
      <c r="AXJ126" s="1056"/>
      <c r="AXK126" s="1056"/>
      <c r="AXL126" s="1056"/>
      <c r="AXM126" s="1056"/>
      <c r="AXN126" s="1056"/>
      <c r="AXO126" s="1056"/>
      <c r="AXP126" s="1056"/>
      <c r="AXQ126" s="1056"/>
      <c r="AXR126" s="1056"/>
      <c r="AXS126" s="1056"/>
      <c r="AXT126" s="1056"/>
      <c r="AXU126" s="1056"/>
      <c r="AXV126" s="1056"/>
      <c r="AXW126" s="1056"/>
      <c r="AXX126" s="1056"/>
      <c r="AXY126" s="1056"/>
      <c r="AXZ126" s="1056"/>
      <c r="AYA126" s="1056"/>
      <c r="AYB126" s="1056"/>
      <c r="AYC126" s="1056"/>
      <c r="AYD126" s="1056"/>
      <c r="AYE126" s="1056"/>
      <c r="AYF126" s="1056"/>
      <c r="AYG126" s="1056"/>
      <c r="AYH126" s="1056"/>
      <c r="AYI126" s="1056"/>
      <c r="AYJ126" s="1056"/>
      <c r="AYK126" s="1056"/>
      <c r="AYL126" s="1056"/>
      <c r="AYM126" s="1056"/>
      <c r="AYN126" s="1056"/>
      <c r="AYO126" s="1056"/>
      <c r="AYP126" s="1056"/>
      <c r="AYQ126" s="1056"/>
      <c r="AYR126" s="1056"/>
      <c r="AYS126" s="1056"/>
      <c r="AYT126" s="1056"/>
      <c r="AYU126" s="1056"/>
      <c r="AYV126" s="1056"/>
      <c r="AYW126" s="1056"/>
      <c r="AYX126" s="1056"/>
      <c r="AYY126" s="1056"/>
      <c r="AYZ126" s="1056"/>
      <c r="AZA126" s="1056"/>
      <c r="AZB126" s="1056"/>
      <c r="AZC126" s="1056"/>
      <c r="AZD126" s="1056"/>
      <c r="AZE126" s="1056"/>
      <c r="AZF126" s="1056"/>
      <c r="AZG126" s="1056"/>
      <c r="AZH126" s="1056"/>
      <c r="AZI126" s="1056"/>
      <c r="AZJ126" s="1056"/>
      <c r="AZK126" s="1056"/>
      <c r="AZL126" s="1056"/>
      <c r="AZM126" s="1056"/>
      <c r="AZN126" s="1056"/>
      <c r="AZO126" s="1056"/>
      <c r="AZP126" s="1056"/>
      <c r="AZQ126" s="1056"/>
      <c r="AZR126" s="1056"/>
      <c r="AZS126" s="1056"/>
      <c r="AZT126" s="1056"/>
      <c r="AZU126" s="1056"/>
      <c r="AZV126" s="1056"/>
      <c r="AZW126" s="1056"/>
      <c r="AZX126" s="1056"/>
      <c r="AZY126" s="1056"/>
      <c r="AZZ126" s="1056"/>
      <c r="BAA126" s="1056"/>
      <c r="BAB126" s="1056"/>
      <c r="BAC126" s="1056"/>
      <c r="BAD126" s="1056"/>
      <c r="BAE126" s="1056"/>
      <c r="BAF126" s="1056"/>
      <c r="BAG126" s="1056"/>
      <c r="BAH126" s="1056"/>
      <c r="BAI126" s="1056"/>
      <c r="BAJ126" s="1056"/>
      <c r="BAK126" s="1056"/>
      <c r="BAL126" s="1056"/>
      <c r="BAM126" s="1056"/>
      <c r="BAN126" s="1056"/>
      <c r="BAO126" s="1056"/>
      <c r="BAP126" s="1056"/>
      <c r="BAQ126" s="1056"/>
      <c r="BAR126" s="1056"/>
      <c r="BAS126" s="1056"/>
      <c r="BAT126" s="1056"/>
      <c r="BAU126" s="1056"/>
      <c r="BAV126" s="1056"/>
      <c r="BAW126" s="1056"/>
      <c r="BAX126" s="1056"/>
      <c r="BAY126" s="1056"/>
      <c r="BAZ126" s="1056"/>
      <c r="BBA126" s="1056"/>
      <c r="BBB126" s="1056"/>
      <c r="BBC126" s="1056"/>
      <c r="BBD126" s="1056"/>
      <c r="BBE126" s="1056"/>
      <c r="BBF126" s="1056"/>
      <c r="BBG126" s="1056"/>
      <c r="BBH126" s="1056"/>
      <c r="BBI126" s="1056"/>
      <c r="BBJ126" s="1056"/>
      <c r="BBK126" s="1056"/>
      <c r="BBL126" s="1056"/>
      <c r="BBM126" s="1056"/>
      <c r="BBN126" s="1056"/>
      <c r="BBO126" s="1056"/>
      <c r="BBP126" s="1056"/>
      <c r="BBQ126" s="1056"/>
      <c r="BBR126" s="1056"/>
      <c r="BBS126" s="1056"/>
      <c r="BBT126" s="1056"/>
      <c r="BBU126" s="1056"/>
      <c r="BBV126" s="1056"/>
      <c r="BBW126" s="1056"/>
      <c r="BBX126" s="1056"/>
      <c r="BBY126" s="1056"/>
      <c r="BBZ126" s="1056"/>
      <c r="BCA126" s="1056"/>
      <c r="BCB126" s="1056"/>
      <c r="BCC126" s="1056"/>
      <c r="BCD126" s="1056"/>
      <c r="BCE126" s="1056"/>
      <c r="BCF126" s="1056"/>
      <c r="BCG126" s="1056"/>
      <c r="BCH126" s="1056"/>
      <c r="BCI126" s="1056"/>
      <c r="BCJ126" s="1056"/>
      <c r="BCK126" s="1056"/>
      <c r="BCL126" s="1056"/>
      <c r="BCM126" s="1056"/>
      <c r="BCN126" s="1056"/>
      <c r="BCO126" s="1056"/>
      <c r="BCP126" s="1056"/>
      <c r="BCQ126" s="1056"/>
      <c r="BCR126" s="1056"/>
      <c r="BCS126" s="1056"/>
      <c r="BCT126" s="1056"/>
      <c r="BCU126" s="1056"/>
      <c r="BCV126" s="1056"/>
      <c r="BCW126" s="1056"/>
      <c r="BCX126" s="1056"/>
      <c r="BCY126" s="1056"/>
      <c r="BCZ126" s="1056"/>
      <c r="BDA126" s="1056"/>
      <c r="BDB126" s="1056"/>
      <c r="BDC126" s="1056"/>
      <c r="BDD126" s="1056"/>
      <c r="BDE126" s="1056"/>
      <c r="BDF126" s="1056"/>
      <c r="BDG126" s="1056"/>
      <c r="BDH126" s="1056"/>
      <c r="BDI126" s="1056"/>
      <c r="BDJ126" s="1056"/>
      <c r="BDK126" s="1056"/>
      <c r="BDL126" s="1056"/>
      <c r="BDM126" s="1056"/>
      <c r="BDN126" s="1056"/>
      <c r="BDO126" s="1056"/>
      <c r="BDP126" s="1056"/>
      <c r="BDQ126" s="1056"/>
      <c r="BDR126" s="1056"/>
      <c r="BDS126" s="1056"/>
      <c r="BDT126" s="1056"/>
      <c r="BDU126" s="1056"/>
      <c r="BDV126" s="1056"/>
      <c r="BDW126" s="1056"/>
      <c r="BDX126" s="1056"/>
      <c r="BDY126" s="1056"/>
      <c r="BDZ126" s="1056"/>
      <c r="BEA126" s="1056"/>
      <c r="BEB126" s="1056"/>
      <c r="BEC126" s="1056"/>
      <c r="BED126" s="1056"/>
      <c r="BEE126" s="1056"/>
      <c r="BEF126" s="1056"/>
      <c r="BEG126" s="1056"/>
      <c r="BEH126" s="1056"/>
      <c r="BEI126" s="1056"/>
      <c r="BEJ126" s="1056"/>
      <c r="BEK126" s="1056"/>
      <c r="BEL126" s="1056"/>
      <c r="BEM126" s="1056"/>
      <c r="BEN126" s="1056"/>
      <c r="BEO126" s="1056"/>
      <c r="BEP126" s="1056"/>
      <c r="BEQ126" s="1056"/>
      <c r="BER126" s="1056"/>
      <c r="BES126" s="1056"/>
      <c r="BET126" s="1056"/>
      <c r="BEU126" s="1056"/>
      <c r="BEV126" s="1056"/>
      <c r="BEW126" s="1056"/>
      <c r="BEX126" s="1056"/>
      <c r="BEY126" s="1056"/>
      <c r="BEZ126" s="1056"/>
      <c r="BFA126" s="1056"/>
      <c r="BFB126" s="1056"/>
      <c r="BFC126" s="1056"/>
      <c r="BFD126" s="1056"/>
      <c r="BFE126" s="1056"/>
      <c r="BFF126" s="1056"/>
      <c r="BFG126" s="1056"/>
      <c r="BFH126" s="1056"/>
      <c r="BFI126" s="1056"/>
      <c r="BFJ126" s="1056"/>
      <c r="BFK126" s="1056"/>
      <c r="BFL126" s="1056"/>
      <c r="BFM126" s="1056"/>
      <c r="BFN126" s="1056"/>
      <c r="BFO126" s="1056"/>
      <c r="BFP126" s="1056"/>
      <c r="BFQ126" s="1056"/>
      <c r="BFR126" s="1056"/>
      <c r="BFS126" s="1056"/>
      <c r="BFT126" s="1056"/>
      <c r="BFU126" s="1056"/>
      <c r="BFV126" s="1056"/>
      <c r="BFW126" s="1056"/>
      <c r="BFX126" s="1056"/>
      <c r="BFY126" s="1056"/>
      <c r="BFZ126" s="1056"/>
      <c r="BGA126" s="1056"/>
      <c r="BGB126" s="1056"/>
      <c r="BGC126" s="1056"/>
      <c r="BGD126" s="1056"/>
      <c r="BGE126" s="1056"/>
      <c r="BGF126" s="1056"/>
      <c r="BGG126" s="1056"/>
      <c r="BGH126" s="1056"/>
      <c r="BGI126" s="1056"/>
      <c r="BGJ126" s="1056"/>
      <c r="BGK126" s="1056"/>
      <c r="BGL126" s="1056"/>
      <c r="BGM126" s="1056"/>
      <c r="BGN126" s="1056"/>
      <c r="BGO126" s="1056"/>
      <c r="BGP126" s="1056"/>
      <c r="BGQ126" s="1056"/>
      <c r="BGR126" s="1056"/>
      <c r="BGS126" s="1056"/>
      <c r="BGT126" s="1056"/>
      <c r="BGU126" s="1056"/>
      <c r="BGV126" s="1056"/>
      <c r="BGW126" s="1056"/>
      <c r="BGX126" s="1056"/>
      <c r="BGY126" s="1056"/>
      <c r="BGZ126" s="1056"/>
      <c r="BHA126" s="1056"/>
      <c r="BHB126" s="1056"/>
      <c r="BHC126" s="1056"/>
      <c r="BHD126" s="1056"/>
      <c r="BHE126" s="1056"/>
      <c r="BHF126" s="1056"/>
      <c r="BHG126" s="1056"/>
      <c r="BHH126" s="1056"/>
      <c r="BHI126" s="1056"/>
      <c r="BHJ126" s="1056"/>
      <c r="BHK126" s="1056"/>
      <c r="BHL126" s="1056"/>
      <c r="BHM126" s="1056"/>
      <c r="BHN126" s="1056"/>
      <c r="BHO126" s="1056"/>
      <c r="BHP126" s="1056"/>
      <c r="BHQ126" s="1056"/>
      <c r="BHR126" s="1056"/>
      <c r="BHS126" s="1056"/>
      <c r="BHT126" s="1056"/>
      <c r="BHU126" s="1056"/>
      <c r="BHV126" s="1056"/>
      <c r="BHW126" s="1056"/>
      <c r="BHX126" s="1056"/>
      <c r="BHY126" s="1056"/>
      <c r="BHZ126" s="1056"/>
      <c r="BIA126" s="1056"/>
      <c r="BIB126" s="1056"/>
      <c r="BIC126" s="1056"/>
      <c r="BID126" s="1056"/>
      <c r="BIE126" s="1056"/>
      <c r="BIF126" s="1056"/>
      <c r="BIG126" s="1056"/>
      <c r="BIH126" s="1056"/>
      <c r="BII126" s="1056"/>
      <c r="BIJ126" s="1056"/>
      <c r="BIK126" s="1056"/>
      <c r="BIL126" s="1056"/>
      <c r="BIM126" s="1056"/>
      <c r="BIN126" s="1056"/>
      <c r="BIO126" s="1056"/>
      <c r="BIP126" s="1056"/>
      <c r="BIQ126" s="1056"/>
      <c r="BIR126" s="1056"/>
      <c r="BIS126" s="1056"/>
      <c r="BIT126" s="1056"/>
      <c r="BIU126" s="1056"/>
      <c r="BIV126" s="1056"/>
      <c r="BIW126" s="1056"/>
      <c r="BIX126" s="1056"/>
      <c r="BIY126" s="1056"/>
      <c r="BIZ126" s="1056"/>
      <c r="BJA126" s="1056"/>
      <c r="BJB126" s="1056"/>
      <c r="BJC126" s="1056"/>
      <c r="BJD126" s="1056"/>
      <c r="BJE126" s="1056"/>
      <c r="BJF126" s="1056"/>
      <c r="BJG126" s="1056"/>
      <c r="BJH126" s="1056"/>
      <c r="BJI126" s="1056"/>
      <c r="BJJ126" s="1056"/>
      <c r="BJK126" s="1056"/>
      <c r="BJL126" s="1056"/>
      <c r="BJM126" s="1056"/>
      <c r="BJN126" s="1056"/>
      <c r="BJO126" s="1056"/>
      <c r="BJP126" s="1056"/>
      <c r="BJQ126" s="1056"/>
      <c r="BJR126" s="1056"/>
      <c r="BJS126" s="1056"/>
      <c r="BJT126" s="1056"/>
      <c r="BJU126" s="1056"/>
      <c r="BJV126" s="1056"/>
      <c r="BJW126" s="1056"/>
      <c r="BJX126" s="1056"/>
      <c r="BJY126" s="1056"/>
      <c r="BJZ126" s="1056"/>
      <c r="BKA126" s="1056"/>
      <c r="BKB126" s="1056"/>
      <c r="BKC126" s="1056"/>
      <c r="BKD126" s="1056"/>
      <c r="BKE126" s="1056"/>
      <c r="BKF126" s="1056"/>
      <c r="BKG126" s="1056"/>
      <c r="BKH126" s="1056"/>
      <c r="BKI126" s="1056"/>
      <c r="BKJ126" s="1056"/>
      <c r="BKK126" s="1056"/>
      <c r="BKL126" s="1056"/>
      <c r="BKM126" s="1056"/>
      <c r="BKN126" s="1056"/>
      <c r="BKO126" s="1056"/>
      <c r="BKP126" s="1056"/>
      <c r="BKQ126" s="1056"/>
      <c r="BKR126" s="1056"/>
      <c r="BKS126" s="1056"/>
      <c r="BKT126" s="1056"/>
      <c r="BKU126" s="1056"/>
      <c r="BKV126" s="1056"/>
      <c r="BKW126" s="1056"/>
      <c r="BKX126" s="1056"/>
      <c r="BKY126" s="1056"/>
      <c r="BKZ126" s="1056"/>
      <c r="BLA126" s="1056"/>
      <c r="BLB126" s="1056"/>
      <c r="BLC126" s="1056"/>
      <c r="BLD126" s="1056"/>
      <c r="BLE126" s="1056"/>
      <c r="BLF126" s="1056"/>
      <c r="BLG126" s="1056"/>
      <c r="BLH126" s="1056"/>
      <c r="BLI126" s="1056"/>
      <c r="BLJ126" s="1056"/>
      <c r="BLK126" s="1056"/>
      <c r="BLL126" s="1056"/>
      <c r="BLM126" s="1056"/>
      <c r="BLN126" s="1056"/>
      <c r="BLO126" s="1056"/>
      <c r="BLP126" s="1056"/>
      <c r="BLQ126" s="1056"/>
      <c r="BLR126" s="1056"/>
      <c r="BLS126" s="1056"/>
      <c r="BLT126" s="1056"/>
      <c r="BLU126" s="1056"/>
      <c r="BLV126" s="1056"/>
      <c r="BLW126" s="1056"/>
      <c r="BLX126" s="1056"/>
      <c r="BLY126" s="1056"/>
      <c r="BLZ126" s="1056"/>
      <c r="BMA126" s="1056"/>
      <c r="BMB126" s="1056"/>
      <c r="BMC126" s="1056"/>
      <c r="BMD126" s="1056"/>
      <c r="BME126" s="1056"/>
      <c r="BMF126" s="1056"/>
      <c r="BMG126" s="1056"/>
      <c r="BMH126" s="1056"/>
      <c r="BMI126" s="1056"/>
      <c r="BMJ126" s="1056"/>
      <c r="BMK126" s="1056"/>
      <c r="BML126" s="1056"/>
      <c r="BMM126" s="1056"/>
      <c r="BMN126" s="1056"/>
      <c r="BMO126" s="1056"/>
      <c r="BMP126" s="1056"/>
      <c r="BMQ126" s="1056"/>
      <c r="BMR126" s="1056"/>
      <c r="BMS126" s="1056"/>
      <c r="BMT126" s="1056"/>
      <c r="BMU126" s="1056"/>
      <c r="BMV126" s="1056"/>
      <c r="BMW126" s="1056"/>
      <c r="BMX126" s="1056"/>
      <c r="BMY126" s="1056"/>
      <c r="BMZ126" s="1056"/>
      <c r="BNA126" s="1056"/>
      <c r="BNB126" s="1056"/>
      <c r="BNC126" s="1056"/>
      <c r="BND126" s="1056"/>
      <c r="BNE126" s="1056"/>
      <c r="BNF126" s="1056"/>
      <c r="BNG126" s="1056"/>
      <c r="BNH126" s="1056"/>
      <c r="BNI126" s="1056"/>
      <c r="BNJ126" s="1056"/>
      <c r="BNK126" s="1056"/>
      <c r="BNL126" s="1056"/>
      <c r="BNM126" s="1056"/>
      <c r="BNN126" s="1056"/>
      <c r="BNO126" s="1056"/>
      <c r="BNP126" s="1056"/>
      <c r="BNQ126" s="1056"/>
      <c r="BNR126" s="1056"/>
      <c r="BNS126" s="1056"/>
      <c r="BNT126" s="1056"/>
      <c r="BNU126" s="1056"/>
      <c r="BNV126" s="1056"/>
      <c r="BNW126" s="1056"/>
      <c r="BNX126" s="1056"/>
      <c r="BNY126" s="1056"/>
      <c r="BNZ126" s="1056"/>
      <c r="BOA126" s="1056"/>
      <c r="BOB126" s="1056"/>
      <c r="BOC126" s="1056"/>
      <c r="BOD126" s="1056"/>
      <c r="BOE126" s="1056"/>
      <c r="BOF126" s="1056"/>
      <c r="BOG126" s="1056"/>
      <c r="BOH126" s="1056"/>
      <c r="BOI126" s="1056"/>
      <c r="BOJ126" s="1056"/>
      <c r="BOK126" s="1056"/>
      <c r="BOL126" s="1056"/>
      <c r="BOM126" s="1056"/>
      <c r="BON126" s="1056"/>
      <c r="BOO126" s="1056"/>
      <c r="BOP126" s="1056"/>
      <c r="BOQ126" s="1056"/>
      <c r="BOR126" s="1056"/>
      <c r="BOS126" s="1056"/>
      <c r="BOT126" s="1056"/>
      <c r="BOU126" s="1056"/>
      <c r="BOV126" s="1056"/>
      <c r="BOW126" s="1056"/>
      <c r="BOX126" s="1056"/>
      <c r="BOY126" s="1056"/>
      <c r="BOZ126" s="1056"/>
      <c r="BPA126" s="1056"/>
      <c r="BPB126" s="1056"/>
      <c r="BPC126" s="1056"/>
      <c r="BPD126" s="1056"/>
      <c r="BPE126" s="1056"/>
      <c r="BPF126" s="1056"/>
      <c r="BPG126" s="1056"/>
      <c r="BPH126" s="1056"/>
      <c r="BPI126" s="1056"/>
      <c r="BPJ126" s="1056"/>
      <c r="BPK126" s="1056"/>
      <c r="BPL126" s="1056"/>
      <c r="BPM126" s="1056"/>
      <c r="BPN126" s="1056"/>
      <c r="BPO126" s="1056"/>
      <c r="BPP126" s="1056"/>
      <c r="BPQ126" s="1056"/>
      <c r="BPR126" s="1056"/>
      <c r="BPS126" s="1056"/>
      <c r="BPT126" s="1056"/>
      <c r="BPU126" s="1056"/>
      <c r="BPV126" s="1056"/>
      <c r="BPW126" s="1056"/>
      <c r="BPX126" s="1056"/>
      <c r="BPY126" s="1056"/>
      <c r="BPZ126" s="1056"/>
      <c r="BQA126" s="1056"/>
      <c r="BQB126" s="1056"/>
      <c r="BQC126" s="1056"/>
      <c r="BQD126" s="1056"/>
      <c r="BQE126" s="1056"/>
      <c r="BQF126" s="1056"/>
      <c r="BQG126" s="1056"/>
      <c r="BQH126" s="1056"/>
      <c r="BQI126" s="1056"/>
      <c r="BQJ126" s="1056"/>
      <c r="BQK126" s="1056"/>
      <c r="BQL126" s="1056"/>
      <c r="BQM126" s="1056"/>
      <c r="BQN126" s="1056"/>
      <c r="BQO126" s="1056"/>
      <c r="BQP126" s="1056"/>
      <c r="BQQ126" s="1056"/>
      <c r="BQR126" s="1056"/>
      <c r="BQS126" s="1056"/>
      <c r="BQT126" s="1056"/>
      <c r="BQU126" s="1056"/>
      <c r="BQV126" s="1056"/>
      <c r="BQW126" s="1056"/>
      <c r="BQX126" s="1056"/>
      <c r="BQY126" s="1056"/>
      <c r="BQZ126" s="1056"/>
      <c r="BRA126" s="1056"/>
      <c r="BRB126" s="1056"/>
      <c r="BRC126" s="1056"/>
      <c r="BRD126" s="1056"/>
      <c r="BRE126" s="1056"/>
      <c r="BRF126" s="1056"/>
      <c r="BRG126" s="1056"/>
      <c r="BRH126" s="1056"/>
      <c r="BRI126" s="1056"/>
      <c r="BRJ126" s="1056"/>
      <c r="BRK126" s="1056"/>
      <c r="BRL126" s="1056"/>
      <c r="BRM126" s="1056"/>
      <c r="BRN126" s="1056"/>
      <c r="BRO126" s="1056"/>
      <c r="BRP126" s="1056"/>
      <c r="BRQ126" s="1056"/>
      <c r="BRR126" s="1056"/>
      <c r="BRS126" s="1056"/>
      <c r="BRT126" s="1056"/>
      <c r="BRU126" s="1056"/>
      <c r="BRV126" s="1056"/>
      <c r="BRW126" s="1056"/>
      <c r="BRX126" s="1056"/>
      <c r="BRY126" s="1056"/>
      <c r="BRZ126" s="1056"/>
      <c r="BSA126" s="1056"/>
      <c r="BSB126" s="1056"/>
      <c r="BSC126" s="1056"/>
      <c r="BSD126" s="1056"/>
      <c r="BSE126" s="1056"/>
      <c r="BSF126" s="1056"/>
      <c r="BSG126" s="1056"/>
      <c r="BSH126" s="1056"/>
      <c r="BSI126" s="1056"/>
      <c r="BSJ126" s="1056"/>
      <c r="BSK126" s="1056"/>
      <c r="BSL126" s="1056"/>
      <c r="BSM126" s="1056"/>
      <c r="BSN126" s="1056"/>
      <c r="BSO126" s="1056"/>
      <c r="BSP126" s="1056"/>
      <c r="BSQ126" s="1056"/>
      <c r="BSR126" s="1056"/>
      <c r="BSS126" s="1056"/>
      <c r="BST126" s="1056"/>
      <c r="BSU126" s="1056"/>
      <c r="BSV126" s="1056"/>
      <c r="BSW126" s="1056"/>
      <c r="BSX126" s="1056"/>
      <c r="BSY126" s="1056"/>
      <c r="BSZ126" s="1056"/>
      <c r="BTA126" s="1056"/>
      <c r="BTB126" s="1056"/>
      <c r="BTC126" s="1056"/>
      <c r="BTD126" s="1056"/>
      <c r="BTE126" s="1056"/>
      <c r="BTF126" s="1056"/>
      <c r="BTG126" s="1056"/>
      <c r="BTH126" s="1056"/>
      <c r="BTI126" s="1056"/>
    </row>
    <row r="127" spans="1:1881" s="1060" customFormat="1" ht="70.5" hidden="1" customHeight="1" thickBot="1" x14ac:dyDescent="0.35">
      <c r="A127" s="1071">
        <v>39</v>
      </c>
      <c r="B127" s="1069" t="s">
        <v>409</v>
      </c>
      <c r="C127" s="808" t="s">
        <v>1039</v>
      </c>
      <c r="D127" s="746" t="s">
        <v>1041</v>
      </c>
      <c r="E127" s="1053" t="e">
        <f>HLOOKUP($D$2,'2020 Data(H)'!$C$1:$AI$426,27,FALSE)</f>
        <v>#N/A</v>
      </c>
      <c r="F127" s="287">
        <v>0</v>
      </c>
      <c r="G127" s="722"/>
      <c r="H127" s="764"/>
      <c r="I127" s="1055"/>
      <c r="J127" s="1068"/>
      <c r="K127" s="1056"/>
      <c r="L127" s="1057"/>
      <c r="M127" s="1056"/>
      <c r="N127" s="1058"/>
      <c r="O127" s="1056"/>
      <c r="P127" s="1056"/>
      <c r="Q127" s="1056"/>
      <c r="R127" s="1056"/>
      <c r="S127" s="1056"/>
      <c r="T127" s="1056"/>
      <c r="U127" s="1056"/>
      <c r="V127" s="1056"/>
      <c r="W127" s="1056"/>
      <c r="X127" s="1056"/>
      <c r="Y127" s="1056"/>
      <c r="Z127" s="1073"/>
      <c r="AA127" s="1073"/>
      <c r="AB127" s="1073"/>
      <c r="AC127" s="1073"/>
      <c r="AD127" s="1073"/>
      <c r="AE127" s="1073"/>
      <c r="AF127" s="1073"/>
      <c r="AG127" s="1073"/>
      <c r="AH127" s="1073"/>
      <c r="AI127" s="1073"/>
      <c r="AJ127" s="1073"/>
      <c r="AK127" s="1073"/>
      <c r="AL127" s="1073"/>
      <c r="AM127" s="1073"/>
      <c r="AN127" s="1073"/>
      <c r="AO127" s="1073"/>
      <c r="AP127" s="1073"/>
      <c r="AQ127" s="1073"/>
      <c r="AR127" s="1073"/>
      <c r="AS127" s="1056"/>
      <c r="AT127" s="1056"/>
      <c r="AU127" s="1056"/>
      <c r="AV127" s="1056"/>
      <c r="AW127" s="1056"/>
      <c r="AX127" s="1056"/>
      <c r="AY127" s="1056"/>
      <c r="AZ127" s="1056"/>
      <c r="BA127" s="1056"/>
      <c r="BB127" s="1056"/>
      <c r="BC127" s="1056"/>
      <c r="BD127" s="1056"/>
      <c r="BE127" s="1056"/>
      <c r="BF127" s="1056"/>
      <c r="BG127" s="1056"/>
      <c r="BH127" s="1056"/>
      <c r="BI127" s="1056"/>
      <c r="BJ127" s="1056"/>
      <c r="BK127" s="1056"/>
      <c r="BL127" s="1056"/>
      <c r="BM127" s="1056"/>
      <c r="BN127" s="1056"/>
      <c r="BO127" s="1056"/>
      <c r="BP127" s="1056"/>
      <c r="BQ127" s="1056"/>
      <c r="BR127" s="1056"/>
      <c r="BS127" s="1056"/>
      <c r="BT127" s="1056"/>
      <c r="BU127" s="1056"/>
      <c r="BV127" s="1056"/>
      <c r="BW127" s="1056"/>
      <c r="BX127" s="1056"/>
      <c r="BY127" s="1056"/>
      <c r="BZ127" s="1056"/>
      <c r="CA127" s="1056"/>
      <c r="CB127" s="1056"/>
      <c r="CC127" s="1056"/>
      <c r="CD127" s="1056"/>
      <c r="CE127" s="1056"/>
      <c r="CF127" s="1056"/>
      <c r="CG127" s="1056"/>
      <c r="CH127" s="1056"/>
      <c r="CI127" s="1056"/>
      <c r="CJ127" s="1056"/>
      <c r="CK127" s="1056"/>
      <c r="CL127" s="1056"/>
      <c r="CM127" s="1056"/>
      <c r="CN127" s="1056"/>
      <c r="CO127" s="1056"/>
      <c r="CP127" s="1056"/>
      <c r="CQ127" s="1056"/>
      <c r="CR127" s="1056"/>
      <c r="CS127" s="1056"/>
      <c r="CT127" s="1056"/>
      <c r="CU127" s="1056"/>
      <c r="CV127" s="1056"/>
      <c r="CW127" s="1056"/>
      <c r="CX127" s="1056"/>
      <c r="CY127" s="1056"/>
      <c r="CZ127" s="1056"/>
      <c r="DA127" s="1056"/>
      <c r="DB127" s="1056"/>
      <c r="DC127" s="1056"/>
      <c r="DD127" s="1056"/>
      <c r="DE127" s="1056"/>
      <c r="DF127" s="1056"/>
      <c r="DG127" s="1056"/>
      <c r="DH127" s="1056"/>
      <c r="DI127" s="1056"/>
      <c r="DJ127" s="1056"/>
      <c r="DK127" s="1056"/>
      <c r="DL127" s="1056"/>
      <c r="DM127" s="1056"/>
      <c r="DN127" s="1056"/>
      <c r="DO127" s="1056"/>
      <c r="DP127" s="1056"/>
      <c r="DQ127" s="1056"/>
      <c r="DR127" s="1056"/>
      <c r="DS127" s="1056"/>
      <c r="DT127" s="1056"/>
      <c r="DU127" s="1056"/>
      <c r="DV127" s="1056"/>
      <c r="DW127" s="1056"/>
      <c r="DX127" s="1056"/>
      <c r="DY127" s="1056"/>
      <c r="DZ127" s="1056"/>
      <c r="EA127" s="1056"/>
      <c r="EB127" s="1056"/>
      <c r="EC127" s="1056"/>
      <c r="ED127" s="1056"/>
      <c r="EE127" s="1056"/>
      <c r="EF127" s="1056"/>
      <c r="EG127" s="1056"/>
      <c r="EH127" s="1056"/>
      <c r="EI127" s="1056"/>
      <c r="EJ127" s="1056"/>
      <c r="EK127" s="1056"/>
      <c r="EL127" s="1056"/>
      <c r="EM127" s="1056"/>
      <c r="EN127" s="1056"/>
      <c r="EO127" s="1056"/>
      <c r="EP127" s="1056"/>
      <c r="EQ127" s="1056"/>
      <c r="ER127" s="1056"/>
      <c r="ES127" s="1056"/>
      <c r="ET127" s="1056"/>
      <c r="EU127" s="1056"/>
      <c r="EV127" s="1056"/>
      <c r="EW127" s="1056"/>
      <c r="EX127" s="1056"/>
      <c r="EY127" s="1056"/>
      <c r="EZ127" s="1056"/>
      <c r="FA127" s="1056"/>
      <c r="FB127" s="1056"/>
      <c r="FC127" s="1056"/>
      <c r="FD127" s="1056"/>
      <c r="FE127" s="1056"/>
      <c r="FF127" s="1056"/>
      <c r="FG127" s="1056"/>
      <c r="FH127" s="1056"/>
      <c r="FI127" s="1056"/>
      <c r="FJ127" s="1056"/>
      <c r="FK127" s="1056"/>
      <c r="FL127" s="1056"/>
      <c r="FM127" s="1056"/>
      <c r="FN127" s="1056"/>
      <c r="FO127" s="1056"/>
      <c r="FP127" s="1056"/>
      <c r="FQ127" s="1056"/>
      <c r="FR127" s="1056"/>
      <c r="FS127" s="1056"/>
      <c r="FT127" s="1056"/>
      <c r="FU127" s="1056"/>
      <c r="FV127" s="1056"/>
      <c r="FW127" s="1056"/>
      <c r="FX127" s="1056"/>
      <c r="FY127" s="1056"/>
      <c r="FZ127" s="1056"/>
      <c r="GA127" s="1056"/>
      <c r="GB127" s="1056"/>
      <c r="GC127" s="1056"/>
      <c r="GD127" s="1056"/>
      <c r="GE127" s="1056"/>
      <c r="GF127" s="1056"/>
      <c r="GG127" s="1056"/>
      <c r="GH127" s="1056"/>
      <c r="GI127" s="1056"/>
      <c r="GJ127" s="1056"/>
      <c r="GK127" s="1056"/>
      <c r="GL127" s="1056"/>
      <c r="GM127" s="1056"/>
      <c r="GN127" s="1056"/>
      <c r="GO127" s="1056"/>
      <c r="GP127" s="1056"/>
      <c r="GQ127" s="1056"/>
      <c r="GR127" s="1056"/>
      <c r="GS127" s="1056"/>
      <c r="GT127" s="1056"/>
      <c r="GU127" s="1056"/>
      <c r="GV127" s="1056"/>
      <c r="GW127" s="1056"/>
      <c r="GX127" s="1056"/>
      <c r="GY127" s="1056"/>
      <c r="GZ127" s="1056"/>
      <c r="HA127" s="1056"/>
      <c r="HB127" s="1056"/>
      <c r="HC127" s="1056"/>
      <c r="HD127" s="1056"/>
      <c r="HE127" s="1056"/>
      <c r="HF127" s="1056"/>
      <c r="HG127" s="1056"/>
      <c r="HH127" s="1056"/>
      <c r="HI127" s="1056"/>
      <c r="HJ127" s="1056"/>
      <c r="HK127" s="1056"/>
      <c r="HL127" s="1056"/>
      <c r="HM127" s="1056"/>
      <c r="HN127" s="1056"/>
      <c r="HO127" s="1056"/>
      <c r="HP127" s="1056"/>
      <c r="HQ127" s="1056"/>
      <c r="HR127" s="1056"/>
      <c r="HS127" s="1056"/>
      <c r="HT127" s="1056"/>
      <c r="HU127" s="1056"/>
      <c r="HV127" s="1056"/>
      <c r="HW127" s="1056"/>
      <c r="HX127" s="1056"/>
      <c r="HY127" s="1056"/>
      <c r="HZ127" s="1056"/>
      <c r="IA127" s="1056"/>
      <c r="IB127" s="1056"/>
      <c r="IC127" s="1056"/>
      <c r="ID127" s="1056"/>
      <c r="IE127" s="1056"/>
      <c r="IF127" s="1056"/>
      <c r="IG127" s="1056"/>
      <c r="IH127" s="1056"/>
      <c r="II127" s="1056"/>
      <c r="IJ127" s="1056"/>
      <c r="IK127" s="1056"/>
      <c r="IL127" s="1056"/>
      <c r="IM127" s="1056"/>
      <c r="IN127" s="1056"/>
      <c r="IO127" s="1056"/>
      <c r="IP127" s="1056"/>
      <c r="IQ127" s="1056"/>
      <c r="IR127" s="1056"/>
      <c r="IS127" s="1056"/>
      <c r="IT127" s="1056"/>
      <c r="IU127" s="1056"/>
      <c r="IV127" s="1056"/>
      <c r="IW127" s="1056"/>
      <c r="IX127" s="1056"/>
      <c r="IY127" s="1056"/>
      <c r="IZ127" s="1056"/>
      <c r="JA127" s="1056"/>
      <c r="JB127" s="1056"/>
      <c r="JC127" s="1056"/>
      <c r="JD127" s="1056"/>
      <c r="JE127" s="1056"/>
      <c r="JF127" s="1056"/>
      <c r="JG127" s="1056"/>
      <c r="JH127" s="1056"/>
      <c r="JI127" s="1056"/>
      <c r="JJ127" s="1056"/>
      <c r="JK127" s="1056"/>
      <c r="JL127" s="1056"/>
      <c r="JM127" s="1056"/>
      <c r="JN127" s="1056"/>
      <c r="JO127" s="1056"/>
      <c r="JP127" s="1056"/>
      <c r="JQ127" s="1056"/>
      <c r="JR127" s="1056"/>
      <c r="JS127" s="1056"/>
      <c r="JT127" s="1056"/>
      <c r="JU127" s="1056"/>
      <c r="JV127" s="1056"/>
      <c r="JW127" s="1056"/>
      <c r="JX127" s="1056"/>
      <c r="JY127" s="1056"/>
      <c r="JZ127" s="1056"/>
      <c r="KA127" s="1056"/>
      <c r="KB127" s="1056"/>
      <c r="KC127" s="1056"/>
      <c r="KD127" s="1056"/>
      <c r="KE127" s="1056"/>
      <c r="KF127" s="1056"/>
      <c r="KG127" s="1056"/>
      <c r="KH127" s="1056"/>
      <c r="KI127" s="1056"/>
      <c r="KJ127" s="1056"/>
      <c r="KK127" s="1056"/>
      <c r="KL127" s="1056"/>
      <c r="KM127" s="1056"/>
      <c r="KN127" s="1056"/>
      <c r="KO127" s="1056"/>
      <c r="KP127" s="1056"/>
      <c r="KQ127" s="1056"/>
      <c r="KR127" s="1056"/>
      <c r="KS127" s="1056"/>
      <c r="KT127" s="1056"/>
      <c r="KU127" s="1056"/>
      <c r="KV127" s="1056"/>
      <c r="KW127" s="1056"/>
      <c r="KX127" s="1056"/>
      <c r="KY127" s="1056"/>
      <c r="KZ127" s="1056"/>
      <c r="LA127" s="1056"/>
      <c r="LB127" s="1056"/>
      <c r="LC127" s="1056"/>
      <c r="LD127" s="1056"/>
      <c r="LE127" s="1056"/>
      <c r="LF127" s="1056"/>
      <c r="LG127" s="1056"/>
      <c r="LH127" s="1056"/>
      <c r="LI127" s="1056"/>
      <c r="LJ127" s="1056"/>
      <c r="LK127" s="1056"/>
      <c r="LL127" s="1056"/>
      <c r="LM127" s="1056"/>
      <c r="LN127" s="1056"/>
      <c r="LO127" s="1056"/>
      <c r="LP127" s="1056"/>
      <c r="LQ127" s="1056"/>
      <c r="LR127" s="1056"/>
      <c r="LS127" s="1056"/>
      <c r="LT127" s="1056"/>
      <c r="LU127" s="1056"/>
      <c r="LV127" s="1056"/>
      <c r="LW127" s="1056"/>
      <c r="LX127" s="1056"/>
      <c r="LY127" s="1056"/>
      <c r="LZ127" s="1056"/>
      <c r="MA127" s="1056"/>
      <c r="MB127" s="1056"/>
      <c r="MC127" s="1056"/>
      <c r="MD127" s="1056"/>
      <c r="ME127" s="1056"/>
      <c r="MF127" s="1056"/>
      <c r="MG127" s="1056"/>
      <c r="MH127" s="1056"/>
      <c r="MI127" s="1056"/>
      <c r="MJ127" s="1056"/>
      <c r="MK127" s="1056"/>
      <c r="ML127" s="1056"/>
      <c r="MM127" s="1056"/>
      <c r="MN127" s="1056"/>
      <c r="MO127" s="1056"/>
      <c r="MP127" s="1056"/>
      <c r="MQ127" s="1056"/>
      <c r="MR127" s="1056"/>
      <c r="MS127" s="1056"/>
      <c r="MT127" s="1056"/>
      <c r="MU127" s="1056"/>
      <c r="MV127" s="1056"/>
      <c r="MW127" s="1056"/>
      <c r="MX127" s="1056"/>
      <c r="MY127" s="1056"/>
      <c r="MZ127" s="1056"/>
      <c r="NA127" s="1056"/>
      <c r="NB127" s="1056"/>
      <c r="NC127" s="1056"/>
      <c r="ND127" s="1056"/>
      <c r="NE127" s="1056"/>
      <c r="NF127" s="1056"/>
      <c r="NG127" s="1056"/>
      <c r="NH127" s="1056"/>
      <c r="NI127" s="1056"/>
      <c r="NJ127" s="1056"/>
      <c r="NK127" s="1056"/>
      <c r="NL127" s="1056"/>
      <c r="NM127" s="1056"/>
      <c r="NN127" s="1056"/>
      <c r="NO127" s="1056"/>
      <c r="NP127" s="1056"/>
      <c r="NQ127" s="1056"/>
      <c r="NR127" s="1056"/>
      <c r="NS127" s="1056"/>
      <c r="NT127" s="1056"/>
      <c r="NU127" s="1056"/>
      <c r="NV127" s="1056"/>
      <c r="NW127" s="1056"/>
      <c r="NX127" s="1056"/>
      <c r="NY127" s="1056"/>
      <c r="NZ127" s="1056"/>
      <c r="OA127" s="1056"/>
      <c r="OB127" s="1056"/>
      <c r="OC127" s="1056"/>
      <c r="OD127" s="1056"/>
      <c r="OE127" s="1056"/>
      <c r="OF127" s="1056"/>
      <c r="OG127" s="1056"/>
      <c r="OH127" s="1056"/>
      <c r="OI127" s="1056"/>
      <c r="OJ127" s="1056"/>
      <c r="OK127" s="1056"/>
      <c r="OL127" s="1056"/>
      <c r="OM127" s="1056"/>
      <c r="ON127" s="1056"/>
      <c r="OO127" s="1056"/>
      <c r="OP127" s="1056"/>
      <c r="OQ127" s="1056"/>
      <c r="OR127" s="1056"/>
      <c r="OS127" s="1056"/>
      <c r="OT127" s="1056"/>
      <c r="OU127" s="1056"/>
      <c r="OV127" s="1056"/>
      <c r="OW127" s="1056"/>
      <c r="OX127" s="1056"/>
      <c r="OY127" s="1056"/>
      <c r="OZ127" s="1056"/>
      <c r="PA127" s="1056"/>
      <c r="PB127" s="1056"/>
      <c r="PC127" s="1056"/>
      <c r="PD127" s="1056"/>
      <c r="PE127" s="1056"/>
      <c r="PF127" s="1056"/>
      <c r="PG127" s="1056"/>
      <c r="PH127" s="1056"/>
      <c r="PI127" s="1056"/>
      <c r="PJ127" s="1056"/>
      <c r="PK127" s="1056"/>
      <c r="PL127" s="1056"/>
      <c r="PM127" s="1056"/>
      <c r="PN127" s="1056"/>
      <c r="PO127" s="1056"/>
      <c r="PP127" s="1056"/>
      <c r="PQ127" s="1056"/>
      <c r="PR127" s="1056"/>
      <c r="PS127" s="1056"/>
      <c r="PT127" s="1056"/>
      <c r="PU127" s="1056"/>
      <c r="PV127" s="1056"/>
      <c r="PW127" s="1056"/>
      <c r="PX127" s="1056"/>
      <c r="PY127" s="1056"/>
      <c r="PZ127" s="1056"/>
      <c r="QA127" s="1056"/>
      <c r="QB127" s="1056"/>
      <c r="QC127" s="1056"/>
      <c r="QD127" s="1056"/>
      <c r="QE127" s="1056"/>
      <c r="QF127" s="1056"/>
      <c r="QG127" s="1056"/>
      <c r="QH127" s="1056"/>
      <c r="QI127" s="1056"/>
      <c r="QJ127" s="1056"/>
      <c r="QK127" s="1056"/>
      <c r="QL127" s="1056"/>
      <c r="QM127" s="1056"/>
      <c r="QN127" s="1056"/>
      <c r="QO127" s="1056"/>
      <c r="QP127" s="1056"/>
      <c r="QQ127" s="1056"/>
      <c r="QR127" s="1056"/>
      <c r="QS127" s="1056"/>
      <c r="QT127" s="1056"/>
      <c r="QU127" s="1056"/>
      <c r="QV127" s="1056"/>
      <c r="QW127" s="1056"/>
      <c r="QX127" s="1056"/>
      <c r="QY127" s="1056"/>
      <c r="QZ127" s="1056"/>
      <c r="RA127" s="1056"/>
      <c r="RB127" s="1056"/>
      <c r="RC127" s="1056"/>
      <c r="RD127" s="1056"/>
      <c r="RE127" s="1056"/>
      <c r="RF127" s="1056"/>
      <c r="RG127" s="1056"/>
      <c r="RH127" s="1056"/>
      <c r="RI127" s="1056"/>
      <c r="RJ127" s="1056"/>
      <c r="RK127" s="1056"/>
      <c r="RL127" s="1056"/>
      <c r="RM127" s="1056"/>
      <c r="RN127" s="1056"/>
      <c r="RO127" s="1056"/>
      <c r="RP127" s="1056"/>
      <c r="RQ127" s="1056"/>
      <c r="RR127" s="1056"/>
      <c r="RS127" s="1056"/>
      <c r="RT127" s="1056"/>
      <c r="RU127" s="1056"/>
      <c r="RV127" s="1056"/>
      <c r="RW127" s="1056"/>
      <c r="RX127" s="1056"/>
      <c r="RY127" s="1056"/>
      <c r="RZ127" s="1056"/>
      <c r="SA127" s="1056"/>
      <c r="SB127" s="1056"/>
      <c r="SC127" s="1056"/>
      <c r="SD127" s="1056"/>
      <c r="SE127" s="1056"/>
      <c r="SF127" s="1056"/>
      <c r="SG127" s="1056"/>
      <c r="SH127" s="1056"/>
      <c r="SI127" s="1056"/>
      <c r="SJ127" s="1056"/>
      <c r="SK127" s="1056"/>
      <c r="SL127" s="1056"/>
      <c r="SM127" s="1056"/>
      <c r="SN127" s="1056"/>
      <c r="SO127" s="1056"/>
      <c r="SP127" s="1056"/>
      <c r="SQ127" s="1056"/>
      <c r="SR127" s="1056"/>
      <c r="SS127" s="1056"/>
      <c r="ST127" s="1056"/>
      <c r="SU127" s="1056"/>
      <c r="SV127" s="1056"/>
      <c r="SW127" s="1056"/>
      <c r="SX127" s="1056"/>
      <c r="SY127" s="1056"/>
      <c r="SZ127" s="1056"/>
      <c r="TA127" s="1056"/>
      <c r="TB127" s="1056"/>
      <c r="TC127" s="1056"/>
      <c r="TD127" s="1056"/>
      <c r="TE127" s="1056"/>
      <c r="TF127" s="1056"/>
      <c r="TG127" s="1056"/>
      <c r="TH127" s="1056"/>
      <c r="TI127" s="1056"/>
      <c r="TJ127" s="1056"/>
      <c r="TK127" s="1056"/>
      <c r="TL127" s="1056"/>
      <c r="TM127" s="1056"/>
      <c r="TN127" s="1056"/>
      <c r="TO127" s="1056"/>
      <c r="TP127" s="1056"/>
      <c r="TQ127" s="1056"/>
      <c r="TR127" s="1056"/>
      <c r="TS127" s="1056"/>
      <c r="TT127" s="1056"/>
      <c r="TU127" s="1056"/>
      <c r="TV127" s="1056"/>
      <c r="TW127" s="1056"/>
      <c r="TX127" s="1056"/>
      <c r="TY127" s="1056"/>
      <c r="TZ127" s="1056"/>
      <c r="UA127" s="1056"/>
      <c r="UB127" s="1056"/>
      <c r="UC127" s="1056"/>
      <c r="UD127" s="1056"/>
      <c r="UE127" s="1056"/>
      <c r="UF127" s="1056"/>
      <c r="UG127" s="1056"/>
      <c r="UH127" s="1056"/>
      <c r="UI127" s="1056"/>
      <c r="UJ127" s="1056"/>
      <c r="UK127" s="1056"/>
      <c r="UL127" s="1056"/>
      <c r="UM127" s="1056"/>
      <c r="UN127" s="1056"/>
      <c r="UO127" s="1056"/>
      <c r="UP127" s="1056"/>
      <c r="UQ127" s="1056"/>
      <c r="UR127" s="1056"/>
      <c r="US127" s="1056"/>
      <c r="UT127" s="1056"/>
      <c r="UU127" s="1056"/>
      <c r="UV127" s="1056"/>
      <c r="UW127" s="1056"/>
      <c r="UX127" s="1056"/>
      <c r="UY127" s="1056"/>
      <c r="UZ127" s="1056"/>
      <c r="VA127" s="1056"/>
      <c r="VB127" s="1056"/>
      <c r="VC127" s="1056"/>
      <c r="VD127" s="1056"/>
      <c r="VE127" s="1056"/>
      <c r="VF127" s="1056"/>
      <c r="VG127" s="1056"/>
      <c r="VH127" s="1056"/>
      <c r="VI127" s="1056"/>
      <c r="VJ127" s="1056"/>
      <c r="VK127" s="1056"/>
      <c r="VL127" s="1056"/>
      <c r="VM127" s="1056"/>
      <c r="VN127" s="1056"/>
      <c r="VO127" s="1056"/>
      <c r="VP127" s="1056"/>
      <c r="VQ127" s="1056"/>
      <c r="VR127" s="1056"/>
      <c r="VS127" s="1056"/>
      <c r="VT127" s="1056"/>
      <c r="VU127" s="1056"/>
      <c r="VV127" s="1056"/>
      <c r="VW127" s="1056"/>
      <c r="VX127" s="1056"/>
      <c r="VY127" s="1056"/>
      <c r="VZ127" s="1056"/>
      <c r="WA127" s="1056"/>
      <c r="WB127" s="1056"/>
      <c r="WC127" s="1056"/>
      <c r="WD127" s="1056"/>
      <c r="WE127" s="1056"/>
      <c r="WF127" s="1056"/>
      <c r="WG127" s="1056"/>
      <c r="WH127" s="1056"/>
      <c r="WI127" s="1056"/>
      <c r="WJ127" s="1056"/>
      <c r="WK127" s="1056"/>
      <c r="WL127" s="1056"/>
      <c r="WM127" s="1056"/>
      <c r="WN127" s="1056"/>
      <c r="WO127" s="1056"/>
      <c r="WP127" s="1056"/>
      <c r="WQ127" s="1056"/>
      <c r="WR127" s="1056"/>
      <c r="WS127" s="1056"/>
      <c r="WT127" s="1056"/>
      <c r="WU127" s="1056"/>
      <c r="WV127" s="1056"/>
      <c r="WW127" s="1056"/>
      <c r="WX127" s="1056"/>
      <c r="WY127" s="1056"/>
      <c r="WZ127" s="1056"/>
      <c r="XA127" s="1056"/>
      <c r="XB127" s="1056"/>
      <c r="XC127" s="1056"/>
      <c r="XD127" s="1056"/>
      <c r="XE127" s="1056"/>
      <c r="XF127" s="1056"/>
      <c r="XG127" s="1056"/>
      <c r="XH127" s="1056"/>
      <c r="XI127" s="1056"/>
      <c r="XJ127" s="1056"/>
      <c r="XK127" s="1056"/>
      <c r="XL127" s="1056"/>
      <c r="XM127" s="1056"/>
      <c r="XN127" s="1056"/>
      <c r="XO127" s="1056"/>
      <c r="XP127" s="1056"/>
      <c r="XQ127" s="1056"/>
      <c r="XR127" s="1056"/>
      <c r="XS127" s="1056"/>
      <c r="XT127" s="1056"/>
      <c r="XU127" s="1056"/>
      <c r="XV127" s="1056"/>
      <c r="XW127" s="1056"/>
      <c r="XX127" s="1056"/>
      <c r="XY127" s="1056"/>
      <c r="XZ127" s="1056"/>
      <c r="YA127" s="1056"/>
      <c r="YB127" s="1056"/>
      <c r="YC127" s="1056"/>
      <c r="YD127" s="1056"/>
      <c r="YE127" s="1056"/>
      <c r="YF127" s="1056"/>
      <c r="YG127" s="1056"/>
      <c r="YH127" s="1056"/>
      <c r="YI127" s="1056"/>
      <c r="YJ127" s="1056"/>
      <c r="YK127" s="1056"/>
      <c r="YL127" s="1056"/>
      <c r="YM127" s="1056"/>
      <c r="YN127" s="1056"/>
      <c r="YO127" s="1056"/>
      <c r="YP127" s="1056"/>
      <c r="YQ127" s="1056"/>
      <c r="YR127" s="1056"/>
      <c r="YS127" s="1056"/>
      <c r="YT127" s="1056"/>
      <c r="YU127" s="1056"/>
      <c r="YV127" s="1056"/>
      <c r="YW127" s="1056"/>
      <c r="YX127" s="1056"/>
      <c r="YY127" s="1056"/>
      <c r="YZ127" s="1056"/>
      <c r="ZA127" s="1056"/>
      <c r="ZB127" s="1056"/>
      <c r="ZC127" s="1056"/>
      <c r="ZD127" s="1056"/>
      <c r="ZE127" s="1056"/>
      <c r="ZF127" s="1056"/>
      <c r="ZG127" s="1056"/>
      <c r="ZH127" s="1056"/>
      <c r="ZI127" s="1056"/>
      <c r="ZJ127" s="1056"/>
      <c r="ZK127" s="1056"/>
      <c r="ZL127" s="1056"/>
      <c r="ZM127" s="1056"/>
      <c r="ZN127" s="1056"/>
      <c r="ZO127" s="1056"/>
      <c r="ZP127" s="1056"/>
      <c r="ZQ127" s="1056"/>
      <c r="ZR127" s="1056"/>
      <c r="ZS127" s="1056"/>
      <c r="ZT127" s="1056"/>
      <c r="ZU127" s="1056"/>
      <c r="ZV127" s="1056"/>
      <c r="ZW127" s="1056"/>
      <c r="ZX127" s="1056"/>
      <c r="ZY127" s="1056"/>
      <c r="ZZ127" s="1056"/>
      <c r="AAA127" s="1056"/>
      <c r="AAB127" s="1056"/>
      <c r="AAC127" s="1056"/>
      <c r="AAD127" s="1056"/>
      <c r="AAE127" s="1056"/>
      <c r="AAF127" s="1056"/>
      <c r="AAG127" s="1056"/>
      <c r="AAH127" s="1056"/>
      <c r="AAI127" s="1056"/>
      <c r="AAJ127" s="1056"/>
      <c r="AAK127" s="1056"/>
      <c r="AAL127" s="1056"/>
      <c r="AAM127" s="1056"/>
      <c r="AAN127" s="1056"/>
      <c r="AAO127" s="1056"/>
      <c r="AAP127" s="1056"/>
      <c r="AAQ127" s="1056"/>
      <c r="AAR127" s="1056"/>
      <c r="AAS127" s="1056"/>
      <c r="AAT127" s="1056"/>
      <c r="AAU127" s="1056"/>
      <c r="AAV127" s="1056"/>
      <c r="AAW127" s="1056"/>
      <c r="AAX127" s="1056"/>
      <c r="AAY127" s="1056"/>
      <c r="AAZ127" s="1056"/>
      <c r="ABA127" s="1056"/>
      <c r="ABB127" s="1056"/>
      <c r="ABC127" s="1056"/>
      <c r="ABD127" s="1056"/>
      <c r="ABE127" s="1056"/>
      <c r="ABF127" s="1056"/>
      <c r="ABG127" s="1056"/>
      <c r="ABH127" s="1056"/>
      <c r="ABI127" s="1056"/>
      <c r="ABJ127" s="1056"/>
      <c r="ABK127" s="1056"/>
      <c r="ABL127" s="1056"/>
      <c r="ABM127" s="1056"/>
      <c r="ABN127" s="1056"/>
      <c r="ABO127" s="1056"/>
      <c r="ABP127" s="1056"/>
      <c r="ABQ127" s="1056"/>
      <c r="ABR127" s="1056"/>
      <c r="ABS127" s="1056"/>
      <c r="ABT127" s="1056"/>
      <c r="ABU127" s="1056"/>
      <c r="ABV127" s="1056"/>
      <c r="ABW127" s="1056"/>
      <c r="ABX127" s="1056"/>
      <c r="ABY127" s="1056"/>
      <c r="ABZ127" s="1056"/>
      <c r="ACA127" s="1056"/>
      <c r="ACB127" s="1056"/>
      <c r="ACC127" s="1056"/>
      <c r="ACD127" s="1056"/>
      <c r="ACE127" s="1056"/>
      <c r="ACF127" s="1056"/>
      <c r="ACG127" s="1056"/>
      <c r="ACH127" s="1056"/>
      <c r="ACI127" s="1056"/>
      <c r="ACJ127" s="1056"/>
      <c r="ACK127" s="1056"/>
      <c r="ACL127" s="1056"/>
      <c r="ACM127" s="1056"/>
      <c r="ACN127" s="1056"/>
      <c r="ACO127" s="1056"/>
      <c r="ACP127" s="1056"/>
      <c r="ACQ127" s="1056"/>
      <c r="ACR127" s="1056"/>
      <c r="ACS127" s="1056"/>
      <c r="ACT127" s="1056"/>
      <c r="ACU127" s="1056"/>
      <c r="ACV127" s="1056"/>
      <c r="ACW127" s="1056"/>
      <c r="ACX127" s="1056"/>
      <c r="ACY127" s="1056"/>
      <c r="ACZ127" s="1056"/>
      <c r="ADA127" s="1056"/>
      <c r="ADB127" s="1056"/>
      <c r="ADC127" s="1056"/>
      <c r="ADD127" s="1056"/>
      <c r="ADE127" s="1056"/>
      <c r="ADF127" s="1056"/>
      <c r="ADG127" s="1056"/>
      <c r="ADH127" s="1056"/>
      <c r="ADI127" s="1056"/>
      <c r="ADJ127" s="1056"/>
      <c r="ADK127" s="1056"/>
      <c r="ADL127" s="1056"/>
      <c r="ADM127" s="1056"/>
      <c r="ADN127" s="1056"/>
      <c r="ADO127" s="1056"/>
      <c r="ADP127" s="1056"/>
      <c r="ADQ127" s="1056"/>
      <c r="ADR127" s="1056"/>
      <c r="ADS127" s="1056"/>
      <c r="ADT127" s="1056"/>
      <c r="ADU127" s="1056"/>
      <c r="ADV127" s="1056"/>
      <c r="ADW127" s="1056"/>
      <c r="ADX127" s="1056"/>
      <c r="ADY127" s="1056"/>
      <c r="ADZ127" s="1056"/>
      <c r="AEA127" s="1056"/>
      <c r="AEB127" s="1056"/>
      <c r="AEC127" s="1056"/>
      <c r="AED127" s="1056"/>
      <c r="AEE127" s="1056"/>
      <c r="AEF127" s="1056"/>
      <c r="AEG127" s="1056"/>
      <c r="AEH127" s="1056"/>
      <c r="AEI127" s="1056"/>
      <c r="AEJ127" s="1056"/>
      <c r="AEK127" s="1056"/>
      <c r="AEL127" s="1056"/>
      <c r="AEM127" s="1056"/>
      <c r="AEN127" s="1056"/>
      <c r="AEO127" s="1056"/>
      <c r="AEP127" s="1056"/>
      <c r="AEQ127" s="1056"/>
      <c r="AER127" s="1056"/>
      <c r="AES127" s="1056"/>
      <c r="AET127" s="1056"/>
      <c r="AEU127" s="1056"/>
      <c r="AEV127" s="1056"/>
      <c r="AEW127" s="1056"/>
      <c r="AEX127" s="1056"/>
      <c r="AEY127" s="1056"/>
      <c r="AEZ127" s="1056"/>
      <c r="AFA127" s="1056"/>
      <c r="AFB127" s="1056"/>
      <c r="AFC127" s="1056"/>
      <c r="AFD127" s="1056"/>
      <c r="AFE127" s="1056"/>
      <c r="AFF127" s="1056"/>
      <c r="AFG127" s="1056"/>
      <c r="AFH127" s="1056"/>
      <c r="AFI127" s="1056"/>
      <c r="AFJ127" s="1056"/>
      <c r="AFK127" s="1056"/>
      <c r="AFL127" s="1056"/>
      <c r="AFM127" s="1056"/>
      <c r="AFN127" s="1056"/>
      <c r="AFO127" s="1056"/>
      <c r="AFP127" s="1056"/>
      <c r="AFQ127" s="1056"/>
      <c r="AFR127" s="1056"/>
      <c r="AFS127" s="1056"/>
      <c r="AFT127" s="1056"/>
      <c r="AFU127" s="1056"/>
      <c r="AFV127" s="1056"/>
      <c r="AFW127" s="1056"/>
      <c r="AFX127" s="1056"/>
      <c r="AFY127" s="1056"/>
      <c r="AFZ127" s="1056"/>
      <c r="AGA127" s="1056"/>
      <c r="AGB127" s="1056"/>
      <c r="AGC127" s="1056"/>
      <c r="AGD127" s="1056"/>
      <c r="AGE127" s="1056"/>
      <c r="AGF127" s="1056"/>
      <c r="AGG127" s="1056"/>
      <c r="AGH127" s="1056"/>
      <c r="AGI127" s="1056"/>
      <c r="AGJ127" s="1056"/>
      <c r="AGK127" s="1056"/>
      <c r="AGL127" s="1056"/>
      <c r="AGM127" s="1056"/>
      <c r="AGN127" s="1056"/>
      <c r="AGO127" s="1056"/>
      <c r="AGP127" s="1056"/>
      <c r="AGQ127" s="1056"/>
      <c r="AGR127" s="1056"/>
      <c r="AGS127" s="1056"/>
      <c r="AGT127" s="1056"/>
      <c r="AGU127" s="1056"/>
      <c r="AGV127" s="1056"/>
      <c r="AGW127" s="1056"/>
      <c r="AGX127" s="1056"/>
      <c r="AGY127" s="1056"/>
      <c r="AGZ127" s="1056"/>
      <c r="AHA127" s="1056"/>
      <c r="AHB127" s="1056"/>
      <c r="AHC127" s="1056"/>
      <c r="AHD127" s="1056"/>
      <c r="AHE127" s="1056"/>
      <c r="AHF127" s="1056"/>
      <c r="AHG127" s="1056"/>
      <c r="AHH127" s="1056"/>
      <c r="AHI127" s="1056"/>
      <c r="AHJ127" s="1056"/>
      <c r="AHK127" s="1056"/>
      <c r="AHL127" s="1056"/>
      <c r="AHM127" s="1056"/>
      <c r="AHN127" s="1056"/>
      <c r="AHO127" s="1056"/>
      <c r="AHP127" s="1056"/>
      <c r="AHQ127" s="1056"/>
      <c r="AHR127" s="1056"/>
      <c r="AHS127" s="1056"/>
      <c r="AHT127" s="1056"/>
      <c r="AHU127" s="1056"/>
      <c r="AHV127" s="1056"/>
      <c r="AHW127" s="1056"/>
      <c r="AHX127" s="1056"/>
      <c r="AHY127" s="1056"/>
      <c r="AHZ127" s="1056"/>
      <c r="AIA127" s="1056"/>
      <c r="AIB127" s="1056"/>
      <c r="AIC127" s="1056"/>
      <c r="AID127" s="1056"/>
      <c r="AIE127" s="1056"/>
      <c r="AIF127" s="1056"/>
      <c r="AIG127" s="1056"/>
      <c r="AIH127" s="1056"/>
      <c r="AII127" s="1056"/>
      <c r="AIJ127" s="1056"/>
      <c r="AIK127" s="1056"/>
      <c r="AIL127" s="1056"/>
      <c r="AIM127" s="1056"/>
      <c r="AIN127" s="1056"/>
      <c r="AIO127" s="1056"/>
      <c r="AIP127" s="1056"/>
      <c r="AIQ127" s="1056"/>
      <c r="AIR127" s="1056"/>
      <c r="AIS127" s="1056"/>
      <c r="AIT127" s="1056"/>
      <c r="AIU127" s="1056"/>
      <c r="AIV127" s="1056"/>
      <c r="AIW127" s="1056"/>
      <c r="AIX127" s="1056"/>
      <c r="AIY127" s="1056"/>
      <c r="AIZ127" s="1056"/>
      <c r="AJA127" s="1056"/>
      <c r="AJB127" s="1056"/>
      <c r="AJC127" s="1056"/>
      <c r="AJD127" s="1056"/>
      <c r="AJE127" s="1056"/>
      <c r="AJF127" s="1056"/>
      <c r="AJG127" s="1056"/>
      <c r="AJH127" s="1056"/>
      <c r="AJI127" s="1056"/>
      <c r="AJJ127" s="1056"/>
      <c r="AJK127" s="1056"/>
      <c r="AJL127" s="1056"/>
      <c r="AJM127" s="1056"/>
      <c r="AJN127" s="1056"/>
      <c r="AJO127" s="1056"/>
      <c r="AJP127" s="1056"/>
      <c r="AJQ127" s="1056"/>
      <c r="AJR127" s="1056"/>
      <c r="AJS127" s="1056"/>
      <c r="AJT127" s="1056"/>
      <c r="AJU127" s="1056"/>
      <c r="AJV127" s="1056"/>
      <c r="AJW127" s="1056"/>
      <c r="AJX127" s="1056"/>
      <c r="AJY127" s="1056"/>
      <c r="AJZ127" s="1056"/>
      <c r="AKA127" s="1056"/>
      <c r="AKB127" s="1056"/>
      <c r="AKC127" s="1056"/>
      <c r="AKD127" s="1056"/>
      <c r="AKE127" s="1056"/>
      <c r="AKF127" s="1056"/>
      <c r="AKG127" s="1056"/>
      <c r="AKH127" s="1056"/>
      <c r="AKI127" s="1056"/>
      <c r="AKJ127" s="1056"/>
      <c r="AKK127" s="1056"/>
      <c r="AKL127" s="1056"/>
      <c r="AKM127" s="1056"/>
      <c r="AKN127" s="1056"/>
      <c r="AKO127" s="1056"/>
      <c r="AKP127" s="1056"/>
      <c r="AKQ127" s="1056"/>
      <c r="AKR127" s="1056"/>
      <c r="AKS127" s="1056"/>
      <c r="AKT127" s="1056"/>
      <c r="AKU127" s="1056"/>
      <c r="AKV127" s="1056"/>
      <c r="AKW127" s="1056"/>
      <c r="AKX127" s="1056"/>
      <c r="AKY127" s="1056"/>
      <c r="AKZ127" s="1056"/>
      <c r="ALA127" s="1056"/>
      <c r="ALB127" s="1056"/>
      <c r="ALC127" s="1056"/>
      <c r="ALD127" s="1056"/>
      <c r="ALE127" s="1056"/>
      <c r="ALF127" s="1056"/>
      <c r="ALG127" s="1056"/>
      <c r="ALH127" s="1056"/>
      <c r="ALI127" s="1056"/>
      <c r="ALJ127" s="1056"/>
      <c r="ALK127" s="1056"/>
      <c r="ALL127" s="1056"/>
      <c r="ALM127" s="1056"/>
      <c r="ALN127" s="1056"/>
      <c r="ALO127" s="1056"/>
      <c r="ALP127" s="1056"/>
      <c r="ALQ127" s="1056"/>
      <c r="ALR127" s="1056"/>
      <c r="ALS127" s="1056"/>
      <c r="ALT127" s="1056"/>
      <c r="ALU127" s="1056"/>
      <c r="ALV127" s="1056"/>
      <c r="ALW127" s="1056"/>
      <c r="ALX127" s="1056"/>
      <c r="ALY127" s="1056"/>
      <c r="ALZ127" s="1056"/>
      <c r="AMA127" s="1056"/>
      <c r="AMB127" s="1056"/>
      <c r="AMC127" s="1056"/>
      <c r="AMD127" s="1056"/>
      <c r="AME127" s="1056"/>
      <c r="AMF127" s="1056"/>
      <c r="AMG127" s="1056"/>
      <c r="AMH127" s="1056"/>
      <c r="AMI127" s="1056"/>
      <c r="AMJ127" s="1056"/>
      <c r="AMK127" s="1056"/>
      <c r="AML127" s="1056"/>
      <c r="AMM127" s="1056"/>
      <c r="AMN127" s="1056"/>
      <c r="AMO127" s="1056"/>
      <c r="AMP127" s="1056"/>
      <c r="AMQ127" s="1056"/>
      <c r="AMR127" s="1056"/>
      <c r="AMS127" s="1056"/>
      <c r="AMT127" s="1056"/>
      <c r="AMU127" s="1056"/>
      <c r="AMV127" s="1056"/>
      <c r="AMW127" s="1056"/>
      <c r="AMX127" s="1056"/>
      <c r="AMY127" s="1056"/>
      <c r="AMZ127" s="1056"/>
      <c r="ANA127" s="1056"/>
      <c r="ANB127" s="1056"/>
      <c r="ANC127" s="1056"/>
      <c r="AND127" s="1056"/>
      <c r="ANE127" s="1056"/>
      <c r="ANF127" s="1056"/>
      <c r="ANG127" s="1056"/>
      <c r="ANH127" s="1056"/>
      <c r="ANI127" s="1056"/>
      <c r="ANJ127" s="1056"/>
      <c r="ANK127" s="1056"/>
      <c r="ANL127" s="1056"/>
      <c r="ANM127" s="1056"/>
      <c r="ANN127" s="1056"/>
      <c r="ANO127" s="1056"/>
      <c r="ANP127" s="1056"/>
      <c r="ANQ127" s="1056"/>
      <c r="ANR127" s="1056"/>
      <c r="ANS127" s="1056"/>
      <c r="ANT127" s="1056"/>
      <c r="ANU127" s="1056"/>
      <c r="ANV127" s="1056"/>
      <c r="ANW127" s="1056"/>
      <c r="ANX127" s="1056"/>
      <c r="ANY127" s="1056"/>
      <c r="ANZ127" s="1056"/>
      <c r="AOA127" s="1056"/>
      <c r="AOB127" s="1056"/>
      <c r="AOC127" s="1056"/>
      <c r="AOD127" s="1056"/>
      <c r="AOE127" s="1056"/>
      <c r="AOF127" s="1056"/>
      <c r="AOG127" s="1056"/>
      <c r="AOH127" s="1056"/>
      <c r="AOI127" s="1056"/>
      <c r="AOJ127" s="1056"/>
      <c r="AOK127" s="1056"/>
      <c r="AOL127" s="1056"/>
      <c r="AOM127" s="1056"/>
      <c r="AON127" s="1056"/>
      <c r="AOO127" s="1056"/>
      <c r="AOP127" s="1056"/>
      <c r="AOQ127" s="1056"/>
      <c r="AOR127" s="1056"/>
      <c r="AOS127" s="1056"/>
      <c r="AOT127" s="1056"/>
      <c r="AOU127" s="1056"/>
      <c r="AOV127" s="1056"/>
      <c r="AOW127" s="1056"/>
      <c r="AOX127" s="1056"/>
      <c r="AOY127" s="1056"/>
      <c r="AOZ127" s="1056"/>
      <c r="APA127" s="1056"/>
      <c r="APB127" s="1056"/>
      <c r="APC127" s="1056"/>
      <c r="APD127" s="1056"/>
      <c r="APE127" s="1056"/>
      <c r="APF127" s="1056"/>
      <c r="APG127" s="1056"/>
      <c r="APH127" s="1056"/>
      <c r="API127" s="1056"/>
      <c r="APJ127" s="1056"/>
      <c r="APK127" s="1056"/>
      <c r="APL127" s="1056"/>
      <c r="APM127" s="1056"/>
      <c r="APN127" s="1056"/>
      <c r="APO127" s="1056"/>
      <c r="APP127" s="1056"/>
      <c r="APQ127" s="1056"/>
      <c r="APR127" s="1056"/>
      <c r="APS127" s="1056"/>
      <c r="APT127" s="1056"/>
      <c r="APU127" s="1056"/>
      <c r="APV127" s="1056"/>
      <c r="APW127" s="1056"/>
      <c r="APX127" s="1056"/>
      <c r="APY127" s="1056"/>
      <c r="APZ127" s="1056"/>
      <c r="AQA127" s="1056"/>
      <c r="AQB127" s="1056"/>
      <c r="AQC127" s="1056"/>
      <c r="AQD127" s="1056"/>
      <c r="AQE127" s="1056"/>
      <c r="AQF127" s="1056"/>
      <c r="AQG127" s="1056"/>
      <c r="AQH127" s="1056"/>
      <c r="AQI127" s="1056"/>
      <c r="AQJ127" s="1056"/>
      <c r="AQK127" s="1056"/>
      <c r="AQL127" s="1056"/>
      <c r="AQM127" s="1056"/>
      <c r="AQN127" s="1056"/>
      <c r="AQO127" s="1056"/>
      <c r="AQP127" s="1056"/>
      <c r="AQQ127" s="1056"/>
      <c r="AQR127" s="1056"/>
      <c r="AQS127" s="1056"/>
      <c r="AQT127" s="1056"/>
      <c r="AQU127" s="1056"/>
      <c r="AQV127" s="1056"/>
      <c r="AQW127" s="1056"/>
      <c r="AQX127" s="1056"/>
      <c r="AQY127" s="1056"/>
      <c r="AQZ127" s="1056"/>
      <c r="ARA127" s="1056"/>
      <c r="ARB127" s="1056"/>
      <c r="ARC127" s="1056"/>
      <c r="ARD127" s="1056"/>
      <c r="ARE127" s="1056"/>
      <c r="ARF127" s="1056"/>
      <c r="ARG127" s="1056"/>
      <c r="ARH127" s="1056"/>
      <c r="ARI127" s="1056"/>
      <c r="ARJ127" s="1056"/>
      <c r="ARK127" s="1056"/>
      <c r="ARL127" s="1056"/>
      <c r="ARM127" s="1056"/>
      <c r="ARN127" s="1056"/>
      <c r="ARO127" s="1056"/>
      <c r="ARP127" s="1056"/>
      <c r="ARQ127" s="1056"/>
      <c r="ARR127" s="1056"/>
      <c r="ARS127" s="1056"/>
      <c r="ART127" s="1056"/>
      <c r="ARU127" s="1056"/>
      <c r="ARV127" s="1056"/>
      <c r="ARW127" s="1056"/>
      <c r="ARX127" s="1056"/>
      <c r="ARY127" s="1056"/>
      <c r="ARZ127" s="1056"/>
      <c r="ASA127" s="1056"/>
      <c r="ASB127" s="1056"/>
      <c r="ASC127" s="1056"/>
      <c r="ASD127" s="1056"/>
      <c r="ASE127" s="1056"/>
      <c r="ASF127" s="1056"/>
      <c r="ASG127" s="1056"/>
      <c r="ASH127" s="1056"/>
      <c r="ASI127" s="1056"/>
      <c r="ASJ127" s="1056"/>
      <c r="ASK127" s="1056"/>
      <c r="ASL127" s="1056"/>
      <c r="ASM127" s="1056"/>
      <c r="ASN127" s="1056"/>
      <c r="ASO127" s="1056"/>
      <c r="ASP127" s="1056"/>
      <c r="ASQ127" s="1056"/>
      <c r="ASR127" s="1056"/>
      <c r="ASS127" s="1056"/>
      <c r="AST127" s="1056"/>
      <c r="ASU127" s="1056"/>
      <c r="ASV127" s="1056"/>
      <c r="ASW127" s="1056"/>
      <c r="ASX127" s="1056"/>
      <c r="ASY127" s="1056"/>
      <c r="ASZ127" s="1056"/>
      <c r="ATA127" s="1056"/>
      <c r="ATB127" s="1056"/>
      <c r="ATC127" s="1056"/>
      <c r="ATD127" s="1056"/>
      <c r="ATE127" s="1056"/>
      <c r="ATF127" s="1056"/>
      <c r="ATG127" s="1056"/>
      <c r="ATH127" s="1056"/>
      <c r="ATI127" s="1056"/>
      <c r="ATJ127" s="1056"/>
      <c r="ATK127" s="1056"/>
      <c r="ATL127" s="1056"/>
      <c r="ATM127" s="1056"/>
      <c r="ATN127" s="1056"/>
      <c r="ATO127" s="1056"/>
      <c r="ATP127" s="1056"/>
      <c r="ATQ127" s="1056"/>
      <c r="ATR127" s="1056"/>
      <c r="ATS127" s="1056"/>
      <c r="ATT127" s="1056"/>
      <c r="ATU127" s="1056"/>
      <c r="ATV127" s="1056"/>
      <c r="ATW127" s="1056"/>
      <c r="ATX127" s="1056"/>
      <c r="ATY127" s="1056"/>
      <c r="ATZ127" s="1056"/>
      <c r="AUA127" s="1056"/>
      <c r="AUB127" s="1056"/>
      <c r="AUC127" s="1056"/>
      <c r="AUD127" s="1056"/>
      <c r="AUE127" s="1056"/>
      <c r="AUF127" s="1056"/>
      <c r="AUG127" s="1056"/>
      <c r="AUH127" s="1056"/>
      <c r="AUI127" s="1056"/>
      <c r="AUJ127" s="1056"/>
      <c r="AUK127" s="1056"/>
      <c r="AUL127" s="1056"/>
      <c r="AUM127" s="1056"/>
      <c r="AUN127" s="1056"/>
      <c r="AUO127" s="1056"/>
      <c r="AUP127" s="1056"/>
      <c r="AUQ127" s="1056"/>
      <c r="AUR127" s="1056"/>
      <c r="AUS127" s="1056"/>
      <c r="AUT127" s="1056"/>
      <c r="AUU127" s="1056"/>
      <c r="AUV127" s="1056"/>
      <c r="AUW127" s="1056"/>
      <c r="AUX127" s="1056"/>
      <c r="AUY127" s="1056"/>
      <c r="AUZ127" s="1056"/>
      <c r="AVA127" s="1056"/>
      <c r="AVB127" s="1056"/>
      <c r="AVC127" s="1056"/>
      <c r="AVD127" s="1056"/>
      <c r="AVE127" s="1056"/>
      <c r="AVF127" s="1056"/>
      <c r="AVG127" s="1056"/>
      <c r="AVH127" s="1056"/>
      <c r="AVI127" s="1056"/>
      <c r="AVJ127" s="1056"/>
      <c r="AVK127" s="1056"/>
      <c r="AVL127" s="1056"/>
      <c r="AVM127" s="1056"/>
      <c r="AVN127" s="1056"/>
      <c r="AVO127" s="1056"/>
      <c r="AVP127" s="1056"/>
      <c r="AVQ127" s="1056"/>
      <c r="AVR127" s="1056"/>
      <c r="AVS127" s="1056"/>
      <c r="AVT127" s="1056"/>
      <c r="AVU127" s="1056"/>
      <c r="AVV127" s="1056"/>
      <c r="AVW127" s="1056"/>
      <c r="AVX127" s="1056"/>
      <c r="AVY127" s="1056"/>
      <c r="AVZ127" s="1056"/>
      <c r="AWA127" s="1056"/>
      <c r="AWB127" s="1056"/>
      <c r="AWC127" s="1056"/>
      <c r="AWD127" s="1056"/>
      <c r="AWE127" s="1056"/>
      <c r="AWF127" s="1056"/>
      <c r="AWG127" s="1056"/>
      <c r="AWH127" s="1056"/>
      <c r="AWI127" s="1056"/>
      <c r="AWJ127" s="1056"/>
      <c r="AWK127" s="1056"/>
      <c r="AWL127" s="1056"/>
      <c r="AWM127" s="1056"/>
      <c r="AWN127" s="1056"/>
      <c r="AWO127" s="1056"/>
      <c r="AWP127" s="1056"/>
      <c r="AWQ127" s="1056"/>
      <c r="AWR127" s="1056"/>
      <c r="AWS127" s="1056"/>
      <c r="AWT127" s="1056"/>
      <c r="AWU127" s="1056"/>
      <c r="AWV127" s="1056"/>
      <c r="AWW127" s="1056"/>
      <c r="AWX127" s="1056"/>
      <c r="AWY127" s="1056"/>
      <c r="AWZ127" s="1056"/>
      <c r="AXA127" s="1056"/>
      <c r="AXB127" s="1056"/>
      <c r="AXC127" s="1056"/>
      <c r="AXD127" s="1056"/>
      <c r="AXE127" s="1056"/>
      <c r="AXF127" s="1056"/>
      <c r="AXG127" s="1056"/>
      <c r="AXH127" s="1056"/>
      <c r="AXI127" s="1056"/>
      <c r="AXJ127" s="1056"/>
      <c r="AXK127" s="1056"/>
      <c r="AXL127" s="1056"/>
      <c r="AXM127" s="1056"/>
      <c r="AXN127" s="1056"/>
      <c r="AXO127" s="1056"/>
      <c r="AXP127" s="1056"/>
      <c r="AXQ127" s="1056"/>
      <c r="AXR127" s="1056"/>
      <c r="AXS127" s="1056"/>
      <c r="AXT127" s="1056"/>
      <c r="AXU127" s="1056"/>
      <c r="AXV127" s="1056"/>
      <c r="AXW127" s="1056"/>
      <c r="AXX127" s="1056"/>
      <c r="AXY127" s="1056"/>
      <c r="AXZ127" s="1056"/>
      <c r="AYA127" s="1056"/>
      <c r="AYB127" s="1056"/>
      <c r="AYC127" s="1056"/>
      <c r="AYD127" s="1056"/>
      <c r="AYE127" s="1056"/>
      <c r="AYF127" s="1056"/>
      <c r="AYG127" s="1056"/>
      <c r="AYH127" s="1056"/>
      <c r="AYI127" s="1056"/>
      <c r="AYJ127" s="1056"/>
      <c r="AYK127" s="1056"/>
      <c r="AYL127" s="1056"/>
      <c r="AYM127" s="1056"/>
      <c r="AYN127" s="1056"/>
      <c r="AYO127" s="1056"/>
      <c r="AYP127" s="1056"/>
      <c r="AYQ127" s="1056"/>
      <c r="AYR127" s="1056"/>
      <c r="AYS127" s="1056"/>
      <c r="AYT127" s="1056"/>
      <c r="AYU127" s="1056"/>
      <c r="AYV127" s="1056"/>
      <c r="AYW127" s="1056"/>
      <c r="AYX127" s="1056"/>
      <c r="AYY127" s="1056"/>
      <c r="AYZ127" s="1056"/>
      <c r="AZA127" s="1056"/>
      <c r="AZB127" s="1056"/>
      <c r="AZC127" s="1056"/>
      <c r="AZD127" s="1056"/>
      <c r="AZE127" s="1056"/>
      <c r="AZF127" s="1056"/>
      <c r="AZG127" s="1056"/>
      <c r="AZH127" s="1056"/>
      <c r="AZI127" s="1056"/>
      <c r="AZJ127" s="1056"/>
      <c r="AZK127" s="1056"/>
      <c r="AZL127" s="1056"/>
      <c r="AZM127" s="1056"/>
      <c r="AZN127" s="1056"/>
      <c r="AZO127" s="1056"/>
      <c r="AZP127" s="1056"/>
      <c r="AZQ127" s="1056"/>
      <c r="AZR127" s="1056"/>
      <c r="AZS127" s="1056"/>
      <c r="AZT127" s="1056"/>
      <c r="AZU127" s="1056"/>
      <c r="AZV127" s="1056"/>
      <c r="AZW127" s="1056"/>
      <c r="AZX127" s="1056"/>
      <c r="AZY127" s="1056"/>
      <c r="AZZ127" s="1056"/>
      <c r="BAA127" s="1056"/>
      <c r="BAB127" s="1056"/>
      <c r="BAC127" s="1056"/>
      <c r="BAD127" s="1056"/>
      <c r="BAE127" s="1056"/>
      <c r="BAF127" s="1056"/>
      <c r="BAG127" s="1056"/>
      <c r="BAH127" s="1056"/>
      <c r="BAI127" s="1056"/>
      <c r="BAJ127" s="1056"/>
      <c r="BAK127" s="1056"/>
      <c r="BAL127" s="1056"/>
      <c r="BAM127" s="1056"/>
      <c r="BAN127" s="1056"/>
      <c r="BAO127" s="1056"/>
      <c r="BAP127" s="1056"/>
      <c r="BAQ127" s="1056"/>
      <c r="BAR127" s="1056"/>
      <c r="BAS127" s="1056"/>
      <c r="BAT127" s="1056"/>
      <c r="BAU127" s="1056"/>
      <c r="BAV127" s="1056"/>
      <c r="BAW127" s="1056"/>
      <c r="BAX127" s="1056"/>
      <c r="BAY127" s="1056"/>
      <c r="BAZ127" s="1056"/>
      <c r="BBA127" s="1056"/>
      <c r="BBB127" s="1056"/>
      <c r="BBC127" s="1056"/>
      <c r="BBD127" s="1056"/>
      <c r="BBE127" s="1056"/>
      <c r="BBF127" s="1056"/>
      <c r="BBG127" s="1056"/>
      <c r="BBH127" s="1056"/>
      <c r="BBI127" s="1056"/>
      <c r="BBJ127" s="1056"/>
      <c r="BBK127" s="1056"/>
      <c r="BBL127" s="1056"/>
      <c r="BBM127" s="1056"/>
      <c r="BBN127" s="1056"/>
      <c r="BBO127" s="1056"/>
      <c r="BBP127" s="1056"/>
      <c r="BBQ127" s="1056"/>
      <c r="BBR127" s="1056"/>
      <c r="BBS127" s="1056"/>
      <c r="BBT127" s="1056"/>
      <c r="BBU127" s="1056"/>
      <c r="BBV127" s="1056"/>
      <c r="BBW127" s="1056"/>
      <c r="BBX127" s="1056"/>
      <c r="BBY127" s="1056"/>
      <c r="BBZ127" s="1056"/>
      <c r="BCA127" s="1056"/>
      <c r="BCB127" s="1056"/>
      <c r="BCC127" s="1056"/>
      <c r="BCD127" s="1056"/>
      <c r="BCE127" s="1056"/>
      <c r="BCF127" s="1056"/>
      <c r="BCG127" s="1056"/>
      <c r="BCH127" s="1056"/>
      <c r="BCI127" s="1056"/>
      <c r="BCJ127" s="1056"/>
      <c r="BCK127" s="1056"/>
      <c r="BCL127" s="1056"/>
      <c r="BCM127" s="1056"/>
      <c r="BCN127" s="1056"/>
      <c r="BCO127" s="1056"/>
      <c r="BCP127" s="1056"/>
      <c r="BCQ127" s="1056"/>
      <c r="BCR127" s="1056"/>
      <c r="BCS127" s="1056"/>
      <c r="BCT127" s="1056"/>
      <c r="BCU127" s="1056"/>
      <c r="BCV127" s="1056"/>
      <c r="BCW127" s="1056"/>
      <c r="BCX127" s="1056"/>
      <c r="BCY127" s="1056"/>
      <c r="BCZ127" s="1056"/>
      <c r="BDA127" s="1056"/>
      <c r="BDB127" s="1056"/>
      <c r="BDC127" s="1056"/>
      <c r="BDD127" s="1056"/>
      <c r="BDE127" s="1056"/>
      <c r="BDF127" s="1056"/>
      <c r="BDG127" s="1056"/>
      <c r="BDH127" s="1056"/>
      <c r="BDI127" s="1056"/>
      <c r="BDJ127" s="1056"/>
      <c r="BDK127" s="1056"/>
      <c r="BDL127" s="1056"/>
      <c r="BDM127" s="1056"/>
      <c r="BDN127" s="1056"/>
      <c r="BDO127" s="1056"/>
      <c r="BDP127" s="1056"/>
      <c r="BDQ127" s="1056"/>
      <c r="BDR127" s="1056"/>
      <c r="BDS127" s="1056"/>
      <c r="BDT127" s="1056"/>
      <c r="BDU127" s="1056"/>
      <c r="BDV127" s="1056"/>
      <c r="BDW127" s="1056"/>
      <c r="BDX127" s="1056"/>
      <c r="BDY127" s="1056"/>
      <c r="BDZ127" s="1056"/>
      <c r="BEA127" s="1056"/>
      <c r="BEB127" s="1056"/>
      <c r="BEC127" s="1056"/>
      <c r="BED127" s="1056"/>
      <c r="BEE127" s="1056"/>
      <c r="BEF127" s="1056"/>
      <c r="BEG127" s="1056"/>
      <c r="BEH127" s="1056"/>
      <c r="BEI127" s="1056"/>
      <c r="BEJ127" s="1056"/>
      <c r="BEK127" s="1056"/>
      <c r="BEL127" s="1056"/>
      <c r="BEM127" s="1056"/>
      <c r="BEN127" s="1056"/>
      <c r="BEO127" s="1056"/>
      <c r="BEP127" s="1056"/>
      <c r="BEQ127" s="1056"/>
      <c r="BER127" s="1056"/>
      <c r="BES127" s="1056"/>
      <c r="BET127" s="1056"/>
      <c r="BEU127" s="1056"/>
      <c r="BEV127" s="1056"/>
      <c r="BEW127" s="1056"/>
      <c r="BEX127" s="1056"/>
      <c r="BEY127" s="1056"/>
      <c r="BEZ127" s="1056"/>
      <c r="BFA127" s="1056"/>
      <c r="BFB127" s="1056"/>
      <c r="BFC127" s="1056"/>
      <c r="BFD127" s="1056"/>
      <c r="BFE127" s="1056"/>
      <c r="BFF127" s="1056"/>
      <c r="BFG127" s="1056"/>
      <c r="BFH127" s="1056"/>
      <c r="BFI127" s="1056"/>
      <c r="BFJ127" s="1056"/>
      <c r="BFK127" s="1056"/>
      <c r="BFL127" s="1056"/>
      <c r="BFM127" s="1056"/>
      <c r="BFN127" s="1056"/>
      <c r="BFO127" s="1056"/>
      <c r="BFP127" s="1056"/>
      <c r="BFQ127" s="1056"/>
      <c r="BFR127" s="1056"/>
      <c r="BFS127" s="1056"/>
      <c r="BFT127" s="1056"/>
      <c r="BFU127" s="1056"/>
      <c r="BFV127" s="1056"/>
      <c r="BFW127" s="1056"/>
      <c r="BFX127" s="1056"/>
      <c r="BFY127" s="1056"/>
      <c r="BFZ127" s="1056"/>
      <c r="BGA127" s="1056"/>
      <c r="BGB127" s="1056"/>
      <c r="BGC127" s="1056"/>
      <c r="BGD127" s="1056"/>
      <c r="BGE127" s="1056"/>
      <c r="BGF127" s="1056"/>
      <c r="BGG127" s="1056"/>
      <c r="BGH127" s="1056"/>
      <c r="BGI127" s="1056"/>
      <c r="BGJ127" s="1056"/>
      <c r="BGK127" s="1056"/>
      <c r="BGL127" s="1056"/>
      <c r="BGM127" s="1056"/>
      <c r="BGN127" s="1056"/>
      <c r="BGO127" s="1056"/>
      <c r="BGP127" s="1056"/>
      <c r="BGQ127" s="1056"/>
      <c r="BGR127" s="1056"/>
      <c r="BGS127" s="1056"/>
      <c r="BGT127" s="1056"/>
      <c r="BGU127" s="1056"/>
      <c r="BGV127" s="1056"/>
      <c r="BGW127" s="1056"/>
      <c r="BGX127" s="1056"/>
      <c r="BGY127" s="1056"/>
      <c r="BGZ127" s="1056"/>
      <c r="BHA127" s="1056"/>
      <c r="BHB127" s="1056"/>
      <c r="BHC127" s="1056"/>
      <c r="BHD127" s="1056"/>
      <c r="BHE127" s="1056"/>
      <c r="BHF127" s="1056"/>
      <c r="BHG127" s="1056"/>
      <c r="BHH127" s="1056"/>
      <c r="BHI127" s="1056"/>
      <c r="BHJ127" s="1056"/>
      <c r="BHK127" s="1056"/>
      <c r="BHL127" s="1056"/>
      <c r="BHM127" s="1056"/>
      <c r="BHN127" s="1056"/>
      <c r="BHO127" s="1056"/>
      <c r="BHP127" s="1056"/>
      <c r="BHQ127" s="1056"/>
      <c r="BHR127" s="1056"/>
      <c r="BHS127" s="1056"/>
      <c r="BHT127" s="1056"/>
      <c r="BHU127" s="1056"/>
      <c r="BHV127" s="1056"/>
      <c r="BHW127" s="1056"/>
      <c r="BHX127" s="1056"/>
      <c r="BHY127" s="1056"/>
      <c r="BHZ127" s="1056"/>
      <c r="BIA127" s="1056"/>
      <c r="BIB127" s="1056"/>
      <c r="BIC127" s="1056"/>
      <c r="BID127" s="1056"/>
      <c r="BIE127" s="1056"/>
      <c r="BIF127" s="1056"/>
      <c r="BIG127" s="1056"/>
      <c r="BIH127" s="1056"/>
      <c r="BII127" s="1056"/>
      <c r="BIJ127" s="1056"/>
      <c r="BIK127" s="1056"/>
      <c r="BIL127" s="1056"/>
      <c r="BIM127" s="1056"/>
      <c r="BIN127" s="1056"/>
      <c r="BIO127" s="1056"/>
      <c r="BIP127" s="1056"/>
      <c r="BIQ127" s="1056"/>
      <c r="BIR127" s="1056"/>
      <c r="BIS127" s="1056"/>
      <c r="BIT127" s="1056"/>
      <c r="BIU127" s="1056"/>
      <c r="BIV127" s="1056"/>
      <c r="BIW127" s="1056"/>
      <c r="BIX127" s="1056"/>
      <c r="BIY127" s="1056"/>
      <c r="BIZ127" s="1056"/>
      <c r="BJA127" s="1056"/>
      <c r="BJB127" s="1056"/>
      <c r="BJC127" s="1056"/>
      <c r="BJD127" s="1056"/>
      <c r="BJE127" s="1056"/>
      <c r="BJF127" s="1056"/>
      <c r="BJG127" s="1056"/>
      <c r="BJH127" s="1056"/>
      <c r="BJI127" s="1056"/>
      <c r="BJJ127" s="1056"/>
      <c r="BJK127" s="1056"/>
      <c r="BJL127" s="1056"/>
      <c r="BJM127" s="1056"/>
      <c r="BJN127" s="1056"/>
      <c r="BJO127" s="1056"/>
      <c r="BJP127" s="1056"/>
      <c r="BJQ127" s="1056"/>
      <c r="BJR127" s="1056"/>
      <c r="BJS127" s="1056"/>
      <c r="BJT127" s="1056"/>
      <c r="BJU127" s="1056"/>
      <c r="BJV127" s="1056"/>
      <c r="BJW127" s="1056"/>
      <c r="BJX127" s="1056"/>
      <c r="BJY127" s="1056"/>
      <c r="BJZ127" s="1056"/>
      <c r="BKA127" s="1056"/>
      <c r="BKB127" s="1056"/>
      <c r="BKC127" s="1056"/>
      <c r="BKD127" s="1056"/>
      <c r="BKE127" s="1056"/>
      <c r="BKF127" s="1056"/>
      <c r="BKG127" s="1056"/>
      <c r="BKH127" s="1056"/>
      <c r="BKI127" s="1056"/>
      <c r="BKJ127" s="1056"/>
      <c r="BKK127" s="1056"/>
      <c r="BKL127" s="1056"/>
      <c r="BKM127" s="1056"/>
      <c r="BKN127" s="1056"/>
      <c r="BKO127" s="1056"/>
      <c r="BKP127" s="1056"/>
      <c r="BKQ127" s="1056"/>
      <c r="BKR127" s="1056"/>
      <c r="BKS127" s="1056"/>
      <c r="BKT127" s="1056"/>
      <c r="BKU127" s="1056"/>
      <c r="BKV127" s="1056"/>
      <c r="BKW127" s="1056"/>
      <c r="BKX127" s="1056"/>
      <c r="BKY127" s="1056"/>
      <c r="BKZ127" s="1056"/>
      <c r="BLA127" s="1056"/>
      <c r="BLB127" s="1056"/>
      <c r="BLC127" s="1056"/>
      <c r="BLD127" s="1056"/>
      <c r="BLE127" s="1056"/>
      <c r="BLF127" s="1056"/>
      <c r="BLG127" s="1056"/>
      <c r="BLH127" s="1056"/>
      <c r="BLI127" s="1056"/>
      <c r="BLJ127" s="1056"/>
      <c r="BLK127" s="1056"/>
      <c r="BLL127" s="1056"/>
      <c r="BLM127" s="1056"/>
      <c r="BLN127" s="1056"/>
      <c r="BLO127" s="1056"/>
      <c r="BLP127" s="1056"/>
      <c r="BLQ127" s="1056"/>
      <c r="BLR127" s="1056"/>
      <c r="BLS127" s="1056"/>
      <c r="BLT127" s="1056"/>
      <c r="BLU127" s="1056"/>
      <c r="BLV127" s="1056"/>
      <c r="BLW127" s="1056"/>
      <c r="BLX127" s="1056"/>
      <c r="BLY127" s="1056"/>
      <c r="BLZ127" s="1056"/>
      <c r="BMA127" s="1056"/>
      <c r="BMB127" s="1056"/>
      <c r="BMC127" s="1056"/>
      <c r="BMD127" s="1056"/>
      <c r="BME127" s="1056"/>
      <c r="BMF127" s="1056"/>
      <c r="BMG127" s="1056"/>
      <c r="BMH127" s="1056"/>
      <c r="BMI127" s="1056"/>
      <c r="BMJ127" s="1056"/>
      <c r="BMK127" s="1056"/>
      <c r="BML127" s="1056"/>
      <c r="BMM127" s="1056"/>
      <c r="BMN127" s="1056"/>
      <c r="BMO127" s="1056"/>
      <c r="BMP127" s="1056"/>
      <c r="BMQ127" s="1056"/>
      <c r="BMR127" s="1056"/>
      <c r="BMS127" s="1056"/>
      <c r="BMT127" s="1056"/>
      <c r="BMU127" s="1056"/>
      <c r="BMV127" s="1056"/>
      <c r="BMW127" s="1056"/>
      <c r="BMX127" s="1056"/>
      <c r="BMY127" s="1056"/>
      <c r="BMZ127" s="1056"/>
      <c r="BNA127" s="1056"/>
      <c r="BNB127" s="1056"/>
      <c r="BNC127" s="1056"/>
      <c r="BND127" s="1056"/>
      <c r="BNE127" s="1056"/>
      <c r="BNF127" s="1056"/>
      <c r="BNG127" s="1056"/>
      <c r="BNH127" s="1056"/>
      <c r="BNI127" s="1056"/>
      <c r="BNJ127" s="1056"/>
      <c r="BNK127" s="1056"/>
      <c r="BNL127" s="1056"/>
      <c r="BNM127" s="1056"/>
      <c r="BNN127" s="1056"/>
      <c r="BNO127" s="1056"/>
      <c r="BNP127" s="1056"/>
      <c r="BNQ127" s="1056"/>
      <c r="BNR127" s="1056"/>
      <c r="BNS127" s="1056"/>
      <c r="BNT127" s="1056"/>
      <c r="BNU127" s="1056"/>
      <c r="BNV127" s="1056"/>
      <c r="BNW127" s="1056"/>
      <c r="BNX127" s="1056"/>
      <c r="BNY127" s="1056"/>
      <c r="BNZ127" s="1056"/>
      <c r="BOA127" s="1056"/>
      <c r="BOB127" s="1056"/>
      <c r="BOC127" s="1056"/>
      <c r="BOD127" s="1056"/>
      <c r="BOE127" s="1056"/>
      <c r="BOF127" s="1056"/>
      <c r="BOG127" s="1056"/>
      <c r="BOH127" s="1056"/>
      <c r="BOI127" s="1056"/>
      <c r="BOJ127" s="1056"/>
      <c r="BOK127" s="1056"/>
      <c r="BOL127" s="1056"/>
      <c r="BOM127" s="1056"/>
      <c r="BON127" s="1056"/>
      <c r="BOO127" s="1056"/>
      <c r="BOP127" s="1056"/>
      <c r="BOQ127" s="1056"/>
      <c r="BOR127" s="1056"/>
      <c r="BOS127" s="1056"/>
      <c r="BOT127" s="1056"/>
      <c r="BOU127" s="1056"/>
      <c r="BOV127" s="1056"/>
      <c r="BOW127" s="1056"/>
      <c r="BOX127" s="1056"/>
      <c r="BOY127" s="1056"/>
      <c r="BOZ127" s="1056"/>
      <c r="BPA127" s="1056"/>
      <c r="BPB127" s="1056"/>
      <c r="BPC127" s="1056"/>
      <c r="BPD127" s="1056"/>
      <c r="BPE127" s="1056"/>
      <c r="BPF127" s="1056"/>
      <c r="BPG127" s="1056"/>
      <c r="BPH127" s="1056"/>
      <c r="BPI127" s="1056"/>
      <c r="BPJ127" s="1056"/>
      <c r="BPK127" s="1056"/>
      <c r="BPL127" s="1056"/>
      <c r="BPM127" s="1056"/>
      <c r="BPN127" s="1056"/>
      <c r="BPO127" s="1056"/>
      <c r="BPP127" s="1056"/>
      <c r="BPQ127" s="1056"/>
      <c r="BPR127" s="1056"/>
      <c r="BPS127" s="1056"/>
      <c r="BPT127" s="1056"/>
      <c r="BPU127" s="1056"/>
      <c r="BPV127" s="1056"/>
      <c r="BPW127" s="1056"/>
      <c r="BPX127" s="1056"/>
      <c r="BPY127" s="1056"/>
      <c r="BPZ127" s="1056"/>
      <c r="BQA127" s="1056"/>
      <c r="BQB127" s="1056"/>
      <c r="BQC127" s="1056"/>
      <c r="BQD127" s="1056"/>
      <c r="BQE127" s="1056"/>
      <c r="BQF127" s="1056"/>
      <c r="BQG127" s="1056"/>
      <c r="BQH127" s="1056"/>
      <c r="BQI127" s="1056"/>
      <c r="BQJ127" s="1056"/>
      <c r="BQK127" s="1056"/>
      <c r="BQL127" s="1056"/>
      <c r="BQM127" s="1056"/>
      <c r="BQN127" s="1056"/>
      <c r="BQO127" s="1056"/>
      <c r="BQP127" s="1056"/>
      <c r="BQQ127" s="1056"/>
      <c r="BQR127" s="1056"/>
      <c r="BQS127" s="1056"/>
      <c r="BQT127" s="1056"/>
      <c r="BQU127" s="1056"/>
      <c r="BQV127" s="1056"/>
      <c r="BQW127" s="1056"/>
      <c r="BQX127" s="1056"/>
      <c r="BQY127" s="1056"/>
      <c r="BQZ127" s="1056"/>
      <c r="BRA127" s="1056"/>
      <c r="BRB127" s="1056"/>
      <c r="BRC127" s="1056"/>
      <c r="BRD127" s="1056"/>
      <c r="BRE127" s="1056"/>
      <c r="BRF127" s="1056"/>
      <c r="BRG127" s="1056"/>
      <c r="BRH127" s="1056"/>
      <c r="BRI127" s="1056"/>
      <c r="BRJ127" s="1056"/>
      <c r="BRK127" s="1056"/>
      <c r="BRL127" s="1056"/>
      <c r="BRM127" s="1056"/>
      <c r="BRN127" s="1056"/>
      <c r="BRO127" s="1056"/>
      <c r="BRP127" s="1056"/>
      <c r="BRQ127" s="1056"/>
      <c r="BRR127" s="1056"/>
      <c r="BRS127" s="1056"/>
      <c r="BRT127" s="1056"/>
      <c r="BRU127" s="1056"/>
      <c r="BRV127" s="1056"/>
      <c r="BRW127" s="1056"/>
      <c r="BRX127" s="1056"/>
      <c r="BRY127" s="1056"/>
      <c r="BRZ127" s="1056"/>
      <c r="BSA127" s="1056"/>
      <c r="BSB127" s="1056"/>
      <c r="BSC127" s="1056"/>
      <c r="BSD127" s="1056"/>
      <c r="BSE127" s="1056"/>
      <c r="BSF127" s="1056"/>
      <c r="BSG127" s="1056"/>
      <c r="BSH127" s="1056"/>
      <c r="BSI127" s="1056"/>
      <c r="BSJ127" s="1056"/>
      <c r="BSK127" s="1056"/>
      <c r="BSL127" s="1056"/>
      <c r="BSM127" s="1056"/>
      <c r="BSN127" s="1056"/>
      <c r="BSO127" s="1056"/>
      <c r="BSP127" s="1056"/>
      <c r="BSQ127" s="1056"/>
      <c r="BSR127" s="1056"/>
      <c r="BSS127" s="1056"/>
      <c r="BST127" s="1056"/>
      <c r="BSU127" s="1056"/>
      <c r="BSV127" s="1056"/>
      <c r="BSW127" s="1056"/>
      <c r="BSX127" s="1056"/>
      <c r="BSY127" s="1056"/>
      <c r="BSZ127" s="1056"/>
      <c r="BTA127" s="1056"/>
      <c r="BTB127" s="1056"/>
      <c r="BTC127" s="1056"/>
      <c r="BTD127" s="1056"/>
      <c r="BTE127" s="1056"/>
      <c r="BTF127" s="1056"/>
      <c r="BTG127" s="1056"/>
      <c r="BTH127" s="1056"/>
      <c r="BTI127" s="1056"/>
    </row>
    <row r="128" spans="1:1881" s="1060" customFormat="1" ht="15" hidden="1" thickBot="1" x14ac:dyDescent="0.35">
      <c r="A128" s="1059"/>
      <c r="B128" s="819" t="s">
        <v>1386</v>
      </c>
      <c r="C128" s="819"/>
      <c r="D128" s="819"/>
      <c r="E128" s="819"/>
      <c r="F128" s="839"/>
      <c r="G128" s="840"/>
      <c r="H128" s="764"/>
      <c r="I128" s="1055"/>
      <c r="J128" s="1056"/>
      <c r="K128" s="1056"/>
      <c r="L128" s="1057"/>
      <c r="M128" s="1056"/>
      <c r="N128" s="1058"/>
      <c r="O128" s="1056"/>
      <c r="P128" s="1056"/>
      <c r="Q128" s="1056"/>
      <c r="R128" s="1056"/>
      <c r="S128" s="1056"/>
      <c r="T128" s="1056"/>
      <c r="U128" s="1056"/>
      <c r="V128" s="1056"/>
      <c r="W128" s="1056"/>
      <c r="X128" s="1056"/>
      <c r="Y128" s="1056"/>
      <c r="Z128" s="1059"/>
      <c r="AA128" s="1059"/>
      <c r="AB128" s="1059"/>
      <c r="AC128" s="1059"/>
      <c r="AD128" s="1059"/>
      <c r="AE128" s="1059"/>
      <c r="AF128" s="1059"/>
      <c r="AG128" s="1059"/>
      <c r="AH128" s="1059"/>
      <c r="AI128" s="1059"/>
      <c r="AJ128" s="1059"/>
      <c r="AK128" s="1059"/>
      <c r="AL128" s="1059"/>
      <c r="AM128" s="1059"/>
      <c r="AN128" s="1059"/>
      <c r="AO128" s="1059"/>
      <c r="AP128" s="1059"/>
      <c r="AQ128" s="1059"/>
      <c r="AR128" s="1059"/>
      <c r="AS128" s="1056"/>
      <c r="AT128" s="1056"/>
      <c r="AU128" s="1056"/>
      <c r="AV128" s="1056"/>
      <c r="AW128" s="1056"/>
      <c r="AX128" s="1056"/>
      <c r="AY128" s="1056"/>
      <c r="AZ128" s="1056"/>
      <c r="BA128" s="1056"/>
      <c r="BB128" s="1056"/>
      <c r="BC128" s="1056"/>
      <c r="BD128" s="1056"/>
      <c r="BE128" s="1056"/>
      <c r="BF128" s="1056"/>
      <c r="BG128" s="1056"/>
      <c r="BH128" s="1056"/>
      <c r="BI128" s="1056"/>
      <c r="BJ128" s="1056"/>
      <c r="BK128" s="1056"/>
      <c r="BL128" s="1056"/>
      <c r="BM128" s="1056"/>
      <c r="BN128" s="1056"/>
      <c r="BO128" s="1056"/>
      <c r="BP128" s="1056"/>
      <c r="BQ128" s="1056"/>
      <c r="BR128" s="1056"/>
      <c r="BS128" s="1056"/>
      <c r="BT128" s="1056"/>
      <c r="BU128" s="1056"/>
      <c r="BV128" s="1056"/>
      <c r="BW128" s="1056"/>
      <c r="BX128" s="1056"/>
      <c r="BY128" s="1056"/>
      <c r="BZ128" s="1056"/>
      <c r="CA128" s="1056"/>
      <c r="CB128" s="1056"/>
      <c r="CC128" s="1056"/>
      <c r="CD128" s="1056"/>
      <c r="CE128" s="1056"/>
      <c r="CF128" s="1056"/>
      <c r="CG128" s="1056"/>
      <c r="CH128" s="1056"/>
      <c r="CI128" s="1056"/>
      <c r="CJ128" s="1056"/>
      <c r="CK128" s="1056"/>
      <c r="CL128" s="1056"/>
      <c r="CM128" s="1056"/>
      <c r="CN128" s="1056"/>
      <c r="CO128" s="1056"/>
      <c r="CP128" s="1056"/>
      <c r="CQ128" s="1056"/>
      <c r="CR128" s="1056"/>
      <c r="CS128" s="1056"/>
      <c r="CT128" s="1056"/>
      <c r="CU128" s="1056"/>
      <c r="CV128" s="1056"/>
      <c r="CW128" s="1056"/>
      <c r="CX128" s="1056"/>
      <c r="CY128" s="1056"/>
      <c r="CZ128" s="1056"/>
      <c r="DA128" s="1056"/>
      <c r="DB128" s="1056"/>
      <c r="DC128" s="1056"/>
      <c r="DD128" s="1056"/>
      <c r="DE128" s="1056"/>
      <c r="DF128" s="1056"/>
      <c r="DG128" s="1056"/>
      <c r="DH128" s="1056"/>
      <c r="DI128" s="1056"/>
      <c r="DJ128" s="1056"/>
      <c r="DK128" s="1056"/>
      <c r="DL128" s="1056"/>
      <c r="DM128" s="1056"/>
      <c r="DN128" s="1056"/>
      <c r="DO128" s="1056"/>
      <c r="DP128" s="1056"/>
      <c r="DQ128" s="1056"/>
      <c r="DR128" s="1056"/>
      <c r="DS128" s="1056"/>
      <c r="DT128" s="1056"/>
      <c r="DU128" s="1056"/>
      <c r="DV128" s="1056"/>
      <c r="DW128" s="1056"/>
      <c r="DX128" s="1056"/>
      <c r="DY128" s="1056"/>
      <c r="DZ128" s="1056"/>
      <c r="EA128" s="1056"/>
      <c r="EB128" s="1056"/>
      <c r="EC128" s="1056"/>
      <c r="ED128" s="1056"/>
      <c r="EE128" s="1056"/>
      <c r="EF128" s="1056"/>
      <c r="EG128" s="1056"/>
      <c r="EH128" s="1056"/>
      <c r="EI128" s="1056"/>
      <c r="EJ128" s="1056"/>
      <c r="EK128" s="1056"/>
      <c r="EL128" s="1056"/>
      <c r="EM128" s="1056"/>
      <c r="EN128" s="1056"/>
      <c r="EO128" s="1056"/>
      <c r="EP128" s="1056"/>
      <c r="EQ128" s="1056"/>
      <c r="ER128" s="1056"/>
      <c r="ES128" s="1056"/>
      <c r="ET128" s="1056"/>
      <c r="EU128" s="1056"/>
      <c r="EV128" s="1056"/>
      <c r="EW128" s="1056"/>
      <c r="EX128" s="1056"/>
      <c r="EY128" s="1056"/>
      <c r="EZ128" s="1056"/>
      <c r="FA128" s="1056"/>
      <c r="FB128" s="1056"/>
      <c r="FC128" s="1056"/>
      <c r="FD128" s="1056"/>
      <c r="FE128" s="1056"/>
      <c r="FF128" s="1056"/>
      <c r="FG128" s="1056"/>
      <c r="FH128" s="1056"/>
      <c r="FI128" s="1056"/>
      <c r="FJ128" s="1056"/>
      <c r="FK128" s="1056"/>
      <c r="FL128" s="1056"/>
      <c r="FM128" s="1056"/>
      <c r="FN128" s="1056"/>
      <c r="FO128" s="1056"/>
      <c r="FP128" s="1056"/>
      <c r="FQ128" s="1056"/>
      <c r="FR128" s="1056"/>
      <c r="FS128" s="1056"/>
      <c r="FT128" s="1056"/>
      <c r="FU128" s="1056"/>
      <c r="FV128" s="1056"/>
      <c r="FW128" s="1056"/>
      <c r="FX128" s="1056"/>
      <c r="FY128" s="1056"/>
      <c r="FZ128" s="1056"/>
      <c r="GA128" s="1056"/>
      <c r="GB128" s="1056"/>
      <c r="GC128" s="1056"/>
      <c r="GD128" s="1056"/>
      <c r="GE128" s="1056"/>
      <c r="GF128" s="1056"/>
      <c r="GG128" s="1056"/>
      <c r="GH128" s="1056"/>
      <c r="GI128" s="1056"/>
      <c r="GJ128" s="1056"/>
      <c r="GK128" s="1056"/>
      <c r="GL128" s="1056"/>
      <c r="GM128" s="1056"/>
      <c r="GN128" s="1056"/>
      <c r="GO128" s="1056"/>
      <c r="GP128" s="1056"/>
      <c r="GQ128" s="1056"/>
      <c r="GR128" s="1056"/>
      <c r="GS128" s="1056"/>
      <c r="GT128" s="1056"/>
      <c r="GU128" s="1056"/>
      <c r="GV128" s="1056"/>
      <c r="GW128" s="1056"/>
      <c r="GX128" s="1056"/>
      <c r="GY128" s="1056"/>
      <c r="GZ128" s="1056"/>
      <c r="HA128" s="1056"/>
      <c r="HB128" s="1056"/>
      <c r="HC128" s="1056"/>
      <c r="HD128" s="1056"/>
      <c r="HE128" s="1056"/>
      <c r="HF128" s="1056"/>
      <c r="HG128" s="1056"/>
      <c r="HH128" s="1056"/>
      <c r="HI128" s="1056"/>
      <c r="HJ128" s="1056"/>
      <c r="HK128" s="1056"/>
      <c r="HL128" s="1056"/>
      <c r="HM128" s="1056"/>
      <c r="HN128" s="1056"/>
      <c r="HO128" s="1056"/>
      <c r="HP128" s="1056"/>
      <c r="HQ128" s="1056"/>
      <c r="HR128" s="1056"/>
      <c r="HS128" s="1056"/>
      <c r="HT128" s="1056"/>
      <c r="HU128" s="1056"/>
      <c r="HV128" s="1056"/>
      <c r="HW128" s="1056"/>
      <c r="HX128" s="1056"/>
      <c r="HY128" s="1056"/>
      <c r="HZ128" s="1056"/>
      <c r="IA128" s="1056"/>
      <c r="IB128" s="1056"/>
      <c r="IC128" s="1056"/>
      <c r="ID128" s="1056"/>
      <c r="IE128" s="1056"/>
      <c r="IF128" s="1056"/>
      <c r="IG128" s="1056"/>
      <c r="IH128" s="1056"/>
      <c r="II128" s="1056"/>
      <c r="IJ128" s="1056"/>
      <c r="IK128" s="1056"/>
      <c r="IL128" s="1056"/>
      <c r="IM128" s="1056"/>
      <c r="IN128" s="1056"/>
      <c r="IO128" s="1056"/>
      <c r="IP128" s="1056"/>
      <c r="IQ128" s="1056"/>
      <c r="IR128" s="1056"/>
      <c r="IS128" s="1056"/>
      <c r="IT128" s="1056"/>
      <c r="IU128" s="1056"/>
      <c r="IV128" s="1056"/>
      <c r="IW128" s="1056"/>
      <c r="IX128" s="1056"/>
      <c r="IY128" s="1056"/>
      <c r="IZ128" s="1056"/>
      <c r="JA128" s="1056"/>
      <c r="JB128" s="1056"/>
      <c r="JC128" s="1056"/>
      <c r="JD128" s="1056"/>
      <c r="JE128" s="1056"/>
      <c r="JF128" s="1056"/>
      <c r="JG128" s="1056"/>
      <c r="JH128" s="1056"/>
      <c r="JI128" s="1056"/>
      <c r="JJ128" s="1056"/>
      <c r="JK128" s="1056"/>
      <c r="JL128" s="1056"/>
      <c r="JM128" s="1056"/>
      <c r="JN128" s="1056"/>
      <c r="JO128" s="1056"/>
      <c r="JP128" s="1056"/>
      <c r="JQ128" s="1056"/>
      <c r="JR128" s="1056"/>
      <c r="JS128" s="1056"/>
      <c r="JT128" s="1056"/>
      <c r="JU128" s="1056"/>
      <c r="JV128" s="1056"/>
      <c r="JW128" s="1056"/>
      <c r="JX128" s="1056"/>
      <c r="JY128" s="1056"/>
      <c r="JZ128" s="1056"/>
      <c r="KA128" s="1056"/>
      <c r="KB128" s="1056"/>
      <c r="KC128" s="1056"/>
      <c r="KD128" s="1056"/>
      <c r="KE128" s="1056"/>
      <c r="KF128" s="1056"/>
      <c r="KG128" s="1056"/>
      <c r="KH128" s="1056"/>
      <c r="KI128" s="1056"/>
      <c r="KJ128" s="1056"/>
      <c r="KK128" s="1056"/>
      <c r="KL128" s="1056"/>
      <c r="KM128" s="1056"/>
      <c r="KN128" s="1056"/>
      <c r="KO128" s="1056"/>
      <c r="KP128" s="1056"/>
      <c r="KQ128" s="1056"/>
      <c r="KR128" s="1056"/>
      <c r="KS128" s="1056"/>
      <c r="KT128" s="1056"/>
      <c r="KU128" s="1056"/>
      <c r="KV128" s="1056"/>
      <c r="KW128" s="1056"/>
      <c r="KX128" s="1056"/>
      <c r="KY128" s="1056"/>
      <c r="KZ128" s="1056"/>
      <c r="LA128" s="1056"/>
      <c r="LB128" s="1056"/>
      <c r="LC128" s="1056"/>
      <c r="LD128" s="1056"/>
      <c r="LE128" s="1056"/>
      <c r="LF128" s="1056"/>
      <c r="LG128" s="1056"/>
      <c r="LH128" s="1056"/>
      <c r="LI128" s="1056"/>
      <c r="LJ128" s="1056"/>
      <c r="LK128" s="1056"/>
      <c r="LL128" s="1056"/>
      <c r="LM128" s="1056"/>
      <c r="LN128" s="1056"/>
      <c r="LO128" s="1056"/>
      <c r="LP128" s="1056"/>
      <c r="LQ128" s="1056"/>
      <c r="LR128" s="1056"/>
      <c r="LS128" s="1056"/>
      <c r="LT128" s="1056"/>
      <c r="LU128" s="1056"/>
      <c r="LV128" s="1056"/>
      <c r="LW128" s="1056"/>
      <c r="LX128" s="1056"/>
      <c r="LY128" s="1056"/>
      <c r="LZ128" s="1056"/>
      <c r="MA128" s="1056"/>
      <c r="MB128" s="1056"/>
      <c r="MC128" s="1056"/>
      <c r="MD128" s="1056"/>
      <c r="ME128" s="1056"/>
      <c r="MF128" s="1056"/>
      <c r="MG128" s="1056"/>
      <c r="MH128" s="1056"/>
      <c r="MI128" s="1056"/>
      <c r="MJ128" s="1056"/>
      <c r="MK128" s="1056"/>
      <c r="ML128" s="1056"/>
      <c r="MM128" s="1056"/>
      <c r="MN128" s="1056"/>
      <c r="MO128" s="1056"/>
      <c r="MP128" s="1056"/>
      <c r="MQ128" s="1056"/>
      <c r="MR128" s="1056"/>
      <c r="MS128" s="1056"/>
      <c r="MT128" s="1056"/>
      <c r="MU128" s="1056"/>
      <c r="MV128" s="1056"/>
      <c r="MW128" s="1056"/>
      <c r="MX128" s="1056"/>
      <c r="MY128" s="1056"/>
      <c r="MZ128" s="1056"/>
      <c r="NA128" s="1056"/>
      <c r="NB128" s="1056"/>
      <c r="NC128" s="1056"/>
      <c r="ND128" s="1056"/>
      <c r="NE128" s="1056"/>
      <c r="NF128" s="1056"/>
      <c r="NG128" s="1056"/>
      <c r="NH128" s="1056"/>
      <c r="NI128" s="1056"/>
      <c r="NJ128" s="1056"/>
      <c r="NK128" s="1056"/>
      <c r="NL128" s="1056"/>
      <c r="NM128" s="1056"/>
      <c r="NN128" s="1056"/>
      <c r="NO128" s="1056"/>
      <c r="NP128" s="1056"/>
      <c r="NQ128" s="1056"/>
      <c r="NR128" s="1056"/>
      <c r="NS128" s="1056"/>
      <c r="NT128" s="1056"/>
      <c r="NU128" s="1056"/>
      <c r="NV128" s="1056"/>
      <c r="NW128" s="1056"/>
      <c r="NX128" s="1056"/>
      <c r="NY128" s="1056"/>
      <c r="NZ128" s="1056"/>
      <c r="OA128" s="1056"/>
      <c r="OB128" s="1056"/>
      <c r="OC128" s="1056"/>
      <c r="OD128" s="1056"/>
      <c r="OE128" s="1056"/>
      <c r="OF128" s="1056"/>
      <c r="OG128" s="1056"/>
      <c r="OH128" s="1056"/>
      <c r="OI128" s="1056"/>
      <c r="OJ128" s="1056"/>
      <c r="OK128" s="1056"/>
      <c r="OL128" s="1056"/>
      <c r="OM128" s="1056"/>
      <c r="ON128" s="1056"/>
      <c r="OO128" s="1056"/>
      <c r="OP128" s="1056"/>
      <c r="OQ128" s="1056"/>
      <c r="OR128" s="1056"/>
      <c r="OS128" s="1056"/>
      <c r="OT128" s="1056"/>
      <c r="OU128" s="1056"/>
      <c r="OV128" s="1056"/>
      <c r="OW128" s="1056"/>
      <c r="OX128" s="1056"/>
      <c r="OY128" s="1056"/>
      <c r="OZ128" s="1056"/>
      <c r="PA128" s="1056"/>
      <c r="PB128" s="1056"/>
      <c r="PC128" s="1056"/>
      <c r="PD128" s="1056"/>
      <c r="PE128" s="1056"/>
      <c r="PF128" s="1056"/>
      <c r="PG128" s="1056"/>
      <c r="PH128" s="1056"/>
      <c r="PI128" s="1056"/>
      <c r="PJ128" s="1056"/>
      <c r="PK128" s="1056"/>
      <c r="PL128" s="1056"/>
      <c r="PM128" s="1056"/>
      <c r="PN128" s="1056"/>
      <c r="PO128" s="1056"/>
      <c r="PP128" s="1056"/>
      <c r="PQ128" s="1056"/>
      <c r="PR128" s="1056"/>
      <c r="PS128" s="1056"/>
      <c r="PT128" s="1056"/>
      <c r="PU128" s="1056"/>
      <c r="PV128" s="1056"/>
      <c r="PW128" s="1056"/>
      <c r="PX128" s="1056"/>
      <c r="PY128" s="1056"/>
      <c r="PZ128" s="1056"/>
      <c r="QA128" s="1056"/>
      <c r="QB128" s="1056"/>
      <c r="QC128" s="1056"/>
      <c r="QD128" s="1056"/>
      <c r="QE128" s="1056"/>
      <c r="QF128" s="1056"/>
      <c r="QG128" s="1056"/>
      <c r="QH128" s="1056"/>
      <c r="QI128" s="1056"/>
      <c r="QJ128" s="1056"/>
      <c r="QK128" s="1056"/>
      <c r="QL128" s="1056"/>
      <c r="QM128" s="1056"/>
      <c r="QN128" s="1056"/>
      <c r="QO128" s="1056"/>
      <c r="QP128" s="1056"/>
      <c r="QQ128" s="1056"/>
      <c r="QR128" s="1056"/>
      <c r="QS128" s="1056"/>
      <c r="QT128" s="1056"/>
      <c r="QU128" s="1056"/>
      <c r="QV128" s="1056"/>
      <c r="QW128" s="1056"/>
      <c r="QX128" s="1056"/>
      <c r="QY128" s="1056"/>
      <c r="QZ128" s="1056"/>
      <c r="RA128" s="1056"/>
      <c r="RB128" s="1056"/>
      <c r="RC128" s="1056"/>
      <c r="RD128" s="1056"/>
      <c r="RE128" s="1056"/>
      <c r="RF128" s="1056"/>
      <c r="RG128" s="1056"/>
      <c r="RH128" s="1056"/>
      <c r="RI128" s="1056"/>
      <c r="RJ128" s="1056"/>
      <c r="RK128" s="1056"/>
      <c r="RL128" s="1056"/>
      <c r="RM128" s="1056"/>
      <c r="RN128" s="1056"/>
      <c r="RO128" s="1056"/>
      <c r="RP128" s="1056"/>
      <c r="RQ128" s="1056"/>
      <c r="RR128" s="1056"/>
      <c r="RS128" s="1056"/>
      <c r="RT128" s="1056"/>
      <c r="RU128" s="1056"/>
      <c r="RV128" s="1056"/>
      <c r="RW128" s="1056"/>
      <c r="RX128" s="1056"/>
      <c r="RY128" s="1056"/>
      <c r="RZ128" s="1056"/>
      <c r="SA128" s="1056"/>
      <c r="SB128" s="1056"/>
      <c r="SC128" s="1056"/>
      <c r="SD128" s="1056"/>
      <c r="SE128" s="1056"/>
      <c r="SF128" s="1056"/>
      <c r="SG128" s="1056"/>
      <c r="SH128" s="1056"/>
      <c r="SI128" s="1056"/>
      <c r="SJ128" s="1056"/>
      <c r="SK128" s="1056"/>
      <c r="SL128" s="1056"/>
      <c r="SM128" s="1056"/>
      <c r="SN128" s="1056"/>
      <c r="SO128" s="1056"/>
      <c r="SP128" s="1056"/>
      <c r="SQ128" s="1056"/>
      <c r="SR128" s="1056"/>
      <c r="SS128" s="1056"/>
      <c r="ST128" s="1056"/>
      <c r="SU128" s="1056"/>
      <c r="SV128" s="1056"/>
      <c r="SW128" s="1056"/>
      <c r="SX128" s="1056"/>
      <c r="SY128" s="1056"/>
      <c r="SZ128" s="1056"/>
      <c r="TA128" s="1056"/>
      <c r="TB128" s="1056"/>
      <c r="TC128" s="1056"/>
      <c r="TD128" s="1056"/>
      <c r="TE128" s="1056"/>
      <c r="TF128" s="1056"/>
      <c r="TG128" s="1056"/>
      <c r="TH128" s="1056"/>
      <c r="TI128" s="1056"/>
      <c r="TJ128" s="1056"/>
      <c r="TK128" s="1056"/>
      <c r="TL128" s="1056"/>
      <c r="TM128" s="1056"/>
      <c r="TN128" s="1056"/>
      <c r="TO128" s="1056"/>
      <c r="TP128" s="1056"/>
      <c r="TQ128" s="1056"/>
      <c r="TR128" s="1056"/>
      <c r="TS128" s="1056"/>
      <c r="TT128" s="1056"/>
      <c r="TU128" s="1056"/>
      <c r="TV128" s="1056"/>
      <c r="TW128" s="1056"/>
      <c r="TX128" s="1056"/>
      <c r="TY128" s="1056"/>
      <c r="TZ128" s="1056"/>
      <c r="UA128" s="1056"/>
      <c r="UB128" s="1056"/>
      <c r="UC128" s="1056"/>
      <c r="UD128" s="1056"/>
      <c r="UE128" s="1056"/>
      <c r="UF128" s="1056"/>
      <c r="UG128" s="1056"/>
      <c r="UH128" s="1056"/>
      <c r="UI128" s="1056"/>
      <c r="UJ128" s="1056"/>
      <c r="UK128" s="1056"/>
      <c r="UL128" s="1056"/>
      <c r="UM128" s="1056"/>
      <c r="UN128" s="1056"/>
      <c r="UO128" s="1056"/>
      <c r="UP128" s="1056"/>
      <c r="UQ128" s="1056"/>
      <c r="UR128" s="1056"/>
      <c r="US128" s="1056"/>
      <c r="UT128" s="1056"/>
      <c r="UU128" s="1056"/>
      <c r="UV128" s="1056"/>
      <c r="UW128" s="1056"/>
      <c r="UX128" s="1056"/>
      <c r="UY128" s="1056"/>
      <c r="UZ128" s="1056"/>
      <c r="VA128" s="1056"/>
      <c r="VB128" s="1056"/>
      <c r="VC128" s="1056"/>
      <c r="VD128" s="1056"/>
      <c r="VE128" s="1056"/>
      <c r="VF128" s="1056"/>
      <c r="VG128" s="1056"/>
      <c r="VH128" s="1056"/>
      <c r="VI128" s="1056"/>
      <c r="VJ128" s="1056"/>
      <c r="VK128" s="1056"/>
      <c r="VL128" s="1056"/>
      <c r="VM128" s="1056"/>
      <c r="VN128" s="1056"/>
      <c r="VO128" s="1056"/>
      <c r="VP128" s="1056"/>
      <c r="VQ128" s="1056"/>
      <c r="VR128" s="1056"/>
      <c r="VS128" s="1056"/>
      <c r="VT128" s="1056"/>
      <c r="VU128" s="1056"/>
      <c r="VV128" s="1056"/>
      <c r="VW128" s="1056"/>
      <c r="VX128" s="1056"/>
      <c r="VY128" s="1056"/>
      <c r="VZ128" s="1056"/>
      <c r="WA128" s="1056"/>
      <c r="WB128" s="1056"/>
      <c r="WC128" s="1056"/>
      <c r="WD128" s="1056"/>
      <c r="WE128" s="1056"/>
      <c r="WF128" s="1056"/>
      <c r="WG128" s="1056"/>
      <c r="WH128" s="1056"/>
      <c r="WI128" s="1056"/>
      <c r="WJ128" s="1056"/>
      <c r="WK128" s="1056"/>
      <c r="WL128" s="1056"/>
      <c r="WM128" s="1056"/>
      <c r="WN128" s="1056"/>
      <c r="WO128" s="1056"/>
      <c r="WP128" s="1056"/>
      <c r="WQ128" s="1056"/>
      <c r="WR128" s="1056"/>
      <c r="WS128" s="1056"/>
      <c r="WT128" s="1056"/>
      <c r="WU128" s="1056"/>
      <c r="WV128" s="1056"/>
      <c r="WW128" s="1056"/>
      <c r="WX128" s="1056"/>
      <c r="WY128" s="1056"/>
      <c r="WZ128" s="1056"/>
      <c r="XA128" s="1056"/>
      <c r="XB128" s="1056"/>
      <c r="XC128" s="1056"/>
      <c r="XD128" s="1056"/>
      <c r="XE128" s="1056"/>
      <c r="XF128" s="1056"/>
      <c r="XG128" s="1056"/>
      <c r="XH128" s="1056"/>
      <c r="XI128" s="1056"/>
      <c r="XJ128" s="1056"/>
      <c r="XK128" s="1056"/>
      <c r="XL128" s="1056"/>
      <c r="XM128" s="1056"/>
      <c r="XN128" s="1056"/>
      <c r="XO128" s="1056"/>
      <c r="XP128" s="1056"/>
      <c r="XQ128" s="1056"/>
      <c r="XR128" s="1056"/>
      <c r="XS128" s="1056"/>
      <c r="XT128" s="1056"/>
      <c r="XU128" s="1056"/>
      <c r="XV128" s="1056"/>
      <c r="XW128" s="1056"/>
      <c r="XX128" s="1056"/>
      <c r="XY128" s="1056"/>
      <c r="XZ128" s="1056"/>
      <c r="YA128" s="1056"/>
      <c r="YB128" s="1056"/>
      <c r="YC128" s="1056"/>
      <c r="YD128" s="1056"/>
      <c r="YE128" s="1056"/>
      <c r="YF128" s="1056"/>
      <c r="YG128" s="1056"/>
      <c r="YH128" s="1056"/>
      <c r="YI128" s="1056"/>
      <c r="YJ128" s="1056"/>
      <c r="YK128" s="1056"/>
      <c r="YL128" s="1056"/>
      <c r="YM128" s="1056"/>
      <c r="YN128" s="1056"/>
      <c r="YO128" s="1056"/>
      <c r="YP128" s="1056"/>
      <c r="YQ128" s="1056"/>
      <c r="YR128" s="1056"/>
      <c r="YS128" s="1056"/>
      <c r="YT128" s="1056"/>
      <c r="YU128" s="1056"/>
      <c r="YV128" s="1056"/>
      <c r="YW128" s="1056"/>
      <c r="YX128" s="1056"/>
      <c r="YY128" s="1056"/>
      <c r="YZ128" s="1056"/>
      <c r="ZA128" s="1056"/>
      <c r="ZB128" s="1056"/>
      <c r="ZC128" s="1056"/>
      <c r="ZD128" s="1056"/>
      <c r="ZE128" s="1056"/>
      <c r="ZF128" s="1056"/>
      <c r="ZG128" s="1056"/>
      <c r="ZH128" s="1056"/>
      <c r="ZI128" s="1056"/>
      <c r="ZJ128" s="1056"/>
      <c r="ZK128" s="1056"/>
      <c r="ZL128" s="1056"/>
      <c r="ZM128" s="1056"/>
      <c r="ZN128" s="1056"/>
      <c r="ZO128" s="1056"/>
      <c r="ZP128" s="1056"/>
      <c r="ZQ128" s="1056"/>
      <c r="ZR128" s="1056"/>
      <c r="ZS128" s="1056"/>
      <c r="ZT128" s="1056"/>
      <c r="ZU128" s="1056"/>
      <c r="ZV128" s="1056"/>
      <c r="ZW128" s="1056"/>
      <c r="ZX128" s="1056"/>
      <c r="ZY128" s="1056"/>
      <c r="ZZ128" s="1056"/>
      <c r="AAA128" s="1056"/>
      <c r="AAB128" s="1056"/>
      <c r="AAC128" s="1056"/>
      <c r="AAD128" s="1056"/>
      <c r="AAE128" s="1056"/>
      <c r="AAF128" s="1056"/>
      <c r="AAG128" s="1056"/>
      <c r="AAH128" s="1056"/>
      <c r="AAI128" s="1056"/>
      <c r="AAJ128" s="1056"/>
      <c r="AAK128" s="1056"/>
      <c r="AAL128" s="1056"/>
      <c r="AAM128" s="1056"/>
      <c r="AAN128" s="1056"/>
      <c r="AAO128" s="1056"/>
      <c r="AAP128" s="1056"/>
      <c r="AAQ128" s="1056"/>
      <c r="AAR128" s="1056"/>
      <c r="AAS128" s="1056"/>
      <c r="AAT128" s="1056"/>
      <c r="AAU128" s="1056"/>
      <c r="AAV128" s="1056"/>
      <c r="AAW128" s="1056"/>
      <c r="AAX128" s="1056"/>
      <c r="AAY128" s="1056"/>
      <c r="AAZ128" s="1056"/>
      <c r="ABA128" s="1056"/>
      <c r="ABB128" s="1056"/>
      <c r="ABC128" s="1056"/>
      <c r="ABD128" s="1056"/>
      <c r="ABE128" s="1056"/>
      <c r="ABF128" s="1056"/>
      <c r="ABG128" s="1056"/>
      <c r="ABH128" s="1056"/>
      <c r="ABI128" s="1056"/>
      <c r="ABJ128" s="1056"/>
      <c r="ABK128" s="1056"/>
      <c r="ABL128" s="1056"/>
      <c r="ABM128" s="1056"/>
      <c r="ABN128" s="1056"/>
      <c r="ABO128" s="1056"/>
      <c r="ABP128" s="1056"/>
      <c r="ABQ128" s="1056"/>
      <c r="ABR128" s="1056"/>
      <c r="ABS128" s="1056"/>
      <c r="ABT128" s="1056"/>
      <c r="ABU128" s="1056"/>
      <c r="ABV128" s="1056"/>
      <c r="ABW128" s="1056"/>
      <c r="ABX128" s="1056"/>
      <c r="ABY128" s="1056"/>
      <c r="ABZ128" s="1056"/>
      <c r="ACA128" s="1056"/>
      <c r="ACB128" s="1056"/>
      <c r="ACC128" s="1056"/>
      <c r="ACD128" s="1056"/>
      <c r="ACE128" s="1056"/>
      <c r="ACF128" s="1056"/>
      <c r="ACG128" s="1056"/>
      <c r="ACH128" s="1056"/>
      <c r="ACI128" s="1056"/>
      <c r="ACJ128" s="1056"/>
      <c r="ACK128" s="1056"/>
      <c r="ACL128" s="1056"/>
      <c r="ACM128" s="1056"/>
      <c r="ACN128" s="1056"/>
      <c r="ACO128" s="1056"/>
      <c r="ACP128" s="1056"/>
      <c r="ACQ128" s="1056"/>
      <c r="ACR128" s="1056"/>
      <c r="ACS128" s="1056"/>
      <c r="ACT128" s="1056"/>
      <c r="ACU128" s="1056"/>
      <c r="ACV128" s="1056"/>
      <c r="ACW128" s="1056"/>
      <c r="ACX128" s="1056"/>
      <c r="ACY128" s="1056"/>
      <c r="ACZ128" s="1056"/>
      <c r="ADA128" s="1056"/>
      <c r="ADB128" s="1056"/>
      <c r="ADC128" s="1056"/>
      <c r="ADD128" s="1056"/>
      <c r="ADE128" s="1056"/>
      <c r="ADF128" s="1056"/>
      <c r="ADG128" s="1056"/>
      <c r="ADH128" s="1056"/>
      <c r="ADI128" s="1056"/>
      <c r="ADJ128" s="1056"/>
      <c r="ADK128" s="1056"/>
      <c r="ADL128" s="1056"/>
      <c r="ADM128" s="1056"/>
      <c r="ADN128" s="1056"/>
      <c r="ADO128" s="1056"/>
      <c r="ADP128" s="1056"/>
      <c r="ADQ128" s="1056"/>
      <c r="ADR128" s="1056"/>
      <c r="ADS128" s="1056"/>
      <c r="ADT128" s="1056"/>
      <c r="ADU128" s="1056"/>
      <c r="ADV128" s="1056"/>
      <c r="ADW128" s="1056"/>
      <c r="ADX128" s="1056"/>
      <c r="ADY128" s="1056"/>
      <c r="ADZ128" s="1056"/>
      <c r="AEA128" s="1056"/>
      <c r="AEB128" s="1056"/>
      <c r="AEC128" s="1056"/>
      <c r="AED128" s="1056"/>
      <c r="AEE128" s="1056"/>
      <c r="AEF128" s="1056"/>
      <c r="AEG128" s="1056"/>
      <c r="AEH128" s="1056"/>
      <c r="AEI128" s="1056"/>
      <c r="AEJ128" s="1056"/>
      <c r="AEK128" s="1056"/>
      <c r="AEL128" s="1056"/>
      <c r="AEM128" s="1056"/>
      <c r="AEN128" s="1056"/>
      <c r="AEO128" s="1056"/>
      <c r="AEP128" s="1056"/>
      <c r="AEQ128" s="1056"/>
      <c r="AER128" s="1056"/>
      <c r="AES128" s="1056"/>
      <c r="AET128" s="1056"/>
      <c r="AEU128" s="1056"/>
      <c r="AEV128" s="1056"/>
      <c r="AEW128" s="1056"/>
      <c r="AEX128" s="1056"/>
      <c r="AEY128" s="1056"/>
      <c r="AEZ128" s="1056"/>
      <c r="AFA128" s="1056"/>
      <c r="AFB128" s="1056"/>
      <c r="AFC128" s="1056"/>
      <c r="AFD128" s="1056"/>
      <c r="AFE128" s="1056"/>
      <c r="AFF128" s="1056"/>
      <c r="AFG128" s="1056"/>
      <c r="AFH128" s="1056"/>
      <c r="AFI128" s="1056"/>
      <c r="AFJ128" s="1056"/>
      <c r="AFK128" s="1056"/>
      <c r="AFL128" s="1056"/>
      <c r="AFM128" s="1056"/>
      <c r="AFN128" s="1056"/>
      <c r="AFO128" s="1056"/>
      <c r="AFP128" s="1056"/>
      <c r="AFQ128" s="1056"/>
      <c r="AFR128" s="1056"/>
      <c r="AFS128" s="1056"/>
      <c r="AFT128" s="1056"/>
      <c r="AFU128" s="1056"/>
      <c r="AFV128" s="1056"/>
      <c r="AFW128" s="1056"/>
      <c r="AFX128" s="1056"/>
      <c r="AFY128" s="1056"/>
      <c r="AFZ128" s="1056"/>
      <c r="AGA128" s="1056"/>
      <c r="AGB128" s="1056"/>
      <c r="AGC128" s="1056"/>
      <c r="AGD128" s="1056"/>
      <c r="AGE128" s="1056"/>
      <c r="AGF128" s="1056"/>
      <c r="AGG128" s="1056"/>
      <c r="AGH128" s="1056"/>
      <c r="AGI128" s="1056"/>
      <c r="AGJ128" s="1056"/>
      <c r="AGK128" s="1056"/>
      <c r="AGL128" s="1056"/>
      <c r="AGM128" s="1056"/>
      <c r="AGN128" s="1056"/>
      <c r="AGO128" s="1056"/>
      <c r="AGP128" s="1056"/>
      <c r="AGQ128" s="1056"/>
      <c r="AGR128" s="1056"/>
      <c r="AGS128" s="1056"/>
      <c r="AGT128" s="1056"/>
      <c r="AGU128" s="1056"/>
      <c r="AGV128" s="1056"/>
      <c r="AGW128" s="1056"/>
      <c r="AGX128" s="1056"/>
      <c r="AGY128" s="1056"/>
      <c r="AGZ128" s="1056"/>
      <c r="AHA128" s="1056"/>
      <c r="AHB128" s="1056"/>
      <c r="AHC128" s="1056"/>
      <c r="AHD128" s="1056"/>
      <c r="AHE128" s="1056"/>
      <c r="AHF128" s="1056"/>
      <c r="AHG128" s="1056"/>
      <c r="AHH128" s="1056"/>
      <c r="AHI128" s="1056"/>
      <c r="AHJ128" s="1056"/>
      <c r="AHK128" s="1056"/>
      <c r="AHL128" s="1056"/>
      <c r="AHM128" s="1056"/>
      <c r="AHN128" s="1056"/>
      <c r="AHO128" s="1056"/>
      <c r="AHP128" s="1056"/>
      <c r="AHQ128" s="1056"/>
      <c r="AHR128" s="1056"/>
      <c r="AHS128" s="1056"/>
      <c r="AHT128" s="1056"/>
      <c r="AHU128" s="1056"/>
      <c r="AHV128" s="1056"/>
      <c r="AHW128" s="1056"/>
      <c r="AHX128" s="1056"/>
      <c r="AHY128" s="1056"/>
      <c r="AHZ128" s="1056"/>
      <c r="AIA128" s="1056"/>
      <c r="AIB128" s="1056"/>
      <c r="AIC128" s="1056"/>
      <c r="AID128" s="1056"/>
      <c r="AIE128" s="1056"/>
      <c r="AIF128" s="1056"/>
      <c r="AIG128" s="1056"/>
      <c r="AIH128" s="1056"/>
      <c r="AII128" s="1056"/>
      <c r="AIJ128" s="1056"/>
      <c r="AIK128" s="1056"/>
      <c r="AIL128" s="1056"/>
      <c r="AIM128" s="1056"/>
      <c r="AIN128" s="1056"/>
      <c r="AIO128" s="1056"/>
      <c r="AIP128" s="1056"/>
      <c r="AIQ128" s="1056"/>
      <c r="AIR128" s="1056"/>
      <c r="AIS128" s="1056"/>
      <c r="AIT128" s="1056"/>
      <c r="AIU128" s="1056"/>
      <c r="AIV128" s="1056"/>
      <c r="AIW128" s="1056"/>
      <c r="AIX128" s="1056"/>
      <c r="AIY128" s="1056"/>
      <c r="AIZ128" s="1056"/>
      <c r="AJA128" s="1056"/>
      <c r="AJB128" s="1056"/>
      <c r="AJC128" s="1056"/>
      <c r="AJD128" s="1056"/>
      <c r="AJE128" s="1056"/>
      <c r="AJF128" s="1056"/>
      <c r="AJG128" s="1056"/>
      <c r="AJH128" s="1056"/>
      <c r="AJI128" s="1056"/>
      <c r="AJJ128" s="1056"/>
      <c r="AJK128" s="1056"/>
      <c r="AJL128" s="1056"/>
      <c r="AJM128" s="1056"/>
      <c r="AJN128" s="1056"/>
      <c r="AJO128" s="1056"/>
      <c r="AJP128" s="1056"/>
      <c r="AJQ128" s="1056"/>
      <c r="AJR128" s="1056"/>
      <c r="AJS128" s="1056"/>
      <c r="AJT128" s="1056"/>
      <c r="AJU128" s="1056"/>
      <c r="AJV128" s="1056"/>
      <c r="AJW128" s="1056"/>
      <c r="AJX128" s="1056"/>
      <c r="AJY128" s="1056"/>
      <c r="AJZ128" s="1056"/>
      <c r="AKA128" s="1056"/>
      <c r="AKB128" s="1056"/>
      <c r="AKC128" s="1056"/>
      <c r="AKD128" s="1056"/>
      <c r="AKE128" s="1056"/>
      <c r="AKF128" s="1056"/>
      <c r="AKG128" s="1056"/>
      <c r="AKH128" s="1056"/>
      <c r="AKI128" s="1056"/>
      <c r="AKJ128" s="1056"/>
      <c r="AKK128" s="1056"/>
      <c r="AKL128" s="1056"/>
      <c r="AKM128" s="1056"/>
      <c r="AKN128" s="1056"/>
      <c r="AKO128" s="1056"/>
      <c r="AKP128" s="1056"/>
      <c r="AKQ128" s="1056"/>
      <c r="AKR128" s="1056"/>
      <c r="AKS128" s="1056"/>
      <c r="AKT128" s="1056"/>
      <c r="AKU128" s="1056"/>
      <c r="AKV128" s="1056"/>
      <c r="AKW128" s="1056"/>
      <c r="AKX128" s="1056"/>
      <c r="AKY128" s="1056"/>
      <c r="AKZ128" s="1056"/>
      <c r="ALA128" s="1056"/>
      <c r="ALB128" s="1056"/>
      <c r="ALC128" s="1056"/>
      <c r="ALD128" s="1056"/>
      <c r="ALE128" s="1056"/>
      <c r="ALF128" s="1056"/>
      <c r="ALG128" s="1056"/>
      <c r="ALH128" s="1056"/>
      <c r="ALI128" s="1056"/>
      <c r="ALJ128" s="1056"/>
      <c r="ALK128" s="1056"/>
      <c r="ALL128" s="1056"/>
      <c r="ALM128" s="1056"/>
      <c r="ALN128" s="1056"/>
      <c r="ALO128" s="1056"/>
      <c r="ALP128" s="1056"/>
      <c r="ALQ128" s="1056"/>
      <c r="ALR128" s="1056"/>
      <c r="ALS128" s="1056"/>
      <c r="ALT128" s="1056"/>
      <c r="ALU128" s="1056"/>
      <c r="ALV128" s="1056"/>
      <c r="ALW128" s="1056"/>
      <c r="ALX128" s="1056"/>
      <c r="ALY128" s="1056"/>
      <c r="ALZ128" s="1056"/>
      <c r="AMA128" s="1056"/>
      <c r="AMB128" s="1056"/>
      <c r="AMC128" s="1056"/>
      <c r="AMD128" s="1056"/>
      <c r="AME128" s="1056"/>
      <c r="AMF128" s="1056"/>
      <c r="AMG128" s="1056"/>
      <c r="AMH128" s="1056"/>
      <c r="AMI128" s="1056"/>
      <c r="AMJ128" s="1056"/>
      <c r="AMK128" s="1056"/>
      <c r="AML128" s="1056"/>
      <c r="AMM128" s="1056"/>
      <c r="AMN128" s="1056"/>
      <c r="AMO128" s="1056"/>
      <c r="AMP128" s="1056"/>
      <c r="AMQ128" s="1056"/>
      <c r="AMR128" s="1056"/>
      <c r="AMS128" s="1056"/>
      <c r="AMT128" s="1056"/>
      <c r="AMU128" s="1056"/>
      <c r="AMV128" s="1056"/>
      <c r="AMW128" s="1056"/>
      <c r="AMX128" s="1056"/>
      <c r="AMY128" s="1056"/>
      <c r="AMZ128" s="1056"/>
      <c r="ANA128" s="1056"/>
      <c r="ANB128" s="1056"/>
      <c r="ANC128" s="1056"/>
      <c r="AND128" s="1056"/>
      <c r="ANE128" s="1056"/>
      <c r="ANF128" s="1056"/>
      <c r="ANG128" s="1056"/>
      <c r="ANH128" s="1056"/>
      <c r="ANI128" s="1056"/>
      <c r="ANJ128" s="1056"/>
      <c r="ANK128" s="1056"/>
      <c r="ANL128" s="1056"/>
      <c r="ANM128" s="1056"/>
      <c r="ANN128" s="1056"/>
      <c r="ANO128" s="1056"/>
      <c r="ANP128" s="1056"/>
      <c r="ANQ128" s="1056"/>
      <c r="ANR128" s="1056"/>
      <c r="ANS128" s="1056"/>
      <c r="ANT128" s="1056"/>
      <c r="ANU128" s="1056"/>
      <c r="ANV128" s="1056"/>
      <c r="ANW128" s="1056"/>
      <c r="ANX128" s="1056"/>
      <c r="ANY128" s="1056"/>
      <c r="ANZ128" s="1056"/>
      <c r="AOA128" s="1056"/>
      <c r="AOB128" s="1056"/>
      <c r="AOC128" s="1056"/>
      <c r="AOD128" s="1056"/>
      <c r="AOE128" s="1056"/>
      <c r="AOF128" s="1056"/>
      <c r="AOG128" s="1056"/>
      <c r="AOH128" s="1056"/>
      <c r="AOI128" s="1056"/>
      <c r="AOJ128" s="1056"/>
      <c r="AOK128" s="1056"/>
      <c r="AOL128" s="1056"/>
      <c r="AOM128" s="1056"/>
      <c r="AON128" s="1056"/>
      <c r="AOO128" s="1056"/>
      <c r="AOP128" s="1056"/>
      <c r="AOQ128" s="1056"/>
      <c r="AOR128" s="1056"/>
      <c r="AOS128" s="1056"/>
      <c r="AOT128" s="1056"/>
      <c r="AOU128" s="1056"/>
      <c r="AOV128" s="1056"/>
      <c r="AOW128" s="1056"/>
      <c r="AOX128" s="1056"/>
      <c r="AOY128" s="1056"/>
      <c r="AOZ128" s="1056"/>
      <c r="APA128" s="1056"/>
      <c r="APB128" s="1056"/>
      <c r="APC128" s="1056"/>
      <c r="APD128" s="1056"/>
      <c r="APE128" s="1056"/>
      <c r="APF128" s="1056"/>
      <c r="APG128" s="1056"/>
      <c r="APH128" s="1056"/>
      <c r="API128" s="1056"/>
      <c r="APJ128" s="1056"/>
      <c r="APK128" s="1056"/>
      <c r="APL128" s="1056"/>
      <c r="APM128" s="1056"/>
      <c r="APN128" s="1056"/>
      <c r="APO128" s="1056"/>
      <c r="APP128" s="1056"/>
      <c r="APQ128" s="1056"/>
      <c r="APR128" s="1056"/>
      <c r="APS128" s="1056"/>
      <c r="APT128" s="1056"/>
      <c r="APU128" s="1056"/>
      <c r="APV128" s="1056"/>
      <c r="APW128" s="1056"/>
      <c r="APX128" s="1056"/>
      <c r="APY128" s="1056"/>
      <c r="APZ128" s="1056"/>
      <c r="AQA128" s="1056"/>
      <c r="AQB128" s="1056"/>
      <c r="AQC128" s="1056"/>
      <c r="AQD128" s="1056"/>
      <c r="AQE128" s="1056"/>
      <c r="AQF128" s="1056"/>
      <c r="AQG128" s="1056"/>
      <c r="AQH128" s="1056"/>
      <c r="AQI128" s="1056"/>
      <c r="AQJ128" s="1056"/>
      <c r="AQK128" s="1056"/>
      <c r="AQL128" s="1056"/>
      <c r="AQM128" s="1056"/>
      <c r="AQN128" s="1056"/>
      <c r="AQO128" s="1056"/>
      <c r="AQP128" s="1056"/>
      <c r="AQQ128" s="1056"/>
      <c r="AQR128" s="1056"/>
      <c r="AQS128" s="1056"/>
      <c r="AQT128" s="1056"/>
      <c r="AQU128" s="1056"/>
      <c r="AQV128" s="1056"/>
      <c r="AQW128" s="1056"/>
      <c r="AQX128" s="1056"/>
      <c r="AQY128" s="1056"/>
      <c r="AQZ128" s="1056"/>
      <c r="ARA128" s="1056"/>
      <c r="ARB128" s="1056"/>
      <c r="ARC128" s="1056"/>
      <c r="ARD128" s="1056"/>
      <c r="ARE128" s="1056"/>
      <c r="ARF128" s="1056"/>
      <c r="ARG128" s="1056"/>
      <c r="ARH128" s="1056"/>
      <c r="ARI128" s="1056"/>
      <c r="ARJ128" s="1056"/>
      <c r="ARK128" s="1056"/>
      <c r="ARL128" s="1056"/>
      <c r="ARM128" s="1056"/>
      <c r="ARN128" s="1056"/>
      <c r="ARO128" s="1056"/>
      <c r="ARP128" s="1056"/>
      <c r="ARQ128" s="1056"/>
      <c r="ARR128" s="1056"/>
      <c r="ARS128" s="1056"/>
      <c r="ART128" s="1056"/>
      <c r="ARU128" s="1056"/>
      <c r="ARV128" s="1056"/>
      <c r="ARW128" s="1056"/>
      <c r="ARX128" s="1056"/>
      <c r="ARY128" s="1056"/>
      <c r="ARZ128" s="1056"/>
      <c r="ASA128" s="1056"/>
      <c r="ASB128" s="1056"/>
      <c r="ASC128" s="1056"/>
      <c r="ASD128" s="1056"/>
      <c r="ASE128" s="1056"/>
      <c r="ASF128" s="1056"/>
      <c r="ASG128" s="1056"/>
      <c r="ASH128" s="1056"/>
      <c r="ASI128" s="1056"/>
      <c r="ASJ128" s="1056"/>
      <c r="ASK128" s="1056"/>
      <c r="ASL128" s="1056"/>
      <c r="ASM128" s="1056"/>
      <c r="ASN128" s="1056"/>
      <c r="ASO128" s="1056"/>
      <c r="ASP128" s="1056"/>
      <c r="ASQ128" s="1056"/>
      <c r="ASR128" s="1056"/>
      <c r="ASS128" s="1056"/>
      <c r="AST128" s="1056"/>
      <c r="ASU128" s="1056"/>
      <c r="ASV128" s="1056"/>
      <c r="ASW128" s="1056"/>
      <c r="ASX128" s="1056"/>
      <c r="ASY128" s="1056"/>
      <c r="ASZ128" s="1056"/>
      <c r="ATA128" s="1056"/>
      <c r="ATB128" s="1056"/>
      <c r="ATC128" s="1056"/>
      <c r="ATD128" s="1056"/>
      <c r="ATE128" s="1056"/>
      <c r="ATF128" s="1056"/>
      <c r="ATG128" s="1056"/>
      <c r="ATH128" s="1056"/>
      <c r="ATI128" s="1056"/>
      <c r="ATJ128" s="1056"/>
      <c r="ATK128" s="1056"/>
      <c r="ATL128" s="1056"/>
      <c r="ATM128" s="1056"/>
      <c r="ATN128" s="1056"/>
      <c r="ATO128" s="1056"/>
      <c r="ATP128" s="1056"/>
      <c r="ATQ128" s="1056"/>
      <c r="ATR128" s="1056"/>
      <c r="ATS128" s="1056"/>
      <c r="ATT128" s="1056"/>
      <c r="ATU128" s="1056"/>
      <c r="ATV128" s="1056"/>
      <c r="ATW128" s="1056"/>
      <c r="ATX128" s="1056"/>
      <c r="ATY128" s="1056"/>
      <c r="ATZ128" s="1056"/>
      <c r="AUA128" s="1056"/>
      <c r="AUB128" s="1056"/>
      <c r="AUC128" s="1056"/>
      <c r="AUD128" s="1056"/>
      <c r="AUE128" s="1056"/>
      <c r="AUF128" s="1056"/>
      <c r="AUG128" s="1056"/>
      <c r="AUH128" s="1056"/>
      <c r="AUI128" s="1056"/>
      <c r="AUJ128" s="1056"/>
      <c r="AUK128" s="1056"/>
      <c r="AUL128" s="1056"/>
      <c r="AUM128" s="1056"/>
      <c r="AUN128" s="1056"/>
      <c r="AUO128" s="1056"/>
      <c r="AUP128" s="1056"/>
      <c r="AUQ128" s="1056"/>
      <c r="AUR128" s="1056"/>
      <c r="AUS128" s="1056"/>
      <c r="AUT128" s="1056"/>
      <c r="AUU128" s="1056"/>
      <c r="AUV128" s="1056"/>
      <c r="AUW128" s="1056"/>
      <c r="AUX128" s="1056"/>
      <c r="AUY128" s="1056"/>
      <c r="AUZ128" s="1056"/>
      <c r="AVA128" s="1056"/>
      <c r="AVB128" s="1056"/>
      <c r="AVC128" s="1056"/>
      <c r="AVD128" s="1056"/>
      <c r="AVE128" s="1056"/>
      <c r="AVF128" s="1056"/>
      <c r="AVG128" s="1056"/>
      <c r="AVH128" s="1056"/>
      <c r="AVI128" s="1056"/>
      <c r="AVJ128" s="1056"/>
      <c r="AVK128" s="1056"/>
      <c r="AVL128" s="1056"/>
      <c r="AVM128" s="1056"/>
      <c r="AVN128" s="1056"/>
      <c r="AVO128" s="1056"/>
      <c r="AVP128" s="1056"/>
      <c r="AVQ128" s="1056"/>
      <c r="AVR128" s="1056"/>
      <c r="AVS128" s="1056"/>
      <c r="AVT128" s="1056"/>
      <c r="AVU128" s="1056"/>
      <c r="AVV128" s="1056"/>
      <c r="AVW128" s="1056"/>
      <c r="AVX128" s="1056"/>
      <c r="AVY128" s="1056"/>
      <c r="AVZ128" s="1056"/>
      <c r="AWA128" s="1056"/>
      <c r="AWB128" s="1056"/>
      <c r="AWC128" s="1056"/>
      <c r="AWD128" s="1056"/>
      <c r="AWE128" s="1056"/>
      <c r="AWF128" s="1056"/>
      <c r="AWG128" s="1056"/>
      <c r="AWH128" s="1056"/>
      <c r="AWI128" s="1056"/>
      <c r="AWJ128" s="1056"/>
      <c r="AWK128" s="1056"/>
      <c r="AWL128" s="1056"/>
      <c r="AWM128" s="1056"/>
      <c r="AWN128" s="1056"/>
      <c r="AWO128" s="1056"/>
      <c r="AWP128" s="1056"/>
      <c r="AWQ128" s="1056"/>
      <c r="AWR128" s="1056"/>
      <c r="AWS128" s="1056"/>
      <c r="AWT128" s="1056"/>
      <c r="AWU128" s="1056"/>
      <c r="AWV128" s="1056"/>
      <c r="AWW128" s="1056"/>
      <c r="AWX128" s="1056"/>
      <c r="AWY128" s="1056"/>
      <c r="AWZ128" s="1056"/>
      <c r="AXA128" s="1056"/>
      <c r="AXB128" s="1056"/>
      <c r="AXC128" s="1056"/>
      <c r="AXD128" s="1056"/>
      <c r="AXE128" s="1056"/>
      <c r="AXF128" s="1056"/>
      <c r="AXG128" s="1056"/>
      <c r="AXH128" s="1056"/>
      <c r="AXI128" s="1056"/>
      <c r="AXJ128" s="1056"/>
      <c r="AXK128" s="1056"/>
      <c r="AXL128" s="1056"/>
      <c r="AXM128" s="1056"/>
      <c r="AXN128" s="1056"/>
      <c r="AXO128" s="1056"/>
      <c r="AXP128" s="1056"/>
      <c r="AXQ128" s="1056"/>
      <c r="AXR128" s="1056"/>
      <c r="AXS128" s="1056"/>
      <c r="AXT128" s="1056"/>
      <c r="AXU128" s="1056"/>
      <c r="AXV128" s="1056"/>
      <c r="AXW128" s="1056"/>
      <c r="AXX128" s="1056"/>
      <c r="AXY128" s="1056"/>
      <c r="AXZ128" s="1056"/>
      <c r="AYA128" s="1056"/>
      <c r="AYB128" s="1056"/>
      <c r="AYC128" s="1056"/>
      <c r="AYD128" s="1056"/>
      <c r="AYE128" s="1056"/>
      <c r="AYF128" s="1056"/>
      <c r="AYG128" s="1056"/>
      <c r="AYH128" s="1056"/>
      <c r="AYI128" s="1056"/>
      <c r="AYJ128" s="1056"/>
      <c r="AYK128" s="1056"/>
      <c r="AYL128" s="1056"/>
      <c r="AYM128" s="1056"/>
      <c r="AYN128" s="1056"/>
      <c r="AYO128" s="1056"/>
      <c r="AYP128" s="1056"/>
      <c r="AYQ128" s="1056"/>
      <c r="AYR128" s="1056"/>
      <c r="AYS128" s="1056"/>
      <c r="AYT128" s="1056"/>
      <c r="AYU128" s="1056"/>
      <c r="AYV128" s="1056"/>
      <c r="AYW128" s="1056"/>
      <c r="AYX128" s="1056"/>
      <c r="AYY128" s="1056"/>
      <c r="AYZ128" s="1056"/>
      <c r="AZA128" s="1056"/>
      <c r="AZB128" s="1056"/>
      <c r="AZC128" s="1056"/>
      <c r="AZD128" s="1056"/>
      <c r="AZE128" s="1056"/>
      <c r="AZF128" s="1056"/>
      <c r="AZG128" s="1056"/>
      <c r="AZH128" s="1056"/>
      <c r="AZI128" s="1056"/>
      <c r="AZJ128" s="1056"/>
      <c r="AZK128" s="1056"/>
      <c r="AZL128" s="1056"/>
      <c r="AZM128" s="1056"/>
      <c r="AZN128" s="1056"/>
      <c r="AZO128" s="1056"/>
      <c r="AZP128" s="1056"/>
      <c r="AZQ128" s="1056"/>
      <c r="AZR128" s="1056"/>
      <c r="AZS128" s="1056"/>
      <c r="AZT128" s="1056"/>
      <c r="AZU128" s="1056"/>
      <c r="AZV128" s="1056"/>
      <c r="AZW128" s="1056"/>
      <c r="AZX128" s="1056"/>
      <c r="AZY128" s="1056"/>
      <c r="AZZ128" s="1056"/>
      <c r="BAA128" s="1056"/>
      <c r="BAB128" s="1056"/>
      <c r="BAC128" s="1056"/>
      <c r="BAD128" s="1056"/>
      <c r="BAE128" s="1056"/>
      <c r="BAF128" s="1056"/>
      <c r="BAG128" s="1056"/>
      <c r="BAH128" s="1056"/>
      <c r="BAI128" s="1056"/>
      <c r="BAJ128" s="1056"/>
      <c r="BAK128" s="1056"/>
      <c r="BAL128" s="1056"/>
      <c r="BAM128" s="1056"/>
      <c r="BAN128" s="1056"/>
      <c r="BAO128" s="1056"/>
      <c r="BAP128" s="1056"/>
      <c r="BAQ128" s="1056"/>
      <c r="BAR128" s="1056"/>
      <c r="BAS128" s="1056"/>
      <c r="BAT128" s="1056"/>
      <c r="BAU128" s="1056"/>
      <c r="BAV128" s="1056"/>
      <c r="BAW128" s="1056"/>
      <c r="BAX128" s="1056"/>
      <c r="BAY128" s="1056"/>
      <c r="BAZ128" s="1056"/>
      <c r="BBA128" s="1056"/>
      <c r="BBB128" s="1056"/>
      <c r="BBC128" s="1056"/>
      <c r="BBD128" s="1056"/>
      <c r="BBE128" s="1056"/>
      <c r="BBF128" s="1056"/>
      <c r="BBG128" s="1056"/>
      <c r="BBH128" s="1056"/>
      <c r="BBI128" s="1056"/>
      <c r="BBJ128" s="1056"/>
      <c r="BBK128" s="1056"/>
      <c r="BBL128" s="1056"/>
      <c r="BBM128" s="1056"/>
      <c r="BBN128" s="1056"/>
      <c r="BBO128" s="1056"/>
      <c r="BBP128" s="1056"/>
      <c r="BBQ128" s="1056"/>
      <c r="BBR128" s="1056"/>
      <c r="BBS128" s="1056"/>
      <c r="BBT128" s="1056"/>
      <c r="BBU128" s="1056"/>
      <c r="BBV128" s="1056"/>
      <c r="BBW128" s="1056"/>
      <c r="BBX128" s="1056"/>
      <c r="BBY128" s="1056"/>
      <c r="BBZ128" s="1056"/>
      <c r="BCA128" s="1056"/>
      <c r="BCB128" s="1056"/>
      <c r="BCC128" s="1056"/>
      <c r="BCD128" s="1056"/>
      <c r="BCE128" s="1056"/>
      <c r="BCF128" s="1056"/>
      <c r="BCG128" s="1056"/>
      <c r="BCH128" s="1056"/>
      <c r="BCI128" s="1056"/>
      <c r="BCJ128" s="1056"/>
      <c r="BCK128" s="1056"/>
      <c r="BCL128" s="1056"/>
      <c r="BCM128" s="1056"/>
      <c r="BCN128" s="1056"/>
      <c r="BCO128" s="1056"/>
      <c r="BCP128" s="1056"/>
      <c r="BCQ128" s="1056"/>
      <c r="BCR128" s="1056"/>
      <c r="BCS128" s="1056"/>
      <c r="BCT128" s="1056"/>
      <c r="BCU128" s="1056"/>
      <c r="BCV128" s="1056"/>
      <c r="BCW128" s="1056"/>
      <c r="BCX128" s="1056"/>
      <c r="BCY128" s="1056"/>
      <c r="BCZ128" s="1056"/>
      <c r="BDA128" s="1056"/>
      <c r="BDB128" s="1056"/>
      <c r="BDC128" s="1056"/>
      <c r="BDD128" s="1056"/>
      <c r="BDE128" s="1056"/>
      <c r="BDF128" s="1056"/>
      <c r="BDG128" s="1056"/>
      <c r="BDH128" s="1056"/>
      <c r="BDI128" s="1056"/>
      <c r="BDJ128" s="1056"/>
      <c r="BDK128" s="1056"/>
      <c r="BDL128" s="1056"/>
      <c r="BDM128" s="1056"/>
      <c r="BDN128" s="1056"/>
      <c r="BDO128" s="1056"/>
      <c r="BDP128" s="1056"/>
      <c r="BDQ128" s="1056"/>
      <c r="BDR128" s="1056"/>
      <c r="BDS128" s="1056"/>
      <c r="BDT128" s="1056"/>
      <c r="BDU128" s="1056"/>
      <c r="BDV128" s="1056"/>
      <c r="BDW128" s="1056"/>
      <c r="BDX128" s="1056"/>
      <c r="BDY128" s="1056"/>
      <c r="BDZ128" s="1056"/>
      <c r="BEA128" s="1056"/>
      <c r="BEB128" s="1056"/>
      <c r="BEC128" s="1056"/>
      <c r="BED128" s="1056"/>
      <c r="BEE128" s="1056"/>
      <c r="BEF128" s="1056"/>
      <c r="BEG128" s="1056"/>
      <c r="BEH128" s="1056"/>
      <c r="BEI128" s="1056"/>
      <c r="BEJ128" s="1056"/>
      <c r="BEK128" s="1056"/>
      <c r="BEL128" s="1056"/>
      <c r="BEM128" s="1056"/>
      <c r="BEN128" s="1056"/>
      <c r="BEO128" s="1056"/>
      <c r="BEP128" s="1056"/>
      <c r="BEQ128" s="1056"/>
      <c r="BER128" s="1056"/>
      <c r="BES128" s="1056"/>
      <c r="BET128" s="1056"/>
      <c r="BEU128" s="1056"/>
      <c r="BEV128" s="1056"/>
      <c r="BEW128" s="1056"/>
      <c r="BEX128" s="1056"/>
      <c r="BEY128" s="1056"/>
      <c r="BEZ128" s="1056"/>
      <c r="BFA128" s="1056"/>
      <c r="BFB128" s="1056"/>
      <c r="BFC128" s="1056"/>
      <c r="BFD128" s="1056"/>
      <c r="BFE128" s="1056"/>
      <c r="BFF128" s="1056"/>
      <c r="BFG128" s="1056"/>
      <c r="BFH128" s="1056"/>
      <c r="BFI128" s="1056"/>
      <c r="BFJ128" s="1056"/>
      <c r="BFK128" s="1056"/>
      <c r="BFL128" s="1056"/>
      <c r="BFM128" s="1056"/>
      <c r="BFN128" s="1056"/>
      <c r="BFO128" s="1056"/>
      <c r="BFP128" s="1056"/>
      <c r="BFQ128" s="1056"/>
      <c r="BFR128" s="1056"/>
      <c r="BFS128" s="1056"/>
      <c r="BFT128" s="1056"/>
      <c r="BFU128" s="1056"/>
      <c r="BFV128" s="1056"/>
      <c r="BFW128" s="1056"/>
      <c r="BFX128" s="1056"/>
      <c r="BFY128" s="1056"/>
      <c r="BFZ128" s="1056"/>
      <c r="BGA128" s="1056"/>
      <c r="BGB128" s="1056"/>
      <c r="BGC128" s="1056"/>
      <c r="BGD128" s="1056"/>
      <c r="BGE128" s="1056"/>
      <c r="BGF128" s="1056"/>
      <c r="BGG128" s="1056"/>
      <c r="BGH128" s="1056"/>
      <c r="BGI128" s="1056"/>
      <c r="BGJ128" s="1056"/>
      <c r="BGK128" s="1056"/>
      <c r="BGL128" s="1056"/>
      <c r="BGM128" s="1056"/>
      <c r="BGN128" s="1056"/>
      <c r="BGO128" s="1056"/>
      <c r="BGP128" s="1056"/>
      <c r="BGQ128" s="1056"/>
      <c r="BGR128" s="1056"/>
      <c r="BGS128" s="1056"/>
      <c r="BGT128" s="1056"/>
      <c r="BGU128" s="1056"/>
      <c r="BGV128" s="1056"/>
      <c r="BGW128" s="1056"/>
      <c r="BGX128" s="1056"/>
      <c r="BGY128" s="1056"/>
      <c r="BGZ128" s="1056"/>
      <c r="BHA128" s="1056"/>
      <c r="BHB128" s="1056"/>
      <c r="BHC128" s="1056"/>
      <c r="BHD128" s="1056"/>
      <c r="BHE128" s="1056"/>
      <c r="BHF128" s="1056"/>
      <c r="BHG128" s="1056"/>
      <c r="BHH128" s="1056"/>
      <c r="BHI128" s="1056"/>
      <c r="BHJ128" s="1056"/>
      <c r="BHK128" s="1056"/>
      <c r="BHL128" s="1056"/>
      <c r="BHM128" s="1056"/>
      <c r="BHN128" s="1056"/>
      <c r="BHO128" s="1056"/>
      <c r="BHP128" s="1056"/>
      <c r="BHQ128" s="1056"/>
      <c r="BHR128" s="1056"/>
      <c r="BHS128" s="1056"/>
      <c r="BHT128" s="1056"/>
      <c r="BHU128" s="1056"/>
      <c r="BHV128" s="1056"/>
      <c r="BHW128" s="1056"/>
      <c r="BHX128" s="1056"/>
      <c r="BHY128" s="1056"/>
      <c r="BHZ128" s="1056"/>
      <c r="BIA128" s="1056"/>
      <c r="BIB128" s="1056"/>
      <c r="BIC128" s="1056"/>
      <c r="BID128" s="1056"/>
      <c r="BIE128" s="1056"/>
      <c r="BIF128" s="1056"/>
      <c r="BIG128" s="1056"/>
      <c r="BIH128" s="1056"/>
      <c r="BII128" s="1056"/>
      <c r="BIJ128" s="1056"/>
      <c r="BIK128" s="1056"/>
      <c r="BIL128" s="1056"/>
      <c r="BIM128" s="1056"/>
      <c r="BIN128" s="1056"/>
      <c r="BIO128" s="1056"/>
      <c r="BIP128" s="1056"/>
      <c r="BIQ128" s="1056"/>
      <c r="BIR128" s="1056"/>
      <c r="BIS128" s="1056"/>
      <c r="BIT128" s="1056"/>
      <c r="BIU128" s="1056"/>
      <c r="BIV128" s="1056"/>
      <c r="BIW128" s="1056"/>
      <c r="BIX128" s="1056"/>
      <c r="BIY128" s="1056"/>
      <c r="BIZ128" s="1056"/>
      <c r="BJA128" s="1056"/>
      <c r="BJB128" s="1056"/>
      <c r="BJC128" s="1056"/>
      <c r="BJD128" s="1056"/>
      <c r="BJE128" s="1056"/>
      <c r="BJF128" s="1056"/>
      <c r="BJG128" s="1056"/>
      <c r="BJH128" s="1056"/>
      <c r="BJI128" s="1056"/>
      <c r="BJJ128" s="1056"/>
      <c r="BJK128" s="1056"/>
      <c r="BJL128" s="1056"/>
      <c r="BJM128" s="1056"/>
      <c r="BJN128" s="1056"/>
      <c r="BJO128" s="1056"/>
      <c r="BJP128" s="1056"/>
      <c r="BJQ128" s="1056"/>
      <c r="BJR128" s="1056"/>
      <c r="BJS128" s="1056"/>
      <c r="BJT128" s="1056"/>
      <c r="BJU128" s="1056"/>
      <c r="BJV128" s="1056"/>
      <c r="BJW128" s="1056"/>
      <c r="BJX128" s="1056"/>
      <c r="BJY128" s="1056"/>
      <c r="BJZ128" s="1056"/>
      <c r="BKA128" s="1056"/>
      <c r="BKB128" s="1056"/>
      <c r="BKC128" s="1056"/>
      <c r="BKD128" s="1056"/>
      <c r="BKE128" s="1056"/>
      <c r="BKF128" s="1056"/>
      <c r="BKG128" s="1056"/>
      <c r="BKH128" s="1056"/>
      <c r="BKI128" s="1056"/>
      <c r="BKJ128" s="1056"/>
      <c r="BKK128" s="1056"/>
      <c r="BKL128" s="1056"/>
      <c r="BKM128" s="1056"/>
      <c r="BKN128" s="1056"/>
      <c r="BKO128" s="1056"/>
      <c r="BKP128" s="1056"/>
      <c r="BKQ128" s="1056"/>
      <c r="BKR128" s="1056"/>
      <c r="BKS128" s="1056"/>
      <c r="BKT128" s="1056"/>
      <c r="BKU128" s="1056"/>
      <c r="BKV128" s="1056"/>
      <c r="BKW128" s="1056"/>
      <c r="BKX128" s="1056"/>
      <c r="BKY128" s="1056"/>
      <c r="BKZ128" s="1056"/>
      <c r="BLA128" s="1056"/>
      <c r="BLB128" s="1056"/>
      <c r="BLC128" s="1056"/>
      <c r="BLD128" s="1056"/>
      <c r="BLE128" s="1056"/>
      <c r="BLF128" s="1056"/>
      <c r="BLG128" s="1056"/>
      <c r="BLH128" s="1056"/>
      <c r="BLI128" s="1056"/>
      <c r="BLJ128" s="1056"/>
      <c r="BLK128" s="1056"/>
      <c r="BLL128" s="1056"/>
      <c r="BLM128" s="1056"/>
      <c r="BLN128" s="1056"/>
      <c r="BLO128" s="1056"/>
      <c r="BLP128" s="1056"/>
      <c r="BLQ128" s="1056"/>
      <c r="BLR128" s="1056"/>
      <c r="BLS128" s="1056"/>
      <c r="BLT128" s="1056"/>
      <c r="BLU128" s="1056"/>
      <c r="BLV128" s="1056"/>
      <c r="BLW128" s="1056"/>
      <c r="BLX128" s="1056"/>
      <c r="BLY128" s="1056"/>
      <c r="BLZ128" s="1056"/>
      <c r="BMA128" s="1056"/>
      <c r="BMB128" s="1056"/>
      <c r="BMC128" s="1056"/>
      <c r="BMD128" s="1056"/>
      <c r="BME128" s="1056"/>
      <c r="BMF128" s="1056"/>
      <c r="BMG128" s="1056"/>
      <c r="BMH128" s="1056"/>
      <c r="BMI128" s="1056"/>
      <c r="BMJ128" s="1056"/>
      <c r="BMK128" s="1056"/>
      <c r="BML128" s="1056"/>
      <c r="BMM128" s="1056"/>
      <c r="BMN128" s="1056"/>
      <c r="BMO128" s="1056"/>
      <c r="BMP128" s="1056"/>
      <c r="BMQ128" s="1056"/>
      <c r="BMR128" s="1056"/>
      <c r="BMS128" s="1056"/>
      <c r="BMT128" s="1056"/>
      <c r="BMU128" s="1056"/>
      <c r="BMV128" s="1056"/>
      <c r="BMW128" s="1056"/>
      <c r="BMX128" s="1056"/>
      <c r="BMY128" s="1056"/>
      <c r="BMZ128" s="1056"/>
      <c r="BNA128" s="1056"/>
      <c r="BNB128" s="1056"/>
      <c r="BNC128" s="1056"/>
      <c r="BND128" s="1056"/>
      <c r="BNE128" s="1056"/>
      <c r="BNF128" s="1056"/>
      <c r="BNG128" s="1056"/>
      <c r="BNH128" s="1056"/>
      <c r="BNI128" s="1056"/>
      <c r="BNJ128" s="1056"/>
      <c r="BNK128" s="1056"/>
      <c r="BNL128" s="1056"/>
      <c r="BNM128" s="1056"/>
      <c r="BNN128" s="1056"/>
      <c r="BNO128" s="1056"/>
      <c r="BNP128" s="1056"/>
      <c r="BNQ128" s="1056"/>
      <c r="BNR128" s="1056"/>
      <c r="BNS128" s="1056"/>
      <c r="BNT128" s="1056"/>
      <c r="BNU128" s="1056"/>
      <c r="BNV128" s="1056"/>
      <c r="BNW128" s="1056"/>
      <c r="BNX128" s="1056"/>
      <c r="BNY128" s="1056"/>
      <c r="BNZ128" s="1056"/>
      <c r="BOA128" s="1056"/>
      <c r="BOB128" s="1056"/>
      <c r="BOC128" s="1056"/>
      <c r="BOD128" s="1056"/>
      <c r="BOE128" s="1056"/>
      <c r="BOF128" s="1056"/>
      <c r="BOG128" s="1056"/>
      <c r="BOH128" s="1056"/>
      <c r="BOI128" s="1056"/>
      <c r="BOJ128" s="1056"/>
      <c r="BOK128" s="1056"/>
      <c r="BOL128" s="1056"/>
      <c r="BOM128" s="1056"/>
      <c r="BON128" s="1056"/>
      <c r="BOO128" s="1056"/>
      <c r="BOP128" s="1056"/>
      <c r="BOQ128" s="1056"/>
      <c r="BOR128" s="1056"/>
      <c r="BOS128" s="1056"/>
      <c r="BOT128" s="1056"/>
      <c r="BOU128" s="1056"/>
      <c r="BOV128" s="1056"/>
      <c r="BOW128" s="1056"/>
      <c r="BOX128" s="1056"/>
      <c r="BOY128" s="1056"/>
      <c r="BOZ128" s="1056"/>
      <c r="BPA128" s="1056"/>
      <c r="BPB128" s="1056"/>
      <c r="BPC128" s="1056"/>
      <c r="BPD128" s="1056"/>
      <c r="BPE128" s="1056"/>
      <c r="BPF128" s="1056"/>
      <c r="BPG128" s="1056"/>
      <c r="BPH128" s="1056"/>
      <c r="BPI128" s="1056"/>
      <c r="BPJ128" s="1056"/>
      <c r="BPK128" s="1056"/>
      <c r="BPL128" s="1056"/>
      <c r="BPM128" s="1056"/>
      <c r="BPN128" s="1056"/>
      <c r="BPO128" s="1056"/>
      <c r="BPP128" s="1056"/>
      <c r="BPQ128" s="1056"/>
      <c r="BPR128" s="1056"/>
      <c r="BPS128" s="1056"/>
      <c r="BPT128" s="1056"/>
      <c r="BPU128" s="1056"/>
      <c r="BPV128" s="1056"/>
      <c r="BPW128" s="1056"/>
      <c r="BPX128" s="1056"/>
      <c r="BPY128" s="1056"/>
      <c r="BPZ128" s="1056"/>
      <c r="BQA128" s="1056"/>
      <c r="BQB128" s="1056"/>
      <c r="BQC128" s="1056"/>
      <c r="BQD128" s="1056"/>
      <c r="BQE128" s="1056"/>
      <c r="BQF128" s="1056"/>
      <c r="BQG128" s="1056"/>
      <c r="BQH128" s="1056"/>
      <c r="BQI128" s="1056"/>
      <c r="BQJ128" s="1056"/>
      <c r="BQK128" s="1056"/>
      <c r="BQL128" s="1056"/>
      <c r="BQM128" s="1056"/>
      <c r="BQN128" s="1056"/>
      <c r="BQO128" s="1056"/>
      <c r="BQP128" s="1056"/>
      <c r="BQQ128" s="1056"/>
      <c r="BQR128" s="1056"/>
      <c r="BQS128" s="1056"/>
      <c r="BQT128" s="1056"/>
      <c r="BQU128" s="1056"/>
      <c r="BQV128" s="1056"/>
      <c r="BQW128" s="1056"/>
      <c r="BQX128" s="1056"/>
      <c r="BQY128" s="1056"/>
      <c r="BQZ128" s="1056"/>
      <c r="BRA128" s="1056"/>
      <c r="BRB128" s="1056"/>
      <c r="BRC128" s="1056"/>
      <c r="BRD128" s="1056"/>
      <c r="BRE128" s="1056"/>
      <c r="BRF128" s="1056"/>
      <c r="BRG128" s="1056"/>
      <c r="BRH128" s="1056"/>
      <c r="BRI128" s="1056"/>
      <c r="BRJ128" s="1056"/>
      <c r="BRK128" s="1056"/>
      <c r="BRL128" s="1056"/>
      <c r="BRM128" s="1056"/>
      <c r="BRN128" s="1056"/>
      <c r="BRO128" s="1056"/>
      <c r="BRP128" s="1056"/>
      <c r="BRQ128" s="1056"/>
      <c r="BRR128" s="1056"/>
      <c r="BRS128" s="1056"/>
      <c r="BRT128" s="1056"/>
      <c r="BRU128" s="1056"/>
      <c r="BRV128" s="1056"/>
      <c r="BRW128" s="1056"/>
      <c r="BRX128" s="1056"/>
      <c r="BRY128" s="1056"/>
      <c r="BRZ128" s="1056"/>
      <c r="BSA128" s="1056"/>
      <c r="BSB128" s="1056"/>
      <c r="BSC128" s="1056"/>
      <c r="BSD128" s="1056"/>
      <c r="BSE128" s="1056"/>
      <c r="BSF128" s="1056"/>
      <c r="BSG128" s="1056"/>
      <c r="BSH128" s="1056"/>
      <c r="BSI128" s="1056"/>
      <c r="BSJ128" s="1056"/>
      <c r="BSK128" s="1056"/>
      <c r="BSL128" s="1056"/>
      <c r="BSM128" s="1056"/>
      <c r="BSN128" s="1056"/>
      <c r="BSO128" s="1056"/>
      <c r="BSP128" s="1056"/>
      <c r="BSQ128" s="1056"/>
      <c r="BSR128" s="1056"/>
      <c r="BSS128" s="1056"/>
      <c r="BST128" s="1056"/>
      <c r="BSU128" s="1056"/>
      <c r="BSV128" s="1056"/>
      <c r="BSW128" s="1056"/>
      <c r="BSX128" s="1056"/>
      <c r="BSY128" s="1056"/>
      <c r="BSZ128" s="1056"/>
      <c r="BTA128" s="1056"/>
      <c r="BTB128" s="1056"/>
      <c r="BTC128" s="1056"/>
      <c r="BTD128" s="1056"/>
      <c r="BTE128" s="1056"/>
      <c r="BTF128" s="1056"/>
      <c r="BTG128" s="1056"/>
      <c r="BTH128" s="1056"/>
      <c r="BTI128" s="1056"/>
    </row>
    <row r="129" spans="1:1881" s="1060" customFormat="1" ht="15" hidden="1" thickBot="1" x14ac:dyDescent="0.35">
      <c r="A129" s="1059"/>
      <c r="B129" s="819" t="s">
        <v>24</v>
      </c>
      <c r="C129" s="819"/>
      <c r="D129" s="819"/>
      <c r="E129" s="817"/>
      <c r="F129" s="841"/>
      <c r="G129" s="842"/>
      <c r="H129" s="764"/>
      <c r="I129" s="1055"/>
      <c r="J129" s="1056"/>
      <c r="K129" s="1056"/>
      <c r="L129" s="1057"/>
      <c r="M129" s="1056"/>
      <c r="N129" s="1058"/>
      <c r="O129" s="1056"/>
      <c r="P129" s="1056"/>
      <c r="Q129" s="1056"/>
      <c r="R129" s="1056"/>
      <c r="S129" s="1056"/>
      <c r="T129" s="1056"/>
      <c r="U129" s="1056"/>
      <c r="V129" s="1056"/>
      <c r="W129" s="1056"/>
      <c r="X129" s="1056"/>
      <c r="Y129" s="1056"/>
      <c r="Z129" s="1059"/>
      <c r="AA129" s="1059"/>
      <c r="AB129" s="1059"/>
      <c r="AC129" s="1059"/>
      <c r="AD129" s="1059"/>
      <c r="AE129" s="1059"/>
      <c r="AF129" s="1059"/>
      <c r="AG129" s="1059"/>
      <c r="AH129" s="1059"/>
      <c r="AI129" s="1059"/>
      <c r="AJ129" s="1059"/>
      <c r="AK129" s="1059"/>
      <c r="AL129" s="1059"/>
      <c r="AM129" s="1059"/>
      <c r="AN129" s="1059"/>
      <c r="AO129" s="1059"/>
      <c r="AP129" s="1059"/>
      <c r="AQ129" s="1059"/>
      <c r="AR129" s="1059"/>
      <c r="AS129" s="1056"/>
      <c r="AT129" s="1056"/>
      <c r="AU129" s="1056"/>
      <c r="AV129" s="1056"/>
      <c r="AW129" s="1056"/>
      <c r="AX129" s="1056"/>
      <c r="AY129" s="1056"/>
      <c r="AZ129" s="1056"/>
      <c r="BA129" s="1056"/>
      <c r="BB129" s="1056"/>
      <c r="BC129" s="1056"/>
      <c r="BD129" s="1056"/>
      <c r="BE129" s="1056"/>
      <c r="BF129" s="1056"/>
      <c r="BG129" s="1056"/>
      <c r="BH129" s="1056"/>
      <c r="BI129" s="1056"/>
      <c r="BJ129" s="1056"/>
      <c r="BK129" s="1056"/>
      <c r="BL129" s="1056"/>
      <c r="BM129" s="1056"/>
      <c r="BN129" s="1056"/>
      <c r="BO129" s="1056"/>
      <c r="BP129" s="1056"/>
      <c r="BQ129" s="1056"/>
      <c r="BR129" s="1056"/>
      <c r="BS129" s="1056"/>
      <c r="BT129" s="1056"/>
      <c r="BU129" s="1056"/>
      <c r="BV129" s="1056"/>
      <c r="BW129" s="1056"/>
      <c r="BX129" s="1056"/>
      <c r="BY129" s="1056"/>
      <c r="BZ129" s="1056"/>
      <c r="CA129" s="1056"/>
      <c r="CB129" s="1056"/>
      <c r="CC129" s="1056"/>
      <c r="CD129" s="1056"/>
      <c r="CE129" s="1056"/>
      <c r="CF129" s="1056"/>
      <c r="CG129" s="1056"/>
      <c r="CH129" s="1056"/>
      <c r="CI129" s="1056"/>
      <c r="CJ129" s="1056"/>
      <c r="CK129" s="1056"/>
      <c r="CL129" s="1056"/>
      <c r="CM129" s="1056"/>
      <c r="CN129" s="1056"/>
      <c r="CO129" s="1056"/>
      <c r="CP129" s="1056"/>
      <c r="CQ129" s="1056"/>
      <c r="CR129" s="1056"/>
      <c r="CS129" s="1056"/>
      <c r="CT129" s="1056"/>
      <c r="CU129" s="1056"/>
      <c r="CV129" s="1056"/>
      <c r="CW129" s="1056"/>
      <c r="CX129" s="1056"/>
      <c r="CY129" s="1056"/>
      <c r="CZ129" s="1056"/>
      <c r="DA129" s="1056"/>
      <c r="DB129" s="1056"/>
      <c r="DC129" s="1056"/>
      <c r="DD129" s="1056"/>
      <c r="DE129" s="1056"/>
      <c r="DF129" s="1056"/>
      <c r="DG129" s="1056"/>
      <c r="DH129" s="1056"/>
      <c r="DI129" s="1056"/>
      <c r="DJ129" s="1056"/>
      <c r="DK129" s="1056"/>
      <c r="DL129" s="1056"/>
      <c r="DM129" s="1056"/>
      <c r="DN129" s="1056"/>
      <c r="DO129" s="1056"/>
      <c r="DP129" s="1056"/>
      <c r="DQ129" s="1056"/>
      <c r="DR129" s="1056"/>
      <c r="DS129" s="1056"/>
      <c r="DT129" s="1056"/>
      <c r="DU129" s="1056"/>
      <c r="DV129" s="1056"/>
      <c r="DW129" s="1056"/>
      <c r="DX129" s="1056"/>
      <c r="DY129" s="1056"/>
      <c r="DZ129" s="1056"/>
      <c r="EA129" s="1056"/>
      <c r="EB129" s="1056"/>
      <c r="EC129" s="1056"/>
      <c r="ED129" s="1056"/>
      <c r="EE129" s="1056"/>
      <c r="EF129" s="1056"/>
      <c r="EG129" s="1056"/>
      <c r="EH129" s="1056"/>
      <c r="EI129" s="1056"/>
      <c r="EJ129" s="1056"/>
      <c r="EK129" s="1056"/>
      <c r="EL129" s="1056"/>
      <c r="EM129" s="1056"/>
      <c r="EN129" s="1056"/>
      <c r="EO129" s="1056"/>
      <c r="EP129" s="1056"/>
      <c r="EQ129" s="1056"/>
      <c r="ER129" s="1056"/>
      <c r="ES129" s="1056"/>
      <c r="ET129" s="1056"/>
      <c r="EU129" s="1056"/>
      <c r="EV129" s="1056"/>
      <c r="EW129" s="1056"/>
      <c r="EX129" s="1056"/>
      <c r="EY129" s="1056"/>
      <c r="EZ129" s="1056"/>
      <c r="FA129" s="1056"/>
      <c r="FB129" s="1056"/>
      <c r="FC129" s="1056"/>
      <c r="FD129" s="1056"/>
      <c r="FE129" s="1056"/>
      <c r="FF129" s="1056"/>
      <c r="FG129" s="1056"/>
      <c r="FH129" s="1056"/>
      <c r="FI129" s="1056"/>
      <c r="FJ129" s="1056"/>
      <c r="FK129" s="1056"/>
      <c r="FL129" s="1056"/>
      <c r="FM129" s="1056"/>
      <c r="FN129" s="1056"/>
      <c r="FO129" s="1056"/>
      <c r="FP129" s="1056"/>
      <c r="FQ129" s="1056"/>
      <c r="FR129" s="1056"/>
      <c r="FS129" s="1056"/>
      <c r="FT129" s="1056"/>
      <c r="FU129" s="1056"/>
      <c r="FV129" s="1056"/>
      <c r="FW129" s="1056"/>
      <c r="FX129" s="1056"/>
      <c r="FY129" s="1056"/>
      <c r="FZ129" s="1056"/>
      <c r="GA129" s="1056"/>
      <c r="GB129" s="1056"/>
      <c r="GC129" s="1056"/>
      <c r="GD129" s="1056"/>
      <c r="GE129" s="1056"/>
      <c r="GF129" s="1056"/>
      <c r="GG129" s="1056"/>
      <c r="GH129" s="1056"/>
      <c r="GI129" s="1056"/>
      <c r="GJ129" s="1056"/>
      <c r="GK129" s="1056"/>
      <c r="GL129" s="1056"/>
      <c r="GM129" s="1056"/>
      <c r="GN129" s="1056"/>
      <c r="GO129" s="1056"/>
      <c r="GP129" s="1056"/>
      <c r="GQ129" s="1056"/>
      <c r="GR129" s="1056"/>
      <c r="GS129" s="1056"/>
      <c r="GT129" s="1056"/>
      <c r="GU129" s="1056"/>
      <c r="GV129" s="1056"/>
      <c r="GW129" s="1056"/>
      <c r="GX129" s="1056"/>
      <c r="GY129" s="1056"/>
      <c r="GZ129" s="1056"/>
      <c r="HA129" s="1056"/>
      <c r="HB129" s="1056"/>
      <c r="HC129" s="1056"/>
      <c r="HD129" s="1056"/>
      <c r="HE129" s="1056"/>
      <c r="HF129" s="1056"/>
      <c r="HG129" s="1056"/>
      <c r="HH129" s="1056"/>
      <c r="HI129" s="1056"/>
      <c r="HJ129" s="1056"/>
      <c r="HK129" s="1056"/>
      <c r="HL129" s="1056"/>
      <c r="HM129" s="1056"/>
      <c r="HN129" s="1056"/>
      <c r="HO129" s="1056"/>
      <c r="HP129" s="1056"/>
      <c r="HQ129" s="1056"/>
      <c r="HR129" s="1056"/>
      <c r="HS129" s="1056"/>
      <c r="HT129" s="1056"/>
      <c r="HU129" s="1056"/>
      <c r="HV129" s="1056"/>
      <c r="HW129" s="1056"/>
      <c r="HX129" s="1056"/>
      <c r="HY129" s="1056"/>
      <c r="HZ129" s="1056"/>
      <c r="IA129" s="1056"/>
      <c r="IB129" s="1056"/>
      <c r="IC129" s="1056"/>
      <c r="ID129" s="1056"/>
      <c r="IE129" s="1056"/>
      <c r="IF129" s="1056"/>
      <c r="IG129" s="1056"/>
      <c r="IH129" s="1056"/>
      <c r="II129" s="1056"/>
      <c r="IJ129" s="1056"/>
      <c r="IK129" s="1056"/>
      <c r="IL129" s="1056"/>
      <c r="IM129" s="1056"/>
      <c r="IN129" s="1056"/>
      <c r="IO129" s="1056"/>
      <c r="IP129" s="1056"/>
      <c r="IQ129" s="1056"/>
      <c r="IR129" s="1056"/>
      <c r="IS129" s="1056"/>
      <c r="IT129" s="1056"/>
      <c r="IU129" s="1056"/>
      <c r="IV129" s="1056"/>
      <c r="IW129" s="1056"/>
      <c r="IX129" s="1056"/>
      <c r="IY129" s="1056"/>
      <c r="IZ129" s="1056"/>
      <c r="JA129" s="1056"/>
      <c r="JB129" s="1056"/>
      <c r="JC129" s="1056"/>
      <c r="JD129" s="1056"/>
      <c r="JE129" s="1056"/>
      <c r="JF129" s="1056"/>
      <c r="JG129" s="1056"/>
      <c r="JH129" s="1056"/>
      <c r="JI129" s="1056"/>
      <c r="JJ129" s="1056"/>
      <c r="JK129" s="1056"/>
      <c r="JL129" s="1056"/>
      <c r="JM129" s="1056"/>
      <c r="JN129" s="1056"/>
      <c r="JO129" s="1056"/>
      <c r="JP129" s="1056"/>
      <c r="JQ129" s="1056"/>
      <c r="JR129" s="1056"/>
      <c r="JS129" s="1056"/>
      <c r="JT129" s="1056"/>
      <c r="JU129" s="1056"/>
      <c r="JV129" s="1056"/>
      <c r="JW129" s="1056"/>
      <c r="JX129" s="1056"/>
      <c r="JY129" s="1056"/>
      <c r="JZ129" s="1056"/>
      <c r="KA129" s="1056"/>
      <c r="KB129" s="1056"/>
      <c r="KC129" s="1056"/>
      <c r="KD129" s="1056"/>
      <c r="KE129" s="1056"/>
      <c r="KF129" s="1056"/>
      <c r="KG129" s="1056"/>
      <c r="KH129" s="1056"/>
      <c r="KI129" s="1056"/>
      <c r="KJ129" s="1056"/>
      <c r="KK129" s="1056"/>
      <c r="KL129" s="1056"/>
      <c r="KM129" s="1056"/>
      <c r="KN129" s="1056"/>
      <c r="KO129" s="1056"/>
      <c r="KP129" s="1056"/>
      <c r="KQ129" s="1056"/>
      <c r="KR129" s="1056"/>
      <c r="KS129" s="1056"/>
      <c r="KT129" s="1056"/>
      <c r="KU129" s="1056"/>
      <c r="KV129" s="1056"/>
      <c r="KW129" s="1056"/>
      <c r="KX129" s="1056"/>
      <c r="KY129" s="1056"/>
      <c r="KZ129" s="1056"/>
      <c r="LA129" s="1056"/>
      <c r="LB129" s="1056"/>
      <c r="LC129" s="1056"/>
      <c r="LD129" s="1056"/>
      <c r="LE129" s="1056"/>
      <c r="LF129" s="1056"/>
      <c r="LG129" s="1056"/>
      <c r="LH129" s="1056"/>
      <c r="LI129" s="1056"/>
      <c r="LJ129" s="1056"/>
      <c r="LK129" s="1056"/>
      <c r="LL129" s="1056"/>
      <c r="LM129" s="1056"/>
      <c r="LN129" s="1056"/>
      <c r="LO129" s="1056"/>
      <c r="LP129" s="1056"/>
      <c r="LQ129" s="1056"/>
      <c r="LR129" s="1056"/>
      <c r="LS129" s="1056"/>
      <c r="LT129" s="1056"/>
      <c r="LU129" s="1056"/>
      <c r="LV129" s="1056"/>
      <c r="LW129" s="1056"/>
      <c r="LX129" s="1056"/>
      <c r="LY129" s="1056"/>
      <c r="LZ129" s="1056"/>
      <c r="MA129" s="1056"/>
      <c r="MB129" s="1056"/>
      <c r="MC129" s="1056"/>
      <c r="MD129" s="1056"/>
      <c r="ME129" s="1056"/>
      <c r="MF129" s="1056"/>
      <c r="MG129" s="1056"/>
      <c r="MH129" s="1056"/>
      <c r="MI129" s="1056"/>
      <c r="MJ129" s="1056"/>
      <c r="MK129" s="1056"/>
      <c r="ML129" s="1056"/>
      <c r="MM129" s="1056"/>
      <c r="MN129" s="1056"/>
      <c r="MO129" s="1056"/>
      <c r="MP129" s="1056"/>
      <c r="MQ129" s="1056"/>
      <c r="MR129" s="1056"/>
      <c r="MS129" s="1056"/>
      <c r="MT129" s="1056"/>
      <c r="MU129" s="1056"/>
      <c r="MV129" s="1056"/>
      <c r="MW129" s="1056"/>
      <c r="MX129" s="1056"/>
      <c r="MY129" s="1056"/>
      <c r="MZ129" s="1056"/>
      <c r="NA129" s="1056"/>
      <c r="NB129" s="1056"/>
      <c r="NC129" s="1056"/>
      <c r="ND129" s="1056"/>
      <c r="NE129" s="1056"/>
      <c r="NF129" s="1056"/>
      <c r="NG129" s="1056"/>
      <c r="NH129" s="1056"/>
      <c r="NI129" s="1056"/>
      <c r="NJ129" s="1056"/>
      <c r="NK129" s="1056"/>
      <c r="NL129" s="1056"/>
      <c r="NM129" s="1056"/>
      <c r="NN129" s="1056"/>
      <c r="NO129" s="1056"/>
      <c r="NP129" s="1056"/>
      <c r="NQ129" s="1056"/>
      <c r="NR129" s="1056"/>
      <c r="NS129" s="1056"/>
      <c r="NT129" s="1056"/>
      <c r="NU129" s="1056"/>
      <c r="NV129" s="1056"/>
      <c r="NW129" s="1056"/>
      <c r="NX129" s="1056"/>
      <c r="NY129" s="1056"/>
      <c r="NZ129" s="1056"/>
      <c r="OA129" s="1056"/>
      <c r="OB129" s="1056"/>
      <c r="OC129" s="1056"/>
      <c r="OD129" s="1056"/>
      <c r="OE129" s="1056"/>
      <c r="OF129" s="1056"/>
      <c r="OG129" s="1056"/>
      <c r="OH129" s="1056"/>
      <c r="OI129" s="1056"/>
      <c r="OJ129" s="1056"/>
      <c r="OK129" s="1056"/>
      <c r="OL129" s="1056"/>
      <c r="OM129" s="1056"/>
      <c r="ON129" s="1056"/>
      <c r="OO129" s="1056"/>
      <c r="OP129" s="1056"/>
      <c r="OQ129" s="1056"/>
      <c r="OR129" s="1056"/>
      <c r="OS129" s="1056"/>
      <c r="OT129" s="1056"/>
      <c r="OU129" s="1056"/>
      <c r="OV129" s="1056"/>
      <c r="OW129" s="1056"/>
      <c r="OX129" s="1056"/>
      <c r="OY129" s="1056"/>
      <c r="OZ129" s="1056"/>
      <c r="PA129" s="1056"/>
      <c r="PB129" s="1056"/>
      <c r="PC129" s="1056"/>
      <c r="PD129" s="1056"/>
      <c r="PE129" s="1056"/>
      <c r="PF129" s="1056"/>
      <c r="PG129" s="1056"/>
      <c r="PH129" s="1056"/>
      <c r="PI129" s="1056"/>
      <c r="PJ129" s="1056"/>
      <c r="PK129" s="1056"/>
      <c r="PL129" s="1056"/>
      <c r="PM129" s="1056"/>
      <c r="PN129" s="1056"/>
      <c r="PO129" s="1056"/>
      <c r="PP129" s="1056"/>
      <c r="PQ129" s="1056"/>
      <c r="PR129" s="1056"/>
      <c r="PS129" s="1056"/>
      <c r="PT129" s="1056"/>
      <c r="PU129" s="1056"/>
      <c r="PV129" s="1056"/>
      <c r="PW129" s="1056"/>
      <c r="PX129" s="1056"/>
      <c r="PY129" s="1056"/>
      <c r="PZ129" s="1056"/>
      <c r="QA129" s="1056"/>
      <c r="QB129" s="1056"/>
      <c r="QC129" s="1056"/>
      <c r="QD129" s="1056"/>
      <c r="QE129" s="1056"/>
      <c r="QF129" s="1056"/>
      <c r="QG129" s="1056"/>
      <c r="QH129" s="1056"/>
      <c r="QI129" s="1056"/>
      <c r="QJ129" s="1056"/>
      <c r="QK129" s="1056"/>
      <c r="QL129" s="1056"/>
      <c r="QM129" s="1056"/>
      <c r="QN129" s="1056"/>
      <c r="QO129" s="1056"/>
      <c r="QP129" s="1056"/>
      <c r="QQ129" s="1056"/>
      <c r="QR129" s="1056"/>
      <c r="QS129" s="1056"/>
      <c r="QT129" s="1056"/>
      <c r="QU129" s="1056"/>
      <c r="QV129" s="1056"/>
      <c r="QW129" s="1056"/>
      <c r="QX129" s="1056"/>
      <c r="QY129" s="1056"/>
      <c r="QZ129" s="1056"/>
      <c r="RA129" s="1056"/>
      <c r="RB129" s="1056"/>
      <c r="RC129" s="1056"/>
      <c r="RD129" s="1056"/>
      <c r="RE129" s="1056"/>
      <c r="RF129" s="1056"/>
      <c r="RG129" s="1056"/>
      <c r="RH129" s="1056"/>
      <c r="RI129" s="1056"/>
      <c r="RJ129" s="1056"/>
      <c r="RK129" s="1056"/>
      <c r="RL129" s="1056"/>
      <c r="RM129" s="1056"/>
      <c r="RN129" s="1056"/>
      <c r="RO129" s="1056"/>
      <c r="RP129" s="1056"/>
      <c r="RQ129" s="1056"/>
      <c r="RR129" s="1056"/>
      <c r="RS129" s="1056"/>
      <c r="RT129" s="1056"/>
      <c r="RU129" s="1056"/>
      <c r="RV129" s="1056"/>
      <c r="RW129" s="1056"/>
      <c r="RX129" s="1056"/>
      <c r="RY129" s="1056"/>
      <c r="RZ129" s="1056"/>
      <c r="SA129" s="1056"/>
      <c r="SB129" s="1056"/>
      <c r="SC129" s="1056"/>
      <c r="SD129" s="1056"/>
      <c r="SE129" s="1056"/>
      <c r="SF129" s="1056"/>
      <c r="SG129" s="1056"/>
      <c r="SH129" s="1056"/>
      <c r="SI129" s="1056"/>
      <c r="SJ129" s="1056"/>
      <c r="SK129" s="1056"/>
      <c r="SL129" s="1056"/>
      <c r="SM129" s="1056"/>
      <c r="SN129" s="1056"/>
      <c r="SO129" s="1056"/>
      <c r="SP129" s="1056"/>
      <c r="SQ129" s="1056"/>
      <c r="SR129" s="1056"/>
      <c r="SS129" s="1056"/>
      <c r="ST129" s="1056"/>
      <c r="SU129" s="1056"/>
      <c r="SV129" s="1056"/>
      <c r="SW129" s="1056"/>
      <c r="SX129" s="1056"/>
      <c r="SY129" s="1056"/>
      <c r="SZ129" s="1056"/>
      <c r="TA129" s="1056"/>
      <c r="TB129" s="1056"/>
      <c r="TC129" s="1056"/>
      <c r="TD129" s="1056"/>
      <c r="TE129" s="1056"/>
      <c r="TF129" s="1056"/>
      <c r="TG129" s="1056"/>
      <c r="TH129" s="1056"/>
      <c r="TI129" s="1056"/>
      <c r="TJ129" s="1056"/>
      <c r="TK129" s="1056"/>
      <c r="TL129" s="1056"/>
      <c r="TM129" s="1056"/>
      <c r="TN129" s="1056"/>
      <c r="TO129" s="1056"/>
      <c r="TP129" s="1056"/>
      <c r="TQ129" s="1056"/>
      <c r="TR129" s="1056"/>
      <c r="TS129" s="1056"/>
      <c r="TT129" s="1056"/>
      <c r="TU129" s="1056"/>
      <c r="TV129" s="1056"/>
      <c r="TW129" s="1056"/>
      <c r="TX129" s="1056"/>
      <c r="TY129" s="1056"/>
      <c r="TZ129" s="1056"/>
      <c r="UA129" s="1056"/>
      <c r="UB129" s="1056"/>
      <c r="UC129" s="1056"/>
      <c r="UD129" s="1056"/>
      <c r="UE129" s="1056"/>
      <c r="UF129" s="1056"/>
      <c r="UG129" s="1056"/>
      <c r="UH129" s="1056"/>
      <c r="UI129" s="1056"/>
      <c r="UJ129" s="1056"/>
      <c r="UK129" s="1056"/>
      <c r="UL129" s="1056"/>
      <c r="UM129" s="1056"/>
      <c r="UN129" s="1056"/>
      <c r="UO129" s="1056"/>
      <c r="UP129" s="1056"/>
      <c r="UQ129" s="1056"/>
      <c r="UR129" s="1056"/>
      <c r="US129" s="1056"/>
      <c r="UT129" s="1056"/>
      <c r="UU129" s="1056"/>
      <c r="UV129" s="1056"/>
      <c r="UW129" s="1056"/>
      <c r="UX129" s="1056"/>
      <c r="UY129" s="1056"/>
      <c r="UZ129" s="1056"/>
      <c r="VA129" s="1056"/>
      <c r="VB129" s="1056"/>
      <c r="VC129" s="1056"/>
      <c r="VD129" s="1056"/>
      <c r="VE129" s="1056"/>
      <c r="VF129" s="1056"/>
      <c r="VG129" s="1056"/>
      <c r="VH129" s="1056"/>
      <c r="VI129" s="1056"/>
      <c r="VJ129" s="1056"/>
      <c r="VK129" s="1056"/>
      <c r="VL129" s="1056"/>
      <c r="VM129" s="1056"/>
      <c r="VN129" s="1056"/>
      <c r="VO129" s="1056"/>
      <c r="VP129" s="1056"/>
      <c r="VQ129" s="1056"/>
      <c r="VR129" s="1056"/>
      <c r="VS129" s="1056"/>
      <c r="VT129" s="1056"/>
      <c r="VU129" s="1056"/>
      <c r="VV129" s="1056"/>
      <c r="VW129" s="1056"/>
      <c r="VX129" s="1056"/>
      <c r="VY129" s="1056"/>
      <c r="VZ129" s="1056"/>
      <c r="WA129" s="1056"/>
      <c r="WB129" s="1056"/>
      <c r="WC129" s="1056"/>
      <c r="WD129" s="1056"/>
      <c r="WE129" s="1056"/>
      <c r="WF129" s="1056"/>
      <c r="WG129" s="1056"/>
      <c r="WH129" s="1056"/>
      <c r="WI129" s="1056"/>
      <c r="WJ129" s="1056"/>
      <c r="WK129" s="1056"/>
      <c r="WL129" s="1056"/>
      <c r="WM129" s="1056"/>
      <c r="WN129" s="1056"/>
      <c r="WO129" s="1056"/>
      <c r="WP129" s="1056"/>
      <c r="WQ129" s="1056"/>
      <c r="WR129" s="1056"/>
      <c r="WS129" s="1056"/>
      <c r="WT129" s="1056"/>
      <c r="WU129" s="1056"/>
      <c r="WV129" s="1056"/>
      <c r="WW129" s="1056"/>
      <c r="WX129" s="1056"/>
      <c r="WY129" s="1056"/>
      <c r="WZ129" s="1056"/>
      <c r="XA129" s="1056"/>
      <c r="XB129" s="1056"/>
      <c r="XC129" s="1056"/>
      <c r="XD129" s="1056"/>
      <c r="XE129" s="1056"/>
      <c r="XF129" s="1056"/>
      <c r="XG129" s="1056"/>
      <c r="XH129" s="1056"/>
      <c r="XI129" s="1056"/>
      <c r="XJ129" s="1056"/>
      <c r="XK129" s="1056"/>
      <c r="XL129" s="1056"/>
      <c r="XM129" s="1056"/>
      <c r="XN129" s="1056"/>
      <c r="XO129" s="1056"/>
      <c r="XP129" s="1056"/>
      <c r="XQ129" s="1056"/>
      <c r="XR129" s="1056"/>
      <c r="XS129" s="1056"/>
      <c r="XT129" s="1056"/>
      <c r="XU129" s="1056"/>
      <c r="XV129" s="1056"/>
      <c r="XW129" s="1056"/>
      <c r="XX129" s="1056"/>
      <c r="XY129" s="1056"/>
      <c r="XZ129" s="1056"/>
      <c r="YA129" s="1056"/>
      <c r="YB129" s="1056"/>
      <c r="YC129" s="1056"/>
      <c r="YD129" s="1056"/>
      <c r="YE129" s="1056"/>
      <c r="YF129" s="1056"/>
      <c r="YG129" s="1056"/>
      <c r="YH129" s="1056"/>
      <c r="YI129" s="1056"/>
      <c r="YJ129" s="1056"/>
      <c r="YK129" s="1056"/>
      <c r="YL129" s="1056"/>
      <c r="YM129" s="1056"/>
      <c r="YN129" s="1056"/>
      <c r="YO129" s="1056"/>
      <c r="YP129" s="1056"/>
      <c r="YQ129" s="1056"/>
      <c r="YR129" s="1056"/>
      <c r="YS129" s="1056"/>
      <c r="YT129" s="1056"/>
      <c r="YU129" s="1056"/>
      <c r="YV129" s="1056"/>
      <c r="YW129" s="1056"/>
      <c r="YX129" s="1056"/>
      <c r="YY129" s="1056"/>
      <c r="YZ129" s="1056"/>
      <c r="ZA129" s="1056"/>
      <c r="ZB129" s="1056"/>
      <c r="ZC129" s="1056"/>
      <c r="ZD129" s="1056"/>
      <c r="ZE129" s="1056"/>
      <c r="ZF129" s="1056"/>
      <c r="ZG129" s="1056"/>
      <c r="ZH129" s="1056"/>
      <c r="ZI129" s="1056"/>
      <c r="ZJ129" s="1056"/>
      <c r="ZK129" s="1056"/>
      <c r="ZL129" s="1056"/>
      <c r="ZM129" s="1056"/>
      <c r="ZN129" s="1056"/>
      <c r="ZO129" s="1056"/>
      <c r="ZP129" s="1056"/>
      <c r="ZQ129" s="1056"/>
      <c r="ZR129" s="1056"/>
      <c r="ZS129" s="1056"/>
      <c r="ZT129" s="1056"/>
      <c r="ZU129" s="1056"/>
      <c r="ZV129" s="1056"/>
      <c r="ZW129" s="1056"/>
      <c r="ZX129" s="1056"/>
      <c r="ZY129" s="1056"/>
      <c r="ZZ129" s="1056"/>
      <c r="AAA129" s="1056"/>
      <c r="AAB129" s="1056"/>
      <c r="AAC129" s="1056"/>
      <c r="AAD129" s="1056"/>
      <c r="AAE129" s="1056"/>
      <c r="AAF129" s="1056"/>
      <c r="AAG129" s="1056"/>
      <c r="AAH129" s="1056"/>
      <c r="AAI129" s="1056"/>
      <c r="AAJ129" s="1056"/>
      <c r="AAK129" s="1056"/>
      <c r="AAL129" s="1056"/>
      <c r="AAM129" s="1056"/>
      <c r="AAN129" s="1056"/>
      <c r="AAO129" s="1056"/>
      <c r="AAP129" s="1056"/>
      <c r="AAQ129" s="1056"/>
      <c r="AAR129" s="1056"/>
      <c r="AAS129" s="1056"/>
      <c r="AAT129" s="1056"/>
      <c r="AAU129" s="1056"/>
      <c r="AAV129" s="1056"/>
      <c r="AAW129" s="1056"/>
      <c r="AAX129" s="1056"/>
      <c r="AAY129" s="1056"/>
      <c r="AAZ129" s="1056"/>
      <c r="ABA129" s="1056"/>
      <c r="ABB129" s="1056"/>
      <c r="ABC129" s="1056"/>
      <c r="ABD129" s="1056"/>
      <c r="ABE129" s="1056"/>
      <c r="ABF129" s="1056"/>
      <c r="ABG129" s="1056"/>
      <c r="ABH129" s="1056"/>
      <c r="ABI129" s="1056"/>
      <c r="ABJ129" s="1056"/>
      <c r="ABK129" s="1056"/>
      <c r="ABL129" s="1056"/>
      <c r="ABM129" s="1056"/>
      <c r="ABN129" s="1056"/>
      <c r="ABO129" s="1056"/>
      <c r="ABP129" s="1056"/>
      <c r="ABQ129" s="1056"/>
      <c r="ABR129" s="1056"/>
      <c r="ABS129" s="1056"/>
      <c r="ABT129" s="1056"/>
      <c r="ABU129" s="1056"/>
      <c r="ABV129" s="1056"/>
      <c r="ABW129" s="1056"/>
      <c r="ABX129" s="1056"/>
      <c r="ABY129" s="1056"/>
      <c r="ABZ129" s="1056"/>
      <c r="ACA129" s="1056"/>
      <c r="ACB129" s="1056"/>
      <c r="ACC129" s="1056"/>
      <c r="ACD129" s="1056"/>
      <c r="ACE129" s="1056"/>
      <c r="ACF129" s="1056"/>
      <c r="ACG129" s="1056"/>
      <c r="ACH129" s="1056"/>
      <c r="ACI129" s="1056"/>
      <c r="ACJ129" s="1056"/>
      <c r="ACK129" s="1056"/>
      <c r="ACL129" s="1056"/>
      <c r="ACM129" s="1056"/>
      <c r="ACN129" s="1056"/>
      <c r="ACO129" s="1056"/>
      <c r="ACP129" s="1056"/>
      <c r="ACQ129" s="1056"/>
      <c r="ACR129" s="1056"/>
      <c r="ACS129" s="1056"/>
      <c r="ACT129" s="1056"/>
      <c r="ACU129" s="1056"/>
      <c r="ACV129" s="1056"/>
      <c r="ACW129" s="1056"/>
      <c r="ACX129" s="1056"/>
      <c r="ACY129" s="1056"/>
      <c r="ACZ129" s="1056"/>
      <c r="ADA129" s="1056"/>
      <c r="ADB129" s="1056"/>
      <c r="ADC129" s="1056"/>
      <c r="ADD129" s="1056"/>
      <c r="ADE129" s="1056"/>
      <c r="ADF129" s="1056"/>
      <c r="ADG129" s="1056"/>
      <c r="ADH129" s="1056"/>
      <c r="ADI129" s="1056"/>
      <c r="ADJ129" s="1056"/>
      <c r="ADK129" s="1056"/>
      <c r="ADL129" s="1056"/>
      <c r="ADM129" s="1056"/>
      <c r="ADN129" s="1056"/>
      <c r="ADO129" s="1056"/>
      <c r="ADP129" s="1056"/>
      <c r="ADQ129" s="1056"/>
      <c r="ADR129" s="1056"/>
      <c r="ADS129" s="1056"/>
      <c r="ADT129" s="1056"/>
      <c r="ADU129" s="1056"/>
      <c r="ADV129" s="1056"/>
      <c r="ADW129" s="1056"/>
      <c r="ADX129" s="1056"/>
      <c r="ADY129" s="1056"/>
      <c r="ADZ129" s="1056"/>
      <c r="AEA129" s="1056"/>
      <c r="AEB129" s="1056"/>
      <c r="AEC129" s="1056"/>
      <c r="AED129" s="1056"/>
      <c r="AEE129" s="1056"/>
      <c r="AEF129" s="1056"/>
      <c r="AEG129" s="1056"/>
      <c r="AEH129" s="1056"/>
      <c r="AEI129" s="1056"/>
      <c r="AEJ129" s="1056"/>
      <c r="AEK129" s="1056"/>
      <c r="AEL129" s="1056"/>
      <c r="AEM129" s="1056"/>
      <c r="AEN129" s="1056"/>
      <c r="AEO129" s="1056"/>
      <c r="AEP129" s="1056"/>
      <c r="AEQ129" s="1056"/>
      <c r="AER129" s="1056"/>
      <c r="AES129" s="1056"/>
      <c r="AET129" s="1056"/>
      <c r="AEU129" s="1056"/>
      <c r="AEV129" s="1056"/>
      <c r="AEW129" s="1056"/>
      <c r="AEX129" s="1056"/>
      <c r="AEY129" s="1056"/>
      <c r="AEZ129" s="1056"/>
      <c r="AFA129" s="1056"/>
      <c r="AFB129" s="1056"/>
      <c r="AFC129" s="1056"/>
      <c r="AFD129" s="1056"/>
      <c r="AFE129" s="1056"/>
      <c r="AFF129" s="1056"/>
      <c r="AFG129" s="1056"/>
      <c r="AFH129" s="1056"/>
      <c r="AFI129" s="1056"/>
      <c r="AFJ129" s="1056"/>
      <c r="AFK129" s="1056"/>
      <c r="AFL129" s="1056"/>
      <c r="AFM129" s="1056"/>
      <c r="AFN129" s="1056"/>
      <c r="AFO129" s="1056"/>
      <c r="AFP129" s="1056"/>
      <c r="AFQ129" s="1056"/>
      <c r="AFR129" s="1056"/>
      <c r="AFS129" s="1056"/>
      <c r="AFT129" s="1056"/>
      <c r="AFU129" s="1056"/>
      <c r="AFV129" s="1056"/>
      <c r="AFW129" s="1056"/>
      <c r="AFX129" s="1056"/>
      <c r="AFY129" s="1056"/>
      <c r="AFZ129" s="1056"/>
      <c r="AGA129" s="1056"/>
      <c r="AGB129" s="1056"/>
      <c r="AGC129" s="1056"/>
      <c r="AGD129" s="1056"/>
      <c r="AGE129" s="1056"/>
      <c r="AGF129" s="1056"/>
      <c r="AGG129" s="1056"/>
      <c r="AGH129" s="1056"/>
      <c r="AGI129" s="1056"/>
      <c r="AGJ129" s="1056"/>
      <c r="AGK129" s="1056"/>
      <c r="AGL129" s="1056"/>
      <c r="AGM129" s="1056"/>
      <c r="AGN129" s="1056"/>
      <c r="AGO129" s="1056"/>
      <c r="AGP129" s="1056"/>
      <c r="AGQ129" s="1056"/>
      <c r="AGR129" s="1056"/>
      <c r="AGS129" s="1056"/>
      <c r="AGT129" s="1056"/>
      <c r="AGU129" s="1056"/>
      <c r="AGV129" s="1056"/>
      <c r="AGW129" s="1056"/>
      <c r="AGX129" s="1056"/>
      <c r="AGY129" s="1056"/>
      <c r="AGZ129" s="1056"/>
      <c r="AHA129" s="1056"/>
      <c r="AHB129" s="1056"/>
      <c r="AHC129" s="1056"/>
      <c r="AHD129" s="1056"/>
      <c r="AHE129" s="1056"/>
      <c r="AHF129" s="1056"/>
      <c r="AHG129" s="1056"/>
      <c r="AHH129" s="1056"/>
      <c r="AHI129" s="1056"/>
      <c r="AHJ129" s="1056"/>
      <c r="AHK129" s="1056"/>
      <c r="AHL129" s="1056"/>
      <c r="AHM129" s="1056"/>
      <c r="AHN129" s="1056"/>
      <c r="AHO129" s="1056"/>
      <c r="AHP129" s="1056"/>
      <c r="AHQ129" s="1056"/>
      <c r="AHR129" s="1056"/>
      <c r="AHS129" s="1056"/>
      <c r="AHT129" s="1056"/>
      <c r="AHU129" s="1056"/>
      <c r="AHV129" s="1056"/>
      <c r="AHW129" s="1056"/>
      <c r="AHX129" s="1056"/>
      <c r="AHY129" s="1056"/>
      <c r="AHZ129" s="1056"/>
      <c r="AIA129" s="1056"/>
      <c r="AIB129" s="1056"/>
      <c r="AIC129" s="1056"/>
      <c r="AID129" s="1056"/>
      <c r="AIE129" s="1056"/>
      <c r="AIF129" s="1056"/>
      <c r="AIG129" s="1056"/>
      <c r="AIH129" s="1056"/>
      <c r="AII129" s="1056"/>
      <c r="AIJ129" s="1056"/>
      <c r="AIK129" s="1056"/>
      <c r="AIL129" s="1056"/>
      <c r="AIM129" s="1056"/>
      <c r="AIN129" s="1056"/>
      <c r="AIO129" s="1056"/>
      <c r="AIP129" s="1056"/>
      <c r="AIQ129" s="1056"/>
      <c r="AIR129" s="1056"/>
      <c r="AIS129" s="1056"/>
      <c r="AIT129" s="1056"/>
      <c r="AIU129" s="1056"/>
      <c r="AIV129" s="1056"/>
      <c r="AIW129" s="1056"/>
      <c r="AIX129" s="1056"/>
      <c r="AIY129" s="1056"/>
      <c r="AIZ129" s="1056"/>
      <c r="AJA129" s="1056"/>
      <c r="AJB129" s="1056"/>
      <c r="AJC129" s="1056"/>
      <c r="AJD129" s="1056"/>
      <c r="AJE129" s="1056"/>
      <c r="AJF129" s="1056"/>
      <c r="AJG129" s="1056"/>
      <c r="AJH129" s="1056"/>
      <c r="AJI129" s="1056"/>
      <c r="AJJ129" s="1056"/>
      <c r="AJK129" s="1056"/>
      <c r="AJL129" s="1056"/>
      <c r="AJM129" s="1056"/>
      <c r="AJN129" s="1056"/>
      <c r="AJO129" s="1056"/>
      <c r="AJP129" s="1056"/>
      <c r="AJQ129" s="1056"/>
      <c r="AJR129" s="1056"/>
      <c r="AJS129" s="1056"/>
      <c r="AJT129" s="1056"/>
      <c r="AJU129" s="1056"/>
      <c r="AJV129" s="1056"/>
      <c r="AJW129" s="1056"/>
      <c r="AJX129" s="1056"/>
      <c r="AJY129" s="1056"/>
      <c r="AJZ129" s="1056"/>
      <c r="AKA129" s="1056"/>
      <c r="AKB129" s="1056"/>
      <c r="AKC129" s="1056"/>
      <c r="AKD129" s="1056"/>
      <c r="AKE129" s="1056"/>
      <c r="AKF129" s="1056"/>
      <c r="AKG129" s="1056"/>
      <c r="AKH129" s="1056"/>
      <c r="AKI129" s="1056"/>
      <c r="AKJ129" s="1056"/>
      <c r="AKK129" s="1056"/>
      <c r="AKL129" s="1056"/>
      <c r="AKM129" s="1056"/>
      <c r="AKN129" s="1056"/>
      <c r="AKO129" s="1056"/>
      <c r="AKP129" s="1056"/>
      <c r="AKQ129" s="1056"/>
      <c r="AKR129" s="1056"/>
      <c r="AKS129" s="1056"/>
      <c r="AKT129" s="1056"/>
      <c r="AKU129" s="1056"/>
      <c r="AKV129" s="1056"/>
      <c r="AKW129" s="1056"/>
      <c r="AKX129" s="1056"/>
      <c r="AKY129" s="1056"/>
      <c r="AKZ129" s="1056"/>
      <c r="ALA129" s="1056"/>
      <c r="ALB129" s="1056"/>
      <c r="ALC129" s="1056"/>
      <c r="ALD129" s="1056"/>
      <c r="ALE129" s="1056"/>
      <c r="ALF129" s="1056"/>
      <c r="ALG129" s="1056"/>
      <c r="ALH129" s="1056"/>
      <c r="ALI129" s="1056"/>
      <c r="ALJ129" s="1056"/>
      <c r="ALK129" s="1056"/>
      <c r="ALL129" s="1056"/>
      <c r="ALM129" s="1056"/>
      <c r="ALN129" s="1056"/>
      <c r="ALO129" s="1056"/>
      <c r="ALP129" s="1056"/>
      <c r="ALQ129" s="1056"/>
      <c r="ALR129" s="1056"/>
      <c r="ALS129" s="1056"/>
      <c r="ALT129" s="1056"/>
      <c r="ALU129" s="1056"/>
      <c r="ALV129" s="1056"/>
      <c r="ALW129" s="1056"/>
      <c r="ALX129" s="1056"/>
      <c r="ALY129" s="1056"/>
      <c r="ALZ129" s="1056"/>
      <c r="AMA129" s="1056"/>
      <c r="AMB129" s="1056"/>
      <c r="AMC129" s="1056"/>
      <c r="AMD129" s="1056"/>
      <c r="AME129" s="1056"/>
      <c r="AMF129" s="1056"/>
      <c r="AMG129" s="1056"/>
      <c r="AMH129" s="1056"/>
      <c r="AMI129" s="1056"/>
      <c r="AMJ129" s="1056"/>
      <c r="AMK129" s="1056"/>
      <c r="AML129" s="1056"/>
      <c r="AMM129" s="1056"/>
      <c r="AMN129" s="1056"/>
      <c r="AMO129" s="1056"/>
      <c r="AMP129" s="1056"/>
      <c r="AMQ129" s="1056"/>
      <c r="AMR129" s="1056"/>
      <c r="AMS129" s="1056"/>
      <c r="AMT129" s="1056"/>
      <c r="AMU129" s="1056"/>
      <c r="AMV129" s="1056"/>
      <c r="AMW129" s="1056"/>
      <c r="AMX129" s="1056"/>
      <c r="AMY129" s="1056"/>
      <c r="AMZ129" s="1056"/>
      <c r="ANA129" s="1056"/>
      <c r="ANB129" s="1056"/>
      <c r="ANC129" s="1056"/>
      <c r="AND129" s="1056"/>
      <c r="ANE129" s="1056"/>
      <c r="ANF129" s="1056"/>
      <c r="ANG129" s="1056"/>
      <c r="ANH129" s="1056"/>
      <c r="ANI129" s="1056"/>
      <c r="ANJ129" s="1056"/>
      <c r="ANK129" s="1056"/>
      <c r="ANL129" s="1056"/>
      <c r="ANM129" s="1056"/>
      <c r="ANN129" s="1056"/>
      <c r="ANO129" s="1056"/>
      <c r="ANP129" s="1056"/>
      <c r="ANQ129" s="1056"/>
      <c r="ANR129" s="1056"/>
      <c r="ANS129" s="1056"/>
      <c r="ANT129" s="1056"/>
      <c r="ANU129" s="1056"/>
      <c r="ANV129" s="1056"/>
      <c r="ANW129" s="1056"/>
      <c r="ANX129" s="1056"/>
      <c r="ANY129" s="1056"/>
      <c r="ANZ129" s="1056"/>
      <c r="AOA129" s="1056"/>
      <c r="AOB129" s="1056"/>
      <c r="AOC129" s="1056"/>
      <c r="AOD129" s="1056"/>
      <c r="AOE129" s="1056"/>
      <c r="AOF129" s="1056"/>
      <c r="AOG129" s="1056"/>
      <c r="AOH129" s="1056"/>
      <c r="AOI129" s="1056"/>
      <c r="AOJ129" s="1056"/>
      <c r="AOK129" s="1056"/>
      <c r="AOL129" s="1056"/>
      <c r="AOM129" s="1056"/>
      <c r="AON129" s="1056"/>
      <c r="AOO129" s="1056"/>
      <c r="AOP129" s="1056"/>
      <c r="AOQ129" s="1056"/>
      <c r="AOR129" s="1056"/>
      <c r="AOS129" s="1056"/>
      <c r="AOT129" s="1056"/>
      <c r="AOU129" s="1056"/>
      <c r="AOV129" s="1056"/>
      <c r="AOW129" s="1056"/>
      <c r="AOX129" s="1056"/>
      <c r="AOY129" s="1056"/>
      <c r="AOZ129" s="1056"/>
      <c r="APA129" s="1056"/>
      <c r="APB129" s="1056"/>
      <c r="APC129" s="1056"/>
      <c r="APD129" s="1056"/>
      <c r="APE129" s="1056"/>
      <c r="APF129" s="1056"/>
      <c r="APG129" s="1056"/>
      <c r="APH129" s="1056"/>
      <c r="API129" s="1056"/>
      <c r="APJ129" s="1056"/>
      <c r="APK129" s="1056"/>
      <c r="APL129" s="1056"/>
      <c r="APM129" s="1056"/>
      <c r="APN129" s="1056"/>
      <c r="APO129" s="1056"/>
      <c r="APP129" s="1056"/>
      <c r="APQ129" s="1056"/>
      <c r="APR129" s="1056"/>
      <c r="APS129" s="1056"/>
      <c r="APT129" s="1056"/>
      <c r="APU129" s="1056"/>
      <c r="APV129" s="1056"/>
      <c r="APW129" s="1056"/>
      <c r="APX129" s="1056"/>
      <c r="APY129" s="1056"/>
      <c r="APZ129" s="1056"/>
      <c r="AQA129" s="1056"/>
      <c r="AQB129" s="1056"/>
      <c r="AQC129" s="1056"/>
      <c r="AQD129" s="1056"/>
      <c r="AQE129" s="1056"/>
      <c r="AQF129" s="1056"/>
      <c r="AQG129" s="1056"/>
      <c r="AQH129" s="1056"/>
      <c r="AQI129" s="1056"/>
      <c r="AQJ129" s="1056"/>
      <c r="AQK129" s="1056"/>
      <c r="AQL129" s="1056"/>
      <c r="AQM129" s="1056"/>
      <c r="AQN129" s="1056"/>
      <c r="AQO129" s="1056"/>
      <c r="AQP129" s="1056"/>
      <c r="AQQ129" s="1056"/>
      <c r="AQR129" s="1056"/>
      <c r="AQS129" s="1056"/>
      <c r="AQT129" s="1056"/>
      <c r="AQU129" s="1056"/>
      <c r="AQV129" s="1056"/>
      <c r="AQW129" s="1056"/>
      <c r="AQX129" s="1056"/>
      <c r="AQY129" s="1056"/>
      <c r="AQZ129" s="1056"/>
      <c r="ARA129" s="1056"/>
      <c r="ARB129" s="1056"/>
      <c r="ARC129" s="1056"/>
      <c r="ARD129" s="1056"/>
      <c r="ARE129" s="1056"/>
      <c r="ARF129" s="1056"/>
      <c r="ARG129" s="1056"/>
      <c r="ARH129" s="1056"/>
      <c r="ARI129" s="1056"/>
      <c r="ARJ129" s="1056"/>
      <c r="ARK129" s="1056"/>
      <c r="ARL129" s="1056"/>
      <c r="ARM129" s="1056"/>
      <c r="ARN129" s="1056"/>
      <c r="ARO129" s="1056"/>
      <c r="ARP129" s="1056"/>
      <c r="ARQ129" s="1056"/>
      <c r="ARR129" s="1056"/>
      <c r="ARS129" s="1056"/>
      <c r="ART129" s="1056"/>
      <c r="ARU129" s="1056"/>
      <c r="ARV129" s="1056"/>
      <c r="ARW129" s="1056"/>
      <c r="ARX129" s="1056"/>
      <c r="ARY129" s="1056"/>
      <c r="ARZ129" s="1056"/>
      <c r="ASA129" s="1056"/>
      <c r="ASB129" s="1056"/>
      <c r="ASC129" s="1056"/>
      <c r="ASD129" s="1056"/>
      <c r="ASE129" s="1056"/>
      <c r="ASF129" s="1056"/>
      <c r="ASG129" s="1056"/>
      <c r="ASH129" s="1056"/>
      <c r="ASI129" s="1056"/>
      <c r="ASJ129" s="1056"/>
      <c r="ASK129" s="1056"/>
      <c r="ASL129" s="1056"/>
      <c r="ASM129" s="1056"/>
      <c r="ASN129" s="1056"/>
      <c r="ASO129" s="1056"/>
      <c r="ASP129" s="1056"/>
      <c r="ASQ129" s="1056"/>
      <c r="ASR129" s="1056"/>
      <c r="ASS129" s="1056"/>
      <c r="AST129" s="1056"/>
      <c r="ASU129" s="1056"/>
      <c r="ASV129" s="1056"/>
      <c r="ASW129" s="1056"/>
      <c r="ASX129" s="1056"/>
      <c r="ASY129" s="1056"/>
      <c r="ASZ129" s="1056"/>
      <c r="ATA129" s="1056"/>
      <c r="ATB129" s="1056"/>
      <c r="ATC129" s="1056"/>
      <c r="ATD129" s="1056"/>
      <c r="ATE129" s="1056"/>
      <c r="ATF129" s="1056"/>
      <c r="ATG129" s="1056"/>
      <c r="ATH129" s="1056"/>
      <c r="ATI129" s="1056"/>
      <c r="ATJ129" s="1056"/>
      <c r="ATK129" s="1056"/>
      <c r="ATL129" s="1056"/>
      <c r="ATM129" s="1056"/>
      <c r="ATN129" s="1056"/>
      <c r="ATO129" s="1056"/>
      <c r="ATP129" s="1056"/>
      <c r="ATQ129" s="1056"/>
      <c r="ATR129" s="1056"/>
      <c r="ATS129" s="1056"/>
      <c r="ATT129" s="1056"/>
      <c r="ATU129" s="1056"/>
      <c r="ATV129" s="1056"/>
      <c r="ATW129" s="1056"/>
      <c r="ATX129" s="1056"/>
      <c r="ATY129" s="1056"/>
      <c r="ATZ129" s="1056"/>
      <c r="AUA129" s="1056"/>
      <c r="AUB129" s="1056"/>
      <c r="AUC129" s="1056"/>
      <c r="AUD129" s="1056"/>
      <c r="AUE129" s="1056"/>
      <c r="AUF129" s="1056"/>
      <c r="AUG129" s="1056"/>
      <c r="AUH129" s="1056"/>
      <c r="AUI129" s="1056"/>
      <c r="AUJ129" s="1056"/>
      <c r="AUK129" s="1056"/>
      <c r="AUL129" s="1056"/>
      <c r="AUM129" s="1056"/>
      <c r="AUN129" s="1056"/>
      <c r="AUO129" s="1056"/>
      <c r="AUP129" s="1056"/>
      <c r="AUQ129" s="1056"/>
      <c r="AUR129" s="1056"/>
      <c r="AUS129" s="1056"/>
      <c r="AUT129" s="1056"/>
      <c r="AUU129" s="1056"/>
      <c r="AUV129" s="1056"/>
      <c r="AUW129" s="1056"/>
      <c r="AUX129" s="1056"/>
      <c r="AUY129" s="1056"/>
      <c r="AUZ129" s="1056"/>
      <c r="AVA129" s="1056"/>
      <c r="AVB129" s="1056"/>
      <c r="AVC129" s="1056"/>
      <c r="AVD129" s="1056"/>
      <c r="AVE129" s="1056"/>
      <c r="AVF129" s="1056"/>
      <c r="AVG129" s="1056"/>
      <c r="AVH129" s="1056"/>
      <c r="AVI129" s="1056"/>
      <c r="AVJ129" s="1056"/>
      <c r="AVK129" s="1056"/>
      <c r="AVL129" s="1056"/>
      <c r="AVM129" s="1056"/>
      <c r="AVN129" s="1056"/>
      <c r="AVO129" s="1056"/>
      <c r="AVP129" s="1056"/>
      <c r="AVQ129" s="1056"/>
      <c r="AVR129" s="1056"/>
      <c r="AVS129" s="1056"/>
      <c r="AVT129" s="1056"/>
      <c r="AVU129" s="1056"/>
      <c r="AVV129" s="1056"/>
      <c r="AVW129" s="1056"/>
      <c r="AVX129" s="1056"/>
      <c r="AVY129" s="1056"/>
      <c r="AVZ129" s="1056"/>
      <c r="AWA129" s="1056"/>
      <c r="AWB129" s="1056"/>
      <c r="AWC129" s="1056"/>
      <c r="AWD129" s="1056"/>
      <c r="AWE129" s="1056"/>
      <c r="AWF129" s="1056"/>
      <c r="AWG129" s="1056"/>
      <c r="AWH129" s="1056"/>
      <c r="AWI129" s="1056"/>
      <c r="AWJ129" s="1056"/>
      <c r="AWK129" s="1056"/>
      <c r="AWL129" s="1056"/>
      <c r="AWM129" s="1056"/>
      <c r="AWN129" s="1056"/>
      <c r="AWO129" s="1056"/>
      <c r="AWP129" s="1056"/>
      <c r="AWQ129" s="1056"/>
      <c r="AWR129" s="1056"/>
      <c r="AWS129" s="1056"/>
      <c r="AWT129" s="1056"/>
      <c r="AWU129" s="1056"/>
      <c r="AWV129" s="1056"/>
      <c r="AWW129" s="1056"/>
      <c r="AWX129" s="1056"/>
      <c r="AWY129" s="1056"/>
      <c r="AWZ129" s="1056"/>
      <c r="AXA129" s="1056"/>
      <c r="AXB129" s="1056"/>
      <c r="AXC129" s="1056"/>
      <c r="AXD129" s="1056"/>
      <c r="AXE129" s="1056"/>
      <c r="AXF129" s="1056"/>
      <c r="AXG129" s="1056"/>
      <c r="AXH129" s="1056"/>
      <c r="AXI129" s="1056"/>
      <c r="AXJ129" s="1056"/>
      <c r="AXK129" s="1056"/>
      <c r="AXL129" s="1056"/>
      <c r="AXM129" s="1056"/>
      <c r="AXN129" s="1056"/>
      <c r="AXO129" s="1056"/>
      <c r="AXP129" s="1056"/>
      <c r="AXQ129" s="1056"/>
      <c r="AXR129" s="1056"/>
      <c r="AXS129" s="1056"/>
      <c r="AXT129" s="1056"/>
      <c r="AXU129" s="1056"/>
      <c r="AXV129" s="1056"/>
      <c r="AXW129" s="1056"/>
      <c r="AXX129" s="1056"/>
      <c r="AXY129" s="1056"/>
      <c r="AXZ129" s="1056"/>
      <c r="AYA129" s="1056"/>
      <c r="AYB129" s="1056"/>
      <c r="AYC129" s="1056"/>
      <c r="AYD129" s="1056"/>
      <c r="AYE129" s="1056"/>
      <c r="AYF129" s="1056"/>
      <c r="AYG129" s="1056"/>
      <c r="AYH129" s="1056"/>
      <c r="AYI129" s="1056"/>
      <c r="AYJ129" s="1056"/>
      <c r="AYK129" s="1056"/>
      <c r="AYL129" s="1056"/>
      <c r="AYM129" s="1056"/>
      <c r="AYN129" s="1056"/>
      <c r="AYO129" s="1056"/>
      <c r="AYP129" s="1056"/>
      <c r="AYQ129" s="1056"/>
      <c r="AYR129" s="1056"/>
      <c r="AYS129" s="1056"/>
      <c r="AYT129" s="1056"/>
      <c r="AYU129" s="1056"/>
      <c r="AYV129" s="1056"/>
      <c r="AYW129" s="1056"/>
      <c r="AYX129" s="1056"/>
      <c r="AYY129" s="1056"/>
      <c r="AYZ129" s="1056"/>
      <c r="AZA129" s="1056"/>
      <c r="AZB129" s="1056"/>
      <c r="AZC129" s="1056"/>
      <c r="AZD129" s="1056"/>
      <c r="AZE129" s="1056"/>
      <c r="AZF129" s="1056"/>
      <c r="AZG129" s="1056"/>
      <c r="AZH129" s="1056"/>
      <c r="AZI129" s="1056"/>
      <c r="AZJ129" s="1056"/>
      <c r="AZK129" s="1056"/>
      <c r="AZL129" s="1056"/>
      <c r="AZM129" s="1056"/>
      <c r="AZN129" s="1056"/>
      <c r="AZO129" s="1056"/>
      <c r="AZP129" s="1056"/>
      <c r="AZQ129" s="1056"/>
      <c r="AZR129" s="1056"/>
      <c r="AZS129" s="1056"/>
      <c r="AZT129" s="1056"/>
      <c r="AZU129" s="1056"/>
      <c r="AZV129" s="1056"/>
      <c r="AZW129" s="1056"/>
      <c r="AZX129" s="1056"/>
      <c r="AZY129" s="1056"/>
      <c r="AZZ129" s="1056"/>
      <c r="BAA129" s="1056"/>
      <c r="BAB129" s="1056"/>
      <c r="BAC129" s="1056"/>
      <c r="BAD129" s="1056"/>
      <c r="BAE129" s="1056"/>
      <c r="BAF129" s="1056"/>
      <c r="BAG129" s="1056"/>
      <c r="BAH129" s="1056"/>
      <c r="BAI129" s="1056"/>
      <c r="BAJ129" s="1056"/>
      <c r="BAK129" s="1056"/>
      <c r="BAL129" s="1056"/>
      <c r="BAM129" s="1056"/>
      <c r="BAN129" s="1056"/>
      <c r="BAO129" s="1056"/>
      <c r="BAP129" s="1056"/>
      <c r="BAQ129" s="1056"/>
      <c r="BAR129" s="1056"/>
      <c r="BAS129" s="1056"/>
      <c r="BAT129" s="1056"/>
      <c r="BAU129" s="1056"/>
      <c r="BAV129" s="1056"/>
      <c r="BAW129" s="1056"/>
      <c r="BAX129" s="1056"/>
      <c r="BAY129" s="1056"/>
      <c r="BAZ129" s="1056"/>
      <c r="BBA129" s="1056"/>
      <c r="BBB129" s="1056"/>
      <c r="BBC129" s="1056"/>
      <c r="BBD129" s="1056"/>
      <c r="BBE129" s="1056"/>
      <c r="BBF129" s="1056"/>
      <c r="BBG129" s="1056"/>
      <c r="BBH129" s="1056"/>
      <c r="BBI129" s="1056"/>
      <c r="BBJ129" s="1056"/>
      <c r="BBK129" s="1056"/>
      <c r="BBL129" s="1056"/>
      <c r="BBM129" s="1056"/>
      <c r="BBN129" s="1056"/>
      <c r="BBO129" s="1056"/>
      <c r="BBP129" s="1056"/>
      <c r="BBQ129" s="1056"/>
      <c r="BBR129" s="1056"/>
      <c r="BBS129" s="1056"/>
      <c r="BBT129" s="1056"/>
      <c r="BBU129" s="1056"/>
      <c r="BBV129" s="1056"/>
      <c r="BBW129" s="1056"/>
      <c r="BBX129" s="1056"/>
      <c r="BBY129" s="1056"/>
      <c r="BBZ129" s="1056"/>
      <c r="BCA129" s="1056"/>
      <c r="BCB129" s="1056"/>
      <c r="BCC129" s="1056"/>
      <c r="BCD129" s="1056"/>
      <c r="BCE129" s="1056"/>
      <c r="BCF129" s="1056"/>
      <c r="BCG129" s="1056"/>
      <c r="BCH129" s="1056"/>
      <c r="BCI129" s="1056"/>
      <c r="BCJ129" s="1056"/>
      <c r="BCK129" s="1056"/>
      <c r="BCL129" s="1056"/>
      <c r="BCM129" s="1056"/>
      <c r="BCN129" s="1056"/>
      <c r="BCO129" s="1056"/>
      <c r="BCP129" s="1056"/>
      <c r="BCQ129" s="1056"/>
      <c r="BCR129" s="1056"/>
      <c r="BCS129" s="1056"/>
      <c r="BCT129" s="1056"/>
      <c r="BCU129" s="1056"/>
      <c r="BCV129" s="1056"/>
      <c r="BCW129" s="1056"/>
      <c r="BCX129" s="1056"/>
      <c r="BCY129" s="1056"/>
      <c r="BCZ129" s="1056"/>
      <c r="BDA129" s="1056"/>
      <c r="BDB129" s="1056"/>
      <c r="BDC129" s="1056"/>
      <c r="BDD129" s="1056"/>
      <c r="BDE129" s="1056"/>
      <c r="BDF129" s="1056"/>
      <c r="BDG129" s="1056"/>
      <c r="BDH129" s="1056"/>
      <c r="BDI129" s="1056"/>
      <c r="BDJ129" s="1056"/>
      <c r="BDK129" s="1056"/>
      <c r="BDL129" s="1056"/>
      <c r="BDM129" s="1056"/>
      <c r="BDN129" s="1056"/>
      <c r="BDO129" s="1056"/>
      <c r="BDP129" s="1056"/>
      <c r="BDQ129" s="1056"/>
      <c r="BDR129" s="1056"/>
      <c r="BDS129" s="1056"/>
      <c r="BDT129" s="1056"/>
      <c r="BDU129" s="1056"/>
      <c r="BDV129" s="1056"/>
      <c r="BDW129" s="1056"/>
      <c r="BDX129" s="1056"/>
      <c r="BDY129" s="1056"/>
      <c r="BDZ129" s="1056"/>
      <c r="BEA129" s="1056"/>
      <c r="BEB129" s="1056"/>
      <c r="BEC129" s="1056"/>
      <c r="BED129" s="1056"/>
      <c r="BEE129" s="1056"/>
      <c r="BEF129" s="1056"/>
      <c r="BEG129" s="1056"/>
      <c r="BEH129" s="1056"/>
      <c r="BEI129" s="1056"/>
      <c r="BEJ129" s="1056"/>
      <c r="BEK129" s="1056"/>
      <c r="BEL129" s="1056"/>
      <c r="BEM129" s="1056"/>
      <c r="BEN129" s="1056"/>
      <c r="BEO129" s="1056"/>
      <c r="BEP129" s="1056"/>
      <c r="BEQ129" s="1056"/>
      <c r="BER129" s="1056"/>
      <c r="BES129" s="1056"/>
      <c r="BET129" s="1056"/>
      <c r="BEU129" s="1056"/>
      <c r="BEV129" s="1056"/>
      <c r="BEW129" s="1056"/>
      <c r="BEX129" s="1056"/>
      <c r="BEY129" s="1056"/>
      <c r="BEZ129" s="1056"/>
      <c r="BFA129" s="1056"/>
      <c r="BFB129" s="1056"/>
      <c r="BFC129" s="1056"/>
      <c r="BFD129" s="1056"/>
      <c r="BFE129" s="1056"/>
      <c r="BFF129" s="1056"/>
      <c r="BFG129" s="1056"/>
      <c r="BFH129" s="1056"/>
      <c r="BFI129" s="1056"/>
      <c r="BFJ129" s="1056"/>
      <c r="BFK129" s="1056"/>
      <c r="BFL129" s="1056"/>
      <c r="BFM129" s="1056"/>
      <c r="BFN129" s="1056"/>
      <c r="BFO129" s="1056"/>
      <c r="BFP129" s="1056"/>
      <c r="BFQ129" s="1056"/>
      <c r="BFR129" s="1056"/>
      <c r="BFS129" s="1056"/>
      <c r="BFT129" s="1056"/>
      <c r="BFU129" s="1056"/>
      <c r="BFV129" s="1056"/>
      <c r="BFW129" s="1056"/>
      <c r="BFX129" s="1056"/>
      <c r="BFY129" s="1056"/>
      <c r="BFZ129" s="1056"/>
      <c r="BGA129" s="1056"/>
      <c r="BGB129" s="1056"/>
      <c r="BGC129" s="1056"/>
      <c r="BGD129" s="1056"/>
      <c r="BGE129" s="1056"/>
      <c r="BGF129" s="1056"/>
      <c r="BGG129" s="1056"/>
      <c r="BGH129" s="1056"/>
      <c r="BGI129" s="1056"/>
      <c r="BGJ129" s="1056"/>
      <c r="BGK129" s="1056"/>
      <c r="BGL129" s="1056"/>
      <c r="BGM129" s="1056"/>
      <c r="BGN129" s="1056"/>
      <c r="BGO129" s="1056"/>
      <c r="BGP129" s="1056"/>
      <c r="BGQ129" s="1056"/>
      <c r="BGR129" s="1056"/>
      <c r="BGS129" s="1056"/>
      <c r="BGT129" s="1056"/>
      <c r="BGU129" s="1056"/>
      <c r="BGV129" s="1056"/>
      <c r="BGW129" s="1056"/>
      <c r="BGX129" s="1056"/>
      <c r="BGY129" s="1056"/>
      <c r="BGZ129" s="1056"/>
      <c r="BHA129" s="1056"/>
      <c r="BHB129" s="1056"/>
      <c r="BHC129" s="1056"/>
      <c r="BHD129" s="1056"/>
      <c r="BHE129" s="1056"/>
      <c r="BHF129" s="1056"/>
      <c r="BHG129" s="1056"/>
      <c r="BHH129" s="1056"/>
      <c r="BHI129" s="1056"/>
      <c r="BHJ129" s="1056"/>
      <c r="BHK129" s="1056"/>
      <c r="BHL129" s="1056"/>
      <c r="BHM129" s="1056"/>
      <c r="BHN129" s="1056"/>
      <c r="BHO129" s="1056"/>
      <c r="BHP129" s="1056"/>
      <c r="BHQ129" s="1056"/>
      <c r="BHR129" s="1056"/>
      <c r="BHS129" s="1056"/>
      <c r="BHT129" s="1056"/>
      <c r="BHU129" s="1056"/>
      <c r="BHV129" s="1056"/>
      <c r="BHW129" s="1056"/>
      <c r="BHX129" s="1056"/>
      <c r="BHY129" s="1056"/>
      <c r="BHZ129" s="1056"/>
      <c r="BIA129" s="1056"/>
      <c r="BIB129" s="1056"/>
      <c r="BIC129" s="1056"/>
      <c r="BID129" s="1056"/>
      <c r="BIE129" s="1056"/>
      <c r="BIF129" s="1056"/>
      <c r="BIG129" s="1056"/>
      <c r="BIH129" s="1056"/>
      <c r="BII129" s="1056"/>
      <c r="BIJ129" s="1056"/>
      <c r="BIK129" s="1056"/>
      <c r="BIL129" s="1056"/>
      <c r="BIM129" s="1056"/>
      <c r="BIN129" s="1056"/>
      <c r="BIO129" s="1056"/>
      <c r="BIP129" s="1056"/>
      <c r="BIQ129" s="1056"/>
      <c r="BIR129" s="1056"/>
      <c r="BIS129" s="1056"/>
      <c r="BIT129" s="1056"/>
      <c r="BIU129" s="1056"/>
      <c r="BIV129" s="1056"/>
      <c r="BIW129" s="1056"/>
      <c r="BIX129" s="1056"/>
      <c r="BIY129" s="1056"/>
      <c r="BIZ129" s="1056"/>
      <c r="BJA129" s="1056"/>
      <c r="BJB129" s="1056"/>
      <c r="BJC129" s="1056"/>
      <c r="BJD129" s="1056"/>
      <c r="BJE129" s="1056"/>
      <c r="BJF129" s="1056"/>
      <c r="BJG129" s="1056"/>
      <c r="BJH129" s="1056"/>
      <c r="BJI129" s="1056"/>
      <c r="BJJ129" s="1056"/>
      <c r="BJK129" s="1056"/>
      <c r="BJL129" s="1056"/>
      <c r="BJM129" s="1056"/>
      <c r="BJN129" s="1056"/>
      <c r="BJO129" s="1056"/>
      <c r="BJP129" s="1056"/>
      <c r="BJQ129" s="1056"/>
      <c r="BJR129" s="1056"/>
      <c r="BJS129" s="1056"/>
      <c r="BJT129" s="1056"/>
      <c r="BJU129" s="1056"/>
      <c r="BJV129" s="1056"/>
      <c r="BJW129" s="1056"/>
      <c r="BJX129" s="1056"/>
      <c r="BJY129" s="1056"/>
      <c r="BJZ129" s="1056"/>
      <c r="BKA129" s="1056"/>
      <c r="BKB129" s="1056"/>
      <c r="BKC129" s="1056"/>
      <c r="BKD129" s="1056"/>
      <c r="BKE129" s="1056"/>
      <c r="BKF129" s="1056"/>
      <c r="BKG129" s="1056"/>
      <c r="BKH129" s="1056"/>
      <c r="BKI129" s="1056"/>
      <c r="BKJ129" s="1056"/>
      <c r="BKK129" s="1056"/>
      <c r="BKL129" s="1056"/>
      <c r="BKM129" s="1056"/>
      <c r="BKN129" s="1056"/>
      <c r="BKO129" s="1056"/>
      <c r="BKP129" s="1056"/>
      <c r="BKQ129" s="1056"/>
      <c r="BKR129" s="1056"/>
      <c r="BKS129" s="1056"/>
      <c r="BKT129" s="1056"/>
      <c r="BKU129" s="1056"/>
      <c r="BKV129" s="1056"/>
      <c r="BKW129" s="1056"/>
      <c r="BKX129" s="1056"/>
      <c r="BKY129" s="1056"/>
      <c r="BKZ129" s="1056"/>
      <c r="BLA129" s="1056"/>
      <c r="BLB129" s="1056"/>
      <c r="BLC129" s="1056"/>
      <c r="BLD129" s="1056"/>
      <c r="BLE129" s="1056"/>
      <c r="BLF129" s="1056"/>
      <c r="BLG129" s="1056"/>
      <c r="BLH129" s="1056"/>
      <c r="BLI129" s="1056"/>
      <c r="BLJ129" s="1056"/>
      <c r="BLK129" s="1056"/>
      <c r="BLL129" s="1056"/>
      <c r="BLM129" s="1056"/>
      <c r="BLN129" s="1056"/>
      <c r="BLO129" s="1056"/>
      <c r="BLP129" s="1056"/>
      <c r="BLQ129" s="1056"/>
      <c r="BLR129" s="1056"/>
      <c r="BLS129" s="1056"/>
      <c r="BLT129" s="1056"/>
      <c r="BLU129" s="1056"/>
      <c r="BLV129" s="1056"/>
      <c r="BLW129" s="1056"/>
      <c r="BLX129" s="1056"/>
      <c r="BLY129" s="1056"/>
      <c r="BLZ129" s="1056"/>
      <c r="BMA129" s="1056"/>
      <c r="BMB129" s="1056"/>
      <c r="BMC129" s="1056"/>
      <c r="BMD129" s="1056"/>
      <c r="BME129" s="1056"/>
      <c r="BMF129" s="1056"/>
      <c r="BMG129" s="1056"/>
      <c r="BMH129" s="1056"/>
      <c r="BMI129" s="1056"/>
      <c r="BMJ129" s="1056"/>
      <c r="BMK129" s="1056"/>
      <c r="BML129" s="1056"/>
      <c r="BMM129" s="1056"/>
      <c r="BMN129" s="1056"/>
      <c r="BMO129" s="1056"/>
      <c r="BMP129" s="1056"/>
      <c r="BMQ129" s="1056"/>
      <c r="BMR129" s="1056"/>
      <c r="BMS129" s="1056"/>
      <c r="BMT129" s="1056"/>
      <c r="BMU129" s="1056"/>
      <c r="BMV129" s="1056"/>
      <c r="BMW129" s="1056"/>
      <c r="BMX129" s="1056"/>
      <c r="BMY129" s="1056"/>
      <c r="BMZ129" s="1056"/>
      <c r="BNA129" s="1056"/>
      <c r="BNB129" s="1056"/>
      <c r="BNC129" s="1056"/>
      <c r="BND129" s="1056"/>
      <c r="BNE129" s="1056"/>
      <c r="BNF129" s="1056"/>
      <c r="BNG129" s="1056"/>
      <c r="BNH129" s="1056"/>
      <c r="BNI129" s="1056"/>
      <c r="BNJ129" s="1056"/>
      <c r="BNK129" s="1056"/>
      <c r="BNL129" s="1056"/>
      <c r="BNM129" s="1056"/>
      <c r="BNN129" s="1056"/>
      <c r="BNO129" s="1056"/>
      <c r="BNP129" s="1056"/>
      <c r="BNQ129" s="1056"/>
      <c r="BNR129" s="1056"/>
      <c r="BNS129" s="1056"/>
      <c r="BNT129" s="1056"/>
      <c r="BNU129" s="1056"/>
      <c r="BNV129" s="1056"/>
      <c r="BNW129" s="1056"/>
      <c r="BNX129" s="1056"/>
      <c r="BNY129" s="1056"/>
      <c r="BNZ129" s="1056"/>
      <c r="BOA129" s="1056"/>
      <c r="BOB129" s="1056"/>
      <c r="BOC129" s="1056"/>
      <c r="BOD129" s="1056"/>
      <c r="BOE129" s="1056"/>
      <c r="BOF129" s="1056"/>
      <c r="BOG129" s="1056"/>
      <c r="BOH129" s="1056"/>
      <c r="BOI129" s="1056"/>
      <c r="BOJ129" s="1056"/>
      <c r="BOK129" s="1056"/>
      <c r="BOL129" s="1056"/>
      <c r="BOM129" s="1056"/>
      <c r="BON129" s="1056"/>
      <c r="BOO129" s="1056"/>
      <c r="BOP129" s="1056"/>
      <c r="BOQ129" s="1056"/>
      <c r="BOR129" s="1056"/>
      <c r="BOS129" s="1056"/>
      <c r="BOT129" s="1056"/>
      <c r="BOU129" s="1056"/>
      <c r="BOV129" s="1056"/>
      <c r="BOW129" s="1056"/>
      <c r="BOX129" s="1056"/>
      <c r="BOY129" s="1056"/>
      <c r="BOZ129" s="1056"/>
      <c r="BPA129" s="1056"/>
      <c r="BPB129" s="1056"/>
      <c r="BPC129" s="1056"/>
      <c r="BPD129" s="1056"/>
      <c r="BPE129" s="1056"/>
      <c r="BPF129" s="1056"/>
      <c r="BPG129" s="1056"/>
      <c r="BPH129" s="1056"/>
      <c r="BPI129" s="1056"/>
      <c r="BPJ129" s="1056"/>
      <c r="BPK129" s="1056"/>
      <c r="BPL129" s="1056"/>
      <c r="BPM129" s="1056"/>
      <c r="BPN129" s="1056"/>
      <c r="BPO129" s="1056"/>
      <c r="BPP129" s="1056"/>
      <c r="BPQ129" s="1056"/>
      <c r="BPR129" s="1056"/>
      <c r="BPS129" s="1056"/>
      <c r="BPT129" s="1056"/>
      <c r="BPU129" s="1056"/>
      <c r="BPV129" s="1056"/>
      <c r="BPW129" s="1056"/>
      <c r="BPX129" s="1056"/>
      <c r="BPY129" s="1056"/>
      <c r="BPZ129" s="1056"/>
      <c r="BQA129" s="1056"/>
      <c r="BQB129" s="1056"/>
      <c r="BQC129" s="1056"/>
      <c r="BQD129" s="1056"/>
      <c r="BQE129" s="1056"/>
      <c r="BQF129" s="1056"/>
      <c r="BQG129" s="1056"/>
      <c r="BQH129" s="1056"/>
      <c r="BQI129" s="1056"/>
      <c r="BQJ129" s="1056"/>
      <c r="BQK129" s="1056"/>
      <c r="BQL129" s="1056"/>
      <c r="BQM129" s="1056"/>
      <c r="BQN129" s="1056"/>
      <c r="BQO129" s="1056"/>
      <c r="BQP129" s="1056"/>
      <c r="BQQ129" s="1056"/>
      <c r="BQR129" s="1056"/>
      <c r="BQS129" s="1056"/>
      <c r="BQT129" s="1056"/>
      <c r="BQU129" s="1056"/>
      <c r="BQV129" s="1056"/>
      <c r="BQW129" s="1056"/>
      <c r="BQX129" s="1056"/>
      <c r="BQY129" s="1056"/>
      <c r="BQZ129" s="1056"/>
      <c r="BRA129" s="1056"/>
      <c r="BRB129" s="1056"/>
      <c r="BRC129" s="1056"/>
      <c r="BRD129" s="1056"/>
      <c r="BRE129" s="1056"/>
      <c r="BRF129" s="1056"/>
      <c r="BRG129" s="1056"/>
      <c r="BRH129" s="1056"/>
      <c r="BRI129" s="1056"/>
      <c r="BRJ129" s="1056"/>
      <c r="BRK129" s="1056"/>
      <c r="BRL129" s="1056"/>
      <c r="BRM129" s="1056"/>
      <c r="BRN129" s="1056"/>
      <c r="BRO129" s="1056"/>
      <c r="BRP129" s="1056"/>
      <c r="BRQ129" s="1056"/>
      <c r="BRR129" s="1056"/>
      <c r="BRS129" s="1056"/>
      <c r="BRT129" s="1056"/>
      <c r="BRU129" s="1056"/>
      <c r="BRV129" s="1056"/>
      <c r="BRW129" s="1056"/>
      <c r="BRX129" s="1056"/>
      <c r="BRY129" s="1056"/>
      <c r="BRZ129" s="1056"/>
      <c r="BSA129" s="1056"/>
      <c r="BSB129" s="1056"/>
      <c r="BSC129" s="1056"/>
      <c r="BSD129" s="1056"/>
      <c r="BSE129" s="1056"/>
      <c r="BSF129" s="1056"/>
      <c r="BSG129" s="1056"/>
      <c r="BSH129" s="1056"/>
      <c r="BSI129" s="1056"/>
      <c r="BSJ129" s="1056"/>
      <c r="BSK129" s="1056"/>
      <c r="BSL129" s="1056"/>
      <c r="BSM129" s="1056"/>
      <c r="BSN129" s="1056"/>
      <c r="BSO129" s="1056"/>
      <c r="BSP129" s="1056"/>
      <c r="BSQ129" s="1056"/>
      <c r="BSR129" s="1056"/>
      <c r="BSS129" s="1056"/>
      <c r="BST129" s="1056"/>
      <c r="BSU129" s="1056"/>
      <c r="BSV129" s="1056"/>
      <c r="BSW129" s="1056"/>
      <c r="BSX129" s="1056"/>
      <c r="BSY129" s="1056"/>
      <c r="BSZ129" s="1056"/>
      <c r="BTA129" s="1056"/>
      <c r="BTB129" s="1056"/>
      <c r="BTC129" s="1056"/>
      <c r="BTD129" s="1056"/>
      <c r="BTE129" s="1056"/>
      <c r="BTF129" s="1056"/>
      <c r="BTG129" s="1056"/>
      <c r="BTH129" s="1056"/>
      <c r="BTI129" s="1056"/>
    </row>
    <row r="130" spans="1:1881" s="1060" customFormat="1" ht="15" hidden="1" thickBot="1" x14ac:dyDescent="0.35">
      <c r="A130" s="1059"/>
      <c r="B130" s="819" t="s">
        <v>22</v>
      </c>
      <c r="C130" s="819"/>
      <c r="D130" s="819"/>
      <c r="E130" s="817"/>
      <c r="F130" s="841"/>
      <c r="G130" s="842"/>
      <c r="H130" s="735"/>
      <c r="I130" s="1055"/>
      <c r="J130" s="1056"/>
      <c r="K130" s="1056"/>
      <c r="L130" s="1057"/>
      <c r="M130" s="1056"/>
      <c r="N130" s="1058"/>
      <c r="O130" s="1056"/>
      <c r="P130" s="1056"/>
      <c r="Q130" s="1056"/>
      <c r="R130" s="1056"/>
      <c r="S130" s="1056"/>
      <c r="T130" s="1056"/>
      <c r="U130" s="1056"/>
      <c r="V130" s="1056"/>
      <c r="W130" s="1056"/>
      <c r="X130" s="1056"/>
      <c r="Y130" s="1056"/>
      <c r="Z130" s="1059"/>
      <c r="AA130" s="1059"/>
      <c r="AB130" s="1059"/>
      <c r="AC130" s="1059"/>
      <c r="AD130" s="1059"/>
      <c r="AE130" s="1059"/>
      <c r="AF130" s="1059"/>
      <c r="AG130" s="1059"/>
      <c r="AH130" s="1059"/>
      <c r="AI130" s="1059"/>
      <c r="AJ130" s="1059"/>
      <c r="AK130" s="1059"/>
      <c r="AL130" s="1059"/>
      <c r="AM130" s="1059"/>
      <c r="AN130" s="1059"/>
      <c r="AO130" s="1059"/>
      <c r="AP130" s="1059"/>
      <c r="AQ130" s="1059"/>
      <c r="AR130" s="1059"/>
      <c r="AS130" s="1056"/>
      <c r="AT130" s="1056"/>
      <c r="AU130" s="1056"/>
      <c r="AV130" s="1056"/>
      <c r="AW130" s="1056"/>
      <c r="AX130" s="1056"/>
      <c r="AY130" s="1056"/>
      <c r="AZ130" s="1056"/>
      <c r="BA130" s="1056"/>
      <c r="BB130" s="1056"/>
      <c r="BC130" s="1056"/>
      <c r="BD130" s="1056"/>
      <c r="BE130" s="1056"/>
      <c r="BF130" s="1056"/>
      <c r="BG130" s="1056"/>
      <c r="BH130" s="1056"/>
      <c r="BI130" s="1056"/>
      <c r="BJ130" s="1056"/>
      <c r="BK130" s="1056"/>
      <c r="BL130" s="1056"/>
      <c r="BM130" s="1056"/>
      <c r="BN130" s="1056"/>
      <c r="BO130" s="1056"/>
      <c r="BP130" s="1056"/>
      <c r="BQ130" s="1056"/>
      <c r="BR130" s="1056"/>
      <c r="BS130" s="1056"/>
      <c r="BT130" s="1056"/>
      <c r="BU130" s="1056"/>
      <c r="BV130" s="1056"/>
      <c r="BW130" s="1056"/>
      <c r="BX130" s="1056"/>
      <c r="BY130" s="1056"/>
      <c r="BZ130" s="1056"/>
      <c r="CA130" s="1056"/>
      <c r="CB130" s="1056"/>
      <c r="CC130" s="1056"/>
      <c r="CD130" s="1056"/>
      <c r="CE130" s="1056"/>
      <c r="CF130" s="1056"/>
      <c r="CG130" s="1056"/>
      <c r="CH130" s="1056"/>
      <c r="CI130" s="1056"/>
      <c r="CJ130" s="1056"/>
      <c r="CK130" s="1056"/>
      <c r="CL130" s="1056"/>
      <c r="CM130" s="1056"/>
      <c r="CN130" s="1056"/>
      <c r="CO130" s="1056"/>
      <c r="CP130" s="1056"/>
      <c r="CQ130" s="1056"/>
      <c r="CR130" s="1056"/>
      <c r="CS130" s="1056"/>
      <c r="CT130" s="1056"/>
      <c r="CU130" s="1056"/>
      <c r="CV130" s="1056"/>
      <c r="CW130" s="1056"/>
      <c r="CX130" s="1056"/>
      <c r="CY130" s="1056"/>
      <c r="CZ130" s="1056"/>
      <c r="DA130" s="1056"/>
      <c r="DB130" s="1056"/>
      <c r="DC130" s="1056"/>
      <c r="DD130" s="1056"/>
      <c r="DE130" s="1056"/>
      <c r="DF130" s="1056"/>
      <c r="DG130" s="1056"/>
      <c r="DH130" s="1056"/>
      <c r="DI130" s="1056"/>
      <c r="DJ130" s="1056"/>
      <c r="DK130" s="1056"/>
      <c r="DL130" s="1056"/>
      <c r="DM130" s="1056"/>
      <c r="DN130" s="1056"/>
      <c r="DO130" s="1056"/>
      <c r="DP130" s="1056"/>
      <c r="DQ130" s="1056"/>
      <c r="DR130" s="1056"/>
      <c r="DS130" s="1056"/>
      <c r="DT130" s="1056"/>
      <c r="DU130" s="1056"/>
      <c r="DV130" s="1056"/>
      <c r="DW130" s="1056"/>
      <c r="DX130" s="1056"/>
      <c r="DY130" s="1056"/>
      <c r="DZ130" s="1056"/>
      <c r="EA130" s="1056"/>
      <c r="EB130" s="1056"/>
      <c r="EC130" s="1056"/>
      <c r="ED130" s="1056"/>
      <c r="EE130" s="1056"/>
      <c r="EF130" s="1056"/>
      <c r="EG130" s="1056"/>
      <c r="EH130" s="1056"/>
      <c r="EI130" s="1056"/>
      <c r="EJ130" s="1056"/>
      <c r="EK130" s="1056"/>
      <c r="EL130" s="1056"/>
      <c r="EM130" s="1056"/>
      <c r="EN130" s="1056"/>
      <c r="EO130" s="1056"/>
      <c r="EP130" s="1056"/>
      <c r="EQ130" s="1056"/>
      <c r="ER130" s="1056"/>
      <c r="ES130" s="1056"/>
      <c r="ET130" s="1056"/>
      <c r="EU130" s="1056"/>
      <c r="EV130" s="1056"/>
      <c r="EW130" s="1056"/>
      <c r="EX130" s="1056"/>
      <c r="EY130" s="1056"/>
      <c r="EZ130" s="1056"/>
      <c r="FA130" s="1056"/>
      <c r="FB130" s="1056"/>
      <c r="FC130" s="1056"/>
      <c r="FD130" s="1056"/>
      <c r="FE130" s="1056"/>
      <c r="FF130" s="1056"/>
      <c r="FG130" s="1056"/>
      <c r="FH130" s="1056"/>
      <c r="FI130" s="1056"/>
      <c r="FJ130" s="1056"/>
      <c r="FK130" s="1056"/>
      <c r="FL130" s="1056"/>
      <c r="FM130" s="1056"/>
      <c r="FN130" s="1056"/>
      <c r="FO130" s="1056"/>
      <c r="FP130" s="1056"/>
      <c r="FQ130" s="1056"/>
      <c r="FR130" s="1056"/>
      <c r="FS130" s="1056"/>
      <c r="FT130" s="1056"/>
      <c r="FU130" s="1056"/>
      <c r="FV130" s="1056"/>
      <c r="FW130" s="1056"/>
      <c r="FX130" s="1056"/>
      <c r="FY130" s="1056"/>
      <c r="FZ130" s="1056"/>
      <c r="GA130" s="1056"/>
      <c r="GB130" s="1056"/>
      <c r="GC130" s="1056"/>
      <c r="GD130" s="1056"/>
      <c r="GE130" s="1056"/>
      <c r="GF130" s="1056"/>
      <c r="GG130" s="1056"/>
      <c r="GH130" s="1056"/>
      <c r="GI130" s="1056"/>
      <c r="GJ130" s="1056"/>
      <c r="GK130" s="1056"/>
      <c r="GL130" s="1056"/>
      <c r="GM130" s="1056"/>
      <c r="GN130" s="1056"/>
      <c r="GO130" s="1056"/>
      <c r="GP130" s="1056"/>
      <c r="GQ130" s="1056"/>
      <c r="GR130" s="1056"/>
      <c r="GS130" s="1056"/>
      <c r="GT130" s="1056"/>
      <c r="GU130" s="1056"/>
      <c r="GV130" s="1056"/>
      <c r="GW130" s="1056"/>
      <c r="GX130" s="1056"/>
      <c r="GY130" s="1056"/>
      <c r="GZ130" s="1056"/>
      <c r="HA130" s="1056"/>
      <c r="HB130" s="1056"/>
      <c r="HC130" s="1056"/>
      <c r="HD130" s="1056"/>
      <c r="HE130" s="1056"/>
      <c r="HF130" s="1056"/>
      <c r="HG130" s="1056"/>
      <c r="HH130" s="1056"/>
      <c r="HI130" s="1056"/>
      <c r="HJ130" s="1056"/>
      <c r="HK130" s="1056"/>
      <c r="HL130" s="1056"/>
      <c r="HM130" s="1056"/>
      <c r="HN130" s="1056"/>
      <c r="HO130" s="1056"/>
      <c r="HP130" s="1056"/>
      <c r="HQ130" s="1056"/>
      <c r="HR130" s="1056"/>
      <c r="HS130" s="1056"/>
      <c r="HT130" s="1056"/>
      <c r="HU130" s="1056"/>
      <c r="HV130" s="1056"/>
      <c r="HW130" s="1056"/>
      <c r="HX130" s="1056"/>
      <c r="HY130" s="1056"/>
      <c r="HZ130" s="1056"/>
      <c r="IA130" s="1056"/>
      <c r="IB130" s="1056"/>
      <c r="IC130" s="1056"/>
      <c r="ID130" s="1056"/>
      <c r="IE130" s="1056"/>
      <c r="IF130" s="1056"/>
      <c r="IG130" s="1056"/>
      <c r="IH130" s="1056"/>
      <c r="II130" s="1056"/>
      <c r="IJ130" s="1056"/>
      <c r="IK130" s="1056"/>
      <c r="IL130" s="1056"/>
      <c r="IM130" s="1056"/>
      <c r="IN130" s="1056"/>
      <c r="IO130" s="1056"/>
      <c r="IP130" s="1056"/>
      <c r="IQ130" s="1056"/>
      <c r="IR130" s="1056"/>
      <c r="IS130" s="1056"/>
      <c r="IT130" s="1056"/>
      <c r="IU130" s="1056"/>
      <c r="IV130" s="1056"/>
      <c r="IW130" s="1056"/>
      <c r="IX130" s="1056"/>
      <c r="IY130" s="1056"/>
      <c r="IZ130" s="1056"/>
      <c r="JA130" s="1056"/>
      <c r="JB130" s="1056"/>
      <c r="JC130" s="1056"/>
      <c r="JD130" s="1056"/>
      <c r="JE130" s="1056"/>
      <c r="JF130" s="1056"/>
      <c r="JG130" s="1056"/>
      <c r="JH130" s="1056"/>
      <c r="JI130" s="1056"/>
      <c r="JJ130" s="1056"/>
      <c r="JK130" s="1056"/>
      <c r="JL130" s="1056"/>
      <c r="JM130" s="1056"/>
      <c r="JN130" s="1056"/>
      <c r="JO130" s="1056"/>
      <c r="JP130" s="1056"/>
      <c r="JQ130" s="1056"/>
      <c r="JR130" s="1056"/>
      <c r="JS130" s="1056"/>
      <c r="JT130" s="1056"/>
      <c r="JU130" s="1056"/>
      <c r="JV130" s="1056"/>
      <c r="JW130" s="1056"/>
      <c r="JX130" s="1056"/>
      <c r="JY130" s="1056"/>
      <c r="JZ130" s="1056"/>
      <c r="KA130" s="1056"/>
      <c r="KB130" s="1056"/>
      <c r="KC130" s="1056"/>
      <c r="KD130" s="1056"/>
      <c r="KE130" s="1056"/>
      <c r="KF130" s="1056"/>
      <c r="KG130" s="1056"/>
      <c r="KH130" s="1056"/>
      <c r="KI130" s="1056"/>
      <c r="KJ130" s="1056"/>
      <c r="KK130" s="1056"/>
      <c r="KL130" s="1056"/>
      <c r="KM130" s="1056"/>
      <c r="KN130" s="1056"/>
      <c r="KO130" s="1056"/>
      <c r="KP130" s="1056"/>
      <c r="KQ130" s="1056"/>
      <c r="KR130" s="1056"/>
      <c r="KS130" s="1056"/>
      <c r="KT130" s="1056"/>
      <c r="KU130" s="1056"/>
      <c r="KV130" s="1056"/>
      <c r="KW130" s="1056"/>
      <c r="KX130" s="1056"/>
      <c r="KY130" s="1056"/>
      <c r="KZ130" s="1056"/>
      <c r="LA130" s="1056"/>
      <c r="LB130" s="1056"/>
      <c r="LC130" s="1056"/>
      <c r="LD130" s="1056"/>
      <c r="LE130" s="1056"/>
      <c r="LF130" s="1056"/>
      <c r="LG130" s="1056"/>
      <c r="LH130" s="1056"/>
      <c r="LI130" s="1056"/>
      <c r="LJ130" s="1056"/>
      <c r="LK130" s="1056"/>
      <c r="LL130" s="1056"/>
      <c r="LM130" s="1056"/>
      <c r="LN130" s="1056"/>
      <c r="LO130" s="1056"/>
      <c r="LP130" s="1056"/>
      <c r="LQ130" s="1056"/>
      <c r="LR130" s="1056"/>
      <c r="LS130" s="1056"/>
      <c r="LT130" s="1056"/>
      <c r="LU130" s="1056"/>
      <c r="LV130" s="1056"/>
      <c r="LW130" s="1056"/>
      <c r="LX130" s="1056"/>
      <c r="LY130" s="1056"/>
      <c r="LZ130" s="1056"/>
      <c r="MA130" s="1056"/>
      <c r="MB130" s="1056"/>
      <c r="MC130" s="1056"/>
      <c r="MD130" s="1056"/>
      <c r="ME130" s="1056"/>
      <c r="MF130" s="1056"/>
      <c r="MG130" s="1056"/>
      <c r="MH130" s="1056"/>
      <c r="MI130" s="1056"/>
      <c r="MJ130" s="1056"/>
      <c r="MK130" s="1056"/>
      <c r="ML130" s="1056"/>
      <c r="MM130" s="1056"/>
      <c r="MN130" s="1056"/>
      <c r="MO130" s="1056"/>
      <c r="MP130" s="1056"/>
      <c r="MQ130" s="1056"/>
      <c r="MR130" s="1056"/>
      <c r="MS130" s="1056"/>
      <c r="MT130" s="1056"/>
      <c r="MU130" s="1056"/>
      <c r="MV130" s="1056"/>
      <c r="MW130" s="1056"/>
      <c r="MX130" s="1056"/>
      <c r="MY130" s="1056"/>
      <c r="MZ130" s="1056"/>
      <c r="NA130" s="1056"/>
      <c r="NB130" s="1056"/>
      <c r="NC130" s="1056"/>
      <c r="ND130" s="1056"/>
      <c r="NE130" s="1056"/>
      <c r="NF130" s="1056"/>
      <c r="NG130" s="1056"/>
      <c r="NH130" s="1056"/>
      <c r="NI130" s="1056"/>
      <c r="NJ130" s="1056"/>
      <c r="NK130" s="1056"/>
      <c r="NL130" s="1056"/>
      <c r="NM130" s="1056"/>
      <c r="NN130" s="1056"/>
      <c r="NO130" s="1056"/>
      <c r="NP130" s="1056"/>
      <c r="NQ130" s="1056"/>
      <c r="NR130" s="1056"/>
      <c r="NS130" s="1056"/>
      <c r="NT130" s="1056"/>
      <c r="NU130" s="1056"/>
      <c r="NV130" s="1056"/>
      <c r="NW130" s="1056"/>
      <c r="NX130" s="1056"/>
      <c r="NY130" s="1056"/>
      <c r="NZ130" s="1056"/>
      <c r="OA130" s="1056"/>
      <c r="OB130" s="1056"/>
      <c r="OC130" s="1056"/>
      <c r="OD130" s="1056"/>
      <c r="OE130" s="1056"/>
      <c r="OF130" s="1056"/>
      <c r="OG130" s="1056"/>
      <c r="OH130" s="1056"/>
      <c r="OI130" s="1056"/>
      <c r="OJ130" s="1056"/>
      <c r="OK130" s="1056"/>
      <c r="OL130" s="1056"/>
      <c r="OM130" s="1056"/>
      <c r="ON130" s="1056"/>
      <c r="OO130" s="1056"/>
      <c r="OP130" s="1056"/>
      <c r="OQ130" s="1056"/>
      <c r="OR130" s="1056"/>
      <c r="OS130" s="1056"/>
      <c r="OT130" s="1056"/>
      <c r="OU130" s="1056"/>
      <c r="OV130" s="1056"/>
      <c r="OW130" s="1056"/>
      <c r="OX130" s="1056"/>
      <c r="OY130" s="1056"/>
      <c r="OZ130" s="1056"/>
      <c r="PA130" s="1056"/>
      <c r="PB130" s="1056"/>
      <c r="PC130" s="1056"/>
      <c r="PD130" s="1056"/>
      <c r="PE130" s="1056"/>
      <c r="PF130" s="1056"/>
      <c r="PG130" s="1056"/>
      <c r="PH130" s="1056"/>
      <c r="PI130" s="1056"/>
      <c r="PJ130" s="1056"/>
      <c r="PK130" s="1056"/>
      <c r="PL130" s="1056"/>
      <c r="PM130" s="1056"/>
      <c r="PN130" s="1056"/>
      <c r="PO130" s="1056"/>
      <c r="PP130" s="1056"/>
      <c r="PQ130" s="1056"/>
      <c r="PR130" s="1056"/>
      <c r="PS130" s="1056"/>
      <c r="PT130" s="1056"/>
      <c r="PU130" s="1056"/>
      <c r="PV130" s="1056"/>
      <c r="PW130" s="1056"/>
      <c r="PX130" s="1056"/>
      <c r="PY130" s="1056"/>
      <c r="PZ130" s="1056"/>
      <c r="QA130" s="1056"/>
      <c r="QB130" s="1056"/>
      <c r="QC130" s="1056"/>
      <c r="QD130" s="1056"/>
      <c r="QE130" s="1056"/>
      <c r="QF130" s="1056"/>
      <c r="QG130" s="1056"/>
      <c r="QH130" s="1056"/>
      <c r="QI130" s="1056"/>
      <c r="QJ130" s="1056"/>
      <c r="QK130" s="1056"/>
      <c r="QL130" s="1056"/>
      <c r="QM130" s="1056"/>
      <c r="QN130" s="1056"/>
      <c r="QO130" s="1056"/>
      <c r="QP130" s="1056"/>
      <c r="QQ130" s="1056"/>
      <c r="QR130" s="1056"/>
      <c r="QS130" s="1056"/>
      <c r="QT130" s="1056"/>
      <c r="QU130" s="1056"/>
      <c r="QV130" s="1056"/>
      <c r="QW130" s="1056"/>
      <c r="QX130" s="1056"/>
      <c r="QY130" s="1056"/>
      <c r="QZ130" s="1056"/>
      <c r="RA130" s="1056"/>
      <c r="RB130" s="1056"/>
      <c r="RC130" s="1056"/>
      <c r="RD130" s="1056"/>
      <c r="RE130" s="1056"/>
      <c r="RF130" s="1056"/>
      <c r="RG130" s="1056"/>
      <c r="RH130" s="1056"/>
      <c r="RI130" s="1056"/>
      <c r="RJ130" s="1056"/>
      <c r="RK130" s="1056"/>
      <c r="RL130" s="1056"/>
      <c r="RM130" s="1056"/>
      <c r="RN130" s="1056"/>
      <c r="RO130" s="1056"/>
      <c r="RP130" s="1056"/>
      <c r="RQ130" s="1056"/>
      <c r="RR130" s="1056"/>
      <c r="RS130" s="1056"/>
      <c r="RT130" s="1056"/>
      <c r="RU130" s="1056"/>
      <c r="RV130" s="1056"/>
      <c r="RW130" s="1056"/>
      <c r="RX130" s="1056"/>
      <c r="RY130" s="1056"/>
      <c r="RZ130" s="1056"/>
      <c r="SA130" s="1056"/>
      <c r="SB130" s="1056"/>
      <c r="SC130" s="1056"/>
      <c r="SD130" s="1056"/>
      <c r="SE130" s="1056"/>
      <c r="SF130" s="1056"/>
      <c r="SG130" s="1056"/>
      <c r="SH130" s="1056"/>
      <c r="SI130" s="1056"/>
      <c r="SJ130" s="1056"/>
      <c r="SK130" s="1056"/>
      <c r="SL130" s="1056"/>
      <c r="SM130" s="1056"/>
      <c r="SN130" s="1056"/>
      <c r="SO130" s="1056"/>
      <c r="SP130" s="1056"/>
      <c r="SQ130" s="1056"/>
      <c r="SR130" s="1056"/>
      <c r="SS130" s="1056"/>
      <c r="ST130" s="1056"/>
      <c r="SU130" s="1056"/>
      <c r="SV130" s="1056"/>
      <c r="SW130" s="1056"/>
      <c r="SX130" s="1056"/>
      <c r="SY130" s="1056"/>
      <c r="SZ130" s="1056"/>
      <c r="TA130" s="1056"/>
      <c r="TB130" s="1056"/>
      <c r="TC130" s="1056"/>
      <c r="TD130" s="1056"/>
      <c r="TE130" s="1056"/>
      <c r="TF130" s="1056"/>
      <c r="TG130" s="1056"/>
      <c r="TH130" s="1056"/>
      <c r="TI130" s="1056"/>
      <c r="TJ130" s="1056"/>
      <c r="TK130" s="1056"/>
      <c r="TL130" s="1056"/>
      <c r="TM130" s="1056"/>
      <c r="TN130" s="1056"/>
      <c r="TO130" s="1056"/>
      <c r="TP130" s="1056"/>
      <c r="TQ130" s="1056"/>
      <c r="TR130" s="1056"/>
      <c r="TS130" s="1056"/>
      <c r="TT130" s="1056"/>
      <c r="TU130" s="1056"/>
      <c r="TV130" s="1056"/>
      <c r="TW130" s="1056"/>
      <c r="TX130" s="1056"/>
      <c r="TY130" s="1056"/>
      <c r="TZ130" s="1056"/>
      <c r="UA130" s="1056"/>
      <c r="UB130" s="1056"/>
      <c r="UC130" s="1056"/>
      <c r="UD130" s="1056"/>
      <c r="UE130" s="1056"/>
      <c r="UF130" s="1056"/>
      <c r="UG130" s="1056"/>
      <c r="UH130" s="1056"/>
      <c r="UI130" s="1056"/>
      <c r="UJ130" s="1056"/>
      <c r="UK130" s="1056"/>
      <c r="UL130" s="1056"/>
      <c r="UM130" s="1056"/>
      <c r="UN130" s="1056"/>
      <c r="UO130" s="1056"/>
      <c r="UP130" s="1056"/>
      <c r="UQ130" s="1056"/>
      <c r="UR130" s="1056"/>
      <c r="US130" s="1056"/>
      <c r="UT130" s="1056"/>
      <c r="UU130" s="1056"/>
      <c r="UV130" s="1056"/>
      <c r="UW130" s="1056"/>
      <c r="UX130" s="1056"/>
      <c r="UY130" s="1056"/>
      <c r="UZ130" s="1056"/>
      <c r="VA130" s="1056"/>
      <c r="VB130" s="1056"/>
      <c r="VC130" s="1056"/>
      <c r="VD130" s="1056"/>
      <c r="VE130" s="1056"/>
      <c r="VF130" s="1056"/>
      <c r="VG130" s="1056"/>
      <c r="VH130" s="1056"/>
      <c r="VI130" s="1056"/>
      <c r="VJ130" s="1056"/>
      <c r="VK130" s="1056"/>
      <c r="VL130" s="1056"/>
      <c r="VM130" s="1056"/>
      <c r="VN130" s="1056"/>
      <c r="VO130" s="1056"/>
      <c r="VP130" s="1056"/>
      <c r="VQ130" s="1056"/>
      <c r="VR130" s="1056"/>
      <c r="VS130" s="1056"/>
      <c r="VT130" s="1056"/>
      <c r="VU130" s="1056"/>
      <c r="VV130" s="1056"/>
      <c r="VW130" s="1056"/>
      <c r="VX130" s="1056"/>
      <c r="VY130" s="1056"/>
      <c r="VZ130" s="1056"/>
      <c r="WA130" s="1056"/>
      <c r="WB130" s="1056"/>
      <c r="WC130" s="1056"/>
      <c r="WD130" s="1056"/>
      <c r="WE130" s="1056"/>
      <c r="WF130" s="1056"/>
      <c r="WG130" s="1056"/>
      <c r="WH130" s="1056"/>
      <c r="WI130" s="1056"/>
      <c r="WJ130" s="1056"/>
      <c r="WK130" s="1056"/>
      <c r="WL130" s="1056"/>
      <c r="WM130" s="1056"/>
      <c r="WN130" s="1056"/>
      <c r="WO130" s="1056"/>
      <c r="WP130" s="1056"/>
      <c r="WQ130" s="1056"/>
      <c r="WR130" s="1056"/>
      <c r="WS130" s="1056"/>
      <c r="WT130" s="1056"/>
      <c r="WU130" s="1056"/>
      <c r="WV130" s="1056"/>
      <c r="WW130" s="1056"/>
      <c r="WX130" s="1056"/>
      <c r="WY130" s="1056"/>
      <c r="WZ130" s="1056"/>
      <c r="XA130" s="1056"/>
      <c r="XB130" s="1056"/>
      <c r="XC130" s="1056"/>
      <c r="XD130" s="1056"/>
      <c r="XE130" s="1056"/>
      <c r="XF130" s="1056"/>
      <c r="XG130" s="1056"/>
      <c r="XH130" s="1056"/>
      <c r="XI130" s="1056"/>
      <c r="XJ130" s="1056"/>
      <c r="XK130" s="1056"/>
      <c r="XL130" s="1056"/>
      <c r="XM130" s="1056"/>
      <c r="XN130" s="1056"/>
      <c r="XO130" s="1056"/>
      <c r="XP130" s="1056"/>
      <c r="XQ130" s="1056"/>
      <c r="XR130" s="1056"/>
      <c r="XS130" s="1056"/>
      <c r="XT130" s="1056"/>
      <c r="XU130" s="1056"/>
      <c r="XV130" s="1056"/>
      <c r="XW130" s="1056"/>
      <c r="XX130" s="1056"/>
      <c r="XY130" s="1056"/>
      <c r="XZ130" s="1056"/>
      <c r="YA130" s="1056"/>
      <c r="YB130" s="1056"/>
      <c r="YC130" s="1056"/>
      <c r="YD130" s="1056"/>
      <c r="YE130" s="1056"/>
      <c r="YF130" s="1056"/>
      <c r="YG130" s="1056"/>
      <c r="YH130" s="1056"/>
      <c r="YI130" s="1056"/>
      <c r="YJ130" s="1056"/>
      <c r="YK130" s="1056"/>
      <c r="YL130" s="1056"/>
      <c r="YM130" s="1056"/>
      <c r="YN130" s="1056"/>
      <c r="YO130" s="1056"/>
      <c r="YP130" s="1056"/>
      <c r="YQ130" s="1056"/>
      <c r="YR130" s="1056"/>
      <c r="YS130" s="1056"/>
      <c r="YT130" s="1056"/>
      <c r="YU130" s="1056"/>
      <c r="YV130" s="1056"/>
      <c r="YW130" s="1056"/>
      <c r="YX130" s="1056"/>
      <c r="YY130" s="1056"/>
      <c r="YZ130" s="1056"/>
      <c r="ZA130" s="1056"/>
      <c r="ZB130" s="1056"/>
      <c r="ZC130" s="1056"/>
      <c r="ZD130" s="1056"/>
      <c r="ZE130" s="1056"/>
      <c r="ZF130" s="1056"/>
      <c r="ZG130" s="1056"/>
      <c r="ZH130" s="1056"/>
      <c r="ZI130" s="1056"/>
      <c r="ZJ130" s="1056"/>
      <c r="ZK130" s="1056"/>
      <c r="ZL130" s="1056"/>
      <c r="ZM130" s="1056"/>
      <c r="ZN130" s="1056"/>
      <c r="ZO130" s="1056"/>
      <c r="ZP130" s="1056"/>
      <c r="ZQ130" s="1056"/>
      <c r="ZR130" s="1056"/>
      <c r="ZS130" s="1056"/>
      <c r="ZT130" s="1056"/>
      <c r="ZU130" s="1056"/>
      <c r="ZV130" s="1056"/>
      <c r="ZW130" s="1056"/>
      <c r="ZX130" s="1056"/>
      <c r="ZY130" s="1056"/>
      <c r="ZZ130" s="1056"/>
      <c r="AAA130" s="1056"/>
      <c r="AAB130" s="1056"/>
      <c r="AAC130" s="1056"/>
      <c r="AAD130" s="1056"/>
      <c r="AAE130" s="1056"/>
      <c r="AAF130" s="1056"/>
      <c r="AAG130" s="1056"/>
      <c r="AAH130" s="1056"/>
      <c r="AAI130" s="1056"/>
      <c r="AAJ130" s="1056"/>
      <c r="AAK130" s="1056"/>
      <c r="AAL130" s="1056"/>
      <c r="AAM130" s="1056"/>
      <c r="AAN130" s="1056"/>
      <c r="AAO130" s="1056"/>
      <c r="AAP130" s="1056"/>
      <c r="AAQ130" s="1056"/>
      <c r="AAR130" s="1056"/>
      <c r="AAS130" s="1056"/>
      <c r="AAT130" s="1056"/>
      <c r="AAU130" s="1056"/>
      <c r="AAV130" s="1056"/>
      <c r="AAW130" s="1056"/>
      <c r="AAX130" s="1056"/>
      <c r="AAY130" s="1056"/>
      <c r="AAZ130" s="1056"/>
      <c r="ABA130" s="1056"/>
      <c r="ABB130" s="1056"/>
      <c r="ABC130" s="1056"/>
      <c r="ABD130" s="1056"/>
      <c r="ABE130" s="1056"/>
      <c r="ABF130" s="1056"/>
      <c r="ABG130" s="1056"/>
      <c r="ABH130" s="1056"/>
      <c r="ABI130" s="1056"/>
      <c r="ABJ130" s="1056"/>
      <c r="ABK130" s="1056"/>
      <c r="ABL130" s="1056"/>
      <c r="ABM130" s="1056"/>
      <c r="ABN130" s="1056"/>
      <c r="ABO130" s="1056"/>
      <c r="ABP130" s="1056"/>
      <c r="ABQ130" s="1056"/>
      <c r="ABR130" s="1056"/>
      <c r="ABS130" s="1056"/>
      <c r="ABT130" s="1056"/>
      <c r="ABU130" s="1056"/>
      <c r="ABV130" s="1056"/>
      <c r="ABW130" s="1056"/>
      <c r="ABX130" s="1056"/>
      <c r="ABY130" s="1056"/>
      <c r="ABZ130" s="1056"/>
      <c r="ACA130" s="1056"/>
      <c r="ACB130" s="1056"/>
      <c r="ACC130" s="1056"/>
      <c r="ACD130" s="1056"/>
      <c r="ACE130" s="1056"/>
      <c r="ACF130" s="1056"/>
      <c r="ACG130" s="1056"/>
      <c r="ACH130" s="1056"/>
      <c r="ACI130" s="1056"/>
      <c r="ACJ130" s="1056"/>
      <c r="ACK130" s="1056"/>
      <c r="ACL130" s="1056"/>
      <c r="ACM130" s="1056"/>
      <c r="ACN130" s="1056"/>
      <c r="ACO130" s="1056"/>
      <c r="ACP130" s="1056"/>
      <c r="ACQ130" s="1056"/>
      <c r="ACR130" s="1056"/>
      <c r="ACS130" s="1056"/>
      <c r="ACT130" s="1056"/>
      <c r="ACU130" s="1056"/>
      <c r="ACV130" s="1056"/>
      <c r="ACW130" s="1056"/>
      <c r="ACX130" s="1056"/>
      <c r="ACY130" s="1056"/>
      <c r="ACZ130" s="1056"/>
      <c r="ADA130" s="1056"/>
      <c r="ADB130" s="1056"/>
      <c r="ADC130" s="1056"/>
      <c r="ADD130" s="1056"/>
      <c r="ADE130" s="1056"/>
      <c r="ADF130" s="1056"/>
      <c r="ADG130" s="1056"/>
      <c r="ADH130" s="1056"/>
      <c r="ADI130" s="1056"/>
      <c r="ADJ130" s="1056"/>
      <c r="ADK130" s="1056"/>
      <c r="ADL130" s="1056"/>
      <c r="ADM130" s="1056"/>
      <c r="ADN130" s="1056"/>
      <c r="ADO130" s="1056"/>
      <c r="ADP130" s="1056"/>
      <c r="ADQ130" s="1056"/>
      <c r="ADR130" s="1056"/>
      <c r="ADS130" s="1056"/>
      <c r="ADT130" s="1056"/>
      <c r="ADU130" s="1056"/>
      <c r="ADV130" s="1056"/>
      <c r="ADW130" s="1056"/>
      <c r="ADX130" s="1056"/>
      <c r="ADY130" s="1056"/>
      <c r="ADZ130" s="1056"/>
      <c r="AEA130" s="1056"/>
      <c r="AEB130" s="1056"/>
      <c r="AEC130" s="1056"/>
      <c r="AED130" s="1056"/>
      <c r="AEE130" s="1056"/>
      <c r="AEF130" s="1056"/>
      <c r="AEG130" s="1056"/>
      <c r="AEH130" s="1056"/>
      <c r="AEI130" s="1056"/>
      <c r="AEJ130" s="1056"/>
      <c r="AEK130" s="1056"/>
      <c r="AEL130" s="1056"/>
      <c r="AEM130" s="1056"/>
      <c r="AEN130" s="1056"/>
      <c r="AEO130" s="1056"/>
      <c r="AEP130" s="1056"/>
      <c r="AEQ130" s="1056"/>
      <c r="AER130" s="1056"/>
      <c r="AES130" s="1056"/>
      <c r="AET130" s="1056"/>
      <c r="AEU130" s="1056"/>
      <c r="AEV130" s="1056"/>
      <c r="AEW130" s="1056"/>
      <c r="AEX130" s="1056"/>
      <c r="AEY130" s="1056"/>
      <c r="AEZ130" s="1056"/>
      <c r="AFA130" s="1056"/>
      <c r="AFB130" s="1056"/>
      <c r="AFC130" s="1056"/>
      <c r="AFD130" s="1056"/>
      <c r="AFE130" s="1056"/>
      <c r="AFF130" s="1056"/>
      <c r="AFG130" s="1056"/>
      <c r="AFH130" s="1056"/>
      <c r="AFI130" s="1056"/>
      <c r="AFJ130" s="1056"/>
      <c r="AFK130" s="1056"/>
      <c r="AFL130" s="1056"/>
      <c r="AFM130" s="1056"/>
      <c r="AFN130" s="1056"/>
      <c r="AFO130" s="1056"/>
      <c r="AFP130" s="1056"/>
      <c r="AFQ130" s="1056"/>
      <c r="AFR130" s="1056"/>
      <c r="AFS130" s="1056"/>
      <c r="AFT130" s="1056"/>
      <c r="AFU130" s="1056"/>
      <c r="AFV130" s="1056"/>
      <c r="AFW130" s="1056"/>
      <c r="AFX130" s="1056"/>
      <c r="AFY130" s="1056"/>
      <c r="AFZ130" s="1056"/>
      <c r="AGA130" s="1056"/>
      <c r="AGB130" s="1056"/>
      <c r="AGC130" s="1056"/>
      <c r="AGD130" s="1056"/>
      <c r="AGE130" s="1056"/>
      <c r="AGF130" s="1056"/>
      <c r="AGG130" s="1056"/>
      <c r="AGH130" s="1056"/>
      <c r="AGI130" s="1056"/>
      <c r="AGJ130" s="1056"/>
      <c r="AGK130" s="1056"/>
      <c r="AGL130" s="1056"/>
      <c r="AGM130" s="1056"/>
      <c r="AGN130" s="1056"/>
      <c r="AGO130" s="1056"/>
      <c r="AGP130" s="1056"/>
      <c r="AGQ130" s="1056"/>
      <c r="AGR130" s="1056"/>
      <c r="AGS130" s="1056"/>
      <c r="AGT130" s="1056"/>
      <c r="AGU130" s="1056"/>
      <c r="AGV130" s="1056"/>
      <c r="AGW130" s="1056"/>
      <c r="AGX130" s="1056"/>
      <c r="AGY130" s="1056"/>
      <c r="AGZ130" s="1056"/>
      <c r="AHA130" s="1056"/>
      <c r="AHB130" s="1056"/>
      <c r="AHC130" s="1056"/>
      <c r="AHD130" s="1056"/>
      <c r="AHE130" s="1056"/>
      <c r="AHF130" s="1056"/>
      <c r="AHG130" s="1056"/>
      <c r="AHH130" s="1056"/>
      <c r="AHI130" s="1056"/>
      <c r="AHJ130" s="1056"/>
      <c r="AHK130" s="1056"/>
      <c r="AHL130" s="1056"/>
      <c r="AHM130" s="1056"/>
      <c r="AHN130" s="1056"/>
      <c r="AHO130" s="1056"/>
      <c r="AHP130" s="1056"/>
      <c r="AHQ130" s="1056"/>
      <c r="AHR130" s="1056"/>
      <c r="AHS130" s="1056"/>
      <c r="AHT130" s="1056"/>
      <c r="AHU130" s="1056"/>
      <c r="AHV130" s="1056"/>
      <c r="AHW130" s="1056"/>
      <c r="AHX130" s="1056"/>
      <c r="AHY130" s="1056"/>
      <c r="AHZ130" s="1056"/>
      <c r="AIA130" s="1056"/>
      <c r="AIB130" s="1056"/>
      <c r="AIC130" s="1056"/>
      <c r="AID130" s="1056"/>
      <c r="AIE130" s="1056"/>
      <c r="AIF130" s="1056"/>
      <c r="AIG130" s="1056"/>
      <c r="AIH130" s="1056"/>
      <c r="AII130" s="1056"/>
      <c r="AIJ130" s="1056"/>
      <c r="AIK130" s="1056"/>
      <c r="AIL130" s="1056"/>
      <c r="AIM130" s="1056"/>
      <c r="AIN130" s="1056"/>
      <c r="AIO130" s="1056"/>
      <c r="AIP130" s="1056"/>
      <c r="AIQ130" s="1056"/>
      <c r="AIR130" s="1056"/>
      <c r="AIS130" s="1056"/>
      <c r="AIT130" s="1056"/>
      <c r="AIU130" s="1056"/>
      <c r="AIV130" s="1056"/>
      <c r="AIW130" s="1056"/>
      <c r="AIX130" s="1056"/>
      <c r="AIY130" s="1056"/>
      <c r="AIZ130" s="1056"/>
      <c r="AJA130" s="1056"/>
      <c r="AJB130" s="1056"/>
      <c r="AJC130" s="1056"/>
      <c r="AJD130" s="1056"/>
      <c r="AJE130" s="1056"/>
      <c r="AJF130" s="1056"/>
      <c r="AJG130" s="1056"/>
      <c r="AJH130" s="1056"/>
      <c r="AJI130" s="1056"/>
      <c r="AJJ130" s="1056"/>
      <c r="AJK130" s="1056"/>
      <c r="AJL130" s="1056"/>
      <c r="AJM130" s="1056"/>
      <c r="AJN130" s="1056"/>
      <c r="AJO130" s="1056"/>
      <c r="AJP130" s="1056"/>
      <c r="AJQ130" s="1056"/>
      <c r="AJR130" s="1056"/>
      <c r="AJS130" s="1056"/>
      <c r="AJT130" s="1056"/>
      <c r="AJU130" s="1056"/>
      <c r="AJV130" s="1056"/>
      <c r="AJW130" s="1056"/>
      <c r="AJX130" s="1056"/>
      <c r="AJY130" s="1056"/>
      <c r="AJZ130" s="1056"/>
      <c r="AKA130" s="1056"/>
      <c r="AKB130" s="1056"/>
      <c r="AKC130" s="1056"/>
      <c r="AKD130" s="1056"/>
      <c r="AKE130" s="1056"/>
      <c r="AKF130" s="1056"/>
      <c r="AKG130" s="1056"/>
      <c r="AKH130" s="1056"/>
      <c r="AKI130" s="1056"/>
      <c r="AKJ130" s="1056"/>
      <c r="AKK130" s="1056"/>
      <c r="AKL130" s="1056"/>
      <c r="AKM130" s="1056"/>
      <c r="AKN130" s="1056"/>
      <c r="AKO130" s="1056"/>
      <c r="AKP130" s="1056"/>
      <c r="AKQ130" s="1056"/>
      <c r="AKR130" s="1056"/>
      <c r="AKS130" s="1056"/>
      <c r="AKT130" s="1056"/>
      <c r="AKU130" s="1056"/>
      <c r="AKV130" s="1056"/>
      <c r="AKW130" s="1056"/>
      <c r="AKX130" s="1056"/>
      <c r="AKY130" s="1056"/>
      <c r="AKZ130" s="1056"/>
      <c r="ALA130" s="1056"/>
      <c r="ALB130" s="1056"/>
      <c r="ALC130" s="1056"/>
      <c r="ALD130" s="1056"/>
      <c r="ALE130" s="1056"/>
      <c r="ALF130" s="1056"/>
      <c r="ALG130" s="1056"/>
      <c r="ALH130" s="1056"/>
      <c r="ALI130" s="1056"/>
      <c r="ALJ130" s="1056"/>
      <c r="ALK130" s="1056"/>
      <c r="ALL130" s="1056"/>
      <c r="ALM130" s="1056"/>
      <c r="ALN130" s="1056"/>
      <c r="ALO130" s="1056"/>
      <c r="ALP130" s="1056"/>
      <c r="ALQ130" s="1056"/>
      <c r="ALR130" s="1056"/>
      <c r="ALS130" s="1056"/>
      <c r="ALT130" s="1056"/>
      <c r="ALU130" s="1056"/>
      <c r="ALV130" s="1056"/>
      <c r="ALW130" s="1056"/>
      <c r="ALX130" s="1056"/>
      <c r="ALY130" s="1056"/>
      <c r="ALZ130" s="1056"/>
      <c r="AMA130" s="1056"/>
      <c r="AMB130" s="1056"/>
      <c r="AMC130" s="1056"/>
      <c r="AMD130" s="1056"/>
      <c r="AME130" s="1056"/>
      <c r="AMF130" s="1056"/>
      <c r="AMG130" s="1056"/>
      <c r="AMH130" s="1056"/>
      <c r="AMI130" s="1056"/>
      <c r="AMJ130" s="1056"/>
      <c r="AMK130" s="1056"/>
      <c r="AML130" s="1056"/>
      <c r="AMM130" s="1056"/>
      <c r="AMN130" s="1056"/>
      <c r="AMO130" s="1056"/>
      <c r="AMP130" s="1056"/>
      <c r="AMQ130" s="1056"/>
      <c r="AMR130" s="1056"/>
      <c r="AMS130" s="1056"/>
      <c r="AMT130" s="1056"/>
      <c r="AMU130" s="1056"/>
      <c r="AMV130" s="1056"/>
      <c r="AMW130" s="1056"/>
      <c r="AMX130" s="1056"/>
      <c r="AMY130" s="1056"/>
      <c r="AMZ130" s="1056"/>
      <c r="ANA130" s="1056"/>
      <c r="ANB130" s="1056"/>
      <c r="ANC130" s="1056"/>
      <c r="AND130" s="1056"/>
      <c r="ANE130" s="1056"/>
      <c r="ANF130" s="1056"/>
      <c r="ANG130" s="1056"/>
      <c r="ANH130" s="1056"/>
      <c r="ANI130" s="1056"/>
      <c r="ANJ130" s="1056"/>
      <c r="ANK130" s="1056"/>
      <c r="ANL130" s="1056"/>
      <c r="ANM130" s="1056"/>
      <c r="ANN130" s="1056"/>
      <c r="ANO130" s="1056"/>
      <c r="ANP130" s="1056"/>
      <c r="ANQ130" s="1056"/>
      <c r="ANR130" s="1056"/>
      <c r="ANS130" s="1056"/>
      <c r="ANT130" s="1056"/>
      <c r="ANU130" s="1056"/>
      <c r="ANV130" s="1056"/>
      <c r="ANW130" s="1056"/>
      <c r="ANX130" s="1056"/>
      <c r="ANY130" s="1056"/>
      <c r="ANZ130" s="1056"/>
      <c r="AOA130" s="1056"/>
      <c r="AOB130" s="1056"/>
      <c r="AOC130" s="1056"/>
      <c r="AOD130" s="1056"/>
      <c r="AOE130" s="1056"/>
      <c r="AOF130" s="1056"/>
      <c r="AOG130" s="1056"/>
      <c r="AOH130" s="1056"/>
      <c r="AOI130" s="1056"/>
      <c r="AOJ130" s="1056"/>
      <c r="AOK130" s="1056"/>
      <c r="AOL130" s="1056"/>
      <c r="AOM130" s="1056"/>
      <c r="AON130" s="1056"/>
      <c r="AOO130" s="1056"/>
      <c r="AOP130" s="1056"/>
      <c r="AOQ130" s="1056"/>
      <c r="AOR130" s="1056"/>
      <c r="AOS130" s="1056"/>
      <c r="AOT130" s="1056"/>
      <c r="AOU130" s="1056"/>
      <c r="AOV130" s="1056"/>
      <c r="AOW130" s="1056"/>
      <c r="AOX130" s="1056"/>
      <c r="AOY130" s="1056"/>
      <c r="AOZ130" s="1056"/>
      <c r="APA130" s="1056"/>
      <c r="APB130" s="1056"/>
      <c r="APC130" s="1056"/>
      <c r="APD130" s="1056"/>
      <c r="APE130" s="1056"/>
      <c r="APF130" s="1056"/>
      <c r="APG130" s="1056"/>
      <c r="APH130" s="1056"/>
      <c r="API130" s="1056"/>
      <c r="APJ130" s="1056"/>
      <c r="APK130" s="1056"/>
      <c r="APL130" s="1056"/>
      <c r="APM130" s="1056"/>
      <c r="APN130" s="1056"/>
      <c r="APO130" s="1056"/>
      <c r="APP130" s="1056"/>
      <c r="APQ130" s="1056"/>
      <c r="APR130" s="1056"/>
      <c r="APS130" s="1056"/>
      <c r="APT130" s="1056"/>
      <c r="APU130" s="1056"/>
      <c r="APV130" s="1056"/>
      <c r="APW130" s="1056"/>
      <c r="APX130" s="1056"/>
      <c r="APY130" s="1056"/>
      <c r="APZ130" s="1056"/>
      <c r="AQA130" s="1056"/>
      <c r="AQB130" s="1056"/>
      <c r="AQC130" s="1056"/>
      <c r="AQD130" s="1056"/>
      <c r="AQE130" s="1056"/>
      <c r="AQF130" s="1056"/>
      <c r="AQG130" s="1056"/>
      <c r="AQH130" s="1056"/>
      <c r="AQI130" s="1056"/>
      <c r="AQJ130" s="1056"/>
      <c r="AQK130" s="1056"/>
      <c r="AQL130" s="1056"/>
      <c r="AQM130" s="1056"/>
      <c r="AQN130" s="1056"/>
      <c r="AQO130" s="1056"/>
      <c r="AQP130" s="1056"/>
      <c r="AQQ130" s="1056"/>
      <c r="AQR130" s="1056"/>
      <c r="AQS130" s="1056"/>
      <c r="AQT130" s="1056"/>
      <c r="AQU130" s="1056"/>
      <c r="AQV130" s="1056"/>
      <c r="AQW130" s="1056"/>
      <c r="AQX130" s="1056"/>
      <c r="AQY130" s="1056"/>
      <c r="AQZ130" s="1056"/>
      <c r="ARA130" s="1056"/>
      <c r="ARB130" s="1056"/>
      <c r="ARC130" s="1056"/>
      <c r="ARD130" s="1056"/>
      <c r="ARE130" s="1056"/>
      <c r="ARF130" s="1056"/>
      <c r="ARG130" s="1056"/>
      <c r="ARH130" s="1056"/>
      <c r="ARI130" s="1056"/>
      <c r="ARJ130" s="1056"/>
      <c r="ARK130" s="1056"/>
      <c r="ARL130" s="1056"/>
      <c r="ARM130" s="1056"/>
      <c r="ARN130" s="1056"/>
      <c r="ARO130" s="1056"/>
      <c r="ARP130" s="1056"/>
      <c r="ARQ130" s="1056"/>
      <c r="ARR130" s="1056"/>
      <c r="ARS130" s="1056"/>
      <c r="ART130" s="1056"/>
      <c r="ARU130" s="1056"/>
      <c r="ARV130" s="1056"/>
      <c r="ARW130" s="1056"/>
      <c r="ARX130" s="1056"/>
      <c r="ARY130" s="1056"/>
      <c r="ARZ130" s="1056"/>
      <c r="ASA130" s="1056"/>
      <c r="ASB130" s="1056"/>
      <c r="ASC130" s="1056"/>
      <c r="ASD130" s="1056"/>
      <c r="ASE130" s="1056"/>
      <c r="ASF130" s="1056"/>
      <c r="ASG130" s="1056"/>
      <c r="ASH130" s="1056"/>
      <c r="ASI130" s="1056"/>
      <c r="ASJ130" s="1056"/>
      <c r="ASK130" s="1056"/>
      <c r="ASL130" s="1056"/>
      <c r="ASM130" s="1056"/>
      <c r="ASN130" s="1056"/>
      <c r="ASO130" s="1056"/>
      <c r="ASP130" s="1056"/>
      <c r="ASQ130" s="1056"/>
      <c r="ASR130" s="1056"/>
      <c r="ASS130" s="1056"/>
      <c r="AST130" s="1056"/>
      <c r="ASU130" s="1056"/>
      <c r="ASV130" s="1056"/>
      <c r="ASW130" s="1056"/>
      <c r="ASX130" s="1056"/>
      <c r="ASY130" s="1056"/>
      <c r="ASZ130" s="1056"/>
      <c r="ATA130" s="1056"/>
      <c r="ATB130" s="1056"/>
      <c r="ATC130" s="1056"/>
      <c r="ATD130" s="1056"/>
      <c r="ATE130" s="1056"/>
      <c r="ATF130" s="1056"/>
      <c r="ATG130" s="1056"/>
      <c r="ATH130" s="1056"/>
      <c r="ATI130" s="1056"/>
      <c r="ATJ130" s="1056"/>
      <c r="ATK130" s="1056"/>
      <c r="ATL130" s="1056"/>
      <c r="ATM130" s="1056"/>
      <c r="ATN130" s="1056"/>
      <c r="ATO130" s="1056"/>
      <c r="ATP130" s="1056"/>
      <c r="ATQ130" s="1056"/>
      <c r="ATR130" s="1056"/>
      <c r="ATS130" s="1056"/>
      <c r="ATT130" s="1056"/>
      <c r="ATU130" s="1056"/>
      <c r="ATV130" s="1056"/>
      <c r="ATW130" s="1056"/>
      <c r="ATX130" s="1056"/>
      <c r="ATY130" s="1056"/>
      <c r="ATZ130" s="1056"/>
      <c r="AUA130" s="1056"/>
      <c r="AUB130" s="1056"/>
      <c r="AUC130" s="1056"/>
      <c r="AUD130" s="1056"/>
      <c r="AUE130" s="1056"/>
      <c r="AUF130" s="1056"/>
      <c r="AUG130" s="1056"/>
      <c r="AUH130" s="1056"/>
      <c r="AUI130" s="1056"/>
      <c r="AUJ130" s="1056"/>
      <c r="AUK130" s="1056"/>
      <c r="AUL130" s="1056"/>
      <c r="AUM130" s="1056"/>
      <c r="AUN130" s="1056"/>
      <c r="AUO130" s="1056"/>
      <c r="AUP130" s="1056"/>
      <c r="AUQ130" s="1056"/>
      <c r="AUR130" s="1056"/>
      <c r="AUS130" s="1056"/>
      <c r="AUT130" s="1056"/>
      <c r="AUU130" s="1056"/>
      <c r="AUV130" s="1056"/>
      <c r="AUW130" s="1056"/>
      <c r="AUX130" s="1056"/>
      <c r="AUY130" s="1056"/>
      <c r="AUZ130" s="1056"/>
      <c r="AVA130" s="1056"/>
      <c r="AVB130" s="1056"/>
      <c r="AVC130" s="1056"/>
      <c r="AVD130" s="1056"/>
      <c r="AVE130" s="1056"/>
      <c r="AVF130" s="1056"/>
      <c r="AVG130" s="1056"/>
      <c r="AVH130" s="1056"/>
      <c r="AVI130" s="1056"/>
      <c r="AVJ130" s="1056"/>
      <c r="AVK130" s="1056"/>
      <c r="AVL130" s="1056"/>
      <c r="AVM130" s="1056"/>
      <c r="AVN130" s="1056"/>
      <c r="AVO130" s="1056"/>
      <c r="AVP130" s="1056"/>
      <c r="AVQ130" s="1056"/>
      <c r="AVR130" s="1056"/>
      <c r="AVS130" s="1056"/>
      <c r="AVT130" s="1056"/>
      <c r="AVU130" s="1056"/>
      <c r="AVV130" s="1056"/>
      <c r="AVW130" s="1056"/>
      <c r="AVX130" s="1056"/>
      <c r="AVY130" s="1056"/>
      <c r="AVZ130" s="1056"/>
      <c r="AWA130" s="1056"/>
      <c r="AWB130" s="1056"/>
      <c r="AWC130" s="1056"/>
      <c r="AWD130" s="1056"/>
      <c r="AWE130" s="1056"/>
      <c r="AWF130" s="1056"/>
      <c r="AWG130" s="1056"/>
      <c r="AWH130" s="1056"/>
      <c r="AWI130" s="1056"/>
      <c r="AWJ130" s="1056"/>
      <c r="AWK130" s="1056"/>
      <c r="AWL130" s="1056"/>
      <c r="AWM130" s="1056"/>
      <c r="AWN130" s="1056"/>
      <c r="AWO130" s="1056"/>
      <c r="AWP130" s="1056"/>
      <c r="AWQ130" s="1056"/>
      <c r="AWR130" s="1056"/>
      <c r="AWS130" s="1056"/>
      <c r="AWT130" s="1056"/>
      <c r="AWU130" s="1056"/>
      <c r="AWV130" s="1056"/>
      <c r="AWW130" s="1056"/>
      <c r="AWX130" s="1056"/>
      <c r="AWY130" s="1056"/>
      <c r="AWZ130" s="1056"/>
      <c r="AXA130" s="1056"/>
      <c r="AXB130" s="1056"/>
      <c r="AXC130" s="1056"/>
      <c r="AXD130" s="1056"/>
      <c r="AXE130" s="1056"/>
      <c r="AXF130" s="1056"/>
      <c r="AXG130" s="1056"/>
      <c r="AXH130" s="1056"/>
      <c r="AXI130" s="1056"/>
      <c r="AXJ130" s="1056"/>
      <c r="AXK130" s="1056"/>
      <c r="AXL130" s="1056"/>
      <c r="AXM130" s="1056"/>
      <c r="AXN130" s="1056"/>
      <c r="AXO130" s="1056"/>
      <c r="AXP130" s="1056"/>
      <c r="AXQ130" s="1056"/>
      <c r="AXR130" s="1056"/>
      <c r="AXS130" s="1056"/>
      <c r="AXT130" s="1056"/>
      <c r="AXU130" s="1056"/>
      <c r="AXV130" s="1056"/>
      <c r="AXW130" s="1056"/>
      <c r="AXX130" s="1056"/>
      <c r="AXY130" s="1056"/>
      <c r="AXZ130" s="1056"/>
      <c r="AYA130" s="1056"/>
      <c r="AYB130" s="1056"/>
      <c r="AYC130" s="1056"/>
      <c r="AYD130" s="1056"/>
      <c r="AYE130" s="1056"/>
      <c r="AYF130" s="1056"/>
      <c r="AYG130" s="1056"/>
      <c r="AYH130" s="1056"/>
      <c r="AYI130" s="1056"/>
      <c r="AYJ130" s="1056"/>
      <c r="AYK130" s="1056"/>
      <c r="AYL130" s="1056"/>
      <c r="AYM130" s="1056"/>
      <c r="AYN130" s="1056"/>
      <c r="AYO130" s="1056"/>
      <c r="AYP130" s="1056"/>
      <c r="AYQ130" s="1056"/>
      <c r="AYR130" s="1056"/>
      <c r="AYS130" s="1056"/>
      <c r="AYT130" s="1056"/>
      <c r="AYU130" s="1056"/>
      <c r="AYV130" s="1056"/>
      <c r="AYW130" s="1056"/>
      <c r="AYX130" s="1056"/>
      <c r="AYY130" s="1056"/>
      <c r="AYZ130" s="1056"/>
      <c r="AZA130" s="1056"/>
      <c r="AZB130" s="1056"/>
      <c r="AZC130" s="1056"/>
      <c r="AZD130" s="1056"/>
      <c r="AZE130" s="1056"/>
      <c r="AZF130" s="1056"/>
      <c r="AZG130" s="1056"/>
      <c r="AZH130" s="1056"/>
      <c r="AZI130" s="1056"/>
      <c r="AZJ130" s="1056"/>
      <c r="AZK130" s="1056"/>
      <c r="AZL130" s="1056"/>
      <c r="AZM130" s="1056"/>
      <c r="AZN130" s="1056"/>
      <c r="AZO130" s="1056"/>
      <c r="AZP130" s="1056"/>
      <c r="AZQ130" s="1056"/>
      <c r="AZR130" s="1056"/>
      <c r="AZS130" s="1056"/>
      <c r="AZT130" s="1056"/>
      <c r="AZU130" s="1056"/>
      <c r="AZV130" s="1056"/>
      <c r="AZW130" s="1056"/>
      <c r="AZX130" s="1056"/>
      <c r="AZY130" s="1056"/>
      <c r="AZZ130" s="1056"/>
      <c r="BAA130" s="1056"/>
      <c r="BAB130" s="1056"/>
      <c r="BAC130" s="1056"/>
      <c r="BAD130" s="1056"/>
      <c r="BAE130" s="1056"/>
      <c r="BAF130" s="1056"/>
      <c r="BAG130" s="1056"/>
      <c r="BAH130" s="1056"/>
      <c r="BAI130" s="1056"/>
      <c r="BAJ130" s="1056"/>
      <c r="BAK130" s="1056"/>
      <c r="BAL130" s="1056"/>
      <c r="BAM130" s="1056"/>
      <c r="BAN130" s="1056"/>
      <c r="BAO130" s="1056"/>
      <c r="BAP130" s="1056"/>
      <c r="BAQ130" s="1056"/>
      <c r="BAR130" s="1056"/>
      <c r="BAS130" s="1056"/>
      <c r="BAT130" s="1056"/>
      <c r="BAU130" s="1056"/>
      <c r="BAV130" s="1056"/>
      <c r="BAW130" s="1056"/>
      <c r="BAX130" s="1056"/>
      <c r="BAY130" s="1056"/>
      <c r="BAZ130" s="1056"/>
      <c r="BBA130" s="1056"/>
      <c r="BBB130" s="1056"/>
      <c r="BBC130" s="1056"/>
      <c r="BBD130" s="1056"/>
      <c r="BBE130" s="1056"/>
      <c r="BBF130" s="1056"/>
      <c r="BBG130" s="1056"/>
      <c r="BBH130" s="1056"/>
      <c r="BBI130" s="1056"/>
      <c r="BBJ130" s="1056"/>
      <c r="BBK130" s="1056"/>
      <c r="BBL130" s="1056"/>
      <c r="BBM130" s="1056"/>
      <c r="BBN130" s="1056"/>
      <c r="BBO130" s="1056"/>
      <c r="BBP130" s="1056"/>
      <c r="BBQ130" s="1056"/>
      <c r="BBR130" s="1056"/>
      <c r="BBS130" s="1056"/>
      <c r="BBT130" s="1056"/>
      <c r="BBU130" s="1056"/>
      <c r="BBV130" s="1056"/>
      <c r="BBW130" s="1056"/>
      <c r="BBX130" s="1056"/>
      <c r="BBY130" s="1056"/>
      <c r="BBZ130" s="1056"/>
      <c r="BCA130" s="1056"/>
      <c r="BCB130" s="1056"/>
      <c r="BCC130" s="1056"/>
      <c r="BCD130" s="1056"/>
      <c r="BCE130" s="1056"/>
      <c r="BCF130" s="1056"/>
      <c r="BCG130" s="1056"/>
      <c r="BCH130" s="1056"/>
      <c r="BCI130" s="1056"/>
      <c r="BCJ130" s="1056"/>
      <c r="BCK130" s="1056"/>
      <c r="BCL130" s="1056"/>
      <c r="BCM130" s="1056"/>
      <c r="BCN130" s="1056"/>
      <c r="BCO130" s="1056"/>
      <c r="BCP130" s="1056"/>
      <c r="BCQ130" s="1056"/>
      <c r="BCR130" s="1056"/>
      <c r="BCS130" s="1056"/>
      <c r="BCT130" s="1056"/>
      <c r="BCU130" s="1056"/>
      <c r="BCV130" s="1056"/>
      <c r="BCW130" s="1056"/>
      <c r="BCX130" s="1056"/>
      <c r="BCY130" s="1056"/>
      <c r="BCZ130" s="1056"/>
      <c r="BDA130" s="1056"/>
      <c r="BDB130" s="1056"/>
      <c r="BDC130" s="1056"/>
      <c r="BDD130" s="1056"/>
      <c r="BDE130" s="1056"/>
      <c r="BDF130" s="1056"/>
      <c r="BDG130" s="1056"/>
      <c r="BDH130" s="1056"/>
      <c r="BDI130" s="1056"/>
      <c r="BDJ130" s="1056"/>
      <c r="BDK130" s="1056"/>
      <c r="BDL130" s="1056"/>
      <c r="BDM130" s="1056"/>
      <c r="BDN130" s="1056"/>
      <c r="BDO130" s="1056"/>
      <c r="BDP130" s="1056"/>
      <c r="BDQ130" s="1056"/>
      <c r="BDR130" s="1056"/>
      <c r="BDS130" s="1056"/>
      <c r="BDT130" s="1056"/>
      <c r="BDU130" s="1056"/>
      <c r="BDV130" s="1056"/>
      <c r="BDW130" s="1056"/>
      <c r="BDX130" s="1056"/>
      <c r="BDY130" s="1056"/>
      <c r="BDZ130" s="1056"/>
      <c r="BEA130" s="1056"/>
      <c r="BEB130" s="1056"/>
      <c r="BEC130" s="1056"/>
      <c r="BED130" s="1056"/>
      <c r="BEE130" s="1056"/>
      <c r="BEF130" s="1056"/>
      <c r="BEG130" s="1056"/>
      <c r="BEH130" s="1056"/>
      <c r="BEI130" s="1056"/>
      <c r="BEJ130" s="1056"/>
      <c r="BEK130" s="1056"/>
      <c r="BEL130" s="1056"/>
      <c r="BEM130" s="1056"/>
      <c r="BEN130" s="1056"/>
      <c r="BEO130" s="1056"/>
      <c r="BEP130" s="1056"/>
      <c r="BEQ130" s="1056"/>
      <c r="BER130" s="1056"/>
      <c r="BES130" s="1056"/>
      <c r="BET130" s="1056"/>
      <c r="BEU130" s="1056"/>
      <c r="BEV130" s="1056"/>
      <c r="BEW130" s="1056"/>
      <c r="BEX130" s="1056"/>
      <c r="BEY130" s="1056"/>
      <c r="BEZ130" s="1056"/>
      <c r="BFA130" s="1056"/>
      <c r="BFB130" s="1056"/>
      <c r="BFC130" s="1056"/>
      <c r="BFD130" s="1056"/>
      <c r="BFE130" s="1056"/>
      <c r="BFF130" s="1056"/>
      <c r="BFG130" s="1056"/>
      <c r="BFH130" s="1056"/>
      <c r="BFI130" s="1056"/>
      <c r="BFJ130" s="1056"/>
      <c r="BFK130" s="1056"/>
      <c r="BFL130" s="1056"/>
      <c r="BFM130" s="1056"/>
      <c r="BFN130" s="1056"/>
      <c r="BFO130" s="1056"/>
      <c r="BFP130" s="1056"/>
      <c r="BFQ130" s="1056"/>
      <c r="BFR130" s="1056"/>
      <c r="BFS130" s="1056"/>
      <c r="BFT130" s="1056"/>
      <c r="BFU130" s="1056"/>
      <c r="BFV130" s="1056"/>
      <c r="BFW130" s="1056"/>
      <c r="BFX130" s="1056"/>
      <c r="BFY130" s="1056"/>
      <c r="BFZ130" s="1056"/>
      <c r="BGA130" s="1056"/>
      <c r="BGB130" s="1056"/>
      <c r="BGC130" s="1056"/>
      <c r="BGD130" s="1056"/>
      <c r="BGE130" s="1056"/>
      <c r="BGF130" s="1056"/>
      <c r="BGG130" s="1056"/>
      <c r="BGH130" s="1056"/>
      <c r="BGI130" s="1056"/>
      <c r="BGJ130" s="1056"/>
      <c r="BGK130" s="1056"/>
      <c r="BGL130" s="1056"/>
      <c r="BGM130" s="1056"/>
      <c r="BGN130" s="1056"/>
      <c r="BGO130" s="1056"/>
      <c r="BGP130" s="1056"/>
      <c r="BGQ130" s="1056"/>
      <c r="BGR130" s="1056"/>
      <c r="BGS130" s="1056"/>
      <c r="BGT130" s="1056"/>
      <c r="BGU130" s="1056"/>
      <c r="BGV130" s="1056"/>
      <c r="BGW130" s="1056"/>
      <c r="BGX130" s="1056"/>
      <c r="BGY130" s="1056"/>
      <c r="BGZ130" s="1056"/>
      <c r="BHA130" s="1056"/>
      <c r="BHB130" s="1056"/>
      <c r="BHC130" s="1056"/>
      <c r="BHD130" s="1056"/>
      <c r="BHE130" s="1056"/>
      <c r="BHF130" s="1056"/>
      <c r="BHG130" s="1056"/>
      <c r="BHH130" s="1056"/>
      <c r="BHI130" s="1056"/>
      <c r="BHJ130" s="1056"/>
      <c r="BHK130" s="1056"/>
      <c r="BHL130" s="1056"/>
      <c r="BHM130" s="1056"/>
      <c r="BHN130" s="1056"/>
      <c r="BHO130" s="1056"/>
      <c r="BHP130" s="1056"/>
      <c r="BHQ130" s="1056"/>
      <c r="BHR130" s="1056"/>
      <c r="BHS130" s="1056"/>
      <c r="BHT130" s="1056"/>
      <c r="BHU130" s="1056"/>
      <c r="BHV130" s="1056"/>
      <c r="BHW130" s="1056"/>
      <c r="BHX130" s="1056"/>
      <c r="BHY130" s="1056"/>
      <c r="BHZ130" s="1056"/>
      <c r="BIA130" s="1056"/>
      <c r="BIB130" s="1056"/>
      <c r="BIC130" s="1056"/>
      <c r="BID130" s="1056"/>
      <c r="BIE130" s="1056"/>
      <c r="BIF130" s="1056"/>
      <c r="BIG130" s="1056"/>
      <c r="BIH130" s="1056"/>
      <c r="BII130" s="1056"/>
      <c r="BIJ130" s="1056"/>
      <c r="BIK130" s="1056"/>
      <c r="BIL130" s="1056"/>
      <c r="BIM130" s="1056"/>
      <c r="BIN130" s="1056"/>
      <c r="BIO130" s="1056"/>
      <c r="BIP130" s="1056"/>
      <c r="BIQ130" s="1056"/>
      <c r="BIR130" s="1056"/>
      <c r="BIS130" s="1056"/>
      <c r="BIT130" s="1056"/>
      <c r="BIU130" s="1056"/>
      <c r="BIV130" s="1056"/>
      <c r="BIW130" s="1056"/>
      <c r="BIX130" s="1056"/>
      <c r="BIY130" s="1056"/>
      <c r="BIZ130" s="1056"/>
      <c r="BJA130" s="1056"/>
      <c r="BJB130" s="1056"/>
      <c r="BJC130" s="1056"/>
      <c r="BJD130" s="1056"/>
      <c r="BJE130" s="1056"/>
      <c r="BJF130" s="1056"/>
      <c r="BJG130" s="1056"/>
      <c r="BJH130" s="1056"/>
      <c r="BJI130" s="1056"/>
      <c r="BJJ130" s="1056"/>
      <c r="BJK130" s="1056"/>
      <c r="BJL130" s="1056"/>
      <c r="BJM130" s="1056"/>
      <c r="BJN130" s="1056"/>
      <c r="BJO130" s="1056"/>
      <c r="BJP130" s="1056"/>
      <c r="BJQ130" s="1056"/>
      <c r="BJR130" s="1056"/>
      <c r="BJS130" s="1056"/>
      <c r="BJT130" s="1056"/>
      <c r="BJU130" s="1056"/>
      <c r="BJV130" s="1056"/>
      <c r="BJW130" s="1056"/>
      <c r="BJX130" s="1056"/>
      <c r="BJY130" s="1056"/>
      <c r="BJZ130" s="1056"/>
      <c r="BKA130" s="1056"/>
      <c r="BKB130" s="1056"/>
      <c r="BKC130" s="1056"/>
      <c r="BKD130" s="1056"/>
      <c r="BKE130" s="1056"/>
      <c r="BKF130" s="1056"/>
      <c r="BKG130" s="1056"/>
      <c r="BKH130" s="1056"/>
      <c r="BKI130" s="1056"/>
      <c r="BKJ130" s="1056"/>
      <c r="BKK130" s="1056"/>
      <c r="BKL130" s="1056"/>
      <c r="BKM130" s="1056"/>
      <c r="BKN130" s="1056"/>
      <c r="BKO130" s="1056"/>
      <c r="BKP130" s="1056"/>
      <c r="BKQ130" s="1056"/>
      <c r="BKR130" s="1056"/>
      <c r="BKS130" s="1056"/>
      <c r="BKT130" s="1056"/>
      <c r="BKU130" s="1056"/>
      <c r="BKV130" s="1056"/>
      <c r="BKW130" s="1056"/>
      <c r="BKX130" s="1056"/>
      <c r="BKY130" s="1056"/>
      <c r="BKZ130" s="1056"/>
      <c r="BLA130" s="1056"/>
      <c r="BLB130" s="1056"/>
      <c r="BLC130" s="1056"/>
      <c r="BLD130" s="1056"/>
      <c r="BLE130" s="1056"/>
      <c r="BLF130" s="1056"/>
      <c r="BLG130" s="1056"/>
      <c r="BLH130" s="1056"/>
      <c r="BLI130" s="1056"/>
      <c r="BLJ130" s="1056"/>
      <c r="BLK130" s="1056"/>
      <c r="BLL130" s="1056"/>
      <c r="BLM130" s="1056"/>
      <c r="BLN130" s="1056"/>
      <c r="BLO130" s="1056"/>
      <c r="BLP130" s="1056"/>
      <c r="BLQ130" s="1056"/>
      <c r="BLR130" s="1056"/>
      <c r="BLS130" s="1056"/>
      <c r="BLT130" s="1056"/>
      <c r="BLU130" s="1056"/>
      <c r="BLV130" s="1056"/>
      <c r="BLW130" s="1056"/>
      <c r="BLX130" s="1056"/>
      <c r="BLY130" s="1056"/>
      <c r="BLZ130" s="1056"/>
      <c r="BMA130" s="1056"/>
      <c r="BMB130" s="1056"/>
      <c r="BMC130" s="1056"/>
      <c r="BMD130" s="1056"/>
      <c r="BME130" s="1056"/>
      <c r="BMF130" s="1056"/>
      <c r="BMG130" s="1056"/>
      <c r="BMH130" s="1056"/>
      <c r="BMI130" s="1056"/>
      <c r="BMJ130" s="1056"/>
      <c r="BMK130" s="1056"/>
      <c r="BML130" s="1056"/>
      <c r="BMM130" s="1056"/>
      <c r="BMN130" s="1056"/>
      <c r="BMO130" s="1056"/>
      <c r="BMP130" s="1056"/>
      <c r="BMQ130" s="1056"/>
      <c r="BMR130" s="1056"/>
      <c r="BMS130" s="1056"/>
      <c r="BMT130" s="1056"/>
      <c r="BMU130" s="1056"/>
      <c r="BMV130" s="1056"/>
      <c r="BMW130" s="1056"/>
      <c r="BMX130" s="1056"/>
      <c r="BMY130" s="1056"/>
      <c r="BMZ130" s="1056"/>
      <c r="BNA130" s="1056"/>
      <c r="BNB130" s="1056"/>
      <c r="BNC130" s="1056"/>
      <c r="BND130" s="1056"/>
      <c r="BNE130" s="1056"/>
      <c r="BNF130" s="1056"/>
      <c r="BNG130" s="1056"/>
      <c r="BNH130" s="1056"/>
      <c r="BNI130" s="1056"/>
      <c r="BNJ130" s="1056"/>
      <c r="BNK130" s="1056"/>
      <c r="BNL130" s="1056"/>
      <c r="BNM130" s="1056"/>
      <c r="BNN130" s="1056"/>
      <c r="BNO130" s="1056"/>
      <c r="BNP130" s="1056"/>
      <c r="BNQ130" s="1056"/>
      <c r="BNR130" s="1056"/>
      <c r="BNS130" s="1056"/>
      <c r="BNT130" s="1056"/>
      <c r="BNU130" s="1056"/>
      <c r="BNV130" s="1056"/>
      <c r="BNW130" s="1056"/>
      <c r="BNX130" s="1056"/>
      <c r="BNY130" s="1056"/>
      <c r="BNZ130" s="1056"/>
      <c r="BOA130" s="1056"/>
      <c r="BOB130" s="1056"/>
      <c r="BOC130" s="1056"/>
      <c r="BOD130" s="1056"/>
      <c r="BOE130" s="1056"/>
      <c r="BOF130" s="1056"/>
      <c r="BOG130" s="1056"/>
      <c r="BOH130" s="1056"/>
      <c r="BOI130" s="1056"/>
      <c r="BOJ130" s="1056"/>
      <c r="BOK130" s="1056"/>
      <c r="BOL130" s="1056"/>
      <c r="BOM130" s="1056"/>
      <c r="BON130" s="1056"/>
      <c r="BOO130" s="1056"/>
      <c r="BOP130" s="1056"/>
      <c r="BOQ130" s="1056"/>
      <c r="BOR130" s="1056"/>
      <c r="BOS130" s="1056"/>
      <c r="BOT130" s="1056"/>
      <c r="BOU130" s="1056"/>
      <c r="BOV130" s="1056"/>
      <c r="BOW130" s="1056"/>
      <c r="BOX130" s="1056"/>
      <c r="BOY130" s="1056"/>
      <c r="BOZ130" s="1056"/>
      <c r="BPA130" s="1056"/>
      <c r="BPB130" s="1056"/>
      <c r="BPC130" s="1056"/>
      <c r="BPD130" s="1056"/>
      <c r="BPE130" s="1056"/>
      <c r="BPF130" s="1056"/>
      <c r="BPG130" s="1056"/>
      <c r="BPH130" s="1056"/>
      <c r="BPI130" s="1056"/>
      <c r="BPJ130" s="1056"/>
      <c r="BPK130" s="1056"/>
      <c r="BPL130" s="1056"/>
      <c r="BPM130" s="1056"/>
      <c r="BPN130" s="1056"/>
      <c r="BPO130" s="1056"/>
      <c r="BPP130" s="1056"/>
      <c r="BPQ130" s="1056"/>
      <c r="BPR130" s="1056"/>
      <c r="BPS130" s="1056"/>
      <c r="BPT130" s="1056"/>
      <c r="BPU130" s="1056"/>
      <c r="BPV130" s="1056"/>
      <c r="BPW130" s="1056"/>
      <c r="BPX130" s="1056"/>
      <c r="BPY130" s="1056"/>
      <c r="BPZ130" s="1056"/>
      <c r="BQA130" s="1056"/>
      <c r="BQB130" s="1056"/>
      <c r="BQC130" s="1056"/>
      <c r="BQD130" s="1056"/>
      <c r="BQE130" s="1056"/>
      <c r="BQF130" s="1056"/>
      <c r="BQG130" s="1056"/>
      <c r="BQH130" s="1056"/>
      <c r="BQI130" s="1056"/>
      <c r="BQJ130" s="1056"/>
      <c r="BQK130" s="1056"/>
      <c r="BQL130" s="1056"/>
      <c r="BQM130" s="1056"/>
      <c r="BQN130" s="1056"/>
      <c r="BQO130" s="1056"/>
      <c r="BQP130" s="1056"/>
      <c r="BQQ130" s="1056"/>
      <c r="BQR130" s="1056"/>
      <c r="BQS130" s="1056"/>
      <c r="BQT130" s="1056"/>
      <c r="BQU130" s="1056"/>
      <c r="BQV130" s="1056"/>
      <c r="BQW130" s="1056"/>
      <c r="BQX130" s="1056"/>
      <c r="BQY130" s="1056"/>
      <c r="BQZ130" s="1056"/>
      <c r="BRA130" s="1056"/>
      <c r="BRB130" s="1056"/>
      <c r="BRC130" s="1056"/>
      <c r="BRD130" s="1056"/>
      <c r="BRE130" s="1056"/>
      <c r="BRF130" s="1056"/>
      <c r="BRG130" s="1056"/>
      <c r="BRH130" s="1056"/>
      <c r="BRI130" s="1056"/>
      <c r="BRJ130" s="1056"/>
      <c r="BRK130" s="1056"/>
      <c r="BRL130" s="1056"/>
      <c r="BRM130" s="1056"/>
      <c r="BRN130" s="1056"/>
      <c r="BRO130" s="1056"/>
      <c r="BRP130" s="1056"/>
      <c r="BRQ130" s="1056"/>
      <c r="BRR130" s="1056"/>
      <c r="BRS130" s="1056"/>
      <c r="BRT130" s="1056"/>
      <c r="BRU130" s="1056"/>
      <c r="BRV130" s="1056"/>
      <c r="BRW130" s="1056"/>
      <c r="BRX130" s="1056"/>
      <c r="BRY130" s="1056"/>
      <c r="BRZ130" s="1056"/>
      <c r="BSA130" s="1056"/>
      <c r="BSB130" s="1056"/>
      <c r="BSC130" s="1056"/>
      <c r="BSD130" s="1056"/>
      <c r="BSE130" s="1056"/>
      <c r="BSF130" s="1056"/>
      <c r="BSG130" s="1056"/>
      <c r="BSH130" s="1056"/>
      <c r="BSI130" s="1056"/>
      <c r="BSJ130" s="1056"/>
      <c r="BSK130" s="1056"/>
      <c r="BSL130" s="1056"/>
      <c r="BSM130" s="1056"/>
      <c r="BSN130" s="1056"/>
      <c r="BSO130" s="1056"/>
      <c r="BSP130" s="1056"/>
      <c r="BSQ130" s="1056"/>
      <c r="BSR130" s="1056"/>
      <c r="BSS130" s="1056"/>
      <c r="BST130" s="1056"/>
      <c r="BSU130" s="1056"/>
      <c r="BSV130" s="1056"/>
      <c r="BSW130" s="1056"/>
      <c r="BSX130" s="1056"/>
      <c r="BSY130" s="1056"/>
      <c r="BSZ130" s="1056"/>
      <c r="BTA130" s="1056"/>
      <c r="BTB130" s="1056"/>
      <c r="BTC130" s="1056"/>
      <c r="BTD130" s="1056"/>
      <c r="BTE130" s="1056"/>
      <c r="BTF130" s="1056"/>
      <c r="BTG130" s="1056"/>
      <c r="BTH130" s="1056"/>
      <c r="BTI130" s="1056"/>
    </row>
    <row r="131" spans="1:1881" s="1060" customFormat="1" ht="78" hidden="1" customHeight="1" thickBot="1" x14ac:dyDescent="0.35">
      <c r="A131" s="1059">
        <v>596</v>
      </c>
      <c r="B131" s="735" t="s">
        <v>57</v>
      </c>
      <c r="C131" s="1079"/>
      <c r="D131" s="1070" t="s">
        <v>354</v>
      </c>
      <c r="E131" s="1053" t="e">
        <f>HLOOKUP($D$2,'2020 Data(H)'!$C$1:$AI$426,255,FALSE)</f>
        <v>#N/A</v>
      </c>
      <c r="F131" s="287"/>
      <c r="G131" s="736"/>
      <c r="H131" s="735"/>
      <c r="I131" s="1055"/>
      <c r="J131" s="1056"/>
      <c r="K131" s="1056"/>
      <c r="L131" s="1057"/>
      <c r="M131" s="1056"/>
      <c r="N131" s="1058"/>
      <c r="O131" s="1056"/>
      <c r="P131" s="1056"/>
      <c r="Q131" s="1056"/>
      <c r="R131" s="1056"/>
      <c r="S131" s="1056"/>
      <c r="T131" s="1056"/>
      <c r="U131" s="1056"/>
      <c r="V131" s="1056"/>
      <c r="W131" s="1056"/>
      <c r="X131" s="1056"/>
      <c r="Y131" s="1056"/>
      <c r="Z131" s="1059"/>
      <c r="AA131" s="1059"/>
      <c r="AB131" s="1059"/>
      <c r="AC131" s="1059"/>
      <c r="AD131" s="1059"/>
      <c r="AE131" s="1059"/>
      <c r="AF131" s="1059"/>
      <c r="AG131" s="1059"/>
      <c r="AH131" s="1059"/>
      <c r="AI131" s="1059"/>
      <c r="AJ131" s="1059"/>
      <c r="AK131" s="1059"/>
      <c r="AL131" s="1059"/>
      <c r="AM131" s="1059"/>
      <c r="AN131" s="1059"/>
      <c r="AO131" s="1059"/>
      <c r="AP131" s="1059"/>
      <c r="AQ131" s="1059"/>
      <c r="AR131" s="1059"/>
      <c r="AS131" s="1056"/>
      <c r="AT131" s="1056"/>
      <c r="AU131" s="1056"/>
      <c r="AV131" s="1056"/>
      <c r="AW131" s="1056"/>
      <c r="AX131" s="1056"/>
      <c r="AY131" s="1056"/>
      <c r="AZ131" s="1056"/>
      <c r="BA131" s="1056"/>
      <c r="BB131" s="1056"/>
      <c r="BC131" s="1056"/>
      <c r="BD131" s="1056"/>
      <c r="BE131" s="1056"/>
      <c r="BF131" s="1056"/>
      <c r="BG131" s="1056"/>
      <c r="BH131" s="1056"/>
      <c r="BI131" s="1056"/>
      <c r="BJ131" s="1056"/>
      <c r="BK131" s="1056"/>
      <c r="BL131" s="1056"/>
      <c r="BM131" s="1056"/>
      <c r="BN131" s="1056"/>
      <c r="BO131" s="1056"/>
      <c r="BP131" s="1056"/>
      <c r="BQ131" s="1056"/>
      <c r="BR131" s="1056"/>
      <c r="BS131" s="1056"/>
      <c r="BT131" s="1056"/>
      <c r="BU131" s="1056"/>
      <c r="BV131" s="1056"/>
      <c r="BW131" s="1056"/>
      <c r="BX131" s="1056"/>
      <c r="BY131" s="1056"/>
      <c r="BZ131" s="1056"/>
      <c r="CA131" s="1056"/>
      <c r="CB131" s="1056"/>
      <c r="CC131" s="1056"/>
      <c r="CD131" s="1056"/>
      <c r="CE131" s="1056"/>
      <c r="CF131" s="1056"/>
      <c r="CG131" s="1056"/>
      <c r="CH131" s="1056"/>
      <c r="CI131" s="1056"/>
      <c r="CJ131" s="1056"/>
      <c r="CK131" s="1056"/>
      <c r="CL131" s="1056"/>
      <c r="CM131" s="1056"/>
      <c r="CN131" s="1056"/>
      <c r="CO131" s="1056"/>
      <c r="CP131" s="1056"/>
      <c r="CQ131" s="1056"/>
      <c r="CR131" s="1056"/>
      <c r="CS131" s="1056"/>
      <c r="CT131" s="1056"/>
      <c r="CU131" s="1056"/>
      <c r="CV131" s="1056"/>
      <c r="CW131" s="1056"/>
      <c r="CX131" s="1056"/>
      <c r="CY131" s="1056"/>
      <c r="CZ131" s="1056"/>
      <c r="DA131" s="1056"/>
      <c r="DB131" s="1056"/>
      <c r="DC131" s="1056"/>
      <c r="DD131" s="1056"/>
      <c r="DE131" s="1056"/>
      <c r="DF131" s="1056"/>
      <c r="DG131" s="1056"/>
      <c r="DH131" s="1056"/>
      <c r="DI131" s="1056"/>
      <c r="DJ131" s="1056"/>
      <c r="DK131" s="1056"/>
      <c r="DL131" s="1056"/>
      <c r="DM131" s="1056"/>
      <c r="DN131" s="1056"/>
      <c r="DO131" s="1056"/>
      <c r="DP131" s="1056"/>
      <c r="DQ131" s="1056"/>
      <c r="DR131" s="1056"/>
      <c r="DS131" s="1056"/>
      <c r="DT131" s="1056"/>
      <c r="DU131" s="1056"/>
      <c r="DV131" s="1056"/>
      <c r="DW131" s="1056"/>
      <c r="DX131" s="1056"/>
      <c r="DY131" s="1056"/>
      <c r="DZ131" s="1056"/>
      <c r="EA131" s="1056"/>
      <c r="EB131" s="1056"/>
      <c r="EC131" s="1056"/>
      <c r="ED131" s="1056"/>
      <c r="EE131" s="1056"/>
      <c r="EF131" s="1056"/>
      <c r="EG131" s="1056"/>
      <c r="EH131" s="1056"/>
      <c r="EI131" s="1056"/>
      <c r="EJ131" s="1056"/>
      <c r="EK131" s="1056"/>
      <c r="EL131" s="1056"/>
      <c r="EM131" s="1056"/>
      <c r="EN131" s="1056"/>
      <c r="EO131" s="1056"/>
      <c r="EP131" s="1056"/>
      <c r="EQ131" s="1056"/>
      <c r="ER131" s="1056"/>
      <c r="ES131" s="1056"/>
      <c r="ET131" s="1056"/>
      <c r="EU131" s="1056"/>
      <c r="EV131" s="1056"/>
      <c r="EW131" s="1056"/>
      <c r="EX131" s="1056"/>
      <c r="EY131" s="1056"/>
      <c r="EZ131" s="1056"/>
      <c r="FA131" s="1056"/>
      <c r="FB131" s="1056"/>
      <c r="FC131" s="1056"/>
      <c r="FD131" s="1056"/>
      <c r="FE131" s="1056"/>
      <c r="FF131" s="1056"/>
      <c r="FG131" s="1056"/>
      <c r="FH131" s="1056"/>
      <c r="FI131" s="1056"/>
      <c r="FJ131" s="1056"/>
      <c r="FK131" s="1056"/>
      <c r="FL131" s="1056"/>
      <c r="FM131" s="1056"/>
      <c r="FN131" s="1056"/>
      <c r="FO131" s="1056"/>
      <c r="FP131" s="1056"/>
      <c r="FQ131" s="1056"/>
      <c r="FR131" s="1056"/>
      <c r="FS131" s="1056"/>
      <c r="FT131" s="1056"/>
      <c r="FU131" s="1056"/>
      <c r="FV131" s="1056"/>
      <c r="FW131" s="1056"/>
      <c r="FX131" s="1056"/>
      <c r="FY131" s="1056"/>
      <c r="FZ131" s="1056"/>
      <c r="GA131" s="1056"/>
      <c r="GB131" s="1056"/>
      <c r="GC131" s="1056"/>
      <c r="GD131" s="1056"/>
      <c r="GE131" s="1056"/>
      <c r="GF131" s="1056"/>
      <c r="GG131" s="1056"/>
      <c r="GH131" s="1056"/>
      <c r="GI131" s="1056"/>
      <c r="GJ131" s="1056"/>
      <c r="GK131" s="1056"/>
      <c r="GL131" s="1056"/>
      <c r="GM131" s="1056"/>
      <c r="GN131" s="1056"/>
      <c r="GO131" s="1056"/>
      <c r="GP131" s="1056"/>
      <c r="GQ131" s="1056"/>
      <c r="GR131" s="1056"/>
      <c r="GS131" s="1056"/>
      <c r="GT131" s="1056"/>
      <c r="GU131" s="1056"/>
      <c r="GV131" s="1056"/>
      <c r="GW131" s="1056"/>
      <c r="GX131" s="1056"/>
      <c r="GY131" s="1056"/>
      <c r="GZ131" s="1056"/>
      <c r="HA131" s="1056"/>
      <c r="HB131" s="1056"/>
      <c r="HC131" s="1056"/>
      <c r="HD131" s="1056"/>
      <c r="HE131" s="1056"/>
      <c r="HF131" s="1056"/>
      <c r="HG131" s="1056"/>
      <c r="HH131" s="1056"/>
      <c r="HI131" s="1056"/>
      <c r="HJ131" s="1056"/>
      <c r="HK131" s="1056"/>
      <c r="HL131" s="1056"/>
      <c r="HM131" s="1056"/>
      <c r="HN131" s="1056"/>
      <c r="HO131" s="1056"/>
      <c r="HP131" s="1056"/>
      <c r="HQ131" s="1056"/>
      <c r="HR131" s="1056"/>
      <c r="HS131" s="1056"/>
      <c r="HT131" s="1056"/>
      <c r="HU131" s="1056"/>
      <c r="HV131" s="1056"/>
      <c r="HW131" s="1056"/>
      <c r="HX131" s="1056"/>
      <c r="HY131" s="1056"/>
      <c r="HZ131" s="1056"/>
      <c r="IA131" s="1056"/>
      <c r="IB131" s="1056"/>
      <c r="IC131" s="1056"/>
      <c r="ID131" s="1056"/>
      <c r="IE131" s="1056"/>
      <c r="IF131" s="1056"/>
      <c r="IG131" s="1056"/>
      <c r="IH131" s="1056"/>
      <c r="II131" s="1056"/>
      <c r="IJ131" s="1056"/>
      <c r="IK131" s="1056"/>
      <c r="IL131" s="1056"/>
      <c r="IM131" s="1056"/>
      <c r="IN131" s="1056"/>
      <c r="IO131" s="1056"/>
      <c r="IP131" s="1056"/>
      <c r="IQ131" s="1056"/>
      <c r="IR131" s="1056"/>
      <c r="IS131" s="1056"/>
      <c r="IT131" s="1056"/>
      <c r="IU131" s="1056"/>
      <c r="IV131" s="1056"/>
      <c r="IW131" s="1056"/>
      <c r="IX131" s="1056"/>
      <c r="IY131" s="1056"/>
      <c r="IZ131" s="1056"/>
      <c r="JA131" s="1056"/>
      <c r="JB131" s="1056"/>
      <c r="JC131" s="1056"/>
      <c r="JD131" s="1056"/>
      <c r="JE131" s="1056"/>
      <c r="JF131" s="1056"/>
      <c r="JG131" s="1056"/>
      <c r="JH131" s="1056"/>
      <c r="JI131" s="1056"/>
      <c r="JJ131" s="1056"/>
      <c r="JK131" s="1056"/>
      <c r="JL131" s="1056"/>
      <c r="JM131" s="1056"/>
      <c r="JN131" s="1056"/>
      <c r="JO131" s="1056"/>
      <c r="JP131" s="1056"/>
      <c r="JQ131" s="1056"/>
      <c r="JR131" s="1056"/>
      <c r="JS131" s="1056"/>
      <c r="JT131" s="1056"/>
      <c r="JU131" s="1056"/>
      <c r="JV131" s="1056"/>
      <c r="JW131" s="1056"/>
      <c r="JX131" s="1056"/>
      <c r="JY131" s="1056"/>
      <c r="JZ131" s="1056"/>
      <c r="KA131" s="1056"/>
      <c r="KB131" s="1056"/>
      <c r="KC131" s="1056"/>
      <c r="KD131" s="1056"/>
      <c r="KE131" s="1056"/>
      <c r="KF131" s="1056"/>
      <c r="KG131" s="1056"/>
      <c r="KH131" s="1056"/>
      <c r="KI131" s="1056"/>
      <c r="KJ131" s="1056"/>
      <c r="KK131" s="1056"/>
      <c r="KL131" s="1056"/>
      <c r="KM131" s="1056"/>
      <c r="KN131" s="1056"/>
      <c r="KO131" s="1056"/>
      <c r="KP131" s="1056"/>
      <c r="KQ131" s="1056"/>
      <c r="KR131" s="1056"/>
      <c r="KS131" s="1056"/>
      <c r="KT131" s="1056"/>
      <c r="KU131" s="1056"/>
      <c r="KV131" s="1056"/>
      <c r="KW131" s="1056"/>
      <c r="KX131" s="1056"/>
      <c r="KY131" s="1056"/>
      <c r="KZ131" s="1056"/>
      <c r="LA131" s="1056"/>
      <c r="LB131" s="1056"/>
      <c r="LC131" s="1056"/>
      <c r="LD131" s="1056"/>
      <c r="LE131" s="1056"/>
      <c r="LF131" s="1056"/>
      <c r="LG131" s="1056"/>
      <c r="LH131" s="1056"/>
      <c r="LI131" s="1056"/>
      <c r="LJ131" s="1056"/>
      <c r="LK131" s="1056"/>
      <c r="LL131" s="1056"/>
      <c r="LM131" s="1056"/>
      <c r="LN131" s="1056"/>
      <c r="LO131" s="1056"/>
      <c r="LP131" s="1056"/>
      <c r="LQ131" s="1056"/>
      <c r="LR131" s="1056"/>
      <c r="LS131" s="1056"/>
      <c r="LT131" s="1056"/>
      <c r="LU131" s="1056"/>
      <c r="LV131" s="1056"/>
      <c r="LW131" s="1056"/>
      <c r="LX131" s="1056"/>
      <c r="LY131" s="1056"/>
      <c r="LZ131" s="1056"/>
      <c r="MA131" s="1056"/>
      <c r="MB131" s="1056"/>
      <c r="MC131" s="1056"/>
      <c r="MD131" s="1056"/>
      <c r="ME131" s="1056"/>
      <c r="MF131" s="1056"/>
      <c r="MG131" s="1056"/>
      <c r="MH131" s="1056"/>
      <c r="MI131" s="1056"/>
      <c r="MJ131" s="1056"/>
      <c r="MK131" s="1056"/>
      <c r="ML131" s="1056"/>
      <c r="MM131" s="1056"/>
      <c r="MN131" s="1056"/>
      <c r="MO131" s="1056"/>
      <c r="MP131" s="1056"/>
      <c r="MQ131" s="1056"/>
      <c r="MR131" s="1056"/>
      <c r="MS131" s="1056"/>
      <c r="MT131" s="1056"/>
      <c r="MU131" s="1056"/>
      <c r="MV131" s="1056"/>
      <c r="MW131" s="1056"/>
      <c r="MX131" s="1056"/>
      <c r="MY131" s="1056"/>
      <c r="MZ131" s="1056"/>
      <c r="NA131" s="1056"/>
      <c r="NB131" s="1056"/>
      <c r="NC131" s="1056"/>
      <c r="ND131" s="1056"/>
      <c r="NE131" s="1056"/>
      <c r="NF131" s="1056"/>
      <c r="NG131" s="1056"/>
      <c r="NH131" s="1056"/>
      <c r="NI131" s="1056"/>
      <c r="NJ131" s="1056"/>
      <c r="NK131" s="1056"/>
      <c r="NL131" s="1056"/>
      <c r="NM131" s="1056"/>
      <c r="NN131" s="1056"/>
      <c r="NO131" s="1056"/>
      <c r="NP131" s="1056"/>
      <c r="NQ131" s="1056"/>
      <c r="NR131" s="1056"/>
      <c r="NS131" s="1056"/>
      <c r="NT131" s="1056"/>
      <c r="NU131" s="1056"/>
      <c r="NV131" s="1056"/>
      <c r="NW131" s="1056"/>
      <c r="NX131" s="1056"/>
      <c r="NY131" s="1056"/>
      <c r="NZ131" s="1056"/>
      <c r="OA131" s="1056"/>
      <c r="OB131" s="1056"/>
      <c r="OC131" s="1056"/>
      <c r="OD131" s="1056"/>
      <c r="OE131" s="1056"/>
      <c r="OF131" s="1056"/>
      <c r="OG131" s="1056"/>
      <c r="OH131" s="1056"/>
      <c r="OI131" s="1056"/>
      <c r="OJ131" s="1056"/>
      <c r="OK131" s="1056"/>
      <c r="OL131" s="1056"/>
      <c r="OM131" s="1056"/>
      <c r="ON131" s="1056"/>
      <c r="OO131" s="1056"/>
      <c r="OP131" s="1056"/>
      <c r="OQ131" s="1056"/>
      <c r="OR131" s="1056"/>
      <c r="OS131" s="1056"/>
      <c r="OT131" s="1056"/>
      <c r="OU131" s="1056"/>
      <c r="OV131" s="1056"/>
      <c r="OW131" s="1056"/>
      <c r="OX131" s="1056"/>
      <c r="OY131" s="1056"/>
      <c r="OZ131" s="1056"/>
      <c r="PA131" s="1056"/>
      <c r="PB131" s="1056"/>
      <c r="PC131" s="1056"/>
      <c r="PD131" s="1056"/>
      <c r="PE131" s="1056"/>
      <c r="PF131" s="1056"/>
      <c r="PG131" s="1056"/>
      <c r="PH131" s="1056"/>
      <c r="PI131" s="1056"/>
      <c r="PJ131" s="1056"/>
      <c r="PK131" s="1056"/>
      <c r="PL131" s="1056"/>
      <c r="PM131" s="1056"/>
      <c r="PN131" s="1056"/>
      <c r="PO131" s="1056"/>
      <c r="PP131" s="1056"/>
      <c r="PQ131" s="1056"/>
      <c r="PR131" s="1056"/>
      <c r="PS131" s="1056"/>
      <c r="PT131" s="1056"/>
      <c r="PU131" s="1056"/>
      <c r="PV131" s="1056"/>
      <c r="PW131" s="1056"/>
      <c r="PX131" s="1056"/>
      <c r="PY131" s="1056"/>
      <c r="PZ131" s="1056"/>
      <c r="QA131" s="1056"/>
      <c r="QB131" s="1056"/>
      <c r="QC131" s="1056"/>
      <c r="QD131" s="1056"/>
      <c r="QE131" s="1056"/>
      <c r="QF131" s="1056"/>
      <c r="QG131" s="1056"/>
      <c r="QH131" s="1056"/>
      <c r="QI131" s="1056"/>
      <c r="QJ131" s="1056"/>
      <c r="QK131" s="1056"/>
      <c r="QL131" s="1056"/>
      <c r="QM131" s="1056"/>
      <c r="QN131" s="1056"/>
      <c r="QO131" s="1056"/>
      <c r="QP131" s="1056"/>
      <c r="QQ131" s="1056"/>
      <c r="QR131" s="1056"/>
      <c r="QS131" s="1056"/>
      <c r="QT131" s="1056"/>
      <c r="QU131" s="1056"/>
      <c r="QV131" s="1056"/>
      <c r="QW131" s="1056"/>
      <c r="QX131" s="1056"/>
      <c r="QY131" s="1056"/>
      <c r="QZ131" s="1056"/>
      <c r="RA131" s="1056"/>
      <c r="RB131" s="1056"/>
      <c r="RC131" s="1056"/>
      <c r="RD131" s="1056"/>
      <c r="RE131" s="1056"/>
      <c r="RF131" s="1056"/>
      <c r="RG131" s="1056"/>
      <c r="RH131" s="1056"/>
      <c r="RI131" s="1056"/>
      <c r="RJ131" s="1056"/>
      <c r="RK131" s="1056"/>
      <c r="RL131" s="1056"/>
      <c r="RM131" s="1056"/>
      <c r="RN131" s="1056"/>
      <c r="RO131" s="1056"/>
      <c r="RP131" s="1056"/>
      <c r="RQ131" s="1056"/>
      <c r="RR131" s="1056"/>
      <c r="RS131" s="1056"/>
      <c r="RT131" s="1056"/>
      <c r="RU131" s="1056"/>
      <c r="RV131" s="1056"/>
      <c r="RW131" s="1056"/>
      <c r="RX131" s="1056"/>
      <c r="RY131" s="1056"/>
      <c r="RZ131" s="1056"/>
      <c r="SA131" s="1056"/>
      <c r="SB131" s="1056"/>
      <c r="SC131" s="1056"/>
      <c r="SD131" s="1056"/>
      <c r="SE131" s="1056"/>
      <c r="SF131" s="1056"/>
      <c r="SG131" s="1056"/>
      <c r="SH131" s="1056"/>
      <c r="SI131" s="1056"/>
      <c r="SJ131" s="1056"/>
      <c r="SK131" s="1056"/>
      <c r="SL131" s="1056"/>
      <c r="SM131" s="1056"/>
      <c r="SN131" s="1056"/>
      <c r="SO131" s="1056"/>
      <c r="SP131" s="1056"/>
      <c r="SQ131" s="1056"/>
      <c r="SR131" s="1056"/>
      <c r="SS131" s="1056"/>
      <c r="ST131" s="1056"/>
      <c r="SU131" s="1056"/>
      <c r="SV131" s="1056"/>
      <c r="SW131" s="1056"/>
      <c r="SX131" s="1056"/>
      <c r="SY131" s="1056"/>
      <c r="SZ131" s="1056"/>
      <c r="TA131" s="1056"/>
      <c r="TB131" s="1056"/>
      <c r="TC131" s="1056"/>
      <c r="TD131" s="1056"/>
      <c r="TE131" s="1056"/>
      <c r="TF131" s="1056"/>
      <c r="TG131" s="1056"/>
      <c r="TH131" s="1056"/>
      <c r="TI131" s="1056"/>
      <c r="TJ131" s="1056"/>
      <c r="TK131" s="1056"/>
      <c r="TL131" s="1056"/>
      <c r="TM131" s="1056"/>
      <c r="TN131" s="1056"/>
      <c r="TO131" s="1056"/>
      <c r="TP131" s="1056"/>
      <c r="TQ131" s="1056"/>
      <c r="TR131" s="1056"/>
      <c r="TS131" s="1056"/>
      <c r="TT131" s="1056"/>
      <c r="TU131" s="1056"/>
      <c r="TV131" s="1056"/>
      <c r="TW131" s="1056"/>
      <c r="TX131" s="1056"/>
      <c r="TY131" s="1056"/>
      <c r="TZ131" s="1056"/>
      <c r="UA131" s="1056"/>
      <c r="UB131" s="1056"/>
      <c r="UC131" s="1056"/>
      <c r="UD131" s="1056"/>
      <c r="UE131" s="1056"/>
      <c r="UF131" s="1056"/>
      <c r="UG131" s="1056"/>
      <c r="UH131" s="1056"/>
      <c r="UI131" s="1056"/>
      <c r="UJ131" s="1056"/>
      <c r="UK131" s="1056"/>
      <c r="UL131" s="1056"/>
      <c r="UM131" s="1056"/>
      <c r="UN131" s="1056"/>
      <c r="UO131" s="1056"/>
      <c r="UP131" s="1056"/>
      <c r="UQ131" s="1056"/>
      <c r="UR131" s="1056"/>
      <c r="US131" s="1056"/>
      <c r="UT131" s="1056"/>
      <c r="UU131" s="1056"/>
      <c r="UV131" s="1056"/>
      <c r="UW131" s="1056"/>
      <c r="UX131" s="1056"/>
      <c r="UY131" s="1056"/>
      <c r="UZ131" s="1056"/>
      <c r="VA131" s="1056"/>
      <c r="VB131" s="1056"/>
      <c r="VC131" s="1056"/>
      <c r="VD131" s="1056"/>
      <c r="VE131" s="1056"/>
      <c r="VF131" s="1056"/>
      <c r="VG131" s="1056"/>
      <c r="VH131" s="1056"/>
      <c r="VI131" s="1056"/>
      <c r="VJ131" s="1056"/>
      <c r="VK131" s="1056"/>
      <c r="VL131" s="1056"/>
      <c r="VM131" s="1056"/>
      <c r="VN131" s="1056"/>
      <c r="VO131" s="1056"/>
      <c r="VP131" s="1056"/>
      <c r="VQ131" s="1056"/>
      <c r="VR131" s="1056"/>
      <c r="VS131" s="1056"/>
      <c r="VT131" s="1056"/>
      <c r="VU131" s="1056"/>
      <c r="VV131" s="1056"/>
      <c r="VW131" s="1056"/>
      <c r="VX131" s="1056"/>
      <c r="VY131" s="1056"/>
      <c r="VZ131" s="1056"/>
      <c r="WA131" s="1056"/>
      <c r="WB131" s="1056"/>
      <c r="WC131" s="1056"/>
      <c r="WD131" s="1056"/>
      <c r="WE131" s="1056"/>
      <c r="WF131" s="1056"/>
      <c r="WG131" s="1056"/>
      <c r="WH131" s="1056"/>
      <c r="WI131" s="1056"/>
      <c r="WJ131" s="1056"/>
      <c r="WK131" s="1056"/>
      <c r="WL131" s="1056"/>
      <c r="WM131" s="1056"/>
      <c r="WN131" s="1056"/>
      <c r="WO131" s="1056"/>
      <c r="WP131" s="1056"/>
      <c r="WQ131" s="1056"/>
      <c r="WR131" s="1056"/>
      <c r="WS131" s="1056"/>
      <c r="WT131" s="1056"/>
      <c r="WU131" s="1056"/>
      <c r="WV131" s="1056"/>
      <c r="WW131" s="1056"/>
      <c r="WX131" s="1056"/>
      <c r="WY131" s="1056"/>
      <c r="WZ131" s="1056"/>
      <c r="XA131" s="1056"/>
      <c r="XB131" s="1056"/>
      <c r="XC131" s="1056"/>
      <c r="XD131" s="1056"/>
      <c r="XE131" s="1056"/>
      <c r="XF131" s="1056"/>
      <c r="XG131" s="1056"/>
      <c r="XH131" s="1056"/>
      <c r="XI131" s="1056"/>
      <c r="XJ131" s="1056"/>
      <c r="XK131" s="1056"/>
      <c r="XL131" s="1056"/>
      <c r="XM131" s="1056"/>
      <c r="XN131" s="1056"/>
      <c r="XO131" s="1056"/>
      <c r="XP131" s="1056"/>
      <c r="XQ131" s="1056"/>
      <c r="XR131" s="1056"/>
      <c r="XS131" s="1056"/>
      <c r="XT131" s="1056"/>
      <c r="XU131" s="1056"/>
      <c r="XV131" s="1056"/>
      <c r="XW131" s="1056"/>
      <c r="XX131" s="1056"/>
      <c r="XY131" s="1056"/>
      <c r="XZ131" s="1056"/>
      <c r="YA131" s="1056"/>
      <c r="YB131" s="1056"/>
      <c r="YC131" s="1056"/>
      <c r="YD131" s="1056"/>
      <c r="YE131" s="1056"/>
      <c r="YF131" s="1056"/>
      <c r="YG131" s="1056"/>
      <c r="YH131" s="1056"/>
      <c r="YI131" s="1056"/>
      <c r="YJ131" s="1056"/>
      <c r="YK131" s="1056"/>
      <c r="YL131" s="1056"/>
      <c r="YM131" s="1056"/>
      <c r="YN131" s="1056"/>
      <c r="YO131" s="1056"/>
      <c r="YP131" s="1056"/>
      <c r="YQ131" s="1056"/>
      <c r="YR131" s="1056"/>
      <c r="YS131" s="1056"/>
      <c r="YT131" s="1056"/>
      <c r="YU131" s="1056"/>
      <c r="YV131" s="1056"/>
      <c r="YW131" s="1056"/>
      <c r="YX131" s="1056"/>
      <c r="YY131" s="1056"/>
      <c r="YZ131" s="1056"/>
      <c r="ZA131" s="1056"/>
      <c r="ZB131" s="1056"/>
      <c r="ZC131" s="1056"/>
      <c r="ZD131" s="1056"/>
      <c r="ZE131" s="1056"/>
      <c r="ZF131" s="1056"/>
      <c r="ZG131" s="1056"/>
      <c r="ZH131" s="1056"/>
      <c r="ZI131" s="1056"/>
      <c r="ZJ131" s="1056"/>
      <c r="ZK131" s="1056"/>
      <c r="ZL131" s="1056"/>
      <c r="ZM131" s="1056"/>
      <c r="ZN131" s="1056"/>
      <c r="ZO131" s="1056"/>
      <c r="ZP131" s="1056"/>
      <c r="ZQ131" s="1056"/>
      <c r="ZR131" s="1056"/>
      <c r="ZS131" s="1056"/>
      <c r="ZT131" s="1056"/>
      <c r="ZU131" s="1056"/>
      <c r="ZV131" s="1056"/>
      <c r="ZW131" s="1056"/>
      <c r="ZX131" s="1056"/>
      <c r="ZY131" s="1056"/>
      <c r="ZZ131" s="1056"/>
      <c r="AAA131" s="1056"/>
      <c r="AAB131" s="1056"/>
      <c r="AAC131" s="1056"/>
      <c r="AAD131" s="1056"/>
      <c r="AAE131" s="1056"/>
      <c r="AAF131" s="1056"/>
      <c r="AAG131" s="1056"/>
      <c r="AAH131" s="1056"/>
      <c r="AAI131" s="1056"/>
      <c r="AAJ131" s="1056"/>
      <c r="AAK131" s="1056"/>
      <c r="AAL131" s="1056"/>
      <c r="AAM131" s="1056"/>
      <c r="AAN131" s="1056"/>
      <c r="AAO131" s="1056"/>
      <c r="AAP131" s="1056"/>
      <c r="AAQ131" s="1056"/>
      <c r="AAR131" s="1056"/>
      <c r="AAS131" s="1056"/>
      <c r="AAT131" s="1056"/>
      <c r="AAU131" s="1056"/>
      <c r="AAV131" s="1056"/>
      <c r="AAW131" s="1056"/>
      <c r="AAX131" s="1056"/>
      <c r="AAY131" s="1056"/>
      <c r="AAZ131" s="1056"/>
      <c r="ABA131" s="1056"/>
      <c r="ABB131" s="1056"/>
      <c r="ABC131" s="1056"/>
      <c r="ABD131" s="1056"/>
      <c r="ABE131" s="1056"/>
      <c r="ABF131" s="1056"/>
      <c r="ABG131" s="1056"/>
      <c r="ABH131" s="1056"/>
      <c r="ABI131" s="1056"/>
      <c r="ABJ131" s="1056"/>
      <c r="ABK131" s="1056"/>
      <c r="ABL131" s="1056"/>
      <c r="ABM131" s="1056"/>
      <c r="ABN131" s="1056"/>
      <c r="ABO131" s="1056"/>
      <c r="ABP131" s="1056"/>
      <c r="ABQ131" s="1056"/>
      <c r="ABR131" s="1056"/>
      <c r="ABS131" s="1056"/>
      <c r="ABT131" s="1056"/>
      <c r="ABU131" s="1056"/>
      <c r="ABV131" s="1056"/>
      <c r="ABW131" s="1056"/>
      <c r="ABX131" s="1056"/>
      <c r="ABY131" s="1056"/>
      <c r="ABZ131" s="1056"/>
      <c r="ACA131" s="1056"/>
      <c r="ACB131" s="1056"/>
      <c r="ACC131" s="1056"/>
      <c r="ACD131" s="1056"/>
      <c r="ACE131" s="1056"/>
      <c r="ACF131" s="1056"/>
      <c r="ACG131" s="1056"/>
      <c r="ACH131" s="1056"/>
      <c r="ACI131" s="1056"/>
      <c r="ACJ131" s="1056"/>
      <c r="ACK131" s="1056"/>
      <c r="ACL131" s="1056"/>
      <c r="ACM131" s="1056"/>
      <c r="ACN131" s="1056"/>
      <c r="ACO131" s="1056"/>
      <c r="ACP131" s="1056"/>
      <c r="ACQ131" s="1056"/>
      <c r="ACR131" s="1056"/>
      <c r="ACS131" s="1056"/>
      <c r="ACT131" s="1056"/>
      <c r="ACU131" s="1056"/>
      <c r="ACV131" s="1056"/>
      <c r="ACW131" s="1056"/>
      <c r="ACX131" s="1056"/>
      <c r="ACY131" s="1056"/>
      <c r="ACZ131" s="1056"/>
      <c r="ADA131" s="1056"/>
      <c r="ADB131" s="1056"/>
      <c r="ADC131" s="1056"/>
      <c r="ADD131" s="1056"/>
      <c r="ADE131" s="1056"/>
      <c r="ADF131" s="1056"/>
      <c r="ADG131" s="1056"/>
      <c r="ADH131" s="1056"/>
      <c r="ADI131" s="1056"/>
      <c r="ADJ131" s="1056"/>
      <c r="ADK131" s="1056"/>
      <c r="ADL131" s="1056"/>
      <c r="ADM131" s="1056"/>
      <c r="ADN131" s="1056"/>
      <c r="ADO131" s="1056"/>
      <c r="ADP131" s="1056"/>
      <c r="ADQ131" s="1056"/>
      <c r="ADR131" s="1056"/>
      <c r="ADS131" s="1056"/>
      <c r="ADT131" s="1056"/>
      <c r="ADU131" s="1056"/>
      <c r="ADV131" s="1056"/>
      <c r="ADW131" s="1056"/>
      <c r="ADX131" s="1056"/>
      <c r="ADY131" s="1056"/>
      <c r="ADZ131" s="1056"/>
      <c r="AEA131" s="1056"/>
      <c r="AEB131" s="1056"/>
      <c r="AEC131" s="1056"/>
      <c r="AED131" s="1056"/>
      <c r="AEE131" s="1056"/>
      <c r="AEF131" s="1056"/>
      <c r="AEG131" s="1056"/>
      <c r="AEH131" s="1056"/>
      <c r="AEI131" s="1056"/>
      <c r="AEJ131" s="1056"/>
      <c r="AEK131" s="1056"/>
      <c r="AEL131" s="1056"/>
      <c r="AEM131" s="1056"/>
      <c r="AEN131" s="1056"/>
      <c r="AEO131" s="1056"/>
      <c r="AEP131" s="1056"/>
      <c r="AEQ131" s="1056"/>
      <c r="AER131" s="1056"/>
      <c r="AES131" s="1056"/>
      <c r="AET131" s="1056"/>
      <c r="AEU131" s="1056"/>
      <c r="AEV131" s="1056"/>
      <c r="AEW131" s="1056"/>
      <c r="AEX131" s="1056"/>
      <c r="AEY131" s="1056"/>
      <c r="AEZ131" s="1056"/>
      <c r="AFA131" s="1056"/>
      <c r="AFB131" s="1056"/>
      <c r="AFC131" s="1056"/>
      <c r="AFD131" s="1056"/>
      <c r="AFE131" s="1056"/>
      <c r="AFF131" s="1056"/>
      <c r="AFG131" s="1056"/>
      <c r="AFH131" s="1056"/>
      <c r="AFI131" s="1056"/>
      <c r="AFJ131" s="1056"/>
      <c r="AFK131" s="1056"/>
      <c r="AFL131" s="1056"/>
      <c r="AFM131" s="1056"/>
      <c r="AFN131" s="1056"/>
      <c r="AFO131" s="1056"/>
      <c r="AFP131" s="1056"/>
      <c r="AFQ131" s="1056"/>
      <c r="AFR131" s="1056"/>
      <c r="AFS131" s="1056"/>
      <c r="AFT131" s="1056"/>
      <c r="AFU131" s="1056"/>
      <c r="AFV131" s="1056"/>
      <c r="AFW131" s="1056"/>
      <c r="AFX131" s="1056"/>
      <c r="AFY131" s="1056"/>
      <c r="AFZ131" s="1056"/>
      <c r="AGA131" s="1056"/>
      <c r="AGB131" s="1056"/>
      <c r="AGC131" s="1056"/>
      <c r="AGD131" s="1056"/>
      <c r="AGE131" s="1056"/>
      <c r="AGF131" s="1056"/>
      <c r="AGG131" s="1056"/>
      <c r="AGH131" s="1056"/>
      <c r="AGI131" s="1056"/>
      <c r="AGJ131" s="1056"/>
      <c r="AGK131" s="1056"/>
      <c r="AGL131" s="1056"/>
      <c r="AGM131" s="1056"/>
      <c r="AGN131" s="1056"/>
      <c r="AGO131" s="1056"/>
      <c r="AGP131" s="1056"/>
      <c r="AGQ131" s="1056"/>
      <c r="AGR131" s="1056"/>
      <c r="AGS131" s="1056"/>
      <c r="AGT131" s="1056"/>
      <c r="AGU131" s="1056"/>
      <c r="AGV131" s="1056"/>
      <c r="AGW131" s="1056"/>
      <c r="AGX131" s="1056"/>
      <c r="AGY131" s="1056"/>
      <c r="AGZ131" s="1056"/>
      <c r="AHA131" s="1056"/>
      <c r="AHB131" s="1056"/>
      <c r="AHC131" s="1056"/>
      <c r="AHD131" s="1056"/>
      <c r="AHE131" s="1056"/>
      <c r="AHF131" s="1056"/>
      <c r="AHG131" s="1056"/>
      <c r="AHH131" s="1056"/>
      <c r="AHI131" s="1056"/>
      <c r="AHJ131" s="1056"/>
      <c r="AHK131" s="1056"/>
      <c r="AHL131" s="1056"/>
      <c r="AHM131" s="1056"/>
      <c r="AHN131" s="1056"/>
      <c r="AHO131" s="1056"/>
      <c r="AHP131" s="1056"/>
      <c r="AHQ131" s="1056"/>
      <c r="AHR131" s="1056"/>
      <c r="AHS131" s="1056"/>
      <c r="AHT131" s="1056"/>
      <c r="AHU131" s="1056"/>
      <c r="AHV131" s="1056"/>
      <c r="AHW131" s="1056"/>
      <c r="AHX131" s="1056"/>
      <c r="AHY131" s="1056"/>
      <c r="AHZ131" s="1056"/>
      <c r="AIA131" s="1056"/>
      <c r="AIB131" s="1056"/>
      <c r="AIC131" s="1056"/>
      <c r="AID131" s="1056"/>
      <c r="AIE131" s="1056"/>
      <c r="AIF131" s="1056"/>
      <c r="AIG131" s="1056"/>
      <c r="AIH131" s="1056"/>
      <c r="AII131" s="1056"/>
      <c r="AIJ131" s="1056"/>
      <c r="AIK131" s="1056"/>
      <c r="AIL131" s="1056"/>
      <c r="AIM131" s="1056"/>
      <c r="AIN131" s="1056"/>
      <c r="AIO131" s="1056"/>
      <c r="AIP131" s="1056"/>
      <c r="AIQ131" s="1056"/>
      <c r="AIR131" s="1056"/>
      <c r="AIS131" s="1056"/>
      <c r="AIT131" s="1056"/>
      <c r="AIU131" s="1056"/>
      <c r="AIV131" s="1056"/>
      <c r="AIW131" s="1056"/>
      <c r="AIX131" s="1056"/>
      <c r="AIY131" s="1056"/>
      <c r="AIZ131" s="1056"/>
      <c r="AJA131" s="1056"/>
      <c r="AJB131" s="1056"/>
      <c r="AJC131" s="1056"/>
      <c r="AJD131" s="1056"/>
      <c r="AJE131" s="1056"/>
      <c r="AJF131" s="1056"/>
      <c r="AJG131" s="1056"/>
      <c r="AJH131" s="1056"/>
      <c r="AJI131" s="1056"/>
      <c r="AJJ131" s="1056"/>
      <c r="AJK131" s="1056"/>
      <c r="AJL131" s="1056"/>
      <c r="AJM131" s="1056"/>
      <c r="AJN131" s="1056"/>
      <c r="AJO131" s="1056"/>
      <c r="AJP131" s="1056"/>
      <c r="AJQ131" s="1056"/>
      <c r="AJR131" s="1056"/>
      <c r="AJS131" s="1056"/>
      <c r="AJT131" s="1056"/>
      <c r="AJU131" s="1056"/>
      <c r="AJV131" s="1056"/>
      <c r="AJW131" s="1056"/>
      <c r="AJX131" s="1056"/>
      <c r="AJY131" s="1056"/>
      <c r="AJZ131" s="1056"/>
      <c r="AKA131" s="1056"/>
      <c r="AKB131" s="1056"/>
      <c r="AKC131" s="1056"/>
      <c r="AKD131" s="1056"/>
      <c r="AKE131" s="1056"/>
      <c r="AKF131" s="1056"/>
      <c r="AKG131" s="1056"/>
      <c r="AKH131" s="1056"/>
      <c r="AKI131" s="1056"/>
      <c r="AKJ131" s="1056"/>
      <c r="AKK131" s="1056"/>
      <c r="AKL131" s="1056"/>
      <c r="AKM131" s="1056"/>
      <c r="AKN131" s="1056"/>
      <c r="AKO131" s="1056"/>
      <c r="AKP131" s="1056"/>
      <c r="AKQ131" s="1056"/>
      <c r="AKR131" s="1056"/>
      <c r="AKS131" s="1056"/>
      <c r="AKT131" s="1056"/>
      <c r="AKU131" s="1056"/>
      <c r="AKV131" s="1056"/>
      <c r="AKW131" s="1056"/>
      <c r="AKX131" s="1056"/>
      <c r="AKY131" s="1056"/>
      <c r="AKZ131" s="1056"/>
      <c r="ALA131" s="1056"/>
      <c r="ALB131" s="1056"/>
      <c r="ALC131" s="1056"/>
      <c r="ALD131" s="1056"/>
      <c r="ALE131" s="1056"/>
      <c r="ALF131" s="1056"/>
      <c r="ALG131" s="1056"/>
      <c r="ALH131" s="1056"/>
      <c r="ALI131" s="1056"/>
      <c r="ALJ131" s="1056"/>
      <c r="ALK131" s="1056"/>
      <c r="ALL131" s="1056"/>
      <c r="ALM131" s="1056"/>
      <c r="ALN131" s="1056"/>
      <c r="ALO131" s="1056"/>
      <c r="ALP131" s="1056"/>
      <c r="ALQ131" s="1056"/>
      <c r="ALR131" s="1056"/>
      <c r="ALS131" s="1056"/>
      <c r="ALT131" s="1056"/>
      <c r="ALU131" s="1056"/>
      <c r="ALV131" s="1056"/>
      <c r="ALW131" s="1056"/>
      <c r="ALX131" s="1056"/>
      <c r="ALY131" s="1056"/>
      <c r="ALZ131" s="1056"/>
      <c r="AMA131" s="1056"/>
      <c r="AMB131" s="1056"/>
      <c r="AMC131" s="1056"/>
      <c r="AMD131" s="1056"/>
      <c r="AME131" s="1056"/>
      <c r="AMF131" s="1056"/>
      <c r="AMG131" s="1056"/>
      <c r="AMH131" s="1056"/>
      <c r="AMI131" s="1056"/>
      <c r="AMJ131" s="1056"/>
      <c r="AMK131" s="1056"/>
      <c r="AML131" s="1056"/>
      <c r="AMM131" s="1056"/>
      <c r="AMN131" s="1056"/>
      <c r="AMO131" s="1056"/>
      <c r="AMP131" s="1056"/>
      <c r="AMQ131" s="1056"/>
      <c r="AMR131" s="1056"/>
      <c r="AMS131" s="1056"/>
      <c r="AMT131" s="1056"/>
      <c r="AMU131" s="1056"/>
      <c r="AMV131" s="1056"/>
      <c r="AMW131" s="1056"/>
      <c r="AMX131" s="1056"/>
      <c r="AMY131" s="1056"/>
      <c r="AMZ131" s="1056"/>
      <c r="ANA131" s="1056"/>
      <c r="ANB131" s="1056"/>
      <c r="ANC131" s="1056"/>
      <c r="AND131" s="1056"/>
      <c r="ANE131" s="1056"/>
      <c r="ANF131" s="1056"/>
      <c r="ANG131" s="1056"/>
      <c r="ANH131" s="1056"/>
      <c r="ANI131" s="1056"/>
      <c r="ANJ131" s="1056"/>
      <c r="ANK131" s="1056"/>
      <c r="ANL131" s="1056"/>
      <c r="ANM131" s="1056"/>
      <c r="ANN131" s="1056"/>
      <c r="ANO131" s="1056"/>
      <c r="ANP131" s="1056"/>
      <c r="ANQ131" s="1056"/>
      <c r="ANR131" s="1056"/>
      <c r="ANS131" s="1056"/>
      <c r="ANT131" s="1056"/>
      <c r="ANU131" s="1056"/>
      <c r="ANV131" s="1056"/>
      <c r="ANW131" s="1056"/>
      <c r="ANX131" s="1056"/>
      <c r="ANY131" s="1056"/>
      <c r="ANZ131" s="1056"/>
      <c r="AOA131" s="1056"/>
      <c r="AOB131" s="1056"/>
      <c r="AOC131" s="1056"/>
      <c r="AOD131" s="1056"/>
      <c r="AOE131" s="1056"/>
      <c r="AOF131" s="1056"/>
      <c r="AOG131" s="1056"/>
      <c r="AOH131" s="1056"/>
      <c r="AOI131" s="1056"/>
      <c r="AOJ131" s="1056"/>
      <c r="AOK131" s="1056"/>
      <c r="AOL131" s="1056"/>
      <c r="AOM131" s="1056"/>
      <c r="AON131" s="1056"/>
      <c r="AOO131" s="1056"/>
      <c r="AOP131" s="1056"/>
      <c r="AOQ131" s="1056"/>
      <c r="AOR131" s="1056"/>
      <c r="AOS131" s="1056"/>
      <c r="AOT131" s="1056"/>
      <c r="AOU131" s="1056"/>
      <c r="AOV131" s="1056"/>
      <c r="AOW131" s="1056"/>
      <c r="AOX131" s="1056"/>
      <c r="AOY131" s="1056"/>
      <c r="AOZ131" s="1056"/>
      <c r="APA131" s="1056"/>
      <c r="APB131" s="1056"/>
      <c r="APC131" s="1056"/>
      <c r="APD131" s="1056"/>
      <c r="APE131" s="1056"/>
      <c r="APF131" s="1056"/>
      <c r="APG131" s="1056"/>
      <c r="APH131" s="1056"/>
      <c r="API131" s="1056"/>
      <c r="APJ131" s="1056"/>
      <c r="APK131" s="1056"/>
      <c r="APL131" s="1056"/>
      <c r="APM131" s="1056"/>
      <c r="APN131" s="1056"/>
      <c r="APO131" s="1056"/>
      <c r="APP131" s="1056"/>
      <c r="APQ131" s="1056"/>
      <c r="APR131" s="1056"/>
      <c r="APS131" s="1056"/>
      <c r="APT131" s="1056"/>
      <c r="APU131" s="1056"/>
      <c r="APV131" s="1056"/>
      <c r="APW131" s="1056"/>
      <c r="APX131" s="1056"/>
      <c r="APY131" s="1056"/>
      <c r="APZ131" s="1056"/>
      <c r="AQA131" s="1056"/>
      <c r="AQB131" s="1056"/>
      <c r="AQC131" s="1056"/>
      <c r="AQD131" s="1056"/>
      <c r="AQE131" s="1056"/>
      <c r="AQF131" s="1056"/>
      <c r="AQG131" s="1056"/>
      <c r="AQH131" s="1056"/>
      <c r="AQI131" s="1056"/>
      <c r="AQJ131" s="1056"/>
      <c r="AQK131" s="1056"/>
      <c r="AQL131" s="1056"/>
      <c r="AQM131" s="1056"/>
      <c r="AQN131" s="1056"/>
      <c r="AQO131" s="1056"/>
      <c r="AQP131" s="1056"/>
      <c r="AQQ131" s="1056"/>
      <c r="AQR131" s="1056"/>
      <c r="AQS131" s="1056"/>
      <c r="AQT131" s="1056"/>
      <c r="AQU131" s="1056"/>
      <c r="AQV131" s="1056"/>
      <c r="AQW131" s="1056"/>
      <c r="AQX131" s="1056"/>
      <c r="AQY131" s="1056"/>
      <c r="AQZ131" s="1056"/>
      <c r="ARA131" s="1056"/>
      <c r="ARB131" s="1056"/>
      <c r="ARC131" s="1056"/>
      <c r="ARD131" s="1056"/>
      <c r="ARE131" s="1056"/>
      <c r="ARF131" s="1056"/>
      <c r="ARG131" s="1056"/>
      <c r="ARH131" s="1056"/>
      <c r="ARI131" s="1056"/>
      <c r="ARJ131" s="1056"/>
      <c r="ARK131" s="1056"/>
      <c r="ARL131" s="1056"/>
      <c r="ARM131" s="1056"/>
      <c r="ARN131" s="1056"/>
      <c r="ARO131" s="1056"/>
      <c r="ARP131" s="1056"/>
      <c r="ARQ131" s="1056"/>
      <c r="ARR131" s="1056"/>
      <c r="ARS131" s="1056"/>
      <c r="ART131" s="1056"/>
      <c r="ARU131" s="1056"/>
      <c r="ARV131" s="1056"/>
      <c r="ARW131" s="1056"/>
      <c r="ARX131" s="1056"/>
      <c r="ARY131" s="1056"/>
      <c r="ARZ131" s="1056"/>
      <c r="ASA131" s="1056"/>
      <c r="ASB131" s="1056"/>
      <c r="ASC131" s="1056"/>
      <c r="ASD131" s="1056"/>
      <c r="ASE131" s="1056"/>
      <c r="ASF131" s="1056"/>
      <c r="ASG131" s="1056"/>
      <c r="ASH131" s="1056"/>
      <c r="ASI131" s="1056"/>
      <c r="ASJ131" s="1056"/>
      <c r="ASK131" s="1056"/>
      <c r="ASL131" s="1056"/>
      <c r="ASM131" s="1056"/>
      <c r="ASN131" s="1056"/>
      <c r="ASO131" s="1056"/>
      <c r="ASP131" s="1056"/>
      <c r="ASQ131" s="1056"/>
      <c r="ASR131" s="1056"/>
      <c r="ASS131" s="1056"/>
      <c r="AST131" s="1056"/>
      <c r="ASU131" s="1056"/>
      <c r="ASV131" s="1056"/>
      <c r="ASW131" s="1056"/>
      <c r="ASX131" s="1056"/>
      <c r="ASY131" s="1056"/>
      <c r="ASZ131" s="1056"/>
      <c r="ATA131" s="1056"/>
      <c r="ATB131" s="1056"/>
      <c r="ATC131" s="1056"/>
      <c r="ATD131" s="1056"/>
      <c r="ATE131" s="1056"/>
      <c r="ATF131" s="1056"/>
      <c r="ATG131" s="1056"/>
      <c r="ATH131" s="1056"/>
      <c r="ATI131" s="1056"/>
      <c r="ATJ131" s="1056"/>
      <c r="ATK131" s="1056"/>
      <c r="ATL131" s="1056"/>
      <c r="ATM131" s="1056"/>
      <c r="ATN131" s="1056"/>
      <c r="ATO131" s="1056"/>
      <c r="ATP131" s="1056"/>
      <c r="ATQ131" s="1056"/>
      <c r="ATR131" s="1056"/>
      <c r="ATS131" s="1056"/>
      <c r="ATT131" s="1056"/>
      <c r="ATU131" s="1056"/>
      <c r="ATV131" s="1056"/>
      <c r="ATW131" s="1056"/>
      <c r="ATX131" s="1056"/>
      <c r="ATY131" s="1056"/>
      <c r="ATZ131" s="1056"/>
      <c r="AUA131" s="1056"/>
      <c r="AUB131" s="1056"/>
      <c r="AUC131" s="1056"/>
      <c r="AUD131" s="1056"/>
      <c r="AUE131" s="1056"/>
      <c r="AUF131" s="1056"/>
      <c r="AUG131" s="1056"/>
      <c r="AUH131" s="1056"/>
      <c r="AUI131" s="1056"/>
      <c r="AUJ131" s="1056"/>
      <c r="AUK131" s="1056"/>
      <c r="AUL131" s="1056"/>
      <c r="AUM131" s="1056"/>
      <c r="AUN131" s="1056"/>
      <c r="AUO131" s="1056"/>
      <c r="AUP131" s="1056"/>
      <c r="AUQ131" s="1056"/>
      <c r="AUR131" s="1056"/>
      <c r="AUS131" s="1056"/>
      <c r="AUT131" s="1056"/>
      <c r="AUU131" s="1056"/>
      <c r="AUV131" s="1056"/>
      <c r="AUW131" s="1056"/>
      <c r="AUX131" s="1056"/>
      <c r="AUY131" s="1056"/>
      <c r="AUZ131" s="1056"/>
      <c r="AVA131" s="1056"/>
      <c r="AVB131" s="1056"/>
      <c r="AVC131" s="1056"/>
      <c r="AVD131" s="1056"/>
      <c r="AVE131" s="1056"/>
      <c r="AVF131" s="1056"/>
      <c r="AVG131" s="1056"/>
      <c r="AVH131" s="1056"/>
      <c r="AVI131" s="1056"/>
      <c r="AVJ131" s="1056"/>
      <c r="AVK131" s="1056"/>
      <c r="AVL131" s="1056"/>
      <c r="AVM131" s="1056"/>
      <c r="AVN131" s="1056"/>
      <c r="AVO131" s="1056"/>
      <c r="AVP131" s="1056"/>
      <c r="AVQ131" s="1056"/>
      <c r="AVR131" s="1056"/>
      <c r="AVS131" s="1056"/>
      <c r="AVT131" s="1056"/>
      <c r="AVU131" s="1056"/>
      <c r="AVV131" s="1056"/>
      <c r="AVW131" s="1056"/>
      <c r="AVX131" s="1056"/>
      <c r="AVY131" s="1056"/>
      <c r="AVZ131" s="1056"/>
      <c r="AWA131" s="1056"/>
      <c r="AWB131" s="1056"/>
      <c r="AWC131" s="1056"/>
      <c r="AWD131" s="1056"/>
      <c r="AWE131" s="1056"/>
      <c r="AWF131" s="1056"/>
      <c r="AWG131" s="1056"/>
      <c r="AWH131" s="1056"/>
      <c r="AWI131" s="1056"/>
      <c r="AWJ131" s="1056"/>
      <c r="AWK131" s="1056"/>
      <c r="AWL131" s="1056"/>
      <c r="AWM131" s="1056"/>
      <c r="AWN131" s="1056"/>
      <c r="AWO131" s="1056"/>
      <c r="AWP131" s="1056"/>
      <c r="AWQ131" s="1056"/>
      <c r="AWR131" s="1056"/>
      <c r="AWS131" s="1056"/>
      <c r="AWT131" s="1056"/>
      <c r="AWU131" s="1056"/>
      <c r="AWV131" s="1056"/>
      <c r="AWW131" s="1056"/>
      <c r="AWX131" s="1056"/>
      <c r="AWY131" s="1056"/>
      <c r="AWZ131" s="1056"/>
      <c r="AXA131" s="1056"/>
      <c r="AXB131" s="1056"/>
      <c r="AXC131" s="1056"/>
      <c r="AXD131" s="1056"/>
      <c r="AXE131" s="1056"/>
      <c r="AXF131" s="1056"/>
      <c r="AXG131" s="1056"/>
      <c r="AXH131" s="1056"/>
      <c r="AXI131" s="1056"/>
      <c r="AXJ131" s="1056"/>
      <c r="AXK131" s="1056"/>
      <c r="AXL131" s="1056"/>
      <c r="AXM131" s="1056"/>
      <c r="AXN131" s="1056"/>
      <c r="AXO131" s="1056"/>
      <c r="AXP131" s="1056"/>
      <c r="AXQ131" s="1056"/>
      <c r="AXR131" s="1056"/>
      <c r="AXS131" s="1056"/>
      <c r="AXT131" s="1056"/>
      <c r="AXU131" s="1056"/>
      <c r="AXV131" s="1056"/>
      <c r="AXW131" s="1056"/>
      <c r="AXX131" s="1056"/>
      <c r="AXY131" s="1056"/>
      <c r="AXZ131" s="1056"/>
      <c r="AYA131" s="1056"/>
      <c r="AYB131" s="1056"/>
      <c r="AYC131" s="1056"/>
      <c r="AYD131" s="1056"/>
      <c r="AYE131" s="1056"/>
      <c r="AYF131" s="1056"/>
      <c r="AYG131" s="1056"/>
      <c r="AYH131" s="1056"/>
      <c r="AYI131" s="1056"/>
      <c r="AYJ131" s="1056"/>
      <c r="AYK131" s="1056"/>
      <c r="AYL131" s="1056"/>
      <c r="AYM131" s="1056"/>
      <c r="AYN131" s="1056"/>
      <c r="AYO131" s="1056"/>
      <c r="AYP131" s="1056"/>
      <c r="AYQ131" s="1056"/>
      <c r="AYR131" s="1056"/>
      <c r="AYS131" s="1056"/>
      <c r="AYT131" s="1056"/>
      <c r="AYU131" s="1056"/>
      <c r="AYV131" s="1056"/>
      <c r="AYW131" s="1056"/>
      <c r="AYX131" s="1056"/>
      <c r="AYY131" s="1056"/>
      <c r="AYZ131" s="1056"/>
      <c r="AZA131" s="1056"/>
      <c r="AZB131" s="1056"/>
      <c r="AZC131" s="1056"/>
      <c r="AZD131" s="1056"/>
      <c r="AZE131" s="1056"/>
      <c r="AZF131" s="1056"/>
      <c r="AZG131" s="1056"/>
      <c r="AZH131" s="1056"/>
      <c r="AZI131" s="1056"/>
      <c r="AZJ131" s="1056"/>
      <c r="AZK131" s="1056"/>
      <c r="AZL131" s="1056"/>
      <c r="AZM131" s="1056"/>
      <c r="AZN131" s="1056"/>
      <c r="AZO131" s="1056"/>
      <c r="AZP131" s="1056"/>
      <c r="AZQ131" s="1056"/>
      <c r="AZR131" s="1056"/>
      <c r="AZS131" s="1056"/>
      <c r="AZT131" s="1056"/>
      <c r="AZU131" s="1056"/>
      <c r="AZV131" s="1056"/>
      <c r="AZW131" s="1056"/>
      <c r="AZX131" s="1056"/>
      <c r="AZY131" s="1056"/>
      <c r="AZZ131" s="1056"/>
      <c r="BAA131" s="1056"/>
      <c r="BAB131" s="1056"/>
      <c r="BAC131" s="1056"/>
      <c r="BAD131" s="1056"/>
      <c r="BAE131" s="1056"/>
      <c r="BAF131" s="1056"/>
      <c r="BAG131" s="1056"/>
      <c r="BAH131" s="1056"/>
      <c r="BAI131" s="1056"/>
      <c r="BAJ131" s="1056"/>
      <c r="BAK131" s="1056"/>
      <c r="BAL131" s="1056"/>
      <c r="BAM131" s="1056"/>
      <c r="BAN131" s="1056"/>
      <c r="BAO131" s="1056"/>
      <c r="BAP131" s="1056"/>
      <c r="BAQ131" s="1056"/>
      <c r="BAR131" s="1056"/>
      <c r="BAS131" s="1056"/>
      <c r="BAT131" s="1056"/>
      <c r="BAU131" s="1056"/>
      <c r="BAV131" s="1056"/>
      <c r="BAW131" s="1056"/>
      <c r="BAX131" s="1056"/>
      <c r="BAY131" s="1056"/>
      <c r="BAZ131" s="1056"/>
      <c r="BBA131" s="1056"/>
      <c r="BBB131" s="1056"/>
      <c r="BBC131" s="1056"/>
      <c r="BBD131" s="1056"/>
      <c r="BBE131" s="1056"/>
      <c r="BBF131" s="1056"/>
      <c r="BBG131" s="1056"/>
      <c r="BBH131" s="1056"/>
      <c r="BBI131" s="1056"/>
      <c r="BBJ131" s="1056"/>
      <c r="BBK131" s="1056"/>
      <c r="BBL131" s="1056"/>
      <c r="BBM131" s="1056"/>
      <c r="BBN131" s="1056"/>
      <c r="BBO131" s="1056"/>
      <c r="BBP131" s="1056"/>
      <c r="BBQ131" s="1056"/>
      <c r="BBR131" s="1056"/>
      <c r="BBS131" s="1056"/>
      <c r="BBT131" s="1056"/>
      <c r="BBU131" s="1056"/>
      <c r="BBV131" s="1056"/>
      <c r="BBW131" s="1056"/>
      <c r="BBX131" s="1056"/>
      <c r="BBY131" s="1056"/>
      <c r="BBZ131" s="1056"/>
      <c r="BCA131" s="1056"/>
      <c r="BCB131" s="1056"/>
      <c r="BCC131" s="1056"/>
      <c r="BCD131" s="1056"/>
      <c r="BCE131" s="1056"/>
      <c r="BCF131" s="1056"/>
      <c r="BCG131" s="1056"/>
      <c r="BCH131" s="1056"/>
      <c r="BCI131" s="1056"/>
      <c r="BCJ131" s="1056"/>
      <c r="BCK131" s="1056"/>
      <c r="BCL131" s="1056"/>
      <c r="BCM131" s="1056"/>
      <c r="BCN131" s="1056"/>
      <c r="BCO131" s="1056"/>
      <c r="BCP131" s="1056"/>
      <c r="BCQ131" s="1056"/>
      <c r="BCR131" s="1056"/>
      <c r="BCS131" s="1056"/>
      <c r="BCT131" s="1056"/>
      <c r="BCU131" s="1056"/>
      <c r="BCV131" s="1056"/>
      <c r="BCW131" s="1056"/>
      <c r="BCX131" s="1056"/>
      <c r="BCY131" s="1056"/>
      <c r="BCZ131" s="1056"/>
      <c r="BDA131" s="1056"/>
      <c r="BDB131" s="1056"/>
      <c r="BDC131" s="1056"/>
      <c r="BDD131" s="1056"/>
      <c r="BDE131" s="1056"/>
      <c r="BDF131" s="1056"/>
      <c r="BDG131" s="1056"/>
      <c r="BDH131" s="1056"/>
      <c r="BDI131" s="1056"/>
      <c r="BDJ131" s="1056"/>
      <c r="BDK131" s="1056"/>
      <c r="BDL131" s="1056"/>
      <c r="BDM131" s="1056"/>
      <c r="BDN131" s="1056"/>
      <c r="BDO131" s="1056"/>
      <c r="BDP131" s="1056"/>
      <c r="BDQ131" s="1056"/>
      <c r="BDR131" s="1056"/>
      <c r="BDS131" s="1056"/>
      <c r="BDT131" s="1056"/>
      <c r="BDU131" s="1056"/>
      <c r="BDV131" s="1056"/>
      <c r="BDW131" s="1056"/>
      <c r="BDX131" s="1056"/>
      <c r="BDY131" s="1056"/>
      <c r="BDZ131" s="1056"/>
      <c r="BEA131" s="1056"/>
      <c r="BEB131" s="1056"/>
      <c r="BEC131" s="1056"/>
      <c r="BED131" s="1056"/>
      <c r="BEE131" s="1056"/>
      <c r="BEF131" s="1056"/>
      <c r="BEG131" s="1056"/>
      <c r="BEH131" s="1056"/>
      <c r="BEI131" s="1056"/>
      <c r="BEJ131" s="1056"/>
      <c r="BEK131" s="1056"/>
      <c r="BEL131" s="1056"/>
      <c r="BEM131" s="1056"/>
      <c r="BEN131" s="1056"/>
      <c r="BEO131" s="1056"/>
      <c r="BEP131" s="1056"/>
      <c r="BEQ131" s="1056"/>
      <c r="BER131" s="1056"/>
      <c r="BES131" s="1056"/>
      <c r="BET131" s="1056"/>
      <c r="BEU131" s="1056"/>
      <c r="BEV131" s="1056"/>
      <c r="BEW131" s="1056"/>
      <c r="BEX131" s="1056"/>
      <c r="BEY131" s="1056"/>
      <c r="BEZ131" s="1056"/>
      <c r="BFA131" s="1056"/>
      <c r="BFB131" s="1056"/>
      <c r="BFC131" s="1056"/>
      <c r="BFD131" s="1056"/>
      <c r="BFE131" s="1056"/>
      <c r="BFF131" s="1056"/>
      <c r="BFG131" s="1056"/>
      <c r="BFH131" s="1056"/>
      <c r="BFI131" s="1056"/>
      <c r="BFJ131" s="1056"/>
      <c r="BFK131" s="1056"/>
      <c r="BFL131" s="1056"/>
      <c r="BFM131" s="1056"/>
      <c r="BFN131" s="1056"/>
      <c r="BFO131" s="1056"/>
      <c r="BFP131" s="1056"/>
      <c r="BFQ131" s="1056"/>
      <c r="BFR131" s="1056"/>
      <c r="BFS131" s="1056"/>
      <c r="BFT131" s="1056"/>
      <c r="BFU131" s="1056"/>
      <c r="BFV131" s="1056"/>
      <c r="BFW131" s="1056"/>
      <c r="BFX131" s="1056"/>
      <c r="BFY131" s="1056"/>
      <c r="BFZ131" s="1056"/>
      <c r="BGA131" s="1056"/>
      <c r="BGB131" s="1056"/>
      <c r="BGC131" s="1056"/>
      <c r="BGD131" s="1056"/>
      <c r="BGE131" s="1056"/>
      <c r="BGF131" s="1056"/>
      <c r="BGG131" s="1056"/>
      <c r="BGH131" s="1056"/>
      <c r="BGI131" s="1056"/>
      <c r="BGJ131" s="1056"/>
      <c r="BGK131" s="1056"/>
      <c r="BGL131" s="1056"/>
      <c r="BGM131" s="1056"/>
      <c r="BGN131" s="1056"/>
      <c r="BGO131" s="1056"/>
      <c r="BGP131" s="1056"/>
      <c r="BGQ131" s="1056"/>
      <c r="BGR131" s="1056"/>
      <c r="BGS131" s="1056"/>
      <c r="BGT131" s="1056"/>
      <c r="BGU131" s="1056"/>
      <c r="BGV131" s="1056"/>
      <c r="BGW131" s="1056"/>
      <c r="BGX131" s="1056"/>
      <c r="BGY131" s="1056"/>
      <c r="BGZ131" s="1056"/>
      <c r="BHA131" s="1056"/>
      <c r="BHB131" s="1056"/>
      <c r="BHC131" s="1056"/>
      <c r="BHD131" s="1056"/>
      <c r="BHE131" s="1056"/>
      <c r="BHF131" s="1056"/>
      <c r="BHG131" s="1056"/>
      <c r="BHH131" s="1056"/>
      <c r="BHI131" s="1056"/>
      <c r="BHJ131" s="1056"/>
      <c r="BHK131" s="1056"/>
      <c r="BHL131" s="1056"/>
      <c r="BHM131" s="1056"/>
      <c r="BHN131" s="1056"/>
      <c r="BHO131" s="1056"/>
      <c r="BHP131" s="1056"/>
      <c r="BHQ131" s="1056"/>
      <c r="BHR131" s="1056"/>
      <c r="BHS131" s="1056"/>
      <c r="BHT131" s="1056"/>
      <c r="BHU131" s="1056"/>
      <c r="BHV131" s="1056"/>
      <c r="BHW131" s="1056"/>
      <c r="BHX131" s="1056"/>
      <c r="BHY131" s="1056"/>
      <c r="BHZ131" s="1056"/>
      <c r="BIA131" s="1056"/>
      <c r="BIB131" s="1056"/>
      <c r="BIC131" s="1056"/>
      <c r="BID131" s="1056"/>
      <c r="BIE131" s="1056"/>
      <c r="BIF131" s="1056"/>
      <c r="BIG131" s="1056"/>
      <c r="BIH131" s="1056"/>
      <c r="BII131" s="1056"/>
      <c r="BIJ131" s="1056"/>
      <c r="BIK131" s="1056"/>
      <c r="BIL131" s="1056"/>
      <c r="BIM131" s="1056"/>
      <c r="BIN131" s="1056"/>
      <c r="BIO131" s="1056"/>
      <c r="BIP131" s="1056"/>
      <c r="BIQ131" s="1056"/>
      <c r="BIR131" s="1056"/>
      <c r="BIS131" s="1056"/>
      <c r="BIT131" s="1056"/>
      <c r="BIU131" s="1056"/>
      <c r="BIV131" s="1056"/>
      <c r="BIW131" s="1056"/>
      <c r="BIX131" s="1056"/>
      <c r="BIY131" s="1056"/>
      <c r="BIZ131" s="1056"/>
      <c r="BJA131" s="1056"/>
      <c r="BJB131" s="1056"/>
      <c r="BJC131" s="1056"/>
      <c r="BJD131" s="1056"/>
      <c r="BJE131" s="1056"/>
      <c r="BJF131" s="1056"/>
      <c r="BJG131" s="1056"/>
      <c r="BJH131" s="1056"/>
      <c r="BJI131" s="1056"/>
      <c r="BJJ131" s="1056"/>
      <c r="BJK131" s="1056"/>
      <c r="BJL131" s="1056"/>
      <c r="BJM131" s="1056"/>
      <c r="BJN131" s="1056"/>
      <c r="BJO131" s="1056"/>
      <c r="BJP131" s="1056"/>
      <c r="BJQ131" s="1056"/>
      <c r="BJR131" s="1056"/>
      <c r="BJS131" s="1056"/>
      <c r="BJT131" s="1056"/>
      <c r="BJU131" s="1056"/>
      <c r="BJV131" s="1056"/>
      <c r="BJW131" s="1056"/>
      <c r="BJX131" s="1056"/>
      <c r="BJY131" s="1056"/>
      <c r="BJZ131" s="1056"/>
      <c r="BKA131" s="1056"/>
      <c r="BKB131" s="1056"/>
      <c r="BKC131" s="1056"/>
      <c r="BKD131" s="1056"/>
      <c r="BKE131" s="1056"/>
      <c r="BKF131" s="1056"/>
      <c r="BKG131" s="1056"/>
      <c r="BKH131" s="1056"/>
      <c r="BKI131" s="1056"/>
      <c r="BKJ131" s="1056"/>
      <c r="BKK131" s="1056"/>
      <c r="BKL131" s="1056"/>
      <c r="BKM131" s="1056"/>
      <c r="BKN131" s="1056"/>
      <c r="BKO131" s="1056"/>
      <c r="BKP131" s="1056"/>
      <c r="BKQ131" s="1056"/>
      <c r="BKR131" s="1056"/>
      <c r="BKS131" s="1056"/>
      <c r="BKT131" s="1056"/>
      <c r="BKU131" s="1056"/>
      <c r="BKV131" s="1056"/>
      <c r="BKW131" s="1056"/>
      <c r="BKX131" s="1056"/>
      <c r="BKY131" s="1056"/>
      <c r="BKZ131" s="1056"/>
      <c r="BLA131" s="1056"/>
      <c r="BLB131" s="1056"/>
      <c r="BLC131" s="1056"/>
      <c r="BLD131" s="1056"/>
      <c r="BLE131" s="1056"/>
      <c r="BLF131" s="1056"/>
      <c r="BLG131" s="1056"/>
      <c r="BLH131" s="1056"/>
      <c r="BLI131" s="1056"/>
      <c r="BLJ131" s="1056"/>
      <c r="BLK131" s="1056"/>
      <c r="BLL131" s="1056"/>
      <c r="BLM131" s="1056"/>
      <c r="BLN131" s="1056"/>
      <c r="BLO131" s="1056"/>
      <c r="BLP131" s="1056"/>
      <c r="BLQ131" s="1056"/>
      <c r="BLR131" s="1056"/>
      <c r="BLS131" s="1056"/>
      <c r="BLT131" s="1056"/>
      <c r="BLU131" s="1056"/>
      <c r="BLV131" s="1056"/>
      <c r="BLW131" s="1056"/>
      <c r="BLX131" s="1056"/>
      <c r="BLY131" s="1056"/>
      <c r="BLZ131" s="1056"/>
      <c r="BMA131" s="1056"/>
      <c r="BMB131" s="1056"/>
      <c r="BMC131" s="1056"/>
      <c r="BMD131" s="1056"/>
      <c r="BME131" s="1056"/>
      <c r="BMF131" s="1056"/>
      <c r="BMG131" s="1056"/>
      <c r="BMH131" s="1056"/>
      <c r="BMI131" s="1056"/>
      <c r="BMJ131" s="1056"/>
      <c r="BMK131" s="1056"/>
      <c r="BML131" s="1056"/>
      <c r="BMM131" s="1056"/>
      <c r="BMN131" s="1056"/>
      <c r="BMO131" s="1056"/>
      <c r="BMP131" s="1056"/>
      <c r="BMQ131" s="1056"/>
      <c r="BMR131" s="1056"/>
      <c r="BMS131" s="1056"/>
      <c r="BMT131" s="1056"/>
      <c r="BMU131" s="1056"/>
      <c r="BMV131" s="1056"/>
      <c r="BMW131" s="1056"/>
      <c r="BMX131" s="1056"/>
      <c r="BMY131" s="1056"/>
      <c r="BMZ131" s="1056"/>
      <c r="BNA131" s="1056"/>
      <c r="BNB131" s="1056"/>
      <c r="BNC131" s="1056"/>
      <c r="BND131" s="1056"/>
      <c r="BNE131" s="1056"/>
      <c r="BNF131" s="1056"/>
      <c r="BNG131" s="1056"/>
      <c r="BNH131" s="1056"/>
      <c r="BNI131" s="1056"/>
      <c r="BNJ131" s="1056"/>
      <c r="BNK131" s="1056"/>
      <c r="BNL131" s="1056"/>
      <c r="BNM131" s="1056"/>
      <c r="BNN131" s="1056"/>
      <c r="BNO131" s="1056"/>
      <c r="BNP131" s="1056"/>
      <c r="BNQ131" s="1056"/>
      <c r="BNR131" s="1056"/>
      <c r="BNS131" s="1056"/>
      <c r="BNT131" s="1056"/>
      <c r="BNU131" s="1056"/>
      <c r="BNV131" s="1056"/>
      <c r="BNW131" s="1056"/>
      <c r="BNX131" s="1056"/>
      <c r="BNY131" s="1056"/>
      <c r="BNZ131" s="1056"/>
      <c r="BOA131" s="1056"/>
      <c r="BOB131" s="1056"/>
      <c r="BOC131" s="1056"/>
      <c r="BOD131" s="1056"/>
      <c r="BOE131" s="1056"/>
      <c r="BOF131" s="1056"/>
      <c r="BOG131" s="1056"/>
      <c r="BOH131" s="1056"/>
      <c r="BOI131" s="1056"/>
      <c r="BOJ131" s="1056"/>
      <c r="BOK131" s="1056"/>
      <c r="BOL131" s="1056"/>
      <c r="BOM131" s="1056"/>
      <c r="BON131" s="1056"/>
      <c r="BOO131" s="1056"/>
      <c r="BOP131" s="1056"/>
      <c r="BOQ131" s="1056"/>
      <c r="BOR131" s="1056"/>
      <c r="BOS131" s="1056"/>
      <c r="BOT131" s="1056"/>
      <c r="BOU131" s="1056"/>
      <c r="BOV131" s="1056"/>
      <c r="BOW131" s="1056"/>
      <c r="BOX131" s="1056"/>
      <c r="BOY131" s="1056"/>
      <c r="BOZ131" s="1056"/>
      <c r="BPA131" s="1056"/>
      <c r="BPB131" s="1056"/>
      <c r="BPC131" s="1056"/>
      <c r="BPD131" s="1056"/>
      <c r="BPE131" s="1056"/>
      <c r="BPF131" s="1056"/>
      <c r="BPG131" s="1056"/>
      <c r="BPH131" s="1056"/>
      <c r="BPI131" s="1056"/>
      <c r="BPJ131" s="1056"/>
      <c r="BPK131" s="1056"/>
      <c r="BPL131" s="1056"/>
      <c r="BPM131" s="1056"/>
      <c r="BPN131" s="1056"/>
      <c r="BPO131" s="1056"/>
      <c r="BPP131" s="1056"/>
      <c r="BPQ131" s="1056"/>
      <c r="BPR131" s="1056"/>
      <c r="BPS131" s="1056"/>
      <c r="BPT131" s="1056"/>
      <c r="BPU131" s="1056"/>
      <c r="BPV131" s="1056"/>
      <c r="BPW131" s="1056"/>
      <c r="BPX131" s="1056"/>
      <c r="BPY131" s="1056"/>
      <c r="BPZ131" s="1056"/>
      <c r="BQA131" s="1056"/>
      <c r="BQB131" s="1056"/>
      <c r="BQC131" s="1056"/>
      <c r="BQD131" s="1056"/>
      <c r="BQE131" s="1056"/>
      <c r="BQF131" s="1056"/>
      <c r="BQG131" s="1056"/>
      <c r="BQH131" s="1056"/>
      <c r="BQI131" s="1056"/>
      <c r="BQJ131" s="1056"/>
      <c r="BQK131" s="1056"/>
      <c r="BQL131" s="1056"/>
      <c r="BQM131" s="1056"/>
      <c r="BQN131" s="1056"/>
      <c r="BQO131" s="1056"/>
      <c r="BQP131" s="1056"/>
      <c r="BQQ131" s="1056"/>
      <c r="BQR131" s="1056"/>
      <c r="BQS131" s="1056"/>
      <c r="BQT131" s="1056"/>
      <c r="BQU131" s="1056"/>
      <c r="BQV131" s="1056"/>
      <c r="BQW131" s="1056"/>
      <c r="BQX131" s="1056"/>
      <c r="BQY131" s="1056"/>
      <c r="BQZ131" s="1056"/>
      <c r="BRA131" s="1056"/>
      <c r="BRB131" s="1056"/>
      <c r="BRC131" s="1056"/>
      <c r="BRD131" s="1056"/>
      <c r="BRE131" s="1056"/>
      <c r="BRF131" s="1056"/>
      <c r="BRG131" s="1056"/>
      <c r="BRH131" s="1056"/>
      <c r="BRI131" s="1056"/>
      <c r="BRJ131" s="1056"/>
      <c r="BRK131" s="1056"/>
      <c r="BRL131" s="1056"/>
      <c r="BRM131" s="1056"/>
      <c r="BRN131" s="1056"/>
      <c r="BRO131" s="1056"/>
      <c r="BRP131" s="1056"/>
      <c r="BRQ131" s="1056"/>
      <c r="BRR131" s="1056"/>
      <c r="BRS131" s="1056"/>
      <c r="BRT131" s="1056"/>
      <c r="BRU131" s="1056"/>
      <c r="BRV131" s="1056"/>
      <c r="BRW131" s="1056"/>
      <c r="BRX131" s="1056"/>
      <c r="BRY131" s="1056"/>
      <c r="BRZ131" s="1056"/>
      <c r="BSA131" s="1056"/>
      <c r="BSB131" s="1056"/>
      <c r="BSC131" s="1056"/>
      <c r="BSD131" s="1056"/>
      <c r="BSE131" s="1056"/>
      <c r="BSF131" s="1056"/>
      <c r="BSG131" s="1056"/>
      <c r="BSH131" s="1056"/>
      <c r="BSI131" s="1056"/>
      <c r="BSJ131" s="1056"/>
      <c r="BSK131" s="1056"/>
      <c r="BSL131" s="1056"/>
      <c r="BSM131" s="1056"/>
      <c r="BSN131" s="1056"/>
      <c r="BSO131" s="1056"/>
      <c r="BSP131" s="1056"/>
      <c r="BSQ131" s="1056"/>
      <c r="BSR131" s="1056"/>
      <c r="BSS131" s="1056"/>
      <c r="BST131" s="1056"/>
      <c r="BSU131" s="1056"/>
      <c r="BSV131" s="1056"/>
      <c r="BSW131" s="1056"/>
      <c r="BSX131" s="1056"/>
      <c r="BSY131" s="1056"/>
      <c r="BSZ131" s="1056"/>
      <c r="BTA131" s="1056"/>
      <c r="BTB131" s="1056"/>
      <c r="BTC131" s="1056"/>
      <c r="BTD131" s="1056"/>
      <c r="BTE131" s="1056"/>
      <c r="BTF131" s="1056"/>
      <c r="BTG131" s="1056"/>
      <c r="BTH131" s="1056"/>
      <c r="BTI131" s="1056"/>
    </row>
    <row r="132" spans="1:1881" s="1060" customFormat="1" ht="114.75" hidden="1" customHeight="1" thickBot="1" x14ac:dyDescent="0.35">
      <c r="A132" s="1059">
        <v>80</v>
      </c>
      <c r="B132" s="808" t="s">
        <v>62</v>
      </c>
      <c r="C132" s="808" t="s">
        <v>1387</v>
      </c>
      <c r="D132" s="746" t="s">
        <v>1388</v>
      </c>
      <c r="E132" s="1053" t="e">
        <f>HLOOKUP($D$2,'2020 Data(H)'!$C$1:$AI$426,44,FALSE)</f>
        <v>#N/A</v>
      </c>
      <c r="F132" s="1067">
        <v>0</v>
      </c>
      <c r="G132" s="1053" t="e">
        <f>HLOOKUP($D$2,'2020 Data(H)'!C1:K295,249,FALSE)</f>
        <v>#N/A</v>
      </c>
      <c r="H132" s="1080"/>
      <c r="I132" s="1055"/>
      <c r="J132" s="1056"/>
      <c r="K132" s="1056"/>
      <c r="L132" s="1057"/>
      <c r="M132" s="1056"/>
      <c r="N132" s="1058"/>
      <c r="O132" s="1056"/>
      <c r="P132" s="1056"/>
      <c r="Q132" s="1056"/>
      <c r="R132" s="1056"/>
      <c r="S132" s="1056"/>
      <c r="T132" s="1056"/>
      <c r="U132" s="1056"/>
      <c r="V132" s="1056"/>
      <c r="W132" s="1056"/>
      <c r="X132" s="1056"/>
      <c r="Y132" s="1056"/>
      <c r="Z132" s="1059"/>
      <c r="AA132" s="1059"/>
      <c r="AB132" s="1059"/>
      <c r="AC132" s="1059"/>
      <c r="AD132" s="1059"/>
      <c r="AE132" s="1059"/>
      <c r="AF132" s="1059"/>
      <c r="AG132" s="1059"/>
      <c r="AH132" s="1059"/>
      <c r="AI132" s="1059"/>
      <c r="AJ132" s="1059"/>
      <c r="AK132" s="1059"/>
      <c r="AL132" s="1059"/>
      <c r="AM132" s="1059"/>
      <c r="AN132" s="1059"/>
      <c r="AO132" s="1059"/>
      <c r="AP132" s="1059"/>
      <c r="AQ132" s="1059"/>
      <c r="AR132" s="1059"/>
      <c r="AS132" s="1056"/>
      <c r="AT132" s="1056"/>
      <c r="AU132" s="1056"/>
      <c r="AV132" s="1056"/>
      <c r="AW132" s="1056"/>
      <c r="AX132" s="1056"/>
      <c r="AY132" s="1056"/>
      <c r="AZ132" s="1056"/>
      <c r="BA132" s="1056"/>
      <c r="BB132" s="1056"/>
      <c r="BC132" s="1056"/>
      <c r="BD132" s="1056"/>
      <c r="BE132" s="1056"/>
      <c r="BF132" s="1056"/>
      <c r="BG132" s="1056"/>
      <c r="BH132" s="1056"/>
      <c r="BI132" s="1056"/>
      <c r="BJ132" s="1056"/>
      <c r="BK132" s="1056"/>
      <c r="BL132" s="1056"/>
      <c r="BM132" s="1056"/>
      <c r="BN132" s="1056"/>
      <c r="BO132" s="1056"/>
      <c r="BP132" s="1056"/>
      <c r="BQ132" s="1056"/>
      <c r="BR132" s="1056"/>
      <c r="BS132" s="1056"/>
      <c r="BT132" s="1056"/>
      <c r="BU132" s="1056"/>
      <c r="BV132" s="1056"/>
      <c r="BW132" s="1056"/>
      <c r="BX132" s="1056"/>
      <c r="BY132" s="1056"/>
      <c r="BZ132" s="1056"/>
      <c r="CA132" s="1056"/>
      <c r="CB132" s="1056"/>
      <c r="CC132" s="1056"/>
      <c r="CD132" s="1056"/>
      <c r="CE132" s="1056"/>
      <c r="CF132" s="1056"/>
      <c r="CG132" s="1056"/>
      <c r="CH132" s="1056"/>
      <c r="CI132" s="1056"/>
      <c r="CJ132" s="1056"/>
      <c r="CK132" s="1056"/>
      <c r="CL132" s="1056"/>
      <c r="CM132" s="1056"/>
      <c r="CN132" s="1056"/>
      <c r="CO132" s="1056"/>
      <c r="CP132" s="1056"/>
      <c r="CQ132" s="1056"/>
      <c r="CR132" s="1056"/>
      <c r="CS132" s="1056"/>
      <c r="CT132" s="1056"/>
      <c r="CU132" s="1056"/>
      <c r="CV132" s="1056"/>
      <c r="CW132" s="1056"/>
      <c r="CX132" s="1056"/>
      <c r="CY132" s="1056"/>
      <c r="CZ132" s="1056"/>
      <c r="DA132" s="1056"/>
      <c r="DB132" s="1056"/>
      <c r="DC132" s="1056"/>
      <c r="DD132" s="1056"/>
      <c r="DE132" s="1056"/>
      <c r="DF132" s="1056"/>
      <c r="DG132" s="1056"/>
      <c r="DH132" s="1056"/>
      <c r="DI132" s="1056"/>
      <c r="DJ132" s="1056"/>
      <c r="DK132" s="1056"/>
      <c r="DL132" s="1056"/>
      <c r="DM132" s="1056"/>
      <c r="DN132" s="1056"/>
      <c r="DO132" s="1056"/>
      <c r="DP132" s="1056"/>
      <c r="DQ132" s="1056"/>
      <c r="DR132" s="1056"/>
      <c r="DS132" s="1056"/>
      <c r="DT132" s="1056"/>
      <c r="DU132" s="1056"/>
      <c r="DV132" s="1056"/>
      <c r="DW132" s="1056"/>
      <c r="DX132" s="1056"/>
      <c r="DY132" s="1056"/>
      <c r="DZ132" s="1056"/>
      <c r="EA132" s="1056"/>
      <c r="EB132" s="1056"/>
      <c r="EC132" s="1056"/>
      <c r="ED132" s="1056"/>
      <c r="EE132" s="1056"/>
      <c r="EF132" s="1056"/>
      <c r="EG132" s="1056"/>
      <c r="EH132" s="1056"/>
      <c r="EI132" s="1056"/>
      <c r="EJ132" s="1056"/>
      <c r="EK132" s="1056"/>
      <c r="EL132" s="1056"/>
      <c r="EM132" s="1056"/>
      <c r="EN132" s="1056"/>
      <c r="EO132" s="1056"/>
      <c r="EP132" s="1056"/>
      <c r="EQ132" s="1056"/>
      <c r="ER132" s="1056"/>
      <c r="ES132" s="1056"/>
      <c r="ET132" s="1056"/>
      <c r="EU132" s="1056"/>
      <c r="EV132" s="1056"/>
      <c r="EW132" s="1056"/>
      <c r="EX132" s="1056"/>
      <c r="EY132" s="1056"/>
      <c r="EZ132" s="1056"/>
      <c r="FA132" s="1056"/>
      <c r="FB132" s="1056"/>
      <c r="FC132" s="1056"/>
      <c r="FD132" s="1056"/>
      <c r="FE132" s="1056"/>
      <c r="FF132" s="1056"/>
      <c r="FG132" s="1056"/>
      <c r="FH132" s="1056"/>
      <c r="FI132" s="1056"/>
      <c r="FJ132" s="1056"/>
      <c r="FK132" s="1056"/>
      <c r="FL132" s="1056"/>
      <c r="FM132" s="1056"/>
      <c r="FN132" s="1056"/>
      <c r="FO132" s="1056"/>
      <c r="FP132" s="1056"/>
      <c r="FQ132" s="1056"/>
      <c r="FR132" s="1056"/>
      <c r="FS132" s="1056"/>
      <c r="FT132" s="1056"/>
      <c r="FU132" s="1056"/>
      <c r="FV132" s="1056"/>
      <c r="FW132" s="1056"/>
      <c r="FX132" s="1056"/>
      <c r="FY132" s="1056"/>
      <c r="FZ132" s="1056"/>
      <c r="GA132" s="1056"/>
      <c r="GB132" s="1056"/>
      <c r="GC132" s="1056"/>
      <c r="GD132" s="1056"/>
      <c r="GE132" s="1056"/>
      <c r="GF132" s="1056"/>
      <c r="GG132" s="1056"/>
      <c r="GH132" s="1056"/>
      <c r="GI132" s="1056"/>
      <c r="GJ132" s="1056"/>
      <c r="GK132" s="1056"/>
      <c r="GL132" s="1056"/>
      <c r="GM132" s="1056"/>
      <c r="GN132" s="1056"/>
      <c r="GO132" s="1056"/>
      <c r="GP132" s="1056"/>
      <c r="GQ132" s="1056"/>
      <c r="GR132" s="1056"/>
      <c r="GS132" s="1056"/>
      <c r="GT132" s="1056"/>
      <c r="GU132" s="1056"/>
      <c r="GV132" s="1056"/>
      <c r="GW132" s="1056"/>
      <c r="GX132" s="1056"/>
      <c r="GY132" s="1056"/>
      <c r="GZ132" s="1056"/>
      <c r="HA132" s="1056"/>
      <c r="HB132" s="1056"/>
      <c r="HC132" s="1056"/>
      <c r="HD132" s="1056"/>
      <c r="HE132" s="1056"/>
      <c r="HF132" s="1056"/>
      <c r="HG132" s="1056"/>
      <c r="HH132" s="1056"/>
      <c r="HI132" s="1056"/>
      <c r="HJ132" s="1056"/>
      <c r="HK132" s="1056"/>
      <c r="HL132" s="1056"/>
      <c r="HM132" s="1056"/>
      <c r="HN132" s="1056"/>
      <c r="HO132" s="1056"/>
      <c r="HP132" s="1056"/>
      <c r="HQ132" s="1056"/>
      <c r="HR132" s="1056"/>
      <c r="HS132" s="1056"/>
      <c r="HT132" s="1056"/>
      <c r="HU132" s="1056"/>
      <c r="HV132" s="1056"/>
      <c r="HW132" s="1056"/>
      <c r="HX132" s="1056"/>
      <c r="HY132" s="1056"/>
      <c r="HZ132" s="1056"/>
      <c r="IA132" s="1056"/>
      <c r="IB132" s="1056"/>
      <c r="IC132" s="1056"/>
      <c r="ID132" s="1056"/>
      <c r="IE132" s="1056"/>
      <c r="IF132" s="1056"/>
      <c r="IG132" s="1056"/>
      <c r="IH132" s="1056"/>
      <c r="II132" s="1056"/>
      <c r="IJ132" s="1056"/>
      <c r="IK132" s="1056"/>
      <c r="IL132" s="1056"/>
      <c r="IM132" s="1056"/>
      <c r="IN132" s="1056"/>
      <c r="IO132" s="1056"/>
      <c r="IP132" s="1056"/>
      <c r="IQ132" s="1056"/>
      <c r="IR132" s="1056"/>
      <c r="IS132" s="1056"/>
      <c r="IT132" s="1056"/>
      <c r="IU132" s="1056"/>
      <c r="IV132" s="1056"/>
      <c r="IW132" s="1056"/>
      <c r="IX132" s="1056"/>
      <c r="IY132" s="1056"/>
      <c r="IZ132" s="1056"/>
      <c r="JA132" s="1056"/>
      <c r="JB132" s="1056"/>
      <c r="JC132" s="1056"/>
      <c r="JD132" s="1056"/>
      <c r="JE132" s="1056"/>
      <c r="JF132" s="1056"/>
      <c r="JG132" s="1056"/>
      <c r="JH132" s="1056"/>
      <c r="JI132" s="1056"/>
      <c r="JJ132" s="1056"/>
      <c r="JK132" s="1056"/>
      <c r="JL132" s="1056"/>
      <c r="JM132" s="1056"/>
      <c r="JN132" s="1056"/>
      <c r="JO132" s="1056"/>
      <c r="JP132" s="1056"/>
      <c r="JQ132" s="1056"/>
      <c r="JR132" s="1056"/>
      <c r="JS132" s="1056"/>
      <c r="JT132" s="1056"/>
      <c r="JU132" s="1056"/>
      <c r="JV132" s="1056"/>
      <c r="JW132" s="1056"/>
      <c r="JX132" s="1056"/>
      <c r="JY132" s="1056"/>
      <c r="JZ132" s="1056"/>
      <c r="KA132" s="1056"/>
      <c r="KB132" s="1056"/>
      <c r="KC132" s="1056"/>
      <c r="KD132" s="1056"/>
      <c r="KE132" s="1056"/>
      <c r="KF132" s="1056"/>
      <c r="KG132" s="1056"/>
      <c r="KH132" s="1056"/>
      <c r="KI132" s="1056"/>
      <c r="KJ132" s="1056"/>
      <c r="KK132" s="1056"/>
      <c r="KL132" s="1056"/>
      <c r="KM132" s="1056"/>
      <c r="KN132" s="1056"/>
      <c r="KO132" s="1056"/>
      <c r="KP132" s="1056"/>
      <c r="KQ132" s="1056"/>
      <c r="KR132" s="1056"/>
      <c r="KS132" s="1056"/>
      <c r="KT132" s="1056"/>
      <c r="KU132" s="1056"/>
      <c r="KV132" s="1056"/>
      <c r="KW132" s="1056"/>
      <c r="KX132" s="1056"/>
      <c r="KY132" s="1056"/>
      <c r="KZ132" s="1056"/>
      <c r="LA132" s="1056"/>
      <c r="LB132" s="1056"/>
      <c r="LC132" s="1056"/>
      <c r="LD132" s="1056"/>
      <c r="LE132" s="1056"/>
      <c r="LF132" s="1056"/>
      <c r="LG132" s="1056"/>
      <c r="LH132" s="1056"/>
      <c r="LI132" s="1056"/>
      <c r="LJ132" s="1056"/>
      <c r="LK132" s="1056"/>
      <c r="LL132" s="1056"/>
      <c r="LM132" s="1056"/>
      <c r="LN132" s="1056"/>
      <c r="LO132" s="1056"/>
      <c r="LP132" s="1056"/>
      <c r="LQ132" s="1056"/>
      <c r="LR132" s="1056"/>
      <c r="LS132" s="1056"/>
      <c r="LT132" s="1056"/>
      <c r="LU132" s="1056"/>
      <c r="LV132" s="1056"/>
      <c r="LW132" s="1056"/>
      <c r="LX132" s="1056"/>
      <c r="LY132" s="1056"/>
      <c r="LZ132" s="1056"/>
      <c r="MA132" s="1056"/>
      <c r="MB132" s="1056"/>
      <c r="MC132" s="1056"/>
      <c r="MD132" s="1056"/>
      <c r="ME132" s="1056"/>
      <c r="MF132" s="1056"/>
      <c r="MG132" s="1056"/>
      <c r="MH132" s="1056"/>
      <c r="MI132" s="1056"/>
      <c r="MJ132" s="1056"/>
      <c r="MK132" s="1056"/>
      <c r="ML132" s="1056"/>
      <c r="MM132" s="1056"/>
      <c r="MN132" s="1056"/>
      <c r="MO132" s="1056"/>
      <c r="MP132" s="1056"/>
      <c r="MQ132" s="1056"/>
      <c r="MR132" s="1056"/>
      <c r="MS132" s="1056"/>
      <c r="MT132" s="1056"/>
      <c r="MU132" s="1056"/>
      <c r="MV132" s="1056"/>
      <c r="MW132" s="1056"/>
      <c r="MX132" s="1056"/>
      <c r="MY132" s="1056"/>
      <c r="MZ132" s="1056"/>
      <c r="NA132" s="1056"/>
      <c r="NB132" s="1056"/>
      <c r="NC132" s="1056"/>
      <c r="ND132" s="1056"/>
      <c r="NE132" s="1056"/>
      <c r="NF132" s="1056"/>
      <c r="NG132" s="1056"/>
      <c r="NH132" s="1056"/>
      <c r="NI132" s="1056"/>
      <c r="NJ132" s="1056"/>
      <c r="NK132" s="1056"/>
      <c r="NL132" s="1056"/>
      <c r="NM132" s="1056"/>
      <c r="NN132" s="1056"/>
      <c r="NO132" s="1056"/>
      <c r="NP132" s="1056"/>
      <c r="NQ132" s="1056"/>
      <c r="NR132" s="1056"/>
      <c r="NS132" s="1056"/>
      <c r="NT132" s="1056"/>
      <c r="NU132" s="1056"/>
      <c r="NV132" s="1056"/>
      <c r="NW132" s="1056"/>
      <c r="NX132" s="1056"/>
      <c r="NY132" s="1056"/>
      <c r="NZ132" s="1056"/>
      <c r="OA132" s="1056"/>
      <c r="OB132" s="1056"/>
      <c r="OC132" s="1056"/>
      <c r="OD132" s="1056"/>
      <c r="OE132" s="1056"/>
      <c r="OF132" s="1056"/>
      <c r="OG132" s="1056"/>
      <c r="OH132" s="1056"/>
      <c r="OI132" s="1056"/>
      <c r="OJ132" s="1056"/>
      <c r="OK132" s="1056"/>
      <c r="OL132" s="1056"/>
      <c r="OM132" s="1056"/>
      <c r="ON132" s="1056"/>
      <c r="OO132" s="1056"/>
      <c r="OP132" s="1056"/>
      <c r="OQ132" s="1056"/>
      <c r="OR132" s="1056"/>
      <c r="OS132" s="1056"/>
      <c r="OT132" s="1056"/>
      <c r="OU132" s="1056"/>
      <c r="OV132" s="1056"/>
      <c r="OW132" s="1056"/>
      <c r="OX132" s="1056"/>
      <c r="OY132" s="1056"/>
      <c r="OZ132" s="1056"/>
      <c r="PA132" s="1056"/>
      <c r="PB132" s="1056"/>
      <c r="PC132" s="1056"/>
      <c r="PD132" s="1056"/>
      <c r="PE132" s="1056"/>
      <c r="PF132" s="1056"/>
      <c r="PG132" s="1056"/>
      <c r="PH132" s="1056"/>
      <c r="PI132" s="1056"/>
      <c r="PJ132" s="1056"/>
      <c r="PK132" s="1056"/>
      <c r="PL132" s="1056"/>
      <c r="PM132" s="1056"/>
      <c r="PN132" s="1056"/>
      <c r="PO132" s="1056"/>
      <c r="PP132" s="1056"/>
      <c r="PQ132" s="1056"/>
      <c r="PR132" s="1056"/>
      <c r="PS132" s="1056"/>
      <c r="PT132" s="1056"/>
      <c r="PU132" s="1056"/>
      <c r="PV132" s="1056"/>
      <c r="PW132" s="1056"/>
      <c r="PX132" s="1056"/>
      <c r="PY132" s="1056"/>
      <c r="PZ132" s="1056"/>
      <c r="QA132" s="1056"/>
      <c r="QB132" s="1056"/>
      <c r="QC132" s="1056"/>
      <c r="QD132" s="1056"/>
      <c r="QE132" s="1056"/>
      <c r="QF132" s="1056"/>
      <c r="QG132" s="1056"/>
      <c r="QH132" s="1056"/>
      <c r="QI132" s="1056"/>
      <c r="QJ132" s="1056"/>
      <c r="QK132" s="1056"/>
      <c r="QL132" s="1056"/>
      <c r="QM132" s="1056"/>
      <c r="QN132" s="1056"/>
      <c r="QO132" s="1056"/>
      <c r="QP132" s="1056"/>
      <c r="QQ132" s="1056"/>
      <c r="QR132" s="1056"/>
      <c r="QS132" s="1056"/>
      <c r="QT132" s="1056"/>
      <c r="QU132" s="1056"/>
      <c r="QV132" s="1056"/>
      <c r="QW132" s="1056"/>
      <c r="QX132" s="1056"/>
      <c r="QY132" s="1056"/>
      <c r="QZ132" s="1056"/>
      <c r="RA132" s="1056"/>
      <c r="RB132" s="1056"/>
      <c r="RC132" s="1056"/>
      <c r="RD132" s="1056"/>
      <c r="RE132" s="1056"/>
      <c r="RF132" s="1056"/>
      <c r="RG132" s="1056"/>
      <c r="RH132" s="1056"/>
      <c r="RI132" s="1056"/>
      <c r="RJ132" s="1056"/>
      <c r="RK132" s="1056"/>
      <c r="RL132" s="1056"/>
      <c r="RM132" s="1056"/>
      <c r="RN132" s="1056"/>
      <c r="RO132" s="1056"/>
      <c r="RP132" s="1056"/>
      <c r="RQ132" s="1056"/>
      <c r="RR132" s="1056"/>
      <c r="RS132" s="1056"/>
      <c r="RT132" s="1056"/>
      <c r="RU132" s="1056"/>
      <c r="RV132" s="1056"/>
      <c r="RW132" s="1056"/>
      <c r="RX132" s="1056"/>
      <c r="RY132" s="1056"/>
      <c r="RZ132" s="1056"/>
      <c r="SA132" s="1056"/>
      <c r="SB132" s="1056"/>
      <c r="SC132" s="1056"/>
      <c r="SD132" s="1056"/>
      <c r="SE132" s="1056"/>
      <c r="SF132" s="1056"/>
      <c r="SG132" s="1056"/>
      <c r="SH132" s="1056"/>
      <c r="SI132" s="1056"/>
      <c r="SJ132" s="1056"/>
      <c r="SK132" s="1056"/>
      <c r="SL132" s="1056"/>
      <c r="SM132" s="1056"/>
      <c r="SN132" s="1056"/>
      <c r="SO132" s="1056"/>
      <c r="SP132" s="1056"/>
      <c r="SQ132" s="1056"/>
      <c r="SR132" s="1056"/>
      <c r="SS132" s="1056"/>
      <c r="ST132" s="1056"/>
      <c r="SU132" s="1056"/>
      <c r="SV132" s="1056"/>
      <c r="SW132" s="1056"/>
      <c r="SX132" s="1056"/>
      <c r="SY132" s="1056"/>
      <c r="SZ132" s="1056"/>
      <c r="TA132" s="1056"/>
      <c r="TB132" s="1056"/>
      <c r="TC132" s="1056"/>
      <c r="TD132" s="1056"/>
      <c r="TE132" s="1056"/>
      <c r="TF132" s="1056"/>
      <c r="TG132" s="1056"/>
      <c r="TH132" s="1056"/>
      <c r="TI132" s="1056"/>
      <c r="TJ132" s="1056"/>
      <c r="TK132" s="1056"/>
      <c r="TL132" s="1056"/>
      <c r="TM132" s="1056"/>
      <c r="TN132" s="1056"/>
      <c r="TO132" s="1056"/>
      <c r="TP132" s="1056"/>
      <c r="TQ132" s="1056"/>
      <c r="TR132" s="1056"/>
      <c r="TS132" s="1056"/>
      <c r="TT132" s="1056"/>
      <c r="TU132" s="1056"/>
      <c r="TV132" s="1056"/>
      <c r="TW132" s="1056"/>
      <c r="TX132" s="1056"/>
      <c r="TY132" s="1056"/>
      <c r="TZ132" s="1056"/>
      <c r="UA132" s="1056"/>
      <c r="UB132" s="1056"/>
      <c r="UC132" s="1056"/>
      <c r="UD132" s="1056"/>
      <c r="UE132" s="1056"/>
      <c r="UF132" s="1056"/>
      <c r="UG132" s="1056"/>
      <c r="UH132" s="1056"/>
      <c r="UI132" s="1056"/>
      <c r="UJ132" s="1056"/>
      <c r="UK132" s="1056"/>
      <c r="UL132" s="1056"/>
      <c r="UM132" s="1056"/>
      <c r="UN132" s="1056"/>
      <c r="UO132" s="1056"/>
      <c r="UP132" s="1056"/>
      <c r="UQ132" s="1056"/>
      <c r="UR132" s="1056"/>
      <c r="US132" s="1056"/>
      <c r="UT132" s="1056"/>
      <c r="UU132" s="1056"/>
      <c r="UV132" s="1056"/>
      <c r="UW132" s="1056"/>
      <c r="UX132" s="1056"/>
      <c r="UY132" s="1056"/>
      <c r="UZ132" s="1056"/>
      <c r="VA132" s="1056"/>
      <c r="VB132" s="1056"/>
      <c r="VC132" s="1056"/>
      <c r="VD132" s="1056"/>
      <c r="VE132" s="1056"/>
      <c r="VF132" s="1056"/>
      <c r="VG132" s="1056"/>
      <c r="VH132" s="1056"/>
      <c r="VI132" s="1056"/>
      <c r="VJ132" s="1056"/>
      <c r="VK132" s="1056"/>
      <c r="VL132" s="1056"/>
      <c r="VM132" s="1056"/>
      <c r="VN132" s="1056"/>
      <c r="VO132" s="1056"/>
      <c r="VP132" s="1056"/>
      <c r="VQ132" s="1056"/>
      <c r="VR132" s="1056"/>
      <c r="VS132" s="1056"/>
      <c r="VT132" s="1056"/>
      <c r="VU132" s="1056"/>
      <c r="VV132" s="1056"/>
      <c r="VW132" s="1056"/>
      <c r="VX132" s="1056"/>
      <c r="VY132" s="1056"/>
      <c r="VZ132" s="1056"/>
      <c r="WA132" s="1056"/>
      <c r="WB132" s="1056"/>
      <c r="WC132" s="1056"/>
      <c r="WD132" s="1056"/>
      <c r="WE132" s="1056"/>
      <c r="WF132" s="1056"/>
      <c r="WG132" s="1056"/>
      <c r="WH132" s="1056"/>
      <c r="WI132" s="1056"/>
      <c r="WJ132" s="1056"/>
      <c r="WK132" s="1056"/>
      <c r="WL132" s="1056"/>
      <c r="WM132" s="1056"/>
      <c r="WN132" s="1056"/>
      <c r="WO132" s="1056"/>
      <c r="WP132" s="1056"/>
      <c r="WQ132" s="1056"/>
      <c r="WR132" s="1056"/>
      <c r="WS132" s="1056"/>
      <c r="WT132" s="1056"/>
      <c r="WU132" s="1056"/>
      <c r="WV132" s="1056"/>
      <c r="WW132" s="1056"/>
      <c r="WX132" s="1056"/>
      <c r="WY132" s="1056"/>
      <c r="WZ132" s="1056"/>
      <c r="XA132" s="1056"/>
      <c r="XB132" s="1056"/>
      <c r="XC132" s="1056"/>
      <c r="XD132" s="1056"/>
      <c r="XE132" s="1056"/>
      <c r="XF132" s="1056"/>
      <c r="XG132" s="1056"/>
      <c r="XH132" s="1056"/>
      <c r="XI132" s="1056"/>
      <c r="XJ132" s="1056"/>
      <c r="XK132" s="1056"/>
      <c r="XL132" s="1056"/>
      <c r="XM132" s="1056"/>
      <c r="XN132" s="1056"/>
      <c r="XO132" s="1056"/>
      <c r="XP132" s="1056"/>
      <c r="XQ132" s="1056"/>
      <c r="XR132" s="1056"/>
      <c r="XS132" s="1056"/>
      <c r="XT132" s="1056"/>
      <c r="XU132" s="1056"/>
      <c r="XV132" s="1056"/>
      <c r="XW132" s="1056"/>
      <c r="XX132" s="1056"/>
      <c r="XY132" s="1056"/>
      <c r="XZ132" s="1056"/>
      <c r="YA132" s="1056"/>
      <c r="YB132" s="1056"/>
      <c r="YC132" s="1056"/>
      <c r="YD132" s="1056"/>
      <c r="YE132" s="1056"/>
      <c r="YF132" s="1056"/>
      <c r="YG132" s="1056"/>
      <c r="YH132" s="1056"/>
      <c r="YI132" s="1056"/>
      <c r="YJ132" s="1056"/>
      <c r="YK132" s="1056"/>
      <c r="YL132" s="1056"/>
      <c r="YM132" s="1056"/>
      <c r="YN132" s="1056"/>
      <c r="YO132" s="1056"/>
      <c r="YP132" s="1056"/>
      <c r="YQ132" s="1056"/>
      <c r="YR132" s="1056"/>
      <c r="YS132" s="1056"/>
      <c r="YT132" s="1056"/>
      <c r="YU132" s="1056"/>
      <c r="YV132" s="1056"/>
      <c r="YW132" s="1056"/>
      <c r="YX132" s="1056"/>
      <c r="YY132" s="1056"/>
      <c r="YZ132" s="1056"/>
      <c r="ZA132" s="1056"/>
      <c r="ZB132" s="1056"/>
      <c r="ZC132" s="1056"/>
      <c r="ZD132" s="1056"/>
      <c r="ZE132" s="1056"/>
      <c r="ZF132" s="1056"/>
      <c r="ZG132" s="1056"/>
      <c r="ZH132" s="1056"/>
      <c r="ZI132" s="1056"/>
      <c r="ZJ132" s="1056"/>
      <c r="ZK132" s="1056"/>
      <c r="ZL132" s="1056"/>
      <c r="ZM132" s="1056"/>
      <c r="ZN132" s="1056"/>
      <c r="ZO132" s="1056"/>
      <c r="ZP132" s="1056"/>
      <c r="ZQ132" s="1056"/>
      <c r="ZR132" s="1056"/>
      <c r="ZS132" s="1056"/>
      <c r="ZT132" s="1056"/>
      <c r="ZU132" s="1056"/>
      <c r="ZV132" s="1056"/>
      <c r="ZW132" s="1056"/>
      <c r="ZX132" s="1056"/>
      <c r="ZY132" s="1056"/>
      <c r="ZZ132" s="1056"/>
      <c r="AAA132" s="1056"/>
      <c r="AAB132" s="1056"/>
      <c r="AAC132" s="1056"/>
      <c r="AAD132" s="1056"/>
      <c r="AAE132" s="1056"/>
      <c r="AAF132" s="1056"/>
      <c r="AAG132" s="1056"/>
      <c r="AAH132" s="1056"/>
      <c r="AAI132" s="1056"/>
      <c r="AAJ132" s="1056"/>
      <c r="AAK132" s="1056"/>
      <c r="AAL132" s="1056"/>
      <c r="AAM132" s="1056"/>
      <c r="AAN132" s="1056"/>
      <c r="AAO132" s="1056"/>
      <c r="AAP132" s="1056"/>
      <c r="AAQ132" s="1056"/>
      <c r="AAR132" s="1056"/>
      <c r="AAS132" s="1056"/>
      <c r="AAT132" s="1056"/>
      <c r="AAU132" s="1056"/>
      <c r="AAV132" s="1056"/>
      <c r="AAW132" s="1056"/>
      <c r="AAX132" s="1056"/>
      <c r="AAY132" s="1056"/>
      <c r="AAZ132" s="1056"/>
      <c r="ABA132" s="1056"/>
      <c r="ABB132" s="1056"/>
      <c r="ABC132" s="1056"/>
      <c r="ABD132" s="1056"/>
      <c r="ABE132" s="1056"/>
      <c r="ABF132" s="1056"/>
      <c r="ABG132" s="1056"/>
      <c r="ABH132" s="1056"/>
      <c r="ABI132" s="1056"/>
      <c r="ABJ132" s="1056"/>
      <c r="ABK132" s="1056"/>
      <c r="ABL132" s="1056"/>
      <c r="ABM132" s="1056"/>
      <c r="ABN132" s="1056"/>
      <c r="ABO132" s="1056"/>
      <c r="ABP132" s="1056"/>
      <c r="ABQ132" s="1056"/>
      <c r="ABR132" s="1056"/>
      <c r="ABS132" s="1056"/>
      <c r="ABT132" s="1056"/>
      <c r="ABU132" s="1056"/>
      <c r="ABV132" s="1056"/>
      <c r="ABW132" s="1056"/>
      <c r="ABX132" s="1056"/>
      <c r="ABY132" s="1056"/>
      <c r="ABZ132" s="1056"/>
      <c r="ACA132" s="1056"/>
      <c r="ACB132" s="1056"/>
      <c r="ACC132" s="1056"/>
      <c r="ACD132" s="1056"/>
      <c r="ACE132" s="1056"/>
      <c r="ACF132" s="1056"/>
      <c r="ACG132" s="1056"/>
      <c r="ACH132" s="1056"/>
      <c r="ACI132" s="1056"/>
      <c r="ACJ132" s="1056"/>
      <c r="ACK132" s="1056"/>
      <c r="ACL132" s="1056"/>
      <c r="ACM132" s="1056"/>
      <c r="ACN132" s="1056"/>
      <c r="ACO132" s="1056"/>
      <c r="ACP132" s="1056"/>
      <c r="ACQ132" s="1056"/>
      <c r="ACR132" s="1056"/>
      <c r="ACS132" s="1056"/>
      <c r="ACT132" s="1056"/>
      <c r="ACU132" s="1056"/>
      <c r="ACV132" s="1056"/>
      <c r="ACW132" s="1056"/>
      <c r="ACX132" s="1056"/>
      <c r="ACY132" s="1056"/>
      <c r="ACZ132" s="1056"/>
      <c r="ADA132" s="1056"/>
      <c r="ADB132" s="1056"/>
      <c r="ADC132" s="1056"/>
      <c r="ADD132" s="1056"/>
      <c r="ADE132" s="1056"/>
      <c r="ADF132" s="1056"/>
      <c r="ADG132" s="1056"/>
      <c r="ADH132" s="1056"/>
      <c r="ADI132" s="1056"/>
      <c r="ADJ132" s="1056"/>
      <c r="ADK132" s="1056"/>
      <c r="ADL132" s="1056"/>
      <c r="ADM132" s="1056"/>
      <c r="ADN132" s="1056"/>
      <c r="ADO132" s="1056"/>
      <c r="ADP132" s="1056"/>
      <c r="ADQ132" s="1056"/>
      <c r="ADR132" s="1056"/>
      <c r="ADS132" s="1056"/>
      <c r="ADT132" s="1056"/>
      <c r="ADU132" s="1056"/>
      <c r="ADV132" s="1056"/>
      <c r="ADW132" s="1056"/>
      <c r="ADX132" s="1056"/>
      <c r="ADY132" s="1056"/>
      <c r="ADZ132" s="1056"/>
      <c r="AEA132" s="1056"/>
      <c r="AEB132" s="1056"/>
      <c r="AEC132" s="1056"/>
      <c r="AED132" s="1056"/>
      <c r="AEE132" s="1056"/>
      <c r="AEF132" s="1056"/>
      <c r="AEG132" s="1056"/>
      <c r="AEH132" s="1056"/>
      <c r="AEI132" s="1056"/>
      <c r="AEJ132" s="1056"/>
      <c r="AEK132" s="1056"/>
      <c r="AEL132" s="1056"/>
      <c r="AEM132" s="1056"/>
      <c r="AEN132" s="1056"/>
      <c r="AEO132" s="1056"/>
      <c r="AEP132" s="1056"/>
      <c r="AEQ132" s="1056"/>
      <c r="AER132" s="1056"/>
      <c r="AES132" s="1056"/>
      <c r="AET132" s="1056"/>
      <c r="AEU132" s="1056"/>
      <c r="AEV132" s="1056"/>
      <c r="AEW132" s="1056"/>
      <c r="AEX132" s="1056"/>
      <c r="AEY132" s="1056"/>
      <c r="AEZ132" s="1056"/>
      <c r="AFA132" s="1056"/>
      <c r="AFB132" s="1056"/>
      <c r="AFC132" s="1056"/>
      <c r="AFD132" s="1056"/>
      <c r="AFE132" s="1056"/>
      <c r="AFF132" s="1056"/>
      <c r="AFG132" s="1056"/>
      <c r="AFH132" s="1056"/>
      <c r="AFI132" s="1056"/>
      <c r="AFJ132" s="1056"/>
      <c r="AFK132" s="1056"/>
      <c r="AFL132" s="1056"/>
      <c r="AFM132" s="1056"/>
      <c r="AFN132" s="1056"/>
      <c r="AFO132" s="1056"/>
      <c r="AFP132" s="1056"/>
      <c r="AFQ132" s="1056"/>
      <c r="AFR132" s="1056"/>
      <c r="AFS132" s="1056"/>
      <c r="AFT132" s="1056"/>
      <c r="AFU132" s="1056"/>
      <c r="AFV132" s="1056"/>
      <c r="AFW132" s="1056"/>
      <c r="AFX132" s="1056"/>
      <c r="AFY132" s="1056"/>
      <c r="AFZ132" s="1056"/>
      <c r="AGA132" s="1056"/>
      <c r="AGB132" s="1056"/>
      <c r="AGC132" s="1056"/>
      <c r="AGD132" s="1056"/>
      <c r="AGE132" s="1056"/>
      <c r="AGF132" s="1056"/>
      <c r="AGG132" s="1056"/>
      <c r="AGH132" s="1056"/>
      <c r="AGI132" s="1056"/>
      <c r="AGJ132" s="1056"/>
      <c r="AGK132" s="1056"/>
      <c r="AGL132" s="1056"/>
      <c r="AGM132" s="1056"/>
      <c r="AGN132" s="1056"/>
      <c r="AGO132" s="1056"/>
      <c r="AGP132" s="1056"/>
      <c r="AGQ132" s="1056"/>
      <c r="AGR132" s="1056"/>
      <c r="AGS132" s="1056"/>
      <c r="AGT132" s="1056"/>
      <c r="AGU132" s="1056"/>
      <c r="AGV132" s="1056"/>
      <c r="AGW132" s="1056"/>
      <c r="AGX132" s="1056"/>
      <c r="AGY132" s="1056"/>
      <c r="AGZ132" s="1056"/>
      <c r="AHA132" s="1056"/>
      <c r="AHB132" s="1056"/>
      <c r="AHC132" s="1056"/>
      <c r="AHD132" s="1056"/>
      <c r="AHE132" s="1056"/>
      <c r="AHF132" s="1056"/>
      <c r="AHG132" s="1056"/>
      <c r="AHH132" s="1056"/>
      <c r="AHI132" s="1056"/>
      <c r="AHJ132" s="1056"/>
      <c r="AHK132" s="1056"/>
      <c r="AHL132" s="1056"/>
      <c r="AHM132" s="1056"/>
      <c r="AHN132" s="1056"/>
      <c r="AHO132" s="1056"/>
      <c r="AHP132" s="1056"/>
      <c r="AHQ132" s="1056"/>
      <c r="AHR132" s="1056"/>
      <c r="AHS132" s="1056"/>
      <c r="AHT132" s="1056"/>
      <c r="AHU132" s="1056"/>
      <c r="AHV132" s="1056"/>
      <c r="AHW132" s="1056"/>
      <c r="AHX132" s="1056"/>
      <c r="AHY132" s="1056"/>
      <c r="AHZ132" s="1056"/>
      <c r="AIA132" s="1056"/>
      <c r="AIB132" s="1056"/>
      <c r="AIC132" s="1056"/>
      <c r="AID132" s="1056"/>
      <c r="AIE132" s="1056"/>
      <c r="AIF132" s="1056"/>
      <c r="AIG132" s="1056"/>
      <c r="AIH132" s="1056"/>
      <c r="AII132" s="1056"/>
      <c r="AIJ132" s="1056"/>
      <c r="AIK132" s="1056"/>
      <c r="AIL132" s="1056"/>
      <c r="AIM132" s="1056"/>
      <c r="AIN132" s="1056"/>
      <c r="AIO132" s="1056"/>
      <c r="AIP132" s="1056"/>
      <c r="AIQ132" s="1056"/>
      <c r="AIR132" s="1056"/>
      <c r="AIS132" s="1056"/>
      <c r="AIT132" s="1056"/>
      <c r="AIU132" s="1056"/>
      <c r="AIV132" s="1056"/>
      <c r="AIW132" s="1056"/>
      <c r="AIX132" s="1056"/>
      <c r="AIY132" s="1056"/>
      <c r="AIZ132" s="1056"/>
      <c r="AJA132" s="1056"/>
      <c r="AJB132" s="1056"/>
      <c r="AJC132" s="1056"/>
      <c r="AJD132" s="1056"/>
      <c r="AJE132" s="1056"/>
      <c r="AJF132" s="1056"/>
      <c r="AJG132" s="1056"/>
      <c r="AJH132" s="1056"/>
      <c r="AJI132" s="1056"/>
      <c r="AJJ132" s="1056"/>
      <c r="AJK132" s="1056"/>
      <c r="AJL132" s="1056"/>
      <c r="AJM132" s="1056"/>
      <c r="AJN132" s="1056"/>
      <c r="AJO132" s="1056"/>
      <c r="AJP132" s="1056"/>
      <c r="AJQ132" s="1056"/>
      <c r="AJR132" s="1056"/>
      <c r="AJS132" s="1056"/>
      <c r="AJT132" s="1056"/>
      <c r="AJU132" s="1056"/>
      <c r="AJV132" s="1056"/>
      <c r="AJW132" s="1056"/>
      <c r="AJX132" s="1056"/>
      <c r="AJY132" s="1056"/>
      <c r="AJZ132" s="1056"/>
      <c r="AKA132" s="1056"/>
      <c r="AKB132" s="1056"/>
      <c r="AKC132" s="1056"/>
      <c r="AKD132" s="1056"/>
      <c r="AKE132" s="1056"/>
      <c r="AKF132" s="1056"/>
      <c r="AKG132" s="1056"/>
      <c r="AKH132" s="1056"/>
      <c r="AKI132" s="1056"/>
      <c r="AKJ132" s="1056"/>
      <c r="AKK132" s="1056"/>
      <c r="AKL132" s="1056"/>
      <c r="AKM132" s="1056"/>
      <c r="AKN132" s="1056"/>
      <c r="AKO132" s="1056"/>
      <c r="AKP132" s="1056"/>
      <c r="AKQ132" s="1056"/>
      <c r="AKR132" s="1056"/>
      <c r="AKS132" s="1056"/>
      <c r="AKT132" s="1056"/>
      <c r="AKU132" s="1056"/>
      <c r="AKV132" s="1056"/>
      <c r="AKW132" s="1056"/>
      <c r="AKX132" s="1056"/>
      <c r="AKY132" s="1056"/>
      <c r="AKZ132" s="1056"/>
      <c r="ALA132" s="1056"/>
      <c r="ALB132" s="1056"/>
      <c r="ALC132" s="1056"/>
      <c r="ALD132" s="1056"/>
      <c r="ALE132" s="1056"/>
      <c r="ALF132" s="1056"/>
      <c r="ALG132" s="1056"/>
      <c r="ALH132" s="1056"/>
      <c r="ALI132" s="1056"/>
      <c r="ALJ132" s="1056"/>
      <c r="ALK132" s="1056"/>
      <c r="ALL132" s="1056"/>
      <c r="ALM132" s="1056"/>
      <c r="ALN132" s="1056"/>
      <c r="ALO132" s="1056"/>
      <c r="ALP132" s="1056"/>
      <c r="ALQ132" s="1056"/>
      <c r="ALR132" s="1056"/>
      <c r="ALS132" s="1056"/>
      <c r="ALT132" s="1056"/>
      <c r="ALU132" s="1056"/>
      <c r="ALV132" s="1056"/>
      <c r="ALW132" s="1056"/>
      <c r="ALX132" s="1056"/>
      <c r="ALY132" s="1056"/>
      <c r="ALZ132" s="1056"/>
      <c r="AMA132" s="1056"/>
      <c r="AMB132" s="1056"/>
      <c r="AMC132" s="1056"/>
      <c r="AMD132" s="1056"/>
      <c r="AME132" s="1056"/>
      <c r="AMF132" s="1056"/>
      <c r="AMG132" s="1056"/>
      <c r="AMH132" s="1056"/>
      <c r="AMI132" s="1056"/>
      <c r="AMJ132" s="1056"/>
      <c r="AMK132" s="1056"/>
      <c r="AML132" s="1056"/>
      <c r="AMM132" s="1056"/>
      <c r="AMN132" s="1056"/>
      <c r="AMO132" s="1056"/>
      <c r="AMP132" s="1056"/>
      <c r="AMQ132" s="1056"/>
      <c r="AMR132" s="1056"/>
      <c r="AMS132" s="1056"/>
      <c r="AMT132" s="1056"/>
      <c r="AMU132" s="1056"/>
      <c r="AMV132" s="1056"/>
      <c r="AMW132" s="1056"/>
      <c r="AMX132" s="1056"/>
      <c r="AMY132" s="1056"/>
      <c r="AMZ132" s="1056"/>
      <c r="ANA132" s="1056"/>
      <c r="ANB132" s="1056"/>
      <c r="ANC132" s="1056"/>
      <c r="AND132" s="1056"/>
      <c r="ANE132" s="1056"/>
      <c r="ANF132" s="1056"/>
      <c r="ANG132" s="1056"/>
      <c r="ANH132" s="1056"/>
      <c r="ANI132" s="1056"/>
      <c r="ANJ132" s="1056"/>
      <c r="ANK132" s="1056"/>
      <c r="ANL132" s="1056"/>
      <c r="ANM132" s="1056"/>
      <c r="ANN132" s="1056"/>
      <c r="ANO132" s="1056"/>
      <c r="ANP132" s="1056"/>
      <c r="ANQ132" s="1056"/>
      <c r="ANR132" s="1056"/>
      <c r="ANS132" s="1056"/>
      <c r="ANT132" s="1056"/>
      <c r="ANU132" s="1056"/>
      <c r="ANV132" s="1056"/>
      <c r="ANW132" s="1056"/>
      <c r="ANX132" s="1056"/>
      <c r="ANY132" s="1056"/>
      <c r="ANZ132" s="1056"/>
      <c r="AOA132" s="1056"/>
      <c r="AOB132" s="1056"/>
      <c r="AOC132" s="1056"/>
      <c r="AOD132" s="1056"/>
      <c r="AOE132" s="1056"/>
      <c r="AOF132" s="1056"/>
      <c r="AOG132" s="1056"/>
      <c r="AOH132" s="1056"/>
      <c r="AOI132" s="1056"/>
      <c r="AOJ132" s="1056"/>
      <c r="AOK132" s="1056"/>
      <c r="AOL132" s="1056"/>
      <c r="AOM132" s="1056"/>
      <c r="AON132" s="1056"/>
      <c r="AOO132" s="1056"/>
      <c r="AOP132" s="1056"/>
      <c r="AOQ132" s="1056"/>
      <c r="AOR132" s="1056"/>
      <c r="AOS132" s="1056"/>
      <c r="AOT132" s="1056"/>
      <c r="AOU132" s="1056"/>
      <c r="AOV132" s="1056"/>
      <c r="AOW132" s="1056"/>
      <c r="AOX132" s="1056"/>
      <c r="AOY132" s="1056"/>
      <c r="AOZ132" s="1056"/>
      <c r="APA132" s="1056"/>
      <c r="APB132" s="1056"/>
      <c r="APC132" s="1056"/>
      <c r="APD132" s="1056"/>
      <c r="APE132" s="1056"/>
      <c r="APF132" s="1056"/>
      <c r="APG132" s="1056"/>
      <c r="APH132" s="1056"/>
      <c r="API132" s="1056"/>
      <c r="APJ132" s="1056"/>
      <c r="APK132" s="1056"/>
      <c r="APL132" s="1056"/>
      <c r="APM132" s="1056"/>
      <c r="APN132" s="1056"/>
      <c r="APO132" s="1056"/>
      <c r="APP132" s="1056"/>
      <c r="APQ132" s="1056"/>
      <c r="APR132" s="1056"/>
      <c r="APS132" s="1056"/>
      <c r="APT132" s="1056"/>
      <c r="APU132" s="1056"/>
      <c r="APV132" s="1056"/>
      <c r="APW132" s="1056"/>
      <c r="APX132" s="1056"/>
      <c r="APY132" s="1056"/>
      <c r="APZ132" s="1056"/>
      <c r="AQA132" s="1056"/>
      <c r="AQB132" s="1056"/>
      <c r="AQC132" s="1056"/>
      <c r="AQD132" s="1056"/>
      <c r="AQE132" s="1056"/>
      <c r="AQF132" s="1056"/>
      <c r="AQG132" s="1056"/>
      <c r="AQH132" s="1056"/>
      <c r="AQI132" s="1056"/>
      <c r="AQJ132" s="1056"/>
      <c r="AQK132" s="1056"/>
      <c r="AQL132" s="1056"/>
      <c r="AQM132" s="1056"/>
      <c r="AQN132" s="1056"/>
      <c r="AQO132" s="1056"/>
      <c r="AQP132" s="1056"/>
      <c r="AQQ132" s="1056"/>
      <c r="AQR132" s="1056"/>
      <c r="AQS132" s="1056"/>
      <c r="AQT132" s="1056"/>
      <c r="AQU132" s="1056"/>
      <c r="AQV132" s="1056"/>
      <c r="AQW132" s="1056"/>
      <c r="AQX132" s="1056"/>
      <c r="AQY132" s="1056"/>
      <c r="AQZ132" s="1056"/>
      <c r="ARA132" s="1056"/>
      <c r="ARB132" s="1056"/>
      <c r="ARC132" s="1056"/>
      <c r="ARD132" s="1056"/>
      <c r="ARE132" s="1056"/>
      <c r="ARF132" s="1056"/>
      <c r="ARG132" s="1056"/>
      <c r="ARH132" s="1056"/>
      <c r="ARI132" s="1056"/>
      <c r="ARJ132" s="1056"/>
      <c r="ARK132" s="1056"/>
      <c r="ARL132" s="1056"/>
      <c r="ARM132" s="1056"/>
      <c r="ARN132" s="1056"/>
      <c r="ARO132" s="1056"/>
      <c r="ARP132" s="1056"/>
      <c r="ARQ132" s="1056"/>
      <c r="ARR132" s="1056"/>
      <c r="ARS132" s="1056"/>
      <c r="ART132" s="1056"/>
      <c r="ARU132" s="1056"/>
      <c r="ARV132" s="1056"/>
      <c r="ARW132" s="1056"/>
      <c r="ARX132" s="1056"/>
      <c r="ARY132" s="1056"/>
      <c r="ARZ132" s="1056"/>
      <c r="ASA132" s="1056"/>
      <c r="ASB132" s="1056"/>
      <c r="ASC132" s="1056"/>
      <c r="ASD132" s="1056"/>
      <c r="ASE132" s="1056"/>
      <c r="ASF132" s="1056"/>
      <c r="ASG132" s="1056"/>
      <c r="ASH132" s="1056"/>
      <c r="ASI132" s="1056"/>
      <c r="ASJ132" s="1056"/>
      <c r="ASK132" s="1056"/>
      <c r="ASL132" s="1056"/>
      <c r="ASM132" s="1056"/>
      <c r="ASN132" s="1056"/>
      <c r="ASO132" s="1056"/>
      <c r="ASP132" s="1056"/>
      <c r="ASQ132" s="1056"/>
      <c r="ASR132" s="1056"/>
      <c r="ASS132" s="1056"/>
      <c r="AST132" s="1056"/>
      <c r="ASU132" s="1056"/>
      <c r="ASV132" s="1056"/>
      <c r="ASW132" s="1056"/>
      <c r="ASX132" s="1056"/>
      <c r="ASY132" s="1056"/>
      <c r="ASZ132" s="1056"/>
      <c r="ATA132" s="1056"/>
      <c r="ATB132" s="1056"/>
      <c r="ATC132" s="1056"/>
      <c r="ATD132" s="1056"/>
      <c r="ATE132" s="1056"/>
      <c r="ATF132" s="1056"/>
      <c r="ATG132" s="1056"/>
      <c r="ATH132" s="1056"/>
      <c r="ATI132" s="1056"/>
      <c r="ATJ132" s="1056"/>
      <c r="ATK132" s="1056"/>
      <c r="ATL132" s="1056"/>
      <c r="ATM132" s="1056"/>
      <c r="ATN132" s="1056"/>
      <c r="ATO132" s="1056"/>
      <c r="ATP132" s="1056"/>
      <c r="ATQ132" s="1056"/>
      <c r="ATR132" s="1056"/>
      <c r="ATS132" s="1056"/>
      <c r="ATT132" s="1056"/>
      <c r="ATU132" s="1056"/>
      <c r="ATV132" s="1056"/>
      <c r="ATW132" s="1056"/>
      <c r="ATX132" s="1056"/>
      <c r="ATY132" s="1056"/>
      <c r="ATZ132" s="1056"/>
      <c r="AUA132" s="1056"/>
      <c r="AUB132" s="1056"/>
      <c r="AUC132" s="1056"/>
      <c r="AUD132" s="1056"/>
      <c r="AUE132" s="1056"/>
      <c r="AUF132" s="1056"/>
      <c r="AUG132" s="1056"/>
      <c r="AUH132" s="1056"/>
      <c r="AUI132" s="1056"/>
      <c r="AUJ132" s="1056"/>
      <c r="AUK132" s="1056"/>
      <c r="AUL132" s="1056"/>
      <c r="AUM132" s="1056"/>
      <c r="AUN132" s="1056"/>
      <c r="AUO132" s="1056"/>
      <c r="AUP132" s="1056"/>
      <c r="AUQ132" s="1056"/>
      <c r="AUR132" s="1056"/>
      <c r="AUS132" s="1056"/>
      <c r="AUT132" s="1056"/>
      <c r="AUU132" s="1056"/>
      <c r="AUV132" s="1056"/>
      <c r="AUW132" s="1056"/>
      <c r="AUX132" s="1056"/>
      <c r="AUY132" s="1056"/>
      <c r="AUZ132" s="1056"/>
      <c r="AVA132" s="1056"/>
      <c r="AVB132" s="1056"/>
      <c r="AVC132" s="1056"/>
      <c r="AVD132" s="1056"/>
      <c r="AVE132" s="1056"/>
      <c r="AVF132" s="1056"/>
      <c r="AVG132" s="1056"/>
      <c r="AVH132" s="1056"/>
      <c r="AVI132" s="1056"/>
      <c r="AVJ132" s="1056"/>
      <c r="AVK132" s="1056"/>
      <c r="AVL132" s="1056"/>
      <c r="AVM132" s="1056"/>
      <c r="AVN132" s="1056"/>
      <c r="AVO132" s="1056"/>
      <c r="AVP132" s="1056"/>
      <c r="AVQ132" s="1056"/>
      <c r="AVR132" s="1056"/>
      <c r="AVS132" s="1056"/>
      <c r="AVT132" s="1056"/>
      <c r="AVU132" s="1056"/>
      <c r="AVV132" s="1056"/>
      <c r="AVW132" s="1056"/>
      <c r="AVX132" s="1056"/>
      <c r="AVY132" s="1056"/>
      <c r="AVZ132" s="1056"/>
      <c r="AWA132" s="1056"/>
      <c r="AWB132" s="1056"/>
      <c r="AWC132" s="1056"/>
      <c r="AWD132" s="1056"/>
      <c r="AWE132" s="1056"/>
      <c r="AWF132" s="1056"/>
      <c r="AWG132" s="1056"/>
      <c r="AWH132" s="1056"/>
      <c r="AWI132" s="1056"/>
      <c r="AWJ132" s="1056"/>
      <c r="AWK132" s="1056"/>
      <c r="AWL132" s="1056"/>
      <c r="AWM132" s="1056"/>
      <c r="AWN132" s="1056"/>
      <c r="AWO132" s="1056"/>
      <c r="AWP132" s="1056"/>
      <c r="AWQ132" s="1056"/>
      <c r="AWR132" s="1056"/>
      <c r="AWS132" s="1056"/>
      <c r="AWT132" s="1056"/>
      <c r="AWU132" s="1056"/>
      <c r="AWV132" s="1056"/>
      <c r="AWW132" s="1056"/>
      <c r="AWX132" s="1056"/>
      <c r="AWY132" s="1056"/>
      <c r="AWZ132" s="1056"/>
      <c r="AXA132" s="1056"/>
      <c r="AXB132" s="1056"/>
      <c r="AXC132" s="1056"/>
      <c r="AXD132" s="1056"/>
      <c r="AXE132" s="1056"/>
      <c r="AXF132" s="1056"/>
      <c r="AXG132" s="1056"/>
      <c r="AXH132" s="1056"/>
      <c r="AXI132" s="1056"/>
      <c r="AXJ132" s="1056"/>
      <c r="AXK132" s="1056"/>
      <c r="AXL132" s="1056"/>
      <c r="AXM132" s="1056"/>
      <c r="AXN132" s="1056"/>
      <c r="AXO132" s="1056"/>
      <c r="AXP132" s="1056"/>
      <c r="AXQ132" s="1056"/>
      <c r="AXR132" s="1056"/>
      <c r="AXS132" s="1056"/>
      <c r="AXT132" s="1056"/>
      <c r="AXU132" s="1056"/>
      <c r="AXV132" s="1056"/>
      <c r="AXW132" s="1056"/>
      <c r="AXX132" s="1056"/>
      <c r="AXY132" s="1056"/>
      <c r="AXZ132" s="1056"/>
      <c r="AYA132" s="1056"/>
      <c r="AYB132" s="1056"/>
      <c r="AYC132" s="1056"/>
      <c r="AYD132" s="1056"/>
      <c r="AYE132" s="1056"/>
      <c r="AYF132" s="1056"/>
      <c r="AYG132" s="1056"/>
      <c r="AYH132" s="1056"/>
      <c r="AYI132" s="1056"/>
      <c r="AYJ132" s="1056"/>
      <c r="AYK132" s="1056"/>
      <c r="AYL132" s="1056"/>
      <c r="AYM132" s="1056"/>
      <c r="AYN132" s="1056"/>
      <c r="AYO132" s="1056"/>
      <c r="AYP132" s="1056"/>
      <c r="AYQ132" s="1056"/>
      <c r="AYR132" s="1056"/>
      <c r="AYS132" s="1056"/>
      <c r="AYT132" s="1056"/>
      <c r="AYU132" s="1056"/>
      <c r="AYV132" s="1056"/>
      <c r="AYW132" s="1056"/>
      <c r="AYX132" s="1056"/>
      <c r="AYY132" s="1056"/>
      <c r="AYZ132" s="1056"/>
      <c r="AZA132" s="1056"/>
      <c r="AZB132" s="1056"/>
      <c r="AZC132" s="1056"/>
      <c r="AZD132" s="1056"/>
      <c r="AZE132" s="1056"/>
      <c r="AZF132" s="1056"/>
      <c r="AZG132" s="1056"/>
      <c r="AZH132" s="1056"/>
      <c r="AZI132" s="1056"/>
      <c r="AZJ132" s="1056"/>
      <c r="AZK132" s="1056"/>
      <c r="AZL132" s="1056"/>
      <c r="AZM132" s="1056"/>
      <c r="AZN132" s="1056"/>
      <c r="AZO132" s="1056"/>
      <c r="AZP132" s="1056"/>
      <c r="AZQ132" s="1056"/>
      <c r="AZR132" s="1056"/>
      <c r="AZS132" s="1056"/>
      <c r="AZT132" s="1056"/>
      <c r="AZU132" s="1056"/>
      <c r="AZV132" s="1056"/>
      <c r="AZW132" s="1056"/>
      <c r="AZX132" s="1056"/>
      <c r="AZY132" s="1056"/>
      <c r="AZZ132" s="1056"/>
      <c r="BAA132" s="1056"/>
      <c r="BAB132" s="1056"/>
      <c r="BAC132" s="1056"/>
      <c r="BAD132" s="1056"/>
      <c r="BAE132" s="1056"/>
      <c r="BAF132" s="1056"/>
      <c r="BAG132" s="1056"/>
      <c r="BAH132" s="1056"/>
      <c r="BAI132" s="1056"/>
      <c r="BAJ132" s="1056"/>
      <c r="BAK132" s="1056"/>
      <c r="BAL132" s="1056"/>
      <c r="BAM132" s="1056"/>
      <c r="BAN132" s="1056"/>
      <c r="BAO132" s="1056"/>
      <c r="BAP132" s="1056"/>
      <c r="BAQ132" s="1056"/>
      <c r="BAR132" s="1056"/>
      <c r="BAS132" s="1056"/>
      <c r="BAT132" s="1056"/>
      <c r="BAU132" s="1056"/>
      <c r="BAV132" s="1056"/>
      <c r="BAW132" s="1056"/>
      <c r="BAX132" s="1056"/>
      <c r="BAY132" s="1056"/>
      <c r="BAZ132" s="1056"/>
      <c r="BBA132" s="1056"/>
      <c r="BBB132" s="1056"/>
      <c r="BBC132" s="1056"/>
      <c r="BBD132" s="1056"/>
      <c r="BBE132" s="1056"/>
      <c r="BBF132" s="1056"/>
      <c r="BBG132" s="1056"/>
      <c r="BBH132" s="1056"/>
      <c r="BBI132" s="1056"/>
      <c r="BBJ132" s="1056"/>
      <c r="BBK132" s="1056"/>
      <c r="BBL132" s="1056"/>
      <c r="BBM132" s="1056"/>
      <c r="BBN132" s="1056"/>
      <c r="BBO132" s="1056"/>
      <c r="BBP132" s="1056"/>
      <c r="BBQ132" s="1056"/>
      <c r="BBR132" s="1056"/>
      <c r="BBS132" s="1056"/>
      <c r="BBT132" s="1056"/>
      <c r="BBU132" s="1056"/>
      <c r="BBV132" s="1056"/>
      <c r="BBW132" s="1056"/>
      <c r="BBX132" s="1056"/>
      <c r="BBY132" s="1056"/>
      <c r="BBZ132" s="1056"/>
      <c r="BCA132" s="1056"/>
      <c r="BCB132" s="1056"/>
      <c r="BCC132" s="1056"/>
      <c r="BCD132" s="1056"/>
      <c r="BCE132" s="1056"/>
      <c r="BCF132" s="1056"/>
      <c r="BCG132" s="1056"/>
      <c r="BCH132" s="1056"/>
      <c r="BCI132" s="1056"/>
      <c r="BCJ132" s="1056"/>
      <c r="BCK132" s="1056"/>
      <c r="BCL132" s="1056"/>
      <c r="BCM132" s="1056"/>
      <c r="BCN132" s="1056"/>
      <c r="BCO132" s="1056"/>
      <c r="BCP132" s="1056"/>
      <c r="BCQ132" s="1056"/>
      <c r="BCR132" s="1056"/>
      <c r="BCS132" s="1056"/>
      <c r="BCT132" s="1056"/>
      <c r="BCU132" s="1056"/>
      <c r="BCV132" s="1056"/>
      <c r="BCW132" s="1056"/>
      <c r="BCX132" s="1056"/>
      <c r="BCY132" s="1056"/>
      <c r="BCZ132" s="1056"/>
      <c r="BDA132" s="1056"/>
      <c r="BDB132" s="1056"/>
      <c r="BDC132" s="1056"/>
      <c r="BDD132" s="1056"/>
      <c r="BDE132" s="1056"/>
      <c r="BDF132" s="1056"/>
      <c r="BDG132" s="1056"/>
      <c r="BDH132" s="1056"/>
      <c r="BDI132" s="1056"/>
      <c r="BDJ132" s="1056"/>
      <c r="BDK132" s="1056"/>
      <c r="BDL132" s="1056"/>
      <c r="BDM132" s="1056"/>
      <c r="BDN132" s="1056"/>
      <c r="BDO132" s="1056"/>
      <c r="BDP132" s="1056"/>
      <c r="BDQ132" s="1056"/>
      <c r="BDR132" s="1056"/>
      <c r="BDS132" s="1056"/>
      <c r="BDT132" s="1056"/>
      <c r="BDU132" s="1056"/>
      <c r="BDV132" s="1056"/>
      <c r="BDW132" s="1056"/>
      <c r="BDX132" s="1056"/>
      <c r="BDY132" s="1056"/>
      <c r="BDZ132" s="1056"/>
      <c r="BEA132" s="1056"/>
      <c r="BEB132" s="1056"/>
      <c r="BEC132" s="1056"/>
      <c r="BED132" s="1056"/>
      <c r="BEE132" s="1056"/>
      <c r="BEF132" s="1056"/>
      <c r="BEG132" s="1056"/>
      <c r="BEH132" s="1056"/>
      <c r="BEI132" s="1056"/>
      <c r="BEJ132" s="1056"/>
      <c r="BEK132" s="1056"/>
      <c r="BEL132" s="1056"/>
      <c r="BEM132" s="1056"/>
      <c r="BEN132" s="1056"/>
      <c r="BEO132" s="1056"/>
      <c r="BEP132" s="1056"/>
      <c r="BEQ132" s="1056"/>
      <c r="BER132" s="1056"/>
      <c r="BES132" s="1056"/>
      <c r="BET132" s="1056"/>
      <c r="BEU132" s="1056"/>
      <c r="BEV132" s="1056"/>
      <c r="BEW132" s="1056"/>
      <c r="BEX132" s="1056"/>
      <c r="BEY132" s="1056"/>
      <c r="BEZ132" s="1056"/>
      <c r="BFA132" s="1056"/>
      <c r="BFB132" s="1056"/>
      <c r="BFC132" s="1056"/>
      <c r="BFD132" s="1056"/>
      <c r="BFE132" s="1056"/>
      <c r="BFF132" s="1056"/>
      <c r="BFG132" s="1056"/>
      <c r="BFH132" s="1056"/>
      <c r="BFI132" s="1056"/>
      <c r="BFJ132" s="1056"/>
      <c r="BFK132" s="1056"/>
      <c r="BFL132" s="1056"/>
      <c r="BFM132" s="1056"/>
      <c r="BFN132" s="1056"/>
      <c r="BFO132" s="1056"/>
      <c r="BFP132" s="1056"/>
      <c r="BFQ132" s="1056"/>
      <c r="BFR132" s="1056"/>
      <c r="BFS132" s="1056"/>
      <c r="BFT132" s="1056"/>
      <c r="BFU132" s="1056"/>
      <c r="BFV132" s="1056"/>
      <c r="BFW132" s="1056"/>
      <c r="BFX132" s="1056"/>
      <c r="BFY132" s="1056"/>
      <c r="BFZ132" s="1056"/>
      <c r="BGA132" s="1056"/>
      <c r="BGB132" s="1056"/>
      <c r="BGC132" s="1056"/>
      <c r="BGD132" s="1056"/>
      <c r="BGE132" s="1056"/>
      <c r="BGF132" s="1056"/>
      <c r="BGG132" s="1056"/>
      <c r="BGH132" s="1056"/>
      <c r="BGI132" s="1056"/>
      <c r="BGJ132" s="1056"/>
      <c r="BGK132" s="1056"/>
      <c r="BGL132" s="1056"/>
      <c r="BGM132" s="1056"/>
      <c r="BGN132" s="1056"/>
      <c r="BGO132" s="1056"/>
      <c r="BGP132" s="1056"/>
      <c r="BGQ132" s="1056"/>
      <c r="BGR132" s="1056"/>
      <c r="BGS132" s="1056"/>
      <c r="BGT132" s="1056"/>
      <c r="BGU132" s="1056"/>
      <c r="BGV132" s="1056"/>
      <c r="BGW132" s="1056"/>
      <c r="BGX132" s="1056"/>
      <c r="BGY132" s="1056"/>
      <c r="BGZ132" s="1056"/>
      <c r="BHA132" s="1056"/>
      <c r="BHB132" s="1056"/>
      <c r="BHC132" s="1056"/>
      <c r="BHD132" s="1056"/>
      <c r="BHE132" s="1056"/>
      <c r="BHF132" s="1056"/>
      <c r="BHG132" s="1056"/>
      <c r="BHH132" s="1056"/>
      <c r="BHI132" s="1056"/>
      <c r="BHJ132" s="1056"/>
      <c r="BHK132" s="1056"/>
      <c r="BHL132" s="1056"/>
      <c r="BHM132" s="1056"/>
      <c r="BHN132" s="1056"/>
      <c r="BHO132" s="1056"/>
      <c r="BHP132" s="1056"/>
      <c r="BHQ132" s="1056"/>
      <c r="BHR132" s="1056"/>
      <c r="BHS132" s="1056"/>
      <c r="BHT132" s="1056"/>
      <c r="BHU132" s="1056"/>
      <c r="BHV132" s="1056"/>
      <c r="BHW132" s="1056"/>
      <c r="BHX132" s="1056"/>
      <c r="BHY132" s="1056"/>
      <c r="BHZ132" s="1056"/>
      <c r="BIA132" s="1056"/>
      <c r="BIB132" s="1056"/>
      <c r="BIC132" s="1056"/>
      <c r="BID132" s="1056"/>
      <c r="BIE132" s="1056"/>
      <c r="BIF132" s="1056"/>
      <c r="BIG132" s="1056"/>
      <c r="BIH132" s="1056"/>
      <c r="BII132" s="1056"/>
      <c r="BIJ132" s="1056"/>
      <c r="BIK132" s="1056"/>
      <c r="BIL132" s="1056"/>
      <c r="BIM132" s="1056"/>
      <c r="BIN132" s="1056"/>
      <c r="BIO132" s="1056"/>
      <c r="BIP132" s="1056"/>
      <c r="BIQ132" s="1056"/>
      <c r="BIR132" s="1056"/>
      <c r="BIS132" s="1056"/>
      <c r="BIT132" s="1056"/>
      <c r="BIU132" s="1056"/>
      <c r="BIV132" s="1056"/>
      <c r="BIW132" s="1056"/>
      <c r="BIX132" s="1056"/>
      <c r="BIY132" s="1056"/>
      <c r="BIZ132" s="1056"/>
      <c r="BJA132" s="1056"/>
      <c r="BJB132" s="1056"/>
      <c r="BJC132" s="1056"/>
      <c r="BJD132" s="1056"/>
      <c r="BJE132" s="1056"/>
      <c r="BJF132" s="1056"/>
      <c r="BJG132" s="1056"/>
      <c r="BJH132" s="1056"/>
      <c r="BJI132" s="1056"/>
      <c r="BJJ132" s="1056"/>
      <c r="BJK132" s="1056"/>
      <c r="BJL132" s="1056"/>
      <c r="BJM132" s="1056"/>
      <c r="BJN132" s="1056"/>
      <c r="BJO132" s="1056"/>
      <c r="BJP132" s="1056"/>
      <c r="BJQ132" s="1056"/>
      <c r="BJR132" s="1056"/>
      <c r="BJS132" s="1056"/>
      <c r="BJT132" s="1056"/>
      <c r="BJU132" s="1056"/>
      <c r="BJV132" s="1056"/>
      <c r="BJW132" s="1056"/>
      <c r="BJX132" s="1056"/>
      <c r="BJY132" s="1056"/>
      <c r="BJZ132" s="1056"/>
      <c r="BKA132" s="1056"/>
      <c r="BKB132" s="1056"/>
      <c r="BKC132" s="1056"/>
      <c r="BKD132" s="1056"/>
      <c r="BKE132" s="1056"/>
      <c r="BKF132" s="1056"/>
      <c r="BKG132" s="1056"/>
      <c r="BKH132" s="1056"/>
      <c r="BKI132" s="1056"/>
      <c r="BKJ132" s="1056"/>
      <c r="BKK132" s="1056"/>
      <c r="BKL132" s="1056"/>
      <c r="BKM132" s="1056"/>
      <c r="BKN132" s="1056"/>
      <c r="BKO132" s="1056"/>
      <c r="BKP132" s="1056"/>
      <c r="BKQ132" s="1056"/>
      <c r="BKR132" s="1056"/>
      <c r="BKS132" s="1056"/>
      <c r="BKT132" s="1056"/>
      <c r="BKU132" s="1056"/>
      <c r="BKV132" s="1056"/>
      <c r="BKW132" s="1056"/>
      <c r="BKX132" s="1056"/>
      <c r="BKY132" s="1056"/>
      <c r="BKZ132" s="1056"/>
      <c r="BLA132" s="1056"/>
      <c r="BLB132" s="1056"/>
      <c r="BLC132" s="1056"/>
      <c r="BLD132" s="1056"/>
      <c r="BLE132" s="1056"/>
      <c r="BLF132" s="1056"/>
      <c r="BLG132" s="1056"/>
      <c r="BLH132" s="1056"/>
      <c r="BLI132" s="1056"/>
      <c r="BLJ132" s="1056"/>
      <c r="BLK132" s="1056"/>
      <c r="BLL132" s="1056"/>
      <c r="BLM132" s="1056"/>
      <c r="BLN132" s="1056"/>
      <c r="BLO132" s="1056"/>
      <c r="BLP132" s="1056"/>
      <c r="BLQ132" s="1056"/>
      <c r="BLR132" s="1056"/>
      <c r="BLS132" s="1056"/>
      <c r="BLT132" s="1056"/>
      <c r="BLU132" s="1056"/>
      <c r="BLV132" s="1056"/>
      <c r="BLW132" s="1056"/>
      <c r="BLX132" s="1056"/>
      <c r="BLY132" s="1056"/>
      <c r="BLZ132" s="1056"/>
      <c r="BMA132" s="1056"/>
      <c r="BMB132" s="1056"/>
      <c r="BMC132" s="1056"/>
      <c r="BMD132" s="1056"/>
      <c r="BME132" s="1056"/>
      <c r="BMF132" s="1056"/>
      <c r="BMG132" s="1056"/>
      <c r="BMH132" s="1056"/>
      <c r="BMI132" s="1056"/>
      <c r="BMJ132" s="1056"/>
      <c r="BMK132" s="1056"/>
      <c r="BML132" s="1056"/>
      <c r="BMM132" s="1056"/>
      <c r="BMN132" s="1056"/>
      <c r="BMO132" s="1056"/>
      <c r="BMP132" s="1056"/>
      <c r="BMQ132" s="1056"/>
      <c r="BMR132" s="1056"/>
      <c r="BMS132" s="1056"/>
      <c r="BMT132" s="1056"/>
      <c r="BMU132" s="1056"/>
      <c r="BMV132" s="1056"/>
      <c r="BMW132" s="1056"/>
      <c r="BMX132" s="1056"/>
      <c r="BMY132" s="1056"/>
      <c r="BMZ132" s="1056"/>
      <c r="BNA132" s="1056"/>
      <c r="BNB132" s="1056"/>
      <c r="BNC132" s="1056"/>
      <c r="BND132" s="1056"/>
      <c r="BNE132" s="1056"/>
      <c r="BNF132" s="1056"/>
      <c r="BNG132" s="1056"/>
      <c r="BNH132" s="1056"/>
      <c r="BNI132" s="1056"/>
      <c r="BNJ132" s="1056"/>
      <c r="BNK132" s="1056"/>
      <c r="BNL132" s="1056"/>
      <c r="BNM132" s="1056"/>
      <c r="BNN132" s="1056"/>
      <c r="BNO132" s="1056"/>
      <c r="BNP132" s="1056"/>
      <c r="BNQ132" s="1056"/>
      <c r="BNR132" s="1056"/>
      <c r="BNS132" s="1056"/>
      <c r="BNT132" s="1056"/>
      <c r="BNU132" s="1056"/>
      <c r="BNV132" s="1056"/>
      <c r="BNW132" s="1056"/>
      <c r="BNX132" s="1056"/>
      <c r="BNY132" s="1056"/>
      <c r="BNZ132" s="1056"/>
      <c r="BOA132" s="1056"/>
      <c r="BOB132" s="1056"/>
      <c r="BOC132" s="1056"/>
      <c r="BOD132" s="1056"/>
      <c r="BOE132" s="1056"/>
      <c r="BOF132" s="1056"/>
      <c r="BOG132" s="1056"/>
      <c r="BOH132" s="1056"/>
      <c r="BOI132" s="1056"/>
      <c r="BOJ132" s="1056"/>
      <c r="BOK132" s="1056"/>
      <c r="BOL132" s="1056"/>
      <c r="BOM132" s="1056"/>
      <c r="BON132" s="1056"/>
      <c r="BOO132" s="1056"/>
      <c r="BOP132" s="1056"/>
      <c r="BOQ132" s="1056"/>
      <c r="BOR132" s="1056"/>
      <c r="BOS132" s="1056"/>
      <c r="BOT132" s="1056"/>
      <c r="BOU132" s="1056"/>
      <c r="BOV132" s="1056"/>
      <c r="BOW132" s="1056"/>
      <c r="BOX132" s="1056"/>
      <c r="BOY132" s="1056"/>
      <c r="BOZ132" s="1056"/>
      <c r="BPA132" s="1056"/>
      <c r="BPB132" s="1056"/>
      <c r="BPC132" s="1056"/>
      <c r="BPD132" s="1056"/>
      <c r="BPE132" s="1056"/>
      <c r="BPF132" s="1056"/>
      <c r="BPG132" s="1056"/>
      <c r="BPH132" s="1056"/>
      <c r="BPI132" s="1056"/>
      <c r="BPJ132" s="1056"/>
      <c r="BPK132" s="1056"/>
      <c r="BPL132" s="1056"/>
      <c r="BPM132" s="1056"/>
      <c r="BPN132" s="1056"/>
      <c r="BPO132" s="1056"/>
      <c r="BPP132" s="1056"/>
      <c r="BPQ132" s="1056"/>
      <c r="BPR132" s="1056"/>
      <c r="BPS132" s="1056"/>
      <c r="BPT132" s="1056"/>
      <c r="BPU132" s="1056"/>
      <c r="BPV132" s="1056"/>
      <c r="BPW132" s="1056"/>
      <c r="BPX132" s="1056"/>
      <c r="BPY132" s="1056"/>
      <c r="BPZ132" s="1056"/>
      <c r="BQA132" s="1056"/>
      <c r="BQB132" s="1056"/>
      <c r="BQC132" s="1056"/>
      <c r="BQD132" s="1056"/>
      <c r="BQE132" s="1056"/>
      <c r="BQF132" s="1056"/>
      <c r="BQG132" s="1056"/>
      <c r="BQH132" s="1056"/>
      <c r="BQI132" s="1056"/>
      <c r="BQJ132" s="1056"/>
      <c r="BQK132" s="1056"/>
      <c r="BQL132" s="1056"/>
      <c r="BQM132" s="1056"/>
      <c r="BQN132" s="1056"/>
      <c r="BQO132" s="1056"/>
      <c r="BQP132" s="1056"/>
      <c r="BQQ132" s="1056"/>
      <c r="BQR132" s="1056"/>
      <c r="BQS132" s="1056"/>
      <c r="BQT132" s="1056"/>
      <c r="BQU132" s="1056"/>
      <c r="BQV132" s="1056"/>
      <c r="BQW132" s="1056"/>
      <c r="BQX132" s="1056"/>
      <c r="BQY132" s="1056"/>
      <c r="BQZ132" s="1056"/>
      <c r="BRA132" s="1056"/>
      <c r="BRB132" s="1056"/>
      <c r="BRC132" s="1056"/>
      <c r="BRD132" s="1056"/>
      <c r="BRE132" s="1056"/>
      <c r="BRF132" s="1056"/>
      <c r="BRG132" s="1056"/>
      <c r="BRH132" s="1056"/>
      <c r="BRI132" s="1056"/>
      <c r="BRJ132" s="1056"/>
      <c r="BRK132" s="1056"/>
      <c r="BRL132" s="1056"/>
      <c r="BRM132" s="1056"/>
      <c r="BRN132" s="1056"/>
      <c r="BRO132" s="1056"/>
      <c r="BRP132" s="1056"/>
      <c r="BRQ132" s="1056"/>
      <c r="BRR132" s="1056"/>
      <c r="BRS132" s="1056"/>
      <c r="BRT132" s="1056"/>
      <c r="BRU132" s="1056"/>
      <c r="BRV132" s="1056"/>
      <c r="BRW132" s="1056"/>
      <c r="BRX132" s="1056"/>
      <c r="BRY132" s="1056"/>
      <c r="BRZ132" s="1056"/>
      <c r="BSA132" s="1056"/>
      <c r="BSB132" s="1056"/>
      <c r="BSC132" s="1056"/>
      <c r="BSD132" s="1056"/>
      <c r="BSE132" s="1056"/>
      <c r="BSF132" s="1056"/>
      <c r="BSG132" s="1056"/>
      <c r="BSH132" s="1056"/>
      <c r="BSI132" s="1056"/>
      <c r="BSJ132" s="1056"/>
      <c r="BSK132" s="1056"/>
      <c r="BSL132" s="1056"/>
      <c r="BSM132" s="1056"/>
      <c r="BSN132" s="1056"/>
      <c r="BSO132" s="1056"/>
      <c r="BSP132" s="1056"/>
      <c r="BSQ132" s="1056"/>
      <c r="BSR132" s="1056"/>
      <c r="BSS132" s="1056"/>
      <c r="BST132" s="1056"/>
      <c r="BSU132" s="1056"/>
      <c r="BSV132" s="1056"/>
      <c r="BSW132" s="1056"/>
      <c r="BSX132" s="1056"/>
      <c r="BSY132" s="1056"/>
      <c r="BSZ132" s="1056"/>
      <c r="BTA132" s="1056"/>
      <c r="BTB132" s="1056"/>
      <c r="BTC132" s="1056"/>
      <c r="BTD132" s="1056"/>
      <c r="BTE132" s="1056"/>
      <c r="BTF132" s="1056"/>
      <c r="BTG132" s="1056"/>
      <c r="BTH132" s="1056"/>
      <c r="BTI132" s="1056"/>
    </row>
    <row r="133" spans="1:1881" s="1060" customFormat="1" ht="63.75" hidden="1" customHeight="1" thickBot="1" x14ac:dyDescent="0.35">
      <c r="A133" s="1059">
        <v>81</v>
      </c>
      <c r="B133" s="808" t="s">
        <v>62</v>
      </c>
      <c r="C133" s="808" t="s">
        <v>1387</v>
      </c>
      <c r="D133" s="746" t="s">
        <v>1389</v>
      </c>
      <c r="E133" s="1053" t="e">
        <f>HLOOKUP($D$2,'2020 Data(H)'!$C$1:$AI$426,45,FALSE)</f>
        <v>#N/A</v>
      </c>
      <c r="F133" s="287">
        <v>0</v>
      </c>
      <c r="G133" s="722"/>
      <c r="H133" s="764"/>
      <c r="I133" s="1055"/>
      <c r="J133" s="1056"/>
      <c r="K133" s="1056"/>
      <c r="L133" s="1057"/>
      <c r="M133" s="1056"/>
      <c r="N133" s="1058"/>
      <c r="O133" s="1056"/>
      <c r="P133" s="1056"/>
      <c r="Q133" s="1056"/>
      <c r="R133" s="1056"/>
      <c r="S133" s="1056"/>
      <c r="T133" s="1056"/>
      <c r="U133" s="1056"/>
      <c r="V133" s="1056"/>
      <c r="W133" s="1056"/>
      <c r="X133" s="1056"/>
      <c r="Y133" s="1056"/>
      <c r="Z133" s="1059"/>
      <c r="AA133" s="1059"/>
      <c r="AB133" s="1059"/>
      <c r="AC133" s="1059"/>
      <c r="AD133" s="1059"/>
      <c r="AE133" s="1059"/>
      <c r="AF133" s="1059"/>
      <c r="AG133" s="1059"/>
      <c r="AH133" s="1059"/>
      <c r="AI133" s="1059"/>
      <c r="AJ133" s="1059"/>
      <c r="AK133" s="1059"/>
      <c r="AL133" s="1059"/>
      <c r="AM133" s="1059"/>
      <c r="AN133" s="1059"/>
      <c r="AO133" s="1059"/>
      <c r="AP133" s="1059"/>
      <c r="AQ133" s="1059"/>
      <c r="AR133" s="1059"/>
      <c r="AS133" s="1056"/>
      <c r="AT133" s="1056"/>
      <c r="AU133" s="1056"/>
      <c r="AV133" s="1056"/>
      <c r="AW133" s="1056"/>
      <c r="AX133" s="1056"/>
      <c r="AY133" s="1056"/>
      <c r="AZ133" s="1056"/>
      <c r="BA133" s="1056"/>
      <c r="BB133" s="1056"/>
      <c r="BC133" s="1056"/>
      <c r="BD133" s="1056"/>
      <c r="BE133" s="1056"/>
      <c r="BF133" s="1056"/>
      <c r="BG133" s="1056"/>
      <c r="BH133" s="1056"/>
      <c r="BI133" s="1056"/>
      <c r="BJ133" s="1056"/>
      <c r="BK133" s="1056"/>
      <c r="BL133" s="1056"/>
      <c r="BM133" s="1056"/>
      <c r="BN133" s="1056"/>
      <c r="BO133" s="1056"/>
      <c r="BP133" s="1056"/>
      <c r="BQ133" s="1056"/>
      <c r="BR133" s="1056"/>
      <c r="BS133" s="1056"/>
      <c r="BT133" s="1056"/>
      <c r="BU133" s="1056"/>
      <c r="BV133" s="1056"/>
      <c r="BW133" s="1056"/>
      <c r="BX133" s="1056"/>
      <c r="BY133" s="1056"/>
      <c r="BZ133" s="1056"/>
      <c r="CA133" s="1056"/>
      <c r="CB133" s="1056"/>
      <c r="CC133" s="1056"/>
      <c r="CD133" s="1056"/>
      <c r="CE133" s="1056"/>
      <c r="CF133" s="1056"/>
      <c r="CG133" s="1056"/>
      <c r="CH133" s="1056"/>
      <c r="CI133" s="1056"/>
      <c r="CJ133" s="1056"/>
      <c r="CK133" s="1056"/>
      <c r="CL133" s="1056"/>
      <c r="CM133" s="1056"/>
      <c r="CN133" s="1056"/>
      <c r="CO133" s="1056"/>
      <c r="CP133" s="1056"/>
      <c r="CQ133" s="1056"/>
      <c r="CR133" s="1056"/>
      <c r="CS133" s="1056"/>
      <c r="CT133" s="1056"/>
      <c r="CU133" s="1056"/>
      <c r="CV133" s="1056"/>
      <c r="CW133" s="1056"/>
      <c r="CX133" s="1056"/>
      <c r="CY133" s="1056"/>
      <c r="CZ133" s="1056"/>
      <c r="DA133" s="1056"/>
      <c r="DB133" s="1056"/>
      <c r="DC133" s="1056"/>
      <c r="DD133" s="1056"/>
      <c r="DE133" s="1056"/>
      <c r="DF133" s="1056"/>
      <c r="DG133" s="1056"/>
      <c r="DH133" s="1056"/>
      <c r="DI133" s="1056"/>
      <c r="DJ133" s="1056"/>
      <c r="DK133" s="1056"/>
      <c r="DL133" s="1056"/>
      <c r="DM133" s="1056"/>
      <c r="DN133" s="1056"/>
      <c r="DO133" s="1056"/>
      <c r="DP133" s="1056"/>
      <c r="DQ133" s="1056"/>
      <c r="DR133" s="1056"/>
      <c r="DS133" s="1056"/>
      <c r="DT133" s="1056"/>
      <c r="DU133" s="1056"/>
      <c r="DV133" s="1056"/>
      <c r="DW133" s="1056"/>
      <c r="DX133" s="1056"/>
      <c r="DY133" s="1056"/>
      <c r="DZ133" s="1056"/>
      <c r="EA133" s="1056"/>
      <c r="EB133" s="1056"/>
      <c r="EC133" s="1056"/>
      <c r="ED133" s="1056"/>
      <c r="EE133" s="1056"/>
      <c r="EF133" s="1056"/>
      <c r="EG133" s="1056"/>
      <c r="EH133" s="1056"/>
      <c r="EI133" s="1056"/>
      <c r="EJ133" s="1056"/>
      <c r="EK133" s="1056"/>
      <c r="EL133" s="1056"/>
      <c r="EM133" s="1056"/>
      <c r="EN133" s="1056"/>
      <c r="EO133" s="1056"/>
      <c r="EP133" s="1056"/>
      <c r="EQ133" s="1056"/>
      <c r="ER133" s="1056"/>
      <c r="ES133" s="1056"/>
      <c r="ET133" s="1056"/>
      <c r="EU133" s="1056"/>
      <c r="EV133" s="1056"/>
      <c r="EW133" s="1056"/>
      <c r="EX133" s="1056"/>
      <c r="EY133" s="1056"/>
      <c r="EZ133" s="1056"/>
      <c r="FA133" s="1056"/>
      <c r="FB133" s="1056"/>
      <c r="FC133" s="1056"/>
      <c r="FD133" s="1056"/>
      <c r="FE133" s="1056"/>
      <c r="FF133" s="1056"/>
      <c r="FG133" s="1056"/>
      <c r="FH133" s="1056"/>
      <c r="FI133" s="1056"/>
      <c r="FJ133" s="1056"/>
      <c r="FK133" s="1056"/>
      <c r="FL133" s="1056"/>
      <c r="FM133" s="1056"/>
      <c r="FN133" s="1056"/>
      <c r="FO133" s="1056"/>
      <c r="FP133" s="1056"/>
      <c r="FQ133" s="1056"/>
      <c r="FR133" s="1056"/>
      <c r="FS133" s="1056"/>
      <c r="FT133" s="1056"/>
      <c r="FU133" s="1056"/>
      <c r="FV133" s="1056"/>
      <c r="FW133" s="1056"/>
      <c r="FX133" s="1056"/>
      <c r="FY133" s="1056"/>
      <c r="FZ133" s="1056"/>
      <c r="GA133" s="1056"/>
      <c r="GB133" s="1056"/>
      <c r="GC133" s="1056"/>
      <c r="GD133" s="1056"/>
      <c r="GE133" s="1056"/>
      <c r="GF133" s="1056"/>
      <c r="GG133" s="1056"/>
      <c r="GH133" s="1056"/>
      <c r="GI133" s="1056"/>
      <c r="GJ133" s="1056"/>
      <c r="GK133" s="1056"/>
      <c r="GL133" s="1056"/>
      <c r="GM133" s="1056"/>
      <c r="GN133" s="1056"/>
      <c r="GO133" s="1056"/>
      <c r="GP133" s="1056"/>
      <c r="GQ133" s="1056"/>
      <c r="GR133" s="1056"/>
      <c r="GS133" s="1056"/>
      <c r="GT133" s="1056"/>
      <c r="GU133" s="1056"/>
      <c r="GV133" s="1056"/>
      <c r="GW133" s="1056"/>
      <c r="GX133" s="1056"/>
      <c r="GY133" s="1056"/>
      <c r="GZ133" s="1056"/>
      <c r="HA133" s="1056"/>
      <c r="HB133" s="1056"/>
      <c r="HC133" s="1056"/>
      <c r="HD133" s="1056"/>
      <c r="HE133" s="1056"/>
      <c r="HF133" s="1056"/>
      <c r="HG133" s="1056"/>
      <c r="HH133" s="1056"/>
      <c r="HI133" s="1056"/>
      <c r="HJ133" s="1056"/>
      <c r="HK133" s="1056"/>
      <c r="HL133" s="1056"/>
      <c r="HM133" s="1056"/>
      <c r="HN133" s="1056"/>
      <c r="HO133" s="1056"/>
      <c r="HP133" s="1056"/>
      <c r="HQ133" s="1056"/>
      <c r="HR133" s="1056"/>
      <c r="HS133" s="1056"/>
      <c r="HT133" s="1056"/>
      <c r="HU133" s="1056"/>
      <c r="HV133" s="1056"/>
      <c r="HW133" s="1056"/>
      <c r="HX133" s="1056"/>
      <c r="HY133" s="1056"/>
      <c r="HZ133" s="1056"/>
      <c r="IA133" s="1056"/>
      <c r="IB133" s="1056"/>
      <c r="IC133" s="1056"/>
      <c r="ID133" s="1056"/>
      <c r="IE133" s="1056"/>
      <c r="IF133" s="1056"/>
      <c r="IG133" s="1056"/>
      <c r="IH133" s="1056"/>
      <c r="II133" s="1056"/>
      <c r="IJ133" s="1056"/>
      <c r="IK133" s="1056"/>
      <c r="IL133" s="1056"/>
      <c r="IM133" s="1056"/>
      <c r="IN133" s="1056"/>
      <c r="IO133" s="1056"/>
      <c r="IP133" s="1056"/>
      <c r="IQ133" s="1056"/>
      <c r="IR133" s="1056"/>
      <c r="IS133" s="1056"/>
      <c r="IT133" s="1056"/>
      <c r="IU133" s="1056"/>
      <c r="IV133" s="1056"/>
      <c r="IW133" s="1056"/>
      <c r="IX133" s="1056"/>
      <c r="IY133" s="1056"/>
      <c r="IZ133" s="1056"/>
      <c r="JA133" s="1056"/>
      <c r="JB133" s="1056"/>
      <c r="JC133" s="1056"/>
      <c r="JD133" s="1056"/>
      <c r="JE133" s="1056"/>
      <c r="JF133" s="1056"/>
      <c r="JG133" s="1056"/>
      <c r="JH133" s="1056"/>
      <c r="JI133" s="1056"/>
      <c r="JJ133" s="1056"/>
      <c r="JK133" s="1056"/>
      <c r="JL133" s="1056"/>
      <c r="JM133" s="1056"/>
      <c r="JN133" s="1056"/>
      <c r="JO133" s="1056"/>
      <c r="JP133" s="1056"/>
      <c r="JQ133" s="1056"/>
      <c r="JR133" s="1056"/>
      <c r="JS133" s="1056"/>
      <c r="JT133" s="1056"/>
      <c r="JU133" s="1056"/>
      <c r="JV133" s="1056"/>
      <c r="JW133" s="1056"/>
      <c r="JX133" s="1056"/>
      <c r="JY133" s="1056"/>
      <c r="JZ133" s="1056"/>
      <c r="KA133" s="1056"/>
      <c r="KB133" s="1056"/>
      <c r="KC133" s="1056"/>
      <c r="KD133" s="1056"/>
      <c r="KE133" s="1056"/>
      <c r="KF133" s="1056"/>
      <c r="KG133" s="1056"/>
      <c r="KH133" s="1056"/>
      <c r="KI133" s="1056"/>
      <c r="KJ133" s="1056"/>
      <c r="KK133" s="1056"/>
      <c r="KL133" s="1056"/>
      <c r="KM133" s="1056"/>
      <c r="KN133" s="1056"/>
      <c r="KO133" s="1056"/>
      <c r="KP133" s="1056"/>
      <c r="KQ133" s="1056"/>
      <c r="KR133" s="1056"/>
      <c r="KS133" s="1056"/>
      <c r="KT133" s="1056"/>
      <c r="KU133" s="1056"/>
      <c r="KV133" s="1056"/>
      <c r="KW133" s="1056"/>
      <c r="KX133" s="1056"/>
      <c r="KY133" s="1056"/>
      <c r="KZ133" s="1056"/>
      <c r="LA133" s="1056"/>
      <c r="LB133" s="1056"/>
      <c r="LC133" s="1056"/>
      <c r="LD133" s="1056"/>
      <c r="LE133" s="1056"/>
      <c r="LF133" s="1056"/>
      <c r="LG133" s="1056"/>
      <c r="LH133" s="1056"/>
      <c r="LI133" s="1056"/>
      <c r="LJ133" s="1056"/>
      <c r="LK133" s="1056"/>
      <c r="LL133" s="1056"/>
      <c r="LM133" s="1056"/>
      <c r="LN133" s="1056"/>
      <c r="LO133" s="1056"/>
      <c r="LP133" s="1056"/>
      <c r="LQ133" s="1056"/>
      <c r="LR133" s="1056"/>
      <c r="LS133" s="1056"/>
      <c r="LT133" s="1056"/>
      <c r="LU133" s="1056"/>
      <c r="LV133" s="1056"/>
      <c r="LW133" s="1056"/>
      <c r="LX133" s="1056"/>
      <c r="LY133" s="1056"/>
      <c r="LZ133" s="1056"/>
      <c r="MA133" s="1056"/>
      <c r="MB133" s="1056"/>
      <c r="MC133" s="1056"/>
      <c r="MD133" s="1056"/>
      <c r="ME133" s="1056"/>
      <c r="MF133" s="1056"/>
      <c r="MG133" s="1056"/>
      <c r="MH133" s="1056"/>
      <c r="MI133" s="1056"/>
      <c r="MJ133" s="1056"/>
      <c r="MK133" s="1056"/>
      <c r="ML133" s="1056"/>
      <c r="MM133" s="1056"/>
      <c r="MN133" s="1056"/>
      <c r="MO133" s="1056"/>
      <c r="MP133" s="1056"/>
      <c r="MQ133" s="1056"/>
      <c r="MR133" s="1056"/>
      <c r="MS133" s="1056"/>
      <c r="MT133" s="1056"/>
      <c r="MU133" s="1056"/>
      <c r="MV133" s="1056"/>
      <c r="MW133" s="1056"/>
      <c r="MX133" s="1056"/>
      <c r="MY133" s="1056"/>
      <c r="MZ133" s="1056"/>
      <c r="NA133" s="1056"/>
      <c r="NB133" s="1056"/>
      <c r="NC133" s="1056"/>
      <c r="ND133" s="1056"/>
      <c r="NE133" s="1056"/>
      <c r="NF133" s="1056"/>
      <c r="NG133" s="1056"/>
      <c r="NH133" s="1056"/>
      <c r="NI133" s="1056"/>
      <c r="NJ133" s="1056"/>
      <c r="NK133" s="1056"/>
      <c r="NL133" s="1056"/>
      <c r="NM133" s="1056"/>
      <c r="NN133" s="1056"/>
      <c r="NO133" s="1056"/>
      <c r="NP133" s="1056"/>
      <c r="NQ133" s="1056"/>
      <c r="NR133" s="1056"/>
      <c r="NS133" s="1056"/>
      <c r="NT133" s="1056"/>
      <c r="NU133" s="1056"/>
      <c r="NV133" s="1056"/>
      <c r="NW133" s="1056"/>
      <c r="NX133" s="1056"/>
      <c r="NY133" s="1056"/>
      <c r="NZ133" s="1056"/>
      <c r="OA133" s="1056"/>
      <c r="OB133" s="1056"/>
      <c r="OC133" s="1056"/>
      <c r="OD133" s="1056"/>
      <c r="OE133" s="1056"/>
      <c r="OF133" s="1056"/>
      <c r="OG133" s="1056"/>
      <c r="OH133" s="1056"/>
      <c r="OI133" s="1056"/>
      <c r="OJ133" s="1056"/>
      <c r="OK133" s="1056"/>
      <c r="OL133" s="1056"/>
      <c r="OM133" s="1056"/>
      <c r="ON133" s="1056"/>
      <c r="OO133" s="1056"/>
      <c r="OP133" s="1056"/>
      <c r="OQ133" s="1056"/>
      <c r="OR133" s="1056"/>
      <c r="OS133" s="1056"/>
      <c r="OT133" s="1056"/>
      <c r="OU133" s="1056"/>
      <c r="OV133" s="1056"/>
      <c r="OW133" s="1056"/>
      <c r="OX133" s="1056"/>
      <c r="OY133" s="1056"/>
      <c r="OZ133" s="1056"/>
      <c r="PA133" s="1056"/>
      <c r="PB133" s="1056"/>
      <c r="PC133" s="1056"/>
      <c r="PD133" s="1056"/>
      <c r="PE133" s="1056"/>
      <c r="PF133" s="1056"/>
      <c r="PG133" s="1056"/>
      <c r="PH133" s="1056"/>
      <c r="PI133" s="1056"/>
      <c r="PJ133" s="1056"/>
      <c r="PK133" s="1056"/>
      <c r="PL133" s="1056"/>
      <c r="PM133" s="1056"/>
      <c r="PN133" s="1056"/>
      <c r="PO133" s="1056"/>
      <c r="PP133" s="1056"/>
      <c r="PQ133" s="1056"/>
      <c r="PR133" s="1056"/>
      <c r="PS133" s="1056"/>
      <c r="PT133" s="1056"/>
      <c r="PU133" s="1056"/>
      <c r="PV133" s="1056"/>
      <c r="PW133" s="1056"/>
      <c r="PX133" s="1056"/>
      <c r="PY133" s="1056"/>
      <c r="PZ133" s="1056"/>
      <c r="QA133" s="1056"/>
      <c r="QB133" s="1056"/>
      <c r="QC133" s="1056"/>
      <c r="QD133" s="1056"/>
      <c r="QE133" s="1056"/>
      <c r="QF133" s="1056"/>
      <c r="QG133" s="1056"/>
      <c r="QH133" s="1056"/>
      <c r="QI133" s="1056"/>
      <c r="QJ133" s="1056"/>
      <c r="QK133" s="1056"/>
      <c r="QL133" s="1056"/>
      <c r="QM133" s="1056"/>
      <c r="QN133" s="1056"/>
      <c r="QO133" s="1056"/>
      <c r="QP133" s="1056"/>
      <c r="QQ133" s="1056"/>
      <c r="QR133" s="1056"/>
      <c r="QS133" s="1056"/>
      <c r="QT133" s="1056"/>
      <c r="QU133" s="1056"/>
      <c r="QV133" s="1056"/>
      <c r="QW133" s="1056"/>
      <c r="QX133" s="1056"/>
      <c r="QY133" s="1056"/>
      <c r="QZ133" s="1056"/>
      <c r="RA133" s="1056"/>
      <c r="RB133" s="1056"/>
      <c r="RC133" s="1056"/>
      <c r="RD133" s="1056"/>
      <c r="RE133" s="1056"/>
      <c r="RF133" s="1056"/>
      <c r="RG133" s="1056"/>
      <c r="RH133" s="1056"/>
      <c r="RI133" s="1056"/>
      <c r="RJ133" s="1056"/>
      <c r="RK133" s="1056"/>
      <c r="RL133" s="1056"/>
      <c r="RM133" s="1056"/>
      <c r="RN133" s="1056"/>
      <c r="RO133" s="1056"/>
      <c r="RP133" s="1056"/>
      <c r="RQ133" s="1056"/>
      <c r="RR133" s="1056"/>
      <c r="RS133" s="1056"/>
      <c r="RT133" s="1056"/>
      <c r="RU133" s="1056"/>
      <c r="RV133" s="1056"/>
      <c r="RW133" s="1056"/>
      <c r="RX133" s="1056"/>
      <c r="RY133" s="1056"/>
      <c r="RZ133" s="1056"/>
      <c r="SA133" s="1056"/>
      <c r="SB133" s="1056"/>
      <c r="SC133" s="1056"/>
      <c r="SD133" s="1056"/>
      <c r="SE133" s="1056"/>
      <c r="SF133" s="1056"/>
      <c r="SG133" s="1056"/>
      <c r="SH133" s="1056"/>
      <c r="SI133" s="1056"/>
      <c r="SJ133" s="1056"/>
      <c r="SK133" s="1056"/>
      <c r="SL133" s="1056"/>
      <c r="SM133" s="1056"/>
      <c r="SN133" s="1056"/>
      <c r="SO133" s="1056"/>
      <c r="SP133" s="1056"/>
      <c r="SQ133" s="1056"/>
      <c r="SR133" s="1056"/>
      <c r="SS133" s="1056"/>
      <c r="ST133" s="1056"/>
      <c r="SU133" s="1056"/>
      <c r="SV133" s="1056"/>
      <c r="SW133" s="1056"/>
      <c r="SX133" s="1056"/>
      <c r="SY133" s="1056"/>
      <c r="SZ133" s="1056"/>
      <c r="TA133" s="1056"/>
      <c r="TB133" s="1056"/>
      <c r="TC133" s="1056"/>
      <c r="TD133" s="1056"/>
      <c r="TE133" s="1056"/>
      <c r="TF133" s="1056"/>
      <c r="TG133" s="1056"/>
      <c r="TH133" s="1056"/>
      <c r="TI133" s="1056"/>
      <c r="TJ133" s="1056"/>
      <c r="TK133" s="1056"/>
      <c r="TL133" s="1056"/>
      <c r="TM133" s="1056"/>
      <c r="TN133" s="1056"/>
      <c r="TO133" s="1056"/>
      <c r="TP133" s="1056"/>
      <c r="TQ133" s="1056"/>
      <c r="TR133" s="1056"/>
      <c r="TS133" s="1056"/>
      <c r="TT133" s="1056"/>
      <c r="TU133" s="1056"/>
      <c r="TV133" s="1056"/>
      <c r="TW133" s="1056"/>
      <c r="TX133" s="1056"/>
      <c r="TY133" s="1056"/>
      <c r="TZ133" s="1056"/>
      <c r="UA133" s="1056"/>
      <c r="UB133" s="1056"/>
      <c r="UC133" s="1056"/>
      <c r="UD133" s="1056"/>
      <c r="UE133" s="1056"/>
      <c r="UF133" s="1056"/>
      <c r="UG133" s="1056"/>
      <c r="UH133" s="1056"/>
      <c r="UI133" s="1056"/>
      <c r="UJ133" s="1056"/>
      <c r="UK133" s="1056"/>
      <c r="UL133" s="1056"/>
      <c r="UM133" s="1056"/>
      <c r="UN133" s="1056"/>
      <c r="UO133" s="1056"/>
      <c r="UP133" s="1056"/>
      <c r="UQ133" s="1056"/>
      <c r="UR133" s="1056"/>
      <c r="US133" s="1056"/>
      <c r="UT133" s="1056"/>
      <c r="UU133" s="1056"/>
      <c r="UV133" s="1056"/>
      <c r="UW133" s="1056"/>
      <c r="UX133" s="1056"/>
      <c r="UY133" s="1056"/>
      <c r="UZ133" s="1056"/>
      <c r="VA133" s="1056"/>
      <c r="VB133" s="1056"/>
      <c r="VC133" s="1056"/>
      <c r="VD133" s="1056"/>
      <c r="VE133" s="1056"/>
      <c r="VF133" s="1056"/>
      <c r="VG133" s="1056"/>
      <c r="VH133" s="1056"/>
      <c r="VI133" s="1056"/>
      <c r="VJ133" s="1056"/>
      <c r="VK133" s="1056"/>
      <c r="VL133" s="1056"/>
      <c r="VM133" s="1056"/>
      <c r="VN133" s="1056"/>
      <c r="VO133" s="1056"/>
      <c r="VP133" s="1056"/>
      <c r="VQ133" s="1056"/>
      <c r="VR133" s="1056"/>
      <c r="VS133" s="1056"/>
      <c r="VT133" s="1056"/>
      <c r="VU133" s="1056"/>
      <c r="VV133" s="1056"/>
      <c r="VW133" s="1056"/>
      <c r="VX133" s="1056"/>
      <c r="VY133" s="1056"/>
      <c r="VZ133" s="1056"/>
      <c r="WA133" s="1056"/>
      <c r="WB133" s="1056"/>
      <c r="WC133" s="1056"/>
      <c r="WD133" s="1056"/>
      <c r="WE133" s="1056"/>
      <c r="WF133" s="1056"/>
      <c r="WG133" s="1056"/>
      <c r="WH133" s="1056"/>
      <c r="WI133" s="1056"/>
      <c r="WJ133" s="1056"/>
      <c r="WK133" s="1056"/>
      <c r="WL133" s="1056"/>
      <c r="WM133" s="1056"/>
      <c r="WN133" s="1056"/>
      <c r="WO133" s="1056"/>
      <c r="WP133" s="1056"/>
      <c r="WQ133" s="1056"/>
      <c r="WR133" s="1056"/>
      <c r="WS133" s="1056"/>
      <c r="WT133" s="1056"/>
      <c r="WU133" s="1056"/>
      <c r="WV133" s="1056"/>
      <c r="WW133" s="1056"/>
      <c r="WX133" s="1056"/>
      <c r="WY133" s="1056"/>
      <c r="WZ133" s="1056"/>
      <c r="XA133" s="1056"/>
      <c r="XB133" s="1056"/>
      <c r="XC133" s="1056"/>
      <c r="XD133" s="1056"/>
      <c r="XE133" s="1056"/>
      <c r="XF133" s="1056"/>
      <c r="XG133" s="1056"/>
      <c r="XH133" s="1056"/>
      <c r="XI133" s="1056"/>
      <c r="XJ133" s="1056"/>
      <c r="XK133" s="1056"/>
      <c r="XL133" s="1056"/>
      <c r="XM133" s="1056"/>
      <c r="XN133" s="1056"/>
      <c r="XO133" s="1056"/>
      <c r="XP133" s="1056"/>
      <c r="XQ133" s="1056"/>
      <c r="XR133" s="1056"/>
      <c r="XS133" s="1056"/>
      <c r="XT133" s="1056"/>
      <c r="XU133" s="1056"/>
      <c r="XV133" s="1056"/>
      <c r="XW133" s="1056"/>
      <c r="XX133" s="1056"/>
      <c r="XY133" s="1056"/>
      <c r="XZ133" s="1056"/>
      <c r="YA133" s="1056"/>
      <c r="YB133" s="1056"/>
      <c r="YC133" s="1056"/>
      <c r="YD133" s="1056"/>
      <c r="YE133" s="1056"/>
      <c r="YF133" s="1056"/>
      <c r="YG133" s="1056"/>
      <c r="YH133" s="1056"/>
      <c r="YI133" s="1056"/>
      <c r="YJ133" s="1056"/>
      <c r="YK133" s="1056"/>
      <c r="YL133" s="1056"/>
      <c r="YM133" s="1056"/>
      <c r="YN133" s="1056"/>
      <c r="YO133" s="1056"/>
      <c r="YP133" s="1056"/>
      <c r="YQ133" s="1056"/>
      <c r="YR133" s="1056"/>
      <c r="YS133" s="1056"/>
      <c r="YT133" s="1056"/>
      <c r="YU133" s="1056"/>
      <c r="YV133" s="1056"/>
      <c r="YW133" s="1056"/>
      <c r="YX133" s="1056"/>
      <c r="YY133" s="1056"/>
      <c r="YZ133" s="1056"/>
      <c r="ZA133" s="1056"/>
      <c r="ZB133" s="1056"/>
      <c r="ZC133" s="1056"/>
      <c r="ZD133" s="1056"/>
      <c r="ZE133" s="1056"/>
      <c r="ZF133" s="1056"/>
      <c r="ZG133" s="1056"/>
      <c r="ZH133" s="1056"/>
      <c r="ZI133" s="1056"/>
      <c r="ZJ133" s="1056"/>
      <c r="ZK133" s="1056"/>
      <c r="ZL133" s="1056"/>
      <c r="ZM133" s="1056"/>
      <c r="ZN133" s="1056"/>
      <c r="ZO133" s="1056"/>
      <c r="ZP133" s="1056"/>
      <c r="ZQ133" s="1056"/>
      <c r="ZR133" s="1056"/>
      <c r="ZS133" s="1056"/>
      <c r="ZT133" s="1056"/>
      <c r="ZU133" s="1056"/>
      <c r="ZV133" s="1056"/>
      <c r="ZW133" s="1056"/>
      <c r="ZX133" s="1056"/>
      <c r="ZY133" s="1056"/>
      <c r="ZZ133" s="1056"/>
      <c r="AAA133" s="1056"/>
      <c r="AAB133" s="1056"/>
      <c r="AAC133" s="1056"/>
      <c r="AAD133" s="1056"/>
      <c r="AAE133" s="1056"/>
      <c r="AAF133" s="1056"/>
      <c r="AAG133" s="1056"/>
      <c r="AAH133" s="1056"/>
      <c r="AAI133" s="1056"/>
      <c r="AAJ133" s="1056"/>
      <c r="AAK133" s="1056"/>
      <c r="AAL133" s="1056"/>
      <c r="AAM133" s="1056"/>
      <c r="AAN133" s="1056"/>
      <c r="AAO133" s="1056"/>
      <c r="AAP133" s="1056"/>
      <c r="AAQ133" s="1056"/>
      <c r="AAR133" s="1056"/>
      <c r="AAS133" s="1056"/>
      <c r="AAT133" s="1056"/>
      <c r="AAU133" s="1056"/>
      <c r="AAV133" s="1056"/>
      <c r="AAW133" s="1056"/>
      <c r="AAX133" s="1056"/>
      <c r="AAY133" s="1056"/>
      <c r="AAZ133" s="1056"/>
      <c r="ABA133" s="1056"/>
      <c r="ABB133" s="1056"/>
      <c r="ABC133" s="1056"/>
      <c r="ABD133" s="1056"/>
      <c r="ABE133" s="1056"/>
      <c r="ABF133" s="1056"/>
      <c r="ABG133" s="1056"/>
      <c r="ABH133" s="1056"/>
      <c r="ABI133" s="1056"/>
      <c r="ABJ133" s="1056"/>
      <c r="ABK133" s="1056"/>
      <c r="ABL133" s="1056"/>
      <c r="ABM133" s="1056"/>
      <c r="ABN133" s="1056"/>
      <c r="ABO133" s="1056"/>
      <c r="ABP133" s="1056"/>
      <c r="ABQ133" s="1056"/>
      <c r="ABR133" s="1056"/>
      <c r="ABS133" s="1056"/>
      <c r="ABT133" s="1056"/>
      <c r="ABU133" s="1056"/>
      <c r="ABV133" s="1056"/>
      <c r="ABW133" s="1056"/>
      <c r="ABX133" s="1056"/>
      <c r="ABY133" s="1056"/>
      <c r="ABZ133" s="1056"/>
      <c r="ACA133" s="1056"/>
      <c r="ACB133" s="1056"/>
      <c r="ACC133" s="1056"/>
      <c r="ACD133" s="1056"/>
      <c r="ACE133" s="1056"/>
      <c r="ACF133" s="1056"/>
      <c r="ACG133" s="1056"/>
      <c r="ACH133" s="1056"/>
      <c r="ACI133" s="1056"/>
      <c r="ACJ133" s="1056"/>
      <c r="ACK133" s="1056"/>
      <c r="ACL133" s="1056"/>
      <c r="ACM133" s="1056"/>
      <c r="ACN133" s="1056"/>
      <c r="ACO133" s="1056"/>
      <c r="ACP133" s="1056"/>
      <c r="ACQ133" s="1056"/>
      <c r="ACR133" s="1056"/>
      <c r="ACS133" s="1056"/>
      <c r="ACT133" s="1056"/>
      <c r="ACU133" s="1056"/>
      <c r="ACV133" s="1056"/>
      <c r="ACW133" s="1056"/>
      <c r="ACX133" s="1056"/>
      <c r="ACY133" s="1056"/>
      <c r="ACZ133" s="1056"/>
      <c r="ADA133" s="1056"/>
      <c r="ADB133" s="1056"/>
      <c r="ADC133" s="1056"/>
      <c r="ADD133" s="1056"/>
      <c r="ADE133" s="1056"/>
      <c r="ADF133" s="1056"/>
      <c r="ADG133" s="1056"/>
      <c r="ADH133" s="1056"/>
      <c r="ADI133" s="1056"/>
      <c r="ADJ133" s="1056"/>
      <c r="ADK133" s="1056"/>
      <c r="ADL133" s="1056"/>
      <c r="ADM133" s="1056"/>
      <c r="ADN133" s="1056"/>
      <c r="ADO133" s="1056"/>
      <c r="ADP133" s="1056"/>
      <c r="ADQ133" s="1056"/>
      <c r="ADR133" s="1056"/>
      <c r="ADS133" s="1056"/>
      <c r="ADT133" s="1056"/>
      <c r="ADU133" s="1056"/>
      <c r="ADV133" s="1056"/>
      <c r="ADW133" s="1056"/>
      <c r="ADX133" s="1056"/>
      <c r="ADY133" s="1056"/>
      <c r="ADZ133" s="1056"/>
      <c r="AEA133" s="1056"/>
      <c r="AEB133" s="1056"/>
      <c r="AEC133" s="1056"/>
      <c r="AED133" s="1056"/>
      <c r="AEE133" s="1056"/>
      <c r="AEF133" s="1056"/>
      <c r="AEG133" s="1056"/>
      <c r="AEH133" s="1056"/>
      <c r="AEI133" s="1056"/>
      <c r="AEJ133" s="1056"/>
      <c r="AEK133" s="1056"/>
      <c r="AEL133" s="1056"/>
      <c r="AEM133" s="1056"/>
      <c r="AEN133" s="1056"/>
      <c r="AEO133" s="1056"/>
      <c r="AEP133" s="1056"/>
      <c r="AEQ133" s="1056"/>
      <c r="AER133" s="1056"/>
      <c r="AES133" s="1056"/>
      <c r="AET133" s="1056"/>
      <c r="AEU133" s="1056"/>
      <c r="AEV133" s="1056"/>
      <c r="AEW133" s="1056"/>
      <c r="AEX133" s="1056"/>
      <c r="AEY133" s="1056"/>
      <c r="AEZ133" s="1056"/>
      <c r="AFA133" s="1056"/>
      <c r="AFB133" s="1056"/>
      <c r="AFC133" s="1056"/>
      <c r="AFD133" s="1056"/>
      <c r="AFE133" s="1056"/>
      <c r="AFF133" s="1056"/>
      <c r="AFG133" s="1056"/>
      <c r="AFH133" s="1056"/>
      <c r="AFI133" s="1056"/>
      <c r="AFJ133" s="1056"/>
      <c r="AFK133" s="1056"/>
      <c r="AFL133" s="1056"/>
      <c r="AFM133" s="1056"/>
      <c r="AFN133" s="1056"/>
      <c r="AFO133" s="1056"/>
      <c r="AFP133" s="1056"/>
      <c r="AFQ133" s="1056"/>
      <c r="AFR133" s="1056"/>
      <c r="AFS133" s="1056"/>
      <c r="AFT133" s="1056"/>
      <c r="AFU133" s="1056"/>
      <c r="AFV133" s="1056"/>
      <c r="AFW133" s="1056"/>
      <c r="AFX133" s="1056"/>
      <c r="AFY133" s="1056"/>
      <c r="AFZ133" s="1056"/>
      <c r="AGA133" s="1056"/>
      <c r="AGB133" s="1056"/>
      <c r="AGC133" s="1056"/>
      <c r="AGD133" s="1056"/>
      <c r="AGE133" s="1056"/>
      <c r="AGF133" s="1056"/>
      <c r="AGG133" s="1056"/>
      <c r="AGH133" s="1056"/>
      <c r="AGI133" s="1056"/>
      <c r="AGJ133" s="1056"/>
      <c r="AGK133" s="1056"/>
      <c r="AGL133" s="1056"/>
      <c r="AGM133" s="1056"/>
      <c r="AGN133" s="1056"/>
      <c r="AGO133" s="1056"/>
      <c r="AGP133" s="1056"/>
      <c r="AGQ133" s="1056"/>
      <c r="AGR133" s="1056"/>
      <c r="AGS133" s="1056"/>
      <c r="AGT133" s="1056"/>
      <c r="AGU133" s="1056"/>
      <c r="AGV133" s="1056"/>
      <c r="AGW133" s="1056"/>
      <c r="AGX133" s="1056"/>
      <c r="AGY133" s="1056"/>
      <c r="AGZ133" s="1056"/>
      <c r="AHA133" s="1056"/>
      <c r="AHB133" s="1056"/>
      <c r="AHC133" s="1056"/>
      <c r="AHD133" s="1056"/>
      <c r="AHE133" s="1056"/>
      <c r="AHF133" s="1056"/>
      <c r="AHG133" s="1056"/>
      <c r="AHH133" s="1056"/>
      <c r="AHI133" s="1056"/>
      <c r="AHJ133" s="1056"/>
      <c r="AHK133" s="1056"/>
      <c r="AHL133" s="1056"/>
      <c r="AHM133" s="1056"/>
      <c r="AHN133" s="1056"/>
      <c r="AHO133" s="1056"/>
      <c r="AHP133" s="1056"/>
      <c r="AHQ133" s="1056"/>
      <c r="AHR133" s="1056"/>
      <c r="AHS133" s="1056"/>
      <c r="AHT133" s="1056"/>
      <c r="AHU133" s="1056"/>
      <c r="AHV133" s="1056"/>
      <c r="AHW133" s="1056"/>
      <c r="AHX133" s="1056"/>
      <c r="AHY133" s="1056"/>
      <c r="AHZ133" s="1056"/>
      <c r="AIA133" s="1056"/>
      <c r="AIB133" s="1056"/>
      <c r="AIC133" s="1056"/>
      <c r="AID133" s="1056"/>
      <c r="AIE133" s="1056"/>
      <c r="AIF133" s="1056"/>
      <c r="AIG133" s="1056"/>
      <c r="AIH133" s="1056"/>
      <c r="AII133" s="1056"/>
      <c r="AIJ133" s="1056"/>
      <c r="AIK133" s="1056"/>
      <c r="AIL133" s="1056"/>
      <c r="AIM133" s="1056"/>
      <c r="AIN133" s="1056"/>
      <c r="AIO133" s="1056"/>
      <c r="AIP133" s="1056"/>
      <c r="AIQ133" s="1056"/>
      <c r="AIR133" s="1056"/>
      <c r="AIS133" s="1056"/>
      <c r="AIT133" s="1056"/>
      <c r="AIU133" s="1056"/>
      <c r="AIV133" s="1056"/>
      <c r="AIW133" s="1056"/>
      <c r="AIX133" s="1056"/>
      <c r="AIY133" s="1056"/>
      <c r="AIZ133" s="1056"/>
      <c r="AJA133" s="1056"/>
      <c r="AJB133" s="1056"/>
      <c r="AJC133" s="1056"/>
      <c r="AJD133" s="1056"/>
      <c r="AJE133" s="1056"/>
      <c r="AJF133" s="1056"/>
      <c r="AJG133" s="1056"/>
      <c r="AJH133" s="1056"/>
      <c r="AJI133" s="1056"/>
      <c r="AJJ133" s="1056"/>
      <c r="AJK133" s="1056"/>
      <c r="AJL133" s="1056"/>
      <c r="AJM133" s="1056"/>
      <c r="AJN133" s="1056"/>
      <c r="AJO133" s="1056"/>
      <c r="AJP133" s="1056"/>
      <c r="AJQ133" s="1056"/>
      <c r="AJR133" s="1056"/>
      <c r="AJS133" s="1056"/>
      <c r="AJT133" s="1056"/>
      <c r="AJU133" s="1056"/>
      <c r="AJV133" s="1056"/>
      <c r="AJW133" s="1056"/>
      <c r="AJX133" s="1056"/>
      <c r="AJY133" s="1056"/>
      <c r="AJZ133" s="1056"/>
      <c r="AKA133" s="1056"/>
      <c r="AKB133" s="1056"/>
      <c r="AKC133" s="1056"/>
      <c r="AKD133" s="1056"/>
      <c r="AKE133" s="1056"/>
      <c r="AKF133" s="1056"/>
      <c r="AKG133" s="1056"/>
      <c r="AKH133" s="1056"/>
      <c r="AKI133" s="1056"/>
      <c r="AKJ133" s="1056"/>
      <c r="AKK133" s="1056"/>
      <c r="AKL133" s="1056"/>
      <c r="AKM133" s="1056"/>
      <c r="AKN133" s="1056"/>
      <c r="AKO133" s="1056"/>
      <c r="AKP133" s="1056"/>
      <c r="AKQ133" s="1056"/>
      <c r="AKR133" s="1056"/>
      <c r="AKS133" s="1056"/>
      <c r="AKT133" s="1056"/>
      <c r="AKU133" s="1056"/>
      <c r="AKV133" s="1056"/>
      <c r="AKW133" s="1056"/>
      <c r="AKX133" s="1056"/>
      <c r="AKY133" s="1056"/>
      <c r="AKZ133" s="1056"/>
      <c r="ALA133" s="1056"/>
      <c r="ALB133" s="1056"/>
      <c r="ALC133" s="1056"/>
      <c r="ALD133" s="1056"/>
      <c r="ALE133" s="1056"/>
      <c r="ALF133" s="1056"/>
      <c r="ALG133" s="1056"/>
      <c r="ALH133" s="1056"/>
      <c r="ALI133" s="1056"/>
      <c r="ALJ133" s="1056"/>
      <c r="ALK133" s="1056"/>
      <c r="ALL133" s="1056"/>
      <c r="ALM133" s="1056"/>
      <c r="ALN133" s="1056"/>
      <c r="ALO133" s="1056"/>
      <c r="ALP133" s="1056"/>
      <c r="ALQ133" s="1056"/>
      <c r="ALR133" s="1056"/>
      <c r="ALS133" s="1056"/>
      <c r="ALT133" s="1056"/>
      <c r="ALU133" s="1056"/>
      <c r="ALV133" s="1056"/>
      <c r="ALW133" s="1056"/>
      <c r="ALX133" s="1056"/>
      <c r="ALY133" s="1056"/>
      <c r="ALZ133" s="1056"/>
      <c r="AMA133" s="1056"/>
      <c r="AMB133" s="1056"/>
      <c r="AMC133" s="1056"/>
      <c r="AMD133" s="1056"/>
      <c r="AME133" s="1056"/>
      <c r="AMF133" s="1056"/>
      <c r="AMG133" s="1056"/>
      <c r="AMH133" s="1056"/>
      <c r="AMI133" s="1056"/>
      <c r="AMJ133" s="1056"/>
      <c r="AMK133" s="1056"/>
      <c r="AML133" s="1056"/>
      <c r="AMM133" s="1056"/>
      <c r="AMN133" s="1056"/>
      <c r="AMO133" s="1056"/>
      <c r="AMP133" s="1056"/>
      <c r="AMQ133" s="1056"/>
      <c r="AMR133" s="1056"/>
      <c r="AMS133" s="1056"/>
      <c r="AMT133" s="1056"/>
      <c r="AMU133" s="1056"/>
      <c r="AMV133" s="1056"/>
      <c r="AMW133" s="1056"/>
      <c r="AMX133" s="1056"/>
      <c r="AMY133" s="1056"/>
      <c r="AMZ133" s="1056"/>
      <c r="ANA133" s="1056"/>
      <c r="ANB133" s="1056"/>
      <c r="ANC133" s="1056"/>
      <c r="AND133" s="1056"/>
      <c r="ANE133" s="1056"/>
      <c r="ANF133" s="1056"/>
      <c r="ANG133" s="1056"/>
      <c r="ANH133" s="1056"/>
      <c r="ANI133" s="1056"/>
      <c r="ANJ133" s="1056"/>
      <c r="ANK133" s="1056"/>
      <c r="ANL133" s="1056"/>
      <c r="ANM133" s="1056"/>
      <c r="ANN133" s="1056"/>
      <c r="ANO133" s="1056"/>
      <c r="ANP133" s="1056"/>
      <c r="ANQ133" s="1056"/>
      <c r="ANR133" s="1056"/>
      <c r="ANS133" s="1056"/>
      <c r="ANT133" s="1056"/>
      <c r="ANU133" s="1056"/>
      <c r="ANV133" s="1056"/>
      <c r="ANW133" s="1056"/>
      <c r="ANX133" s="1056"/>
      <c r="ANY133" s="1056"/>
      <c r="ANZ133" s="1056"/>
      <c r="AOA133" s="1056"/>
      <c r="AOB133" s="1056"/>
      <c r="AOC133" s="1056"/>
      <c r="AOD133" s="1056"/>
      <c r="AOE133" s="1056"/>
      <c r="AOF133" s="1056"/>
      <c r="AOG133" s="1056"/>
      <c r="AOH133" s="1056"/>
      <c r="AOI133" s="1056"/>
      <c r="AOJ133" s="1056"/>
      <c r="AOK133" s="1056"/>
      <c r="AOL133" s="1056"/>
      <c r="AOM133" s="1056"/>
      <c r="AON133" s="1056"/>
      <c r="AOO133" s="1056"/>
      <c r="AOP133" s="1056"/>
      <c r="AOQ133" s="1056"/>
      <c r="AOR133" s="1056"/>
      <c r="AOS133" s="1056"/>
      <c r="AOT133" s="1056"/>
      <c r="AOU133" s="1056"/>
      <c r="AOV133" s="1056"/>
      <c r="AOW133" s="1056"/>
      <c r="AOX133" s="1056"/>
      <c r="AOY133" s="1056"/>
      <c r="AOZ133" s="1056"/>
      <c r="APA133" s="1056"/>
      <c r="APB133" s="1056"/>
      <c r="APC133" s="1056"/>
      <c r="APD133" s="1056"/>
      <c r="APE133" s="1056"/>
      <c r="APF133" s="1056"/>
      <c r="APG133" s="1056"/>
      <c r="APH133" s="1056"/>
      <c r="API133" s="1056"/>
      <c r="APJ133" s="1056"/>
      <c r="APK133" s="1056"/>
      <c r="APL133" s="1056"/>
      <c r="APM133" s="1056"/>
      <c r="APN133" s="1056"/>
      <c r="APO133" s="1056"/>
      <c r="APP133" s="1056"/>
      <c r="APQ133" s="1056"/>
      <c r="APR133" s="1056"/>
      <c r="APS133" s="1056"/>
      <c r="APT133" s="1056"/>
      <c r="APU133" s="1056"/>
      <c r="APV133" s="1056"/>
      <c r="APW133" s="1056"/>
      <c r="APX133" s="1056"/>
      <c r="APY133" s="1056"/>
      <c r="APZ133" s="1056"/>
      <c r="AQA133" s="1056"/>
      <c r="AQB133" s="1056"/>
      <c r="AQC133" s="1056"/>
      <c r="AQD133" s="1056"/>
      <c r="AQE133" s="1056"/>
      <c r="AQF133" s="1056"/>
      <c r="AQG133" s="1056"/>
      <c r="AQH133" s="1056"/>
      <c r="AQI133" s="1056"/>
      <c r="AQJ133" s="1056"/>
      <c r="AQK133" s="1056"/>
      <c r="AQL133" s="1056"/>
      <c r="AQM133" s="1056"/>
      <c r="AQN133" s="1056"/>
      <c r="AQO133" s="1056"/>
      <c r="AQP133" s="1056"/>
      <c r="AQQ133" s="1056"/>
      <c r="AQR133" s="1056"/>
      <c r="AQS133" s="1056"/>
      <c r="AQT133" s="1056"/>
      <c r="AQU133" s="1056"/>
      <c r="AQV133" s="1056"/>
      <c r="AQW133" s="1056"/>
      <c r="AQX133" s="1056"/>
      <c r="AQY133" s="1056"/>
      <c r="AQZ133" s="1056"/>
      <c r="ARA133" s="1056"/>
      <c r="ARB133" s="1056"/>
      <c r="ARC133" s="1056"/>
      <c r="ARD133" s="1056"/>
      <c r="ARE133" s="1056"/>
      <c r="ARF133" s="1056"/>
      <c r="ARG133" s="1056"/>
      <c r="ARH133" s="1056"/>
      <c r="ARI133" s="1056"/>
      <c r="ARJ133" s="1056"/>
      <c r="ARK133" s="1056"/>
      <c r="ARL133" s="1056"/>
      <c r="ARM133" s="1056"/>
      <c r="ARN133" s="1056"/>
      <c r="ARO133" s="1056"/>
      <c r="ARP133" s="1056"/>
      <c r="ARQ133" s="1056"/>
      <c r="ARR133" s="1056"/>
      <c r="ARS133" s="1056"/>
      <c r="ART133" s="1056"/>
      <c r="ARU133" s="1056"/>
      <c r="ARV133" s="1056"/>
      <c r="ARW133" s="1056"/>
      <c r="ARX133" s="1056"/>
      <c r="ARY133" s="1056"/>
      <c r="ARZ133" s="1056"/>
      <c r="ASA133" s="1056"/>
      <c r="ASB133" s="1056"/>
      <c r="ASC133" s="1056"/>
      <c r="ASD133" s="1056"/>
      <c r="ASE133" s="1056"/>
      <c r="ASF133" s="1056"/>
      <c r="ASG133" s="1056"/>
      <c r="ASH133" s="1056"/>
      <c r="ASI133" s="1056"/>
      <c r="ASJ133" s="1056"/>
      <c r="ASK133" s="1056"/>
      <c r="ASL133" s="1056"/>
      <c r="ASM133" s="1056"/>
      <c r="ASN133" s="1056"/>
      <c r="ASO133" s="1056"/>
      <c r="ASP133" s="1056"/>
      <c r="ASQ133" s="1056"/>
      <c r="ASR133" s="1056"/>
      <c r="ASS133" s="1056"/>
      <c r="AST133" s="1056"/>
      <c r="ASU133" s="1056"/>
      <c r="ASV133" s="1056"/>
      <c r="ASW133" s="1056"/>
      <c r="ASX133" s="1056"/>
      <c r="ASY133" s="1056"/>
      <c r="ASZ133" s="1056"/>
      <c r="ATA133" s="1056"/>
      <c r="ATB133" s="1056"/>
      <c r="ATC133" s="1056"/>
      <c r="ATD133" s="1056"/>
      <c r="ATE133" s="1056"/>
      <c r="ATF133" s="1056"/>
      <c r="ATG133" s="1056"/>
      <c r="ATH133" s="1056"/>
      <c r="ATI133" s="1056"/>
      <c r="ATJ133" s="1056"/>
      <c r="ATK133" s="1056"/>
      <c r="ATL133" s="1056"/>
      <c r="ATM133" s="1056"/>
      <c r="ATN133" s="1056"/>
      <c r="ATO133" s="1056"/>
      <c r="ATP133" s="1056"/>
      <c r="ATQ133" s="1056"/>
      <c r="ATR133" s="1056"/>
      <c r="ATS133" s="1056"/>
      <c r="ATT133" s="1056"/>
      <c r="ATU133" s="1056"/>
      <c r="ATV133" s="1056"/>
      <c r="ATW133" s="1056"/>
      <c r="ATX133" s="1056"/>
      <c r="ATY133" s="1056"/>
      <c r="ATZ133" s="1056"/>
      <c r="AUA133" s="1056"/>
      <c r="AUB133" s="1056"/>
      <c r="AUC133" s="1056"/>
      <c r="AUD133" s="1056"/>
      <c r="AUE133" s="1056"/>
      <c r="AUF133" s="1056"/>
      <c r="AUG133" s="1056"/>
      <c r="AUH133" s="1056"/>
      <c r="AUI133" s="1056"/>
      <c r="AUJ133" s="1056"/>
      <c r="AUK133" s="1056"/>
      <c r="AUL133" s="1056"/>
      <c r="AUM133" s="1056"/>
      <c r="AUN133" s="1056"/>
      <c r="AUO133" s="1056"/>
      <c r="AUP133" s="1056"/>
      <c r="AUQ133" s="1056"/>
      <c r="AUR133" s="1056"/>
      <c r="AUS133" s="1056"/>
      <c r="AUT133" s="1056"/>
      <c r="AUU133" s="1056"/>
      <c r="AUV133" s="1056"/>
      <c r="AUW133" s="1056"/>
      <c r="AUX133" s="1056"/>
      <c r="AUY133" s="1056"/>
      <c r="AUZ133" s="1056"/>
      <c r="AVA133" s="1056"/>
      <c r="AVB133" s="1056"/>
      <c r="AVC133" s="1056"/>
      <c r="AVD133" s="1056"/>
      <c r="AVE133" s="1056"/>
      <c r="AVF133" s="1056"/>
      <c r="AVG133" s="1056"/>
      <c r="AVH133" s="1056"/>
      <c r="AVI133" s="1056"/>
      <c r="AVJ133" s="1056"/>
      <c r="AVK133" s="1056"/>
      <c r="AVL133" s="1056"/>
      <c r="AVM133" s="1056"/>
      <c r="AVN133" s="1056"/>
      <c r="AVO133" s="1056"/>
      <c r="AVP133" s="1056"/>
      <c r="AVQ133" s="1056"/>
      <c r="AVR133" s="1056"/>
      <c r="AVS133" s="1056"/>
      <c r="AVT133" s="1056"/>
      <c r="AVU133" s="1056"/>
      <c r="AVV133" s="1056"/>
      <c r="AVW133" s="1056"/>
      <c r="AVX133" s="1056"/>
      <c r="AVY133" s="1056"/>
      <c r="AVZ133" s="1056"/>
      <c r="AWA133" s="1056"/>
      <c r="AWB133" s="1056"/>
      <c r="AWC133" s="1056"/>
      <c r="AWD133" s="1056"/>
      <c r="AWE133" s="1056"/>
      <c r="AWF133" s="1056"/>
      <c r="AWG133" s="1056"/>
      <c r="AWH133" s="1056"/>
      <c r="AWI133" s="1056"/>
      <c r="AWJ133" s="1056"/>
      <c r="AWK133" s="1056"/>
      <c r="AWL133" s="1056"/>
      <c r="AWM133" s="1056"/>
      <c r="AWN133" s="1056"/>
      <c r="AWO133" s="1056"/>
      <c r="AWP133" s="1056"/>
      <c r="AWQ133" s="1056"/>
      <c r="AWR133" s="1056"/>
      <c r="AWS133" s="1056"/>
      <c r="AWT133" s="1056"/>
      <c r="AWU133" s="1056"/>
      <c r="AWV133" s="1056"/>
      <c r="AWW133" s="1056"/>
      <c r="AWX133" s="1056"/>
      <c r="AWY133" s="1056"/>
      <c r="AWZ133" s="1056"/>
      <c r="AXA133" s="1056"/>
      <c r="AXB133" s="1056"/>
      <c r="AXC133" s="1056"/>
      <c r="AXD133" s="1056"/>
      <c r="AXE133" s="1056"/>
      <c r="AXF133" s="1056"/>
      <c r="AXG133" s="1056"/>
      <c r="AXH133" s="1056"/>
      <c r="AXI133" s="1056"/>
      <c r="AXJ133" s="1056"/>
      <c r="AXK133" s="1056"/>
      <c r="AXL133" s="1056"/>
      <c r="AXM133" s="1056"/>
      <c r="AXN133" s="1056"/>
      <c r="AXO133" s="1056"/>
      <c r="AXP133" s="1056"/>
      <c r="AXQ133" s="1056"/>
      <c r="AXR133" s="1056"/>
      <c r="AXS133" s="1056"/>
      <c r="AXT133" s="1056"/>
      <c r="AXU133" s="1056"/>
      <c r="AXV133" s="1056"/>
      <c r="AXW133" s="1056"/>
      <c r="AXX133" s="1056"/>
      <c r="AXY133" s="1056"/>
      <c r="AXZ133" s="1056"/>
      <c r="AYA133" s="1056"/>
      <c r="AYB133" s="1056"/>
      <c r="AYC133" s="1056"/>
      <c r="AYD133" s="1056"/>
      <c r="AYE133" s="1056"/>
      <c r="AYF133" s="1056"/>
      <c r="AYG133" s="1056"/>
      <c r="AYH133" s="1056"/>
      <c r="AYI133" s="1056"/>
      <c r="AYJ133" s="1056"/>
      <c r="AYK133" s="1056"/>
      <c r="AYL133" s="1056"/>
      <c r="AYM133" s="1056"/>
      <c r="AYN133" s="1056"/>
      <c r="AYO133" s="1056"/>
      <c r="AYP133" s="1056"/>
      <c r="AYQ133" s="1056"/>
      <c r="AYR133" s="1056"/>
      <c r="AYS133" s="1056"/>
      <c r="AYT133" s="1056"/>
      <c r="AYU133" s="1056"/>
      <c r="AYV133" s="1056"/>
      <c r="AYW133" s="1056"/>
      <c r="AYX133" s="1056"/>
      <c r="AYY133" s="1056"/>
      <c r="AYZ133" s="1056"/>
      <c r="AZA133" s="1056"/>
      <c r="AZB133" s="1056"/>
      <c r="AZC133" s="1056"/>
      <c r="AZD133" s="1056"/>
      <c r="AZE133" s="1056"/>
      <c r="AZF133" s="1056"/>
      <c r="AZG133" s="1056"/>
      <c r="AZH133" s="1056"/>
      <c r="AZI133" s="1056"/>
      <c r="AZJ133" s="1056"/>
      <c r="AZK133" s="1056"/>
      <c r="AZL133" s="1056"/>
      <c r="AZM133" s="1056"/>
      <c r="AZN133" s="1056"/>
      <c r="AZO133" s="1056"/>
      <c r="AZP133" s="1056"/>
      <c r="AZQ133" s="1056"/>
      <c r="AZR133" s="1056"/>
      <c r="AZS133" s="1056"/>
      <c r="AZT133" s="1056"/>
      <c r="AZU133" s="1056"/>
      <c r="AZV133" s="1056"/>
      <c r="AZW133" s="1056"/>
      <c r="AZX133" s="1056"/>
      <c r="AZY133" s="1056"/>
      <c r="AZZ133" s="1056"/>
      <c r="BAA133" s="1056"/>
      <c r="BAB133" s="1056"/>
      <c r="BAC133" s="1056"/>
      <c r="BAD133" s="1056"/>
      <c r="BAE133" s="1056"/>
      <c r="BAF133" s="1056"/>
      <c r="BAG133" s="1056"/>
      <c r="BAH133" s="1056"/>
      <c r="BAI133" s="1056"/>
      <c r="BAJ133" s="1056"/>
      <c r="BAK133" s="1056"/>
      <c r="BAL133" s="1056"/>
      <c r="BAM133" s="1056"/>
      <c r="BAN133" s="1056"/>
      <c r="BAO133" s="1056"/>
      <c r="BAP133" s="1056"/>
      <c r="BAQ133" s="1056"/>
      <c r="BAR133" s="1056"/>
      <c r="BAS133" s="1056"/>
      <c r="BAT133" s="1056"/>
      <c r="BAU133" s="1056"/>
      <c r="BAV133" s="1056"/>
      <c r="BAW133" s="1056"/>
      <c r="BAX133" s="1056"/>
      <c r="BAY133" s="1056"/>
      <c r="BAZ133" s="1056"/>
      <c r="BBA133" s="1056"/>
      <c r="BBB133" s="1056"/>
      <c r="BBC133" s="1056"/>
      <c r="BBD133" s="1056"/>
      <c r="BBE133" s="1056"/>
      <c r="BBF133" s="1056"/>
      <c r="BBG133" s="1056"/>
      <c r="BBH133" s="1056"/>
      <c r="BBI133" s="1056"/>
      <c r="BBJ133" s="1056"/>
      <c r="BBK133" s="1056"/>
      <c r="BBL133" s="1056"/>
      <c r="BBM133" s="1056"/>
      <c r="BBN133" s="1056"/>
      <c r="BBO133" s="1056"/>
      <c r="BBP133" s="1056"/>
      <c r="BBQ133" s="1056"/>
      <c r="BBR133" s="1056"/>
      <c r="BBS133" s="1056"/>
      <c r="BBT133" s="1056"/>
      <c r="BBU133" s="1056"/>
      <c r="BBV133" s="1056"/>
      <c r="BBW133" s="1056"/>
      <c r="BBX133" s="1056"/>
      <c r="BBY133" s="1056"/>
      <c r="BBZ133" s="1056"/>
      <c r="BCA133" s="1056"/>
      <c r="BCB133" s="1056"/>
      <c r="BCC133" s="1056"/>
      <c r="BCD133" s="1056"/>
      <c r="BCE133" s="1056"/>
      <c r="BCF133" s="1056"/>
      <c r="BCG133" s="1056"/>
      <c r="BCH133" s="1056"/>
      <c r="BCI133" s="1056"/>
      <c r="BCJ133" s="1056"/>
      <c r="BCK133" s="1056"/>
      <c r="BCL133" s="1056"/>
      <c r="BCM133" s="1056"/>
      <c r="BCN133" s="1056"/>
      <c r="BCO133" s="1056"/>
      <c r="BCP133" s="1056"/>
      <c r="BCQ133" s="1056"/>
      <c r="BCR133" s="1056"/>
      <c r="BCS133" s="1056"/>
      <c r="BCT133" s="1056"/>
      <c r="BCU133" s="1056"/>
      <c r="BCV133" s="1056"/>
      <c r="BCW133" s="1056"/>
      <c r="BCX133" s="1056"/>
      <c r="BCY133" s="1056"/>
      <c r="BCZ133" s="1056"/>
      <c r="BDA133" s="1056"/>
      <c r="BDB133" s="1056"/>
      <c r="BDC133" s="1056"/>
      <c r="BDD133" s="1056"/>
      <c r="BDE133" s="1056"/>
      <c r="BDF133" s="1056"/>
      <c r="BDG133" s="1056"/>
      <c r="BDH133" s="1056"/>
      <c r="BDI133" s="1056"/>
      <c r="BDJ133" s="1056"/>
      <c r="BDK133" s="1056"/>
      <c r="BDL133" s="1056"/>
      <c r="BDM133" s="1056"/>
      <c r="BDN133" s="1056"/>
      <c r="BDO133" s="1056"/>
      <c r="BDP133" s="1056"/>
      <c r="BDQ133" s="1056"/>
      <c r="BDR133" s="1056"/>
      <c r="BDS133" s="1056"/>
      <c r="BDT133" s="1056"/>
      <c r="BDU133" s="1056"/>
      <c r="BDV133" s="1056"/>
      <c r="BDW133" s="1056"/>
      <c r="BDX133" s="1056"/>
      <c r="BDY133" s="1056"/>
      <c r="BDZ133" s="1056"/>
      <c r="BEA133" s="1056"/>
      <c r="BEB133" s="1056"/>
      <c r="BEC133" s="1056"/>
      <c r="BED133" s="1056"/>
      <c r="BEE133" s="1056"/>
      <c r="BEF133" s="1056"/>
      <c r="BEG133" s="1056"/>
      <c r="BEH133" s="1056"/>
      <c r="BEI133" s="1056"/>
      <c r="BEJ133" s="1056"/>
      <c r="BEK133" s="1056"/>
      <c r="BEL133" s="1056"/>
      <c r="BEM133" s="1056"/>
      <c r="BEN133" s="1056"/>
      <c r="BEO133" s="1056"/>
      <c r="BEP133" s="1056"/>
      <c r="BEQ133" s="1056"/>
      <c r="BER133" s="1056"/>
      <c r="BES133" s="1056"/>
      <c r="BET133" s="1056"/>
      <c r="BEU133" s="1056"/>
      <c r="BEV133" s="1056"/>
      <c r="BEW133" s="1056"/>
      <c r="BEX133" s="1056"/>
      <c r="BEY133" s="1056"/>
      <c r="BEZ133" s="1056"/>
      <c r="BFA133" s="1056"/>
      <c r="BFB133" s="1056"/>
      <c r="BFC133" s="1056"/>
      <c r="BFD133" s="1056"/>
      <c r="BFE133" s="1056"/>
      <c r="BFF133" s="1056"/>
      <c r="BFG133" s="1056"/>
      <c r="BFH133" s="1056"/>
      <c r="BFI133" s="1056"/>
      <c r="BFJ133" s="1056"/>
      <c r="BFK133" s="1056"/>
      <c r="BFL133" s="1056"/>
      <c r="BFM133" s="1056"/>
      <c r="BFN133" s="1056"/>
      <c r="BFO133" s="1056"/>
      <c r="BFP133" s="1056"/>
      <c r="BFQ133" s="1056"/>
      <c r="BFR133" s="1056"/>
      <c r="BFS133" s="1056"/>
      <c r="BFT133" s="1056"/>
      <c r="BFU133" s="1056"/>
      <c r="BFV133" s="1056"/>
      <c r="BFW133" s="1056"/>
      <c r="BFX133" s="1056"/>
      <c r="BFY133" s="1056"/>
      <c r="BFZ133" s="1056"/>
      <c r="BGA133" s="1056"/>
      <c r="BGB133" s="1056"/>
      <c r="BGC133" s="1056"/>
      <c r="BGD133" s="1056"/>
      <c r="BGE133" s="1056"/>
      <c r="BGF133" s="1056"/>
      <c r="BGG133" s="1056"/>
      <c r="BGH133" s="1056"/>
      <c r="BGI133" s="1056"/>
      <c r="BGJ133" s="1056"/>
      <c r="BGK133" s="1056"/>
      <c r="BGL133" s="1056"/>
      <c r="BGM133" s="1056"/>
      <c r="BGN133" s="1056"/>
      <c r="BGO133" s="1056"/>
      <c r="BGP133" s="1056"/>
      <c r="BGQ133" s="1056"/>
      <c r="BGR133" s="1056"/>
      <c r="BGS133" s="1056"/>
      <c r="BGT133" s="1056"/>
      <c r="BGU133" s="1056"/>
      <c r="BGV133" s="1056"/>
      <c r="BGW133" s="1056"/>
      <c r="BGX133" s="1056"/>
      <c r="BGY133" s="1056"/>
      <c r="BGZ133" s="1056"/>
      <c r="BHA133" s="1056"/>
      <c r="BHB133" s="1056"/>
      <c r="BHC133" s="1056"/>
      <c r="BHD133" s="1056"/>
      <c r="BHE133" s="1056"/>
      <c r="BHF133" s="1056"/>
      <c r="BHG133" s="1056"/>
      <c r="BHH133" s="1056"/>
      <c r="BHI133" s="1056"/>
      <c r="BHJ133" s="1056"/>
      <c r="BHK133" s="1056"/>
      <c r="BHL133" s="1056"/>
      <c r="BHM133" s="1056"/>
      <c r="BHN133" s="1056"/>
      <c r="BHO133" s="1056"/>
      <c r="BHP133" s="1056"/>
      <c r="BHQ133" s="1056"/>
      <c r="BHR133" s="1056"/>
      <c r="BHS133" s="1056"/>
      <c r="BHT133" s="1056"/>
      <c r="BHU133" s="1056"/>
      <c r="BHV133" s="1056"/>
      <c r="BHW133" s="1056"/>
      <c r="BHX133" s="1056"/>
      <c r="BHY133" s="1056"/>
      <c r="BHZ133" s="1056"/>
      <c r="BIA133" s="1056"/>
      <c r="BIB133" s="1056"/>
      <c r="BIC133" s="1056"/>
      <c r="BID133" s="1056"/>
      <c r="BIE133" s="1056"/>
      <c r="BIF133" s="1056"/>
      <c r="BIG133" s="1056"/>
      <c r="BIH133" s="1056"/>
      <c r="BII133" s="1056"/>
      <c r="BIJ133" s="1056"/>
      <c r="BIK133" s="1056"/>
      <c r="BIL133" s="1056"/>
      <c r="BIM133" s="1056"/>
      <c r="BIN133" s="1056"/>
      <c r="BIO133" s="1056"/>
      <c r="BIP133" s="1056"/>
      <c r="BIQ133" s="1056"/>
      <c r="BIR133" s="1056"/>
      <c r="BIS133" s="1056"/>
      <c r="BIT133" s="1056"/>
      <c r="BIU133" s="1056"/>
      <c r="BIV133" s="1056"/>
      <c r="BIW133" s="1056"/>
      <c r="BIX133" s="1056"/>
      <c r="BIY133" s="1056"/>
      <c r="BIZ133" s="1056"/>
      <c r="BJA133" s="1056"/>
      <c r="BJB133" s="1056"/>
      <c r="BJC133" s="1056"/>
      <c r="BJD133" s="1056"/>
      <c r="BJE133" s="1056"/>
      <c r="BJF133" s="1056"/>
      <c r="BJG133" s="1056"/>
      <c r="BJH133" s="1056"/>
      <c r="BJI133" s="1056"/>
      <c r="BJJ133" s="1056"/>
      <c r="BJK133" s="1056"/>
      <c r="BJL133" s="1056"/>
      <c r="BJM133" s="1056"/>
      <c r="BJN133" s="1056"/>
      <c r="BJO133" s="1056"/>
      <c r="BJP133" s="1056"/>
      <c r="BJQ133" s="1056"/>
      <c r="BJR133" s="1056"/>
      <c r="BJS133" s="1056"/>
      <c r="BJT133" s="1056"/>
      <c r="BJU133" s="1056"/>
      <c r="BJV133" s="1056"/>
      <c r="BJW133" s="1056"/>
      <c r="BJX133" s="1056"/>
      <c r="BJY133" s="1056"/>
      <c r="BJZ133" s="1056"/>
      <c r="BKA133" s="1056"/>
      <c r="BKB133" s="1056"/>
      <c r="BKC133" s="1056"/>
      <c r="BKD133" s="1056"/>
      <c r="BKE133" s="1056"/>
      <c r="BKF133" s="1056"/>
      <c r="BKG133" s="1056"/>
      <c r="BKH133" s="1056"/>
      <c r="BKI133" s="1056"/>
      <c r="BKJ133" s="1056"/>
      <c r="BKK133" s="1056"/>
      <c r="BKL133" s="1056"/>
      <c r="BKM133" s="1056"/>
      <c r="BKN133" s="1056"/>
      <c r="BKO133" s="1056"/>
      <c r="BKP133" s="1056"/>
      <c r="BKQ133" s="1056"/>
      <c r="BKR133" s="1056"/>
      <c r="BKS133" s="1056"/>
      <c r="BKT133" s="1056"/>
      <c r="BKU133" s="1056"/>
      <c r="BKV133" s="1056"/>
      <c r="BKW133" s="1056"/>
      <c r="BKX133" s="1056"/>
      <c r="BKY133" s="1056"/>
      <c r="BKZ133" s="1056"/>
      <c r="BLA133" s="1056"/>
      <c r="BLB133" s="1056"/>
      <c r="BLC133" s="1056"/>
      <c r="BLD133" s="1056"/>
      <c r="BLE133" s="1056"/>
      <c r="BLF133" s="1056"/>
      <c r="BLG133" s="1056"/>
      <c r="BLH133" s="1056"/>
      <c r="BLI133" s="1056"/>
      <c r="BLJ133" s="1056"/>
      <c r="BLK133" s="1056"/>
      <c r="BLL133" s="1056"/>
      <c r="BLM133" s="1056"/>
      <c r="BLN133" s="1056"/>
      <c r="BLO133" s="1056"/>
      <c r="BLP133" s="1056"/>
      <c r="BLQ133" s="1056"/>
      <c r="BLR133" s="1056"/>
      <c r="BLS133" s="1056"/>
      <c r="BLT133" s="1056"/>
      <c r="BLU133" s="1056"/>
      <c r="BLV133" s="1056"/>
      <c r="BLW133" s="1056"/>
      <c r="BLX133" s="1056"/>
      <c r="BLY133" s="1056"/>
      <c r="BLZ133" s="1056"/>
      <c r="BMA133" s="1056"/>
      <c r="BMB133" s="1056"/>
      <c r="BMC133" s="1056"/>
      <c r="BMD133" s="1056"/>
      <c r="BME133" s="1056"/>
      <c r="BMF133" s="1056"/>
      <c r="BMG133" s="1056"/>
      <c r="BMH133" s="1056"/>
      <c r="BMI133" s="1056"/>
      <c r="BMJ133" s="1056"/>
      <c r="BMK133" s="1056"/>
      <c r="BML133" s="1056"/>
      <c r="BMM133" s="1056"/>
      <c r="BMN133" s="1056"/>
      <c r="BMO133" s="1056"/>
      <c r="BMP133" s="1056"/>
      <c r="BMQ133" s="1056"/>
      <c r="BMR133" s="1056"/>
      <c r="BMS133" s="1056"/>
      <c r="BMT133" s="1056"/>
      <c r="BMU133" s="1056"/>
      <c r="BMV133" s="1056"/>
      <c r="BMW133" s="1056"/>
      <c r="BMX133" s="1056"/>
      <c r="BMY133" s="1056"/>
      <c r="BMZ133" s="1056"/>
      <c r="BNA133" s="1056"/>
      <c r="BNB133" s="1056"/>
      <c r="BNC133" s="1056"/>
      <c r="BND133" s="1056"/>
      <c r="BNE133" s="1056"/>
      <c r="BNF133" s="1056"/>
      <c r="BNG133" s="1056"/>
      <c r="BNH133" s="1056"/>
      <c r="BNI133" s="1056"/>
      <c r="BNJ133" s="1056"/>
      <c r="BNK133" s="1056"/>
      <c r="BNL133" s="1056"/>
      <c r="BNM133" s="1056"/>
      <c r="BNN133" s="1056"/>
      <c r="BNO133" s="1056"/>
      <c r="BNP133" s="1056"/>
      <c r="BNQ133" s="1056"/>
      <c r="BNR133" s="1056"/>
      <c r="BNS133" s="1056"/>
      <c r="BNT133" s="1056"/>
      <c r="BNU133" s="1056"/>
      <c r="BNV133" s="1056"/>
      <c r="BNW133" s="1056"/>
      <c r="BNX133" s="1056"/>
      <c r="BNY133" s="1056"/>
      <c r="BNZ133" s="1056"/>
      <c r="BOA133" s="1056"/>
      <c r="BOB133" s="1056"/>
      <c r="BOC133" s="1056"/>
      <c r="BOD133" s="1056"/>
      <c r="BOE133" s="1056"/>
      <c r="BOF133" s="1056"/>
      <c r="BOG133" s="1056"/>
      <c r="BOH133" s="1056"/>
      <c r="BOI133" s="1056"/>
      <c r="BOJ133" s="1056"/>
      <c r="BOK133" s="1056"/>
      <c r="BOL133" s="1056"/>
      <c r="BOM133" s="1056"/>
      <c r="BON133" s="1056"/>
      <c r="BOO133" s="1056"/>
      <c r="BOP133" s="1056"/>
      <c r="BOQ133" s="1056"/>
      <c r="BOR133" s="1056"/>
      <c r="BOS133" s="1056"/>
      <c r="BOT133" s="1056"/>
      <c r="BOU133" s="1056"/>
      <c r="BOV133" s="1056"/>
      <c r="BOW133" s="1056"/>
      <c r="BOX133" s="1056"/>
      <c r="BOY133" s="1056"/>
      <c r="BOZ133" s="1056"/>
      <c r="BPA133" s="1056"/>
      <c r="BPB133" s="1056"/>
      <c r="BPC133" s="1056"/>
      <c r="BPD133" s="1056"/>
      <c r="BPE133" s="1056"/>
      <c r="BPF133" s="1056"/>
      <c r="BPG133" s="1056"/>
      <c r="BPH133" s="1056"/>
      <c r="BPI133" s="1056"/>
      <c r="BPJ133" s="1056"/>
      <c r="BPK133" s="1056"/>
      <c r="BPL133" s="1056"/>
      <c r="BPM133" s="1056"/>
      <c r="BPN133" s="1056"/>
      <c r="BPO133" s="1056"/>
      <c r="BPP133" s="1056"/>
      <c r="BPQ133" s="1056"/>
      <c r="BPR133" s="1056"/>
      <c r="BPS133" s="1056"/>
      <c r="BPT133" s="1056"/>
      <c r="BPU133" s="1056"/>
      <c r="BPV133" s="1056"/>
      <c r="BPW133" s="1056"/>
      <c r="BPX133" s="1056"/>
      <c r="BPY133" s="1056"/>
      <c r="BPZ133" s="1056"/>
      <c r="BQA133" s="1056"/>
      <c r="BQB133" s="1056"/>
      <c r="BQC133" s="1056"/>
      <c r="BQD133" s="1056"/>
      <c r="BQE133" s="1056"/>
      <c r="BQF133" s="1056"/>
      <c r="BQG133" s="1056"/>
      <c r="BQH133" s="1056"/>
      <c r="BQI133" s="1056"/>
      <c r="BQJ133" s="1056"/>
      <c r="BQK133" s="1056"/>
      <c r="BQL133" s="1056"/>
      <c r="BQM133" s="1056"/>
      <c r="BQN133" s="1056"/>
      <c r="BQO133" s="1056"/>
      <c r="BQP133" s="1056"/>
      <c r="BQQ133" s="1056"/>
      <c r="BQR133" s="1056"/>
      <c r="BQS133" s="1056"/>
      <c r="BQT133" s="1056"/>
      <c r="BQU133" s="1056"/>
      <c r="BQV133" s="1056"/>
      <c r="BQW133" s="1056"/>
      <c r="BQX133" s="1056"/>
      <c r="BQY133" s="1056"/>
      <c r="BQZ133" s="1056"/>
      <c r="BRA133" s="1056"/>
      <c r="BRB133" s="1056"/>
      <c r="BRC133" s="1056"/>
      <c r="BRD133" s="1056"/>
      <c r="BRE133" s="1056"/>
      <c r="BRF133" s="1056"/>
      <c r="BRG133" s="1056"/>
      <c r="BRH133" s="1056"/>
      <c r="BRI133" s="1056"/>
      <c r="BRJ133" s="1056"/>
      <c r="BRK133" s="1056"/>
      <c r="BRL133" s="1056"/>
      <c r="BRM133" s="1056"/>
      <c r="BRN133" s="1056"/>
      <c r="BRO133" s="1056"/>
      <c r="BRP133" s="1056"/>
      <c r="BRQ133" s="1056"/>
      <c r="BRR133" s="1056"/>
      <c r="BRS133" s="1056"/>
      <c r="BRT133" s="1056"/>
      <c r="BRU133" s="1056"/>
      <c r="BRV133" s="1056"/>
      <c r="BRW133" s="1056"/>
      <c r="BRX133" s="1056"/>
      <c r="BRY133" s="1056"/>
      <c r="BRZ133" s="1056"/>
      <c r="BSA133" s="1056"/>
      <c r="BSB133" s="1056"/>
      <c r="BSC133" s="1056"/>
      <c r="BSD133" s="1056"/>
      <c r="BSE133" s="1056"/>
      <c r="BSF133" s="1056"/>
      <c r="BSG133" s="1056"/>
      <c r="BSH133" s="1056"/>
      <c r="BSI133" s="1056"/>
      <c r="BSJ133" s="1056"/>
      <c r="BSK133" s="1056"/>
      <c r="BSL133" s="1056"/>
      <c r="BSM133" s="1056"/>
      <c r="BSN133" s="1056"/>
      <c r="BSO133" s="1056"/>
      <c r="BSP133" s="1056"/>
      <c r="BSQ133" s="1056"/>
      <c r="BSR133" s="1056"/>
      <c r="BSS133" s="1056"/>
      <c r="BST133" s="1056"/>
      <c r="BSU133" s="1056"/>
      <c r="BSV133" s="1056"/>
      <c r="BSW133" s="1056"/>
      <c r="BSX133" s="1056"/>
      <c r="BSY133" s="1056"/>
      <c r="BSZ133" s="1056"/>
      <c r="BTA133" s="1056"/>
      <c r="BTB133" s="1056"/>
      <c r="BTC133" s="1056"/>
      <c r="BTD133" s="1056"/>
      <c r="BTE133" s="1056"/>
      <c r="BTF133" s="1056"/>
      <c r="BTG133" s="1056"/>
      <c r="BTH133" s="1056"/>
      <c r="BTI133" s="1056"/>
    </row>
    <row r="134" spans="1:1881" s="1060" customFormat="1" ht="84" hidden="1" customHeight="1" thickBot="1" x14ac:dyDescent="0.35">
      <c r="A134" s="1059">
        <v>579</v>
      </c>
      <c r="B134" s="1081" t="s">
        <v>332</v>
      </c>
      <c r="C134" s="735" t="s">
        <v>1387</v>
      </c>
      <c r="D134" s="1082" t="s">
        <v>1390</v>
      </c>
      <c r="E134" s="1053" t="e">
        <f>HLOOKUP($D$2,'2020 Data(H)'!$C$1:$AI$426,229,FALSE)</f>
        <v>#N/A</v>
      </c>
      <c r="F134" s="287">
        <v>0</v>
      </c>
      <c r="G134" s="722"/>
      <c r="H134" s="764"/>
      <c r="I134" s="1083"/>
      <c r="J134" s="1056"/>
      <c r="K134" s="1056"/>
      <c r="L134" s="1057"/>
      <c r="M134" s="1056"/>
      <c r="N134" s="1058"/>
      <c r="O134" s="1056"/>
      <c r="P134" s="1056"/>
      <c r="Q134" s="1056"/>
      <c r="R134" s="1056"/>
      <c r="S134" s="1056"/>
      <c r="T134" s="1056"/>
      <c r="U134" s="1056"/>
      <c r="V134" s="1056"/>
      <c r="W134" s="1056"/>
      <c r="X134" s="1056"/>
      <c r="Y134" s="1056"/>
      <c r="Z134" s="1059"/>
      <c r="AA134" s="1059"/>
      <c r="AB134" s="1059"/>
      <c r="AC134" s="1059"/>
      <c r="AD134" s="1059"/>
      <c r="AE134" s="1059"/>
      <c r="AF134" s="1059"/>
      <c r="AG134" s="1059"/>
      <c r="AH134" s="1059"/>
      <c r="AI134" s="1059"/>
      <c r="AJ134" s="1059"/>
      <c r="AK134" s="1059"/>
      <c r="AL134" s="1059"/>
      <c r="AM134" s="1059"/>
      <c r="AN134" s="1059"/>
      <c r="AO134" s="1059"/>
      <c r="AP134" s="1059"/>
      <c r="AQ134" s="1059"/>
      <c r="AR134" s="1059"/>
      <c r="AS134" s="1056"/>
      <c r="AT134" s="1056"/>
      <c r="AU134" s="1056"/>
      <c r="AV134" s="1056"/>
      <c r="AW134" s="1056"/>
      <c r="AX134" s="1056"/>
      <c r="AY134" s="1056"/>
      <c r="AZ134" s="1056"/>
      <c r="BA134" s="1056"/>
      <c r="BB134" s="1056"/>
      <c r="BC134" s="1056"/>
      <c r="BD134" s="1056"/>
      <c r="BE134" s="1056"/>
      <c r="BF134" s="1056"/>
      <c r="BG134" s="1056"/>
      <c r="BH134" s="1056"/>
      <c r="BI134" s="1056"/>
      <c r="BJ134" s="1056"/>
      <c r="BK134" s="1056"/>
      <c r="BL134" s="1056"/>
      <c r="BM134" s="1056"/>
      <c r="BN134" s="1056"/>
      <c r="BO134" s="1056"/>
      <c r="BP134" s="1056"/>
      <c r="BQ134" s="1056"/>
      <c r="BR134" s="1056"/>
      <c r="BS134" s="1056"/>
      <c r="BT134" s="1056"/>
      <c r="BU134" s="1056"/>
      <c r="BV134" s="1056"/>
      <c r="BW134" s="1056"/>
      <c r="BX134" s="1056"/>
      <c r="BY134" s="1056"/>
      <c r="BZ134" s="1056"/>
      <c r="CA134" s="1056"/>
      <c r="CB134" s="1056"/>
      <c r="CC134" s="1056"/>
      <c r="CD134" s="1056"/>
      <c r="CE134" s="1056"/>
      <c r="CF134" s="1056"/>
      <c r="CG134" s="1056"/>
      <c r="CH134" s="1056"/>
      <c r="CI134" s="1056"/>
      <c r="CJ134" s="1056"/>
      <c r="CK134" s="1056"/>
      <c r="CL134" s="1056"/>
      <c r="CM134" s="1056"/>
      <c r="CN134" s="1056"/>
      <c r="CO134" s="1056"/>
      <c r="CP134" s="1056"/>
      <c r="CQ134" s="1056"/>
      <c r="CR134" s="1056"/>
      <c r="CS134" s="1056"/>
      <c r="CT134" s="1056"/>
      <c r="CU134" s="1056"/>
      <c r="CV134" s="1056"/>
      <c r="CW134" s="1056"/>
      <c r="CX134" s="1056"/>
      <c r="CY134" s="1056"/>
      <c r="CZ134" s="1056"/>
      <c r="DA134" s="1056"/>
      <c r="DB134" s="1056"/>
      <c r="DC134" s="1056"/>
      <c r="DD134" s="1056"/>
      <c r="DE134" s="1056"/>
      <c r="DF134" s="1056"/>
      <c r="DG134" s="1056"/>
      <c r="DH134" s="1056"/>
      <c r="DI134" s="1056"/>
      <c r="DJ134" s="1056"/>
      <c r="DK134" s="1056"/>
      <c r="DL134" s="1056"/>
      <c r="DM134" s="1056"/>
      <c r="DN134" s="1056"/>
      <c r="DO134" s="1056"/>
      <c r="DP134" s="1056"/>
      <c r="DQ134" s="1056"/>
      <c r="DR134" s="1056"/>
      <c r="DS134" s="1056"/>
      <c r="DT134" s="1056"/>
      <c r="DU134" s="1056"/>
      <c r="DV134" s="1056"/>
      <c r="DW134" s="1056"/>
      <c r="DX134" s="1056"/>
      <c r="DY134" s="1056"/>
      <c r="DZ134" s="1056"/>
      <c r="EA134" s="1056"/>
      <c r="EB134" s="1056"/>
      <c r="EC134" s="1056"/>
      <c r="ED134" s="1056"/>
      <c r="EE134" s="1056"/>
      <c r="EF134" s="1056"/>
      <c r="EG134" s="1056"/>
      <c r="EH134" s="1056"/>
      <c r="EI134" s="1056"/>
      <c r="EJ134" s="1056"/>
      <c r="EK134" s="1056"/>
      <c r="EL134" s="1056"/>
      <c r="EM134" s="1056"/>
      <c r="EN134" s="1056"/>
      <c r="EO134" s="1056"/>
      <c r="EP134" s="1056"/>
      <c r="EQ134" s="1056"/>
      <c r="ER134" s="1056"/>
      <c r="ES134" s="1056"/>
      <c r="ET134" s="1056"/>
      <c r="EU134" s="1056"/>
      <c r="EV134" s="1056"/>
      <c r="EW134" s="1056"/>
      <c r="EX134" s="1056"/>
      <c r="EY134" s="1056"/>
      <c r="EZ134" s="1056"/>
      <c r="FA134" s="1056"/>
      <c r="FB134" s="1056"/>
      <c r="FC134" s="1056"/>
      <c r="FD134" s="1056"/>
      <c r="FE134" s="1056"/>
      <c r="FF134" s="1056"/>
      <c r="FG134" s="1056"/>
      <c r="FH134" s="1056"/>
      <c r="FI134" s="1056"/>
      <c r="FJ134" s="1056"/>
      <c r="FK134" s="1056"/>
      <c r="FL134" s="1056"/>
      <c r="FM134" s="1056"/>
      <c r="FN134" s="1056"/>
      <c r="FO134" s="1056"/>
      <c r="FP134" s="1056"/>
      <c r="FQ134" s="1056"/>
      <c r="FR134" s="1056"/>
      <c r="FS134" s="1056"/>
      <c r="FT134" s="1056"/>
      <c r="FU134" s="1056"/>
      <c r="FV134" s="1056"/>
      <c r="FW134" s="1056"/>
      <c r="FX134" s="1056"/>
      <c r="FY134" s="1056"/>
      <c r="FZ134" s="1056"/>
      <c r="GA134" s="1056"/>
      <c r="GB134" s="1056"/>
      <c r="GC134" s="1056"/>
      <c r="GD134" s="1056"/>
      <c r="GE134" s="1056"/>
      <c r="GF134" s="1056"/>
      <c r="GG134" s="1056"/>
      <c r="GH134" s="1056"/>
      <c r="GI134" s="1056"/>
      <c r="GJ134" s="1056"/>
      <c r="GK134" s="1056"/>
      <c r="GL134" s="1056"/>
      <c r="GM134" s="1056"/>
      <c r="GN134" s="1056"/>
      <c r="GO134" s="1056"/>
      <c r="GP134" s="1056"/>
      <c r="GQ134" s="1056"/>
      <c r="GR134" s="1056"/>
      <c r="GS134" s="1056"/>
      <c r="GT134" s="1056"/>
      <c r="GU134" s="1056"/>
      <c r="GV134" s="1056"/>
      <c r="GW134" s="1056"/>
      <c r="GX134" s="1056"/>
      <c r="GY134" s="1056"/>
      <c r="GZ134" s="1056"/>
      <c r="HA134" s="1056"/>
      <c r="HB134" s="1056"/>
      <c r="HC134" s="1056"/>
      <c r="HD134" s="1056"/>
      <c r="HE134" s="1056"/>
      <c r="HF134" s="1056"/>
      <c r="HG134" s="1056"/>
      <c r="HH134" s="1056"/>
      <c r="HI134" s="1056"/>
      <c r="HJ134" s="1056"/>
      <c r="HK134" s="1056"/>
      <c r="HL134" s="1056"/>
      <c r="HM134" s="1056"/>
      <c r="HN134" s="1056"/>
      <c r="HO134" s="1056"/>
      <c r="HP134" s="1056"/>
      <c r="HQ134" s="1056"/>
      <c r="HR134" s="1056"/>
      <c r="HS134" s="1056"/>
      <c r="HT134" s="1056"/>
      <c r="HU134" s="1056"/>
      <c r="HV134" s="1056"/>
      <c r="HW134" s="1056"/>
      <c r="HX134" s="1056"/>
      <c r="HY134" s="1056"/>
      <c r="HZ134" s="1056"/>
      <c r="IA134" s="1056"/>
      <c r="IB134" s="1056"/>
      <c r="IC134" s="1056"/>
      <c r="ID134" s="1056"/>
      <c r="IE134" s="1056"/>
      <c r="IF134" s="1056"/>
      <c r="IG134" s="1056"/>
      <c r="IH134" s="1056"/>
      <c r="II134" s="1056"/>
      <c r="IJ134" s="1056"/>
      <c r="IK134" s="1056"/>
      <c r="IL134" s="1056"/>
      <c r="IM134" s="1056"/>
      <c r="IN134" s="1056"/>
      <c r="IO134" s="1056"/>
      <c r="IP134" s="1056"/>
      <c r="IQ134" s="1056"/>
      <c r="IR134" s="1056"/>
      <c r="IS134" s="1056"/>
      <c r="IT134" s="1056"/>
      <c r="IU134" s="1056"/>
      <c r="IV134" s="1056"/>
      <c r="IW134" s="1056"/>
      <c r="IX134" s="1056"/>
      <c r="IY134" s="1056"/>
      <c r="IZ134" s="1056"/>
      <c r="JA134" s="1056"/>
      <c r="JB134" s="1056"/>
      <c r="JC134" s="1056"/>
      <c r="JD134" s="1056"/>
      <c r="JE134" s="1056"/>
      <c r="JF134" s="1056"/>
      <c r="JG134" s="1056"/>
      <c r="JH134" s="1056"/>
      <c r="JI134" s="1056"/>
      <c r="JJ134" s="1056"/>
      <c r="JK134" s="1056"/>
      <c r="JL134" s="1056"/>
      <c r="JM134" s="1056"/>
      <c r="JN134" s="1056"/>
      <c r="JO134" s="1056"/>
      <c r="JP134" s="1056"/>
      <c r="JQ134" s="1056"/>
      <c r="JR134" s="1056"/>
      <c r="JS134" s="1056"/>
      <c r="JT134" s="1056"/>
      <c r="JU134" s="1056"/>
      <c r="JV134" s="1056"/>
      <c r="JW134" s="1056"/>
      <c r="JX134" s="1056"/>
      <c r="JY134" s="1056"/>
      <c r="JZ134" s="1056"/>
      <c r="KA134" s="1056"/>
      <c r="KB134" s="1056"/>
      <c r="KC134" s="1056"/>
      <c r="KD134" s="1056"/>
      <c r="KE134" s="1056"/>
      <c r="KF134" s="1056"/>
      <c r="KG134" s="1056"/>
      <c r="KH134" s="1056"/>
      <c r="KI134" s="1056"/>
      <c r="KJ134" s="1056"/>
      <c r="KK134" s="1056"/>
      <c r="KL134" s="1056"/>
      <c r="KM134" s="1056"/>
      <c r="KN134" s="1056"/>
      <c r="KO134" s="1056"/>
      <c r="KP134" s="1056"/>
      <c r="KQ134" s="1056"/>
      <c r="KR134" s="1056"/>
      <c r="KS134" s="1056"/>
      <c r="KT134" s="1056"/>
      <c r="KU134" s="1056"/>
      <c r="KV134" s="1056"/>
      <c r="KW134" s="1056"/>
      <c r="KX134" s="1056"/>
      <c r="KY134" s="1056"/>
      <c r="KZ134" s="1056"/>
      <c r="LA134" s="1056"/>
      <c r="LB134" s="1056"/>
      <c r="LC134" s="1056"/>
      <c r="LD134" s="1056"/>
      <c r="LE134" s="1056"/>
      <c r="LF134" s="1056"/>
      <c r="LG134" s="1056"/>
      <c r="LH134" s="1056"/>
      <c r="LI134" s="1056"/>
      <c r="LJ134" s="1056"/>
      <c r="LK134" s="1056"/>
      <c r="LL134" s="1056"/>
      <c r="LM134" s="1056"/>
      <c r="LN134" s="1056"/>
      <c r="LO134" s="1056"/>
      <c r="LP134" s="1056"/>
      <c r="LQ134" s="1056"/>
      <c r="LR134" s="1056"/>
      <c r="LS134" s="1056"/>
      <c r="LT134" s="1056"/>
      <c r="LU134" s="1056"/>
      <c r="LV134" s="1056"/>
      <c r="LW134" s="1056"/>
      <c r="LX134" s="1056"/>
      <c r="LY134" s="1056"/>
      <c r="LZ134" s="1056"/>
      <c r="MA134" s="1056"/>
      <c r="MB134" s="1056"/>
      <c r="MC134" s="1056"/>
      <c r="MD134" s="1056"/>
      <c r="ME134" s="1056"/>
      <c r="MF134" s="1056"/>
      <c r="MG134" s="1056"/>
      <c r="MH134" s="1056"/>
      <c r="MI134" s="1056"/>
      <c r="MJ134" s="1056"/>
      <c r="MK134" s="1056"/>
      <c r="ML134" s="1056"/>
      <c r="MM134" s="1056"/>
      <c r="MN134" s="1056"/>
      <c r="MO134" s="1056"/>
      <c r="MP134" s="1056"/>
      <c r="MQ134" s="1056"/>
      <c r="MR134" s="1056"/>
      <c r="MS134" s="1056"/>
      <c r="MT134" s="1056"/>
      <c r="MU134" s="1056"/>
      <c r="MV134" s="1056"/>
      <c r="MW134" s="1056"/>
      <c r="MX134" s="1056"/>
      <c r="MY134" s="1056"/>
      <c r="MZ134" s="1056"/>
      <c r="NA134" s="1056"/>
      <c r="NB134" s="1056"/>
      <c r="NC134" s="1056"/>
      <c r="ND134" s="1056"/>
      <c r="NE134" s="1056"/>
      <c r="NF134" s="1056"/>
      <c r="NG134" s="1056"/>
      <c r="NH134" s="1056"/>
      <c r="NI134" s="1056"/>
      <c r="NJ134" s="1056"/>
      <c r="NK134" s="1056"/>
      <c r="NL134" s="1056"/>
      <c r="NM134" s="1056"/>
      <c r="NN134" s="1056"/>
      <c r="NO134" s="1056"/>
      <c r="NP134" s="1056"/>
      <c r="NQ134" s="1056"/>
      <c r="NR134" s="1056"/>
      <c r="NS134" s="1056"/>
      <c r="NT134" s="1056"/>
      <c r="NU134" s="1056"/>
      <c r="NV134" s="1056"/>
      <c r="NW134" s="1056"/>
      <c r="NX134" s="1056"/>
      <c r="NY134" s="1056"/>
      <c r="NZ134" s="1056"/>
      <c r="OA134" s="1056"/>
      <c r="OB134" s="1056"/>
      <c r="OC134" s="1056"/>
      <c r="OD134" s="1056"/>
      <c r="OE134" s="1056"/>
      <c r="OF134" s="1056"/>
      <c r="OG134" s="1056"/>
      <c r="OH134" s="1056"/>
      <c r="OI134" s="1056"/>
      <c r="OJ134" s="1056"/>
      <c r="OK134" s="1056"/>
      <c r="OL134" s="1056"/>
      <c r="OM134" s="1056"/>
      <c r="ON134" s="1056"/>
      <c r="OO134" s="1056"/>
      <c r="OP134" s="1056"/>
      <c r="OQ134" s="1056"/>
      <c r="OR134" s="1056"/>
      <c r="OS134" s="1056"/>
      <c r="OT134" s="1056"/>
      <c r="OU134" s="1056"/>
      <c r="OV134" s="1056"/>
      <c r="OW134" s="1056"/>
      <c r="OX134" s="1056"/>
      <c r="OY134" s="1056"/>
      <c r="OZ134" s="1056"/>
      <c r="PA134" s="1056"/>
      <c r="PB134" s="1056"/>
      <c r="PC134" s="1056"/>
      <c r="PD134" s="1056"/>
      <c r="PE134" s="1056"/>
      <c r="PF134" s="1056"/>
      <c r="PG134" s="1056"/>
      <c r="PH134" s="1056"/>
      <c r="PI134" s="1056"/>
      <c r="PJ134" s="1056"/>
      <c r="PK134" s="1056"/>
      <c r="PL134" s="1056"/>
      <c r="PM134" s="1056"/>
      <c r="PN134" s="1056"/>
      <c r="PO134" s="1056"/>
      <c r="PP134" s="1056"/>
      <c r="PQ134" s="1056"/>
      <c r="PR134" s="1056"/>
      <c r="PS134" s="1056"/>
      <c r="PT134" s="1056"/>
      <c r="PU134" s="1056"/>
      <c r="PV134" s="1056"/>
      <c r="PW134" s="1056"/>
      <c r="PX134" s="1056"/>
      <c r="PY134" s="1056"/>
      <c r="PZ134" s="1056"/>
      <c r="QA134" s="1056"/>
      <c r="QB134" s="1056"/>
      <c r="QC134" s="1056"/>
      <c r="QD134" s="1056"/>
      <c r="QE134" s="1056"/>
      <c r="QF134" s="1056"/>
      <c r="QG134" s="1056"/>
      <c r="QH134" s="1056"/>
      <c r="QI134" s="1056"/>
      <c r="QJ134" s="1056"/>
      <c r="QK134" s="1056"/>
      <c r="QL134" s="1056"/>
      <c r="QM134" s="1056"/>
      <c r="QN134" s="1056"/>
      <c r="QO134" s="1056"/>
      <c r="QP134" s="1056"/>
      <c r="QQ134" s="1056"/>
      <c r="QR134" s="1056"/>
      <c r="QS134" s="1056"/>
      <c r="QT134" s="1056"/>
      <c r="QU134" s="1056"/>
      <c r="QV134" s="1056"/>
      <c r="QW134" s="1056"/>
      <c r="QX134" s="1056"/>
      <c r="QY134" s="1056"/>
      <c r="QZ134" s="1056"/>
      <c r="RA134" s="1056"/>
      <c r="RB134" s="1056"/>
      <c r="RC134" s="1056"/>
      <c r="RD134" s="1056"/>
      <c r="RE134" s="1056"/>
      <c r="RF134" s="1056"/>
      <c r="RG134" s="1056"/>
      <c r="RH134" s="1056"/>
      <c r="RI134" s="1056"/>
      <c r="RJ134" s="1056"/>
      <c r="RK134" s="1056"/>
      <c r="RL134" s="1056"/>
      <c r="RM134" s="1056"/>
      <c r="RN134" s="1056"/>
      <c r="RO134" s="1056"/>
      <c r="RP134" s="1056"/>
      <c r="RQ134" s="1056"/>
      <c r="RR134" s="1056"/>
      <c r="RS134" s="1056"/>
      <c r="RT134" s="1056"/>
      <c r="RU134" s="1056"/>
      <c r="RV134" s="1056"/>
      <c r="RW134" s="1056"/>
      <c r="RX134" s="1056"/>
      <c r="RY134" s="1056"/>
      <c r="RZ134" s="1056"/>
      <c r="SA134" s="1056"/>
      <c r="SB134" s="1056"/>
      <c r="SC134" s="1056"/>
      <c r="SD134" s="1056"/>
      <c r="SE134" s="1056"/>
      <c r="SF134" s="1056"/>
      <c r="SG134" s="1056"/>
      <c r="SH134" s="1056"/>
      <c r="SI134" s="1056"/>
      <c r="SJ134" s="1056"/>
      <c r="SK134" s="1056"/>
      <c r="SL134" s="1056"/>
      <c r="SM134" s="1056"/>
      <c r="SN134" s="1056"/>
      <c r="SO134" s="1056"/>
      <c r="SP134" s="1056"/>
      <c r="SQ134" s="1056"/>
      <c r="SR134" s="1056"/>
      <c r="SS134" s="1056"/>
      <c r="ST134" s="1056"/>
      <c r="SU134" s="1056"/>
      <c r="SV134" s="1056"/>
      <c r="SW134" s="1056"/>
      <c r="SX134" s="1056"/>
      <c r="SY134" s="1056"/>
      <c r="SZ134" s="1056"/>
      <c r="TA134" s="1056"/>
      <c r="TB134" s="1056"/>
      <c r="TC134" s="1056"/>
      <c r="TD134" s="1056"/>
      <c r="TE134" s="1056"/>
      <c r="TF134" s="1056"/>
      <c r="TG134" s="1056"/>
      <c r="TH134" s="1056"/>
      <c r="TI134" s="1056"/>
      <c r="TJ134" s="1056"/>
      <c r="TK134" s="1056"/>
      <c r="TL134" s="1056"/>
      <c r="TM134" s="1056"/>
      <c r="TN134" s="1056"/>
      <c r="TO134" s="1056"/>
      <c r="TP134" s="1056"/>
      <c r="TQ134" s="1056"/>
      <c r="TR134" s="1056"/>
      <c r="TS134" s="1056"/>
      <c r="TT134" s="1056"/>
      <c r="TU134" s="1056"/>
      <c r="TV134" s="1056"/>
      <c r="TW134" s="1056"/>
      <c r="TX134" s="1056"/>
      <c r="TY134" s="1056"/>
      <c r="TZ134" s="1056"/>
      <c r="UA134" s="1056"/>
      <c r="UB134" s="1056"/>
      <c r="UC134" s="1056"/>
      <c r="UD134" s="1056"/>
      <c r="UE134" s="1056"/>
      <c r="UF134" s="1056"/>
      <c r="UG134" s="1056"/>
      <c r="UH134" s="1056"/>
      <c r="UI134" s="1056"/>
      <c r="UJ134" s="1056"/>
      <c r="UK134" s="1056"/>
      <c r="UL134" s="1056"/>
      <c r="UM134" s="1056"/>
      <c r="UN134" s="1056"/>
      <c r="UO134" s="1056"/>
      <c r="UP134" s="1056"/>
      <c r="UQ134" s="1056"/>
      <c r="UR134" s="1056"/>
      <c r="US134" s="1056"/>
      <c r="UT134" s="1056"/>
      <c r="UU134" s="1056"/>
      <c r="UV134" s="1056"/>
      <c r="UW134" s="1056"/>
      <c r="UX134" s="1056"/>
      <c r="UY134" s="1056"/>
      <c r="UZ134" s="1056"/>
      <c r="VA134" s="1056"/>
      <c r="VB134" s="1056"/>
      <c r="VC134" s="1056"/>
      <c r="VD134" s="1056"/>
      <c r="VE134" s="1056"/>
      <c r="VF134" s="1056"/>
      <c r="VG134" s="1056"/>
      <c r="VH134" s="1056"/>
      <c r="VI134" s="1056"/>
      <c r="VJ134" s="1056"/>
      <c r="VK134" s="1056"/>
      <c r="VL134" s="1056"/>
      <c r="VM134" s="1056"/>
      <c r="VN134" s="1056"/>
      <c r="VO134" s="1056"/>
      <c r="VP134" s="1056"/>
      <c r="VQ134" s="1056"/>
      <c r="VR134" s="1056"/>
      <c r="VS134" s="1056"/>
      <c r="VT134" s="1056"/>
      <c r="VU134" s="1056"/>
      <c r="VV134" s="1056"/>
      <c r="VW134" s="1056"/>
      <c r="VX134" s="1056"/>
      <c r="VY134" s="1056"/>
      <c r="VZ134" s="1056"/>
      <c r="WA134" s="1056"/>
      <c r="WB134" s="1056"/>
      <c r="WC134" s="1056"/>
      <c r="WD134" s="1056"/>
      <c r="WE134" s="1056"/>
      <c r="WF134" s="1056"/>
      <c r="WG134" s="1056"/>
      <c r="WH134" s="1056"/>
      <c r="WI134" s="1056"/>
      <c r="WJ134" s="1056"/>
      <c r="WK134" s="1056"/>
      <c r="WL134" s="1056"/>
      <c r="WM134" s="1056"/>
      <c r="WN134" s="1056"/>
      <c r="WO134" s="1056"/>
      <c r="WP134" s="1056"/>
      <c r="WQ134" s="1056"/>
      <c r="WR134" s="1056"/>
      <c r="WS134" s="1056"/>
      <c r="WT134" s="1056"/>
      <c r="WU134" s="1056"/>
      <c r="WV134" s="1056"/>
      <c r="WW134" s="1056"/>
      <c r="WX134" s="1056"/>
      <c r="WY134" s="1056"/>
      <c r="WZ134" s="1056"/>
      <c r="XA134" s="1056"/>
      <c r="XB134" s="1056"/>
      <c r="XC134" s="1056"/>
      <c r="XD134" s="1056"/>
      <c r="XE134" s="1056"/>
      <c r="XF134" s="1056"/>
      <c r="XG134" s="1056"/>
      <c r="XH134" s="1056"/>
      <c r="XI134" s="1056"/>
      <c r="XJ134" s="1056"/>
      <c r="XK134" s="1056"/>
      <c r="XL134" s="1056"/>
      <c r="XM134" s="1056"/>
      <c r="XN134" s="1056"/>
      <c r="XO134" s="1056"/>
      <c r="XP134" s="1056"/>
      <c r="XQ134" s="1056"/>
      <c r="XR134" s="1056"/>
      <c r="XS134" s="1056"/>
      <c r="XT134" s="1056"/>
      <c r="XU134" s="1056"/>
      <c r="XV134" s="1056"/>
      <c r="XW134" s="1056"/>
      <c r="XX134" s="1056"/>
      <c r="XY134" s="1056"/>
      <c r="XZ134" s="1056"/>
      <c r="YA134" s="1056"/>
      <c r="YB134" s="1056"/>
      <c r="YC134" s="1056"/>
      <c r="YD134" s="1056"/>
      <c r="YE134" s="1056"/>
      <c r="YF134" s="1056"/>
      <c r="YG134" s="1056"/>
      <c r="YH134" s="1056"/>
      <c r="YI134" s="1056"/>
      <c r="YJ134" s="1056"/>
      <c r="YK134" s="1056"/>
      <c r="YL134" s="1056"/>
      <c r="YM134" s="1056"/>
      <c r="YN134" s="1056"/>
      <c r="YO134" s="1056"/>
      <c r="YP134" s="1056"/>
      <c r="YQ134" s="1056"/>
      <c r="YR134" s="1056"/>
      <c r="YS134" s="1056"/>
      <c r="YT134" s="1056"/>
      <c r="YU134" s="1056"/>
      <c r="YV134" s="1056"/>
      <c r="YW134" s="1056"/>
      <c r="YX134" s="1056"/>
      <c r="YY134" s="1056"/>
      <c r="YZ134" s="1056"/>
      <c r="ZA134" s="1056"/>
      <c r="ZB134" s="1056"/>
      <c r="ZC134" s="1056"/>
      <c r="ZD134" s="1056"/>
      <c r="ZE134" s="1056"/>
      <c r="ZF134" s="1056"/>
      <c r="ZG134" s="1056"/>
      <c r="ZH134" s="1056"/>
      <c r="ZI134" s="1056"/>
      <c r="ZJ134" s="1056"/>
      <c r="ZK134" s="1056"/>
      <c r="ZL134" s="1056"/>
      <c r="ZM134" s="1056"/>
      <c r="ZN134" s="1056"/>
      <c r="ZO134" s="1056"/>
      <c r="ZP134" s="1056"/>
      <c r="ZQ134" s="1056"/>
      <c r="ZR134" s="1056"/>
      <c r="ZS134" s="1056"/>
      <c r="ZT134" s="1056"/>
      <c r="ZU134" s="1056"/>
      <c r="ZV134" s="1056"/>
      <c r="ZW134" s="1056"/>
      <c r="ZX134" s="1056"/>
      <c r="ZY134" s="1056"/>
      <c r="ZZ134" s="1056"/>
      <c r="AAA134" s="1056"/>
      <c r="AAB134" s="1056"/>
      <c r="AAC134" s="1056"/>
      <c r="AAD134" s="1056"/>
      <c r="AAE134" s="1056"/>
      <c r="AAF134" s="1056"/>
      <c r="AAG134" s="1056"/>
      <c r="AAH134" s="1056"/>
      <c r="AAI134" s="1056"/>
      <c r="AAJ134" s="1056"/>
      <c r="AAK134" s="1056"/>
      <c r="AAL134" s="1056"/>
      <c r="AAM134" s="1056"/>
      <c r="AAN134" s="1056"/>
      <c r="AAO134" s="1056"/>
      <c r="AAP134" s="1056"/>
      <c r="AAQ134" s="1056"/>
      <c r="AAR134" s="1056"/>
      <c r="AAS134" s="1056"/>
      <c r="AAT134" s="1056"/>
      <c r="AAU134" s="1056"/>
      <c r="AAV134" s="1056"/>
      <c r="AAW134" s="1056"/>
      <c r="AAX134" s="1056"/>
      <c r="AAY134" s="1056"/>
      <c r="AAZ134" s="1056"/>
      <c r="ABA134" s="1056"/>
      <c r="ABB134" s="1056"/>
      <c r="ABC134" s="1056"/>
      <c r="ABD134" s="1056"/>
      <c r="ABE134" s="1056"/>
      <c r="ABF134" s="1056"/>
      <c r="ABG134" s="1056"/>
      <c r="ABH134" s="1056"/>
      <c r="ABI134" s="1056"/>
      <c r="ABJ134" s="1056"/>
      <c r="ABK134" s="1056"/>
      <c r="ABL134" s="1056"/>
      <c r="ABM134" s="1056"/>
      <c r="ABN134" s="1056"/>
      <c r="ABO134" s="1056"/>
      <c r="ABP134" s="1056"/>
      <c r="ABQ134" s="1056"/>
      <c r="ABR134" s="1056"/>
      <c r="ABS134" s="1056"/>
      <c r="ABT134" s="1056"/>
      <c r="ABU134" s="1056"/>
      <c r="ABV134" s="1056"/>
      <c r="ABW134" s="1056"/>
      <c r="ABX134" s="1056"/>
      <c r="ABY134" s="1056"/>
      <c r="ABZ134" s="1056"/>
      <c r="ACA134" s="1056"/>
      <c r="ACB134" s="1056"/>
      <c r="ACC134" s="1056"/>
      <c r="ACD134" s="1056"/>
      <c r="ACE134" s="1056"/>
      <c r="ACF134" s="1056"/>
      <c r="ACG134" s="1056"/>
      <c r="ACH134" s="1056"/>
      <c r="ACI134" s="1056"/>
      <c r="ACJ134" s="1056"/>
      <c r="ACK134" s="1056"/>
      <c r="ACL134" s="1056"/>
      <c r="ACM134" s="1056"/>
      <c r="ACN134" s="1056"/>
      <c r="ACO134" s="1056"/>
      <c r="ACP134" s="1056"/>
      <c r="ACQ134" s="1056"/>
      <c r="ACR134" s="1056"/>
      <c r="ACS134" s="1056"/>
      <c r="ACT134" s="1056"/>
      <c r="ACU134" s="1056"/>
      <c r="ACV134" s="1056"/>
      <c r="ACW134" s="1056"/>
      <c r="ACX134" s="1056"/>
      <c r="ACY134" s="1056"/>
      <c r="ACZ134" s="1056"/>
      <c r="ADA134" s="1056"/>
      <c r="ADB134" s="1056"/>
      <c r="ADC134" s="1056"/>
      <c r="ADD134" s="1056"/>
      <c r="ADE134" s="1056"/>
      <c r="ADF134" s="1056"/>
      <c r="ADG134" s="1056"/>
      <c r="ADH134" s="1056"/>
      <c r="ADI134" s="1056"/>
      <c r="ADJ134" s="1056"/>
      <c r="ADK134" s="1056"/>
      <c r="ADL134" s="1056"/>
      <c r="ADM134" s="1056"/>
      <c r="ADN134" s="1056"/>
      <c r="ADO134" s="1056"/>
      <c r="ADP134" s="1056"/>
      <c r="ADQ134" s="1056"/>
      <c r="ADR134" s="1056"/>
      <c r="ADS134" s="1056"/>
      <c r="ADT134" s="1056"/>
      <c r="ADU134" s="1056"/>
      <c r="ADV134" s="1056"/>
      <c r="ADW134" s="1056"/>
      <c r="ADX134" s="1056"/>
      <c r="ADY134" s="1056"/>
      <c r="ADZ134" s="1056"/>
      <c r="AEA134" s="1056"/>
      <c r="AEB134" s="1056"/>
      <c r="AEC134" s="1056"/>
      <c r="AED134" s="1056"/>
      <c r="AEE134" s="1056"/>
      <c r="AEF134" s="1056"/>
      <c r="AEG134" s="1056"/>
      <c r="AEH134" s="1056"/>
      <c r="AEI134" s="1056"/>
      <c r="AEJ134" s="1056"/>
      <c r="AEK134" s="1056"/>
      <c r="AEL134" s="1056"/>
      <c r="AEM134" s="1056"/>
      <c r="AEN134" s="1056"/>
      <c r="AEO134" s="1056"/>
      <c r="AEP134" s="1056"/>
      <c r="AEQ134" s="1056"/>
      <c r="AER134" s="1056"/>
      <c r="AES134" s="1056"/>
      <c r="AET134" s="1056"/>
      <c r="AEU134" s="1056"/>
      <c r="AEV134" s="1056"/>
      <c r="AEW134" s="1056"/>
      <c r="AEX134" s="1056"/>
      <c r="AEY134" s="1056"/>
      <c r="AEZ134" s="1056"/>
      <c r="AFA134" s="1056"/>
      <c r="AFB134" s="1056"/>
      <c r="AFC134" s="1056"/>
      <c r="AFD134" s="1056"/>
      <c r="AFE134" s="1056"/>
      <c r="AFF134" s="1056"/>
      <c r="AFG134" s="1056"/>
      <c r="AFH134" s="1056"/>
      <c r="AFI134" s="1056"/>
      <c r="AFJ134" s="1056"/>
      <c r="AFK134" s="1056"/>
      <c r="AFL134" s="1056"/>
      <c r="AFM134" s="1056"/>
      <c r="AFN134" s="1056"/>
      <c r="AFO134" s="1056"/>
      <c r="AFP134" s="1056"/>
      <c r="AFQ134" s="1056"/>
      <c r="AFR134" s="1056"/>
      <c r="AFS134" s="1056"/>
      <c r="AFT134" s="1056"/>
      <c r="AFU134" s="1056"/>
      <c r="AFV134" s="1056"/>
      <c r="AFW134" s="1056"/>
      <c r="AFX134" s="1056"/>
      <c r="AFY134" s="1056"/>
      <c r="AFZ134" s="1056"/>
      <c r="AGA134" s="1056"/>
      <c r="AGB134" s="1056"/>
      <c r="AGC134" s="1056"/>
      <c r="AGD134" s="1056"/>
      <c r="AGE134" s="1056"/>
      <c r="AGF134" s="1056"/>
      <c r="AGG134" s="1056"/>
      <c r="AGH134" s="1056"/>
      <c r="AGI134" s="1056"/>
      <c r="AGJ134" s="1056"/>
      <c r="AGK134" s="1056"/>
      <c r="AGL134" s="1056"/>
      <c r="AGM134" s="1056"/>
      <c r="AGN134" s="1056"/>
      <c r="AGO134" s="1056"/>
      <c r="AGP134" s="1056"/>
      <c r="AGQ134" s="1056"/>
      <c r="AGR134" s="1056"/>
      <c r="AGS134" s="1056"/>
      <c r="AGT134" s="1056"/>
      <c r="AGU134" s="1056"/>
      <c r="AGV134" s="1056"/>
      <c r="AGW134" s="1056"/>
      <c r="AGX134" s="1056"/>
      <c r="AGY134" s="1056"/>
      <c r="AGZ134" s="1056"/>
      <c r="AHA134" s="1056"/>
      <c r="AHB134" s="1056"/>
      <c r="AHC134" s="1056"/>
      <c r="AHD134" s="1056"/>
      <c r="AHE134" s="1056"/>
      <c r="AHF134" s="1056"/>
      <c r="AHG134" s="1056"/>
      <c r="AHH134" s="1056"/>
      <c r="AHI134" s="1056"/>
      <c r="AHJ134" s="1056"/>
      <c r="AHK134" s="1056"/>
      <c r="AHL134" s="1056"/>
      <c r="AHM134" s="1056"/>
      <c r="AHN134" s="1056"/>
      <c r="AHO134" s="1056"/>
      <c r="AHP134" s="1056"/>
      <c r="AHQ134" s="1056"/>
      <c r="AHR134" s="1056"/>
      <c r="AHS134" s="1056"/>
      <c r="AHT134" s="1056"/>
      <c r="AHU134" s="1056"/>
      <c r="AHV134" s="1056"/>
      <c r="AHW134" s="1056"/>
      <c r="AHX134" s="1056"/>
      <c r="AHY134" s="1056"/>
      <c r="AHZ134" s="1056"/>
      <c r="AIA134" s="1056"/>
      <c r="AIB134" s="1056"/>
      <c r="AIC134" s="1056"/>
      <c r="AID134" s="1056"/>
      <c r="AIE134" s="1056"/>
      <c r="AIF134" s="1056"/>
      <c r="AIG134" s="1056"/>
      <c r="AIH134" s="1056"/>
      <c r="AII134" s="1056"/>
      <c r="AIJ134" s="1056"/>
      <c r="AIK134" s="1056"/>
      <c r="AIL134" s="1056"/>
      <c r="AIM134" s="1056"/>
      <c r="AIN134" s="1056"/>
      <c r="AIO134" s="1056"/>
      <c r="AIP134" s="1056"/>
      <c r="AIQ134" s="1056"/>
      <c r="AIR134" s="1056"/>
      <c r="AIS134" s="1056"/>
      <c r="AIT134" s="1056"/>
      <c r="AIU134" s="1056"/>
      <c r="AIV134" s="1056"/>
      <c r="AIW134" s="1056"/>
      <c r="AIX134" s="1056"/>
      <c r="AIY134" s="1056"/>
      <c r="AIZ134" s="1056"/>
      <c r="AJA134" s="1056"/>
      <c r="AJB134" s="1056"/>
      <c r="AJC134" s="1056"/>
      <c r="AJD134" s="1056"/>
      <c r="AJE134" s="1056"/>
      <c r="AJF134" s="1056"/>
      <c r="AJG134" s="1056"/>
      <c r="AJH134" s="1056"/>
      <c r="AJI134" s="1056"/>
      <c r="AJJ134" s="1056"/>
      <c r="AJK134" s="1056"/>
      <c r="AJL134" s="1056"/>
      <c r="AJM134" s="1056"/>
      <c r="AJN134" s="1056"/>
      <c r="AJO134" s="1056"/>
      <c r="AJP134" s="1056"/>
      <c r="AJQ134" s="1056"/>
      <c r="AJR134" s="1056"/>
      <c r="AJS134" s="1056"/>
      <c r="AJT134" s="1056"/>
      <c r="AJU134" s="1056"/>
      <c r="AJV134" s="1056"/>
      <c r="AJW134" s="1056"/>
      <c r="AJX134" s="1056"/>
      <c r="AJY134" s="1056"/>
      <c r="AJZ134" s="1056"/>
      <c r="AKA134" s="1056"/>
      <c r="AKB134" s="1056"/>
      <c r="AKC134" s="1056"/>
      <c r="AKD134" s="1056"/>
      <c r="AKE134" s="1056"/>
      <c r="AKF134" s="1056"/>
      <c r="AKG134" s="1056"/>
      <c r="AKH134" s="1056"/>
      <c r="AKI134" s="1056"/>
      <c r="AKJ134" s="1056"/>
      <c r="AKK134" s="1056"/>
      <c r="AKL134" s="1056"/>
      <c r="AKM134" s="1056"/>
      <c r="AKN134" s="1056"/>
      <c r="AKO134" s="1056"/>
      <c r="AKP134" s="1056"/>
      <c r="AKQ134" s="1056"/>
      <c r="AKR134" s="1056"/>
      <c r="AKS134" s="1056"/>
      <c r="AKT134" s="1056"/>
      <c r="AKU134" s="1056"/>
      <c r="AKV134" s="1056"/>
      <c r="AKW134" s="1056"/>
      <c r="AKX134" s="1056"/>
      <c r="AKY134" s="1056"/>
      <c r="AKZ134" s="1056"/>
      <c r="ALA134" s="1056"/>
      <c r="ALB134" s="1056"/>
      <c r="ALC134" s="1056"/>
      <c r="ALD134" s="1056"/>
      <c r="ALE134" s="1056"/>
      <c r="ALF134" s="1056"/>
      <c r="ALG134" s="1056"/>
      <c r="ALH134" s="1056"/>
      <c r="ALI134" s="1056"/>
      <c r="ALJ134" s="1056"/>
      <c r="ALK134" s="1056"/>
      <c r="ALL134" s="1056"/>
      <c r="ALM134" s="1056"/>
      <c r="ALN134" s="1056"/>
      <c r="ALO134" s="1056"/>
      <c r="ALP134" s="1056"/>
      <c r="ALQ134" s="1056"/>
      <c r="ALR134" s="1056"/>
      <c r="ALS134" s="1056"/>
      <c r="ALT134" s="1056"/>
      <c r="ALU134" s="1056"/>
      <c r="ALV134" s="1056"/>
      <c r="ALW134" s="1056"/>
      <c r="ALX134" s="1056"/>
      <c r="ALY134" s="1056"/>
      <c r="ALZ134" s="1056"/>
      <c r="AMA134" s="1056"/>
      <c r="AMB134" s="1056"/>
      <c r="AMC134" s="1056"/>
      <c r="AMD134" s="1056"/>
      <c r="AME134" s="1056"/>
      <c r="AMF134" s="1056"/>
      <c r="AMG134" s="1056"/>
      <c r="AMH134" s="1056"/>
      <c r="AMI134" s="1056"/>
      <c r="AMJ134" s="1056"/>
      <c r="AMK134" s="1056"/>
      <c r="AML134" s="1056"/>
      <c r="AMM134" s="1056"/>
      <c r="AMN134" s="1056"/>
      <c r="AMO134" s="1056"/>
      <c r="AMP134" s="1056"/>
      <c r="AMQ134" s="1056"/>
      <c r="AMR134" s="1056"/>
      <c r="AMS134" s="1056"/>
      <c r="AMT134" s="1056"/>
      <c r="AMU134" s="1056"/>
      <c r="AMV134" s="1056"/>
      <c r="AMW134" s="1056"/>
      <c r="AMX134" s="1056"/>
      <c r="AMY134" s="1056"/>
      <c r="AMZ134" s="1056"/>
      <c r="ANA134" s="1056"/>
      <c r="ANB134" s="1056"/>
      <c r="ANC134" s="1056"/>
      <c r="AND134" s="1056"/>
      <c r="ANE134" s="1056"/>
      <c r="ANF134" s="1056"/>
      <c r="ANG134" s="1056"/>
      <c r="ANH134" s="1056"/>
      <c r="ANI134" s="1056"/>
      <c r="ANJ134" s="1056"/>
      <c r="ANK134" s="1056"/>
      <c r="ANL134" s="1056"/>
      <c r="ANM134" s="1056"/>
      <c r="ANN134" s="1056"/>
      <c r="ANO134" s="1056"/>
      <c r="ANP134" s="1056"/>
      <c r="ANQ134" s="1056"/>
      <c r="ANR134" s="1056"/>
      <c r="ANS134" s="1056"/>
      <c r="ANT134" s="1056"/>
      <c r="ANU134" s="1056"/>
      <c r="ANV134" s="1056"/>
      <c r="ANW134" s="1056"/>
      <c r="ANX134" s="1056"/>
      <c r="ANY134" s="1056"/>
      <c r="ANZ134" s="1056"/>
      <c r="AOA134" s="1056"/>
      <c r="AOB134" s="1056"/>
      <c r="AOC134" s="1056"/>
      <c r="AOD134" s="1056"/>
      <c r="AOE134" s="1056"/>
      <c r="AOF134" s="1056"/>
      <c r="AOG134" s="1056"/>
      <c r="AOH134" s="1056"/>
      <c r="AOI134" s="1056"/>
      <c r="AOJ134" s="1056"/>
      <c r="AOK134" s="1056"/>
      <c r="AOL134" s="1056"/>
      <c r="AOM134" s="1056"/>
      <c r="AON134" s="1056"/>
      <c r="AOO134" s="1056"/>
      <c r="AOP134" s="1056"/>
      <c r="AOQ134" s="1056"/>
      <c r="AOR134" s="1056"/>
      <c r="AOS134" s="1056"/>
      <c r="AOT134" s="1056"/>
      <c r="AOU134" s="1056"/>
      <c r="AOV134" s="1056"/>
      <c r="AOW134" s="1056"/>
      <c r="AOX134" s="1056"/>
      <c r="AOY134" s="1056"/>
      <c r="AOZ134" s="1056"/>
      <c r="APA134" s="1056"/>
      <c r="APB134" s="1056"/>
      <c r="APC134" s="1056"/>
      <c r="APD134" s="1056"/>
      <c r="APE134" s="1056"/>
      <c r="APF134" s="1056"/>
      <c r="APG134" s="1056"/>
      <c r="APH134" s="1056"/>
      <c r="API134" s="1056"/>
      <c r="APJ134" s="1056"/>
      <c r="APK134" s="1056"/>
      <c r="APL134" s="1056"/>
      <c r="APM134" s="1056"/>
      <c r="APN134" s="1056"/>
      <c r="APO134" s="1056"/>
      <c r="APP134" s="1056"/>
      <c r="APQ134" s="1056"/>
      <c r="APR134" s="1056"/>
      <c r="APS134" s="1056"/>
      <c r="APT134" s="1056"/>
      <c r="APU134" s="1056"/>
      <c r="APV134" s="1056"/>
      <c r="APW134" s="1056"/>
      <c r="APX134" s="1056"/>
      <c r="APY134" s="1056"/>
      <c r="APZ134" s="1056"/>
      <c r="AQA134" s="1056"/>
      <c r="AQB134" s="1056"/>
      <c r="AQC134" s="1056"/>
      <c r="AQD134" s="1056"/>
      <c r="AQE134" s="1056"/>
      <c r="AQF134" s="1056"/>
      <c r="AQG134" s="1056"/>
      <c r="AQH134" s="1056"/>
      <c r="AQI134" s="1056"/>
      <c r="AQJ134" s="1056"/>
      <c r="AQK134" s="1056"/>
      <c r="AQL134" s="1056"/>
      <c r="AQM134" s="1056"/>
      <c r="AQN134" s="1056"/>
      <c r="AQO134" s="1056"/>
      <c r="AQP134" s="1056"/>
      <c r="AQQ134" s="1056"/>
      <c r="AQR134" s="1056"/>
      <c r="AQS134" s="1056"/>
      <c r="AQT134" s="1056"/>
      <c r="AQU134" s="1056"/>
      <c r="AQV134" s="1056"/>
      <c r="AQW134" s="1056"/>
      <c r="AQX134" s="1056"/>
      <c r="AQY134" s="1056"/>
      <c r="AQZ134" s="1056"/>
      <c r="ARA134" s="1056"/>
      <c r="ARB134" s="1056"/>
      <c r="ARC134" s="1056"/>
      <c r="ARD134" s="1056"/>
      <c r="ARE134" s="1056"/>
      <c r="ARF134" s="1056"/>
      <c r="ARG134" s="1056"/>
      <c r="ARH134" s="1056"/>
      <c r="ARI134" s="1056"/>
      <c r="ARJ134" s="1056"/>
      <c r="ARK134" s="1056"/>
      <c r="ARL134" s="1056"/>
      <c r="ARM134" s="1056"/>
      <c r="ARN134" s="1056"/>
      <c r="ARO134" s="1056"/>
      <c r="ARP134" s="1056"/>
      <c r="ARQ134" s="1056"/>
      <c r="ARR134" s="1056"/>
      <c r="ARS134" s="1056"/>
      <c r="ART134" s="1056"/>
      <c r="ARU134" s="1056"/>
      <c r="ARV134" s="1056"/>
      <c r="ARW134" s="1056"/>
      <c r="ARX134" s="1056"/>
      <c r="ARY134" s="1056"/>
      <c r="ARZ134" s="1056"/>
      <c r="ASA134" s="1056"/>
      <c r="ASB134" s="1056"/>
      <c r="ASC134" s="1056"/>
      <c r="ASD134" s="1056"/>
      <c r="ASE134" s="1056"/>
      <c r="ASF134" s="1056"/>
      <c r="ASG134" s="1056"/>
      <c r="ASH134" s="1056"/>
      <c r="ASI134" s="1056"/>
      <c r="ASJ134" s="1056"/>
      <c r="ASK134" s="1056"/>
      <c r="ASL134" s="1056"/>
      <c r="ASM134" s="1056"/>
      <c r="ASN134" s="1056"/>
      <c r="ASO134" s="1056"/>
      <c r="ASP134" s="1056"/>
      <c r="ASQ134" s="1056"/>
      <c r="ASR134" s="1056"/>
      <c r="ASS134" s="1056"/>
      <c r="AST134" s="1056"/>
      <c r="ASU134" s="1056"/>
      <c r="ASV134" s="1056"/>
      <c r="ASW134" s="1056"/>
      <c r="ASX134" s="1056"/>
      <c r="ASY134" s="1056"/>
      <c r="ASZ134" s="1056"/>
      <c r="ATA134" s="1056"/>
      <c r="ATB134" s="1056"/>
      <c r="ATC134" s="1056"/>
      <c r="ATD134" s="1056"/>
      <c r="ATE134" s="1056"/>
      <c r="ATF134" s="1056"/>
      <c r="ATG134" s="1056"/>
      <c r="ATH134" s="1056"/>
      <c r="ATI134" s="1056"/>
      <c r="ATJ134" s="1056"/>
      <c r="ATK134" s="1056"/>
      <c r="ATL134" s="1056"/>
      <c r="ATM134" s="1056"/>
      <c r="ATN134" s="1056"/>
      <c r="ATO134" s="1056"/>
      <c r="ATP134" s="1056"/>
      <c r="ATQ134" s="1056"/>
      <c r="ATR134" s="1056"/>
      <c r="ATS134" s="1056"/>
      <c r="ATT134" s="1056"/>
      <c r="ATU134" s="1056"/>
      <c r="ATV134" s="1056"/>
      <c r="ATW134" s="1056"/>
      <c r="ATX134" s="1056"/>
      <c r="ATY134" s="1056"/>
      <c r="ATZ134" s="1056"/>
      <c r="AUA134" s="1056"/>
      <c r="AUB134" s="1056"/>
      <c r="AUC134" s="1056"/>
      <c r="AUD134" s="1056"/>
      <c r="AUE134" s="1056"/>
      <c r="AUF134" s="1056"/>
      <c r="AUG134" s="1056"/>
      <c r="AUH134" s="1056"/>
      <c r="AUI134" s="1056"/>
      <c r="AUJ134" s="1056"/>
      <c r="AUK134" s="1056"/>
      <c r="AUL134" s="1056"/>
      <c r="AUM134" s="1056"/>
      <c r="AUN134" s="1056"/>
      <c r="AUO134" s="1056"/>
      <c r="AUP134" s="1056"/>
      <c r="AUQ134" s="1056"/>
      <c r="AUR134" s="1056"/>
      <c r="AUS134" s="1056"/>
      <c r="AUT134" s="1056"/>
      <c r="AUU134" s="1056"/>
      <c r="AUV134" s="1056"/>
      <c r="AUW134" s="1056"/>
      <c r="AUX134" s="1056"/>
      <c r="AUY134" s="1056"/>
      <c r="AUZ134" s="1056"/>
      <c r="AVA134" s="1056"/>
      <c r="AVB134" s="1056"/>
      <c r="AVC134" s="1056"/>
      <c r="AVD134" s="1056"/>
      <c r="AVE134" s="1056"/>
      <c r="AVF134" s="1056"/>
      <c r="AVG134" s="1056"/>
      <c r="AVH134" s="1056"/>
      <c r="AVI134" s="1056"/>
      <c r="AVJ134" s="1056"/>
      <c r="AVK134" s="1056"/>
      <c r="AVL134" s="1056"/>
      <c r="AVM134" s="1056"/>
      <c r="AVN134" s="1056"/>
      <c r="AVO134" s="1056"/>
      <c r="AVP134" s="1056"/>
      <c r="AVQ134" s="1056"/>
      <c r="AVR134" s="1056"/>
      <c r="AVS134" s="1056"/>
      <c r="AVT134" s="1056"/>
      <c r="AVU134" s="1056"/>
      <c r="AVV134" s="1056"/>
      <c r="AVW134" s="1056"/>
      <c r="AVX134" s="1056"/>
      <c r="AVY134" s="1056"/>
      <c r="AVZ134" s="1056"/>
      <c r="AWA134" s="1056"/>
      <c r="AWB134" s="1056"/>
      <c r="AWC134" s="1056"/>
      <c r="AWD134" s="1056"/>
      <c r="AWE134" s="1056"/>
      <c r="AWF134" s="1056"/>
      <c r="AWG134" s="1056"/>
      <c r="AWH134" s="1056"/>
      <c r="AWI134" s="1056"/>
      <c r="AWJ134" s="1056"/>
      <c r="AWK134" s="1056"/>
      <c r="AWL134" s="1056"/>
      <c r="AWM134" s="1056"/>
      <c r="AWN134" s="1056"/>
      <c r="AWO134" s="1056"/>
      <c r="AWP134" s="1056"/>
      <c r="AWQ134" s="1056"/>
      <c r="AWR134" s="1056"/>
      <c r="AWS134" s="1056"/>
      <c r="AWT134" s="1056"/>
      <c r="AWU134" s="1056"/>
      <c r="AWV134" s="1056"/>
      <c r="AWW134" s="1056"/>
      <c r="AWX134" s="1056"/>
      <c r="AWY134" s="1056"/>
      <c r="AWZ134" s="1056"/>
      <c r="AXA134" s="1056"/>
      <c r="AXB134" s="1056"/>
      <c r="AXC134" s="1056"/>
      <c r="AXD134" s="1056"/>
      <c r="AXE134" s="1056"/>
      <c r="AXF134" s="1056"/>
      <c r="AXG134" s="1056"/>
      <c r="AXH134" s="1056"/>
      <c r="AXI134" s="1056"/>
      <c r="AXJ134" s="1056"/>
      <c r="AXK134" s="1056"/>
      <c r="AXL134" s="1056"/>
      <c r="AXM134" s="1056"/>
      <c r="AXN134" s="1056"/>
      <c r="AXO134" s="1056"/>
      <c r="AXP134" s="1056"/>
      <c r="AXQ134" s="1056"/>
      <c r="AXR134" s="1056"/>
      <c r="AXS134" s="1056"/>
      <c r="AXT134" s="1056"/>
      <c r="AXU134" s="1056"/>
      <c r="AXV134" s="1056"/>
      <c r="AXW134" s="1056"/>
      <c r="AXX134" s="1056"/>
      <c r="AXY134" s="1056"/>
      <c r="AXZ134" s="1056"/>
      <c r="AYA134" s="1056"/>
      <c r="AYB134" s="1056"/>
      <c r="AYC134" s="1056"/>
      <c r="AYD134" s="1056"/>
      <c r="AYE134" s="1056"/>
      <c r="AYF134" s="1056"/>
      <c r="AYG134" s="1056"/>
      <c r="AYH134" s="1056"/>
      <c r="AYI134" s="1056"/>
      <c r="AYJ134" s="1056"/>
      <c r="AYK134" s="1056"/>
      <c r="AYL134" s="1056"/>
      <c r="AYM134" s="1056"/>
      <c r="AYN134" s="1056"/>
      <c r="AYO134" s="1056"/>
      <c r="AYP134" s="1056"/>
      <c r="AYQ134" s="1056"/>
      <c r="AYR134" s="1056"/>
      <c r="AYS134" s="1056"/>
      <c r="AYT134" s="1056"/>
      <c r="AYU134" s="1056"/>
      <c r="AYV134" s="1056"/>
      <c r="AYW134" s="1056"/>
      <c r="AYX134" s="1056"/>
      <c r="AYY134" s="1056"/>
      <c r="AYZ134" s="1056"/>
      <c r="AZA134" s="1056"/>
      <c r="AZB134" s="1056"/>
      <c r="AZC134" s="1056"/>
      <c r="AZD134" s="1056"/>
      <c r="AZE134" s="1056"/>
      <c r="AZF134" s="1056"/>
      <c r="AZG134" s="1056"/>
      <c r="AZH134" s="1056"/>
      <c r="AZI134" s="1056"/>
      <c r="AZJ134" s="1056"/>
      <c r="AZK134" s="1056"/>
      <c r="AZL134" s="1056"/>
      <c r="AZM134" s="1056"/>
      <c r="AZN134" s="1056"/>
      <c r="AZO134" s="1056"/>
      <c r="AZP134" s="1056"/>
      <c r="AZQ134" s="1056"/>
      <c r="AZR134" s="1056"/>
      <c r="AZS134" s="1056"/>
      <c r="AZT134" s="1056"/>
      <c r="AZU134" s="1056"/>
      <c r="AZV134" s="1056"/>
      <c r="AZW134" s="1056"/>
      <c r="AZX134" s="1056"/>
      <c r="AZY134" s="1056"/>
      <c r="AZZ134" s="1056"/>
      <c r="BAA134" s="1056"/>
      <c r="BAB134" s="1056"/>
      <c r="BAC134" s="1056"/>
      <c r="BAD134" s="1056"/>
      <c r="BAE134" s="1056"/>
      <c r="BAF134" s="1056"/>
      <c r="BAG134" s="1056"/>
      <c r="BAH134" s="1056"/>
      <c r="BAI134" s="1056"/>
      <c r="BAJ134" s="1056"/>
      <c r="BAK134" s="1056"/>
      <c r="BAL134" s="1056"/>
      <c r="BAM134" s="1056"/>
      <c r="BAN134" s="1056"/>
      <c r="BAO134" s="1056"/>
      <c r="BAP134" s="1056"/>
      <c r="BAQ134" s="1056"/>
      <c r="BAR134" s="1056"/>
      <c r="BAS134" s="1056"/>
      <c r="BAT134" s="1056"/>
      <c r="BAU134" s="1056"/>
      <c r="BAV134" s="1056"/>
      <c r="BAW134" s="1056"/>
      <c r="BAX134" s="1056"/>
      <c r="BAY134" s="1056"/>
      <c r="BAZ134" s="1056"/>
      <c r="BBA134" s="1056"/>
      <c r="BBB134" s="1056"/>
      <c r="BBC134" s="1056"/>
      <c r="BBD134" s="1056"/>
      <c r="BBE134" s="1056"/>
      <c r="BBF134" s="1056"/>
      <c r="BBG134" s="1056"/>
      <c r="BBH134" s="1056"/>
      <c r="BBI134" s="1056"/>
      <c r="BBJ134" s="1056"/>
      <c r="BBK134" s="1056"/>
      <c r="BBL134" s="1056"/>
      <c r="BBM134" s="1056"/>
      <c r="BBN134" s="1056"/>
      <c r="BBO134" s="1056"/>
      <c r="BBP134" s="1056"/>
      <c r="BBQ134" s="1056"/>
      <c r="BBR134" s="1056"/>
      <c r="BBS134" s="1056"/>
      <c r="BBT134" s="1056"/>
      <c r="BBU134" s="1056"/>
      <c r="BBV134" s="1056"/>
      <c r="BBW134" s="1056"/>
      <c r="BBX134" s="1056"/>
      <c r="BBY134" s="1056"/>
      <c r="BBZ134" s="1056"/>
      <c r="BCA134" s="1056"/>
      <c r="BCB134" s="1056"/>
      <c r="BCC134" s="1056"/>
      <c r="BCD134" s="1056"/>
      <c r="BCE134" s="1056"/>
      <c r="BCF134" s="1056"/>
      <c r="BCG134" s="1056"/>
      <c r="BCH134" s="1056"/>
      <c r="BCI134" s="1056"/>
      <c r="BCJ134" s="1056"/>
      <c r="BCK134" s="1056"/>
      <c r="BCL134" s="1056"/>
      <c r="BCM134" s="1056"/>
      <c r="BCN134" s="1056"/>
      <c r="BCO134" s="1056"/>
      <c r="BCP134" s="1056"/>
      <c r="BCQ134" s="1056"/>
      <c r="BCR134" s="1056"/>
      <c r="BCS134" s="1056"/>
      <c r="BCT134" s="1056"/>
      <c r="BCU134" s="1056"/>
      <c r="BCV134" s="1056"/>
      <c r="BCW134" s="1056"/>
      <c r="BCX134" s="1056"/>
      <c r="BCY134" s="1056"/>
      <c r="BCZ134" s="1056"/>
      <c r="BDA134" s="1056"/>
      <c r="BDB134" s="1056"/>
      <c r="BDC134" s="1056"/>
      <c r="BDD134" s="1056"/>
      <c r="BDE134" s="1056"/>
      <c r="BDF134" s="1056"/>
      <c r="BDG134" s="1056"/>
      <c r="BDH134" s="1056"/>
      <c r="BDI134" s="1056"/>
      <c r="BDJ134" s="1056"/>
      <c r="BDK134" s="1056"/>
      <c r="BDL134" s="1056"/>
      <c r="BDM134" s="1056"/>
      <c r="BDN134" s="1056"/>
      <c r="BDO134" s="1056"/>
      <c r="BDP134" s="1056"/>
      <c r="BDQ134" s="1056"/>
      <c r="BDR134" s="1056"/>
      <c r="BDS134" s="1056"/>
      <c r="BDT134" s="1056"/>
      <c r="BDU134" s="1056"/>
      <c r="BDV134" s="1056"/>
      <c r="BDW134" s="1056"/>
      <c r="BDX134" s="1056"/>
      <c r="BDY134" s="1056"/>
      <c r="BDZ134" s="1056"/>
      <c r="BEA134" s="1056"/>
      <c r="BEB134" s="1056"/>
      <c r="BEC134" s="1056"/>
      <c r="BED134" s="1056"/>
      <c r="BEE134" s="1056"/>
      <c r="BEF134" s="1056"/>
      <c r="BEG134" s="1056"/>
      <c r="BEH134" s="1056"/>
      <c r="BEI134" s="1056"/>
      <c r="BEJ134" s="1056"/>
      <c r="BEK134" s="1056"/>
      <c r="BEL134" s="1056"/>
      <c r="BEM134" s="1056"/>
      <c r="BEN134" s="1056"/>
      <c r="BEO134" s="1056"/>
      <c r="BEP134" s="1056"/>
      <c r="BEQ134" s="1056"/>
      <c r="BER134" s="1056"/>
      <c r="BES134" s="1056"/>
      <c r="BET134" s="1056"/>
      <c r="BEU134" s="1056"/>
      <c r="BEV134" s="1056"/>
      <c r="BEW134" s="1056"/>
      <c r="BEX134" s="1056"/>
      <c r="BEY134" s="1056"/>
      <c r="BEZ134" s="1056"/>
      <c r="BFA134" s="1056"/>
      <c r="BFB134" s="1056"/>
      <c r="BFC134" s="1056"/>
      <c r="BFD134" s="1056"/>
      <c r="BFE134" s="1056"/>
      <c r="BFF134" s="1056"/>
      <c r="BFG134" s="1056"/>
      <c r="BFH134" s="1056"/>
      <c r="BFI134" s="1056"/>
      <c r="BFJ134" s="1056"/>
      <c r="BFK134" s="1056"/>
      <c r="BFL134" s="1056"/>
      <c r="BFM134" s="1056"/>
      <c r="BFN134" s="1056"/>
      <c r="BFO134" s="1056"/>
      <c r="BFP134" s="1056"/>
      <c r="BFQ134" s="1056"/>
      <c r="BFR134" s="1056"/>
      <c r="BFS134" s="1056"/>
      <c r="BFT134" s="1056"/>
      <c r="BFU134" s="1056"/>
      <c r="BFV134" s="1056"/>
      <c r="BFW134" s="1056"/>
      <c r="BFX134" s="1056"/>
      <c r="BFY134" s="1056"/>
      <c r="BFZ134" s="1056"/>
      <c r="BGA134" s="1056"/>
      <c r="BGB134" s="1056"/>
      <c r="BGC134" s="1056"/>
      <c r="BGD134" s="1056"/>
      <c r="BGE134" s="1056"/>
      <c r="BGF134" s="1056"/>
      <c r="BGG134" s="1056"/>
      <c r="BGH134" s="1056"/>
      <c r="BGI134" s="1056"/>
      <c r="BGJ134" s="1056"/>
      <c r="BGK134" s="1056"/>
      <c r="BGL134" s="1056"/>
      <c r="BGM134" s="1056"/>
      <c r="BGN134" s="1056"/>
      <c r="BGO134" s="1056"/>
      <c r="BGP134" s="1056"/>
      <c r="BGQ134" s="1056"/>
      <c r="BGR134" s="1056"/>
      <c r="BGS134" s="1056"/>
      <c r="BGT134" s="1056"/>
      <c r="BGU134" s="1056"/>
      <c r="BGV134" s="1056"/>
      <c r="BGW134" s="1056"/>
      <c r="BGX134" s="1056"/>
      <c r="BGY134" s="1056"/>
      <c r="BGZ134" s="1056"/>
      <c r="BHA134" s="1056"/>
      <c r="BHB134" s="1056"/>
      <c r="BHC134" s="1056"/>
      <c r="BHD134" s="1056"/>
      <c r="BHE134" s="1056"/>
      <c r="BHF134" s="1056"/>
      <c r="BHG134" s="1056"/>
      <c r="BHH134" s="1056"/>
      <c r="BHI134" s="1056"/>
      <c r="BHJ134" s="1056"/>
      <c r="BHK134" s="1056"/>
      <c r="BHL134" s="1056"/>
      <c r="BHM134" s="1056"/>
      <c r="BHN134" s="1056"/>
      <c r="BHO134" s="1056"/>
      <c r="BHP134" s="1056"/>
      <c r="BHQ134" s="1056"/>
      <c r="BHR134" s="1056"/>
      <c r="BHS134" s="1056"/>
      <c r="BHT134" s="1056"/>
      <c r="BHU134" s="1056"/>
      <c r="BHV134" s="1056"/>
      <c r="BHW134" s="1056"/>
      <c r="BHX134" s="1056"/>
      <c r="BHY134" s="1056"/>
      <c r="BHZ134" s="1056"/>
      <c r="BIA134" s="1056"/>
      <c r="BIB134" s="1056"/>
      <c r="BIC134" s="1056"/>
      <c r="BID134" s="1056"/>
      <c r="BIE134" s="1056"/>
      <c r="BIF134" s="1056"/>
      <c r="BIG134" s="1056"/>
      <c r="BIH134" s="1056"/>
      <c r="BII134" s="1056"/>
      <c r="BIJ134" s="1056"/>
      <c r="BIK134" s="1056"/>
      <c r="BIL134" s="1056"/>
      <c r="BIM134" s="1056"/>
      <c r="BIN134" s="1056"/>
      <c r="BIO134" s="1056"/>
      <c r="BIP134" s="1056"/>
      <c r="BIQ134" s="1056"/>
      <c r="BIR134" s="1056"/>
      <c r="BIS134" s="1056"/>
      <c r="BIT134" s="1056"/>
      <c r="BIU134" s="1056"/>
      <c r="BIV134" s="1056"/>
      <c r="BIW134" s="1056"/>
      <c r="BIX134" s="1056"/>
      <c r="BIY134" s="1056"/>
      <c r="BIZ134" s="1056"/>
      <c r="BJA134" s="1056"/>
      <c r="BJB134" s="1056"/>
      <c r="BJC134" s="1056"/>
      <c r="BJD134" s="1056"/>
      <c r="BJE134" s="1056"/>
      <c r="BJF134" s="1056"/>
      <c r="BJG134" s="1056"/>
      <c r="BJH134" s="1056"/>
      <c r="BJI134" s="1056"/>
      <c r="BJJ134" s="1056"/>
      <c r="BJK134" s="1056"/>
      <c r="BJL134" s="1056"/>
      <c r="BJM134" s="1056"/>
      <c r="BJN134" s="1056"/>
      <c r="BJO134" s="1056"/>
      <c r="BJP134" s="1056"/>
      <c r="BJQ134" s="1056"/>
      <c r="BJR134" s="1056"/>
      <c r="BJS134" s="1056"/>
      <c r="BJT134" s="1056"/>
      <c r="BJU134" s="1056"/>
      <c r="BJV134" s="1056"/>
      <c r="BJW134" s="1056"/>
      <c r="BJX134" s="1056"/>
      <c r="BJY134" s="1056"/>
      <c r="BJZ134" s="1056"/>
      <c r="BKA134" s="1056"/>
      <c r="BKB134" s="1056"/>
      <c r="BKC134" s="1056"/>
      <c r="BKD134" s="1056"/>
      <c r="BKE134" s="1056"/>
      <c r="BKF134" s="1056"/>
      <c r="BKG134" s="1056"/>
      <c r="BKH134" s="1056"/>
      <c r="BKI134" s="1056"/>
      <c r="BKJ134" s="1056"/>
      <c r="BKK134" s="1056"/>
      <c r="BKL134" s="1056"/>
      <c r="BKM134" s="1056"/>
      <c r="BKN134" s="1056"/>
      <c r="BKO134" s="1056"/>
      <c r="BKP134" s="1056"/>
      <c r="BKQ134" s="1056"/>
      <c r="BKR134" s="1056"/>
      <c r="BKS134" s="1056"/>
      <c r="BKT134" s="1056"/>
      <c r="BKU134" s="1056"/>
      <c r="BKV134" s="1056"/>
      <c r="BKW134" s="1056"/>
      <c r="BKX134" s="1056"/>
      <c r="BKY134" s="1056"/>
      <c r="BKZ134" s="1056"/>
      <c r="BLA134" s="1056"/>
      <c r="BLB134" s="1056"/>
      <c r="BLC134" s="1056"/>
      <c r="BLD134" s="1056"/>
      <c r="BLE134" s="1056"/>
      <c r="BLF134" s="1056"/>
      <c r="BLG134" s="1056"/>
      <c r="BLH134" s="1056"/>
      <c r="BLI134" s="1056"/>
      <c r="BLJ134" s="1056"/>
      <c r="BLK134" s="1056"/>
      <c r="BLL134" s="1056"/>
      <c r="BLM134" s="1056"/>
      <c r="BLN134" s="1056"/>
      <c r="BLO134" s="1056"/>
      <c r="BLP134" s="1056"/>
      <c r="BLQ134" s="1056"/>
      <c r="BLR134" s="1056"/>
      <c r="BLS134" s="1056"/>
      <c r="BLT134" s="1056"/>
      <c r="BLU134" s="1056"/>
      <c r="BLV134" s="1056"/>
      <c r="BLW134" s="1056"/>
      <c r="BLX134" s="1056"/>
      <c r="BLY134" s="1056"/>
      <c r="BLZ134" s="1056"/>
      <c r="BMA134" s="1056"/>
      <c r="BMB134" s="1056"/>
      <c r="BMC134" s="1056"/>
      <c r="BMD134" s="1056"/>
      <c r="BME134" s="1056"/>
      <c r="BMF134" s="1056"/>
      <c r="BMG134" s="1056"/>
      <c r="BMH134" s="1056"/>
      <c r="BMI134" s="1056"/>
      <c r="BMJ134" s="1056"/>
      <c r="BMK134" s="1056"/>
      <c r="BML134" s="1056"/>
      <c r="BMM134" s="1056"/>
      <c r="BMN134" s="1056"/>
      <c r="BMO134" s="1056"/>
      <c r="BMP134" s="1056"/>
      <c r="BMQ134" s="1056"/>
      <c r="BMR134" s="1056"/>
      <c r="BMS134" s="1056"/>
      <c r="BMT134" s="1056"/>
      <c r="BMU134" s="1056"/>
      <c r="BMV134" s="1056"/>
      <c r="BMW134" s="1056"/>
      <c r="BMX134" s="1056"/>
      <c r="BMY134" s="1056"/>
      <c r="BMZ134" s="1056"/>
      <c r="BNA134" s="1056"/>
      <c r="BNB134" s="1056"/>
      <c r="BNC134" s="1056"/>
      <c r="BND134" s="1056"/>
      <c r="BNE134" s="1056"/>
      <c r="BNF134" s="1056"/>
      <c r="BNG134" s="1056"/>
      <c r="BNH134" s="1056"/>
      <c r="BNI134" s="1056"/>
      <c r="BNJ134" s="1056"/>
      <c r="BNK134" s="1056"/>
      <c r="BNL134" s="1056"/>
      <c r="BNM134" s="1056"/>
      <c r="BNN134" s="1056"/>
      <c r="BNO134" s="1056"/>
      <c r="BNP134" s="1056"/>
      <c r="BNQ134" s="1056"/>
      <c r="BNR134" s="1056"/>
      <c r="BNS134" s="1056"/>
      <c r="BNT134" s="1056"/>
      <c r="BNU134" s="1056"/>
      <c r="BNV134" s="1056"/>
      <c r="BNW134" s="1056"/>
      <c r="BNX134" s="1056"/>
      <c r="BNY134" s="1056"/>
      <c r="BNZ134" s="1056"/>
      <c r="BOA134" s="1056"/>
      <c r="BOB134" s="1056"/>
      <c r="BOC134" s="1056"/>
      <c r="BOD134" s="1056"/>
      <c r="BOE134" s="1056"/>
      <c r="BOF134" s="1056"/>
      <c r="BOG134" s="1056"/>
      <c r="BOH134" s="1056"/>
      <c r="BOI134" s="1056"/>
      <c r="BOJ134" s="1056"/>
      <c r="BOK134" s="1056"/>
      <c r="BOL134" s="1056"/>
      <c r="BOM134" s="1056"/>
      <c r="BON134" s="1056"/>
      <c r="BOO134" s="1056"/>
      <c r="BOP134" s="1056"/>
      <c r="BOQ134" s="1056"/>
      <c r="BOR134" s="1056"/>
      <c r="BOS134" s="1056"/>
      <c r="BOT134" s="1056"/>
      <c r="BOU134" s="1056"/>
      <c r="BOV134" s="1056"/>
      <c r="BOW134" s="1056"/>
      <c r="BOX134" s="1056"/>
      <c r="BOY134" s="1056"/>
      <c r="BOZ134" s="1056"/>
      <c r="BPA134" s="1056"/>
      <c r="BPB134" s="1056"/>
      <c r="BPC134" s="1056"/>
      <c r="BPD134" s="1056"/>
      <c r="BPE134" s="1056"/>
      <c r="BPF134" s="1056"/>
      <c r="BPG134" s="1056"/>
      <c r="BPH134" s="1056"/>
      <c r="BPI134" s="1056"/>
      <c r="BPJ134" s="1056"/>
      <c r="BPK134" s="1056"/>
      <c r="BPL134" s="1056"/>
      <c r="BPM134" s="1056"/>
      <c r="BPN134" s="1056"/>
      <c r="BPO134" s="1056"/>
      <c r="BPP134" s="1056"/>
      <c r="BPQ134" s="1056"/>
      <c r="BPR134" s="1056"/>
      <c r="BPS134" s="1056"/>
      <c r="BPT134" s="1056"/>
      <c r="BPU134" s="1056"/>
      <c r="BPV134" s="1056"/>
      <c r="BPW134" s="1056"/>
      <c r="BPX134" s="1056"/>
      <c r="BPY134" s="1056"/>
      <c r="BPZ134" s="1056"/>
      <c r="BQA134" s="1056"/>
      <c r="BQB134" s="1056"/>
      <c r="BQC134" s="1056"/>
      <c r="BQD134" s="1056"/>
      <c r="BQE134" s="1056"/>
      <c r="BQF134" s="1056"/>
      <c r="BQG134" s="1056"/>
      <c r="BQH134" s="1056"/>
      <c r="BQI134" s="1056"/>
      <c r="BQJ134" s="1056"/>
      <c r="BQK134" s="1056"/>
      <c r="BQL134" s="1056"/>
      <c r="BQM134" s="1056"/>
      <c r="BQN134" s="1056"/>
      <c r="BQO134" s="1056"/>
      <c r="BQP134" s="1056"/>
      <c r="BQQ134" s="1056"/>
      <c r="BQR134" s="1056"/>
      <c r="BQS134" s="1056"/>
      <c r="BQT134" s="1056"/>
      <c r="BQU134" s="1056"/>
      <c r="BQV134" s="1056"/>
      <c r="BQW134" s="1056"/>
      <c r="BQX134" s="1056"/>
      <c r="BQY134" s="1056"/>
      <c r="BQZ134" s="1056"/>
      <c r="BRA134" s="1056"/>
      <c r="BRB134" s="1056"/>
      <c r="BRC134" s="1056"/>
      <c r="BRD134" s="1056"/>
      <c r="BRE134" s="1056"/>
      <c r="BRF134" s="1056"/>
      <c r="BRG134" s="1056"/>
      <c r="BRH134" s="1056"/>
      <c r="BRI134" s="1056"/>
      <c r="BRJ134" s="1056"/>
      <c r="BRK134" s="1056"/>
      <c r="BRL134" s="1056"/>
      <c r="BRM134" s="1056"/>
      <c r="BRN134" s="1056"/>
      <c r="BRO134" s="1056"/>
      <c r="BRP134" s="1056"/>
      <c r="BRQ134" s="1056"/>
      <c r="BRR134" s="1056"/>
      <c r="BRS134" s="1056"/>
      <c r="BRT134" s="1056"/>
      <c r="BRU134" s="1056"/>
      <c r="BRV134" s="1056"/>
      <c r="BRW134" s="1056"/>
      <c r="BRX134" s="1056"/>
      <c r="BRY134" s="1056"/>
      <c r="BRZ134" s="1056"/>
      <c r="BSA134" s="1056"/>
      <c r="BSB134" s="1056"/>
      <c r="BSC134" s="1056"/>
      <c r="BSD134" s="1056"/>
      <c r="BSE134" s="1056"/>
      <c r="BSF134" s="1056"/>
      <c r="BSG134" s="1056"/>
      <c r="BSH134" s="1056"/>
      <c r="BSI134" s="1056"/>
      <c r="BSJ134" s="1056"/>
      <c r="BSK134" s="1056"/>
      <c r="BSL134" s="1056"/>
      <c r="BSM134" s="1056"/>
      <c r="BSN134" s="1056"/>
      <c r="BSO134" s="1056"/>
      <c r="BSP134" s="1056"/>
      <c r="BSQ134" s="1056"/>
      <c r="BSR134" s="1056"/>
      <c r="BSS134" s="1056"/>
      <c r="BST134" s="1056"/>
      <c r="BSU134" s="1056"/>
      <c r="BSV134" s="1056"/>
      <c r="BSW134" s="1056"/>
      <c r="BSX134" s="1056"/>
      <c r="BSY134" s="1056"/>
      <c r="BSZ134" s="1056"/>
      <c r="BTA134" s="1056"/>
      <c r="BTB134" s="1056"/>
      <c r="BTC134" s="1056"/>
      <c r="BTD134" s="1056"/>
      <c r="BTE134" s="1056"/>
      <c r="BTF134" s="1056"/>
      <c r="BTG134" s="1056"/>
      <c r="BTH134" s="1056"/>
      <c r="BTI134" s="1056"/>
    </row>
    <row r="135" spans="1:1881" s="1060" customFormat="1" ht="48.75" hidden="1" customHeight="1" x14ac:dyDescent="0.3">
      <c r="A135" s="1059">
        <v>510</v>
      </c>
      <c r="B135" s="808" t="s">
        <v>37</v>
      </c>
      <c r="C135" s="808" t="s">
        <v>1387</v>
      </c>
      <c r="D135" s="1084" t="s">
        <v>306</v>
      </c>
      <c r="E135" s="1053" t="e">
        <f>HLOOKUP($D$2,'2020 Data(H)'!$C$1:$AI$426,160,FALSE)</f>
        <v>#N/A</v>
      </c>
      <c r="F135" s="287">
        <v>0</v>
      </c>
      <c r="G135" s="722"/>
      <c r="H135" s="764"/>
      <c r="I135" s="1055"/>
      <c r="J135" s="1056"/>
      <c r="K135" s="1056"/>
      <c r="L135" s="1056"/>
      <c r="M135" s="1056"/>
      <c r="N135" s="1058"/>
      <c r="O135" s="1056"/>
      <c r="P135" s="1056"/>
      <c r="Q135" s="1056"/>
      <c r="R135" s="1056"/>
      <c r="S135" s="1056"/>
      <c r="T135" s="1056"/>
      <c r="U135" s="1056"/>
      <c r="V135" s="1056"/>
      <c r="W135" s="1056"/>
      <c r="X135" s="1056"/>
      <c r="Y135" s="1056"/>
      <c r="Z135" s="1059"/>
      <c r="AA135" s="1059"/>
      <c r="AB135" s="1059"/>
      <c r="AC135" s="1059"/>
      <c r="AD135" s="1059"/>
      <c r="AE135" s="1059"/>
      <c r="AF135" s="1059"/>
      <c r="AG135" s="1059"/>
      <c r="AH135" s="1059"/>
      <c r="AI135" s="1059"/>
      <c r="AJ135" s="1059"/>
      <c r="AK135" s="1059"/>
      <c r="AL135" s="1059"/>
      <c r="AM135" s="1059"/>
      <c r="AN135" s="1059"/>
      <c r="AO135" s="1059"/>
      <c r="AP135" s="1059"/>
      <c r="AQ135" s="1059"/>
      <c r="AR135" s="1059"/>
      <c r="AS135" s="1056"/>
      <c r="AT135" s="1056"/>
      <c r="AU135" s="1056"/>
      <c r="AV135" s="1056"/>
      <c r="AW135" s="1056"/>
      <c r="AX135" s="1056"/>
      <c r="AY135" s="1056"/>
      <c r="AZ135" s="1056"/>
      <c r="BA135" s="1056"/>
      <c r="BB135" s="1056"/>
      <c r="BC135" s="1056"/>
      <c r="BD135" s="1056"/>
      <c r="BE135" s="1056"/>
      <c r="BF135" s="1056"/>
      <c r="BG135" s="1056"/>
      <c r="BH135" s="1056"/>
      <c r="BI135" s="1056"/>
      <c r="BJ135" s="1056"/>
      <c r="BK135" s="1056"/>
      <c r="BL135" s="1056"/>
      <c r="BM135" s="1056"/>
      <c r="BN135" s="1056"/>
      <c r="BO135" s="1056"/>
      <c r="BP135" s="1056"/>
      <c r="BQ135" s="1056"/>
      <c r="BR135" s="1056"/>
      <c r="BS135" s="1056"/>
      <c r="BT135" s="1056"/>
      <c r="BU135" s="1056"/>
      <c r="BV135" s="1056"/>
      <c r="BW135" s="1056"/>
      <c r="BX135" s="1056"/>
      <c r="BY135" s="1056"/>
      <c r="BZ135" s="1056"/>
      <c r="CA135" s="1056"/>
      <c r="CB135" s="1056"/>
      <c r="CC135" s="1056"/>
      <c r="CD135" s="1056"/>
      <c r="CE135" s="1056"/>
      <c r="CF135" s="1056"/>
      <c r="CG135" s="1056"/>
      <c r="CH135" s="1056"/>
      <c r="CI135" s="1056"/>
      <c r="CJ135" s="1056"/>
      <c r="CK135" s="1056"/>
      <c r="CL135" s="1056"/>
      <c r="CM135" s="1056"/>
      <c r="CN135" s="1056"/>
      <c r="CO135" s="1056"/>
      <c r="CP135" s="1056"/>
      <c r="CQ135" s="1056"/>
      <c r="CR135" s="1056"/>
      <c r="CS135" s="1056"/>
      <c r="CT135" s="1056"/>
      <c r="CU135" s="1056"/>
      <c r="CV135" s="1056"/>
      <c r="CW135" s="1056"/>
      <c r="CX135" s="1056"/>
      <c r="CY135" s="1056"/>
      <c r="CZ135" s="1056"/>
      <c r="DA135" s="1056"/>
      <c r="DB135" s="1056"/>
      <c r="DC135" s="1056"/>
      <c r="DD135" s="1056"/>
      <c r="DE135" s="1056"/>
      <c r="DF135" s="1056"/>
      <c r="DG135" s="1056"/>
      <c r="DH135" s="1056"/>
      <c r="DI135" s="1056"/>
      <c r="DJ135" s="1056"/>
      <c r="DK135" s="1056"/>
      <c r="DL135" s="1056"/>
      <c r="DM135" s="1056"/>
      <c r="DN135" s="1056"/>
      <c r="DO135" s="1056"/>
      <c r="DP135" s="1056"/>
      <c r="DQ135" s="1056"/>
      <c r="DR135" s="1056"/>
      <c r="DS135" s="1056"/>
      <c r="DT135" s="1056"/>
      <c r="DU135" s="1056"/>
      <c r="DV135" s="1056"/>
      <c r="DW135" s="1056"/>
      <c r="DX135" s="1056"/>
      <c r="DY135" s="1056"/>
      <c r="DZ135" s="1056"/>
      <c r="EA135" s="1056"/>
      <c r="EB135" s="1056"/>
      <c r="EC135" s="1056"/>
      <c r="ED135" s="1056"/>
      <c r="EE135" s="1056"/>
      <c r="EF135" s="1056"/>
      <c r="EG135" s="1056"/>
      <c r="EH135" s="1056"/>
      <c r="EI135" s="1056"/>
      <c r="EJ135" s="1056"/>
      <c r="EK135" s="1056"/>
      <c r="EL135" s="1056"/>
      <c r="EM135" s="1056"/>
      <c r="EN135" s="1056"/>
      <c r="EO135" s="1056"/>
      <c r="EP135" s="1056"/>
      <c r="EQ135" s="1056"/>
      <c r="ER135" s="1056"/>
      <c r="ES135" s="1056"/>
      <c r="ET135" s="1056"/>
      <c r="EU135" s="1056"/>
      <c r="EV135" s="1056"/>
      <c r="EW135" s="1056"/>
      <c r="EX135" s="1056"/>
      <c r="EY135" s="1056"/>
      <c r="EZ135" s="1056"/>
      <c r="FA135" s="1056"/>
      <c r="FB135" s="1056"/>
      <c r="FC135" s="1056"/>
      <c r="FD135" s="1056"/>
      <c r="FE135" s="1056"/>
      <c r="FF135" s="1056"/>
      <c r="FG135" s="1056"/>
      <c r="FH135" s="1056"/>
      <c r="FI135" s="1056"/>
      <c r="FJ135" s="1056"/>
      <c r="FK135" s="1056"/>
      <c r="FL135" s="1056"/>
      <c r="FM135" s="1056"/>
      <c r="FN135" s="1056"/>
      <c r="FO135" s="1056"/>
      <c r="FP135" s="1056"/>
      <c r="FQ135" s="1056"/>
      <c r="FR135" s="1056"/>
      <c r="FS135" s="1056"/>
      <c r="FT135" s="1056"/>
      <c r="FU135" s="1056"/>
      <c r="FV135" s="1056"/>
      <c r="FW135" s="1056"/>
      <c r="FX135" s="1056"/>
      <c r="FY135" s="1056"/>
      <c r="FZ135" s="1056"/>
      <c r="GA135" s="1056"/>
      <c r="GB135" s="1056"/>
      <c r="GC135" s="1056"/>
      <c r="GD135" s="1056"/>
      <c r="GE135" s="1056"/>
      <c r="GF135" s="1056"/>
      <c r="GG135" s="1056"/>
      <c r="GH135" s="1056"/>
      <c r="GI135" s="1056"/>
      <c r="GJ135" s="1056"/>
      <c r="GK135" s="1056"/>
      <c r="GL135" s="1056"/>
      <c r="GM135" s="1056"/>
      <c r="GN135" s="1056"/>
      <c r="GO135" s="1056"/>
      <c r="GP135" s="1056"/>
      <c r="GQ135" s="1056"/>
      <c r="GR135" s="1056"/>
      <c r="GS135" s="1056"/>
      <c r="GT135" s="1056"/>
      <c r="GU135" s="1056"/>
      <c r="GV135" s="1056"/>
      <c r="GW135" s="1056"/>
      <c r="GX135" s="1056"/>
      <c r="GY135" s="1056"/>
      <c r="GZ135" s="1056"/>
      <c r="HA135" s="1056"/>
      <c r="HB135" s="1056"/>
      <c r="HC135" s="1056"/>
      <c r="HD135" s="1056"/>
      <c r="HE135" s="1056"/>
      <c r="HF135" s="1056"/>
      <c r="HG135" s="1056"/>
      <c r="HH135" s="1056"/>
      <c r="HI135" s="1056"/>
      <c r="HJ135" s="1056"/>
      <c r="HK135" s="1056"/>
      <c r="HL135" s="1056"/>
      <c r="HM135" s="1056"/>
      <c r="HN135" s="1056"/>
      <c r="HO135" s="1056"/>
      <c r="HP135" s="1056"/>
      <c r="HQ135" s="1056"/>
      <c r="HR135" s="1056"/>
      <c r="HS135" s="1056"/>
      <c r="HT135" s="1056"/>
      <c r="HU135" s="1056"/>
      <c r="HV135" s="1056"/>
      <c r="HW135" s="1056"/>
      <c r="HX135" s="1056"/>
      <c r="HY135" s="1056"/>
      <c r="HZ135" s="1056"/>
      <c r="IA135" s="1056"/>
      <c r="IB135" s="1056"/>
      <c r="IC135" s="1056"/>
      <c r="ID135" s="1056"/>
      <c r="IE135" s="1056"/>
      <c r="IF135" s="1056"/>
      <c r="IG135" s="1056"/>
      <c r="IH135" s="1056"/>
      <c r="II135" s="1056"/>
      <c r="IJ135" s="1056"/>
      <c r="IK135" s="1056"/>
      <c r="IL135" s="1056"/>
      <c r="IM135" s="1056"/>
      <c r="IN135" s="1056"/>
      <c r="IO135" s="1056"/>
      <c r="IP135" s="1056"/>
      <c r="IQ135" s="1056"/>
      <c r="IR135" s="1056"/>
      <c r="IS135" s="1056"/>
      <c r="IT135" s="1056"/>
      <c r="IU135" s="1056"/>
      <c r="IV135" s="1056"/>
      <c r="IW135" s="1056"/>
      <c r="IX135" s="1056"/>
      <c r="IY135" s="1056"/>
      <c r="IZ135" s="1056"/>
      <c r="JA135" s="1056"/>
      <c r="JB135" s="1056"/>
      <c r="JC135" s="1056"/>
      <c r="JD135" s="1056"/>
      <c r="JE135" s="1056"/>
      <c r="JF135" s="1056"/>
      <c r="JG135" s="1056"/>
      <c r="JH135" s="1056"/>
      <c r="JI135" s="1056"/>
      <c r="JJ135" s="1056"/>
      <c r="JK135" s="1056"/>
      <c r="JL135" s="1056"/>
      <c r="JM135" s="1056"/>
      <c r="JN135" s="1056"/>
      <c r="JO135" s="1056"/>
      <c r="JP135" s="1056"/>
      <c r="JQ135" s="1056"/>
      <c r="JR135" s="1056"/>
      <c r="JS135" s="1056"/>
      <c r="JT135" s="1056"/>
      <c r="JU135" s="1056"/>
      <c r="JV135" s="1056"/>
      <c r="JW135" s="1056"/>
      <c r="JX135" s="1056"/>
      <c r="JY135" s="1056"/>
      <c r="JZ135" s="1056"/>
      <c r="KA135" s="1056"/>
      <c r="KB135" s="1056"/>
      <c r="KC135" s="1056"/>
      <c r="KD135" s="1056"/>
      <c r="KE135" s="1056"/>
      <c r="KF135" s="1056"/>
      <c r="KG135" s="1056"/>
      <c r="KH135" s="1056"/>
      <c r="KI135" s="1056"/>
      <c r="KJ135" s="1056"/>
      <c r="KK135" s="1056"/>
      <c r="KL135" s="1056"/>
      <c r="KM135" s="1056"/>
      <c r="KN135" s="1056"/>
      <c r="KO135" s="1056"/>
      <c r="KP135" s="1056"/>
      <c r="KQ135" s="1056"/>
      <c r="KR135" s="1056"/>
      <c r="KS135" s="1056"/>
      <c r="KT135" s="1056"/>
      <c r="KU135" s="1056"/>
      <c r="KV135" s="1056"/>
      <c r="KW135" s="1056"/>
      <c r="KX135" s="1056"/>
      <c r="KY135" s="1056"/>
      <c r="KZ135" s="1056"/>
      <c r="LA135" s="1056"/>
      <c r="LB135" s="1056"/>
      <c r="LC135" s="1056"/>
      <c r="LD135" s="1056"/>
      <c r="LE135" s="1056"/>
      <c r="LF135" s="1056"/>
      <c r="LG135" s="1056"/>
      <c r="LH135" s="1056"/>
      <c r="LI135" s="1056"/>
      <c r="LJ135" s="1056"/>
      <c r="LK135" s="1056"/>
      <c r="LL135" s="1056"/>
      <c r="LM135" s="1056"/>
      <c r="LN135" s="1056"/>
      <c r="LO135" s="1056"/>
      <c r="LP135" s="1056"/>
      <c r="LQ135" s="1056"/>
      <c r="LR135" s="1056"/>
      <c r="LS135" s="1056"/>
      <c r="LT135" s="1056"/>
      <c r="LU135" s="1056"/>
      <c r="LV135" s="1056"/>
      <c r="LW135" s="1056"/>
      <c r="LX135" s="1056"/>
      <c r="LY135" s="1056"/>
      <c r="LZ135" s="1056"/>
      <c r="MA135" s="1056"/>
      <c r="MB135" s="1056"/>
      <c r="MC135" s="1056"/>
      <c r="MD135" s="1056"/>
      <c r="ME135" s="1056"/>
      <c r="MF135" s="1056"/>
      <c r="MG135" s="1056"/>
      <c r="MH135" s="1056"/>
      <c r="MI135" s="1056"/>
      <c r="MJ135" s="1056"/>
      <c r="MK135" s="1056"/>
      <c r="ML135" s="1056"/>
      <c r="MM135" s="1056"/>
      <c r="MN135" s="1056"/>
      <c r="MO135" s="1056"/>
      <c r="MP135" s="1056"/>
      <c r="MQ135" s="1056"/>
      <c r="MR135" s="1056"/>
      <c r="MS135" s="1056"/>
      <c r="MT135" s="1056"/>
      <c r="MU135" s="1056"/>
      <c r="MV135" s="1056"/>
      <c r="MW135" s="1056"/>
      <c r="MX135" s="1056"/>
      <c r="MY135" s="1056"/>
      <c r="MZ135" s="1056"/>
      <c r="NA135" s="1056"/>
      <c r="NB135" s="1056"/>
      <c r="NC135" s="1056"/>
      <c r="ND135" s="1056"/>
      <c r="NE135" s="1056"/>
      <c r="NF135" s="1056"/>
      <c r="NG135" s="1056"/>
      <c r="NH135" s="1056"/>
      <c r="NI135" s="1056"/>
      <c r="NJ135" s="1056"/>
      <c r="NK135" s="1056"/>
      <c r="NL135" s="1056"/>
      <c r="NM135" s="1056"/>
      <c r="NN135" s="1056"/>
      <c r="NO135" s="1056"/>
      <c r="NP135" s="1056"/>
      <c r="NQ135" s="1056"/>
      <c r="NR135" s="1056"/>
      <c r="NS135" s="1056"/>
      <c r="NT135" s="1056"/>
      <c r="NU135" s="1056"/>
      <c r="NV135" s="1056"/>
      <c r="NW135" s="1056"/>
      <c r="NX135" s="1056"/>
      <c r="NY135" s="1056"/>
      <c r="NZ135" s="1056"/>
      <c r="OA135" s="1056"/>
      <c r="OB135" s="1056"/>
      <c r="OC135" s="1056"/>
      <c r="OD135" s="1056"/>
      <c r="OE135" s="1056"/>
      <c r="OF135" s="1056"/>
      <c r="OG135" s="1056"/>
      <c r="OH135" s="1056"/>
      <c r="OI135" s="1056"/>
      <c r="OJ135" s="1056"/>
      <c r="OK135" s="1056"/>
      <c r="OL135" s="1056"/>
      <c r="OM135" s="1056"/>
      <c r="ON135" s="1056"/>
      <c r="OO135" s="1056"/>
      <c r="OP135" s="1056"/>
      <c r="OQ135" s="1056"/>
      <c r="OR135" s="1056"/>
      <c r="OS135" s="1056"/>
      <c r="OT135" s="1056"/>
      <c r="OU135" s="1056"/>
      <c r="OV135" s="1056"/>
      <c r="OW135" s="1056"/>
      <c r="OX135" s="1056"/>
      <c r="OY135" s="1056"/>
      <c r="OZ135" s="1056"/>
      <c r="PA135" s="1056"/>
      <c r="PB135" s="1056"/>
      <c r="PC135" s="1056"/>
      <c r="PD135" s="1056"/>
      <c r="PE135" s="1056"/>
      <c r="PF135" s="1056"/>
      <c r="PG135" s="1056"/>
      <c r="PH135" s="1056"/>
      <c r="PI135" s="1056"/>
      <c r="PJ135" s="1056"/>
      <c r="PK135" s="1056"/>
      <c r="PL135" s="1056"/>
      <c r="PM135" s="1056"/>
      <c r="PN135" s="1056"/>
      <c r="PO135" s="1056"/>
      <c r="PP135" s="1056"/>
      <c r="PQ135" s="1056"/>
      <c r="PR135" s="1056"/>
      <c r="PS135" s="1056"/>
      <c r="PT135" s="1056"/>
      <c r="PU135" s="1056"/>
      <c r="PV135" s="1056"/>
      <c r="PW135" s="1056"/>
      <c r="PX135" s="1056"/>
      <c r="PY135" s="1056"/>
      <c r="PZ135" s="1056"/>
      <c r="QA135" s="1056"/>
      <c r="QB135" s="1056"/>
      <c r="QC135" s="1056"/>
      <c r="QD135" s="1056"/>
      <c r="QE135" s="1056"/>
      <c r="QF135" s="1056"/>
      <c r="QG135" s="1056"/>
      <c r="QH135" s="1056"/>
      <c r="QI135" s="1056"/>
      <c r="QJ135" s="1056"/>
      <c r="QK135" s="1056"/>
      <c r="QL135" s="1056"/>
      <c r="QM135" s="1056"/>
      <c r="QN135" s="1056"/>
      <c r="QO135" s="1056"/>
      <c r="QP135" s="1056"/>
      <c r="QQ135" s="1056"/>
      <c r="QR135" s="1056"/>
      <c r="QS135" s="1056"/>
      <c r="QT135" s="1056"/>
      <c r="QU135" s="1056"/>
      <c r="QV135" s="1056"/>
      <c r="QW135" s="1056"/>
      <c r="QX135" s="1056"/>
      <c r="QY135" s="1056"/>
      <c r="QZ135" s="1056"/>
      <c r="RA135" s="1056"/>
      <c r="RB135" s="1056"/>
      <c r="RC135" s="1056"/>
      <c r="RD135" s="1056"/>
      <c r="RE135" s="1056"/>
      <c r="RF135" s="1056"/>
      <c r="RG135" s="1056"/>
      <c r="RH135" s="1056"/>
      <c r="RI135" s="1056"/>
      <c r="RJ135" s="1056"/>
      <c r="RK135" s="1056"/>
      <c r="RL135" s="1056"/>
      <c r="RM135" s="1056"/>
      <c r="RN135" s="1056"/>
      <c r="RO135" s="1056"/>
      <c r="RP135" s="1056"/>
      <c r="RQ135" s="1056"/>
      <c r="RR135" s="1056"/>
      <c r="RS135" s="1056"/>
      <c r="RT135" s="1056"/>
      <c r="RU135" s="1056"/>
      <c r="RV135" s="1056"/>
      <c r="RW135" s="1056"/>
      <c r="RX135" s="1056"/>
      <c r="RY135" s="1056"/>
      <c r="RZ135" s="1056"/>
      <c r="SA135" s="1056"/>
      <c r="SB135" s="1056"/>
      <c r="SC135" s="1056"/>
      <c r="SD135" s="1056"/>
      <c r="SE135" s="1056"/>
      <c r="SF135" s="1056"/>
      <c r="SG135" s="1056"/>
      <c r="SH135" s="1056"/>
      <c r="SI135" s="1056"/>
      <c r="SJ135" s="1056"/>
      <c r="SK135" s="1056"/>
      <c r="SL135" s="1056"/>
      <c r="SM135" s="1056"/>
      <c r="SN135" s="1056"/>
      <c r="SO135" s="1056"/>
      <c r="SP135" s="1056"/>
      <c r="SQ135" s="1056"/>
      <c r="SR135" s="1056"/>
      <c r="SS135" s="1056"/>
      <c r="ST135" s="1056"/>
      <c r="SU135" s="1056"/>
      <c r="SV135" s="1056"/>
      <c r="SW135" s="1056"/>
      <c r="SX135" s="1056"/>
      <c r="SY135" s="1056"/>
      <c r="SZ135" s="1056"/>
      <c r="TA135" s="1056"/>
      <c r="TB135" s="1056"/>
      <c r="TC135" s="1056"/>
      <c r="TD135" s="1056"/>
      <c r="TE135" s="1056"/>
      <c r="TF135" s="1056"/>
      <c r="TG135" s="1056"/>
      <c r="TH135" s="1056"/>
      <c r="TI135" s="1056"/>
      <c r="TJ135" s="1056"/>
      <c r="TK135" s="1056"/>
      <c r="TL135" s="1056"/>
      <c r="TM135" s="1056"/>
      <c r="TN135" s="1056"/>
      <c r="TO135" s="1056"/>
      <c r="TP135" s="1056"/>
      <c r="TQ135" s="1056"/>
      <c r="TR135" s="1056"/>
      <c r="TS135" s="1056"/>
      <c r="TT135" s="1056"/>
      <c r="TU135" s="1056"/>
      <c r="TV135" s="1056"/>
      <c r="TW135" s="1056"/>
      <c r="TX135" s="1056"/>
      <c r="TY135" s="1056"/>
      <c r="TZ135" s="1056"/>
      <c r="UA135" s="1056"/>
      <c r="UB135" s="1056"/>
      <c r="UC135" s="1056"/>
      <c r="UD135" s="1056"/>
      <c r="UE135" s="1056"/>
      <c r="UF135" s="1056"/>
      <c r="UG135" s="1056"/>
      <c r="UH135" s="1056"/>
      <c r="UI135" s="1056"/>
      <c r="UJ135" s="1056"/>
      <c r="UK135" s="1056"/>
      <c r="UL135" s="1056"/>
      <c r="UM135" s="1056"/>
      <c r="UN135" s="1056"/>
      <c r="UO135" s="1056"/>
      <c r="UP135" s="1056"/>
      <c r="UQ135" s="1056"/>
      <c r="UR135" s="1056"/>
      <c r="US135" s="1056"/>
      <c r="UT135" s="1056"/>
      <c r="UU135" s="1056"/>
      <c r="UV135" s="1056"/>
      <c r="UW135" s="1056"/>
      <c r="UX135" s="1056"/>
      <c r="UY135" s="1056"/>
      <c r="UZ135" s="1056"/>
      <c r="VA135" s="1056"/>
      <c r="VB135" s="1056"/>
      <c r="VC135" s="1056"/>
      <c r="VD135" s="1056"/>
      <c r="VE135" s="1056"/>
      <c r="VF135" s="1056"/>
      <c r="VG135" s="1056"/>
      <c r="VH135" s="1056"/>
      <c r="VI135" s="1056"/>
      <c r="VJ135" s="1056"/>
      <c r="VK135" s="1056"/>
      <c r="VL135" s="1056"/>
      <c r="VM135" s="1056"/>
      <c r="VN135" s="1056"/>
      <c r="VO135" s="1056"/>
      <c r="VP135" s="1056"/>
      <c r="VQ135" s="1056"/>
      <c r="VR135" s="1056"/>
      <c r="VS135" s="1056"/>
      <c r="VT135" s="1056"/>
      <c r="VU135" s="1056"/>
      <c r="VV135" s="1056"/>
      <c r="VW135" s="1056"/>
      <c r="VX135" s="1056"/>
      <c r="VY135" s="1056"/>
      <c r="VZ135" s="1056"/>
      <c r="WA135" s="1056"/>
      <c r="WB135" s="1056"/>
      <c r="WC135" s="1056"/>
      <c r="WD135" s="1056"/>
      <c r="WE135" s="1056"/>
      <c r="WF135" s="1056"/>
      <c r="WG135" s="1056"/>
      <c r="WH135" s="1056"/>
      <c r="WI135" s="1056"/>
      <c r="WJ135" s="1056"/>
      <c r="WK135" s="1056"/>
      <c r="WL135" s="1056"/>
      <c r="WM135" s="1056"/>
      <c r="WN135" s="1056"/>
      <c r="WO135" s="1056"/>
      <c r="WP135" s="1056"/>
      <c r="WQ135" s="1056"/>
      <c r="WR135" s="1056"/>
      <c r="WS135" s="1056"/>
      <c r="WT135" s="1056"/>
      <c r="WU135" s="1056"/>
      <c r="WV135" s="1056"/>
      <c r="WW135" s="1056"/>
      <c r="WX135" s="1056"/>
      <c r="WY135" s="1056"/>
      <c r="WZ135" s="1056"/>
      <c r="XA135" s="1056"/>
      <c r="XB135" s="1056"/>
      <c r="XC135" s="1056"/>
      <c r="XD135" s="1056"/>
      <c r="XE135" s="1056"/>
      <c r="XF135" s="1056"/>
      <c r="XG135" s="1056"/>
      <c r="XH135" s="1056"/>
      <c r="XI135" s="1056"/>
      <c r="XJ135" s="1056"/>
      <c r="XK135" s="1056"/>
      <c r="XL135" s="1056"/>
      <c r="XM135" s="1056"/>
      <c r="XN135" s="1056"/>
      <c r="XO135" s="1056"/>
      <c r="XP135" s="1056"/>
      <c r="XQ135" s="1056"/>
      <c r="XR135" s="1056"/>
      <c r="XS135" s="1056"/>
      <c r="XT135" s="1056"/>
      <c r="XU135" s="1056"/>
      <c r="XV135" s="1056"/>
      <c r="XW135" s="1056"/>
      <c r="XX135" s="1056"/>
      <c r="XY135" s="1056"/>
      <c r="XZ135" s="1056"/>
      <c r="YA135" s="1056"/>
      <c r="YB135" s="1056"/>
      <c r="YC135" s="1056"/>
      <c r="YD135" s="1056"/>
      <c r="YE135" s="1056"/>
      <c r="YF135" s="1056"/>
      <c r="YG135" s="1056"/>
      <c r="YH135" s="1056"/>
      <c r="YI135" s="1056"/>
      <c r="YJ135" s="1056"/>
      <c r="YK135" s="1056"/>
      <c r="YL135" s="1056"/>
      <c r="YM135" s="1056"/>
      <c r="YN135" s="1056"/>
      <c r="YO135" s="1056"/>
      <c r="YP135" s="1056"/>
      <c r="YQ135" s="1056"/>
      <c r="YR135" s="1056"/>
      <c r="YS135" s="1056"/>
      <c r="YT135" s="1056"/>
      <c r="YU135" s="1056"/>
      <c r="YV135" s="1056"/>
      <c r="YW135" s="1056"/>
      <c r="YX135" s="1056"/>
      <c r="YY135" s="1056"/>
      <c r="YZ135" s="1056"/>
      <c r="ZA135" s="1056"/>
      <c r="ZB135" s="1056"/>
      <c r="ZC135" s="1056"/>
      <c r="ZD135" s="1056"/>
      <c r="ZE135" s="1056"/>
      <c r="ZF135" s="1056"/>
      <c r="ZG135" s="1056"/>
      <c r="ZH135" s="1056"/>
      <c r="ZI135" s="1056"/>
      <c r="ZJ135" s="1056"/>
      <c r="ZK135" s="1056"/>
      <c r="ZL135" s="1056"/>
      <c r="ZM135" s="1056"/>
      <c r="ZN135" s="1056"/>
      <c r="ZO135" s="1056"/>
      <c r="ZP135" s="1056"/>
      <c r="ZQ135" s="1056"/>
      <c r="ZR135" s="1056"/>
      <c r="ZS135" s="1056"/>
      <c r="ZT135" s="1056"/>
      <c r="ZU135" s="1056"/>
      <c r="ZV135" s="1056"/>
      <c r="ZW135" s="1056"/>
      <c r="ZX135" s="1056"/>
      <c r="ZY135" s="1056"/>
      <c r="ZZ135" s="1056"/>
      <c r="AAA135" s="1056"/>
      <c r="AAB135" s="1056"/>
      <c r="AAC135" s="1056"/>
      <c r="AAD135" s="1056"/>
      <c r="AAE135" s="1056"/>
      <c r="AAF135" s="1056"/>
      <c r="AAG135" s="1056"/>
      <c r="AAH135" s="1056"/>
      <c r="AAI135" s="1056"/>
      <c r="AAJ135" s="1056"/>
      <c r="AAK135" s="1056"/>
      <c r="AAL135" s="1056"/>
      <c r="AAM135" s="1056"/>
      <c r="AAN135" s="1056"/>
      <c r="AAO135" s="1056"/>
      <c r="AAP135" s="1056"/>
      <c r="AAQ135" s="1056"/>
      <c r="AAR135" s="1056"/>
      <c r="AAS135" s="1056"/>
      <c r="AAT135" s="1056"/>
      <c r="AAU135" s="1056"/>
      <c r="AAV135" s="1056"/>
      <c r="AAW135" s="1056"/>
      <c r="AAX135" s="1056"/>
      <c r="AAY135" s="1056"/>
      <c r="AAZ135" s="1056"/>
      <c r="ABA135" s="1056"/>
      <c r="ABB135" s="1056"/>
      <c r="ABC135" s="1056"/>
      <c r="ABD135" s="1056"/>
      <c r="ABE135" s="1056"/>
      <c r="ABF135" s="1056"/>
      <c r="ABG135" s="1056"/>
      <c r="ABH135" s="1056"/>
      <c r="ABI135" s="1056"/>
      <c r="ABJ135" s="1056"/>
      <c r="ABK135" s="1056"/>
      <c r="ABL135" s="1056"/>
      <c r="ABM135" s="1056"/>
      <c r="ABN135" s="1056"/>
      <c r="ABO135" s="1056"/>
      <c r="ABP135" s="1056"/>
      <c r="ABQ135" s="1056"/>
      <c r="ABR135" s="1056"/>
      <c r="ABS135" s="1056"/>
      <c r="ABT135" s="1056"/>
      <c r="ABU135" s="1056"/>
      <c r="ABV135" s="1056"/>
      <c r="ABW135" s="1056"/>
      <c r="ABX135" s="1056"/>
      <c r="ABY135" s="1056"/>
      <c r="ABZ135" s="1056"/>
      <c r="ACA135" s="1056"/>
      <c r="ACB135" s="1056"/>
      <c r="ACC135" s="1056"/>
      <c r="ACD135" s="1056"/>
      <c r="ACE135" s="1056"/>
      <c r="ACF135" s="1056"/>
      <c r="ACG135" s="1056"/>
      <c r="ACH135" s="1056"/>
      <c r="ACI135" s="1056"/>
      <c r="ACJ135" s="1056"/>
      <c r="ACK135" s="1056"/>
      <c r="ACL135" s="1056"/>
      <c r="ACM135" s="1056"/>
      <c r="ACN135" s="1056"/>
      <c r="ACO135" s="1056"/>
      <c r="ACP135" s="1056"/>
      <c r="ACQ135" s="1056"/>
      <c r="ACR135" s="1056"/>
      <c r="ACS135" s="1056"/>
      <c r="ACT135" s="1056"/>
      <c r="ACU135" s="1056"/>
      <c r="ACV135" s="1056"/>
      <c r="ACW135" s="1056"/>
      <c r="ACX135" s="1056"/>
      <c r="ACY135" s="1056"/>
      <c r="ACZ135" s="1056"/>
      <c r="ADA135" s="1056"/>
      <c r="ADB135" s="1056"/>
      <c r="ADC135" s="1056"/>
      <c r="ADD135" s="1056"/>
      <c r="ADE135" s="1056"/>
      <c r="ADF135" s="1056"/>
      <c r="ADG135" s="1056"/>
      <c r="ADH135" s="1056"/>
      <c r="ADI135" s="1056"/>
      <c r="ADJ135" s="1056"/>
      <c r="ADK135" s="1056"/>
      <c r="ADL135" s="1056"/>
      <c r="ADM135" s="1056"/>
      <c r="ADN135" s="1056"/>
      <c r="ADO135" s="1056"/>
      <c r="ADP135" s="1056"/>
      <c r="ADQ135" s="1056"/>
      <c r="ADR135" s="1056"/>
      <c r="ADS135" s="1056"/>
      <c r="ADT135" s="1056"/>
      <c r="ADU135" s="1056"/>
      <c r="ADV135" s="1056"/>
      <c r="ADW135" s="1056"/>
      <c r="ADX135" s="1056"/>
      <c r="ADY135" s="1056"/>
      <c r="ADZ135" s="1056"/>
      <c r="AEA135" s="1056"/>
      <c r="AEB135" s="1056"/>
      <c r="AEC135" s="1056"/>
      <c r="AED135" s="1056"/>
      <c r="AEE135" s="1056"/>
      <c r="AEF135" s="1056"/>
      <c r="AEG135" s="1056"/>
      <c r="AEH135" s="1056"/>
      <c r="AEI135" s="1056"/>
      <c r="AEJ135" s="1056"/>
      <c r="AEK135" s="1056"/>
      <c r="AEL135" s="1056"/>
      <c r="AEM135" s="1056"/>
      <c r="AEN135" s="1056"/>
      <c r="AEO135" s="1056"/>
      <c r="AEP135" s="1056"/>
      <c r="AEQ135" s="1056"/>
      <c r="AER135" s="1056"/>
      <c r="AES135" s="1056"/>
      <c r="AET135" s="1056"/>
      <c r="AEU135" s="1056"/>
      <c r="AEV135" s="1056"/>
      <c r="AEW135" s="1056"/>
      <c r="AEX135" s="1056"/>
      <c r="AEY135" s="1056"/>
      <c r="AEZ135" s="1056"/>
      <c r="AFA135" s="1056"/>
      <c r="AFB135" s="1056"/>
      <c r="AFC135" s="1056"/>
      <c r="AFD135" s="1056"/>
      <c r="AFE135" s="1056"/>
      <c r="AFF135" s="1056"/>
      <c r="AFG135" s="1056"/>
      <c r="AFH135" s="1056"/>
      <c r="AFI135" s="1056"/>
      <c r="AFJ135" s="1056"/>
      <c r="AFK135" s="1056"/>
      <c r="AFL135" s="1056"/>
      <c r="AFM135" s="1056"/>
      <c r="AFN135" s="1056"/>
      <c r="AFO135" s="1056"/>
      <c r="AFP135" s="1056"/>
      <c r="AFQ135" s="1056"/>
      <c r="AFR135" s="1056"/>
      <c r="AFS135" s="1056"/>
      <c r="AFT135" s="1056"/>
      <c r="AFU135" s="1056"/>
      <c r="AFV135" s="1056"/>
      <c r="AFW135" s="1056"/>
      <c r="AFX135" s="1056"/>
      <c r="AFY135" s="1056"/>
      <c r="AFZ135" s="1056"/>
      <c r="AGA135" s="1056"/>
      <c r="AGB135" s="1056"/>
      <c r="AGC135" s="1056"/>
      <c r="AGD135" s="1056"/>
      <c r="AGE135" s="1056"/>
      <c r="AGF135" s="1056"/>
      <c r="AGG135" s="1056"/>
      <c r="AGH135" s="1056"/>
      <c r="AGI135" s="1056"/>
      <c r="AGJ135" s="1056"/>
      <c r="AGK135" s="1056"/>
      <c r="AGL135" s="1056"/>
      <c r="AGM135" s="1056"/>
      <c r="AGN135" s="1056"/>
      <c r="AGO135" s="1056"/>
      <c r="AGP135" s="1056"/>
      <c r="AGQ135" s="1056"/>
      <c r="AGR135" s="1056"/>
      <c r="AGS135" s="1056"/>
      <c r="AGT135" s="1056"/>
      <c r="AGU135" s="1056"/>
      <c r="AGV135" s="1056"/>
      <c r="AGW135" s="1056"/>
      <c r="AGX135" s="1056"/>
      <c r="AGY135" s="1056"/>
      <c r="AGZ135" s="1056"/>
      <c r="AHA135" s="1056"/>
      <c r="AHB135" s="1056"/>
      <c r="AHC135" s="1056"/>
      <c r="AHD135" s="1056"/>
      <c r="AHE135" s="1056"/>
      <c r="AHF135" s="1056"/>
      <c r="AHG135" s="1056"/>
      <c r="AHH135" s="1056"/>
      <c r="AHI135" s="1056"/>
      <c r="AHJ135" s="1056"/>
      <c r="AHK135" s="1056"/>
      <c r="AHL135" s="1056"/>
      <c r="AHM135" s="1056"/>
      <c r="AHN135" s="1056"/>
      <c r="AHO135" s="1056"/>
      <c r="AHP135" s="1056"/>
      <c r="AHQ135" s="1056"/>
      <c r="AHR135" s="1056"/>
      <c r="AHS135" s="1056"/>
      <c r="AHT135" s="1056"/>
      <c r="AHU135" s="1056"/>
      <c r="AHV135" s="1056"/>
      <c r="AHW135" s="1056"/>
      <c r="AHX135" s="1056"/>
      <c r="AHY135" s="1056"/>
      <c r="AHZ135" s="1056"/>
      <c r="AIA135" s="1056"/>
      <c r="AIB135" s="1056"/>
      <c r="AIC135" s="1056"/>
      <c r="AID135" s="1056"/>
      <c r="AIE135" s="1056"/>
      <c r="AIF135" s="1056"/>
      <c r="AIG135" s="1056"/>
      <c r="AIH135" s="1056"/>
      <c r="AII135" s="1056"/>
      <c r="AIJ135" s="1056"/>
      <c r="AIK135" s="1056"/>
      <c r="AIL135" s="1056"/>
      <c r="AIM135" s="1056"/>
      <c r="AIN135" s="1056"/>
      <c r="AIO135" s="1056"/>
      <c r="AIP135" s="1056"/>
      <c r="AIQ135" s="1056"/>
      <c r="AIR135" s="1056"/>
      <c r="AIS135" s="1056"/>
      <c r="AIT135" s="1056"/>
      <c r="AIU135" s="1056"/>
      <c r="AIV135" s="1056"/>
      <c r="AIW135" s="1056"/>
      <c r="AIX135" s="1056"/>
      <c r="AIY135" s="1056"/>
      <c r="AIZ135" s="1056"/>
      <c r="AJA135" s="1056"/>
      <c r="AJB135" s="1056"/>
      <c r="AJC135" s="1056"/>
      <c r="AJD135" s="1056"/>
      <c r="AJE135" s="1056"/>
      <c r="AJF135" s="1056"/>
      <c r="AJG135" s="1056"/>
      <c r="AJH135" s="1056"/>
      <c r="AJI135" s="1056"/>
      <c r="AJJ135" s="1056"/>
      <c r="AJK135" s="1056"/>
      <c r="AJL135" s="1056"/>
      <c r="AJM135" s="1056"/>
      <c r="AJN135" s="1056"/>
      <c r="AJO135" s="1056"/>
      <c r="AJP135" s="1056"/>
      <c r="AJQ135" s="1056"/>
      <c r="AJR135" s="1056"/>
      <c r="AJS135" s="1056"/>
      <c r="AJT135" s="1056"/>
      <c r="AJU135" s="1056"/>
      <c r="AJV135" s="1056"/>
      <c r="AJW135" s="1056"/>
      <c r="AJX135" s="1056"/>
      <c r="AJY135" s="1056"/>
      <c r="AJZ135" s="1056"/>
      <c r="AKA135" s="1056"/>
      <c r="AKB135" s="1056"/>
      <c r="AKC135" s="1056"/>
      <c r="AKD135" s="1056"/>
      <c r="AKE135" s="1056"/>
      <c r="AKF135" s="1056"/>
      <c r="AKG135" s="1056"/>
      <c r="AKH135" s="1056"/>
      <c r="AKI135" s="1056"/>
      <c r="AKJ135" s="1056"/>
      <c r="AKK135" s="1056"/>
      <c r="AKL135" s="1056"/>
      <c r="AKM135" s="1056"/>
      <c r="AKN135" s="1056"/>
      <c r="AKO135" s="1056"/>
      <c r="AKP135" s="1056"/>
      <c r="AKQ135" s="1056"/>
      <c r="AKR135" s="1056"/>
      <c r="AKS135" s="1056"/>
      <c r="AKT135" s="1056"/>
      <c r="AKU135" s="1056"/>
      <c r="AKV135" s="1056"/>
      <c r="AKW135" s="1056"/>
      <c r="AKX135" s="1056"/>
      <c r="AKY135" s="1056"/>
      <c r="AKZ135" s="1056"/>
      <c r="ALA135" s="1056"/>
      <c r="ALB135" s="1056"/>
      <c r="ALC135" s="1056"/>
      <c r="ALD135" s="1056"/>
      <c r="ALE135" s="1056"/>
      <c r="ALF135" s="1056"/>
      <c r="ALG135" s="1056"/>
      <c r="ALH135" s="1056"/>
      <c r="ALI135" s="1056"/>
      <c r="ALJ135" s="1056"/>
      <c r="ALK135" s="1056"/>
      <c r="ALL135" s="1056"/>
      <c r="ALM135" s="1056"/>
      <c r="ALN135" s="1056"/>
      <c r="ALO135" s="1056"/>
      <c r="ALP135" s="1056"/>
      <c r="ALQ135" s="1056"/>
      <c r="ALR135" s="1056"/>
      <c r="ALS135" s="1056"/>
      <c r="ALT135" s="1056"/>
      <c r="ALU135" s="1056"/>
      <c r="ALV135" s="1056"/>
      <c r="ALW135" s="1056"/>
      <c r="ALX135" s="1056"/>
      <c r="ALY135" s="1056"/>
      <c r="ALZ135" s="1056"/>
      <c r="AMA135" s="1056"/>
      <c r="AMB135" s="1056"/>
      <c r="AMC135" s="1056"/>
      <c r="AMD135" s="1056"/>
      <c r="AME135" s="1056"/>
      <c r="AMF135" s="1056"/>
      <c r="AMG135" s="1056"/>
      <c r="AMH135" s="1056"/>
      <c r="AMI135" s="1056"/>
      <c r="AMJ135" s="1056"/>
      <c r="AMK135" s="1056"/>
      <c r="AML135" s="1056"/>
      <c r="AMM135" s="1056"/>
      <c r="AMN135" s="1056"/>
      <c r="AMO135" s="1056"/>
      <c r="AMP135" s="1056"/>
      <c r="AMQ135" s="1056"/>
      <c r="AMR135" s="1056"/>
      <c r="AMS135" s="1056"/>
      <c r="AMT135" s="1056"/>
      <c r="AMU135" s="1056"/>
      <c r="AMV135" s="1056"/>
      <c r="AMW135" s="1056"/>
      <c r="AMX135" s="1056"/>
      <c r="AMY135" s="1056"/>
      <c r="AMZ135" s="1056"/>
      <c r="ANA135" s="1056"/>
      <c r="ANB135" s="1056"/>
      <c r="ANC135" s="1056"/>
      <c r="AND135" s="1056"/>
      <c r="ANE135" s="1056"/>
      <c r="ANF135" s="1056"/>
      <c r="ANG135" s="1056"/>
      <c r="ANH135" s="1056"/>
      <c r="ANI135" s="1056"/>
      <c r="ANJ135" s="1056"/>
      <c r="ANK135" s="1056"/>
      <c r="ANL135" s="1056"/>
      <c r="ANM135" s="1056"/>
      <c r="ANN135" s="1056"/>
      <c r="ANO135" s="1056"/>
      <c r="ANP135" s="1056"/>
      <c r="ANQ135" s="1056"/>
      <c r="ANR135" s="1056"/>
      <c r="ANS135" s="1056"/>
      <c r="ANT135" s="1056"/>
      <c r="ANU135" s="1056"/>
      <c r="ANV135" s="1056"/>
      <c r="ANW135" s="1056"/>
      <c r="ANX135" s="1056"/>
      <c r="ANY135" s="1056"/>
      <c r="ANZ135" s="1056"/>
      <c r="AOA135" s="1056"/>
      <c r="AOB135" s="1056"/>
      <c r="AOC135" s="1056"/>
      <c r="AOD135" s="1056"/>
      <c r="AOE135" s="1056"/>
      <c r="AOF135" s="1056"/>
      <c r="AOG135" s="1056"/>
      <c r="AOH135" s="1056"/>
      <c r="AOI135" s="1056"/>
      <c r="AOJ135" s="1056"/>
      <c r="AOK135" s="1056"/>
      <c r="AOL135" s="1056"/>
      <c r="AOM135" s="1056"/>
      <c r="AON135" s="1056"/>
      <c r="AOO135" s="1056"/>
      <c r="AOP135" s="1056"/>
      <c r="AOQ135" s="1056"/>
      <c r="AOR135" s="1056"/>
      <c r="AOS135" s="1056"/>
      <c r="AOT135" s="1056"/>
      <c r="AOU135" s="1056"/>
      <c r="AOV135" s="1056"/>
      <c r="AOW135" s="1056"/>
      <c r="AOX135" s="1056"/>
      <c r="AOY135" s="1056"/>
      <c r="AOZ135" s="1056"/>
      <c r="APA135" s="1056"/>
      <c r="APB135" s="1056"/>
      <c r="APC135" s="1056"/>
      <c r="APD135" s="1056"/>
      <c r="APE135" s="1056"/>
      <c r="APF135" s="1056"/>
      <c r="APG135" s="1056"/>
      <c r="APH135" s="1056"/>
      <c r="API135" s="1056"/>
      <c r="APJ135" s="1056"/>
      <c r="APK135" s="1056"/>
      <c r="APL135" s="1056"/>
      <c r="APM135" s="1056"/>
      <c r="APN135" s="1056"/>
      <c r="APO135" s="1056"/>
      <c r="APP135" s="1056"/>
      <c r="APQ135" s="1056"/>
      <c r="APR135" s="1056"/>
      <c r="APS135" s="1056"/>
      <c r="APT135" s="1056"/>
      <c r="APU135" s="1056"/>
      <c r="APV135" s="1056"/>
      <c r="APW135" s="1056"/>
      <c r="APX135" s="1056"/>
      <c r="APY135" s="1056"/>
      <c r="APZ135" s="1056"/>
      <c r="AQA135" s="1056"/>
      <c r="AQB135" s="1056"/>
      <c r="AQC135" s="1056"/>
      <c r="AQD135" s="1056"/>
      <c r="AQE135" s="1056"/>
      <c r="AQF135" s="1056"/>
      <c r="AQG135" s="1056"/>
      <c r="AQH135" s="1056"/>
      <c r="AQI135" s="1056"/>
      <c r="AQJ135" s="1056"/>
      <c r="AQK135" s="1056"/>
      <c r="AQL135" s="1056"/>
      <c r="AQM135" s="1056"/>
      <c r="AQN135" s="1056"/>
      <c r="AQO135" s="1056"/>
      <c r="AQP135" s="1056"/>
      <c r="AQQ135" s="1056"/>
      <c r="AQR135" s="1056"/>
      <c r="AQS135" s="1056"/>
      <c r="AQT135" s="1056"/>
      <c r="AQU135" s="1056"/>
      <c r="AQV135" s="1056"/>
      <c r="AQW135" s="1056"/>
      <c r="AQX135" s="1056"/>
      <c r="AQY135" s="1056"/>
      <c r="AQZ135" s="1056"/>
      <c r="ARA135" s="1056"/>
      <c r="ARB135" s="1056"/>
      <c r="ARC135" s="1056"/>
      <c r="ARD135" s="1056"/>
      <c r="ARE135" s="1056"/>
      <c r="ARF135" s="1056"/>
      <c r="ARG135" s="1056"/>
      <c r="ARH135" s="1056"/>
      <c r="ARI135" s="1056"/>
      <c r="ARJ135" s="1056"/>
      <c r="ARK135" s="1056"/>
      <c r="ARL135" s="1056"/>
      <c r="ARM135" s="1056"/>
      <c r="ARN135" s="1056"/>
      <c r="ARO135" s="1056"/>
      <c r="ARP135" s="1056"/>
      <c r="ARQ135" s="1056"/>
      <c r="ARR135" s="1056"/>
      <c r="ARS135" s="1056"/>
      <c r="ART135" s="1056"/>
      <c r="ARU135" s="1056"/>
      <c r="ARV135" s="1056"/>
      <c r="ARW135" s="1056"/>
      <c r="ARX135" s="1056"/>
      <c r="ARY135" s="1056"/>
      <c r="ARZ135" s="1056"/>
      <c r="ASA135" s="1056"/>
      <c r="ASB135" s="1056"/>
      <c r="ASC135" s="1056"/>
      <c r="ASD135" s="1056"/>
      <c r="ASE135" s="1056"/>
      <c r="ASF135" s="1056"/>
      <c r="ASG135" s="1056"/>
      <c r="ASH135" s="1056"/>
      <c r="ASI135" s="1056"/>
      <c r="ASJ135" s="1056"/>
      <c r="ASK135" s="1056"/>
      <c r="ASL135" s="1056"/>
      <c r="ASM135" s="1056"/>
      <c r="ASN135" s="1056"/>
      <c r="ASO135" s="1056"/>
      <c r="ASP135" s="1056"/>
      <c r="ASQ135" s="1056"/>
      <c r="ASR135" s="1056"/>
      <c r="ASS135" s="1056"/>
      <c r="AST135" s="1056"/>
      <c r="ASU135" s="1056"/>
      <c r="ASV135" s="1056"/>
      <c r="ASW135" s="1056"/>
      <c r="ASX135" s="1056"/>
      <c r="ASY135" s="1056"/>
      <c r="ASZ135" s="1056"/>
      <c r="ATA135" s="1056"/>
      <c r="ATB135" s="1056"/>
      <c r="ATC135" s="1056"/>
      <c r="ATD135" s="1056"/>
      <c r="ATE135" s="1056"/>
      <c r="ATF135" s="1056"/>
      <c r="ATG135" s="1056"/>
      <c r="ATH135" s="1056"/>
      <c r="ATI135" s="1056"/>
      <c r="ATJ135" s="1056"/>
      <c r="ATK135" s="1056"/>
      <c r="ATL135" s="1056"/>
      <c r="ATM135" s="1056"/>
      <c r="ATN135" s="1056"/>
      <c r="ATO135" s="1056"/>
      <c r="ATP135" s="1056"/>
      <c r="ATQ135" s="1056"/>
      <c r="ATR135" s="1056"/>
      <c r="ATS135" s="1056"/>
      <c r="ATT135" s="1056"/>
      <c r="ATU135" s="1056"/>
      <c r="ATV135" s="1056"/>
      <c r="ATW135" s="1056"/>
      <c r="ATX135" s="1056"/>
      <c r="ATY135" s="1056"/>
      <c r="ATZ135" s="1056"/>
      <c r="AUA135" s="1056"/>
      <c r="AUB135" s="1056"/>
      <c r="AUC135" s="1056"/>
      <c r="AUD135" s="1056"/>
      <c r="AUE135" s="1056"/>
      <c r="AUF135" s="1056"/>
      <c r="AUG135" s="1056"/>
      <c r="AUH135" s="1056"/>
      <c r="AUI135" s="1056"/>
      <c r="AUJ135" s="1056"/>
      <c r="AUK135" s="1056"/>
      <c r="AUL135" s="1056"/>
      <c r="AUM135" s="1056"/>
      <c r="AUN135" s="1056"/>
      <c r="AUO135" s="1056"/>
      <c r="AUP135" s="1056"/>
      <c r="AUQ135" s="1056"/>
      <c r="AUR135" s="1056"/>
      <c r="AUS135" s="1056"/>
      <c r="AUT135" s="1056"/>
      <c r="AUU135" s="1056"/>
      <c r="AUV135" s="1056"/>
      <c r="AUW135" s="1056"/>
      <c r="AUX135" s="1056"/>
      <c r="AUY135" s="1056"/>
      <c r="AUZ135" s="1056"/>
      <c r="AVA135" s="1056"/>
      <c r="AVB135" s="1056"/>
      <c r="AVC135" s="1056"/>
      <c r="AVD135" s="1056"/>
      <c r="AVE135" s="1056"/>
      <c r="AVF135" s="1056"/>
      <c r="AVG135" s="1056"/>
      <c r="AVH135" s="1056"/>
      <c r="AVI135" s="1056"/>
      <c r="AVJ135" s="1056"/>
      <c r="AVK135" s="1056"/>
      <c r="AVL135" s="1056"/>
      <c r="AVM135" s="1056"/>
      <c r="AVN135" s="1056"/>
      <c r="AVO135" s="1056"/>
      <c r="AVP135" s="1056"/>
      <c r="AVQ135" s="1056"/>
      <c r="AVR135" s="1056"/>
      <c r="AVS135" s="1056"/>
      <c r="AVT135" s="1056"/>
      <c r="AVU135" s="1056"/>
      <c r="AVV135" s="1056"/>
      <c r="AVW135" s="1056"/>
      <c r="AVX135" s="1056"/>
      <c r="AVY135" s="1056"/>
      <c r="AVZ135" s="1056"/>
      <c r="AWA135" s="1056"/>
      <c r="AWB135" s="1056"/>
      <c r="AWC135" s="1056"/>
      <c r="AWD135" s="1056"/>
      <c r="AWE135" s="1056"/>
      <c r="AWF135" s="1056"/>
      <c r="AWG135" s="1056"/>
      <c r="AWH135" s="1056"/>
      <c r="AWI135" s="1056"/>
      <c r="AWJ135" s="1056"/>
      <c r="AWK135" s="1056"/>
      <c r="AWL135" s="1056"/>
      <c r="AWM135" s="1056"/>
      <c r="AWN135" s="1056"/>
      <c r="AWO135" s="1056"/>
      <c r="AWP135" s="1056"/>
      <c r="AWQ135" s="1056"/>
      <c r="AWR135" s="1056"/>
      <c r="AWS135" s="1056"/>
      <c r="AWT135" s="1056"/>
      <c r="AWU135" s="1056"/>
      <c r="AWV135" s="1056"/>
      <c r="AWW135" s="1056"/>
      <c r="AWX135" s="1056"/>
      <c r="AWY135" s="1056"/>
      <c r="AWZ135" s="1056"/>
      <c r="AXA135" s="1056"/>
      <c r="AXB135" s="1056"/>
      <c r="AXC135" s="1056"/>
      <c r="AXD135" s="1056"/>
      <c r="AXE135" s="1056"/>
      <c r="AXF135" s="1056"/>
      <c r="AXG135" s="1056"/>
      <c r="AXH135" s="1056"/>
      <c r="AXI135" s="1056"/>
      <c r="AXJ135" s="1056"/>
      <c r="AXK135" s="1056"/>
      <c r="AXL135" s="1056"/>
      <c r="AXM135" s="1056"/>
      <c r="AXN135" s="1056"/>
      <c r="AXO135" s="1056"/>
      <c r="AXP135" s="1056"/>
      <c r="AXQ135" s="1056"/>
      <c r="AXR135" s="1056"/>
      <c r="AXS135" s="1056"/>
      <c r="AXT135" s="1056"/>
      <c r="AXU135" s="1056"/>
      <c r="AXV135" s="1056"/>
      <c r="AXW135" s="1056"/>
      <c r="AXX135" s="1056"/>
      <c r="AXY135" s="1056"/>
      <c r="AXZ135" s="1056"/>
      <c r="AYA135" s="1056"/>
      <c r="AYB135" s="1056"/>
      <c r="AYC135" s="1056"/>
      <c r="AYD135" s="1056"/>
      <c r="AYE135" s="1056"/>
      <c r="AYF135" s="1056"/>
      <c r="AYG135" s="1056"/>
      <c r="AYH135" s="1056"/>
      <c r="AYI135" s="1056"/>
      <c r="AYJ135" s="1056"/>
      <c r="AYK135" s="1056"/>
      <c r="AYL135" s="1056"/>
      <c r="AYM135" s="1056"/>
      <c r="AYN135" s="1056"/>
      <c r="AYO135" s="1056"/>
      <c r="AYP135" s="1056"/>
      <c r="AYQ135" s="1056"/>
      <c r="AYR135" s="1056"/>
      <c r="AYS135" s="1056"/>
      <c r="AYT135" s="1056"/>
      <c r="AYU135" s="1056"/>
      <c r="AYV135" s="1056"/>
      <c r="AYW135" s="1056"/>
      <c r="AYX135" s="1056"/>
      <c r="AYY135" s="1056"/>
      <c r="AYZ135" s="1056"/>
      <c r="AZA135" s="1056"/>
      <c r="AZB135" s="1056"/>
      <c r="AZC135" s="1056"/>
      <c r="AZD135" s="1056"/>
      <c r="AZE135" s="1056"/>
      <c r="AZF135" s="1056"/>
      <c r="AZG135" s="1056"/>
      <c r="AZH135" s="1056"/>
      <c r="AZI135" s="1056"/>
      <c r="AZJ135" s="1056"/>
      <c r="AZK135" s="1056"/>
      <c r="AZL135" s="1056"/>
      <c r="AZM135" s="1056"/>
      <c r="AZN135" s="1056"/>
      <c r="AZO135" s="1056"/>
      <c r="AZP135" s="1056"/>
      <c r="AZQ135" s="1056"/>
      <c r="AZR135" s="1056"/>
      <c r="AZS135" s="1056"/>
      <c r="AZT135" s="1056"/>
      <c r="AZU135" s="1056"/>
      <c r="AZV135" s="1056"/>
      <c r="AZW135" s="1056"/>
      <c r="AZX135" s="1056"/>
      <c r="AZY135" s="1056"/>
      <c r="AZZ135" s="1056"/>
      <c r="BAA135" s="1056"/>
      <c r="BAB135" s="1056"/>
      <c r="BAC135" s="1056"/>
      <c r="BAD135" s="1056"/>
      <c r="BAE135" s="1056"/>
      <c r="BAF135" s="1056"/>
      <c r="BAG135" s="1056"/>
      <c r="BAH135" s="1056"/>
      <c r="BAI135" s="1056"/>
      <c r="BAJ135" s="1056"/>
      <c r="BAK135" s="1056"/>
      <c r="BAL135" s="1056"/>
      <c r="BAM135" s="1056"/>
      <c r="BAN135" s="1056"/>
      <c r="BAO135" s="1056"/>
      <c r="BAP135" s="1056"/>
      <c r="BAQ135" s="1056"/>
      <c r="BAR135" s="1056"/>
      <c r="BAS135" s="1056"/>
      <c r="BAT135" s="1056"/>
      <c r="BAU135" s="1056"/>
      <c r="BAV135" s="1056"/>
      <c r="BAW135" s="1056"/>
      <c r="BAX135" s="1056"/>
      <c r="BAY135" s="1056"/>
      <c r="BAZ135" s="1056"/>
      <c r="BBA135" s="1056"/>
      <c r="BBB135" s="1056"/>
      <c r="BBC135" s="1056"/>
      <c r="BBD135" s="1056"/>
      <c r="BBE135" s="1056"/>
      <c r="BBF135" s="1056"/>
      <c r="BBG135" s="1056"/>
      <c r="BBH135" s="1056"/>
      <c r="BBI135" s="1056"/>
      <c r="BBJ135" s="1056"/>
      <c r="BBK135" s="1056"/>
      <c r="BBL135" s="1056"/>
      <c r="BBM135" s="1056"/>
      <c r="BBN135" s="1056"/>
      <c r="BBO135" s="1056"/>
      <c r="BBP135" s="1056"/>
      <c r="BBQ135" s="1056"/>
      <c r="BBR135" s="1056"/>
      <c r="BBS135" s="1056"/>
      <c r="BBT135" s="1056"/>
      <c r="BBU135" s="1056"/>
      <c r="BBV135" s="1056"/>
      <c r="BBW135" s="1056"/>
      <c r="BBX135" s="1056"/>
      <c r="BBY135" s="1056"/>
      <c r="BBZ135" s="1056"/>
      <c r="BCA135" s="1056"/>
      <c r="BCB135" s="1056"/>
      <c r="BCC135" s="1056"/>
      <c r="BCD135" s="1056"/>
      <c r="BCE135" s="1056"/>
      <c r="BCF135" s="1056"/>
      <c r="BCG135" s="1056"/>
      <c r="BCH135" s="1056"/>
      <c r="BCI135" s="1056"/>
      <c r="BCJ135" s="1056"/>
      <c r="BCK135" s="1056"/>
      <c r="BCL135" s="1056"/>
      <c r="BCM135" s="1056"/>
      <c r="BCN135" s="1056"/>
      <c r="BCO135" s="1056"/>
      <c r="BCP135" s="1056"/>
      <c r="BCQ135" s="1056"/>
      <c r="BCR135" s="1056"/>
      <c r="BCS135" s="1056"/>
      <c r="BCT135" s="1056"/>
      <c r="BCU135" s="1056"/>
      <c r="BCV135" s="1056"/>
      <c r="BCW135" s="1056"/>
      <c r="BCX135" s="1056"/>
      <c r="BCY135" s="1056"/>
      <c r="BCZ135" s="1056"/>
      <c r="BDA135" s="1056"/>
      <c r="BDB135" s="1056"/>
      <c r="BDC135" s="1056"/>
      <c r="BDD135" s="1056"/>
      <c r="BDE135" s="1056"/>
      <c r="BDF135" s="1056"/>
      <c r="BDG135" s="1056"/>
      <c r="BDH135" s="1056"/>
      <c r="BDI135" s="1056"/>
      <c r="BDJ135" s="1056"/>
      <c r="BDK135" s="1056"/>
      <c r="BDL135" s="1056"/>
      <c r="BDM135" s="1056"/>
      <c r="BDN135" s="1056"/>
      <c r="BDO135" s="1056"/>
      <c r="BDP135" s="1056"/>
      <c r="BDQ135" s="1056"/>
      <c r="BDR135" s="1056"/>
      <c r="BDS135" s="1056"/>
      <c r="BDT135" s="1056"/>
      <c r="BDU135" s="1056"/>
      <c r="BDV135" s="1056"/>
      <c r="BDW135" s="1056"/>
      <c r="BDX135" s="1056"/>
      <c r="BDY135" s="1056"/>
      <c r="BDZ135" s="1056"/>
      <c r="BEA135" s="1056"/>
      <c r="BEB135" s="1056"/>
      <c r="BEC135" s="1056"/>
      <c r="BED135" s="1056"/>
      <c r="BEE135" s="1056"/>
      <c r="BEF135" s="1056"/>
      <c r="BEG135" s="1056"/>
      <c r="BEH135" s="1056"/>
      <c r="BEI135" s="1056"/>
      <c r="BEJ135" s="1056"/>
      <c r="BEK135" s="1056"/>
      <c r="BEL135" s="1056"/>
      <c r="BEM135" s="1056"/>
      <c r="BEN135" s="1056"/>
      <c r="BEO135" s="1056"/>
      <c r="BEP135" s="1056"/>
      <c r="BEQ135" s="1056"/>
      <c r="BER135" s="1056"/>
      <c r="BES135" s="1056"/>
      <c r="BET135" s="1056"/>
      <c r="BEU135" s="1056"/>
      <c r="BEV135" s="1056"/>
      <c r="BEW135" s="1056"/>
      <c r="BEX135" s="1056"/>
      <c r="BEY135" s="1056"/>
      <c r="BEZ135" s="1056"/>
      <c r="BFA135" s="1056"/>
      <c r="BFB135" s="1056"/>
      <c r="BFC135" s="1056"/>
      <c r="BFD135" s="1056"/>
      <c r="BFE135" s="1056"/>
      <c r="BFF135" s="1056"/>
      <c r="BFG135" s="1056"/>
      <c r="BFH135" s="1056"/>
      <c r="BFI135" s="1056"/>
      <c r="BFJ135" s="1056"/>
      <c r="BFK135" s="1056"/>
      <c r="BFL135" s="1056"/>
      <c r="BFM135" s="1056"/>
      <c r="BFN135" s="1056"/>
      <c r="BFO135" s="1056"/>
      <c r="BFP135" s="1056"/>
      <c r="BFQ135" s="1056"/>
      <c r="BFR135" s="1056"/>
      <c r="BFS135" s="1056"/>
      <c r="BFT135" s="1056"/>
      <c r="BFU135" s="1056"/>
      <c r="BFV135" s="1056"/>
      <c r="BFW135" s="1056"/>
      <c r="BFX135" s="1056"/>
      <c r="BFY135" s="1056"/>
      <c r="BFZ135" s="1056"/>
      <c r="BGA135" s="1056"/>
      <c r="BGB135" s="1056"/>
      <c r="BGC135" s="1056"/>
      <c r="BGD135" s="1056"/>
      <c r="BGE135" s="1056"/>
      <c r="BGF135" s="1056"/>
      <c r="BGG135" s="1056"/>
      <c r="BGH135" s="1056"/>
      <c r="BGI135" s="1056"/>
      <c r="BGJ135" s="1056"/>
      <c r="BGK135" s="1056"/>
      <c r="BGL135" s="1056"/>
      <c r="BGM135" s="1056"/>
      <c r="BGN135" s="1056"/>
      <c r="BGO135" s="1056"/>
      <c r="BGP135" s="1056"/>
      <c r="BGQ135" s="1056"/>
      <c r="BGR135" s="1056"/>
      <c r="BGS135" s="1056"/>
      <c r="BGT135" s="1056"/>
      <c r="BGU135" s="1056"/>
      <c r="BGV135" s="1056"/>
      <c r="BGW135" s="1056"/>
      <c r="BGX135" s="1056"/>
      <c r="BGY135" s="1056"/>
      <c r="BGZ135" s="1056"/>
      <c r="BHA135" s="1056"/>
      <c r="BHB135" s="1056"/>
      <c r="BHC135" s="1056"/>
      <c r="BHD135" s="1056"/>
      <c r="BHE135" s="1056"/>
      <c r="BHF135" s="1056"/>
      <c r="BHG135" s="1056"/>
      <c r="BHH135" s="1056"/>
      <c r="BHI135" s="1056"/>
      <c r="BHJ135" s="1056"/>
      <c r="BHK135" s="1056"/>
      <c r="BHL135" s="1056"/>
      <c r="BHM135" s="1056"/>
      <c r="BHN135" s="1056"/>
      <c r="BHO135" s="1056"/>
      <c r="BHP135" s="1056"/>
      <c r="BHQ135" s="1056"/>
      <c r="BHR135" s="1056"/>
      <c r="BHS135" s="1056"/>
      <c r="BHT135" s="1056"/>
      <c r="BHU135" s="1056"/>
      <c r="BHV135" s="1056"/>
      <c r="BHW135" s="1056"/>
      <c r="BHX135" s="1056"/>
      <c r="BHY135" s="1056"/>
      <c r="BHZ135" s="1056"/>
      <c r="BIA135" s="1056"/>
      <c r="BIB135" s="1056"/>
      <c r="BIC135" s="1056"/>
      <c r="BID135" s="1056"/>
      <c r="BIE135" s="1056"/>
      <c r="BIF135" s="1056"/>
      <c r="BIG135" s="1056"/>
      <c r="BIH135" s="1056"/>
      <c r="BII135" s="1056"/>
      <c r="BIJ135" s="1056"/>
      <c r="BIK135" s="1056"/>
      <c r="BIL135" s="1056"/>
      <c r="BIM135" s="1056"/>
      <c r="BIN135" s="1056"/>
      <c r="BIO135" s="1056"/>
      <c r="BIP135" s="1056"/>
      <c r="BIQ135" s="1056"/>
      <c r="BIR135" s="1056"/>
      <c r="BIS135" s="1056"/>
      <c r="BIT135" s="1056"/>
      <c r="BIU135" s="1056"/>
      <c r="BIV135" s="1056"/>
      <c r="BIW135" s="1056"/>
      <c r="BIX135" s="1056"/>
      <c r="BIY135" s="1056"/>
      <c r="BIZ135" s="1056"/>
      <c r="BJA135" s="1056"/>
      <c r="BJB135" s="1056"/>
      <c r="BJC135" s="1056"/>
      <c r="BJD135" s="1056"/>
      <c r="BJE135" s="1056"/>
      <c r="BJF135" s="1056"/>
      <c r="BJG135" s="1056"/>
      <c r="BJH135" s="1056"/>
      <c r="BJI135" s="1056"/>
      <c r="BJJ135" s="1056"/>
      <c r="BJK135" s="1056"/>
      <c r="BJL135" s="1056"/>
      <c r="BJM135" s="1056"/>
      <c r="BJN135" s="1056"/>
      <c r="BJO135" s="1056"/>
      <c r="BJP135" s="1056"/>
      <c r="BJQ135" s="1056"/>
      <c r="BJR135" s="1056"/>
      <c r="BJS135" s="1056"/>
      <c r="BJT135" s="1056"/>
      <c r="BJU135" s="1056"/>
      <c r="BJV135" s="1056"/>
      <c r="BJW135" s="1056"/>
      <c r="BJX135" s="1056"/>
      <c r="BJY135" s="1056"/>
      <c r="BJZ135" s="1056"/>
      <c r="BKA135" s="1056"/>
      <c r="BKB135" s="1056"/>
      <c r="BKC135" s="1056"/>
      <c r="BKD135" s="1056"/>
      <c r="BKE135" s="1056"/>
      <c r="BKF135" s="1056"/>
      <c r="BKG135" s="1056"/>
      <c r="BKH135" s="1056"/>
      <c r="BKI135" s="1056"/>
      <c r="BKJ135" s="1056"/>
      <c r="BKK135" s="1056"/>
      <c r="BKL135" s="1056"/>
      <c r="BKM135" s="1056"/>
      <c r="BKN135" s="1056"/>
      <c r="BKO135" s="1056"/>
      <c r="BKP135" s="1056"/>
      <c r="BKQ135" s="1056"/>
      <c r="BKR135" s="1056"/>
      <c r="BKS135" s="1056"/>
      <c r="BKT135" s="1056"/>
      <c r="BKU135" s="1056"/>
      <c r="BKV135" s="1056"/>
      <c r="BKW135" s="1056"/>
      <c r="BKX135" s="1056"/>
      <c r="BKY135" s="1056"/>
      <c r="BKZ135" s="1056"/>
      <c r="BLA135" s="1056"/>
      <c r="BLB135" s="1056"/>
      <c r="BLC135" s="1056"/>
      <c r="BLD135" s="1056"/>
      <c r="BLE135" s="1056"/>
      <c r="BLF135" s="1056"/>
      <c r="BLG135" s="1056"/>
      <c r="BLH135" s="1056"/>
      <c r="BLI135" s="1056"/>
      <c r="BLJ135" s="1056"/>
      <c r="BLK135" s="1056"/>
      <c r="BLL135" s="1056"/>
      <c r="BLM135" s="1056"/>
      <c r="BLN135" s="1056"/>
      <c r="BLO135" s="1056"/>
      <c r="BLP135" s="1056"/>
      <c r="BLQ135" s="1056"/>
      <c r="BLR135" s="1056"/>
      <c r="BLS135" s="1056"/>
      <c r="BLT135" s="1056"/>
      <c r="BLU135" s="1056"/>
      <c r="BLV135" s="1056"/>
      <c r="BLW135" s="1056"/>
      <c r="BLX135" s="1056"/>
      <c r="BLY135" s="1056"/>
      <c r="BLZ135" s="1056"/>
      <c r="BMA135" s="1056"/>
      <c r="BMB135" s="1056"/>
      <c r="BMC135" s="1056"/>
      <c r="BMD135" s="1056"/>
      <c r="BME135" s="1056"/>
      <c r="BMF135" s="1056"/>
      <c r="BMG135" s="1056"/>
      <c r="BMH135" s="1056"/>
      <c r="BMI135" s="1056"/>
      <c r="BMJ135" s="1056"/>
      <c r="BMK135" s="1056"/>
      <c r="BML135" s="1056"/>
      <c r="BMM135" s="1056"/>
      <c r="BMN135" s="1056"/>
      <c r="BMO135" s="1056"/>
      <c r="BMP135" s="1056"/>
      <c r="BMQ135" s="1056"/>
      <c r="BMR135" s="1056"/>
      <c r="BMS135" s="1056"/>
      <c r="BMT135" s="1056"/>
      <c r="BMU135" s="1056"/>
      <c r="BMV135" s="1056"/>
      <c r="BMW135" s="1056"/>
      <c r="BMX135" s="1056"/>
      <c r="BMY135" s="1056"/>
      <c r="BMZ135" s="1056"/>
      <c r="BNA135" s="1056"/>
      <c r="BNB135" s="1056"/>
      <c r="BNC135" s="1056"/>
      <c r="BND135" s="1056"/>
      <c r="BNE135" s="1056"/>
      <c r="BNF135" s="1056"/>
      <c r="BNG135" s="1056"/>
      <c r="BNH135" s="1056"/>
      <c r="BNI135" s="1056"/>
      <c r="BNJ135" s="1056"/>
      <c r="BNK135" s="1056"/>
      <c r="BNL135" s="1056"/>
      <c r="BNM135" s="1056"/>
      <c r="BNN135" s="1056"/>
      <c r="BNO135" s="1056"/>
      <c r="BNP135" s="1056"/>
      <c r="BNQ135" s="1056"/>
      <c r="BNR135" s="1056"/>
      <c r="BNS135" s="1056"/>
      <c r="BNT135" s="1056"/>
      <c r="BNU135" s="1056"/>
      <c r="BNV135" s="1056"/>
      <c r="BNW135" s="1056"/>
      <c r="BNX135" s="1056"/>
      <c r="BNY135" s="1056"/>
      <c r="BNZ135" s="1056"/>
      <c r="BOA135" s="1056"/>
      <c r="BOB135" s="1056"/>
      <c r="BOC135" s="1056"/>
      <c r="BOD135" s="1056"/>
      <c r="BOE135" s="1056"/>
      <c r="BOF135" s="1056"/>
      <c r="BOG135" s="1056"/>
      <c r="BOH135" s="1056"/>
      <c r="BOI135" s="1056"/>
      <c r="BOJ135" s="1056"/>
      <c r="BOK135" s="1056"/>
      <c r="BOL135" s="1056"/>
      <c r="BOM135" s="1056"/>
      <c r="BON135" s="1056"/>
      <c r="BOO135" s="1056"/>
      <c r="BOP135" s="1056"/>
      <c r="BOQ135" s="1056"/>
      <c r="BOR135" s="1056"/>
      <c r="BOS135" s="1056"/>
      <c r="BOT135" s="1056"/>
      <c r="BOU135" s="1056"/>
      <c r="BOV135" s="1056"/>
      <c r="BOW135" s="1056"/>
      <c r="BOX135" s="1056"/>
      <c r="BOY135" s="1056"/>
      <c r="BOZ135" s="1056"/>
      <c r="BPA135" s="1056"/>
      <c r="BPB135" s="1056"/>
      <c r="BPC135" s="1056"/>
      <c r="BPD135" s="1056"/>
      <c r="BPE135" s="1056"/>
      <c r="BPF135" s="1056"/>
      <c r="BPG135" s="1056"/>
      <c r="BPH135" s="1056"/>
      <c r="BPI135" s="1056"/>
      <c r="BPJ135" s="1056"/>
      <c r="BPK135" s="1056"/>
      <c r="BPL135" s="1056"/>
      <c r="BPM135" s="1056"/>
      <c r="BPN135" s="1056"/>
      <c r="BPO135" s="1056"/>
      <c r="BPP135" s="1056"/>
      <c r="BPQ135" s="1056"/>
      <c r="BPR135" s="1056"/>
      <c r="BPS135" s="1056"/>
      <c r="BPT135" s="1056"/>
      <c r="BPU135" s="1056"/>
      <c r="BPV135" s="1056"/>
      <c r="BPW135" s="1056"/>
      <c r="BPX135" s="1056"/>
      <c r="BPY135" s="1056"/>
      <c r="BPZ135" s="1056"/>
      <c r="BQA135" s="1056"/>
      <c r="BQB135" s="1056"/>
      <c r="BQC135" s="1056"/>
      <c r="BQD135" s="1056"/>
      <c r="BQE135" s="1056"/>
      <c r="BQF135" s="1056"/>
      <c r="BQG135" s="1056"/>
      <c r="BQH135" s="1056"/>
      <c r="BQI135" s="1056"/>
      <c r="BQJ135" s="1056"/>
      <c r="BQK135" s="1056"/>
      <c r="BQL135" s="1056"/>
      <c r="BQM135" s="1056"/>
      <c r="BQN135" s="1056"/>
      <c r="BQO135" s="1056"/>
      <c r="BQP135" s="1056"/>
      <c r="BQQ135" s="1056"/>
      <c r="BQR135" s="1056"/>
      <c r="BQS135" s="1056"/>
      <c r="BQT135" s="1056"/>
      <c r="BQU135" s="1056"/>
      <c r="BQV135" s="1056"/>
      <c r="BQW135" s="1056"/>
      <c r="BQX135" s="1056"/>
      <c r="BQY135" s="1056"/>
      <c r="BQZ135" s="1056"/>
      <c r="BRA135" s="1056"/>
      <c r="BRB135" s="1056"/>
      <c r="BRC135" s="1056"/>
      <c r="BRD135" s="1056"/>
      <c r="BRE135" s="1056"/>
      <c r="BRF135" s="1056"/>
      <c r="BRG135" s="1056"/>
      <c r="BRH135" s="1056"/>
      <c r="BRI135" s="1056"/>
      <c r="BRJ135" s="1056"/>
      <c r="BRK135" s="1056"/>
      <c r="BRL135" s="1056"/>
      <c r="BRM135" s="1056"/>
      <c r="BRN135" s="1056"/>
      <c r="BRO135" s="1056"/>
      <c r="BRP135" s="1056"/>
      <c r="BRQ135" s="1056"/>
      <c r="BRR135" s="1056"/>
      <c r="BRS135" s="1056"/>
      <c r="BRT135" s="1056"/>
      <c r="BRU135" s="1056"/>
      <c r="BRV135" s="1056"/>
      <c r="BRW135" s="1056"/>
      <c r="BRX135" s="1056"/>
      <c r="BRY135" s="1056"/>
      <c r="BRZ135" s="1056"/>
      <c r="BSA135" s="1056"/>
      <c r="BSB135" s="1056"/>
      <c r="BSC135" s="1056"/>
      <c r="BSD135" s="1056"/>
      <c r="BSE135" s="1056"/>
      <c r="BSF135" s="1056"/>
      <c r="BSG135" s="1056"/>
      <c r="BSH135" s="1056"/>
      <c r="BSI135" s="1056"/>
      <c r="BSJ135" s="1056"/>
      <c r="BSK135" s="1056"/>
      <c r="BSL135" s="1056"/>
      <c r="BSM135" s="1056"/>
      <c r="BSN135" s="1056"/>
      <c r="BSO135" s="1056"/>
      <c r="BSP135" s="1056"/>
      <c r="BSQ135" s="1056"/>
      <c r="BSR135" s="1056"/>
      <c r="BSS135" s="1056"/>
      <c r="BST135" s="1056"/>
      <c r="BSU135" s="1056"/>
      <c r="BSV135" s="1056"/>
      <c r="BSW135" s="1056"/>
      <c r="BSX135" s="1056"/>
      <c r="BSY135" s="1056"/>
      <c r="BSZ135" s="1056"/>
      <c r="BTA135" s="1056"/>
      <c r="BTB135" s="1056"/>
      <c r="BTC135" s="1056"/>
      <c r="BTD135" s="1056"/>
      <c r="BTE135" s="1056"/>
      <c r="BTF135" s="1056"/>
      <c r="BTG135" s="1056"/>
      <c r="BTH135" s="1056"/>
      <c r="BTI135" s="1056"/>
    </row>
    <row r="136" spans="1:1881" s="1060" customFormat="1" ht="68.25" hidden="1" customHeight="1" x14ac:dyDescent="0.3">
      <c r="A136" s="333">
        <v>654</v>
      </c>
      <c r="B136" s="1085" t="s">
        <v>37</v>
      </c>
      <c r="C136" s="1085" t="s">
        <v>1387</v>
      </c>
      <c r="D136" s="1086" t="s">
        <v>1391</v>
      </c>
      <c r="E136" s="1053" t="e">
        <f>HLOOKUP($D$2,'2020 Data(H)'!$C$1:$AI$426,307,FALSE)</f>
        <v>#N/A</v>
      </c>
      <c r="F136" s="287">
        <v>0</v>
      </c>
      <c r="G136" s="722">
        <f>IF((F132+F133+F135)&gt;F136,"Error: Please review components of current assets above.  Account numbers (80+81+510)&gt;654",)</f>
        <v>0</v>
      </c>
      <c r="H136" s="764"/>
      <c r="I136" s="1055"/>
      <c r="J136" s="1056"/>
      <c r="K136" s="1056"/>
      <c r="L136" s="1056"/>
      <c r="M136" s="1056"/>
      <c r="N136" s="1058"/>
      <c r="O136" s="1056"/>
      <c r="P136" s="1056"/>
      <c r="Q136" s="1056"/>
      <c r="R136" s="1056"/>
      <c r="S136" s="1056"/>
      <c r="T136" s="1056"/>
      <c r="U136" s="1056"/>
      <c r="V136" s="1056"/>
      <c r="W136" s="1056"/>
      <c r="X136" s="1056"/>
      <c r="Y136" s="1056"/>
      <c r="Z136" s="333"/>
      <c r="AA136" s="333"/>
      <c r="AB136" s="333"/>
      <c r="AC136" s="333"/>
      <c r="AD136" s="333"/>
      <c r="AE136" s="333"/>
      <c r="AF136" s="333"/>
      <c r="AG136" s="333"/>
      <c r="AH136" s="333"/>
      <c r="AI136" s="333"/>
      <c r="AJ136" s="333"/>
      <c r="AK136" s="333"/>
      <c r="AL136" s="333"/>
      <c r="AM136" s="333"/>
      <c r="AN136" s="333"/>
      <c r="AO136" s="333"/>
      <c r="AP136" s="333"/>
      <c r="AQ136" s="333"/>
      <c r="AR136" s="333"/>
      <c r="AS136" s="1056"/>
      <c r="AT136" s="1056"/>
      <c r="AU136" s="1056"/>
      <c r="AV136" s="1056"/>
      <c r="AW136" s="1056"/>
      <c r="AX136" s="1056"/>
      <c r="AY136" s="1056"/>
      <c r="AZ136" s="1056"/>
      <c r="BA136" s="1056"/>
      <c r="BB136" s="1056"/>
      <c r="BC136" s="1056"/>
      <c r="BD136" s="1056"/>
      <c r="BE136" s="1056"/>
      <c r="BF136" s="1056"/>
      <c r="BG136" s="1056"/>
      <c r="BH136" s="1056"/>
      <c r="BI136" s="1056"/>
      <c r="BJ136" s="1056"/>
      <c r="BK136" s="1056"/>
      <c r="BL136" s="1056"/>
      <c r="BM136" s="1056"/>
      <c r="BN136" s="1056"/>
      <c r="BO136" s="1056"/>
      <c r="BP136" s="1056"/>
      <c r="BQ136" s="1056"/>
      <c r="BR136" s="1056"/>
      <c r="BS136" s="1056"/>
      <c r="BT136" s="1056"/>
      <c r="BU136" s="1056"/>
      <c r="BV136" s="1056"/>
      <c r="BW136" s="1056"/>
      <c r="BX136" s="1056"/>
      <c r="BY136" s="1056"/>
      <c r="BZ136" s="1056"/>
      <c r="CA136" s="1056"/>
      <c r="CB136" s="1056"/>
      <c r="CC136" s="1056"/>
      <c r="CD136" s="1056"/>
      <c r="CE136" s="1056"/>
      <c r="CF136" s="1056"/>
      <c r="CG136" s="1056"/>
      <c r="CH136" s="1056"/>
      <c r="CI136" s="1056"/>
      <c r="CJ136" s="1056"/>
      <c r="CK136" s="1056"/>
      <c r="CL136" s="1056"/>
      <c r="CM136" s="1056"/>
      <c r="CN136" s="1056"/>
      <c r="CO136" s="1056"/>
      <c r="CP136" s="1056"/>
      <c r="CQ136" s="1056"/>
      <c r="CR136" s="1056"/>
      <c r="CS136" s="1056"/>
      <c r="CT136" s="1056"/>
      <c r="CU136" s="1056"/>
      <c r="CV136" s="1056"/>
      <c r="CW136" s="1056"/>
      <c r="CX136" s="1056"/>
      <c r="CY136" s="1056"/>
      <c r="CZ136" s="1056"/>
      <c r="DA136" s="1056"/>
      <c r="DB136" s="1056"/>
      <c r="DC136" s="1056"/>
      <c r="DD136" s="1056"/>
      <c r="DE136" s="1056"/>
      <c r="DF136" s="1056"/>
      <c r="DG136" s="1056"/>
      <c r="DH136" s="1056"/>
      <c r="DI136" s="1056"/>
      <c r="DJ136" s="1056"/>
      <c r="DK136" s="1056"/>
      <c r="DL136" s="1056"/>
      <c r="DM136" s="1056"/>
      <c r="DN136" s="1056"/>
      <c r="DO136" s="1056"/>
      <c r="DP136" s="1056"/>
      <c r="DQ136" s="1056"/>
      <c r="DR136" s="1056"/>
      <c r="DS136" s="1056"/>
      <c r="DT136" s="1056"/>
      <c r="DU136" s="1056"/>
      <c r="DV136" s="1056"/>
      <c r="DW136" s="1056"/>
      <c r="DX136" s="1056"/>
      <c r="DY136" s="1056"/>
      <c r="DZ136" s="1056"/>
      <c r="EA136" s="1056"/>
      <c r="EB136" s="1056"/>
      <c r="EC136" s="1056"/>
      <c r="ED136" s="1056"/>
      <c r="EE136" s="1056"/>
      <c r="EF136" s="1056"/>
      <c r="EG136" s="1056"/>
      <c r="EH136" s="1056"/>
      <c r="EI136" s="1056"/>
      <c r="EJ136" s="1056"/>
      <c r="EK136" s="1056"/>
      <c r="EL136" s="1056"/>
      <c r="EM136" s="1056"/>
      <c r="EN136" s="1056"/>
      <c r="EO136" s="1056"/>
      <c r="EP136" s="1056"/>
      <c r="EQ136" s="1056"/>
      <c r="ER136" s="1056"/>
      <c r="ES136" s="1056"/>
      <c r="ET136" s="1056"/>
      <c r="EU136" s="1056"/>
      <c r="EV136" s="1056"/>
      <c r="EW136" s="1056"/>
      <c r="EX136" s="1056"/>
      <c r="EY136" s="1056"/>
      <c r="EZ136" s="1056"/>
      <c r="FA136" s="1056"/>
      <c r="FB136" s="1056"/>
      <c r="FC136" s="1056"/>
      <c r="FD136" s="1056"/>
      <c r="FE136" s="1056"/>
      <c r="FF136" s="1056"/>
      <c r="FG136" s="1056"/>
      <c r="FH136" s="1056"/>
      <c r="FI136" s="1056"/>
      <c r="FJ136" s="1056"/>
      <c r="FK136" s="1056"/>
      <c r="FL136" s="1056"/>
      <c r="FM136" s="1056"/>
      <c r="FN136" s="1056"/>
      <c r="FO136" s="1056"/>
      <c r="FP136" s="1056"/>
      <c r="FQ136" s="1056"/>
      <c r="FR136" s="1056"/>
      <c r="FS136" s="1056"/>
      <c r="FT136" s="1056"/>
      <c r="FU136" s="1056"/>
      <c r="FV136" s="1056"/>
      <c r="FW136" s="1056"/>
      <c r="FX136" s="1056"/>
      <c r="FY136" s="1056"/>
      <c r="FZ136" s="1056"/>
      <c r="GA136" s="1056"/>
      <c r="GB136" s="1056"/>
      <c r="GC136" s="1056"/>
      <c r="GD136" s="1056"/>
      <c r="GE136" s="1056"/>
      <c r="GF136" s="1056"/>
      <c r="GG136" s="1056"/>
      <c r="GH136" s="1056"/>
      <c r="GI136" s="1056"/>
      <c r="GJ136" s="1056"/>
      <c r="GK136" s="1056"/>
      <c r="GL136" s="1056"/>
      <c r="GM136" s="1056"/>
      <c r="GN136" s="1056"/>
      <c r="GO136" s="1056"/>
      <c r="GP136" s="1056"/>
      <c r="GQ136" s="1056"/>
      <c r="GR136" s="1056"/>
      <c r="GS136" s="1056"/>
      <c r="GT136" s="1056"/>
      <c r="GU136" s="1056"/>
      <c r="GV136" s="1056"/>
      <c r="GW136" s="1056"/>
      <c r="GX136" s="1056"/>
      <c r="GY136" s="1056"/>
      <c r="GZ136" s="1056"/>
      <c r="HA136" s="1056"/>
      <c r="HB136" s="1056"/>
      <c r="HC136" s="1056"/>
      <c r="HD136" s="1056"/>
      <c r="HE136" s="1056"/>
      <c r="HF136" s="1056"/>
      <c r="HG136" s="1056"/>
      <c r="HH136" s="1056"/>
      <c r="HI136" s="1056"/>
      <c r="HJ136" s="1056"/>
      <c r="HK136" s="1056"/>
      <c r="HL136" s="1056"/>
      <c r="HM136" s="1056"/>
      <c r="HN136" s="1056"/>
      <c r="HO136" s="1056"/>
      <c r="HP136" s="1056"/>
      <c r="HQ136" s="1056"/>
      <c r="HR136" s="1056"/>
      <c r="HS136" s="1056"/>
      <c r="HT136" s="1056"/>
      <c r="HU136" s="1056"/>
      <c r="HV136" s="1056"/>
      <c r="HW136" s="1056"/>
      <c r="HX136" s="1056"/>
      <c r="HY136" s="1056"/>
      <c r="HZ136" s="1056"/>
      <c r="IA136" s="1056"/>
      <c r="IB136" s="1056"/>
      <c r="IC136" s="1056"/>
      <c r="ID136" s="1056"/>
      <c r="IE136" s="1056"/>
      <c r="IF136" s="1056"/>
      <c r="IG136" s="1056"/>
      <c r="IH136" s="1056"/>
      <c r="II136" s="1056"/>
      <c r="IJ136" s="1056"/>
      <c r="IK136" s="1056"/>
      <c r="IL136" s="1056"/>
      <c r="IM136" s="1056"/>
      <c r="IN136" s="1056"/>
      <c r="IO136" s="1056"/>
      <c r="IP136" s="1056"/>
      <c r="IQ136" s="1056"/>
      <c r="IR136" s="1056"/>
      <c r="IS136" s="1056"/>
      <c r="IT136" s="1056"/>
      <c r="IU136" s="1056"/>
      <c r="IV136" s="1056"/>
      <c r="IW136" s="1056"/>
      <c r="IX136" s="1056"/>
      <c r="IY136" s="1056"/>
      <c r="IZ136" s="1056"/>
      <c r="JA136" s="1056"/>
      <c r="JB136" s="1056"/>
      <c r="JC136" s="1056"/>
      <c r="JD136" s="1056"/>
      <c r="JE136" s="1056"/>
      <c r="JF136" s="1056"/>
      <c r="JG136" s="1056"/>
      <c r="JH136" s="1056"/>
      <c r="JI136" s="1056"/>
      <c r="JJ136" s="1056"/>
      <c r="JK136" s="1056"/>
      <c r="JL136" s="1056"/>
      <c r="JM136" s="1056"/>
      <c r="JN136" s="1056"/>
      <c r="JO136" s="1056"/>
      <c r="JP136" s="1056"/>
      <c r="JQ136" s="1056"/>
      <c r="JR136" s="1056"/>
      <c r="JS136" s="1056"/>
      <c r="JT136" s="1056"/>
      <c r="JU136" s="1056"/>
      <c r="JV136" s="1056"/>
      <c r="JW136" s="1056"/>
      <c r="JX136" s="1056"/>
      <c r="JY136" s="1056"/>
      <c r="JZ136" s="1056"/>
      <c r="KA136" s="1056"/>
      <c r="KB136" s="1056"/>
      <c r="KC136" s="1056"/>
      <c r="KD136" s="1056"/>
      <c r="KE136" s="1056"/>
      <c r="KF136" s="1056"/>
      <c r="KG136" s="1056"/>
      <c r="KH136" s="1056"/>
      <c r="KI136" s="1056"/>
      <c r="KJ136" s="1056"/>
      <c r="KK136" s="1056"/>
      <c r="KL136" s="1056"/>
      <c r="KM136" s="1056"/>
      <c r="KN136" s="1056"/>
      <c r="KO136" s="1056"/>
      <c r="KP136" s="1056"/>
      <c r="KQ136" s="1056"/>
      <c r="KR136" s="1056"/>
      <c r="KS136" s="1056"/>
      <c r="KT136" s="1056"/>
      <c r="KU136" s="1056"/>
      <c r="KV136" s="1056"/>
      <c r="KW136" s="1056"/>
      <c r="KX136" s="1056"/>
      <c r="KY136" s="1056"/>
      <c r="KZ136" s="1056"/>
      <c r="LA136" s="1056"/>
      <c r="LB136" s="1056"/>
      <c r="LC136" s="1056"/>
      <c r="LD136" s="1056"/>
      <c r="LE136" s="1056"/>
      <c r="LF136" s="1056"/>
      <c r="LG136" s="1056"/>
      <c r="LH136" s="1056"/>
      <c r="LI136" s="1056"/>
      <c r="LJ136" s="1056"/>
      <c r="LK136" s="1056"/>
      <c r="LL136" s="1056"/>
      <c r="LM136" s="1056"/>
      <c r="LN136" s="1056"/>
      <c r="LO136" s="1056"/>
      <c r="LP136" s="1056"/>
      <c r="LQ136" s="1056"/>
      <c r="LR136" s="1056"/>
      <c r="LS136" s="1056"/>
      <c r="LT136" s="1056"/>
      <c r="LU136" s="1056"/>
      <c r="LV136" s="1056"/>
      <c r="LW136" s="1056"/>
      <c r="LX136" s="1056"/>
      <c r="LY136" s="1056"/>
      <c r="LZ136" s="1056"/>
      <c r="MA136" s="1056"/>
      <c r="MB136" s="1056"/>
      <c r="MC136" s="1056"/>
      <c r="MD136" s="1056"/>
      <c r="ME136" s="1056"/>
      <c r="MF136" s="1056"/>
      <c r="MG136" s="1056"/>
      <c r="MH136" s="1056"/>
      <c r="MI136" s="1056"/>
      <c r="MJ136" s="1056"/>
      <c r="MK136" s="1056"/>
      <c r="ML136" s="1056"/>
      <c r="MM136" s="1056"/>
      <c r="MN136" s="1056"/>
      <c r="MO136" s="1056"/>
      <c r="MP136" s="1056"/>
      <c r="MQ136" s="1056"/>
      <c r="MR136" s="1056"/>
      <c r="MS136" s="1056"/>
      <c r="MT136" s="1056"/>
      <c r="MU136" s="1056"/>
      <c r="MV136" s="1056"/>
      <c r="MW136" s="1056"/>
      <c r="MX136" s="1056"/>
      <c r="MY136" s="1056"/>
      <c r="MZ136" s="1056"/>
      <c r="NA136" s="1056"/>
      <c r="NB136" s="1056"/>
      <c r="NC136" s="1056"/>
      <c r="ND136" s="1056"/>
      <c r="NE136" s="1056"/>
      <c r="NF136" s="1056"/>
      <c r="NG136" s="1056"/>
      <c r="NH136" s="1056"/>
      <c r="NI136" s="1056"/>
      <c r="NJ136" s="1056"/>
      <c r="NK136" s="1056"/>
      <c r="NL136" s="1056"/>
      <c r="NM136" s="1056"/>
      <c r="NN136" s="1056"/>
      <c r="NO136" s="1056"/>
      <c r="NP136" s="1056"/>
      <c r="NQ136" s="1056"/>
      <c r="NR136" s="1056"/>
      <c r="NS136" s="1056"/>
      <c r="NT136" s="1056"/>
      <c r="NU136" s="1056"/>
      <c r="NV136" s="1056"/>
      <c r="NW136" s="1056"/>
      <c r="NX136" s="1056"/>
      <c r="NY136" s="1056"/>
      <c r="NZ136" s="1056"/>
      <c r="OA136" s="1056"/>
      <c r="OB136" s="1056"/>
      <c r="OC136" s="1056"/>
      <c r="OD136" s="1056"/>
      <c r="OE136" s="1056"/>
      <c r="OF136" s="1056"/>
      <c r="OG136" s="1056"/>
      <c r="OH136" s="1056"/>
      <c r="OI136" s="1056"/>
      <c r="OJ136" s="1056"/>
      <c r="OK136" s="1056"/>
      <c r="OL136" s="1056"/>
      <c r="OM136" s="1056"/>
      <c r="ON136" s="1056"/>
      <c r="OO136" s="1056"/>
      <c r="OP136" s="1056"/>
      <c r="OQ136" s="1056"/>
      <c r="OR136" s="1056"/>
      <c r="OS136" s="1056"/>
      <c r="OT136" s="1056"/>
      <c r="OU136" s="1056"/>
      <c r="OV136" s="1056"/>
      <c r="OW136" s="1056"/>
      <c r="OX136" s="1056"/>
      <c r="OY136" s="1056"/>
      <c r="OZ136" s="1056"/>
      <c r="PA136" s="1056"/>
      <c r="PB136" s="1056"/>
      <c r="PC136" s="1056"/>
      <c r="PD136" s="1056"/>
      <c r="PE136" s="1056"/>
      <c r="PF136" s="1056"/>
      <c r="PG136" s="1056"/>
      <c r="PH136" s="1056"/>
      <c r="PI136" s="1056"/>
      <c r="PJ136" s="1056"/>
      <c r="PK136" s="1056"/>
      <c r="PL136" s="1056"/>
      <c r="PM136" s="1056"/>
      <c r="PN136" s="1056"/>
      <c r="PO136" s="1056"/>
      <c r="PP136" s="1056"/>
      <c r="PQ136" s="1056"/>
      <c r="PR136" s="1056"/>
      <c r="PS136" s="1056"/>
      <c r="PT136" s="1056"/>
      <c r="PU136" s="1056"/>
      <c r="PV136" s="1056"/>
      <c r="PW136" s="1056"/>
      <c r="PX136" s="1056"/>
      <c r="PY136" s="1056"/>
      <c r="PZ136" s="1056"/>
      <c r="QA136" s="1056"/>
      <c r="QB136" s="1056"/>
      <c r="QC136" s="1056"/>
      <c r="QD136" s="1056"/>
      <c r="QE136" s="1056"/>
      <c r="QF136" s="1056"/>
      <c r="QG136" s="1056"/>
      <c r="QH136" s="1056"/>
      <c r="QI136" s="1056"/>
      <c r="QJ136" s="1056"/>
      <c r="QK136" s="1056"/>
      <c r="QL136" s="1056"/>
      <c r="QM136" s="1056"/>
      <c r="QN136" s="1056"/>
      <c r="QO136" s="1056"/>
      <c r="QP136" s="1056"/>
      <c r="QQ136" s="1056"/>
      <c r="QR136" s="1056"/>
      <c r="QS136" s="1056"/>
      <c r="QT136" s="1056"/>
      <c r="QU136" s="1056"/>
      <c r="QV136" s="1056"/>
      <c r="QW136" s="1056"/>
      <c r="QX136" s="1056"/>
      <c r="QY136" s="1056"/>
      <c r="QZ136" s="1056"/>
      <c r="RA136" s="1056"/>
      <c r="RB136" s="1056"/>
      <c r="RC136" s="1056"/>
      <c r="RD136" s="1056"/>
      <c r="RE136" s="1056"/>
      <c r="RF136" s="1056"/>
      <c r="RG136" s="1056"/>
      <c r="RH136" s="1056"/>
      <c r="RI136" s="1056"/>
      <c r="RJ136" s="1056"/>
      <c r="RK136" s="1056"/>
      <c r="RL136" s="1056"/>
      <c r="RM136" s="1056"/>
      <c r="RN136" s="1056"/>
      <c r="RO136" s="1056"/>
      <c r="RP136" s="1056"/>
      <c r="RQ136" s="1056"/>
      <c r="RR136" s="1056"/>
      <c r="RS136" s="1056"/>
      <c r="RT136" s="1056"/>
      <c r="RU136" s="1056"/>
      <c r="RV136" s="1056"/>
      <c r="RW136" s="1056"/>
      <c r="RX136" s="1056"/>
      <c r="RY136" s="1056"/>
      <c r="RZ136" s="1056"/>
      <c r="SA136" s="1056"/>
      <c r="SB136" s="1056"/>
      <c r="SC136" s="1056"/>
      <c r="SD136" s="1056"/>
      <c r="SE136" s="1056"/>
      <c r="SF136" s="1056"/>
      <c r="SG136" s="1056"/>
      <c r="SH136" s="1056"/>
      <c r="SI136" s="1056"/>
      <c r="SJ136" s="1056"/>
      <c r="SK136" s="1056"/>
      <c r="SL136" s="1056"/>
      <c r="SM136" s="1056"/>
      <c r="SN136" s="1056"/>
      <c r="SO136" s="1056"/>
      <c r="SP136" s="1056"/>
      <c r="SQ136" s="1056"/>
      <c r="SR136" s="1056"/>
      <c r="SS136" s="1056"/>
      <c r="ST136" s="1056"/>
      <c r="SU136" s="1056"/>
      <c r="SV136" s="1056"/>
      <c r="SW136" s="1056"/>
      <c r="SX136" s="1056"/>
      <c r="SY136" s="1056"/>
      <c r="SZ136" s="1056"/>
      <c r="TA136" s="1056"/>
      <c r="TB136" s="1056"/>
      <c r="TC136" s="1056"/>
      <c r="TD136" s="1056"/>
      <c r="TE136" s="1056"/>
      <c r="TF136" s="1056"/>
      <c r="TG136" s="1056"/>
      <c r="TH136" s="1056"/>
      <c r="TI136" s="1056"/>
      <c r="TJ136" s="1056"/>
      <c r="TK136" s="1056"/>
      <c r="TL136" s="1056"/>
      <c r="TM136" s="1056"/>
      <c r="TN136" s="1056"/>
      <c r="TO136" s="1056"/>
      <c r="TP136" s="1056"/>
      <c r="TQ136" s="1056"/>
      <c r="TR136" s="1056"/>
      <c r="TS136" s="1056"/>
      <c r="TT136" s="1056"/>
      <c r="TU136" s="1056"/>
      <c r="TV136" s="1056"/>
      <c r="TW136" s="1056"/>
      <c r="TX136" s="1056"/>
      <c r="TY136" s="1056"/>
      <c r="TZ136" s="1056"/>
      <c r="UA136" s="1056"/>
      <c r="UB136" s="1056"/>
      <c r="UC136" s="1056"/>
      <c r="UD136" s="1056"/>
      <c r="UE136" s="1056"/>
      <c r="UF136" s="1056"/>
      <c r="UG136" s="1056"/>
      <c r="UH136" s="1056"/>
      <c r="UI136" s="1056"/>
      <c r="UJ136" s="1056"/>
      <c r="UK136" s="1056"/>
      <c r="UL136" s="1056"/>
      <c r="UM136" s="1056"/>
      <c r="UN136" s="1056"/>
      <c r="UO136" s="1056"/>
      <c r="UP136" s="1056"/>
      <c r="UQ136" s="1056"/>
      <c r="UR136" s="1056"/>
      <c r="US136" s="1056"/>
      <c r="UT136" s="1056"/>
      <c r="UU136" s="1056"/>
      <c r="UV136" s="1056"/>
      <c r="UW136" s="1056"/>
      <c r="UX136" s="1056"/>
      <c r="UY136" s="1056"/>
      <c r="UZ136" s="1056"/>
      <c r="VA136" s="1056"/>
      <c r="VB136" s="1056"/>
      <c r="VC136" s="1056"/>
      <c r="VD136" s="1056"/>
      <c r="VE136" s="1056"/>
      <c r="VF136" s="1056"/>
      <c r="VG136" s="1056"/>
      <c r="VH136" s="1056"/>
      <c r="VI136" s="1056"/>
      <c r="VJ136" s="1056"/>
      <c r="VK136" s="1056"/>
      <c r="VL136" s="1056"/>
      <c r="VM136" s="1056"/>
      <c r="VN136" s="1056"/>
      <c r="VO136" s="1056"/>
      <c r="VP136" s="1056"/>
      <c r="VQ136" s="1056"/>
      <c r="VR136" s="1056"/>
      <c r="VS136" s="1056"/>
      <c r="VT136" s="1056"/>
      <c r="VU136" s="1056"/>
      <c r="VV136" s="1056"/>
      <c r="VW136" s="1056"/>
      <c r="VX136" s="1056"/>
      <c r="VY136" s="1056"/>
      <c r="VZ136" s="1056"/>
      <c r="WA136" s="1056"/>
      <c r="WB136" s="1056"/>
      <c r="WC136" s="1056"/>
      <c r="WD136" s="1056"/>
      <c r="WE136" s="1056"/>
      <c r="WF136" s="1056"/>
      <c r="WG136" s="1056"/>
      <c r="WH136" s="1056"/>
      <c r="WI136" s="1056"/>
      <c r="WJ136" s="1056"/>
      <c r="WK136" s="1056"/>
      <c r="WL136" s="1056"/>
      <c r="WM136" s="1056"/>
      <c r="WN136" s="1056"/>
      <c r="WO136" s="1056"/>
      <c r="WP136" s="1056"/>
      <c r="WQ136" s="1056"/>
      <c r="WR136" s="1056"/>
      <c r="WS136" s="1056"/>
      <c r="WT136" s="1056"/>
      <c r="WU136" s="1056"/>
      <c r="WV136" s="1056"/>
      <c r="WW136" s="1056"/>
      <c r="WX136" s="1056"/>
      <c r="WY136" s="1056"/>
      <c r="WZ136" s="1056"/>
      <c r="XA136" s="1056"/>
      <c r="XB136" s="1056"/>
      <c r="XC136" s="1056"/>
      <c r="XD136" s="1056"/>
      <c r="XE136" s="1056"/>
      <c r="XF136" s="1056"/>
      <c r="XG136" s="1056"/>
      <c r="XH136" s="1056"/>
      <c r="XI136" s="1056"/>
      <c r="XJ136" s="1056"/>
      <c r="XK136" s="1056"/>
      <c r="XL136" s="1056"/>
      <c r="XM136" s="1056"/>
      <c r="XN136" s="1056"/>
      <c r="XO136" s="1056"/>
      <c r="XP136" s="1056"/>
      <c r="XQ136" s="1056"/>
      <c r="XR136" s="1056"/>
      <c r="XS136" s="1056"/>
      <c r="XT136" s="1056"/>
      <c r="XU136" s="1056"/>
      <c r="XV136" s="1056"/>
      <c r="XW136" s="1056"/>
      <c r="XX136" s="1056"/>
      <c r="XY136" s="1056"/>
      <c r="XZ136" s="1056"/>
      <c r="YA136" s="1056"/>
      <c r="YB136" s="1056"/>
      <c r="YC136" s="1056"/>
      <c r="YD136" s="1056"/>
      <c r="YE136" s="1056"/>
      <c r="YF136" s="1056"/>
      <c r="YG136" s="1056"/>
      <c r="YH136" s="1056"/>
      <c r="YI136" s="1056"/>
      <c r="YJ136" s="1056"/>
      <c r="YK136" s="1056"/>
      <c r="YL136" s="1056"/>
      <c r="YM136" s="1056"/>
      <c r="YN136" s="1056"/>
      <c r="YO136" s="1056"/>
      <c r="YP136" s="1056"/>
      <c r="YQ136" s="1056"/>
      <c r="YR136" s="1056"/>
      <c r="YS136" s="1056"/>
      <c r="YT136" s="1056"/>
      <c r="YU136" s="1056"/>
      <c r="YV136" s="1056"/>
      <c r="YW136" s="1056"/>
      <c r="YX136" s="1056"/>
      <c r="YY136" s="1056"/>
      <c r="YZ136" s="1056"/>
      <c r="ZA136" s="1056"/>
      <c r="ZB136" s="1056"/>
      <c r="ZC136" s="1056"/>
      <c r="ZD136" s="1056"/>
      <c r="ZE136" s="1056"/>
      <c r="ZF136" s="1056"/>
      <c r="ZG136" s="1056"/>
      <c r="ZH136" s="1056"/>
      <c r="ZI136" s="1056"/>
      <c r="ZJ136" s="1056"/>
      <c r="ZK136" s="1056"/>
      <c r="ZL136" s="1056"/>
      <c r="ZM136" s="1056"/>
      <c r="ZN136" s="1056"/>
      <c r="ZO136" s="1056"/>
      <c r="ZP136" s="1056"/>
      <c r="ZQ136" s="1056"/>
      <c r="ZR136" s="1056"/>
      <c r="ZS136" s="1056"/>
      <c r="ZT136" s="1056"/>
      <c r="ZU136" s="1056"/>
      <c r="ZV136" s="1056"/>
      <c r="ZW136" s="1056"/>
      <c r="ZX136" s="1056"/>
      <c r="ZY136" s="1056"/>
      <c r="ZZ136" s="1056"/>
      <c r="AAA136" s="1056"/>
      <c r="AAB136" s="1056"/>
      <c r="AAC136" s="1056"/>
      <c r="AAD136" s="1056"/>
      <c r="AAE136" s="1056"/>
      <c r="AAF136" s="1056"/>
      <c r="AAG136" s="1056"/>
      <c r="AAH136" s="1056"/>
      <c r="AAI136" s="1056"/>
      <c r="AAJ136" s="1056"/>
      <c r="AAK136" s="1056"/>
      <c r="AAL136" s="1056"/>
      <c r="AAM136" s="1056"/>
      <c r="AAN136" s="1056"/>
      <c r="AAO136" s="1056"/>
      <c r="AAP136" s="1056"/>
      <c r="AAQ136" s="1056"/>
      <c r="AAR136" s="1056"/>
      <c r="AAS136" s="1056"/>
      <c r="AAT136" s="1056"/>
      <c r="AAU136" s="1056"/>
      <c r="AAV136" s="1056"/>
      <c r="AAW136" s="1056"/>
      <c r="AAX136" s="1056"/>
      <c r="AAY136" s="1056"/>
      <c r="AAZ136" s="1056"/>
      <c r="ABA136" s="1056"/>
      <c r="ABB136" s="1056"/>
      <c r="ABC136" s="1056"/>
      <c r="ABD136" s="1056"/>
      <c r="ABE136" s="1056"/>
      <c r="ABF136" s="1056"/>
      <c r="ABG136" s="1056"/>
      <c r="ABH136" s="1056"/>
      <c r="ABI136" s="1056"/>
      <c r="ABJ136" s="1056"/>
      <c r="ABK136" s="1056"/>
      <c r="ABL136" s="1056"/>
      <c r="ABM136" s="1056"/>
      <c r="ABN136" s="1056"/>
      <c r="ABO136" s="1056"/>
      <c r="ABP136" s="1056"/>
      <c r="ABQ136" s="1056"/>
      <c r="ABR136" s="1056"/>
      <c r="ABS136" s="1056"/>
      <c r="ABT136" s="1056"/>
      <c r="ABU136" s="1056"/>
      <c r="ABV136" s="1056"/>
      <c r="ABW136" s="1056"/>
      <c r="ABX136" s="1056"/>
      <c r="ABY136" s="1056"/>
      <c r="ABZ136" s="1056"/>
      <c r="ACA136" s="1056"/>
      <c r="ACB136" s="1056"/>
      <c r="ACC136" s="1056"/>
      <c r="ACD136" s="1056"/>
      <c r="ACE136" s="1056"/>
      <c r="ACF136" s="1056"/>
      <c r="ACG136" s="1056"/>
      <c r="ACH136" s="1056"/>
      <c r="ACI136" s="1056"/>
      <c r="ACJ136" s="1056"/>
      <c r="ACK136" s="1056"/>
      <c r="ACL136" s="1056"/>
      <c r="ACM136" s="1056"/>
      <c r="ACN136" s="1056"/>
      <c r="ACO136" s="1056"/>
      <c r="ACP136" s="1056"/>
      <c r="ACQ136" s="1056"/>
      <c r="ACR136" s="1056"/>
      <c r="ACS136" s="1056"/>
      <c r="ACT136" s="1056"/>
      <c r="ACU136" s="1056"/>
      <c r="ACV136" s="1056"/>
      <c r="ACW136" s="1056"/>
      <c r="ACX136" s="1056"/>
      <c r="ACY136" s="1056"/>
      <c r="ACZ136" s="1056"/>
      <c r="ADA136" s="1056"/>
      <c r="ADB136" s="1056"/>
      <c r="ADC136" s="1056"/>
      <c r="ADD136" s="1056"/>
      <c r="ADE136" s="1056"/>
      <c r="ADF136" s="1056"/>
      <c r="ADG136" s="1056"/>
      <c r="ADH136" s="1056"/>
      <c r="ADI136" s="1056"/>
      <c r="ADJ136" s="1056"/>
      <c r="ADK136" s="1056"/>
      <c r="ADL136" s="1056"/>
      <c r="ADM136" s="1056"/>
      <c r="ADN136" s="1056"/>
      <c r="ADO136" s="1056"/>
      <c r="ADP136" s="1056"/>
      <c r="ADQ136" s="1056"/>
      <c r="ADR136" s="1056"/>
      <c r="ADS136" s="1056"/>
      <c r="ADT136" s="1056"/>
      <c r="ADU136" s="1056"/>
      <c r="ADV136" s="1056"/>
      <c r="ADW136" s="1056"/>
      <c r="ADX136" s="1056"/>
      <c r="ADY136" s="1056"/>
      <c r="ADZ136" s="1056"/>
      <c r="AEA136" s="1056"/>
      <c r="AEB136" s="1056"/>
      <c r="AEC136" s="1056"/>
      <c r="AED136" s="1056"/>
      <c r="AEE136" s="1056"/>
      <c r="AEF136" s="1056"/>
      <c r="AEG136" s="1056"/>
      <c r="AEH136" s="1056"/>
      <c r="AEI136" s="1056"/>
      <c r="AEJ136" s="1056"/>
      <c r="AEK136" s="1056"/>
      <c r="AEL136" s="1056"/>
      <c r="AEM136" s="1056"/>
      <c r="AEN136" s="1056"/>
      <c r="AEO136" s="1056"/>
      <c r="AEP136" s="1056"/>
      <c r="AEQ136" s="1056"/>
      <c r="AER136" s="1056"/>
      <c r="AES136" s="1056"/>
      <c r="AET136" s="1056"/>
      <c r="AEU136" s="1056"/>
      <c r="AEV136" s="1056"/>
      <c r="AEW136" s="1056"/>
      <c r="AEX136" s="1056"/>
      <c r="AEY136" s="1056"/>
      <c r="AEZ136" s="1056"/>
      <c r="AFA136" s="1056"/>
      <c r="AFB136" s="1056"/>
      <c r="AFC136" s="1056"/>
      <c r="AFD136" s="1056"/>
      <c r="AFE136" s="1056"/>
      <c r="AFF136" s="1056"/>
      <c r="AFG136" s="1056"/>
      <c r="AFH136" s="1056"/>
      <c r="AFI136" s="1056"/>
      <c r="AFJ136" s="1056"/>
      <c r="AFK136" s="1056"/>
      <c r="AFL136" s="1056"/>
      <c r="AFM136" s="1056"/>
      <c r="AFN136" s="1056"/>
      <c r="AFO136" s="1056"/>
      <c r="AFP136" s="1056"/>
      <c r="AFQ136" s="1056"/>
      <c r="AFR136" s="1056"/>
      <c r="AFS136" s="1056"/>
      <c r="AFT136" s="1056"/>
      <c r="AFU136" s="1056"/>
      <c r="AFV136" s="1056"/>
      <c r="AFW136" s="1056"/>
      <c r="AFX136" s="1056"/>
      <c r="AFY136" s="1056"/>
      <c r="AFZ136" s="1056"/>
      <c r="AGA136" s="1056"/>
      <c r="AGB136" s="1056"/>
      <c r="AGC136" s="1056"/>
      <c r="AGD136" s="1056"/>
      <c r="AGE136" s="1056"/>
      <c r="AGF136" s="1056"/>
      <c r="AGG136" s="1056"/>
      <c r="AGH136" s="1056"/>
      <c r="AGI136" s="1056"/>
      <c r="AGJ136" s="1056"/>
      <c r="AGK136" s="1056"/>
      <c r="AGL136" s="1056"/>
      <c r="AGM136" s="1056"/>
      <c r="AGN136" s="1056"/>
      <c r="AGO136" s="1056"/>
      <c r="AGP136" s="1056"/>
      <c r="AGQ136" s="1056"/>
      <c r="AGR136" s="1056"/>
      <c r="AGS136" s="1056"/>
      <c r="AGT136" s="1056"/>
      <c r="AGU136" s="1056"/>
      <c r="AGV136" s="1056"/>
      <c r="AGW136" s="1056"/>
      <c r="AGX136" s="1056"/>
      <c r="AGY136" s="1056"/>
      <c r="AGZ136" s="1056"/>
      <c r="AHA136" s="1056"/>
      <c r="AHB136" s="1056"/>
      <c r="AHC136" s="1056"/>
      <c r="AHD136" s="1056"/>
      <c r="AHE136" s="1056"/>
      <c r="AHF136" s="1056"/>
      <c r="AHG136" s="1056"/>
      <c r="AHH136" s="1056"/>
      <c r="AHI136" s="1056"/>
      <c r="AHJ136" s="1056"/>
      <c r="AHK136" s="1056"/>
      <c r="AHL136" s="1056"/>
      <c r="AHM136" s="1056"/>
      <c r="AHN136" s="1056"/>
      <c r="AHO136" s="1056"/>
      <c r="AHP136" s="1056"/>
      <c r="AHQ136" s="1056"/>
      <c r="AHR136" s="1056"/>
      <c r="AHS136" s="1056"/>
      <c r="AHT136" s="1056"/>
      <c r="AHU136" s="1056"/>
      <c r="AHV136" s="1056"/>
      <c r="AHW136" s="1056"/>
      <c r="AHX136" s="1056"/>
      <c r="AHY136" s="1056"/>
      <c r="AHZ136" s="1056"/>
      <c r="AIA136" s="1056"/>
      <c r="AIB136" s="1056"/>
      <c r="AIC136" s="1056"/>
      <c r="AID136" s="1056"/>
      <c r="AIE136" s="1056"/>
      <c r="AIF136" s="1056"/>
      <c r="AIG136" s="1056"/>
      <c r="AIH136" s="1056"/>
      <c r="AII136" s="1056"/>
      <c r="AIJ136" s="1056"/>
      <c r="AIK136" s="1056"/>
      <c r="AIL136" s="1056"/>
      <c r="AIM136" s="1056"/>
      <c r="AIN136" s="1056"/>
      <c r="AIO136" s="1056"/>
      <c r="AIP136" s="1056"/>
      <c r="AIQ136" s="1056"/>
      <c r="AIR136" s="1056"/>
      <c r="AIS136" s="1056"/>
      <c r="AIT136" s="1056"/>
      <c r="AIU136" s="1056"/>
      <c r="AIV136" s="1056"/>
      <c r="AIW136" s="1056"/>
      <c r="AIX136" s="1056"/>
      <c r="AIY136" s="1056"/>
      <c r="AIZ136" s="1056"/>
      <c r="AJA136" s="1056"/>
      <c r="AJB136" s="1056"/>
      <c r="AJC136" s="1056"/>
      <c r="AJD136" s="1056"/>
      <c r="AJE136" s="1056"/>
      <c r="AJF136" s="1056"/>
      <c r="AJG136" s="1056"/>
      <c r="AJH136" s="1056"/>
      <c r="AJI136" s="1056"/>
      <c r="AJJ136" s="1056"/>
      <c r="AJK136" s="1056"/>
      <c r="AJL136" s="1056"/>
      <c r="AJM136" s="1056"/>
      <c r="AJN136" s="1056"/>
      <c r="AJO136" s="1056"/>
      <c r="AJP136" s="1056"/>
      <c r="AJQ136" s="1056"/>
      <c r="AJR136" s="1056"/>
      <c r="AJS136" s="1056"/>
      <c r="AJT136" s="1056"/>
      <c r="AJU136" s="1056"/>
      <c r="AJV136" s="1056"/>
      <c r="AJW136" s="1056"/>
      <c r="AJX136" s="1056"/>
      <c r="AJY136" s="1056"/>
      <c r="AJZ136" s="1056"/>
      <c r="AKA136" s="1056"/>
      <c r="AKB136" s="1056"/>
      <c r="AKC136" s="1056"/>
      <c r="AKD136" s="1056"/>
      <c r="AKE136" s="1056"/>
      <c r="AKF136" s="1056"/>
      <c r="AKG136" s="1056"/>
      <c r="AKH136" s="1056"/>
      <c r="AKI136" s="1056"/>
      <c r="AKJ136" s="1056"/>
      <c r="AKK136" s="1056"/>
      <c r="AKL136" s="1056"/>
      <c r="AKM136" s="1056"/>
      <c r="AKN136" s="1056"/>
      <c r="AKO136" s="1056"/>
      <c r="AKP136" s="1056"/>
      <c r="AKQ136" s="1056"/>
      <c r="AKR136" s="1056"/>
      <c r="AKS136" s="1056"/>
      <c r="AKT136" s="1056"/>
      <c r="AKU136" s="1056"/>
      <c r="AKV136" s="1056"/>
      <c r="AKW136" s="1056"/>
      <c r="AKX136" s="1056"/>
      <c r="AKY136" s="1056"/>
      <c r="AKZ136" s="1056"/>
      <c r="ALA136" s="1056"/>
      <c r="ALB136" s="1056"/>
      <c r="ALC136" s="1056"/>
      <c r="ALD136" s="1056"/>
      <c r="ALE136" s="1056"/>
      <c r="ALF136" s="1056"/>
      <c r="ALG136" s="1056"/>
      <c r="ALH136" s="1056"/>
      <c r="ALI136" s="1056"/>
      <c r="ALJ136" s="1056"/>
      <c r="ALK136" s="1056"/>
      <c r="ALL136" s="1056"/>
      <c r="ALM136" s="1056"/>
      <c r="ALN136" s="1056"/>
      <c r="ALO136" s="1056"/>
      <c r="ALP136" s="1056"/>
      <c r="ALQ136" s="1056"/>
      <c r="ALR136" s="1056"/>
      <c r="ALS136" s="1056"/>
      <c r="ALT136" s="1056"/>
      <c r="ALU136" s="1056"/>
      <c r="ALV136" s="1056"/>
      <c r="ALW136" s="1056"/>
      <c r="ALX136" s="1056"/>
      <c r="ALY136" s="1056"/>
      <c r="ALZ136" s="1056"/>
      <c r="AMA136" s="1056"/>
      <c r="AMB136" s="1056"/>
      <c r="AMC136" s="1056"/>
      <c r="AMD136" s="1056"/>
      <c r="AME136" s="1056"/>
      <c r="AMF136" s="1056"/>
      <c r="AMG136" s="1056"/>
      <c r="AMH136" s="1056"/>
      <c r="AMI136" s="1056"/>
      <c r="AMJ136" s="1056"/>
      <c r="AMK136" s="1056"/>
      <c r="AML136" s="1056"/>
      <c r="AMM136" s="1056"/>
      <c r="AMN136" s="1056"/>
      <c r="AMO136" s="1056"/>
      <c r="AMP136" s="1056"/>
      <c r="AMQ136" s="1056"/>
      <c r="AMR136" s="1056"/>
      <c r="AMS136" s="1056"/>
      <c r="AMT136" s="1056"/>
      <c r="AMU136" s="1056"/>
      <c r="AMV136" s="1056"/>
      <c r="AMW136" s="1056"/>
      <c r="AMX136" s="1056"/>
      <c r="AMY136" s="1056"/>
      <c r="AMZ136" s="1056"/>
      <c r="ANA136" s="1056"/>
      <c r="ANB136" s="1056"/>
      <c r="ANC136" s="1056"/>
      <c r="AND136" s="1056"/>
      <c r="ANE136" s="1056"/>
      <c r="ANF136" s="1056"/>
      <c r="ANG136" s="1056"/>
      <c r="ANH136" s="1056"/>
      <c r="ANI136" s="1056"/>
      <c r="ANJ136" s="1056"/>
      <c r="ANK136" s="1056"/>
      <c r="ANL136" s="1056"/>
      <c r="ANM136" s="1056"/>
      <c r="ANN136" s="1056"/>
      <c r="ANO136" s="1056"/>
      <c r="ANP136" s="1056"/>
      <c r="ANQ136" s="1056"/>
      <c r="ANR136" s="1056"/>
      <c r="ANS136" s="1056"/>
      <c r="ANT136" s="1056"/>
      <c r="ANU136" s="1056"/>
      <c r="ANV136" s="1056"/>
      <c r="ANW136" s="1056"/>
      <c r="ANX136" s="1056"/>
      <c r="ANY136" s="1056"/>
      <c r="ANZ136" s="1056"/>
      <c r="AOA136" s="1056"/>
      <c r="AOB136" s="1056"/>
      <c r="AOC136" s="1056"/>
      <c r="AOD136" s="1056"/>
      <c r="AOE136" s="1056"/>
      <c r="AOF136" s="1056"/>
      <c r="AOG136" s="1056"/>
      <c r="AOH136" s="1056"/>
      <c r="AOI136" s="1056"/>
      <c r="AOJ136" s="1056"/>
      <c r="AOK136" s="1056"/>
      <c r="AOL136" s="1056"/>
      <c r="AOM136" s="1056"/>
      <c r="AON136" s="1056"/>
      <c r="AOO136" s="1056"/>
      <c r="AOP136" s="1056"/>
      <c r="AOQ136" s="1056"/>
      <c r="AOR136" s="1056"/>
      <c r="AOS136" s="1056"/>
      <c r="AOT136" s="1056"/>
      <c r="AOU136" s="1056"/>
      <c r="AOV136" s="1056"/>
      <c r="AOW136" s="1056"/>
      <c r="AOX136" s="1056"/>
      <c r="AOY136" s="1056"/>
      <c r="AOZ136" s="1056"/>
      <c r="APA136" s="1056"/>
      <c r="APB136" s="1056"/>
      <c r="APC136" s="1056"/>
      <c r="APD136" s="1056"/>
      <c r="APE136" s="1056"/>
      <c r="APF136" s="1056"/>
      <c r="APG136" s="1056"/>
      <c r="APH136" s="1056"/>
      <c r="API136" s="1056"/>
      <c r="APJ136" s="1056"/>
      <c r="APK136" s="1056"/>
      <c r="APL136" s="1056"/>
      <c r="APM136" s="1056"/>
      <c r="APN136" s="1056"/>
      <c r="APO136" s="1056"/>
      <c r="APP136" s="1056"/>
      <c r="APQ136" s="1056"/>
      <c r="APR136" s="1056"/>
      <c r="APS136" s="1056"/>
      <c r="APT136" s="1056"/>
      <c r="APU136" s="1056"/>
      <c r="APV136" s="1056"/>
      <c r="APW136" s="1056"/>
      <c r="APX136" s="1056"/>
      <c r="APY136" s="1056"/>
      <c r="APZ136" s="1056"/>
      <c r="AQA136" s="1056"/>
      <c r="AQB136" s="1056"/>
      <c r="AQC136" s="1056"/>
      <c r="AQD136" s="1056"/>
      <c r="AQE136" s="1056"/>
      <c r="AQF136" s="1056"/>
      <c r="AQG136" s="1056"/>
      <c r="AQH136" s="1056"/>
      <c r="AQI136" s="1056"/>
      <c r="AQJ136" s="1056"/>
      <c r="AQK136" s="1056"/>
      <c r="AQL136" s="1056"/>
      <c r="AQM136" s="1056"/>
      <c r="AQN136" s="1056"/>
      <c r="AQO136" s="1056"/>
      <c r="AQP136" s="1056"/>
      <c r="AQQ136" s="1056"/>
      <c r="AQR136" s="1056"/>
      <c r="AQS136" s="1056"/>
      <c r="AQT136" s="1056"/>
      <c r="AQU136" s="1056"/>
      <c r="AQV136" s="1056"/>
      <c r="AQW136" s="1056"/>
      <c r="AQX136" s="1056"/>
      <c r="AQY136" s="1056"/>
      <c r="AQZ136" s="1056"/>
      <c r="ARA136" s="1056"/>
      <c r="ARB136" s="1056"/>
      <c r="ARC136" s="1056"/>
      <c r="ARD136" s="1056"/>
      <c r="ARE136" s="1056"/>
      <c r="ARF136" s="1056"/>
      <c r="ARG136" s="1056"/>
      <c r="ARH136" s="1056"/>
      <c r="ARI136" s="1056"/>
      <c r="ARJ136" s="1056"/>
      <c r="ARK136" s="1056"/>
      <c r="ARL136" s="1056"/>
      <c r="ARM136" s="1056"/>
      <c r="ARN136" s="1056"/>
      <c r="ARO136" s="1056"/>
      <c r="ARP136" s="1056"/>
      <c r="ARQ136" s="1056"/>
      <c r="ARR136" s="1056"/>
      <c r="ARS136" s="1056"/>
      <c r="ART136" s="1056"/>
      <c r="ARU136" s="1056"/>
      <c r="ARV136" s="1056"/>
      <c r="ARW136" s="1056"/>
      <c r="ARX136" s="1056"/>
      <c r="ARY136" s="1056"/>
      <c r="ARZ136" s="1056"/>
      <c r="ASA136" s="1056"/>
      <c r="ASB136" s="1056"/>
      <c r="ASC136" s="1056"/>
      <c r="ASD136" s="1056"/>
      <c r="ASE136" s="1056"/>
      <c r="ASF136" s="1056"/>
      <c r="ASG136" s="1056"/>
      <c r="ASH136" s="1056"/>
      <c r="ASI136" s="1056"/>
      <c r="ASJ136" s="1056"/>
      <c r="ASK136" s="1056"/>
      <c r="ASL136" s="1056"/>
      <c r="ASM136" s="1056"/>
      <c r="ASN136" s="1056"/>
      <c r="ASO136" s="1056"/>
      <c r="ASP136" s="1056"/>
      <c r="ASQ136" s="1056"/>
      <c r="ASR136" s="1056"/>
      <c r="ASS136" s="1056"/>
      <c r="AST136" s="1056"/>
      <c r="ASU136" s="1056"/>
      <c r="ASV136" s="1056"/>
      <c r="ASW136" s="1056"/>
      <c r="ASX136" s="1056"/>
      <c r="ASY136" s="1056"/>
      <c r="ASZ136" s="1056"/>
      <c r="ATA136" s="1056"/>
      <c r="ATB136" s="1056"/>
      <c r="ATC136" s="1056"/>
      <c r="ATD136" s="1056"/>
      <c r="ATE136" s="1056"/>
      <c r="ATF136" s="1056"/>
      <c r="ATG136" s="1056"/>
      <c r="ATH136" s="1056"/>
      <c r="ATI136" s="1056"/>
      <c r="ATJ136" s="1056"/>
      <c r="ATK136" s="1056"/>
      <c r="ATL136" s="1056"/>
      <c r="ATM136" s="1056"/>
      <c r="ATN136" s="1056"/>
      <c r="ATO136" s="1056"/>
      <c r="ATP136" s="1056"/>
      <c r="ATQ136" s="1056"/>
      <c r="ATR136" s="1056"/>
      <c r="ATS136" s="1056"/>
      <c r="ATT136" s="1056"/>
      <c r="ATU136" s="1056"/>
      <c r="ATV136" s="1056"/>
      <c r="ATW136" s="1056"/>
      <c r="ATX136" s="1056"/>
      <c r="ATY136" s="1056"/>
      <c r="ATZ136" s="1056"/>
      <c r="AUA136" s="1056"/>
      <c r="AUB136" s="1056"/>
      <c r="AUC136" s="1056"/>
      <c r="AUD136" s="1056"/>
      <c r="AUE136" s="1056"/>
      <c r="AUF136" s="1056"/>
      <c r="AUG136" s="1056"/>
      <c r="AUH136" s="1056"/>
      <c r="AUI136" s="1056"/>
      <c r="AUJ136" s="1056"/>
      <c r="AUK136" s="1056"/>
      <c r="AUL136" s="1056"/>
      <c r="AUM136" s="1056"/>
      <c r="AUN136" s="1056"/>
      <c r="AUO136" s="1056"/>
      <c r="AUP136" s="1056"/>
      <c r="AUQ136" s="1056"/>
      <c r="AUR136" s="1056"/>
      <c r="AUS136" s="1056"/>
      <c r="AUT136" s="1056"/>
      <c r="AUU136" s="1056"/>
      <c r="AUV136" s="1056"/>
      <c r="AUW136" s="1056"/>
      <c r="AUX136" s="1056"/>
      <c r="AUY136" s="1056"/>
      <c r="AUZ136" s="1056"/>
      <c r="AVA136" s="1056"/>
      <c r="AVB136" s="1056"/>
      <c r="AVC136" s="1056"/>
      <c r="AVD136" s="1056"/>
      <c r="AVE136" s="1056"/>
      <c r="AVF136" s="1056"/>
      <c r="AVG136" s="1056"/>
      <c r="AVH136" s="1056"/>
      <c r="AVI136" s="1056"/>
      <c r="AVJ136" s="1056"/>
      <c r="AVK136" s="1056"/>
      <c r="AVL136" s="1056"/>
      <c r="AVM136" s="1056"/>
      <c r="AVN136" s="1056"/>
      <c r="AVO136" s="1056"/>
      <c r="AVP136" s="1056"/>
      <c r="AVQ136" s="1056"/>
      <c r="AVR136" s="1056"/>
      <c r="AVS136" s="1056"/>
      <c r="AVT136" s="1056"/>
      <c r="AVU136" s="1056"/>
      <c r="AVV136" s="1056"/>
      <c r="AVW136" s="1056"/>
      <c r="AVX136" s="1056"/>
      <c r="AVY136" s="1056"/>
      <c r="AVZ136" s="1056"/>
      <c r="AWA136" s="1056"/>
      <c r="AWB136" s="1056"/>
      <c r="AWC136" s="1056"/>
      <c r="AWD136" s="1056"/>
      <c r="AWE136" s="1056"/>
      <c r="AWF136" s="1056"/>
      <c r="AWG136" s="1056"/>
      <c r="AWH136" s="1056"/>
      <c r="AWI136" s="1056"/>
      <c r="AWJ136" s="1056"/>
      <c r="AWK136" s="1056"/>
      <c r="AWL136" s="1056"/>
      <c r="AWM136" s="1056"/>
      <c r="AWN136" s="1056"/>
      <c r="AWO136" s="1056"/>
      <c r="AWP136" s="1056"/>
      <c r="AWQ136" s="1056"/>
      <c r="AWR136" s="1056"/>
      <c r="AWS136" s="1056"/>
      <c r="AWT136" s="1056"/>
      <c r="AWU136" s="1056"/>
      <c r="AWV136" s="1056"/>
      <c r="AWW136" s="1056"/>
      <c r="AWX136" s="1056"/>
      <c r="AWY136" s="1056"/>
      <c r="AWZ136" s="1056"/>
      <c r="AXA136" s="1056"/>
      <c r="AXB136" s="1056"/>
      <c r="AXC136" s="1056"/>
      <c r="AXD136" s="1056"/>
      <c r="AXE136" s="1056"/>
      <c r="AXF136" s="1056"/>
      <c r="AXG136" s="1056"/>
      <c r="AXH136" s="1056"/>
      <c r="AXI136" s="1056"/>
      <c r="AXJ136" s="1056"/>
      <c r="AXK136" s="1056"/>
      <c r="AXL136" s="1056"/>
      <c r="AXM136" s="1056"/>
      <c r="AXN136" s="1056"/>
      <c r="AXO136" s="1056"/>
      <c r="AXP136" s="1056"/>
      <c r="AXQ136" s="1056"/>
      <c r="AXR136" s="1056"/>
      <c r="AXS136" s="1056"/>
      <c r="AXT136" s="1056"/>
      <c r="AXU136" s="1056"/>
      <c r="AXV136" s="1056"/>
      <c r="AXW136" s="1056"/>
      <c r="AXX136" s="1056"/>
      <c r="AXY136" s="1056"/>
      <c r="AXZ136" s="1056"/>
      <c r="AYA136" s="1056"/>
      <c r="AYB136" s="1056"/>
      <c r="AYC136" s="1056"/>
      <c r="AYD136" s="1056"/>
      <c r="AYE136" s="1056"/>
      <c r="AYF136" s="1056"/>
      <c r="AYG136" s="1056"/>
      <c r="AYH136" s="1056"/>
      <c r="AYI136" s="1056"/>
      <c r="AYJ136" s="1056"/>
      <c r="AYK136" s="1056"/>
      <c r="AYL136" s="1056"/>
      <c r="AYM136" s="1056"/>
      <c r="AYN136" s="1056"/>
      <c r="AYO136" s="1056"/>
      <c r="AYP136" s="1056"/>
      <c r="AYQ136" s="1056"/>
      <c r="AYR136" s="1056"/>
      <c r="AYS136" s="1056"/>
      <c r="AYT136" s="1056"/>
      <c r="AYU136" s="1056"/>
      <c r="AYV136" s="1056"/>
      <c r="AYW136" s="1056"/>
      <c r="AYX136" s="1056"/>
      <c r="AYY136" s="1056"/>
      <c r="AYZ136" s="1056"/>
      <c r="AZA136" s="1056"/>
      <c r="AZB136" s="1056"/>
      <c r="AZC136" s="1056"/>
      <c r="AZD136" s="1056"/>
      <c r="AZE136" s="1056"/>
      <c r="AZF136" s="1056"/>
      <c r="AZG136" s="1056"/>
      <c r="AZH136" s="1056"/>
      <c r="AZI136" s="1056"/>
      <c r="AZJ136" s="1056"/>
      <c r="AZK136" s="1056"/>
      <c r="AZL136" s="1056"/>
      <c r="AZM136" s="1056"/>
      <c r="AZN136" s="1056"/>
      <c r="AZO136" s="1056"/>
      <c r="AZP136" s="1056"/>
      <c r="AZQ136" s="1056"/>
      <c r="AZR136" s="1056"/>
      <c r="AZS136" s="1056"/>
      <c r="AZT136" s="1056"/>
      <c r="AZU136" s="1056"/>
      <c r="AZV136" s="1056"/>
      <c r="AZW136" s="1056"/>
      <c r="AZX136" s="1056"/>
      <c r="AZY136" s="1056"/>
      <c r="AZZ136" s="1056"/>
      <c r="BAA136" s="1056"/>
      <c r="BAB136" s="1056"/>
      <c r="BAC136" s="1056"/>
      <c r="BAD136" s="1056"/>
      <c r="BAE136" s="1056"/>
      <c r="BAF136" s="1056"/>
      <c r="BAG136" s="1056"/>
      <c r="BAH136" s="1056"/>
      <c r="BAI136" s="1056"/>
      <c r="BAJ136" s="1056"/>
      <c r="BAK136" s="1056"/>
      <c r="BAL136" s="1056"/>
      <c r="BAM136" s="1056"/>
      <c r="BAN136" s="1056"/>
      <c r="BAO136" s="1056"/>
      <c r="BAP136" s="1056"/>
      <c r="BAQ136" s="1056"/>
      <c r="BAR136" s="1056"/>
      <c r="BAS136" s="1056"/>
      <c r="BAT136" s="1056"/>
      <c r="BAU136" s="1056"/>
      <c r="BAV136" s="1056"/>
      <c r="BAW136" s="1056"/>
      <c r="BAX136" s="1056"/>
      <c r="BAY136" s="1056"/>
      <c r="BAZ136" s="1056"/>
      <c r="BBA136" s="1056"/>
      <c r="BBB136" s="1056"/>
      <c r="BBC136" s="1056"/>
      <c r="BBD136" s="1056"/>
      <c r="BBE136" s="1056"/>
      <c r="BBF136" s="1056"/>
      <c r="BBG136" s="1056"/>
      <c r="BBH136" s="1056"/>
      <c r="BBI136" s="1056"/>
      <c r="BBJ136" s="1056"/>
      <c r="BBK136" s="1056"/>
      <c r="BBL136" s="1056"/>
      <c r="BBM136" s="1056"/>
      <c r="BBN136" s="1056"/>
      <c r="BBO136" s="1056"/>
      <c r="BBP136" s="1056"/>
      <c r="BBQ136" s="1056"/>
      <c r="BBR136" s="1056"/>
      <c r="BBS136" s="1056"/>
      <c r="BBT136" s="1056"/>
      <c r="BBU136" s="1056"/>
      <c r="BBV136" s="1056"/>
      <c r="BBW136" s="1056"/>
      <c r="BBX136" s="1056"/>
      <c r="BBY136" s="1056"/>
      <c r="BBZ136" s="1056"/>
      <c r="BCA136" s="1056"/>
      <c r="BCB136" s="1056"/>
      <c r="BCC136" s="1056"/>
      <c r="BCD136" s="1056"/>
      <c r="BCE136" s="1056"/>
      <c r="BCF136" s="1056"/>
      <c r="BCG136" s="1056"/>
      <c r="BCH136" s="1056"/>
      <c r="BCI136" s="1056"/>
      <c r="BCJ136" s="1056"/>
      <c r="BCK136" s="1056"/>
      <c r="BCL136" s="1056"/>
      <c r="BCM136" s="1056"/>
      <c r="BCN136" s="1056"/>
      <c r="BCO136" s="1056"/>
      <c r="BCP136" s="1056"/>
      <c r="BCQ136" s="1056"/>
      <c r="BCR136" s="1056"/>
      <c r="BCS136" s="1056"/>
      <c r="BCT136" s="1056"/>
      <c r="BCU136" s="1056"/>
      <c r="BCV136" s="1056"/>
      <c r="BCW136" s="1056"/>
      <c r="BCX136" s="1056"/>
      <c r="BCY136" s="1056"/>
      <c r="BCZ136" s="1056"/>
      <c r="BDA136" s="1056"/>
      <c r="BDB136" s="1056"/>
      <c r="BDC136" s="1056"/>
      <c r="BDD136" s="1056"/>
      <c r="BDE136" s="1056"/>
      <c r="BDF136" s="1056"/>
      <c r="BDG136" s="1056"/>
      <c r="BDH136" s="1056"/>
      <c r="BDI136" s="1056"/>
      <c r="BDJ136" s="1056"/>
      <c r="BDK136" s="1056"/>
      <c r="BDL136" s="1056"/>
      <c r="BDM136" s="1056"/>
      <c r="BDN136" s="1056"/>
      <c r="BDO136" s="1056"/>
      <c r="BDP136" s="1056"/>
      <c r="BDQ136" s="1056"/>
      <c r="BDR136" s="1056"/>
      <c r="BDS136" s="1056"/>
      <c r="BDT136" s="1056"/>
      <c r="BDU136" s="1056"/>
      <c r="BDV136" s="1056"/>
      <c r="BDW136" s="1056"/>
      <c r="BDX136" s="1056"/>
      <c r="BDY136" s="1056"/>
      <c r="BDZ136" s="1056"/>
      <c r="BEA136" s="1056"/>
      <c r="BEB136" s="1056"/>
      <c r="BEC136" s="1056"/>
      <c r="BED136" s="1056"/>
      <c r="BEE136" s="1056"/>
      <c r="BEF136" s="1056"/>
      <c r="BEG136" s="1056"/>
      <c r="BEH136" s="1056"/>
      <c r="BEI136" s="1056"/>
      <c r="BEJ136" s="1056"/>
      <c r="BEK136" s="1056"/>
      <c r="BEL136" s="1056"/>
      <c r="BEM136" s="1056"/>
      <c r="BEN136" s="1056"/>
      <c r="BEO136" s="1056"/>
      <c r="BEP136" s="1056"/>
      <c r="BEQ136" s="1056"/>
      <c r="BER136" s="1056"/>
      <c r="BES136" s="1056"/>
      <c r="BET136" s="1056"/>
      <c r="BEU136" s="1056"/>
      <c r="BEV136" s="1056"/>
      <c r="BEW136" s="1056"/>
      <c r="BEX136" s="1056"/>
      <c r="BEY136" s="1056"/>
      <c r="BEZ136" s="1056"/>
      <c r="BFA136" s="1056"/>
      <c r="BFB136" s="1056"/>
      <c r="BFC136" s="1056"/>
      <c r="BFD136" s="1056"/>
      <c r="BFE136" s="1056"/>
      <c r="BFF136" s="1056"/>
      <c r="BFG136" s="1056"/>
      <c r="BFH136" s="1056"/>
      <c r="BFI136" s="1056"/>
      <c r="BFJ136" s="1056"/>
      <c r="BFK136" s="1056"/>
      <c r="BFL136" s="1056"/>
      <c r="BFM136" s="1056"/>
      <c r="BFN136" s="1056"/>
      <c r="BFO136" s="1056"/>
      <c r="BFP136" s="1056"/>
      <c r="BFQ136" s="1056"/>
      <c r="BFR136" s="1056"/>
      <c r="BFS136" s="1056"/>
      <c r="BFT136" s="1056"/>
      <c r="BFU136" s="1056"/>
      <c r="BFV136" s="1056"/>
      <c r="BFW136" s="1056"/>
      <c r="BFX136" s="1056"/>
      <c r="BFY136" s="1056"/>
      <c r="BFZ136" s="1056"/>
      <c r="BGA136" s="1056"/>
      <c r="BGB136" s="1056"/>
      <c r="BGC136" s="1056"/>
      <c r="BGD136" s="1056"/>
      <c r="BGE136" s="1056"/>
      <c r="BGF136" s="1056"/>
      <c r="BGG136" s="1056"/>
      <c r="BGH136" s="1056"/>
      <c r="BGI136" s="1056"/>
      <c r="BGJ136" s="1056"/>
      <c r="BGK136" s="1056"/>
      <c r="BGL136" s="1056"/>
      <c r="BGM136" s="1056"/>
      <c r="BGN136" s="1056"/>
      <c r="BGO136" s="1056"/>
      <c r="BGP136" s="1056"/>
      <c r="BGQ136" s="1056"/>
      <c r="BGR136" s="1056"/>
      <c r="BGS136" s="1056"/>
      <c r="BGT136" s="1056"/>
      <c r="BGU136" s="1056"/>
      <c r="BGV136" s="1056"/>
      <c r="BGW136" s="1056"/>
      <c r="BGX136" s="1056"/>
      <c r="BGY136" s="1056"/>
      <c r="BGZ136" s="1056"/>
      <c r="BHA136" s="1056"/>
      <c r="BHB136" s="1056"/>
      <c r="BHC136" s="1056"/>
      <c r="BHD136" s="1056"/>
      <c r="BHE136" s="1056"/>
      <c r="BHF136" s="1056"/>
      <c r="BHG136" s="1056"/>
      <c r="BHH136" s="1056"/>
      <c r="BHI136" s="1056"/>
      <c r="BHJ136" s="1056"/>
      <c r="BHK136" s="1056"/>
      <c r="BHL136" s="1056"/>
      <c r="BHM136" s="1056"/>
      <c r="BHN136" s="1056"/>
      <c r="BHO136" s="1056"/>
      <c r="BHP136" s="1056"/>
      <c r="BHQ136" s="1056"/>
      <c r="BHR136" s="1056"/>
      <c r="BHS136" s="1056"/>
      <c r="BHT136" s="1056"/>
      <c r="BHU136" s="1056"/>
      <c r="BHV136" s="1056"/>
      <c r="BHW136" s="1056"/>
      <c r="BHX136" s="1056"/>
      <c r="BHY136" s="1056"/>
      <c r="BHZ136" s="1056"/>
      <c r="BIA136" s="1056"/>
      <c r="BIB136" s="1056"/>
      <c r="BIC136" s="1056"/>
      <c r="BID136" s="1056"/>
      <c r="BIE136" s="1056"/>
      <c r="BIF136" s="1056"/>
      <c r="BIG136" s="1056"/>
      <c r="BIH136" s="1056"/>
      <c r="BII136" s="1056"/>
      <c r="BIJ136" s="1056"/>
      <c r="BIK136" s="1056"/>
      <c r="BIL136" s="1056"/>
      <c r="BIM136" s="1056"/>
      <c r="BIN136" s="1056"/>
      <c r="BIO136" s="1056"/>
      <c r="BIP136" s="1056"/>
      <c r="BIQ136" s="1056"/>
      <c r="BIR136" s="1056"/>
      <c r="BIS136" s="1056"/>
      <c r="BIT136" s="1056"/>
      <c r="BIU136" s="1056"/>
      <c r="BIV136" s="1056"/>
      <c r="BIW136" s="1056"/>
      <c r="BIX136" s="1056"/>
      <c r="BIY136" s="1056"/>
      <c r="BIZ136" s="1056"/>
      <c r="BJA136" s="1056"/>
      <c r="BJB136" s="1056"/>
      <c r="BJC136" s="1056"/>
      <c r="BJD136" s="1056"/>
      <c r="BJE136" s="1056"/>
      <c r="BJF136" s="1056"/>
      <c r="BJG136" s="1056"/>
      <c r="BJH136" s="1056"/>
      <c r="BJI136" s="1056"/>
      <c r="BJJ136" s="1056"/>
      <c r="BJK136" s="1056"/>
      <c r="BJL136" s="1056"/>
      <c r="BJM136" s="1056"/>
      <c r="BJN136" s="1056"/>
      <c r="BJO136" s="1056"/>
      <c r="BJP136" s="1056"/>
      <c r="BJQ136" s="1056"/>
      <c r="BJR136" s="1056"/>
      <c r="BJS136" s="1056"/>
      <c r="BJT136" s="1056"/>
      <c r="BJU136" s="1056"/>
      <c r="BJV136" s="1056"/>
      <c r="BJW136" s="1056"/>
      <c r="BJX136" s="1056"/>
      <c r="BJY136" s="1056"/>
      <c r="BJZ136" s="1056"/>
      <c r="BKA136" s="1056"/>
      <c r="BKB136" s="1056"/>
      <c r="BKC136" s="1056"/>
      <c r="BKD136" s="1056"/>
      <c r="BKE136" s="1056"/>
      <c r="BKF136" s="1056"/>
      <c r="BKG136" s="1056"/>
      <c r="BKH136" s="1056"/>
      <c r="BKI136" s="1056"/>
      <c r="BKJ136" s="1056"/>
      <c r="BKK136" s="1056"/>
      <c r="BKL136" s="1056"/>
      <c r="BKM136" s="1056"/>
      <c r="BKN136" s="1056"/>
      <c r="BKO136" s="1056"/>
      <c r="BKP136" s="1056"/>
      <c r="BKQ136" s="1056"/>
      <c r="BKR136" s="1056"/>
      <c r="BKS136" s="1056"/>
      <c r="BKT136" s="1056"/>
      <c r="BKU136" s="1056"/>
      <c r="BKV136" s="1056"/>
      <c r="BKW136" s="1056"/>
      <c r="BKX136" s="1056"/>
      <c r="BKY136" s="1056"/>
      <c r="BKZ136" s="1056"/>
      <c r="BLA136" s="1056"/>
      <c r="BLB136" s="1056"/>
      <c r="BLC136" s="1056"/>
      <c r="BLD136" s="1056"/>
      <c r="BLE136" s="1056"/>
      <c r="BLF136" s="1056"/>
      <c r="BLG136" s="1056"/>
      <c r="BLH136" s="1056"/>
      <c r="BLI136" s="1056"/>
      <c r="BLJ136" s="1056"/>
      <c r="BLK136" s="1056"/>
      <c r="BLL136" s="1056"/>
      <c r="BLM136" s="1056"/>
      <c r="BLN136" s="1056"/>
      <c r="BLO136" s="1056"/>
      <c r="BLP136" s="1056"/>
      <c r="BLQ136" s="1056"/>
      <c r="BLR136" s="1056"/>
      <c r="BLS136" s="1056"/>
      <c r="BLT136" s="1056"/>
      <c r="BLU136" s="1056"/>
      <c r="BLV136" s="1056"/>
      <c r="BLW136" s="1056"/>
      <c r="BLX136" s="1056"/>
      <c r="BLY136" s="1056"/>
      <c r="BLZ136" s="1056"/>
      <c r="BMA136" s="1056"/>
      <c r="BMB136" s="1056"/>
      <c r="BMC136" s="1056"/>
      <c r="BMD136" s="1056"/>
      <c r="BME136" s="1056"/>
      <c r="BMF136" s="1056"/>
      <c r="BMG136" s="1056"/>
      <c r="BMH136" s="1056"/>
      <c r="BMI136" s="1056"/>
      <c r="BMJ136" s="1056"/>
      <c r="BMK136" s="1056"/>
      <c r="BML136" s="1056"/>
      <c r="BMM136" s="1056"/>
      <c r="BMN136" s="1056"/>
      <c r="BMO136" s="1056"/>
      <c r="BMP136" s="1056"/>
      <c r="BMQ136" s="1056"/>
      <c r="BMR136" s="1056"/>
      <c r="BMS136" s="1056"/>
      <c r="BMT136" s="1056"/>
      <c r="BMU136" s="1056"/>
      <c r="BMV136" s="1056"/>
      <c r="BMW136" s="1056"/>
      <c r="BMX136" s="1056"/>
      <c r="BMY136" s="1056"/>
      <c r="BMZ136" s="1056"/>
      <c r="BNA136" s="1056"/>
      <c r="BNB136" s="1056"/>
      <c r="BNC136" s="1056"/>
      <c r="BND136" s="1056"/>
      <c r="BNE136" s="1056"/>
      <c r="BNF136" s="1056"/>
      <c r="BNG136" s="1056"/>
      <c r="BNH136" s="1056"/>
      <c r="BNI136" s="1056"/>
      <c r="BNJ136" s="1056"/>
      <c r="BNK136" s="1056"/>
      <c r="BNL136" s="1056"/>
      <c r="BNM136" s="1056"/>
      <c r="BNN136" s="1056"/>
      <c r="BNO136" s="1056"/>
      <c r="BNP136" s="1056"/>
      <c r="BNQ136" s="1056"/>
      <c r="BNR136" s="1056"/>
      <c r="BNS136" s="1056"/>
      <c r="BNT136" s="1056"/>
      <c r="BNU136" s="1056"/>
      <c r="BNV136" s="1056"/>
      <c r="BNW136" s="1056"/>
      <c r="BNX136" s="1056"/>
      <c r="BNY136" s="1056"/>
      <c r="BNZ136" s="1056"/>
      <c r="BOA136" s="1056"/>
      <c r="BOB136" s="1056"/>
      <c r="BOC136" s="1056"/>
      <c r="BOD136" s="1056"/>
      <c r="BOE136" s="1056"/>
      <c r="BOF136" s="1056"/>
      <c r="BOG136" s="1056"/>
      <c r="BOH136" s="1056"/>
      <c r="BOI136" s="1056"/>
      <c r="BOJ136" s="1056"/>
      <c r="BOK136" s="1056"/>
      <c r="BOL136" s="1056"/>
      <c r="BOM136" s="1056"/>
      <c r="BON136" s="1056"/>
      <c r="BOO136" s="1056"/>
      <c r="BOP136" s="1056"/>
      <c r="BOQ136" s="1056"/>
      <c r="BOR136" s="1056"/>
      <c r="BOS136" s="1056"/>
      <c r="BOT136" s="1056"/>
      <c r="BOU136" s="1056"/>
      <c r="BOV136" s="1056"/>
      <c r="BOW136" s="1056"/>
      <c r="BOX136" s="1056"/>
      <c r="BOY136" s="1056"/>
      <c r="BOZ136" s="1056"/>
      <c r="BPA136" s="1056"/>
      <c r="BPB136" s="1056"/>
      <c r="BPC136" s="1056"/>
      <c r="BPD136" s="1056"/>
      <c r="BPE136" s="1056"/>
      <c r="BPF136" s="1056"/>
      <c r="BPG136" s="1056"/>
      <c r="BPH136" s="1056"/>
      <c r="BPI136" s="1056"/>
      <c r="BPJ136" s="1056"/>
      <c r="BPK136" s="1056"/>
      <c r="BPL136" s="1056"/>
      <c r="BPM136" s="1056"/>
      <c r="BPN136" s="1056"/>
      <c r="BPO136" s="1056"/>
      <c r="BPP136" s="1056"/>
      <c r="BPQ136" s="1056"/>
      <c r="BPR136" s="1056"/>
      <c r="BPS136" s="1056"/>
      <c r="BPT136" s="1056"/>
      <c r="BPU136" s="1056"/>
      <c r="BPV136" s="1056"/>
      <c r="BPW136" s="1056"/>
      <c r="BPX136" s="1056"/>
      <c r="BPY136" s="1056"/>
      <c r="BPZ136" s="1056"/>
      <c r="BQA136" s="1056"/>
      <c r="BQB136" s="1056"/>
      <c r="BQC136" s="1056"/>
      <c r="BQD136" s="1056"/>
      <c r="BQE136" s="1056"/>
      <c r="BQF136" s="1056"/>
      <c r="BQG136" s="1056"/>
      <c r="BQH136" s="1056"/>
      <c r="BQI136" s="1056"/>
      <c r="BQJ136" s="1056"/>
      <c r="BQK136" s="1056"/>
      <c r="BQL136" s="1056"/>
      <c r="BQM136" s="1056"/>
      <c r="BQN136" s="1056"/>
      <c r="BQO136" s="1056"/>
      <c r="BQP136" s="1056"/>
      <c r="BQQ136" s="1056"/>
      <c r="BQR136" s="1056"/>
      <c r="BQS136" s="1056"/>
      <c r="BQT136" s="1056"/>
      <c r="BQU136" s="1056"/>
      <c r="BQV136" s="1056"/>
      <c r="BQW136" s="1056"/>
      <c r="BQX136" s="1056"/>
      <c r="BQY136" s="1056"/>
      <c r="BQZ136" s="1056"/>
      <c r="BRA136" s="1056"/>
      <c r="BRB136" s="1056"/>
      <c r="BRC136" s="1056"/>
      <c r="BRD136" s="1056"/>
      <c r="BRE136" s="1056"/>
      <c r="BRF136" s="1056"/>
      <c r="BRG136" s="1056"/>
      <c r="BRH136" s="1056"/>
      <c r="BRI136" s="1056"/>
      <c r="BRJ136" s="1056"/>
      <c r="BRK136" s="1056"/>
      <c r="BRL136" s="1056"/>
      <c r="BRM136" s="1056"/>
      <c r="BRN136" s="1056"/>
      <c r="BRO136" s="1056"/>
      <c r="BRP136" s="1056"/>
      <c r="BRQ136" s="1056"/>
      <c r="BRR136" s="1056"/>
      <c r="BRS136" s="1056"/>
      <c r="BRT136" s="1056"/>
      <c r="BRU136" s="1056"/>
      <c r="BRV136" s="1056"/>
      <c r="BRW136" s="1056"/>
      <c r="BRX136" s="1056"/>
      <c r="BRY136" s="1056"/>
      <c r="BRZ136" s="1056"/>
      <c r="BSA136" s="1056"/>
      <c r="BSB136" s="1056"/>
      <c r="BSC136" s="1056"/>
      <c r="BSD136" s="1056"/>
      <c r="BSE136" s="1056"/>
      <c r="BSF136" s="1056"/>
      <c r="BSG136" s="1056"/>
      <c r="BSH136" s="1056"/>
      <c r="BSI136" s="1056"/>
      <c r="BSJ136" s="1056"/>
      <c r="BSK136" s="1056"/>
      <c r="BSL136" s="1056"/>
      <c r="BSM136" s="1056"/>
      <c r="BSN136" s="1056"/>
      <c r="BSO136" s="1056"/>
      <c r="BSP136" s="1056"/>
      <c r="BSQ136" s="1056"/>
      <c r="BSR136" s="1056"/>
      <c r="BSS136" s="1056"/>
      <c r="BST136" s="1056"/>
      <c r="BSU136" s="1056"/>
      <c r="BSV136" s="1056"/>
      <c r="BSW136" s="1056"/>
      <c r="BSX136" s="1056"/>
      <c r="BSY136" s="1056"/>
      <c r="BSZ136" s="1056"/>
      <c r="BTA136" s="1056"/>
      <c r="BTB136" s="1056"/>
      <c r="BTC136" s="1056"/>
      <c r="BTD136" s="1056"/>
      <c r="BTE136" s="1056"/>
      <c r="BTF136" s="1056"/>
      <c r="BTG136" s="1056"/>
      <c r="BTH136" s="1056"/>
      <c r="BTI136" s="1056"/>
    </row>
    <row r="137" spans="1:1881" s="1060" customFormat="1" ht="75.75" hidden="1" customHeight="1" x14ac:dyDescent="0.3">
      <c r="A137" s="333">
        <v>655</v>
      </c>
      <c r="B137" s="1085" t="s">
        <v>37</v>
      </c>
      <c r="C137" s="1085" t="s">
        <v>1387</v>
      </c>
      <c r="D137" s="1087" t="s">
        <v>534</v>
      </c>
      <c r="E137" s="1053" t="e">
        <f>HLOOKUP($D$2,'2020 Data(H)'!$C$1:$AI$426,308,FALSE)</f>
        <v>#N/A</v>
      </c>
      <c r="F137" s="287">
        <v>0</v>
      </c>
      <c r="G137" s="722"/>
      <c r="H137" s="764"/>
      <c r="I137" s="1055"/>
      <c r="J137" s="1056"/>
      <c r="K137" s="1056"/>
      <c r="L137" s="1056"/>
      <c r="M137" s="1056"/>
      <c r="N137" s="1058"/>
      <c r="O137" s="1056"/>
      <c r="P137" s="1056"/>
      <c r="Q137" s="1056"/>
      <c r="R137" s="1056"/>
      <c r="S137" s="1056"/>
      <c r="T137" s="1056"/>
      <c r="U137" s="1056"/>
      <c r="V137" s="1056"/>
      <c r="W137" s="1056"/>
      <c r="X137" s="1056"/>
      <c r="Y137" s="1056"/>
      <c r="Z137" s="333"/>
      <c r="AA137" s="333"/>
      <c r="AB137" s="333"/>
      <c r="AC137" s="333"/>
      <c r="AD137" s="333"/>
      <c r="AE137" s="333"/>
      <c r="AF137" s="333"/>
      <c r="AG137" s="333"/>
      <c r="AH137" s="333"/>
      <c r="AI137" s="333"/>
      <c r="AJ137" s="333"/>
      <c r="AK137" s="333"/>
      <c r="AL137" s="333"/>
      <c r="AM137" s="333"/>
      <c r="AN137" s="333"/>
      <c r="AO137" s="333"/>
      <c r="AP137" s="333"/>
      <c r="AQ137" s="333"/>
      <c r="AR137" s="333"/>
      <c r="AS137" s="1056"/>
      <c r="AT137" s="1056"/>
      <c r="AU137" s="1056"/>
      <c r="AV137" s="1056"/>
      <c r="AW137" s="1056"/>
      <c r="AX137" s="1056"/>
      <c r="AY137" s="1056"/>
      <c r="AZ137" s="1056"/>
      <c r="BA137" s="1056"/>
      <c r="BB137" s="1056"/>
      <c r="BC137" s="1056"/>
      <c r="BD137" s="1056"/>
      <c r="BE137" s="1056"/>
      <c r="BF137" s="1056"/>
      <c r="BG137" s="1056"/>
      <c r="BH137" s="1056"/>
      <c r="BI137" s="1056"/>
      <c r="BJ137" s="1056"/>
      <c r="BK137" s="1056"/>
      <c r="BL137" s="1056"/>
      <c r="BM137" s="1056"/>
      <c r="BN137" s="1056"/>
      <c r="BO137" s="1056"/>
      <c r="BP137" s="1056"/>
      <c r="BQ137" s="1056"/>
      <c r="BR137" s="1056"/>
      <c r="BS137" s="1056"/>
      <c r="BT137" s="1056"/>
      <c r="BU137" s="1056"/>
      <c r="BV137" s="1056"/>
      <c r="BW137" s="1056"/>
      <c r="BX137" s="1056"/>
      <c r="BY137" s="1056"/>
      <c r="BZ137" s="1056"/>
      <c r="CA137" s="1056"/>
      <c r="CB137" s="1056"/>
      <c r="CC137" s="1056"/>
      <c r="CD137" s="1056"/>
      <c r="CE137" s="1056"/>
      <c r="CF137" s="1056"/>
      <c r="CG137" s="1056"/>
      <c r="CH137" s="1056"/>
      <c r="CI137" s="1056"/>
      <c r="CJ137" s="1056"/>
      <c r="CK137" s="1056"/>
      <c r="CL137" s="1056"/>
      <c r="CM137" s="1056"/>
      <c r="CN137" s="1056"/>
      <c r="CO137" s="1056"/>
      <c r="CP137" s="1056"/>
      <c r="CQ137" s="1056"/>
      <c r="CR137" s="1056"/>
      <c r="CS137" s="1056"/>
      <c r="CT137" s="1056"/>
      <c r="CU137" s="1056"/>
      <c r="CV137" s="1056"/>
      <c r="CW137" s="1056"/>
      <c r="CX137" s="1056"/>
      <c r="CY137" s="1056"/>
      <c r="CZ137" s="1056"/>
      <c r="DA137" s="1056"/>
      <c r="DB137" s="1056"/>
      <c r="DC137" s="1056"/>
      <c r="DD137" s="1056"/>
      <c r="DE137" s="1056"/>
      <c r="DF137" s="1056"/>
      <c r="DG137" s="1056"/>
      <c r="DH137" s="1056"/>
      <c r="DI137" s="1056"/>
      <c r="DJ137" s="1056"/>
      <c r="DK137" s="1056"/>
      <c r="DL137" s="1056"/>
      <c r="DM137" s="1056"/>
      <c r="DN137" s="1056"/>
      <c r="DO137" s="1056"/>
      <c r="DP137" s="1056"/>
      <c r="DQ137" s="1056"/>
      <c r="DR137" s="1056"/>
      <c r="DS137" s="1056"/>
      <c r="DT137" s="1056"/>
      <c r="DU137" s="1056"/>
      <c r="DV137" s="1056"/>
      <c r="DW137" s="1056"/>
      <c r="DX137" s="1056"/>
      <c r="DY137" s="1056"/>
      <c r="DZ137" s="1056"/>
      <c r="EA137" s="1056"/>
      <c r="EB137" s="1056"/>
      <c r="EC137" s="1056"/>
      <c r="ED137" s="1056"/>
      <c r="EE137" s="1056"/>
      <c r="EF137" s="1056"/>
      <c r="EG137" s="1056"/>
      <c r="EH137" s="1056"/>
      <c r="EI137" s="1056"/>
      <c r="EJ137" s="1056"/>
      <c r="EK137" s="1056"/>
      <c r="EL137" s="1056"/>
      <c r="EM137" s="1056"/>
      <c r="EN137" s="1056"/>
      <c r="EO137" s="1056"/>
      <c r="EP137" s="1056"/>
      <c r="EQ137" s="1056"/>
      <c r="ER137" s="1056"/>
      <c r="ES137" s="1056"/>
      <c r="ET137" s="1056"/>
      <c r="EU137" s="1056"/>
      <c r="EV137" s="1056"/>
      <c r="EW137" s="1056"/>
      <c r="EX137" s="1056"/>
      <c r="EY137" s="1056"/>
      <c r="EZ137" s="1056"/>
      <c r="FA137" s="1056"/>
      <c r="FB137" s="1056"/>
      <c r="FC137" s="1056"/>
      <c r="FD137" s="1056"/>
      <c r="FE137" s="1056"/>
      <c r="FF137" s="1056"/>
      <c r="FG137" s="1056"/>
      <c r="FH137" s="1056"/>
      <c r="FI137" s="1056"/>
      <c r="FJ137" s="1056"/>
      <c r="FK137" s="1056"/>
      <c r="FL137" s="1056"/>
      <c r="FM137" s="1056"/>
      <c r="FN137" s="1056"/>
      <c r="FO137" s="1056"/>
      <c r="FP137" s="1056"/>
      <c r="FQ137" s="1056"/>
      <c r="FR137" s="1056"/>
      <c r="FS137" s="1056"/>
      <c r="FT137" s="1056"/>
      <c r="FU137" s="1056"/>
      <c r="FV137" s="1056"/>
      <c r="FW137" s="1056"/>
      <c r="FX137" s="1056"/>
      <c r="FY137" s="1056"/>
      <c r="FZ137" s="1056"/>
      <c r="GA137" s="1056"/>
      <c r="GB137" s="1056"/>
      <c r="GC137" s="1056"/>
      <c r="GD137" s="1056"/>
      <c r="GE137" s="1056"/>
      <c r="GF137" s="1056"/>
      <c r="GG137" s="1056"/>
      <c r="GH137" s="1056"/>
      <c r="GI137" s="1056"/>
      <c r="GJ137" s="1056"/>
      <c r="GK137" s="1056"/>
      <c r="GL137" s="1056"/>
      <c r="GM137" s="1056"/>
      <c r="GN137" s="1056"/>
      <c r="GO137" s="1056"/>
      <c r="GP137" s="1056"/>
      <c r="GQ137" s="1056"/>
      <c r="GR137" s="1056"/>
      <c r="GS137" s="1056"/>
      <c r="GT137" s="1056"/>
      <c r="GU137" s="1056"/>
      <c r="GV137" s="1056"/>
      <c r="GW137" s="1056"/>
      <c r="GX137" s="1056"/>
      <c r="GY137" s="1056"/>
      <c r="GZ137" s="1056"/>
      <c r="HA137" s="1056"/>
      <c r="HB137" s="1056"/>
      <c r="HC137" s="1056"/>
      <c r="HD137" s="1056"/>
      <c r="HE137" s="1056"/>
      <c r="HF137" s="1056"/>
      <c r="HG137" s="1056"/>
      <c r="HH137" s="1056"/>
      <c r="HI137" s="1056"/>
      <c r="HJ137" s="1056"/>
      <c r="HK137" s="1056"/>
      <c r="HL137" s="1056"/>
      <c r="HM137" s="1056"/>
      <c r="HN137" s="1056"/>
      <c r="HO137" s="1056"/>
      <c r="HP137" s="1056"/>
      <c r="HQ137" s="1056"/>
      <c r="HR137" s="1056"/>
      <c r="HS137" s="1056"/>
      <c r="HT137" s="1056"/>
      <c r="HU137" s="1056"/>
      <c r="HV137" s="1056"/>
      <c r="HW137" s="1056"/>
      <c r="HX137" s="1056"/>
      <c r="HY137" s="1056"/>
      <c r="HZ137" s="1056"/>
      <c r="IA137" s="1056"/>
      <c r="IB137" s="1056"/>
      <c r="IC137" s="1056"/>
      <c r="ID137" s="1056"/>
      <c r="IE137" s="1056"/>
      <c r="IF137" s="1056"/>
      <c r="IG137" s="1056"/>
      <c r="IH137" s="1056"/>
      <c r="II137" s="1056"/>
      <c r="IJ137" s="1056"/>
      <c r="IK137" s="1056"/>
      <c r="IL137" s="1056"/>
      <c r="IM137" s="1056"/>
      <c r="IN137" s="1056"/>
      <c r="IO137" s="1056"/>
      <c r="IP137" s="1056"/>
      <c r="IQ137" s="1056"/>
      <c r="IR137" s="1056"/>
      <c r="IS137" s="1056"/>
      <c r="IT137" s="1056"/>
      <c r="IU137" s="1056"/>
      <c r="IV137" s="1056"/>
      <c r="IW137" s="1056"/>
      <c r="IX137" s="1056"/>
      <c r="IY137" s="1056"/>
      <c r="IZ137" s="1056"/>
      <c r="JA137" s="1056"/>
      <c r="JB137" s="1056"/>
      <c r="JC137" s="1056"/>
      <c r="JD137" s="1056"/>
      <c r="JE137" s="1056"/>
      <c r="JF137" s="1056"/>
      <c r="JG137" s="1056"/>
      <c r="JH137" s="1056"/>
      <c r="JI137" s="1056"/>
      <c r="JJ137" s="1056"/>
      <c r="JK137" s="1056"/>
      <c r="JL137" s="1056"/>
      <c r="JM137" s="1056"/>
      <c r="JN137" s="1056"/>
      <c r="JO137" s="1056"/>
      <c r="JP137" s="1056"/>
      <c r="JQ137" s="1056"/>
      <c r="JR137" s="1056"/>
      <c r="JS137" s="1056"/>
      <c r="JT137" s="1056"/>
      <c r="JU137" s="1056"/>
      <c r="JV137" s="1056"/>
      <c r="JW137" s="1056"/>
      <c r="JX137" s="1056"/>
      <c r="JY137" s="1056"/>
      <c r="JZ137" s="1056"/>
      <c r="KA137" s="1056"/>
      <c r="KB137" s="1056"/>
      <c r="KC137" s="1056"/>
      <c r="KD137" s="1056"/>
      <c r="KE137" s="1056"/>
      <c r="KF137" s="1056"/>
      <c r="KG137" s="1056"/>
      <c r="KH137" s="1056"/>
      <c r="KI137" s="1056"/>
      <c r="KJ137" s="1056"/>
      <c r="KK137" s="1056"/>
      <c r="KL137" s="1056"/>
      <c r="KM137" s="1056"/>
      <c r="KN137" s="1056"/>
      <c r="KO137" s="1056"/>
      <c r="KP137" s="1056"/>
      <c r="KQ137" s="1056"/>
      <c r="KR137" s="1056"/>
      <c r="KS137" s="1056"/>
      <c r="KT137" s="1056"/>
      <c r="KU137" s="1056"/>
      <c r="KV137" s="1056"/>
      <c r="KW137" s="1056"/>
      <c r="KX137" s="1056"/>
      <c r="KY137" s="1056"/>
      <c r="KZ137" s="1056"/>
      <c r="LA137" s="1056"/>
      <c r="LB137" s="1056"/>
      <c r="LC137" s="1056"/>
      <c r="LD137" s="1056"/>
      <c r="LE137" s="1056"/>
      <c r="LF137" s="1056"/>
      <c r="LG137" s="1056"/>
      <c r="LH137" s="1056"/>
      <c r="LI137" s="1056"/>
      <c r="LJ137" s="1056"/>
      <c r="LK137" s="1056"/>
      <c r="LL137" s="1056"/>
      <c r="LM137" s="1056"/>
      <c r="LN137" s="1056"/>
      <c r="LO137" s="1056"/>
      <c r="LP137" s="1056"/>
      <c r="LQ137" s="1056"/>
      <c r="LR137" s="1056"/>
      <c r="LS137" s="1056"/>
      <c r="LT137" s="1056"/>
      <c r="LU137" s="1056"/>
      <c r="LV137" s="1056"/>
      <c r="LW137" s="1056"/>
      <c r="LX137" s="1056"/>
      <c r="LY137" s="1056"/>
      <c r="LZ137" s="1056"/>
      <c r="MA137" s="1056"/>
      <c r="MB137" s="1056"/>
      <c r="MC137" s="1056"/>
      <c r="MD137" s="1056"/>
      <c r="ME137" s="1056"/>
      <c r="MF137" s="1056"/>
      <c r="MG137" s="1056"/>
      <c r="MH137" s="1056"/>
      <c r="MI137" s="1056"/>
      <c r="MJ137" s="1056"/>
      <c r="MK137" s="1056"/>
      <c r="ML137" s="1056"/>
      <c r="MM137" s="1056"/>
      <c r="MN137" s="1056"/>
      <c r="MO137" s="1056"/>
      <c r="MP137" s="1056"/>
      <c r="MQ137" s="1056"/>
      <c r="MR137" s="1056"/>
      <c r="MS137" s="1056"/>
      <c r="MT137" s="1056"/>
      <c r="MU137" s="1056"/>
      <c r="MV137" s="1056"/>
      <c r="MW137" s="1056"/>
      <c r="MX137" s="1056"/>
      <c r="MY137" s="1056"/>
      <c r="MZ137" s="1056"/>
      <c r="NA137" s="1056"/>
      <c r="NB137" s="1056"/>
      <c r="NC137" s="1056"/>
      <c r="ND137" s="1056"/>
      <c r="NE137" s="1056"/>
      <c r="NF137" s="1056"/>
      <c r="NG137" s="1056"/>
      <c r="NH137" s="1056"/>
      <c r="NI137" s="1056"/>
      <c r="NJ137" s="1056"/>
      <c r="NK137" s="1056"/>
      <c r="NL137" s="1056"/>
      <c r="NM137" s="1056"/>
      <c r="NN137" s="1056"/>
      <c r="NO137" s="1056"/>
      <c r="NP137" s="1056"/>
      <c r="NQ137" s="1056"/>
      <c r="NR137" s="1056"/>
      <c r="NS137" s="1056"/>
      <c r="NT137" s="1056"/>
      <c r="NU137" s="1056"/>
      <c r="NV137" s="1056"/>
      <c r="NW137" s="1056"/>
      <c r="NX137" s="1056"/>
      <c r="NY137" s="1056"/>
      <c r="NZ137" s="1056"/>
      <c r="OA137" s="1056"/>
      <c r="OB137" s="1056"/>
      <c r="OC137" s="1056"/>
      <c r="OD137" s="1056"/>
      <c r="OE137" s="1056"/>
      <c r="OF137" s="1056"/>
      <c r="OG137" s="1056"/>
      <c r="OH137" s="1056"/>
      <c r="OI137" s="1056"/>
      <c r="OJ137" s="1056"/>
      <c r="OK137" s="1056"/>
      <c r="OL137" s="1056"/>
      <c r="OM137" s="1056"/>
      <c r="ON137" s="1056"/>
      <c r="OO137" s="1056"/>
      <c r="OP137" s="1056"/>
      <c r="OQ137" s="1056"/>
      <c r="OR137" s="1056"/>
      <c r="OS137" s="1056"/>
      <c r="OT137" s="1056"/>
      <c r="OU137" s="1056"/>
      <c r="OV137" s="1056"/>
      <c r="OW137" s="1056"/>
      <c r="OX137" s="1056"/>
      <c r="OY137" s="1056"/>
      <c r="OZ137" s="1056"/>
      <c r="PA137" s="1056"/>
      <c r="PB137" s="1056"/>
      <c r="PC137" s="1056"/>
      <c r="PD137" s="1056"/>
      <c r="PE137" s="1056"/>
      <c r="PF137" s="1056"/>
      <c r="PG137" s="1056"/>
      <c r="PH137" s="1056"/>
      <c r="PI137" s="1056"/>
      <c r="PJ137" s="1056"/>
      <c r="PK137" s="1056"/>
      <c r="PL137" s="1056"/>
      <c r="PM137" s="1056"/>
      <c r="PN137" s="1056"/>
      <c r="PO137" s="1056"/>
      <c r="PP137" s="1056"/>
      <c r="PQ137" s="1056"/>
      <c r="PR137" s="1056"/>
      <c r="PS137" s="1056"/>
      <c r="PT137" s="1056"/>
      <c r="PU137" s="1056"/>
      <c r="PV137" s="1056"/>
      <c r="PW137" s="1056"/>
      <c r="PX137" s="1056"/>
      <c r="PY137" s="1056"/>
      <c r="PZ137" s="1056"/>
      <c r="QA137" s="1056"/>
      <c r="QB137" s="1056"/>
      <c r="QC137" s="1056"/>
      <c r="QD137" s="1056"/>
      <c r="QE137" s="1056"/>
      <c r="QF137" s="1056"/>
      <c r="QG137" s="1056"/>
      <c r="QH137" s="1056"/>
      <c r="QI137" s="1056"/>
      <c r="QJ137" s="1056"/>
      <c r="QK137" s="1056"/>
      <c r="QL137" s="1056"/>
      <c r="QM137" s="1056"/>
      <c r="QN137" s="1056"/>
      <c r="QO137" s="1056"/>
      <c r="QP137" s="1056"/>
      <c r="QQ137" s="1056"/>
      <c r="QR137" s="1056"/>
      <c r="QS137" s="1056"/>
      <c r="QT137" s="1056"/>
      <c r="QU137" s="1056"/>
      <c r="QV137" s="1056"/>
      <c r="QW137" s="1056"/>
      <c r="QX137" s="1056"/>
      <c r="QY137" s="1056"/>
      <c r="QZ137" s="1056"/>
      <c r="RA137" s="1056"/>
      <c r="RB137" s="1056"/>
      <c r="RC137" s="1056"/>
      <c r="RD137" s="1056"/>
      <c r="RE137" s="1056"/>
      <c r="RF137" s="1056"/>
      <c r="RG137" s="1056"/>
      <c r="RH137" s="1056"/>
      <c r="RI137" s="1056"/>
      <c r="RJ137" s="1056"/>
      <c r="RK137" s="1056"/>
      <c r="RL137" s="1056"/>
      <c r="RM137" s="1056"/>
      <c r="RN137" s="1056"/>
      <c r="RO137" s="1056"/>
      <c r="RP137" s="1056"/>
      <c r="RQ137" s="1056"/>
      <c r="RR137" s="1056"/>
      <c r="RS137" s="1056"/>
      <c r="RT137" s="1056"/>
      <c r="RU137" s="1056"/>
      <c r="RV137" s="1056"/>
      <c r="RW137" s="1056"/>
      <c r="RX137" s="1056"/>
      <c r="RY137" s="1056"/>
      <c r="RZ137" s="1056"/>
      <c r="SA137" s="1056"/>
      <c r="SB137" s="1056"/>
      <c r="SC137" s="1056"/>
      <c r="SD137" s="1056"/>
      <c r="SE137" s="1056"/>
      <c r="SF137" s="1056"/>
      <c r="SG137" s="1056"/>
      <c r="SH137" s="1056"/>
      <c r="SI137" s="1056"/>
      <c r="SJ137" s="1056"/>
      <c r="SK137" s="1056"/>
      <c r="SL137" s="1056"/>
      <c r="SM137" s="1056"/>
      <c r="SN137" s="1056"/>
      <c r="SO137" s="1056"/>
      <c r="SP137" s="1056"/>
      <c r="SQ137" s="1056"/>
      <c r="SR137" s="1056"/>
      <c r="SS137" s="1056"/>
      <c r="ST137" s="1056"/>
      <c r="SU137" s="1056"/>
      <c r="SV137" s="1056"/>
      <c r="SW137" s="1056"/>
      <c r="SX137" s="1056"/>
      <c r="SY137" s="1056"/>
      <c r="SZ137" s="1056"/>
      <c r="TA137" s="1056"/>
      <c r="TB137" s="1056"/>
      <c r="TC137" s="1056"/>
      <c r="TD137" s="1056"/>
      <c r="TE137" s="1056"/>
      <c r="TF137" s="1056"/>
      <c r="TG137" s="1056"/>
      <c r="TH137" s="1056"/>
      <c r="TI137" s="1056"/>
      <c r="TJ137" s="1056"/>
      <c r="TK137" s="1056"/>
      <c r="TL137" s="1056"/>
      <c r="TM137" s="1056"/>
      <c r="TN137" s="1056"/>
      <c r="TO137" s="1056"/>
      <c r="TP137" s="1056"/>
      <c r="TQ137" s="1056"/>
      <c r="TR137" s="1056"/>
      <c r="TS137" s="1056"/>
      <c r="TT137" s="1056"/>
      <c r="TU137" s="1056"/>
      <c r="TV137" s="1056"/>
      <c r="TW137" s="1056"/>
      <c r="TX137" s="1056"/>
      <c r="TY137" s="1056"/>
      <c r="TZ137" s="1056"/>
      <c r="UA137" s="1056"/>
      <c r="UB137" s="1056"/>
      <c r="UC137" s="1056"/>
      <c r="UD137" s="1056"/>
      <c r="UE137" s="1056"/>
      <c r="UF137" s="1056"/>
      <c r="UG137" s="1056"/>
      <c r="UH137" s="1056"/>
      <c r="UI137" s="1056"/>
      <c r="UJ137" s="1056"/>
      <c r="UK137" s="1056"/>
      <c r="UL137" s="1056"/>
      <c r="UM137" s="1056"/>
      <c r="UN137" s="1056"/>
      <c r="UO137" s="1056"/>
      <c r="UP137" s="1056"/>
      <c r="UQ137" s="1056"/>
      <c r="UR137" s="1056"/>
      <c r="US137" s="1056"/>
      <c r="UT137" s="1056"/>
      <c r="UU137" s="1056"/>
      <c r="UV137" s="1056"/>
      <c r="UW137" s="1056"/>
      <c r="UX137" s="1056"/>
      <c r="UY137" s="1056"/>
      <c r="UZ137" s="1056"/>
      <c r="VA137" s="1056"/>
      <c r="VB137" s="1056"/>
      <c r="VC137" s="1056"/>
      <c r="VD137" s="1056"/>
      <c r="VE137" s="1056"/>
      <c r="VF137" s="1056"/>
      <c r="VG137" s="1056"/>
      <c r="VH137" s="1056"/>
      <c r="VI137" s="1056"/>
      <c r="VJ137" s="1056"/>
      <c r="VK137" s="1056"/>
      <c r="VL137" s="1056"/>
      <c r="VM137" s="1056"/>
      <c r="VN137" s="1056"/>
      <c r="VO137" s="1056"/>
      <c r="VP137" s="1056"/>
      <c r="VQ137" s="1056"/>
      <c r="VR137" s="1056"/>
      <c r="VS137" s="1056"/>
      <c r="VT137" s="1056"/>
      <c r="VU137" s="1056"/>
      <c r="VV137" s="1056"/>
      <c r="VW137" s="1056"/>
      <c r="VX137" s="1056"/>
      <c r="VY137" s="1056"/>
      <c r="VZ137" s="1056"/>
      <c r="WA137" s="1056"/>
      <c r="WB137" s="1056"/>
      <c r="WC137" s="1056"/>
      <c r="WD137" s="1056"/>
      <c r="WE137" s="1056"/>
      <c r="WF137" s="1056"/>
      <c r="WG137" s="1056"/>
      <c r="WH137" s="1056"/>
      <c r="WI137" s="1056"/>
      <c r="WJ137" s="1056"/>
      <c r="WK137" s="1056"/>
      <c r="WL137" s="1056"/>
      <c r="WM137" s="1056"/>
      <c r="WN137" s="1056"/>
      <c r="WO137" s="1056"/>
      <c r="WP137" s="1056"/>
      <c r="WQ137" s="1056"/>
      <c r="WR137" s="1056"/>
      <c r="WS137" s="1056"/>
      <c r="WT137" s="1056"/>
      <c r="WU137" s="1056"/>
      <c r="WV137" s="1056"/>
      <c r="WW137" s="1056"/>
      <c r="WX137" s="1056"/>
      <c r="WY137" s="1056"/>
      <c r="WZ137" s="1056"/>
      <c r="XA137" s="1056"/>
      <c r="XB137" s="1056"/>
      <c r="XC137" s="1056"/>
      <c r="XD137" s="1056"/>
      <c r="XE137" s="1056"/>
      <c r="XF137" s="1056"/>
      <c r="XG137" s="1056"/>
      <c r="XH137" s="1056"/>
      <c r="XI137" s="1056"/>
      <c r="XJ137" s="1056"/>
      <c r="XK137" s="1056"/>
      <c r="XL137" s="1056"/>
      <c r="XM137" s="1056"/>
      <c r="XN137" s="1056"/>
      <c r="XO137" s="1056"/>
      <c r="XP137" s="1056"/>
      <c r="XQ137" s="1056"/>
      <c r="XR137" s="1056"/>
      <c r="XS137" s="1056"/>
      <c r="XT137" s="1056"/>
      <c r="XU137" s="1056"/>
      <c r="XV137" s="1056"/>
      <c r="XW137" s="1056"/>
      <c r="XX137" s="1056"/>
      <c r="XY137" s="1056"/>
      <c r="XZ137" s="1056"/>
      <c r="YA137" s="1056"/>
      <c r="YB137" s="1056"/>
      <c r="YC137" s="1056"/>
      <c r="YD137" s="1056"/>
      <c r="YE137" s="1056"/>
      <c r="YF137" s="1056"/>
      <c r="YG137" s="1056"/>
      <c r="YH137" s="1056"/>
      <c r="YI137" s="1056"/>
      <c r="YJ137" s="1056"/>
      <c r="YK137" s="1056"/>
      <c r="YL137" s="1056"/>
      <c r="YM137" s="1056"/>
      <c r="YN137" s="1056"/>
      <c r="YO137" s="1056"/>
      <c r="YP137" s="1056"/>
      <c r="YQ137" s="1056"/>
      <c r="YR137" s="1056"/>
      <c r="YS137" s="1056"/>
      <c r="YT137" s="1056"/>
      <c r="YU137" s="1056"/>
      <c r="YV137" s="1056"/>
      <c r="YW137" s="1056"/>
      <c r="YX137" s="1056"/>
      <c r="YY137" s="1056"/>
      <c r="YZ137" s="1056"/>
      <c r="ZA137" s="1056"/>
      <c r="ZB137" s="1056"/>
      <c r="ZC137" s="1056"/>
      <c r="ZD137" s="1056"/>
      <c r="ZE137" s="1056"/>
      <c r="ZF137" s="1056"/>
      <c r="ZG137" s="1056"/>
      <c r="ZH137" s="1056"/>
      <c r="ZI137" s="1056"/>
      <c r="ZJ137" s="1056"/>
      <c r="ZK137" s="1056"/>
      <c r="ZL137" s="1056"/>
      <c r="ZM137" s="1056"/>
      <c r="ZN137" s="1056"/>
      <c r="ZO137" s="1056"/>
      <c r="ZP137" s="1056"/>
      <c r="ZQ137" s="1056"/>
      <c r="ZR137" s="1056"/>
      <c r="ZS137" s="1056"/>
      <c r="ZT137" s="1056"/>
      <c r="ZU137" s="1056"/>
      <c r="ZV137" s="1056"/>
      <c r="ZW137" s="1056"/>
      <c r="ZX137" s="1056"/>
      <c r="ZY137" s="1056"/>
      <c r="ZZ137" s="1056"/>
      <c r="AAA137" s="1056"/>
      <c r="AAB137" s="1056"/>
      <c r="AAC137" s="1056"/>
      <c r="AAD137" s="1056"/>
      <c r="AAE137" s="1056"/>
      <c r="AAF137" s="1056"/>
      <c r="AAG137" s="1056"/>
      <c r="AAH137" s="1056"/>
      <c r="AAI137" s="1056"/>
      <c r="AAJ137" s="1056"/>
      <c r="AAK137" s="1056"/>
      <c r="AAL137" s="1056"/>
      <c r="AAM137" s="1056"/>
      <c r="AAN137" s="1056"/>
      <c r="AAO137" s="1056"/>
      <c r="AAP137" s="1056"/>
      <c r="AAQ137" s="1056"/>
      <c r="AAR137" s="1056"/>
      <c r="AAS137" s="1056"/>
      <c r="AAT137" s="1056"/>
      <c r="AAU137" s="1056"/>
      <c r="AAV137" s="1056"/>
      <c r="AAW137" s="1056"/>
      <c r="AAX137" s="1056"/>
      <c r="AAY137" s="1056"/>
      <c r="AAZ137" s="1056"/>
      <c r="ABA137" s="1056"/>
      <c r="ABB137" s="1056"/>
      <c r="ABC137" s="1056"/>
      <c r="ABD137" s="1056"/>
      <c r="ABE137" s="1056"/>
      <c r="ABF137" s="1056"/>
      <c r="ABG137" s="1056"/>
      <c r="ABH137" s="1056"/>
      <c r="ABI137" s="1056"/>
      <c r="ABJ137" s="1056"/>
      <c r="ABK137" s="1056"/>
      <c r="ABL137" s="1056"/>
      <c r="ABM137" s="1056"/>
      <c r="ABN137" s="1056"/>
      <c r="ABO137" s="1056"/>
      <c r="ABP137" s="1056"/>
      <c r="ABQ137" s="1056"/>
      <c r="ABR137" s="1056"/>
      <c r="ABS137" s="1056"/>
      <c r="ABT137" s="1056"/>
      <c r="ABU137" s="1056"/>
      <c r="ABV137" s="1056"/>
      <c r="ABW137" s="1056"/>
      <c r="ABX137" s="1056"/>
      <c r="ABY137" s="1056"/>
      <c r="ABZ137" s="1056"/>
      <c r="ACA137" s="1056"/>
      <c r="ACB137" s="1056"/>
      <c r="ACC137" s="1056"/>
      <c r="ACD137" s="1056"/>
      <c r="ACE137" s="1056"/>
      <c r="ACF137" s="1056"/>
      <c r="ACG137" s="1056"/>
      <c r="ACH137" s="1056"/>
      <c r="ACI137" s="1056"/>
      <c r="ACJ137" s="1056"/>
      <c r="ACK137" s="1056"/>
      <c r="ACL137" s="1056"/>
      <c r="ACM137" s="1056"/>
      <c r="ACN137" s="1056"/>
      <c r="ACO137" s="1056"/>
      <c r="ACP137" s="1056"/>
      <c r="ACQ137" s="1056"/>
      <c r="ACR137" s="1056"/>
      <c r="ACS137" s="1056"/>
      <c r="ACT137" s="1056"/>
      <c r="ACU137" s="1056"/>
      <c r="ACV137" s="1056"/>
      <c r="ACW137" s="1056"/>
      <c r="ACX137" s="1056"/>
      <c r="ACY137" s="1056"/>
      <c r="ACZ137" s="1056"/>
      <c r="ADA137" s="1056"/>
      <c r="ADB137" s="1056"/>
      <c r="ADC137" s="1056"/>
      <c r="ADD137" s="1056"/>
      <c r="ADE137" s="1056"/>
      <c r="ADF137" s="1056"/>
      <c r="ADG137" s="1056"/>
      <c r="ADH137" s="1056"/>
      <c r="ADI137" s="1056"/>
      <c r="ADJ137" s="1056"/>
      <c r="ADK137" s="1056"/>
      <c r="ADL137" s="1056"/>
      <c r="ADM137" s="1056"/>
      <c r="ADN137" s="1056"/>
      <c r="ADO137" s="1056"/>
      <c r="ADP137" s="1056"/>
      <c r="ADQ137" s="1056"/>
      <c r="ADR137" s="1056"/>
      <c r="ADS137" s="1056"/>
      <c r="ADT137" s="1056"/>
      <c r="ADU137" s="1056"/>
      <c r="ADV137" s="1056"/>
      <c r="ADW137" s="1056"/>
      <c r="ADX137" s="1056"/>
      <c r="ADY137" s="1056"/>
      <c r="ADZ137" s="1056"/>
      <c r="AEA137" s="1056"/>
      <c r="AEB137" s="1056"/>
      <c r="AEC137" s="1056"/>
      <c r="AED137" s="1056"/>
      <c r="AEE137" s="1056"/>
      <c r="AEF137" s="1056"/>
      <c r="AEG137" s="1056"/>
      <c r="AEH137" s="1056"/>
      <c r="AEI137" s="1056"/>
      <c r="AEJ137" s="1056"/>
      <c r="AEK137" s="1056"/>
      <c r="AEL137" s="1056"/>
      <c r="AEM137" s="1056"/>
      <c r="AEN137" s="1056"/>
      <c r="AEO137" s="1056"/>
      <c r="AEP137" s="1056"/>
      <c r="AEQ137" s="1056"/>
      <c r="AER137" s="1056"/>
      <c r="AES137" s="1056"/>
      <c r="AET137" s="1056"/>
      <c r="AEU137" s="1056"/>
      <c r="AEV137" s="1056"/>
      <c r="AEW137" s="1056"/>
      <c r="AEX137" s="1056"/>
      <c r="AEY137" s="1056"/>
      <c r="AEZ137" s="1056"/>
      <c r="AFA137" s="1056"/>
      <c r="AFB137" s="1056"/>
      <c r="AFC137" s="1056"/>
      <c r="AFD137" s="1056"/>
      <c r="AFE137" s="1056"/>
      <c r="AFF137" s="1056"/>
      <c r="AFG137" s="1056"/>
      <c r="AFH137" s="1056"/>
      <c r="AFI137" s="1056"/>
      <c r="AFJ137" s="1056"/>
      <c r="AFK137" s="1056"/>
      <c r="AFL137" s="1056"/>
      <c r="AFM137" s="1056"/>
      <c r="AFN137" s="1056"/>
      <c r="AFO137" s="1056"/>
      <c r="AFP137" s="1056"/>
      <c r="AFQ137" s="1056"/>
      <c r="AFR137" s="1056"/>
      <c r="AFS137" s="1056"/>
      <c r="AFT137" s="1056"/>
      <c r="AFU137" s="1056"/>
      <c r="AFV137" s="1056"/>
      <c r="AFW137" s="1056"/>
      <c r="AFX137" s="1056"/>
      <c r="AFY137" s="1056"/>
      <c r="AFZ137" s="1056"/>
      <c r="AGA137" s="1056"/>
      <c r="AGB137" s="1056"/>
      <c r="AGC137" s="1056"/>
      <c r="AGD137" s="1056"/>
      <c r="AGE137" s="1056"/>
      <c r="AGF137" s="1056"/>
      <c r="AGG137" s="1056"/>
      <c r="AGH137" s="1056"/>
      <c r="AGI137" s="1056"/>
      <c r="AGJ137" s="1056"/>
      <c r="AGK137" s="1056"/>
      <c r="AGL137" s="1056"/>
      <c r="AGM137" s="1056"/>
      <c r="AGN137" s="1056"/>
      <c r="AGO137" s="1056"/>
      <c r="AGP137" s="1056"/>
      <c r="AGQ137" s="1056"/>
      <c r="AGR137" s="1056"/>
      <c r="AGS137" s="1056"/>
      <c r="AGT137" s="1056"/>
      <c r="AGU137" s="1056"/>
      <c r="AGV137" s="1056"/>
      <c r="AGW137" s="1056"/>
      <c r="AGX137" s="1056"/>
      <c r="AGY137" s="1056"/>
      <c r="AGZ137" s="1056"/>
      <c r="AHA137" s="1056"/>
      <c r="AHB137" s="1056"/>
      <c r="AHC137" s="1056"/>
      <c r="AHD137" s="1056"/>
      <c r="AHE137" s="1056"/>
      <c r="AHF137" s="1056"/>
      <c r="AHG137" s="1056"/>
      <c r="AHH137" s="1056"/>
      <c r="AHI137" s="1056"/>
      <c r="AHJ137" s="1056"/>
      <c r="AHK137" s="1056"/>
      <c r="AHL137" s="1056"/>
      <c r="AHM137" s="1056"/>
      <c r="AHN137" s="1056"/>
      <c r="AHO137" s="1056"/>
      <c r="AHP137" s="1056"/>
      <c r="AHQ137" s="1056"/>
      <c r="AHR137" s="1056"/>
      <c r="AHS137" s="1056"/>
      <c r="AHT137" s="1056"/>
      <c r="AHU137" s="1056"/>
      <c r="AHV137" s="1056"/>
      <c r="AHW137" s="1056"/>
      <c r="AHX137" s="1056"/>
      <c r="AHY137" s="1056"/>
      <c r="AHZ137" s="1056"/>
      <c r="AIA137" s="1056"/>
      <c r="AIB137" s="1056"/>
      <c r="AIC137" s="1056"/>
      <c r="AID137" s="1056"/>
      <c r="AIE137" s="1056"/>
      <c r="AIF137" s="1056"/>
      <c r="AIG137" s="1056"/>
      <c r="AIH137" s="1056"/>
      <c r="AII137" s="1056"/>
      <c r="AIJ137" s="1056"/>
      <c r="AIK137" s="1056"/>
      <c r="AIL137" s="1056"/>
      <c r="AIM137" s="1056"/>
      <c r="AIN137" s="1056"/>
      <c r="AIO137" s="1056"/>
      <c r="AIP137" s="1056"/>
      <c r="AIQ137" s="1056"/>
      <c r="AIR137" s="1056"/>
      <c r="AIS137" s="1056"/>
      <c r="AIT137" s="1056"/>
      <c r="AIU137" s="1056"/>
      <c r="AIV137" s="1056"/>
      <c r="AIW137" s="1056"/>
      <c r="AIX137" s="1056"/>
      <c r="AIY137" s="1056"/>
      <c r="AIZ137" s="1056"/>
      <c r="AJA137" s="1056"/>
      <c r="AJB137" s="1056"/>
      <c r="AJC137" s="1056"/>
      <c r="AJD137" s="1056"/>
      <c r="AJE137" s="1056"/>
      <c r="AJF137" s="1056"/>
      <c r="AJG137" s="1056"/>
      <c r="AJH137" s="1056"/>
      <c r="AJI137" s="1056"/>
      <c r="AJJ137" s="1056"/>
      <c r="AJK137" s="1056"/>
      <c r="AJL137" s="1056"/>
      <c r="AJM137" s="1056"/>
      <c r="AJN137" s="1056"/>
      <c r="AJO137" s="1056"/>
      <c r="AJP137" s="1056"/>
      <c r="AJQ137" s="1056"/>
      <c r="AJR137" s="1056"/>
      <c r="AJS137" s="1056"/>
      <c r="AJT137" s="1056"/>
      <c r="AJU137" s="1056"/>
      <c r="AJV137" s="1056"/>
      <c r="AJW137" s="1056"/>
      <c r="AJX137" s="1056"/>
      <c r="AJY137" s="1056"/>
      <c r="AJZ137" s="1056"/>
      <c r="AKA137" s="1056"/>
      <c r="AKB137" s="1056"/>
      <c r="AKC137" s="1056"/>
      <c r="AKD137" s="1056"/>
      <c r="AKE137" s="1056"/>
      <c r="AKF137" s="1056"/>
      <c r="AKG137" s="1056"/>
      <c r="AKH137" s="1056"/>
      <c r="AKI137" s="1056"/>
      <c r="AKJ137" s="1056"/>
      <c r="AKK137" s="1056"/>
      <c r="AKL137" s="1056"/>
      <c r="AKM137" s="1056"/>
      <c r="AKN137" s="1056"/>
      <c r="AKO137" s="1056"/>
      <c r="AKP137" s="1056"/>
      <c r="AKQ137" s="1056"/>
      <c r="AKR137" s="1056"/>
      <c r="AKS137" s="1056"/>
      <c r="AKT137" s="1056"/>
      <c r="AKU137" s="1056"/>
      <c r="AKV137" s="1056"/>
      <c r="AKW137" s="1056"/>
      <c r="AKX137" s="1056"/>
      <c r="AKY137" s="1056"/>
      <c r="AKZ137" s="1056"/>
      <c r="ALA137" s="1056"/>
      <c r="ALB137" s="1056"/>
      <c r="ALC137" s="1056"/>
      <c r="ALD137" s="1056"/>
      <c r="ALE137" s="1056"/>
      <c r="ALF137" s="1056"/>
      <c r="ALG137" s="1056"/>
      <c r="ALH137" s="1056"/>
      <c r="ALI137" s="1056"/>
      <c r="ALJ137" s="1056"/>
      <c r="ALK137" s="1056"/>
      <c r="ALL137" s="1056"/>
      <c r="ALM137" s="1056"/>
      <c r="ALN137" s="1056"/>
      <c r="ALO137" s="1056"/>
      <c r="ALP137" s="1056"/>
      <c r="ALQ137" s="1056"/>
      <c r="ALR137" s="1056"/>
      <c r="ALS137" s="1056"/>
      <c r="ALT137" s="1056"/>
      <c r="ALU137" s="1056"/>
      <c r="ALV137" s="1056"/>
      <c r="ALW137" s="1056"/>
      <c r="ALX137" s="1056"/>
      <c r="ALY137" s="1056"/>
      <c r="ALZ137" s="1056"/>
      <c r="AMA137" s="1056"/>
      <c r="AMB137" s="1056"/>
      <c r="AMC137" s="1056"/>
      <c r="AMD137" s="1056"/>
      <c r="AME137" s="1056"/>
      <c r="AMF137" s="1056"/>
      <c r="AMG137" s="1056"/>
      <c r="AMH137" s="1056"/>
      <c r="AMI137" s="1056"/>
      <c r="AMJ137" s="1056"/>
      <c r="AMK137" s="1056"/>
      <c r="AML137" s="1056"/>
      <c r="AMM137" s="1056"/>
      <c r="AMN137" s="1056"/>
      <c r="AMO137" s="1056"/>
      <c r="AMP137" s="1056"/>
      <c r="AMQ137" s="1056"/>
      <c r="AMR137" s="1056"/>
      <c r="AMS137" s="1056"/>
      <c r="AMT137" s="1056"/>
      <c r="AMU137" s="1056"/>
      <c r="AMV137" s="1056"/>
      <c r="AMW137" s="1056"/>
      <c r="AMX137" s="1056"/>
      <c r="AMY137" s="1056"/>
      <c r="AMZ137" s="1056"/>
      <c r="ANA137" s="1056"/>
      <c r="ANB137" s="1056"/>
      <c r="ANC137" s="1056"/>
      <c r="AND137" s="1056"/>
      <c r="ANE137" s="1056"/>
      <c r="ANF137" s="1056"/>
      <c r="ANG137" s="1056"/>
      <c r="ANH137" s="1056"/>
      <c r="ANI137" s="1056"/>
      <c r="ANJ137" s="1056"/>
      <c r="ANK137" s="1056"/>
      <c r="ANL137" s="1056"/>
      <c r="ANM137" s="1056"/>
      <c r="ANN137" s="1056"/>
      <c r="ANO137" s="1056"/>
      <c r="ANP137" s="1056"/>
      <c r="ANQ137" s="1056"/>
      <c r="ANR137" s="1056"/>
      <c r="ANS137" s="1056"/>
      <c r="ANT137" s="1056"/>
      <c r="ANU137" s="1056"/>
      <c r="ANV137" s="1056"/>
      <c r="ANW137" s="1056"/>
      <c r="ANX137" s="1056"/>
      <c r="ANY137" s="1056"/>
      <c r="ANZ137" s="1056"/>
      <c r="AOA137" s="1056"/>
      <c r="AOB137" s="1056"/>
      <c r="AOC137" s="1056"/>
      <c r="AOD137" s="1056"/>
      <c r="AOE137" s="1056"/>
      <c r="AOF137" s="1056"/>
      <c r="AOG137" s="1056"/>
      <c r="AOH137" s="1056"/>
      <c r="AOI137" s="1056"/>
      <c r="AOJ137" s="1056"/>
      <c r="AOK137" s="1056"/>
      <c r="AOL137" s="1056"/>
      <c r="AOM137" s="1056"/>
      <c r="AON137" s="1056"/>
      <c r="AOO137" s="1056"/>
      <c r="AOP137" s="1056"/>
      <c r="AOQ137" s="1056"/>
      <c r="AOR137" s="1056"/>
      <c r="AOS137" s="1056"/>
      <c r="AOT137" s="1056"/>
      <c r="AOU137" s="1056"/>
      <c r="AOV137" s="1056"/>
      <c r="AOW137" s="1056"/>
      <c r="AOX137" s="1056"/>
      <c r="AOY137" s="1056"/>
      <c r="AOZ137" s="1056"/>
      <c r="APA137" s="1056"/>
      <c r="APB137" s="1056"/>
      <c r="APC137" s="1056"/>
      <c r="APD137" s="1056"/>
      <c r="APE137" s="1056"/>
      <c r="APF137" s="1056"/>
      <c r="APG137" s="1056"/>
      <c r="APH137" s="1056"/>
      <c r="API137" s="1056"/>
      <c r="APJ137" s="1056"/>
      <c r="APK137" s="1056"/>
      <c r="APL137" s="1056"/>
      <c r="APM137" s="1056"/>
      <c r="APN137" s="1056"/>
      <c r="APO137" s="1056"/>
      <c r="APP137" s="1056"/>
      <c r="APQ137" s="1056"/>
      <c r="APR137" s="1056"/>
      <c r="APS137" s="1056"/>
      <c r="APT137" s="1056"/>
      <c r="APU137" s="1056"/>
      <c r="APV137" s="1056"/>
      <c r="APW137" s="1056"/>
      <c r="APX137" s="1056"/>
      <c r="APY137" s="1056"/>
      <c r="APZ137" s="1056"/>
      <c r="AQA137" s="1056"/>
      <c r="AQB137" s="1056"/>
      <c r="AQC137" s="1056"/>
      <c r="AQD137" s="1056"/>
      <c r="AQE137" s="1056"/>
      <c r="AQF137" s="1056"/>
      <c r="AQG137" s="1056"/>
      <c r="AQH137" s="1056"/>
      <c r="AQI137" s="1056"/>
      <c r="AQJ137" s="1056"/>
      <c r="AQK137" s="1056"/>
      <c r="AQL137" s="1056"/>
      <c r="AQM137" s="1056"/>
      <c r="AQN137" s="1056"/>
      <c r="AQO137" s="1056"/>
      <c r="AQP137" s="1056"/>
      <c r="AQQ137" s="1056"/>
      <c r="AQR137" s="1056"/>
      <c r="AQS137" s="1056"/>
      <c r="AQT137" s="1056"/>
      <c r="AQU137" s="1056"/>
      <c r="AQV137" s="1056"/>
      <c r="AQW137" s="1056"/>
      <c r="AQX137" s="1056"/>
      <c r="AQY137" s="1056"/>
      <c r="AQZ137" s="1056"/>
      <c r="ARA137" s="1056"/>
      <c r="ARB137" s="1056"/>
      <c r="ARC137" s="1056"/>
      <c r="ARD137" s="1056"/>
      <c r="ARE137" s="1056"/>
      <c r="ARF137" s="1056"/>
      <c r="ARG137" s="1056"/>
      <c r="ARH137" s="1056"/>
      <c r="ARI137" s="1056"/>
      <c r="ARJ137" s="1056"/>
      <c r="ARK137" s="1056"/>
      <c r="ARL137" s="1056"/>
      <c r="ARM137" s="1056"/>
      <c r="ARN137" s="1056"/>
      <c r="ARO137" s="1056"/>
      <c r="ARP137" s="1056"/>
      <c r="ARQ137" s="1056"/>
      <c r="ARR137" s="1056"/>
      <c r="ARS137" s="1056"/>
      <c r="ART137" s="1056"/>
      <c r="ARU137" s="1056"/>
      <c r="ARV137" s="1056"/>
      <c r="ARW137" s="1056"/>
      <c r="ARX137" s="1056"/>
      <c r="ARY137" s="1056"/>
      <c r="ARZ137" s="1056"/>
      <c r="ASA137" s="1056"/>
      <c r="ASB137" s="1056"/>
      <c r="ASC137" s="1056"/>
      <c r="ASD137" s="1056"/>
      <c r="ASE137" s="1056"/>
      <c r="ASF137" s="1056"/>
      <c r="ASG137" s="1056"/>
      <c r="ASH137" s="1056"/>
      <c r="ASI137" s="1056"/>
      <c r="ASJ137" s="1056"/>
      <c r="ASK137" s="1056"/>
      <c r="ASL137" s="1056"/>
      <c r="ASM137" s="1056"/>
      <c r="ASN137" s="1056"/>
      <c r="ASO137" s="1056"/>
      <c r="ASP137" s="1056"/>
      <c r="ASQ137" s="1056"/>
      <c r="ASR137" s="1056"/>
      <c r="ASS137" s="1056"/>
      <c r="AST137" s="1056"/>
      <c r="ASU137" s="1056"/>
      <c r="ASV137" s="1056"/>
      <c r="ASW137" s="1056"/>
      <c r="ASX137" s="1056"/>
      <c r="ASY137" s="1056"/>
      <c r="ASZ137" s="1056"/>
      <c r="ATA137" s="1056"/>
      <c r="ATB137" s="1056"/>
      <c r="ATC137" s="1056"/>
      <c r="ATD137" s="1056"/>
      <c r="ATE137" s="1056"/>
      <c r="ATF137" s="1056"/>
      <c r="ATG137" s="1056"/>
      <c r="ATH137" s="1056"/>
      <c r="ATI137" s="1056"/>
      <c r="ATJ137" s="1056"/>
      <c r="ATK137" s="1056"/>
      <c r="ATL137" s="1056"/>
      <c r="ATM137" s="1056"/>
      <c r="ATN137" s="1056"/>
      <c r="ATO137" s="1056"/>
      <c r="ATP137" s="1056"/>
      <c r="ATQ137" s="1056"/>
      <c r="ATR137" s="1056"/>
      <c r="ATS137" s="1056"/>
      <c r="ATT137" s="1056"/>
      <c r="ATU137" s="1056"/>
      <c r="ATV137" s="1056"/>
      <c r="ATW137" s="1056"/>
      <c r="ATX137" s="1056"/>
      <c r="ATY137" s="1056"/>
      <c r="ATZ137" s="1056"/>
      <c r="AUA137" s="1056"/>
      <c r="AUB137" s="1056"/>
      <c r="AUC137" s="1056"/>
      <c r="AUD137" s="1056"/>
      <c r="AUE137" s="1056"/>
      <c r="AUF137" s="1056"/>
      <c r="AUG137" s="1056"/>
      <c r="AUH137" s="1056"/>
      <c r="AUI137" s="1056"/>
      <c r="AUJ137" s="1056"/>
      <c r="AUK137" s="1056"/>
      <c r="AUL137" s="1056"/>
      <c r="AUM137" s="1056"/>
      <c r="AUN137" s="1056"/>
      <c r="AUO137" s="1056"/>
      <c r="AUP137" s="1056"/>
      <c r="AUQ137" s="1056"/>
      <c r="AUR137" s="1056"/>
      <c r="AUS137" s="1056"/>
      <c r="AUT137" s="1056"/>
      <c r="AUU137" s="1056"/>
      <c r="AUV137" s="1056"/>
      <c r="AUW137" s="1056"/>
      <c r="AUX137" s="1056"/>
      <c r="AUY137" s="1056"/>
      <c r="AUZ137" s="1056"/>
      <c r="AVA137" s="1056"/>
      <c r="AVB137" s="1056"/>
      <c r="AVC137" s="1056"/>
      <c r="AVD137" s="1056"/>
      <c r="AVE137" s="1056"/>
      <c r="AVF137" s="1056"/>
      <c r="AVG137" s="1056"/>
      <c r="AVH137" s="1056"/>
      <c r="AVI137" s="1056"/>
      <c r="AVJ137" s="1056"/>
      <c r="AVK137" s="1056"/>
      <c r="AVL137" s="1056"/>
      <c r="AVM137" s="1056"/>
      <c r="AVN137" s="1056"/>
      <c r="AVO137" s="1056"/>
      <c r="AVP137" s="1056"/>
      <c r="AVQ137" s="1056"/>
      <c r="AVR137" s="1056"/>
      <c r="AVS137" s="1056"/>
      <c r="AVT137" s="1056"/>
      <c r="AVU137" s="1056"/>
      <c r="AVV137" s="1056"/>
      <c r="AVW137" s="1056"/>
      <c r="AVX137" s="1056"/>
      <c r="AVY137" s="1056"/>
      <c r="AVZ137" s="1056"/>
      <c r="AWA137" s="1056"/>
      <c r="AWB137" s="1056"/>
      <c r="AWC137" s="1056"/>
      <c r="AWD137" s="1056"/>
      <c r="AWE137" s="1056"/>
      <c r="AWF137" s="1056"/>
      <c r="AWG137" s="1056"/>
      <c r="AWH137" s="1056"/>
      <c r="AWI137" s="1056"/>
      <c r="AWJ137" s="1056"/>
      <c r="AWK137" s="1056"/>
      <c r="AWL137" s="1056"/>
      <c r="AWM137" s="1056"/>
      <c r="AWN137" s="1056"/>
      <c r="AWO137" s="1056"/>
      <c r="AWP137" s="1056"/>
      <c r="AWQ137" s="1056"/>
      <c r="AWR137" s="1056"/>
      <c r="AWS137" s="1056"/>
      <c r="AWT137" s="1056"/>
      <c r="AWU137" s="1056"/>
      <c r="AWV137" s="1056"/>
      <c r="AWW137" s="1056"/>
      <c r="AWX137" s="1056"/>
      <c r="AWY137" s="1056"/>
      <c r="AWZ137" s="1056"/>
      <c r="AXA137" s="1056"/>
      <c r="AXB137" s="1056"/>
      <c r="AXC137" s="1056"/>
      <c r="AXD137" s="1056"/>
      <c r="AXE137" s="1056"/>
      <c r="AXF137" s="1056"/>
      <c r="AXG137" s="1056"/>
      <c r="AXH137" s="1056"/>
      <c r="AXI137" s="1056"/>
      <c r="AXJ137" s="1056"/>
      <c r="AXK137" s="1056"/>
      <c r="AXL137" s="1056"/>
      <c r="AXM137" s="1056"/>
      <c r="AXN137" s="1056"/>
      <c r="AXO137" s="1056"/>
      <c r="AXP137" s="1056"/>
      <c r="AXQ137" s="1056"/>
      <c r="AXR137" s="1056"/>
      <c r="AXS137" s="1056"/>
      <c r="AXT137" s="1056"/>
      <c r="AXU137" s="1056"/>
      <c r="AXV137" s="1056"/>
      <c r="AXW137" s="1056"/>
      <c r="AXX137" s="1056"/>
      <c r="AXY137" s="1056"/>
      <c r="AXZ137" s="1056"/>
      <c r="AYA137" s="1056"/>
      <c r="AYB137" s="1056"/>
      <c r="AYC137" s="1056"/>
      <c r="AYD137" s="1056"/>
      <c r="AYE137" s="1056"/>
      <c r="AYF137" s="1056"/>
      <c r="AYG137" s="1056"/>
      <c r="AYH137" s="1056"/>
      <c r="AYI137" s="1056"/>
      <c r="AYJ137" s="1056"/>
      <c r="AYK137" s="1056"/>
      <c r="AYL137" s="1056"/>
      <c r="AYM137" s="1056"/>
      <c r="AYN137" s="1056"/>
      <c r="AYO137" s="1056"/>
      <c r="AYP137" s="1056"/>
      <c r="AYQ137" s="1056"/>
      <c r="AYR137" s="1056"/>
      <c r="AYS137" s="1056"/>
      <c r="AYT137" s="1056"/>
      <c r="AYU137" s="1056"/>
      <c r="AYV137" s="1056"/>
      <c r="AYW137" s="1056"/>
      <c r="AYX137" s="1056"/>
      <c r="AYY137" s="1056"/>
      <c r="AYZ137" s="1056"/>
      <c r="AZA137" s="1056"/>
      <c r="AZB137" s="1056"/>
      <c r="AZC137" s="1056"/>
      <c r="AZD137" s="1056"/>
      <c r="AZE137" s="1056"/>
      <c r="AZF137" s="1056"/>
      <c r="AZG137" s="1056"/>
      <c r="AZH137" s="1056"/>
      <c r="AZI137" s="1056"/>
      <c r="AZJ137" s="1056"/>
      <c r="AZK137" s="1056"/>
      <c r="AZL137" s="1056"/>
      <c r="AZM137" s="1056"/>
      <c r="AZN137" s="1056"/>
      <c r="AZO137" s="1056"/>
      <c r="AZP137" s="1056"/>
      <c r="AZQ137" s="1056"/>
      <c r="AZR137" s="1056"/>
      <c r="AZS137" s="1056"/>
      <c r="AZT137" s="1056"/>
      <c r="AZU137" s="1056"/>
      <c r="AZV137" s="1056"/>
      <c r="AZW137" s="1056"/>
      <c r="AZX137" s="1056"/>
      <c r="AZY137" s="1056"/>
      <c r="AZZ137" s="1056"/>
      <c r="BAA137" s="1056"/>
      <c r="BAB137" s="1056"/>
      <c r="BAC137" s="1056"/>
      <c r="BAD137" s="1056"/>
      <c r="BAE137" s="1056"/>
      <c r="BAF137" s="1056"/>
      <c r="BAG137" s="1056"/>
      <c r="BAH137" s="1056"/>
      <c r="BAI137" s="1056"/>
      <c r="BAJ137" s="1056"/>
      <c r="BAK137" s="1056"/>
      <c r="BAL137" s="1056"/>
      <c r="BAM137" s="1056"/>
      <c r="BAN137" s="1056"/>
      <c r="BAO137" s="1056"/>
      <c r="BAP137" s="1056"/>
      <c r="BAQ137" s="1056"/>
      <c r="BAR137" s="1056"/>
      <c r="BAS137" s="1056"/>
      <c r="BAT137" s="1056"/>
      <c r="BAU137" s="1056"/>
      <c r="BAV137" s="1056"/>
      <c r="BAW137" s="1056"/>
      <c r="BAX137" s="1056"/>
      <c r="BAY137" s="1056"/>
      <c r="BAZ137" s="1056"/>
      <c r="BBA137" s="1056"/>
      <c r="BBB137" s="1056"/>
      <c r="BBC137" s="1056"/>
      <c r="BBD137" s="1056"/>
      <c r="BBE137" s="1056"/>
      <c r="BBF137" s="1056"/>
      <c r="BBG137" s="1056"/>
      <c r="BBH137" s="1056"/>
      <c r="BBI137" s="1056"/>
      <c r="BBJ137" s="1056"/>
      <c r="BBK137" s="1056"/>
      <c r="BBL137" s="1056"/>
      <c r="BBM137" s="1056"/>
      <c r="BBN137" s="1056"/>
      <c r="BBO137" s="1056"/>
      <c r="BBP137" s="1056"/>
      <c r="BBQ137" s="1056"/>
      <c r="BBR137" s="1056"/>
      <c r="BBS137" s="1056"/>
      <c r="BBT137" s="1056"/>
      <c r="BBU137" s="1056"/>
      <c r="BBV137" s="1056"/>
      <c r="BBW137" s="1056"/>
      <c r="BBX137" s="1056"/>
      <c r="BBY137" s="1056"/>
      <c r="BBZ137" s="1056"/>
      <c r="BCA137" s="1056"/>
      <c r="BCB137" s="1056"/>
      <c r="BCC137" s="1056"/>
      <c r="BCD137" s="1056"/>
      <c r="BCE137" s="1056"/>
      <c r="BCF137" s="1056"/>
      <c r="BCG137" s="1056"/>
      <c r="BCH137" s="1056"/>
      <c r="BCI137" s="1056"/>
      <c r="BCJ137" s="1056"/>
      <c r="BCK137" s="1056"/>
      <c r="BCL137" s="1056"/>
      <c r="BCM137" s="1056"/>
      <c r="BCN137" s="1056"/>
      <c r="BCO137" s="1056"/>
      <c r="BCP137" s="1056"/>
      <c r="BCQ137" s="1056"/>
      <c r="BCR137" s="1056"/>
      <c r="BCS137" s="1056"/>
      <c r="BCT137" s="1056"/>
      <c r="BCU137" s="1056"/>
      <c r="BCV137" s="1056"/>
      <c r="BCW137" s="1056"/>
      <c r="BCX137" s="1056"/>
      <c r="BCY137" s="1056"/>
      <c r="BCZ137" s="1056"/>
      <c r="BDA137" s="1056"/>
      <c r="BDB137" s="1056"/>
      <c r="BDC137" s="1056"/>
      <c r="BDD137" s="1056"/>
      <c r="BDE137" s="1056"/>
      <c r="BDF137" s="1056"/>
      <c r="BDG137" s="1056"/>
      <c r="BDH137" s="1056"/>
      <c r="BDI137" s="1056"/>
      <c r="BDJ137" s="1056"/>
      <c r="BDK137" s="1056"/>
      <c r="BDL137" s="1056"/>
      <c r="BDM137" s="1056"/>
      <c r="BDN137" s="1056"/>
      <c r="BDO137" s="1056"/>
      <c r="BDP137" s="1056"/>
      <c r="BDQ137" s="1056"/>
      <c r="BDR137" s="1056"/>
      <c r="BDS137" s="1056"/>
      <c r="BDT137" s="1056"/>
      <c r="BDU137" s="1056"/>
      <c r="BDV137" s="1056"/>
      <c r="BDW137" s="1056"/>
      <c r="BDX137" s="1056"/>
      <c r="BDY137" s="1056"/>
      <c r="BDZ137" s="1056"/>
      <c r="BEA137" s="1056"/>
      <c r="BEB137" s="1056"/>
      <c r="BEC137" s="1056"/>
      <c r="BED137" s="1056"/>
      <c r="BEE137" s="1056"/>
      <c r="BEF137" s="1056"/>
      <c r="BEG137" s="1056"/>
      <c r="BEH137" s="1056"/>
      <c r="BEI137" s="1056"/>
      <c r="BEJ137" s="1056"/>
      <c r="BEK137" s="1056"/>
      <c r="BEL137" s="1056"/>
      <c r="BEM137" s="1056"/>
      <c r="BEN137" s="1056"/>
      <c r="BEO137" s="1056"/>
      <c r="BEP137" s="1056"/>
      <c r="BEQ137" s="1056"/>
      <c r="BER137" s="1056"/>
      <c r="BES137" s="1056"/>
      <c r="BET137" s="1056"/>
      <c r="BEU137" s="1056"/>
      <c r="BEV137" s="1056"/>
      <c r="BEW137" s="1056"/>
      <c r="BEX137" s="1056"/>
      <c r="BEY137" s="1056"/>
      <c r="BEZ137" s="1056"/>
      <c r="BFA137" s="1056"/>
      <c r="BFB137" s="1056"/>
      <c r="BFC137" s="1056"/>
      <c r="BFD137" s="1056"/>
      <c r="BFE137" s="1056"/>
      <c r="BFF137" s="1056"/>
      <c r="BFG137" s="1056"/>
      <c r="BFH137" s="1056"/>
      <c r="BFI137" s="1056"/>
      <c r="BFJ137" s="1056"/>
      <c r="BFK137" s="1056"/>
      <c r="BFL137" s="1056"/>
      <c r="BFM137" s="1056"/>
      <c r="BFN137" s="1056"/>
      <c r="BFO137" s="1056"/>
      <c r="BFP137" s="1056"/>
      <c r="BFQ137" s="1056"/>
      <c r="BFR137" s="1056"/>
      <c r="BFS137" s="1056"/>
      <c r="BFT137" s="1056"/>
      <c r="BFU137" s="1056"/>
      <c r="BFV137" s="1056"/>
      <c r="BFW137" s="1056"/>
      <c r="BFX137" s="1056"/>
      <c r="BFY137" s="1056"/>
      <c r="BFZ137" s="1056"/>
      <c r="BGA137" s="1056"/>
      <c r="BGB137" s="1056"/>
      <c r="BGC137" s="1056"/>
      <c r="BGD137" s="1056"/>
      <c r="BGE137" s="1056"/>
      <c r="BGF137" s="1056"/>
      <c r="BGG137" s="1056"/>
      <c r="BGH137" s="1056"/>
      <c r="BGI137" s="1056"/>
      <c r="BGJ137" s="1056"/>
      <c r="BGK137" s="1056"/>
      <c r="BGL137" s="1056"/>
      <c r="BGM137" s="1056"/>
      <c r="BGN137" s="1056"/>
      <c r="BGO137" s="1056"/>
      <c r="BGP137" s="1056"/>
      <c r="BGQ137" s="1056"/>
      <c r="BGR137" s="1056"/>
      <c r="BGS137" s="1056"/>
      <c r="BGT137" s="1056"/>
      <c r="BGU137" s="1056"/>
      <c r="BGV137" s="1056"/>
      <c r="BGW137" s="1056"/>
      <c r="BGX137" s="1056"/>
      <c r="BGY137" s="1056"/>
      <c r="BGZ137" s="1056"/>
      <c r="BHA137" s="1056"/>
      <c r="BHB137" s="1056"/>
      <c r="BHC137" s="1056"/>
      <c r="BHD137" s="1056"/>
      <c r="BHE137" s="1056"/>
      <c r="BHF137" s="1056"/>
      <c r="BHG137" s="1056"/>
      <c r="BHH137" s="1056"/>
      <c r="BHI137" s="1056"/>
      <c r="BHJ137" s="1056"/>
      <c r="BHK137" s="1056"/>
      <c r="BHL137" s="1056"/>
      <c r="BHM137" s="1056"/>
      <c r="BHN137" s="1056"/>
      <c r="BHO137" s="1056"/>
      <c r="BHP137" s="1056"/>
      <c r="BHQ137" s="1056"/>
      <c r="BHR137" s="1056"/>
      <c r="BHS137" s="1056"/>
      <c r="BHT137" s="1056"/>
      <c r="BHU137" s="1056"/>
      <c r="BHV137" s="1056"/>
      <c r="BHW137" s="1056"/>
      <c r="BHX137" s="1056"/>
      <c r="BHY137" s="1056"/>
      <c r="BHZ137" s="1056"/>
      <c r="BIA137" s="1056"/>
      <c r="BIB137" s="1056"/>
      <c r="BIC137" s="1056"/>
      <c r="BID137" s="1056"/>
      <c r="BIE137" s="1056"/>
      <c r="BIF137" s="1056"/>
      <c r="BIG137" s="1056"/>
      <c r="BIH137" s="1056"/>
      <c r="BII137" s="1056"/>
      <c r="BIJ137" s="1056"/>
      <c r="BIK137" s="1056"/>
      <c r="BIL137" s="1056"/>
      <c r="BIM137" s="1056"/>
      <c r="BIN137" s="1056"/>
      <c r="BIO137" s="1056"/>
      <c r="BIP137" s="1056"/>
      <c r="BIQ137" s="1056"/>
      <c r="BIR137" s="1056"/>
      <c r="BIS137" s="1056"/>
      <c r="BIT137" s="1056"/>
      <c r="BIU137" s="1056"/>
      <c r="BIV137" s="1056"/>
      <c r="BIW137" s="1056"/>
      <c r="BIX137" s="1056"/>
      <c r="BIY137" s="1056"/>
      <c r="BIZ137" s="1056"/>
      <c r="BJA137" s="1056"/>
      <c r="BJB137" s="1056"/>
      <c r="BJC137" s="1056"/>
      <c r="BJD137" s="1056"/>
      <c r="BJE137" s="1056"/>
      <c r="BJF137" s="1056"/>
      <c r="BJG137" s="1056"/>
      <c r="BJH137" s="1056"/>
      <c r="BJI137" s="1056"/>
      <c r="BJJ137" s="1056"/>
      <c r="BJK137" s="1056"/>
      <c r="BJL137" s="1056"/>
      <c r="BJM137" s="1056"/>
      <c r="BJN137" s="1056"/>
      <c r="BJO137" s="1056"/>
      <c r="BJP137" s="1056"/>
      <c r="BJQ137" s="1056"/>
      <c r="BJR137" s="1056"/>
      <c r="BJS137" s="1056"/>
      <c r="BJT137" s="1056"/>
      <c r="BJU137" s="1056"/>
      <c r="BJV137" s="1056"/>
      <c r="BJW137" s="1056"/>
      <c r="BJX137" s="1056"/>
      <c r="BJY137" s="1056"/>
      <c r="BJZ137" s="1056"/>
      <c r="BKA137" s="1056"/>
      <c r="BKB137" s="1056"/>
      <c r="BKC137" s="1056"/>
      <c r="BKD137" s="1056"/>
      <c r="BKE137" s="1056"/>
      <c r="BKF137" s="1056"/>
      <c r="BKG137" s="1056"/>
      <c r="BKH137" s="1056"/>
      <c r="BKI137" s="1056"/>
      <c r="BKJ137" s="1056"/>
      <c r="BKK137" s="1056"/>
      <c r="BKL137" s="1056"/>
      <c r="BKM137" s="1056"/>
      <c r="BKN137" s="1056"/>
      <c r="BKO137" s="1056"/>
      <c r="BKP137" s="1056"/>
      <c r="BKQ137" s="1056"/>
      <c r="BKR137" s="1056"/>
      <c r="BKS137" s="1056"/>
      <c r="BKT137" s="1056"/>
      <c r="BKU137" s="1056"/>
      <c r="BKV137" s="1056"/>
      <c r="BKW137" s="1056"/>
      <c r="BKX137" s="1056"/>
      <c r="BKY137" s="1056"/>
      <c r="BKZ137" s="1056"/>
      <c r="BLA137" s="1056"/>
      <c r="BLB137" s="1056"/>
      <c r="BLC137" s="1056"/>
      <c r="BLD137" s="1056"/>
      <c r="BLE137" s="1056"/>
      <c r="BLF137" s="1056"/>
      <c r="BLG137" s="1056"/>
      <c r="BLH137" s="1056"/>
      <c r="BLI137" s="1056"/>
      <c r="BLJ137" s="1056"/>
      <c r="BLK137" s="1056"/>
      <c r="BLL137" s="1056"/>
      <c r="BLM137" s="1056"/>
      <c r="BLN137" s="1056"/>
      <c r="BLO137" s="1056"/>
      <c r="BLP137" s="1056"/>
      <c r="BLQ137" s="1056"/>
      <c r="BLR137" s="1056"/>
      <c r="BLS137" s="1056"/>
      <c r="BLT137" s="1056"/>
      <c r="BLU137" s="1056"/>
      <c r="BLV137" s="1056"/>
      <c r="BLW137" s="1056"/>
      <c r="BLX137" s="1056"/>
      <c r="BLY137" s="1056"/>
      <c r="BLZ137" s="1056"/>
      <c r="BMA137" s="1056"/>
      <c r="BMB137" s="1056"/>
      <c r="BMC137" s="1056"/>
      <c r="BMD137" s="1056"/>
      <c r="BME137" s="1056"/>
      <c r="BMF137" s="1056"/>
      <c r="BMG137" s="1056"/>
      <c r="BMH137" s="1056"/>
      <c r="BMI137" s="1056"/>
      <c r="BMJ137" s="1056"/>
      <c r="BMK137" s="1056"/>
      <c r="BML137" s="1056"/>
      <c r="BMM137" s="1056"/>
      <c r="BMN137" s="1056"/>
      <c r="BMO137" s="1056"/>
      <c r="BMP137" s="1056"/>
      <c r="BMQ137" s="1056"/>
      <c r="BMR137" s="1056"/>
      <c r="BMS137" s="1056"/>
      <c r="BMT137" s="1056"/>
      <c r="BMU137" s="1056"/>
      <c r="BMV137" s="1056"/>
      <c r="BMW137" s="1056"/>
      <c r="BMX137" s="1056"/>
      <c r="BMY137" s="1056"/>
      <c r="BMZ137" s="1056"/>
      <c r="BNA137" s="1056"/>
      <c r="BNB137" s="1056"/>
      <c r="BNC137" s="1056"/>
      <c r="BND137" s="1056"/>
      <c r="BNE137" s="1056"/>
      <c r="BNF137" s="1056"/>
      <c r="BNG137" s="1056"/>
      <c r="BNH137" s="1056"/>
      <c r="BNI137" s="1056"/>
      <c r="BNJ137" s="1056"/>
      <c r="BNK137" s="1056"/>
      <c r="BNL137" s="1056"/>
      <c r="BNM137" s="1056"/>
      <c r="BNN137" s="1056"/>
      <c r="BNO137" s="1056"/>
      <c r="BNP137" s="1056"/>
      <c r="BNQ137" s="1056"/>
      <c r="BNR137" s="1056"/>
      <c r="BNS137" s="1056"/>
      <c r="BNT137" s="1056"/>
      <c r="BNU137" s="1056"/>
      <c r="BNV137" s="1056"/>
      <c r="BNW137" s="1056"/>
      <c r="BNX137" s="1056"/>
      <c r="BNY137" s="1056"/>
      <c r="BNZ137" s="1056"/>
      <c r="BOA137" s="1056"/>
      <c r="BOB137" s="1056"/>
      <c r="BOC137" s="1056"/>
      <c r="BOD137" s="1056"/>
      <c r="BOE137" s="1056"/>
      <c r="BOF137" s="1056"/>
      <c r="BOG137" s="1056"/>
      <c r="BOH137" s="1056"/>
      <c r="BOI137" s="1056"/>
      <c r="BOJ137" s="1056"/>
      <c r="BOK137" s="1056"/>
      <c r="BOL137" s="1056"/>
      <c r="BOM137" s="1056"/>
      <c r="BON137" s="1056"/>
      <c r="BOO137" s="1056"/>
      <c r="BOP137" s="1056"/>
      <c r="BOQ137" s="1056"/>
      <c r="BOR137" s="1056"/>
      <c r="BOS137" s="1056"/>
      <c r="BOT137" s="1056"/>
      <c r="BOU137" s="1056"/>
      <c r="BOV137" s="1056"/>
      <c r="BOW137" s="1056"/>
      <c r="BOX137" s="1056"/>
      <c r="BOY137" s="1056"/>
      <c r="BOZ137" s="1056"/>
      <c r="BPA137" s="1056"/>
      <c r="BPB137" s="1056"/>
      <c r="BPC137" s="1056"/>
      <c r="BPD137" s="1056"/>
      <c r="BPE137" s="1056"/>
      <c r="BPF137" s="1056"/>
      <c r="BPG137" s="1056"/>
      <c r="BPH137" s="1056"/>
      <c r="BPI137" s="1056"/>
      <c r="BPJ137" s="1056"/>
      <c r="BPK137" s="1056"/>
      <c r="BPL137" s="1056"/>
      <c r="BPM137" s="1056"/>
      <c r="BPN137" s="1056"/>
      <c r="BPO137" s="1056"/>
      <c r="BPP137" s="1056"/>
      <c r="BPQ137" s="1056"/>
      <c r="BPR137" s="1056"/>
      <c r="BPS137" s="1056"/>
      <c r="BPT137" s="1056"/>
      <c r="BPU137" s="1056"/>
      <c r="BPV137" s="1056"/>
      <c r="BPW137" s="1056"/>
      <c r="BPX137" s="1056"/>
      <c r="BPY137" s="1056"/>
      <c r="BPZ137" s="1056"/>
      <c r="BQA137" s="1056"/>
      <c r="BQB137" s="1056"/>
      <c r="BQC137" s="1056"/>
      <c r="BQD137" s="1056"/>
      <c r="BQE137" s="1056"/>
      <c r="BQF137" s="1056"/>
      <c r="BQG137" s="1056"/>
      <c r="BQH137" s="1056"/>
      <c r="BQI137" s="1056"/>
      <c r="BQJ137" s="1056"/>
      <c r="BQK137" s="1056"/>
      <c r="BQL137" s="1056"/>
      <c r="BQM137" s="1056"/>
      <c r="BQN137" s="1056"/>
      <c r="BQO137" s="1056"/>
      <c r="BQP137" s="1056"/>
      <c r="BQQ137" s="1056"/>
      <c r="BQR137" s="1056"/>
      <c r="BQS137" s="1056"/>
      <c r="BQT137" s="1056"/>
      <c r="BQU137" s="1056"/>
      <c r="BQV137" s="1056"/>
      <c r="BQW137" s="1056"/>
      <c r="BQX137" s="1056"/>
      <c r="BQY137" s="1056"/>
      <c r="BQZ137" s="1056"/>
      <c r="BRA137" s="1056"/>
      <c r="BRB137" s="1056"/>
      <c r="BRC137" s="1056"/>
      <c r="BRD137" s="1056"/>
      <c r="BRE137" s="1056"/>
      <c r="BRF137" s="1056"/>
      <c r="BRG137" s="1056"/>
      <c r="BRH137" s="1056"/>
      <c r="BRI137" s="1056"/>
      <c r="BRJ137" s="1056"/>
      <c r="BRK137" s="1056"/>
      <c r="BRL137" s="1056"/>
      <c r="BRM137" s="1056"/>
      <c r="BRN137" s="1056"/>
      <c r="BRO137" s="1056"/>
      <c r="BRP137" s="1056"/>
      <c r="BRQ137" s="1056"/>
      <c r="BRR137" s="1056"/>
      <c r="BRS137" s="1056"/>
      <c r="BRT137" s="1056"/>
      <c r="BRU137" s="1056"/>
      <c r="BRV137" s="1056"/>
      <c r="BRW137" s="1056"/>
      <c r="BRX137" s="1056"/>
      <c r="BRY137" s="1056"/>
      <c r="BRZ137" s="1056"/>
      <c r="BSA137" s="1056"/>
      <c r="BSB137" s="1056"/>
      <c r="BSC137" s="1056"/>
      <c r="BSD137" s="1056"/>
      <c r="BSE137" s="1056"/>
      <c r="BSF137" s="1056"/>
      <c r="BSG137" s="1056"/>
      <c r="BSH137" s="1056"/>
      <c r="BSI137" s="1056"/>
      <c r="BSJ137" s="1056"/>
      <c r="BSK137" s="1056"/>
      <c r="BSL137" s="1056"/>
      <c r="BSM137" s="1056"/>
      <c r="BSN137" s="1056"/>
      <c r="BSO137" s="1056"/>
      <c r="BSP137" s="1056"/>
      <c r="BSQ137" s="1056"/>
      <c r="BSR137" s="1056"/>
      <c r="BSS137" s="1056"/>
      <c r="BST137" s="1056"/>
      <c r="BSU137" s="1056"/>
      <c r="BSV137" s="1056"/>
      <c r="BSW137" s="1056"/>
      <c r="BSX137" s="1056"/>
      <c r="BSY137" s="1056"/>
      <c r="BSZ137" s="1056"/>
      <c r="BTA137" s="1056"/>
      <c r="BTB137" s="1056"/>
      <c r="BTC137" s="1056"/>
      <c r="BTD137" s="1056"/>
      <c r="BTE137" s="1056"/>
      <c r="BTF137" s="1056"/>
      <c r="BTG137" s="1056"/>
      <c r="BTH137" s="1056"/>
      <c r="BTI137" s="1056"/>
    </row>
    <row r="138" spans="1:1881" s="1060" customFormat="1" ht="48" hidden="1" customHeight="1" x14ac:dyDescent="0.3">
      <c r="A138" s="1059">
        <v>381</v>
      </c>
      <c r="B138" s="808" t="s">
        <v>37</v>
      </c>
      <c r="C138" s="808" t="s">
        <v>1387</v>
      </c>
      <c r="D138" s="1088" t="s">
        <v>130</v>
      </c>
      <c r="E138" s="1053" t="e">
        <f>HLOOKUP($D$2,'2020 Data(H)'!$C$1:$AI$426,140,FALSE)</f>
        <v>#N/A</v>
      </c>
      <c r="F138" s="287">
        <v>0</v>
      </c>
      <c r="G138" s="722">
        <f>IF(F136&gt;F138,"Error: Please review components of current assets above. Account numbers 654&gt;381",)</f>
        <v>0</v>
      </c>
      <c r="H138" s="764"/>
      <c r="I138" s="1055"/>
      <c r="J138" s="1056"/>
      <c r="K138" s="1056"/>
      <c r="L138" s="1056"/>
      <c r="M138" s="1056"/>
      <c r="N138" s="1058"/>
      <c r="O138" s="1056"/>
      <c r="P138" s="1056"/>
      <c r="Q138" s="1056"/>
      <c r="R138" s="1056"/>
      <c r="S138" s="1056"/>
      <c r="T138" s="1056"/>
      <c r="U138" s="1056"/>
      <c r="V138" s="1056"/>
      <c r="W138" s="1056"/>
      <c r="X138" s="1056"/>
      <c r="Y138" s="1056"/>
      <c r="Z138" s="1059"/>
      <c r="AA138" s="1059"/>
      <c r="AB138" s="1059"/>
      <c r="AC138" s="1059"/>
      <c r="AD138" s="1059"/>
      <c r="AE138" s="1059"/>
      <c r="AF138" s="1059"/>
      <c r="AG138" s="1059"/>
      <c r="AH138" s="1059"/>
      <c r="AI138" s="1059"/>
      <c r="AJ138" s="1059"/>
      <c r="AK138" s="1059"/>
      <c r="AL138" s="1059"/>
      <c r="AM138" s="1059"/>
      <c r="AN138" s="1059"/>
      <c r="AO138" s="1059"/>
      <c r="AP138" s="1059"/>
      <c r="AQ138" s="1059"/>
      <c r="AR138" s="1059"/>
      <c r="AS138" s="1056"/>
      <c r="AT138" s="1056"/>
      <c r="AU138" s="1056"/>
      <c r="AV138" s="1056"/>
      <c r="AW138" s="1056"/>
      <c r="AX138" s="1056"/>
      <c r="AY138" s="1056"/>
      <c r="AZ138" s="1056"/>
      <c r="BA138" s="1056"/>
      <c r="BB138" s="1056"/>
      <c r="BC138" s="1056"/>
      <c r="BD138" s="1056"/>
      <c r="BE138" s="1056"/>
      <c r="BF138" s="1056"/>
      <c r="BG138" s="1056"/>
      <c r="BH138" s="1056"/>
      <c r="BI138" s="1056"/>
      <c r="BJ138" s="1056"/>
      <c r="BK138" s="1056"/>
      <c r="BL138" s="1056"/>
      <c r="BM138" s="1056"/>
      <c r="BN138" s="1056"/>
      <c r="BO138" s="1056"/>
      <c r="BP138" s="1056"/>
      <c r="BQ138" s="1056"/>
      <c r="BR138" s="1056"/>
      <c r="BS138" s="1056"/>
      <c r="BT138" s="1056"/>
      <c r="BU138" s="1056"/>
      <c r="BV138" s="1056"/>
      <c r="BW138" s="1056"/>
      <c r="BX138" s="1056"/>
      <c r="BY138" s="1056"/>
      <c r="BZ138" s="1056"/>
      <c r="CA138" s="1056"/>
      <c r="CB138" s="1056"/>
      <c r="CC138" s="1056"/>
      <c r="CD138" s="1056"/>
      <c r="CE138" s="1056"/>
      <c r="CF138" s="1056"/>
      <c r="CG138" s="1056"/>
      <c r="CH138" s="1056"/>
      <c r="CI138" s="1056"/>
      <c r="CJ138" s="1056"/>
      <c r="CK138" s="1056"/>
      <c r="CL138" s="1056"/>
      <c r="CM138" s="1056"/>
      <c r="CN138" s="1056"/>
      <c r="CO138" s="1056"/>
      <c r="CP138" s="1056"/>
      <c r="CQ138" s="1056"/>
      <c r="CR138" s="1056"/>
      <c r="CS138" s="1056"/>
      <c r="CT138" s="1056"/>
      <c r="CU138" s="1056"/>
      <c r="CV138" s="1056"/>
      <c r="CW138" s="1056"/>
      <c r="CX138" s="1056"/>
      <c r="CY138" s="1056"/>
      <c r="CZ138" s="1056"/>
      <c r="DA138" s="1056"/>
      <c r="DB138" s="1056"/>
      <c r="DC138" s="1056"/>
      <c r="DD138" s="1056"/>
      <c r="DE138" s="1056"/>
      <c r="DF138" s="1056"/>
      <c r="DG138" s="1056"/>
      <c r="DH138" s="1056"/>
      <c r="DI138" s="1056"/>
      <c r="DJ138" s="1056"/>
      <c r="DK138" s="1056"/>
      <c r="DL138" s="1056"/>
      <c r="DM138" s="1056"/>
      <c r="DN138" s="1056"/>
      <c r="DO138" s="1056"/>
      <c r="DP138" s="1056"/>
      <c r="DQ138" s="1056"/>
      <c r="DR138" s="1056"/>
      <c r="DS138" s="1056"/>
      <c r="DT138" s="1056"/>
      <c r="DU138" s="1056"/>
      <c r="DV138" s="1056"/>
      <c r="DW138" s="1056"/>
      <c r="DX138" s="1056"/>
      <c r="DY138" s="1056"/>
      <c r="DZ138" s="1056"/>
      <c r="EA138" s="1056"/>
      <c r="EB138" s="1056"/>
      <c r="EC138" s="1056"/>
      <c r="ED138" s="1056"/>
      <c r="EE138" s="1056"/>
      <c r="EF138" s="1056"/>
      <c r="EG138" s="1056"/>
      <c r="EH138" s="1056"/>
      <c r="EI138" s="1056"/>
      <c r="EJ138" s="1056"/>
      <c r="EK138" s="1056"/>
      <c r="EL138" s="1056"/>
      <c r="EM138" s="1056"/>
      <c r="EN138" s="1056"/>
      <c r="EO138" s="1056"/>
      <c r="EP138" s="1056"/>
      <c r="EQ138" s="1056"/>
      <c r="ER138" s="1056"/>
      <c r="ES138" s="1056"/>
      <c r="ET138" s="1056"/>
      <c r="EU138" s="1056"/>
      <c r="EV138" s="1056"/>
      <c r="EW138" s="1056"/>
      <c r="EX138" s="1056"/>
      <c r="EY138" s="1056"/>
      <c r="EZ138" s="1056"/>
      <c r="FA138" s="1056"/>
      <c r="FB138" s="1056"/>
      <c r="FC138" s="1056"/>
      <c r="FD138" s="1056"/>
      <c r="FE138" s="1056"/>
      <c r="FF138" s="1056"/>
      <c r="FG138" s="1056"/>
      <c r="FH138" s="1056"/>
      <c r="FI138" s="1056"/>
      <c r="FJ138" s="1056"/>
      <c r="FK138" s="1056"/>
      <c r="FL138" s="1056"/>
      <c r="FM138" s="1056"/>
      <c r="FN138" s="1056"/>
      <c r="FO138" s="1056"/>
      <c r="FP138" s="1056"/>
      <c r="FQ138" s="1056"/>
      <c r="FR138" s="1056"/>
      <c r="FS138" s="1056"/>
      <c r="FT138" s="1056"/>
      <c r="FU138" s="1056"/>
      <c r="FV138" s="1056"/>
      <c r="FW138" s="1056"/>
      <c r="FX138" s="1056"/>
      <c r="FY138" s="1056"/>
      <c r="FZ138" s="1056"/>
      <c r="GA138" s="1056"/>
      <c r="GB138" s="1056"/>
      <c r="GC138" s="1056"/>
      <c r="GD138" s="1056"/>
      <c r="GE138" s="1056"/>
      <c r="GF138" s="1056"/>
      <c r="GG138" s="1056"/>
      <c r="GH138" s="1056"/>
      <c r="GI138" s="1056"/>
      <c r="GJ138" s="1056"/>
      <c r="GK138" s="1056"/>
      <c r="GL138" s="1056"/>
      <c r="GM138" s="1056"/>
      <c r="GN138" s="1056"/>
      <c r="GO138" s="1056"/>
      <c r="GP138" s="1056"/>
      <c r="GQ138" s="1056"/>
      <c r="GR138" s="1056"/>
      <c r="GS138" s="1056"/>
      <c r="GT138" s="1056"/>
      <c r="GU138" s="1056"/>
      <c r="GV138" s="1056"/>
      <c r="GW138" s="1056"/>
      <c r="GX138" s="1056"/>
      <c r="GY138" s="1056"/>
      <c r="GZ138" s="1056"/>
      <c r="HA138" s="1056"/>
      <c r="HB138" s="1056"/>
      <c r="HC138" s="1056"/>
      <c r="HD138" s="1056"/>
      <c r="HE138" s="1056"/>
      <c r="HF138" s="1056"/>
      <c r="HG138" s="1056"/>
      <c r="HH138" s="1056"/>
      <c r="HI138" s="1056"/>
      <c r="HJ138" s="1056"/>
      <c r="HK138" s="1056"/>
      <c r="HL138" s="1056"/>
      <c r="HM138" s="1056"/>
      <c r="HN138" s="1056"/>
      <c r="HO138" s="1056"/>
      <c r="HP138" s="1056"/>
      <c r="HQ138" s="1056"/>
      <c r="HR138" s="1056"/>
      <c r="HS138" s="1056"/>
      <c r="HT138" s="1056"/>
      <c r="HU138" s="1056"/>
      <c r="HV138" s="1056"/>
      <c r="HW138" s="1056"/>
      <c r="HX138" s="1056"/>
      <c r="HY138" s="1056"/>
      <c r="HZ138" s="1056"/>
      <c r="IA138" s="1056"/>
      <c r="IB138" s="1056"/>
      <c r="IC138" s="1056"/>
      <c r="ID138" s="1056"/>
      <c r="IE138" s="1056"/>
      <c r="IF138" s="1056"/>
      <c r="IG138" s="1056"/>
      <c r="IH138" s="1056"/>
      <c r="II138" s="1056"/>
      <c r="IJ138" s="1056"/>
      <c r="IK138" s="1056"/>
      <c r="IL138" s="1056"/>
      <c r="IM138" s="1056"/>
      <c r="IN138" s="1056"/>
      <c r="IO138" s="1056"/>
      <c r="IP138" s="1056"/>
      <c r="IQ138" s="1056"/>
      <c r="IR138" s="1056"/>
      <c r="IS138" s="1056"/>
      <c r="IT138" s="1056"/>
      <c r="IU138" s="1056"/>
      <c r="IV138" s="1056"/>
      <c r="IW138" s="1056"/>
      <c r="IX138" s="1056"/>
      <c r="IY138" s="1056"/>
      <c r="IZ138" s="1056"/>
      <c r="JA138" s="1056"/>
      <c r="JB138" s="1056"/>
      <c r="JC138" s="1056"/>
      <c r="JD138" s="1056"/>
      <c r="JE138" s="1056"/>
      <c r="JF138" s="1056"/>
      <c r="JG138" s="1056"/>
      <c r="JH138" s="1056"/>
      <c r="JI138" s="1056"/>
      <c r="JJ138" s="1056"/>
      <c r="JK138" s="1056"/>
      <c r="JL138" s="1056"/>
      <c r="JM138" s="1056"/>
      <c r="JN138" s="1056"/>
      <c r="JO138" s="1056"/>
      <c r="JP138" s="1056"/>
      <c r="JQ138" s="1056"/>
      <c r="JR138" s="1056"/>
      <c r="JS138" s="1056"/>
      <c r="JT138" s="1056"/>
      <c r="JU138" s="1056"/>
      <c r="JV138" s="1056"/>
      <c r="JW138" s="1056"/>
      <c r="JX138" s="1056"/>
      <c r="JY138" s="1056"/>
      <c r="JZ138" s="1056"/>
      <c r="KA138" s="1056"/>
      <c r="KB138" s="1056"/>
      <c r="KC138" s="1056"/>
      <c r="KD138" s="1056"/>
      <c r="KE138" s="1056"/>
      <c r="KF138" s="1056"/>
      <c r="KG138" s="1056"/>
      <c r="KH138" s="1056"/>
      <c r="KI138" s="1056"/>
      <c r="KJ138" s="1056"/>
      <c r="KK138" s="1056"/>
      <c r="KL138" s="1056"/>
      <c r="KM138" s="1056"/>
      <c r="KN138" s="1056"/>
      <c r="KO138" s="1056"/>
      <c r="KP138" s="1056"/>
      <c r="KQ138" s="1056"/>
      <c r="KR138" s="1056"/>
      <c r="KS138" s="1056"/>
      <c r="KT138" s="1056"/>
      <c r="KU138" s="1056"/>
      <c r="KV138" s="1056"/>
      <c r="KW138" s="1056"/>
      <c r="KX138" s="1056"/>
      <c r="KY138" s="1056"/>
      <c r="KZ138" s="1056"/>
      <c r="LA138" s="1056"/>
      <c r="LB138" s="1056"/>
      <c r="LC138" s="1056"/>
      <c r="LD138" s="1056"/>
      <c r="LE138" s="1056"/>
      <c r="LF138" s="1056"/>
      <c r="LG138" s="1056"/>
      <c r="LH138" s="1056"/>
      <c r="LI138" s="1056"/>
      <c r="LJ138" s="1056"/>
      <c r="LK138" s="1056"/>
      <c r="LL138" s="1056"/>
      <c r="LM138" s="1056"/>
      <c r="LN138" s="1056"/>
      <c r="LO138" s="1056"/>
      <c r="LP138" s="1056"/>
      <c r="LQ138" s="1056"/>
      <c r="LR138" s="1056"/>
      <c r="LS138" s="1056"/>
      <c r="LT138" s="1056"/>
      <c r="LU138" s="1056"/>
      <c r="LV138" s="1056"/>
      <c r="LW138" s="1056"/>
      <c r="LX138" s="1056"/>
      <c r="LY138" s="1056"/>
      <c r="LZ138" s="1056"/>
      <c r="MA138" s="1056"/>
      <c r="MB138" s="1056"/>
      <c r="MC138" s="1056"/>
      <c r="MD138" s="1056"/>
      <c r="ME138" s="1056"/>
      <c r="MF138" s="1056"/>
      <c r="MG138" s="1056"/>
      <c r="MH138" s="1056"/>
      <c r="MI138" s="1056"/>
      <c r="MJ138" s="1056"/>
      <c r="MK138" s="1056"/>
      <c r="ML138" s="1056"/>
      <c r="MM138" s="1056"/>
      <c r="MN138" s="1056"/>
      <c r="MO138" s="1056"/>
      <c r="MP138" s="1056"/>
      <c r="MQ138" s="1056"/>
      <c r="MR138" s="1056"/>
      <c r="MS138" s="1056"/>
      <c r="MT138" s="1056"/>
      <c r="MU138" s="1056"/>
      <c r="MV138" s="1056"/>
      <c r="MW138" s="1056"/>
      <c r="MX138" s="1056"/>
      <c r="MY138" s="1056"/>
      <c r="MZ138" s="1056"/>
      <c r="NA138" s="1056"/>
      <c r="NB138" s="1056"/>
      <c r="NC138" s="1056"/>
      <c r="ND138" s="1056"/>
      <c r="NE138" s="1056"/>
      <c r="NF138" s="1056"/>
      <c r="NG138" s="1056"/>
      <c r="NH138" s="1056"/>
      <c r="NI138" s="1056"/>
      <c r="NJ138" s="1056"/>
      <c r="NK138" s="1056"/>
      <c r="NL138" s="1056"/>
      <c r="NM138" s="1056"/>
      <c r="NN138" s="1056"/>
      <c r="NO138" s="1056"/>
      <c r="NP138" s="1056"/>
      <c r="NQ138" s="1056"/>
      <c r="NR138" s="1056"/>
      <c r="NS138" s="1056"/>
      <c r="NT138" s="1056"/>
      <c r="NU138" s="1056"/>
      <c r="NV138" s="1056"/>
      <c r="NW138" s="1056"/>
      <c r="NX138" s="1056"/>
      <c r="NY138" s="1056"/>
      <c r="NZ138" s="1056"/>
      <c r="OA138" s="1056"/>
      <c r="OB138" s="1056"/>
      <c r="OC138" s="1056"/>
      <c r="OD138" s="1056"/>
      <c r="OE138" s="1056"/>
      <c r="OF138" s="1056"/>
      <c r="OG138" s="1056"/>
      <c r="OH138" s="1056"/>
      <c r="OI138" s="1056"/>
      <c r="OJ138" s="1056"/>
      <c r="OK138" s="1056"/>
      <c r="OL138" s="1056"/>
      <c r="OM138" s="1056"/>
      <c r="ON138" s="1056"/>
      <c r="OO138" s="1056"/>
      <c r="OP138" s="1056"/>
      <c r="OQ138" s="1056"/>
      <c r="OR138" s="1056"/>
      <c r="OS138" s="1056"/>
      <c r="OT138" s="1056"/>
      <c r="OU138" s="1056"/>
      <c r="OV138" s="1056"/>
      <c r="OW138" s="1056"/>
      <c r="OX138" s="1056"/>
      <c r="OY138" s="1056"/>
      <c r="OZ138" s="1056"/>
      <c r="PA138" s="1056"/>
      <c r="PB138" s="1056"/>
      <c r="PC138" s="1056"/>
      <c r="PD138" s="1056"/>
      <c r="PE138" s="1056"/>
      <c r="PF138" s="1056"/>
      <c r="PG138" s="1056"/>
      <c r="PH138" s="1056"/>
      <c r="PI138" s="1056"/>
      <c r="PJ138" s="1056"/>
      <c r="PK138" s="1056"/>
      <c r="PL138" s="1056"/>
      <c r="PM138" s="1056"/>
      <c r="PN138" s="1056"/>
      <c r="PO138" s="1056"/>
      <c r="PP138" s="1056"/>
      <c r="PQ138" s="1056"/>
      <c r="PR138" s="1056"/>
      <c r="PS138" s="1056"/>
      <c r="PT138" s="1056"/>
      <c r="PU138" s="1056"/>
      <c r="PV138" s="1056"/>
      <c r="PW138" s="1056"/>
      <c r="PX138" s="1056"/>
      <c r="PY138" s="1056"/>
      <c r="PZ138" s="1056"/>
      <c r="QA138" s="1056"/>
      <c r="QB138" s="1056"/>
      <c r="QC138" s="1056"/>
      <c r="QD138" s="1056"/>
      <c r="QE138" s="1056"/>
      <c r="QF138" s="1056"/>
      <c r="QG138" s="1056"/>
      <c r="QH138" s="1056"/>
      <c r="QI138" s="1056"/>
      <c r="QJ138" s="1056"/>
      <c r="QK138" s="1056"/>
      <c r="QL138" s="1056"/>
      <c r="QM138" s="1056"/>
      <c r="QN138" s="1056"/>
      <c r="QO138" s="1056"/>
      <c r="QP138" s="1056"/>
      <c r="QQ138" s="1056"/>
      <c r="QR138" s="1056"/>
      <c r="QS138" s="1056"/>
      <c r="QT138" s="1056"/>
      <c r="QU138" s="1056"/>
      <c r="QV138" s="1056"/>
      <c r="QW138" s="1056"/>
      <c r="QX138" s="1056"/>
      <c r="QY138" s="1056"/>
      <c r="QZ138" s="1056"/>
      <c r="RA138" s="1056"/>
      <c r="RB138" s="1056"/>
      <c r="RC138" s="1056"/>
      <c r="RD138" s="1056"/>
      <c r="RE138" s="1056"/>
      <c r="RF138" s="1056"/>
      <c r="RG138" s="1056"/>
      <c r="RH138" s="1056"/>
      <c r="RI138" s="1056"/>
      <c r="RJ138" s="1056"/>
      <c r="RK138" s="1056"/>
      <c r="RL138" s="1056"/>
      <c r="RM138" s="1056"/>
      <c r="RN138" s="1056"/>
      <c r="RO138" s="1056"/>
      <c r="RP138" s="1056"/>
      <c r="RQ138" s="1056"/>
      <c r="RR138" s="1056"/>
      <c r="RS138" s="1056"/>
      <c r="RT138" s="1056"/>
      <c r="RU138" s="1056"/>
      <c r="RV138" s="1056"/>
      <c r="RW138" s="1056"/>
      <c r="RX138" s="1056"/>
      <c r="RY138" s="1056"/>
      <c r="RZ138" s="1056"/>
      <c r="SA138" s="1056"/>
      <c r="SB138" s="1056"/>
      <c r="SC138" s="1056"/>
      <c r="SD138" s="1056"/>
      <c r="SE138" s="1056"/>
      <c r="SF138" s="1056"/>
      <c r="SG138" s="1056"/>
      <c r="SH138" s="1056"/>
      <c r="SI138" s="1056"/>
      <c r="SJ138" s="1056"/>
      <c r="SK138" s="1056"/>
      <c r="SL138" s="1056"/>
      <c r="SM138" s="1056"/>
      <c r="SN138" s="1056"/>
      <c r="SO138" s="1056"/>
      <c r="SP138" s="1056"/>
      <c r="SQ138" s="1056"/>
      <c r="SR138" s="1056"/>
      <c r="SS138" s="1056"/>
      <c r="ST138" s="1056"/>
      <c r="SU138" s="1056"/>
      <c r="SV138" s="1056"/>
      <c r="SW138" s="1056"/>
      <c r="SX138" s="1056"/>
      <c r="SY138" s="1056"/>
      <c r="SZ138" s="1056"/>
      <c r="TA138" s="1056"/>
      <c r="TB138" s="1056"/>
      <c r="TC138" s="1056"/>
      <c r="TD138" s="1056"/>
      <c r="TE138" s="1056"/>
      <c r="TF138" s="1056"/>
      <c r="TG138" s="1056"/>
      <c r="TH138" s="1056"/>
      <c r="TI138" s="1056"/>
      <c r="TJ138" s="1056"/>
      <c r="TK138" s="1056"/>
      <c r="TL138" s="1056"/>
      <c r="TM138" s="1056"/>
      <c r="TN138" s="1056"/>
      <c r="TO138" s="1056"/>
      <c r="TP138" s="1056"/>
      <c r="TQ138" s="1056"/>
      <c r="TR138" s="1056"/>
      <c r="TS138" s="1056"/>
      <c r="TT138" s="1056"/>
      <c r="TU138" s="1056"/>
      <c r="TV138" s="1056"/>
      <c r="TW138" s="1056"/>
      <c r="TX138" s="1056"/>
      <c r="TY138" s="1056"/>
      <c r="TZ138" s="1056"/>
      <c r="UA138" s="1056"/>
      <c r="UB138" s="1056"/>
      <c r="UC138" s="1056"/>
      <c r="UD138" s="1056"/>
      <c r="UE138" s="1056"/>
      <c r="UF138" s="1056"/>
      <c r="UG138" s="1056"/>
      <c r="UH138" s="1056"/>
      <c r="UI138" s="1056"/>
      <c r="UJ138" s="1056"/>
      <c r="UK138" s="1056"/>
      <c r="UL138" s="1056"/>
      <c r="UM138" s="1056"/>
      <c r="UN138" s="1056"/>
      <c r="UO138" s="1056"/>
      <c r="UP138" s="1056"/>
      <c r="UQ138" s="1056"/>
      <c r="UR138" s="1056"/>
      <c r="US138" s="1056"/>
      <c r="UT138" s="1056"/>
      <c r="UU138" s="1056"/>
      <c r="UV138" s="1056"/>
      <c r="UW138" s="1056"/>
      <c r="UX138" s="1056"/>
      <c r="UY138" s="1056"/>
      <c r="UZ138" s="1056"/>
      <c r="VA138" s="1056"/>
      <c r="VB138" s="1056"/>
      <c r="VC138" s="1056"/>
      <c r="VD138" s="1056"/>
      <c r="VE138" s="1056"/>
      <c r="VF138" s="1056"/>
      <c r="VG138" s="1056"/>
      <c r="VH138" s="1056"/>
      <c r="VI138" s="1056"/>
      <c r="VJ138" s="1056"/>
      <c r="VK138" s="1056"/>
      <c r="VL138" s="1056"/>
      <c r="VM138" s="1056"/>
      <c r="VN138" s="1056"/>
      <c r="VO138" s="1056"/>
      <c r="VP138" s="1056"/>
      <c r="VQ138" s="1056"/>
      <c r="VR138" s="1056"/>
      <c r="VS138" s="1056"/>
      <c r="VT138" s="1056"/>
      <c r="VU138" s="1056"/>
      <c r="VV138" s="1056"/>
      <c r="VW138" s="1056"/>
      <c r="VX138" s="1056"/>
      <c r="VY138" s="1056"/>
      <c r="VZ138" s="1056"/>
      <c r="WA138" s="1056"/>
      <c r="WB138" s="1056"/>
      <c r="WC138" s="1056"/>
      <c r="WD138" s="1056"/>
      <c r="WE138" s="1056"/>
      <c r="WF138" s="1056"/>
      <c r="WG138" s="1056"/>
      <c r="WH138" s="1056"/>
      <c r="WI138" s="1056"/>
      <c r="WJ138" s="1056"/>
      <c r="WK138" s="1056"/>
      <c r="WL138" s="1056"/>
      <c r="WM138" s="1056"/>
      <c r="WN138" s="1056"/>
      <c r="WO138" s="1056"/>
      <c r="WP138" s="1056"/>
      <c r="WQ138" s="1056"/>
      <c r="WR138" s="1056"/>
      <c r="WS138" s="1056"/>
      <c r="WT138" s="1056"/>
      <c r="WU138" s="1056"/>
      <c r="WV138" s="1056"/>
      <c r="WW138" s="1056"/>
      <c r="WX138" s="1056"/>
      <c r="WY138" s="1056"/>
      <c r="WZ138" s="1056"/>
      <c r="XA138" s="1056"/>
      <c r="XB138" s="1056"/>
      <c r="XC138" s="1056"/>
      <c r="XD138" s="1056"/>
      <c r="XE138" s="1056"/>
      <c r="XF138" s="1056"/>
      <c r="XG138" s="1056"/>
      <c r="XH138" s="1056"/>
      <c r="XI138" s="1056"/>
      <c r="XJ138" s="1056"/>
      <c r="XK138" s="1056"/>
      <c r="XL138" s="1056"/>
      <c r="XM138" s="1056"/>
      <c r="XN138" s="1056"/>
      <c r="XO138" s="1056"/>
      <c r="XP138" s="1056"/>
      <c r="XQ138" s="1056"/>
      <c r="XR138" s="1056"/>
      <c r="XS138" s="1056"/>
      <c r="XT138" s="1056"/>
      <c r="XU138" s="1056"/>
      <c r="XV138" s="1056"/>
      <c r="XW138" s="1056"/>
      <c r="XX138" s="1056"/>
      <c r="XY138" s="1056"/>
      <c r="XZ138" s="1056"/>
      <c r="YA138" s="1056"/>
      <c r="YB138" s="1056"/>
      <c r="YC138" s="1056"/>
      <c r="YD138" s="1056"/>
      <c r="YE138" s="1056"/>
      <c r="YF138" s="1056"/>
      <c r="YG138" s="1056"/>
      <c r="YH138" s="1056"/>
      <c r="YI138" s="1056"/>
      <c r="YJ138" s="1056"/>
      <c r="YK138" s="1056"/>
      <c r="YL138" s="1056"/>
      <c r="YM138" s="1056"/>
      <c r="YN138" s="1056"/>
      <c r="YO138" s="1056"/>
      <c r="YP138" s="1056"/>
      <c r="YQ138" s="1056"/>
      <c r="YR138" s="1056"/>
      <c r="YS138" s="1056"/>
      <c r="YT138" s="1056"/>
      <c r="YU138" s="1056"/>
      <c r="YV138" s="1056"/>
      <c r="YW138" s="1056"/>
      <c r="YX138" s="1056"/>
      <c r="YY138" s="1056"/>
      <c r="YZ138" s="1056"/>
      <c r="ZA138" s="1056"/>
      <c r="ZB138" s="1056"/>
      <c r="ZC138" s="1056"/>
      <c r="ZD138" s="1056"/>
      <c r="ZE138" s="1056"/>
      <c r="ZF138" s="1056"/>
      <c r="ZG138" s="1056"/>
      <c r="ZH138" s="1056"/>
      <c r="ZI138" s="1056"/>
      <c r="ZJ138" s="1056"/>
      <c r="ZK138" s="1056"/>
      <c r="ZL138" s="1056"/>
      <c r="ZM138" s="1056"/>
      <c r="ZN138" s="1056"/>
      <c r="ZO138" s="1056"/>
      <c r="ZP138" s="1056"/>
      <c r="ZQ138" s="1056"/>
      <c r="ZR138" s="1056"/>
      <c r="ZS138" s="1056"/>
      <c r="ZT138" s="1056"/>
      <c r="ZU138" s="1056"/>
      <c r="ZV138" s="1056"/>
      <c r="ZW138" s="1056"/>
      <c r="ZX138" s="1056"/>
      <c r="ZY138" s="1056"/>
      <c r="ZZ138" s="1056"/>
      <c r="AAA138" s="1056"/>
      <c r="AAB138" s="1056"/>
      <c r="AAC138" s="1056"/>
      <c r="AAD138" s="1056"/>
      <c r="AAE138" s="1056"/>
      <c r="AAF138" s="1056"/>
      <c r="AAG138" s="1056"/>
      <c r="AAH138" s="1056"/>
      <c r="AAI138" s="1056"/>
      <c r="AAJ138" s="1056"/>
      <c r="AAK138" s="1056"/>
      <c r="AAL138" s="1056"/>
      <c r="AAM138" s="1056"/>
      <c r="AAN138" s="1056"/>
      <c r="AAO138" s="1056"/>
      <c r="AAP138" s="1056"/>
      <c r="AAQ138" s="1056"/>
      <c r="AAR138" s="1056"/>
      <c r="AAS138" s="1056"/>
      <c r="AAT138" s="1056"/>
      <c r="AAU138" s="1056"/>
      <c r="AAV138" s="1056"/>
      <c r="AAW138" s="1056"/>
      <c r="AAX138" s="1056"/>
      <c r="AAY138" s="1056"/>
      <c r="AAZ138" s="1056"/>
      <c r="ABA138" s="1056"/>
      <c r="ABB138" s="1056"/>
      <c r="ABC138" s="1056"/>
      <c r="ABD138" s="1056"/>
      <c r="ABE138" s="1056"/>
      <c r="ABF138" s="1056"/>
      <c r="ABG138" s="1056"/>
      <c r="ABH138" s="1056"/>
      <c r="ABI138" s="1056"/>
      <c r="ABJ138" s="1056"/>
      <c r="ABK138" s="1056"/>
      <c r="ABL138" s="1056"/>
      <c r="ABM138" s="1056"/>
      <c r="ABN138" s="1056"/>
      <c r="ABO138" s="1056"/>
      <c r="ABP138" s="1056"/>
      <c r="ABQ138" s="1056"/>
      <c r="ABR138" s="1056"/>
      <c r="ABS138" s="1056"/>
      <c r="ABT138" s="1056"/>
      <c r="ABU138" s="1056"/>
      <c r="ABV138" s="1056"/>
      <c r="ABW138" s="1056"/>
      <c r="ABX138" s="1056"/>
      <c r="ABY138" s="1056"/>
      <c r="ABZ138" s="1056"/>
      <c r="ACA138" s="1056"/>
      <c r="ACB138" s="1056"/>
      <c r="ACC138" s="1056"/>
      <c r="ACD138" s="1056"/>
      <c r="ACE138" s="1056"/>
      <c r="ACF138" s="1056"/>
      <c r="ACG138" s="1056"/>
      <c r="ACH138" s="1056"/>
      <c r="ACI138" s="1056"/>
      <c r="ACJ138" s="1056"/>
      <c r="ACK138" s="1056"/>
      <c r="ACL138" s="1056"/>
      <c r="ACM138" s="1056"/>
      <c r="ACN138" s="1056"/>
      <c r="ACO138" s="1056"/>
      <c r="ACP138" s="1056"/>
      <c r="ACQ138" s="1056"/>
      <c r="ACR138" s="1056"/>
      <c r="ACS138" s="1056"/>
      <c r="ACT138" s="1056"/>
      <c r="ACU138" s="1056"/>
      <c r="ACV138" s="1056"/>
      <c r="ACW138" s="1056"/>
      <c r="ACX138" s="1056"/>
      <c r="ACY138" s="1056"/>
      <c r="ACZ138" s="1056"/>
      <c r="ADA138" s="1056"/>
      <c r="ADB138" s="1056"/>
      <c r="ADC138" s="1056"/>
      <c r="ADD138" s="1056"/>
      <c r="ADE138" s="1056"/>
      <c r="ADF138" s="1056"/>
      <c r="ADG138" s="1056"/>
      <c r="ADH138" s="1056"/>
      <c r="ADI138" s="1056"/>
      <c r="ADJ138" s="1056"/>
      <c r="ADK138" s="1056"/>
      <c r="ADL138" s="1056"/>
      <c r="ADM138" s="1056"/>
      <c r="ADN138" s="1056"/>
      <c r="ADO138" s="1056"/>
      <c r="ADP138" s="1056"/>
      <c r="ADQ138" s="1056"/>
      <c r="ADR138" s="1056"/>
      <c r="ADS138" s="1056"/>
      <c r="ADT138" s="1056"/>
      <c r="ADU138" s="1056"/>
      <c r="ADV138" s="1056"/>
      <c r="ADW138" s="1056"/>
      <c r="ADX138" s="1056"/>
      <c r="ADY138" s="1056"/>
      <c r="ADZ138" s="1056"/>
      <c r="AEA138" s="1056"/>
      <c r="AEB138" s="1056"/>
      <c r="AEC138" s="1056"/>
      <c r="AED138" s="1056"/>
      <c r="AEE138" s="1056"/>
      <c r="AEF138" s="1056"/>
      <c r="AEG138" s="1056"/>
      <c r="AEH138" s="1056"/>
      <c r="AEI138" s="1056"/>
      <c r="AEJ138" s="1056"/>
      <c r="AEK138" s="1056"/>
      <c r="AEL138" s="1056"/>
      <c r="AEM138" s="1056"/>
      <c r="AEN138" s="1056"/>
      <c r="AEO138" s="1056"/>
      <c r="AEP138" s="1056"/>
      <c r="AEQ138" s="1056"/>
      <c r="AER138" s="1056"/>
      <c r="AES138" s="1056"/>
      <c r="AET138" s="1056"/>
      <c r="AEU138" s="1056"/>
      <c r="AEV138" s="1056"/>
      <c r="AEW138" s="1056"/>
      <c r="AEX138" s="1056"/>
      <c r="AEY138" s="1056"/>
      <c r="AEZ138" s="1056"/>
      <c r="AFA138" s="1056"/>
      <c r="AFB138" s="1056"/>
      <c r="AFC138" s="1056"/>
      <c r="AFD138" s="1056"/>
      <c r="AFE138" s="1056"/>
      <c r="AFF138" s="1056"/>
      <c r="AFG138" s="1056"/>
      <c r="AFH138" s="1056"/>
      <c r="AFI138" s="1056"/>
      <c r="AFJ138" s="1056"/>
      <c r="AFK138" s="1056"/>
      <c r="AFL138" s="1056"/>
      <c r="AFM138" s="1056"/>
      <c r="AFN138" s="1056"/>
      <c r="AFO138" s="1056"/>
      <c r="AFP138" s="1056"/>
      <c r="AFQ138" s="1056"/>
      <c r="AFR138" s="1056"/>
      <c r="AFS138" s="1056"/>
      <c r="AFT138" s="1056"/>
      <c r="AFU138" s="1056"/>
      <c r="AFV138" s="1056"/>
      <c r="AFW138" s="1056"/>
      <c r="AFX138" s="1056"/>
      <c r="AFY138" s="1056"/>
      <c r="AFZ138" s="1056"/>
      <c r="AGA138" s="1056"/>
      <c r="AGB138" s="1056"/>
      <c r="AGC138" s="1056"/>
      <c r="AGD138" s="1056"/>
      <c r="AGE138" s="1056"/>
      <c r="AGF138" s="1056"/>
      <c r="AGG138" s="1056"/>
      <c r="AGH138" s="1056"/>
      <c r="AGI138" s="1056"/>
      <c r="AGJ138" s="1056"/>
      <c r="AGK138" s="1056"/>
      <c r="AGL138" s="1056"/>
      <c r="AGM138" s="1056"/>
      <c r="AGN138" s="1056"/>
      <c r="AGO138" s="1056"/>
      <c r="AGP138" s="1056"/>
      <c r="AGQ138" s="1056"/>
      <c r="AGR138" s="1056"/>
      <c r="AGS138" s="1056"/>
      <c r="AGT138" s="1056"/>
      <c r="AGU138" s="1056"/>
      <c r="AGV138" s="1056"/>
      <c r="AGW138" s="1056"/>
      <c r="AGX138" s="1056"/>
      <c r="AGY138" s="1056"/>
      <c r="AGZ138" s="1056"/>
      <c r="AHA138" s="1056"/>
      <c r="AHB138" s="1056"/>
      <c r="AHC138" s="1056"/>
      <c r="AHD138" s="1056"/>
      <c r="AHE138" s="1056"/>
      <c r="AHF138" s="1056"/>
      <c r="AHG138" s="1056"/>
      <c r="AHH138" s="1056"/>
      <c r="AHI138" s="1056"/>
      <c r="AHJ138" s="1056"/>
      <c r="AHK138" s="1056"/>
      <c r="AHL138" s="1056"/>
      <c r="AHM138" s="1056"/>
      <c r="AHN138" s="1056"/>
      <c r="AHO138" s="1056"/>
      <c r="AHP138" s="1056"/>
      <c r="AHQ138" s="1056"/>
      <c r="AHR138" s="1056"/>
      <c r="AHS138" s="1056"/>
      <c r="AHT138" s="1056"/>
      <c r="AHU138" s="1056"/>
      <c r="AHV138" s="1056"/>
      <c r="AHW138" s="1056"/>
      <c r="AHX138" s="1056"/>
      <c r="AHY138" s="1056"/>
      <c r="AHZ138" s="1056"/>
      <c r="AIA138" s="1056"/>
      <c r="AIB138" s="1056"/>
      <c r="AIC138" s="1056"/>
      <c r="AID138" s="1056"/>
      <c r="AIE138" s="1056"/>
      <c r="AIF138" s="1056"/>
      <c r="AIG138" s="1056"/>
      <c r="AIH138" s="1056"/>
      <c r="AII138" s="1056"/>
      <c r="AIJ138" s="1056"/>
      <c r="AIK138" s="1056"/>
      <c r="AIL138" s="1056"/>
      <c r="AIM138" s="1056"/>
      <c r="AIN138" s="1056"/>
      <c r="AIO138" s="1056"/>
      <c r="AIP138" s="1056"/>
      <c r="AIQ138" s="1056"/>
      <c r="AIR138" s="1056"/>
      <c r="AIS138" s="1056"/>
      <c r="AIT138" s="1056"/>
      <c r="AIU138" s="1056"/>
      <c r="AIV138" s="1056"/>
      <c r="AIW138" s="1056"/>
      <c r="AIX138" s="1056"/>
      <c r="AIY138" s="1056"/>
      <c r="AIZ138" s="1056"/>
      <c r="AJA138" s="1056"/>
      <c r="AJB138" s="1056"/>
      <c r="AJC138" s="1056"/>
      <c r="AJD138" s="1056"/>
      <c r="AJE138" s="1056"/>
      <c r="AJF138" s="1056"/>
      <c r="AJG138" s="1056"/>
      <c r="AJH138" s="1056"/>
      <c r="AJI138" s="1056"/>
      <c r="AJJ138" s="1056"/>
      <c r="AJK138" s="1056"/>
      <c r="AJL138" s="1056"/>
      <c r="AJM138" s="1056"/>
      <c r="AJN138" s="1056"/>
      <c r="AJO138" s="1056"/>
      <c r="AJP138" s="1056"/>
      <c r="AJQ138" s="1056"/>
      <c r="AJR138" s="1056"/>
      <c r="AJS138" s="1056"/>
      <c r="AJT138" s="1056"/>
      <c r="AJU138" s="1056"/>
      <c r="AJV138" s="1056"/>
      <c r="AJW138" s="1056"/>
      <c r="AJX138" s="1056"/>
      <c r="AJY138" s="1056"/>
      <c r="AJZ138" s="1056"/>
      <c r="AKA138" s="1056"/>
      <c r="AKB138" s="1056"/>
      <c r="AKC138" s="1056"/>
      <c r="AKD138" s="1056"/>
      <c r="AKE138" s="1056"/>
      <c r="AKF138" s="1056"/>
      <c r="AKG138" s="1056"/>
      <c r="AKH138" s="1056"/>
      <c r="AKI138" s="1056"/>
      <c r="AKJ138" s="1056"/>
      <c r="AKK138" s="1056"/>
      <c r="AKL138" s="1056"/>
      <c r="AKM138" s="1056"/>
      <c r="AKN138" s="1056"/>
      <c r="AKO138" s="1056"/>
      <c r="AKP138" s="1056"/>
      <c r="AKQ138" s="1056"/>
      <c r="AKR138" s="1056"/>
      <c r="AKS138" s="1056"/>
      <c r="AKT138" s="1056"/>
      <c r="AKU138" s="1056"/>
      <c r="AKV138" s="1056"/>
      <c r="AKW138" s="1056"/>
      <c r="AKX138" s="1056"/>
      <c r="AKY138" s="1056"/>
      <c r="AKZ138" s="1056"/>
      <c r="ALA138" s="1056"/>
      <c r="ALB138" s="1056"/>
      <c r="ALC138" s="1056"/>
      <c r="ALD138" s="1056"/>
      <c r="ALE138" s="1056"/>
      <c r="ALF138" s="1056"/>
      <c r="ALG138" s="1056"/>
      <c r="ALH138" s="1056"/>
      <c r="ALI138" s="1056"/>
      <c r="ALJ138" s="1056"/>
      <c r="ALK138" s="1056"/>
      <c r="ALL138" s="1056"/>
      <c r="ALM138" s="1056"/>
      <c r="ALN138" s="1056"/>
      <c r="ALO138" s="1056"/>
      <c r="ALP138" s="1056"/>
      <c r="ALQ138" s="1056"/>
      <c r="ALR138" s="1056"/>
      <c r="ALS138" s="1056"/>
      <c r="ALT138" s="1056"/>
      <c r="ALU138" s="1056"/>
      <c r="ALV138" s="1056"/>
      <c r="ALW138" s="1056"/>
      <c r="ALX138" s="1056"/>
      <c r="ALY138" s="1056"/>
      <c r="ALZ138" s="1056"/>
      <c r="AMA138" s="1056"/>
      <c r="AMB138" s="1056"/>
      <c r="AMC138" s="1056"/>
      <c r="AMD138" s="1056"/>
      <c r="AME138" s="1056"/>
      <c r="AMF138" s="1056"/>
      <c r="AMG138" s="1056"/>
      <c r="AMH138" s="1056"/>
      <c r="AMI138" s="1056"/>
      <c r="AMJ138" s="1056"/>
      <c r="AMK138" s="1056"/>
      <c r="AML138" s="1056"/>
      <c r="AMM138" s="1056"/>
      <c r="AMN138" s="1056"/>
      <c r="AMO138" s="1056"/>
      <c r="AMP138" s="1056"/>
      <c r="AMQ138" s="1056"/>
      <c r="AMR138" s="1056"/>
      <c r="AMS138" s="1056"/>
      <c r="AMT138" s="1056"/>
      <c r="AMU138" s="1056"/>
      <c r="AMV138" s="1056"/>
      <c r="AMW138" s="1056"/>
      <c r="AMX138" s="1056"/>
      <c r="AMY138" s="1056"/>
      <c r="AMZ138" s="1056"/>
      <c r="ANA138" s="1056"/>
      <c r="ANB138" s="1056"/>
      <c r="ANC138" s="1056"/>
      <c r="AND138" s="1056"/>
      <c r="ANE138" s="1056"/>
      <c r="ANF138" s="1056"/>
      <c r="ANG138" s="1056"/>
      <c r="ANH138" s="1056"/>
      <c r="ANI138" s="1056"/>
      <c r="ANJ138" s="1056"/>
      <c r="ANK138" s="1056"/>
      <c r="ANL138" s="1056"/>
      <c r="ANM138" s="1056"/>
      <c r="ANN138" s="1056"/>
      <c r="ANO138" s="1056"/>
      <c r="ANP138" s="1056"/>
      <c r="ANQ138" s="1056"/>
      <c r="ANR138" s="1056"/>
      <c r="ANS138" s="1056"/>
      <c r="ANT138" s="1056"/>
      <c r="ANU138" s="1056"/>
      <c r="ANV138" s="1056"/>
      <c r="ANW138" s="1056"/>
      <c r="ANX138" s="1056"/>
      <c r="ANY138" s="1056"/>
      <c r="ANZ138" s="1056"/>
      <c r="AOA138" s="1056"/>
      <c r="AOB138" s="1056"/>
      <c r="AOC138" s="1056"/>
      <c r="AOD138" s="1056"/>
      <c r="AOE138" s="1056"/>
      <c r="AOF138" s="1056"/>
      <c r="AOG138" s="1056"/>
      <c r="AOH138" s="1056"/>
      <c r="AOI138" s="1056"/>
      <c r="AOJ138" s="1056"/>
      <c r="AOK138" s="1056"/>
      <c r="AOL138" s="1056"/>
      <c r="AOM138" s="1056"/>
      <c r="AON138" s="1056"/>
      <c r="AOO138" s="1056"/>
      <c r="AOP138" s="1056"/>
      <c r="AOQ138" s="1056"/>
      <c r="AOR138" s="1056"/>
      <c r="AOS138" s="1056"/>
      <c r="AOT138" s="1056"/>
      <c r="AOU138" s="1056"/>
      <c r="AOV138" s="1056"/>
      <c r="AOW138" s="1056"/>
      <c r="AOX138" s="1056"/>
      <c r="AOY138" s="1056"/>
      <c r="AOZ138" s="1056"/>
      <c r="APA138" s="1056"/>
      <c r="APB138" s="1056"/>
      <c r="APC138" s="1056"/>
      <c r="APD138" s="1056"/>
      <c r="APE138" s="1056"/>
      <c r="APF138" s="1056"/>
      <c r="APG138" s="1056"/>
      <c r="APH138" s="1056"/>
      <c r="API138" s="1056"/>
      <c r="APJ138" s="1056"/>
      <c r="APK138" s="1056"/>
      <c r="APL138" s="1056"/>
      <c r="APM138" s="1056"/>
      <c r="APN138" s="1056"/>
      <c r="APO138" s="1056"/>
      <c r="APP138" s="1056"/>
      <c r="APQ138" s="1056"/>
      <c r="APR138" s="1056"/>
      <c r="APS138" s="1056"/>
      <c r="APT138" s="1056"/>
      <c r="APU138" s="1056"/>
      <c r="APV138" s="1056"/>
      <c r="APW138" s="1056"/>
      <c r="APX138" s="1056"/>
      <c r="APY138" s="1056"/>
      <c r="APZ138" s="1056"/>
      <c r="AQA138" s="1056"/>
      <c r="AQB138" s="1056"/>
      <c r="AQC138" s="1056"/>
      <c r="AQD138" s="1056"/>
      <c r="AQE138" s="1056"/>
      <c r="AQF138" s="1056"/>
      <c r="AQG138" s="1056"/>
      <c r="AQH138" s="1056"/>
      <c r="AQI138" s="1056"/>
      <c r="AQJ138" s="1056"/>
      <c r="AQK138" s="1056"/>
      <c r="AQL138" s="1056"/>
      <c r="AQM138" s="1056"/>
      <c r="AQN138" s="1056"/>
      <c r="AQO138" s="1056"/>
      <c r="AQP138" s="1056"/>
      <c r="AQQ138" s="1056"/>
      <c r="AQR138" s="1056"/>
      <c r="AQS138" s="1056"/>
      <c r="AQT138" s="1056"/>
      <c r="AQU138" s="1056"/>
      <c r="AQV138" s="1056"/>
      <c r="AQW138" s="1056"/>
      <c r="AQX138" s="1056"/>
      <c r="AQY138" s="1056"/>
      <c r="AQZ138" s="1056"/>
      <c r="ARA138" s="1056"/>
      <c r="ARB138" s="1056"/>
      <c r="ARC138" s="1056"/>
      <c r="ARD138" s="1056"/>
      <c r="ARE138" s="1056"/>
      <c r="ARF138" s="1056"/>
      <c r="ARG138" s="1056"/>
      <c r="ARH138" s="1056"/>
      <c r="ARI138" s="1056"/>
      <c r="ARJ138" s="1056"/>
      <c r="ARK138" s="1056"/>
      <c r="ARL138" s="1056"/>
      <c r="ARM138" s="1056"/>
      <c r="ARN138" s="1056"/>
      <c r="ARO138" s="1056"/>
      <c r="ARP138" s="1056"/>
      <c r="ARQ138" s="1056"/>
      <c r="ARR138" s="1056"/>
      <c r="ARS138" s="1056"/>
      <c r="ART138" s="1056"/>
      <c r="ARU138" s="1056"/>
      <c r="ARV138" s="1056"/>
      <c r="ARW138" s="1056"/>
      <c r="ARX138" s="1056"/>
      <c r="ARY138" s="1056"/>
      <c r="ARZ138" s="1056"/>
      <c r="ASA138" s="1056"/>
      <c r="ASB138" s="1056"/>
      <c r="ASC138" s="1056"/>
      <c r="ASD138" s="1056"/>
      <c r="ASE138" s="1056"/>
      <c r="ASF138" s="1056"/>
      <c r="ASG138" s="1056"/>
      <c r="ASH138" s="1056"/>
      <c r="ASI138" s="1056"/>
      <c r="ASJ138" s="1056"/>
      <c r="ASK138" s="1056"/>
      <c r="ASL138" s="1056"/>
      <c r="ASM138" s="1056"/>
      <c r="ASN138" s="1056"/>
      <c r="ASO138" s="1056"/>
      <c r="ASP138" s="1056"/>
      <c r="ASQ138" s="1056"/>
      <c r="ASR138" s="1056"/>
      <c r="ASS138" s="1056"/>
      <c r="AST138" s="1056"/>
      <c r="ASU138" s="1056"/>
      <c r="ASV138" s="1056"/>
      <c r="ASW138" s="1056"/>
      <c r="ASX138" s="1056"/>
      <c r="ASY138" s="1056"/>
      <c r="ASZ138" s="1056"/>
      <c r="ATA138" s="1056"/>
      <c r="ATB138" s="1056"/>
      <c r="ATC138" s="1056"/>
      <c r="ATD138" s="1056"/>
      <c r="ATE138" s="1056"/>
      <c r="ATF138" s="1056"/>
      <c r="ATG138" s="1056"/>
      <c r="ATH138" s="1056"/>
      <c r="ATI138" s="1056"/>
      <c r="ATJ138" s="1056"/>
      <c r="ATK138" s="1056"/>
      <c r="ATL138" s="1056"/>
      <c r="ATM138" s="1056"/>
      <c r="ATN138" s="1056"/>
      <c r="ATO138" s="1056"/>
      <c r="ATP138" s="1056"/>
      <c r="ATQ138" s="1056"/>
      <c r="ATR138" s="1056"/>
      <c r="ATS138" s="1056"/>
      <c r="ATT138" s="1056"/>
      <c r="ATU138" s="1056"/>
      <c r="ATV138" s="1056"/>
      <c r="ATW138" s="1056"/>
      <c r="ATX138" s="1056"/>
      <c r="ATY138" s="1056"/>
      <c r="ATZ138" s="1056"/>
      <c r="AUA138" s="1056"/>
      <c r="AUB138" s="1056"/>
      <c r="AUC138" s="1056"/>
      <c r="AUD138" s="1056"/>
      <c r="AUE138" s="1056"/>
      <c r="AUF138" s="1056"/>
      <c r="AUG138" s="1056"/>
      <c r="AUH138" s="1056"/>
      <c r="AUI138" s="1056"/>
      <c r="AUJ138" s="1056"/>
      <c r="AUK138" s="1056"/>
      <c r="AUL138" s="1056"/>
      <c r="AUM138" s="1056"/>
      <c r="AUN138" s="1056"/>
      <c r="AUO138" s="1056"/>
      <c r="AUP138" s="1056"/>
      <c r="AUQ138" s="1056"/>
      <c r="AUR138" s="1056"/>
      <c r="AUS138" s="1056"/>
      <c r="AUT138" s="1056"/>
      <c r="AUU138" s="1056"/>
      <c r="AUV138" s="1056"/>
      <c r="AUW138" s="1056"/>
      <c r="AUX138" s="1056"/>
      <c r="AUY138" s="1056"/>
      <c r="AUZ138" s="1056"/>
      <c r="AVA138" s="1056"/>
      <c r="AVB138" s="1056"/>
      <c r="AVC138" s="1056"/>
      <c r="AVD138" s="1056"/>
      <c r="AVE138" s="1056"/>
      <c r="AVF138" s="1056"/>
      <c r="AVG138" s="1056"/>
      <c r="AVH138" s="1056"/>
      <c r="AVI138" s="1056"/>
      <c r="AVJ138" s="1056"/>
      <c r="AVK138" s="1056"/>
      <c r="AVL138" s="1056"/>
      <c r="AVM138" s="1056"/>
      <c r="AVN138" s="1056"/>
      <c r="AVO138" s="1056"/>
      <c r="AVP138" s="1056"/>
      <c r="AVQ138" s="1056"/>
      <c r="AVR138" s="1056"/>
      <c r="AVS138" s="1056"/>
      <c r="AVT138" s="1056"/>
      <c r="AVU138" s="1056"/>
      <c r="AVV138" s="1056"/>
      <c r="AVW138" s="1056"/>
      <c r="AVX138" s="1056"/>
      <c r="AVY138" s="1056"/>
      <c r="AVZ138" s="1056"/>
      <c r="AWA138" s="1056"/>
      <c r="AWB138" s="1056"/>
      <c r="AWC138" s="1056"/>
      <c r="AWD138" s="1056"/>
      <c r="AWE138" s="1056"/>
      <c r="AWF138" s="1056"/>
      <c r="AWG138" s="1056"/>
      <c r="AWH138" s="1056"/>
      <c r="AWI138" s="1056"/>
      <c r="AWJ138" s="1056"/>
      <c r="AWK138" s="1056"/>
      <c r="AWL138" s="1056"/>
      <c r="AWM138" s="1056"/>
      <c r="AWN138" s="1056"/>
      <c r="AWO138" s="1056"/>
      <c r="AWP138" s="1056"/>
      <c r="AWQ138" s="1056"/>
      <c r="AWR138" s="1056"/>
      <c r="AWS138" s="1056"/>
      <c r="AWT138" s="1056"/>
      <c r="AWU138" s="1056"/>
      <c r="AWV138" s="1056"/>
      <c r="AWW138" s="1056"/>
      <c r="AWX138" s="1056"/>
      <c r="AWY138" s="1056"/>
      <c r="AWZ138" s="1056"/>
      <c r="AXA138" s="1056"/>
      <c r="AXB138" s="1056"/>
      <c r="AXC138" s="1056"/>
      <c r="AXD138" s="1056"/>
      <c r="AXE138" s="1056"/>
      <c r="AXF138" s="1056"/>
      <c r="AXG138" s="1056"/>
      <c r="AXH138" s="1056"/>
      <c r="AXI138" s="1056"/>
      <c r="AXJ138" s="1056"/>
      <c r="AXK138" s="1056"/>
      <c r="AXL138" s="1056"/>
      <c r="AXM138" s="1056"/>
      <c r="AXN138" s="1056"/>
      <c r="AXO138" s="1056"/>
      <c r="AXP138" s="1056"/>
      <c r="AXQ138" s="1056"/>
      <c r="AXR138" s="1056"/>
      <c r="AXS138" s="1056"/>
      <c r="AXT138" s="1056"/>
      <c r="AXU138" s="1056"/>
      <c r="AXV138" s="1056"/>
      <c r="AXW138" s="1056"/>
      <c r="AXX138" s="1056"/>
      <c r="AXY138" s="1056"/>
      <c r="AXZ138" s="1056"/>
      <c r="AYA138" s="1056"/>
      <c r="AYB138" s="1056"/>
      <c r="AYC138" s="1056"/>
      <c r="AYD138" s="1056"/>
      <c r="AYE138" s="1056"/>
      <c r="AYF138" s="1056"/>
      <c r="AYG138" s="1056"/>
      <c r="AYH138" s="1056"/>
      <c r="AYI138" s="1056"/>
      <c r="AYJ138" s="1056"/>
      <c r="AYK138" s="1056"/>
      <c r="AYL138" s="1056"/>
      <c r="AYM138" s="1056"/>
      <c r="AYN138" s="1056"/>
      <c r="AYO138" s="1056"/>
      <c r="AYP138" s="1056"/>
      <c r="AYQ138" s="1056"/>
      <c r="AYR138" s="1056"/>
      <c r="AYS138" s="1056"/>
      <c r="AYT138" s="1056"/>
      <c r="AYU138" s="1056"/>
      <c r="AYV138" s="1056"/>
      <c r="AYW138" s="1056"/>
      <c r="AYX138" s="1056"/>
      <c r="AYY138" s="1056"/>
      <c r="AYZ138" s="1056"/>
      <c r="AZA138" s="1056"/>
      <c r="AZB138" s="1056"/>
      <c r="AZC138" s="1056"/>
      <c r="AZD138" s="1056"/>
      <c r="AZE138" s="1056"/>
      <c r="AZF138" s="1056"/>
      <c r="AZG138" s="1056"/>
      <c r="AZH138" s="1056"/>
      <c r="AZI138" s="1056"/>
      <c r="AZJ138" s="1056"/>
      <c r="AZK138" s="1056"/>
      <c r="AZL138" s="1056"/>
      <c r="AZM138" s="1056"/>
      <c r="AZN138" s="1056"/>
      <c r="AZO138" s="1056"/>
      <c r="AZP138" s="1056"/>
      <c r="AZQ138" s="1056"/>
      <c r="AZR138" s="1056"/>
      <c r="AZS138" s="1056"/>
      <c r="AZT138" s="1056"/>
      <c r="AZU138" s="1056"/>
      <c r="AZV138" s="1056"/>
      <c r="AZW138" s="1056"/>
      <c r="AZX138" s="1056"/>
      <c r="AZY138" s="1056"/>
      <c r="AZZ138" s="1056"/>
      <c r="BAA138" s="1056"/>
      <c r="BAB138" s="1056"/>
      <c r="BAC138" s="1056"/>
      <c r="BAD138" s="1056"/>
      <c r="BAE138" s="1056"/>
      <c r="BAF138" s="1056"/>
      <c r="BAG138" s="1056"/>
      <c r="BAH138" s="1056"/>
      <c r="BAI138" s="1056"/>
      <c r="BAJ138" s="1056"/>
      <c r="BAK138" s="1056"/>
      <c r="BAL138" s="1056"/>
      <c r="BAM138" s="1056"/>
      <c r="BAN138" s="1056"/>
      <c r="BAO138" s="1056"/>
      <c r="BAP138" s="1056"/>
      <c r="BAQ138" s="1056"/>
      <c r="BAR138" s="1056"/>
      <c r="BAS138" s="1056"/>
      <c r="BAT138" s="1056"/>
      <c r="BAU138" s="1056"/>
      <c r="BAV138" s="1056"/>
      <c r="BAW138" s="1056"/>
      <c r="BAX138" s="1056"/>
      <c r="BAY138" s="1056"/>
      <c r="BAZ138" s="1056"/>
      <c r="BBA138" s="1056"/>
      <c r="BBB138" s="1056"/>
      <c r="BBC138" s="1056"/>
      <c r="BBD138" s="1056"/>
      <c r="BBE138" s="1056"/>
      <c r="BBF138" s="1056"/>
      <c r="BBG138" s="1056"/>
      <c r="BBH138" s="1056"/>
      <c r="BBI138" s="1056"/>
      <c r="BBJ138" s="1056"/>
      <c r="BBK138" s="1056"/>
      <c r="BBL138" s="1056"/>
      <c r="BBM138" s="1056"/>
      <c r="BBN138" s="1056"/>
      <c r="BBO138" s="1056"/>
      <c r="BBP138" s="1056"/>
      <c r="BBQ138" s="1056"/>
      <c r="BBR138" s="1056"/>
      <c r="BBS138" s="1056"/>
      <c r="BBT138" s="1056"/>
      <c r="BBU138" s="1056"/>
      <c r="BBV138" s="1056"/>
      <c r="BBW138" s="1056"/>
      <c r="BBX138" s="1056"/>
      <c r="BBY138" s="1056"/>
      <c r="BBZ138" s="1056"/>
      <c r="BCA138" s="1056"/>
      <c r="BCB138" s="1056"/>
      <c r="BCC138" s="1056"/>
      <c r="BCD138" s="1056"/>
      <c r="BCE138" s="1056"/>
      <c r="BCF138" s="1056"/>
      <c r="BCG138" s="1056"/>
      <c r="BCH138" s="1056"/>
      <c r="BCI138" s="1056"/>
      <c r="BCJ138" s="1056"/>
      <c r="BCK138" s="1056"/>
      <c r="BCL138" s="1056"/>
      <c r="BCM138" s="1056"/>
      <c r="BCN138" s="1056"/>
      <c r="BCO138" s="1056"/>
      <c r="BCP138" s="1056"/>
      <c r="BCQ138" s="1056"/>
      <c r="BCR138" s="1056"/>
      <c r="BCS138" s="1056"/>
      <c r="BCT138" s="1056"/>
      <c r="BCU138" s="1056"/>
      <c r="BCV138" s="1056"/>
      <c r="BCW138" s="1056"/>
      <c r="BCX138" s="1056"/>
      <c r="BCY138" s="1056"/>
      <c r="BCZ138" s="1056"/>
      <c r="BDA138" s="1056"/>
      <c r="BDB138" s="1056"/>
      <c r="BDC138" s="1056"/>
      <c r="BDD138" s="1056"/>
      <c r="BDE138" s="1056"/>
      <c r="BDF138" s="1056"/>
      <c r="BDG138" s="1056"/>
      <c r="BDH138" s="1056"/>
      <c r="BDI138" s="1056"/>
      <c r="BDJ138" s="1056"/>
      <c r="BDK138" s="1056"/>
      <c r="BDL138" s="1056"/>
      <c r="BDM138" s="1056"/>
      <c r="BDN138" s="1056"/>
      <c r="BDO138" s="1056"/>
      <c r="BDP138" s="1056"/>
      <c r="BDQ138" s="1056"/>
      <c r="BDR138" s="1056"/>
      <c r="BDS138" s="1056"/>
      <c r="BDT138" s="1056"/>
      <c r="BDU138" s="1056"/>
      <c r="BDV138" s="1056"/>
      <c r="BDW138" s="1056"/>
      <c r="BDX138" s="1056"/>
      <c r="BDY138" s="1056"/>
      <c r="BDZ138" s="1056"/>
      <c r="BEA138" s="1056"/>
      <c r="BEB138" s="1056"/>
      <c r="BEC138" s="1056"/>
      <c r="BED138" s="1056"/>
      <c r="BEE138" s="1056"/>
      <c r="BEF138" s="1056"/>
      <c r="BEG138" s="1056"/>
      <c r="BEH138" s="1056"/>
      <c r="BEI138" s="1056"/>
      <c r="BEJ138" s="1056"/>
      <c r="BEK138" s="1056"/>
      <c r="BEL138" s="1056"/>
      <c r="BEM138" s="1056"/>
      <c r="BEN138" s="1056"/>
      <c r="BEO138" s="1056"/>
      <c r="BEP138" s="1056"/>
      <c r="BEQ138" s="1056"/>
      <c r="BER138" s="1056"/>
      <c r="BES138" s="1056"/>
      <c r="BET138" s="1056"/>
      <c r="BEU138" s="1056"/>
      <c r="BEV138" s="1056"/>
      <c r="BEW138" s="1056"/>
      <c r="BEX138" s="1056"/>
      <c r="BEY138" s="1056"/>
      <c r="BEZ138" s="1056"/>
      <c r="BFA138" s="1056"/>
      <c r="BFB138" s="1056"/>
      <c r="BFC138" s="1056"/>
      <c r="BFD138" s="1056"/>
      <c r="BFE138" s="1056"/>
      <c r="BFF138" s="1056"/>
      <c r="BFG138" s="1056"/>
      <c r="BFH138" s="1056"/>
      <c r="BFI138" s="1056"/>
      <c r="BFJ138" s="1056"/>
      <c r="BFK138" s="1056"/>
      <c r="BFL138" s="1056"/>
      <c r="BFM138" s="1056"/>
      <c r="BFN138" s="1056"/>
      <c r="BFO138" s="1056"/>
      <c r="BFP138" s="1056"/>
      <c r="BFQ138" s="1056"/>
      <c r="BFR138" s="1056"/>
      <c r="BFS138" s="1056"/>
      <c r="BFT138" s="1056"/>
      <c r="BFU138" s="1056"/>
      <c r="BFV138" s="1056"/>
      <c r="BFW138" s="1056"/>
      <c r="BFX138" s="1056"/>
      <c r="BFY138" s="1056"/>
      <c r="BFZ138" s="1056"/>
      <c r="BGA138" s="1056"/>
      <c r="BGB138" s="1056"/>
      <c r="BGC138" s="1056"/>
      <c r="BGD138" s="1056"/>
      <c r="BGE138" s="1056"/>
      <c r="BGF138" s="1056"/>
      <c r="BGG138" s="1056"/>
      <c r="BGH138" s="1056"/>
      <c r="BGI138" s="1056"/>
      <c r="BGJ138" s="1056"/>
      <c r="BGK138" s="1056"/>
      <c r="BGL138" s="1056"/>
      <c r="BGM138" s="1056"/>
      <c r="BGN138" s="1056"/>
      <c r="BGO138" s="1056"/>
      <c r="BGP138" s="1056"/>
      <c r="BGQ138" s="1056"/>
      <c r="BGR138" s="1056"/>
      <c r="BGS138" s="1056"/>
      <c r="BGT138" s="1056"/>
      <c r="BGU138" s="1056"/>
      <c r="BGV138" s="1056"/>
      <c r="BGW138" s="1056"/>
      <c r="BGX138" s="1056"/>
      <c r="BGY138" s="1056"/>
      <c r="BGZ138" s="1056"/>
      <c r="BHA138" s="1056"/>
      <c r="BHB138" s="1056"/>
      <c r="BHC138" s="1056"/>
      <c r="BHD138" s="1056"/>
      <c r="BHE138" s="1056"/>
      <c r="BHF138" s="1056"/>
      <c r="BHG138" s="1056"/>
      <c r="BHH138" s="1056"/>
      <c r="BHI138" s="1056"/>
      <c r="BHJ138" s="1056"/>
      <c r="BHK138" s="1056"/>
      <c r="BHL138" s="1056"/>
      <c r="BHM138" s="1056"/>
      <c r="BHN138" s="1056"/>
      <c r="BHO138" s="1056"/>
      <c r="BHP138" s="1056"/>
      <c r="BHQ138" s="1056"/>
      <c r="BHR138" s="1056"/>
      <c r="BHS138" s="1056"/>
      <c r="BHT138" s="1056"/>
      <c r="BHU138" s="1056"/>
      <c r="BHV138" s="1056"/>
      <c r="BHW138" s="1056"/>
      <c r="BHX138" s="1056"/>
      <c r="BHY138" s="1056"/>
      <c r="BHZ138" s="1056"/>
      <c r="BIA138" s="1056"/>
      <c r="BIB138" s="1056"/>
      <c r="BIC138" s="1056"/>
      <c r="BID138" s="1056"/>
      <c r="BIE138" s="1056"/>
      <c r="BIF138" s="1056"/>
      <c r="BIG138" s="1056"/>
      <c r="BIH138" s="1056"/>
      <c r="BII138" s="1056"/>
      <c r="BIJ138" s="1056"/>
      <c r="BIK138" s="1056"/>
      <c r="BIL138" s="1056"/>
      <c r="BIM138" s="1056"/>
      <c r="BIN138" s="1056"/>
      <c r="BIO138" s="1056"/>
      <c r="BIP138" s="1056"/>
      <c r="BIQ138" s="1056"/>
      <c r="BIR138" s="1056"/>
      <c r="BIS138" s="1056"/>
      <c r="BIT138" s="1056"/>
      <c r="BIU138" s="1056"/>
      <c r="BIV138" s="1056"/>
      <c r="BIW138" s="1056"/>
      <c r="BIX138" s="1056"/>
      <c r="BIY138" s="1056"/>
      <c r="BIZ138" s="1056"/>
      <c r="BJA138" s="1056"/>
      <c r="BJB138" s="1056"/>
      <c r="BJC138" s="1056"/>
      <c r="BJD138" s="1056"/>
      <c r="BJE138" s="1056"/>
      <c r="BJF138" s="1056"/>
      <c r="BJG138" s="1056"/>
      <c r="BJH138" s="1056"/>
      <c r="BJI138" s="1056"/>
      <c r="BJJ138" s="1056"/>
      <c r="BJK138" s="1056"/>
      <c r="BJL138" s="1056"/>
      <c r="BJM138" s="1056"/>
      <c r="BJN138" s="1056"/>
      <c r="BJO138" s="1056"/>
      <c r="BJP138" s="1056"/>
      <c r="BJQ138" s="1056"/>
      <c r="BJR138" s="1056"/>
      <c r="BJS138" s="1056"/>
      <c r="BJT138" s="1056"/>
      <c r="BJU138" s="1056"/>
      <c r="BJV138" s="1056"/>
      <c r="BJW138" s="1056"/>
      <c r="BJX138" s="1056"/>
      <c r="BJY138" s="1056"/>
      <c r="BJZ138" s="1056"/>
      <c r="BKA138" s="1056"/>
      <c r="BKB138" s="1056"/>
      <c r="BKC138" s="1056"/>
      <c r="BKD138" s="1056"/>
      <c r="BKE138" s="1056"/>
      <c r="BKF138" s="1056"/>
      <c r="BKG138" s="1056"/>
      <c r="BKH138" s="1056"/>
      <c r="BKI138" s="1056"/>
      <c r="BKJ138" s="1056"/>
      <c r="BKK138" s="1056"/>
      <c r="BKL138" s="1056"/>
      <c r="BKM138" s="1056"/>
      <c r="BKN138" s="1056"/>
      <c r="BKO138" s="1056"/>
      <c r="BKP138" s="1056"/>
      <c r="BKQ138" s="1056"/>
      <c r="BKR138" s="1056"/>
      <c r="BKS138" s="1056"/>
      <c r="BKT138" s="1056"/>
      <c r="BKU138" s="1056"/>
      <c r="BKV138" s="1056"/>
      <c r="BKW138" s="1056"/>
      <c r="BKX138" s="1056"/>
      <c r="BKY138" s="1056"/>
      <c r="BKZ138" s="1056"/>
      <c r="BLA138" s="1056"/>
      <c r="BLB138" s="1056"/>
      <c r="BLC138" s="1056"/>
      <c r="BLD138" s="1056"/>
      <c r="BLE138" s="1056"/>
      <c r="BLF138" s="1056"/>
      <c r="BLG138" s="1056"/>
      <c r="BLH138" s="1056"/>
      <c r="BLI138" s="1056"/>
      <c r="BLJ138" s="1056"/>
      <c r="BLK138" s="1056"/>
      <c r="BLL138" s="1056"/>
      <c r="BLM138" s="1056"/>
      <c r="BLN138" s="1056"/>
      <c r="BLO138" s="1056"/>
      <c r="BLP138" s="1056"/>
      <c r="BLQ138" s="1056"/>
      <c r="BLR138" s="1056"/>
      <c r="BLS138" s="1056"/>
      <c r="BLT138" s="1056"/>
      <c r="BLU138" s="1056"/>
      <c r="BLV138" s="1056"/>
      <c r="BLW138" s="1056"/>
      <c r="BLX138" s="1056"/>
      <c r="BLY138" s="1056"/>
      <c r="BLZ138" s="1056"/>
      <c r="BMA138" s="1056"/>
      <c r="BMB138" s="1056"/>
      <c r="BMC138" s="1056"/>
      <c r="BMD138" s="1056"/>
      <c r="BME138" s="1056"/>
      <c r="BMF138" s="1056"/>
      <c r="BMG138" s="1056"/>
      <c r="BMH138" s="1056"/>
      <c r="BMI138" s="1056"/>
      <c r="BMJ138" s="1056"/>
      <c r="BMK138" s="1056"/>
      <c r="BML138" s="1056"/>
      <c r="BMM138" s="1056"/>
      <c r="BMN138" s="1056"/>
      <c r="BMO138" s="1056"/>
      <c r="BMP138" s="1056"/>
      <c r="BMQ138" s="1056"/>
      <c r="BMR138" s="1056"/>
      <c r="BMS138" s="1056"/>
      <c r="BMT138" s="1056"/>
      <c r="BMU138" s="1056"/>
      <c r="BMV138" s="1056"/>
      <c r="BMW138" s="1056"/>
      <c r="BMX138" s="1056"/>
      <c r="BMY138" s="1056"/>
      <c r="BMZ138" s="1056"/>
      <c r="BNA138" s="1056"/>
      <c r="BNB138" s="1056"/>
      <c r="BNC138" s="1056"/>
      <c r="BND138" s="1056"/>
      <c r="BNE138" s="1056"/>
      <c r="BNF138" s="1056"/>
      <c r="BNG138" s="1056"/>
      <c r="BNH138" s="1056"/>
      <c r="BNI138" s="1056"/>
      <c r="BNJ138" s="1056"/>
      <c r="BNK138" s="1056"/>
      <c r="BNL138" s="1056"/>
      <c r="BNM138" s="1056"/>
      <c r="BNN138" s="1056"/>
      <c r="BNO138" s="1056"/>
      <c r="BNP138" s="1056"/>
      <c r="BNQ138" s="1056"/>
      <c r="BNR138" s="1056"/>
      <c r="BNS138" s="1056"/>
      <c r="BNT138" s="1056"/>
      <c r="BNU138" s="1056"/>
      <c r="BNV138" s="1056"/>
      <c r="BNW138" s="1056"/>
      <c r="BNX138" s="1056"/>
      <c r="BNY138" s="1056"/>
      <c r="BNZ138" s="1056"/>
      <c r="BOA138" s="1056"/>
      <c r="BOB138" s="1056"/>
      <c r="BOC138" s="1056"/>
      <c r="BOD138" s="1056"/>
      <c r="BOE138" s="1056"/>
      <c r="BOF138" s="1056"/>
      <c r="BOG138" s="1056"/>
      <c r="BOH138" s="1056"/>
      <c r="BOI138" s="1056"/>
      <c r="BOJ138" s="1056"/>
      <c r="BOK138" s="1056"/>
      <c r="BOL138" s="1056"/>
      <c r="BOM138" s="1056"/>
      <c r="BON138" s="1056"/>
      <c r="BOO138" s="1056"/>
      <c r="BOP138" s="1056"/>
      <c r="BOQ138" s="1056"/>
      <c r="BOR138" s="1056"/>
      <c r="BOS138" s="1056"/>
      <c r="BOT138" s="1056"/>
      <c r="BOU138" s="1056"/>
      <c r="BOV138" s="1056"/>
      <c r="BOW138" s="1056"/>
      <c r="BOX138" s="1056"/>
      <c r="BOY138" s="1056"/>
      <c r="BOZ138" s="1056"/>
      <c r="BPA138" s="1056"/>
      <c r="BPB138" s="1056"/>
      <c r="BPC138" s="1056"/>
      <c r="BPD138" s="1056"/>
      <c r="BPE138" s="1056"/>
      <c r="BPF138" s="1056"/>
      <c r="BPG138" s="1056"/>
      <c r="BPH138" s="1056"/>
      <c r="BPI138" s="1056"/>
      <c r="BPJ138" s="1056"/>
      <c r="BPK138" s="1056"/>
      <c r="BPL138" s="1056"/>
      <c r="BPM138" s="1056"/>
      <c r="BPN138" s="1056"/>
      <c r="BPO138" s="1056"/>
      <c r="BPP138" s="1056"/>
      <c r="BPQ138" s="1056"/>
      <c r="BPR138" s="1056"/>
      <c r="BPS138" s="1056"/>
      <c r="BPT138" s="1056"/>
      <c r="BPU138" s="1056"/>
      <c r="BPV138" s="1056"/>
      <c r="BPW138" s="1056"/>
      <c r="BPX138" s="1056"/>
      <c r="BPY138" s="1056"/>
      <c r="BPZ138" s="1056"/>
      <c r="BQA138" s="1056"/>
      <c r="BQB138" s="1056"/>
      <c r="BQC138" s="1056"/>
      <c r="BQD138" s="1056"/>
      <c r="BQE138" s="1056"/>
      <c r="BQF138" s="1056"/>
      <c r="BQG138" s="1056"/>
      <c r="BQH138" s="1056"/>
      <c r="BQI138" s="1056"/>
      <c r="BQJ138" s="1056"/>
      <c r="BQK138" s="1056"/>
      <c r="BQL138" s="1056"/>
      <c r="BQM138" s="1056"/>
      <c r="BQN138" s="1056"/>
      <c r="BQO138" s="1056"/>
      <c r="BQP138" s="1056"/>
      <c r="BQQ138" s="1056"/>
      <c r="BQR138" s="1056"/>
      <c r="BQS138" s="1056"/>
      <c r="BQT138" s="1056"/>
      <c r="BQU138" s="1056"/>
      <c r="BQV138" s="1056"/>
      <c r="BQW138" s="1056"/>
      <c r="BQX138" s="1056"/>
      <c r="BQY138" s="1056"/>
      <c r="BQZ138" s="1056"/>
      <c r="BRA138" s="1056"/>
      <c r="BRB138" s="1056"/>
      <c r="BRC138" s="1056"/>
      <c r="BRD138" s="1056"/>
      <c r="BRE138" s="1056"/>
      <c r="BRF138" s="1056"/>
      <c r="BRG138" s="1056"/>
      <c r="BRH138" s="1056"/>
      <c r="BRI138" s="1056"/>
      <c r="BRJ138" s="1056"/>
      <c r="BRK138" s="1056"/>
      <c r="BRL138" s="1056"/>
      <c r="BRM138" s="1056"/>
      <c r="BRN138" s="1056"/>
      <c r="BRO138" s="1056"/>
      <c r="BRP138" s="1056"/>
      <c r="BRQ138" s="1056"/>
      <c r="BRR138" s="1056"/>
      <c r="BRS138" s="1056"/>
      <c r="BRT138" s="1056"/>
      <c r="BRU138" s="1056"/>
      <c r="BRV138" s="1056"/>
      <c r="BRW138" s="1056"/>
      <c r="BRX138" s="1056"/>
      <c r="BRY138" s="1056"/>
      <c r="BRZ138" s="1056"/>
      <c r="BSA138" s="1056"/>
      <c r="BSB138" s="1056"/>
      <c r="BSC138" s="1056"/>
      <c r="BSD138" s="1056"/>
      <c r="BSE138" s="1056"/>
      <c r="BSF138" s="1056"/>
      <c r="BSG138" s="1056"/>
      <c r="BSH138" s="1056"/>
      <c r="BSI138" s="1056"/>
      <c r="BSJ138" s="1056"/>
      <c r="BSK138" s="1056"/>
      <c r="BSL138" s="1056"/>
      <c r="BSM138" s="1056"/>
      <c r="BSN138" s="1056"/>
      <c r="BSO138" s="1056"/>
      <c r="BSP138" s="1056"/>
      <c r="BSQ138" s="1056"/>
      <c r="BSR138" s="1056"/>
      <c r="BSS138" s="1056"/>
      <c r="BST138" s="1056"/>
      <c r="BSU138" s="1056"/>
      <c r="BSV138" s="1056"/>
      <c r="BSW138" s="1056"/>
      <c r="BSX138" s="1056"/>
      <c r="BSY138" s="1056"/>
      <c r="BSZ138" s="1056"/>
      <c r="BTA138" s="1056"/>
      <c r="BTB138" s="1056"/>
      <c r="BTC138" s="1056"/>
      <c r="BTD138" s="1056"/>
      <c r="BTE138" s="1056"/>
      <c r="BTF138" s="1056"/>
      <c r="BTG138" s="1056"/>
      <c r="BTH138" s="1056"/>
      <c r="BTI138" s="1056"/>
    </row>
    <row r="139" spans="1:1881" s="1060" customFormat="1" ht="63" hidden="1" customHeight="1" x14ac:dyDescent="0.3">
      <c r="A139" s="1059">
        <v>578</v>
      </c>
      <c r="B139" s="735" t="s">
        <v>59</v>
      </c>
      <c r="C139" s="735" t="s">
        <v>1387</v>
      </c>
      <c r="D139" s="1082" t="s">
        <v>1392</v>
      </c>
      <c r="E139" s="1053" t="e">
        <f>HLOOKUP($D$2,'2020 Data(H)'!$C$1:$AI$426,228,FALSE)</f>
        <v>#N/A</v>
      </c>
      <c r="F139" s="287">
        <v>0</v>
      </c>
      <c r="G139" s="722"/>
      <c r="H139" s="1083"/>
      <c r="I139" s="1089"/>
      <c r="J139" s="1056"/>
      <c r="K139" s="1056"/>
      <c r="L139" s="1056"/>
      <c r="M139" s="1056"/>
      <c r="N139" s="1058"/>
      <c r="O139" s="1056"/>
      <c r="P139" s="1056"/>
      <c r="Q139" s="1056"/>
      <c r="R139" s="1056"/>
      <c r="S139" s="1056"/>
      <c r="T139" s="1056"/>
      <c r="U139" s="1056"/>
      <c r="V139" s="1056"/>
      <c r="W139" s="1056"/>
      <c r="X139" s="1056"/>
      <c r="Y139" s="1056"/>
      <c r="Z139" s="1059"/>
      <c r="AA139" s="1059"/>
      <c r="AB139" s="1059"/>
      <c r="AC139" s="1059"/>
      <c r="AD139" s="1059"/>
      <c r="AE139" s="1059"/>
      <c r="AF139" s="1059"/>
      <c r="AG139" s="1059"/>
      <c r="AH139" s="1059"/>
      <c r="AI139" s="1059"/>
      <c r="AJ139" s="1059"/>
      <c r="AK139" s="1059"/>
      <c r="AL139" s="1059"/>
      <c r="AM139" s="1059"/>
      <c r="AN139" s="1059"/>
      <c r="AO139" s="1059"/>
      <c r="AP139" s="1059"/>
      <c r="AQ139" s="1059"/>
      <c r="AR139" s="1059"/>
      <c r="AS139" s="1056"/>
      <c r="AT139" s="1056"/>
      <c r="AU139" s="1056"/>
      <c r="AV139" s="1056"/>
      <c r="AW139" s="1056"/>
      <c r="AX139" s="1056"/>
      <c r="AY139" s="1056"/>
      <c r="AZ139" s="1056"/>
      <c r="BA139" s="1056"/>
      <c r="BB139" s="1056"/>
      <c r="BC139" s="1056"/>
      <c r="BD139" s="1056"/>
      <c r="BE139" s="1056"/>
      <c r="BF139" s="1056"/>
      <c r="BG139" s="1056"/>
      <c r="BH139" s="1056"/>
      <c r="BI139" s="1056"/>
      <c r="BJ139" s="1056"/>
      <c r="BK139" s="1056"/>
      <c r="BL139" s="1056"/>
      <c r="BM139" s="1056"/>
      <c r="BN139" s="1056"/>
      <c r="BO139" s="1056"/>
      <c r="BP139" s="1056"/>
      <c r="BQ139" s="1056"/>
      <c r="BR139" s="1056"/>
      <c r="BS139" s="1056"/>
      <c r="BT139" s="1056"/>
      <c r="BU139" s="1056"/>
      <c r="BV139" s="1056"/>
      <c r="BW139" s="1056"/>
      <c r="BX139" s="1056"/>
      <c r="BY139" s="1056"/>
      <c r="BZ139" s="1056"/>
      <c r="CA139" s="1056"/>
      <c r="CB139" s="1056"/>
      <c r="CC139" s="1056"/>
      <c r="CD139" s="1056"/>
      <c r="CE139" s="1056"/>
      <c r="CF139" s="1056"/>
      <c r="CG139" s="1056"/>
      <c r="CH139" s="1056"/>
      <c r="CI139" s="1056"/>
      <c r="CJ139" s="1056"/>
      <c r="CK139" s="1056"/>
      <c r="CL139" s="1056"/>
      <c r="CM139" s="1056"/>
      <c r="CN139" s="1056"/>
      <c r="CO139" s="1056"/>
      <c r="CP139" s="1056"/>
      <c r="CQ139" s="1056"/>
      <c r="CR139" s="1056"/>
      <c r="CS139" s="1056"/>
      <c r="CT139" s="1056"/>
      <c r="CU139" s="1056"/>
      <c r="CV139" s="1056"/>
      <c r="CW139" s="1056"/>
      <c r="CX139" s="1056"/>
      <c r="CY139" s="1056"/>
      <c r="CZ139" s="1056"/>
      <c r="DA139" s="1056"/>
      <c r="DB139" s="1056"/>
      <c r="DC139" s="1056"/>
      <c r="DD139" s="1056"/>
      <c r="DE139" s="1056"/>
      <c r="DF139" s="1056"/>
      <c r="DG139" s="1056"/>
      <c r="DH139" s="1056"/>
      <c r="DI139" s="1056"/>
      <c r="DJ139" s="1056"/>
      <c r="DK139" s="1056"/>
      <c r="DL139" s="1056"/>
      <c r="DM139" s="1056"/>
      <c r="DN139" s="1056"/>
      <c r="DO139" s="1056"/>
      <c r="DP139" s="1056"/>
      <c r="DQ139" s="1056"/>
      <c r="DR139" s="1056"/>
      <c r="DS139" s="1056"/>
      <c r="DT139" s="1056"/>
      <c r="DU139" s="1056"/>
      <c r="DV139" s="1056"/>
      <c r="DW139" s="1056"/>
      <c r="DX139" s="1056"/>
      <c r="DY139" s="1056"/>
      <c r="DZ139" s="1056"/>
      <c r="EA139" s="1056"/>
      <c r="EB139" s="1056"/>
      <c r="EC139" s="1056"/>
      <c r="ED139" s="1056"/>
      <c r="EE139" s="1056"/>
      <c r="EF139" s="1056"/>
      <c r="EG139" s="1056"/>
      <c r="EH139" s="1056"/>
      <c r="EI139" s="1056"/>
      <c r="EJ139" s="1056"/>
      <c r="EK139" s="1056"/>
      <c r="EL139" s="1056"/>
      <c r="EM139" s="1056"/>
      <c r="EN139" s="1056"/>
      <c r="EO139" s="1056"/>
      <c r="EP139" s="1056"/>
      <c r="EQ139" s="1056"/>
      <c r="ER139" s="1056"/>
      <c r="ES139" s="1056"/>
      <c r="ET139" s="1056"/>
      <c r="EU139" s="1056"/>
      <c r="EV139" s="1056"/>
      <c r="EW139" s="1056"/>
      <c r="EX139" s="1056"/>
      <c r="EY139" s="1056"/>
      <c r="EZ139" s="1056"/>
      <c r="FA139" s="1056"/>
      <c r="FB139" s="1056"/>
      <c r="FC139" s="1056"/>
      <c r="FD139" s="1056"/>
      <c r="FE139" s="1056"/>
      <c r="FF139" s="1056"/>
      <c r="FG139" s="1056"/>
      <c r="FH139" s="1056"/>
      <c r="FI139" s="1056"/>
      <c r="FJ139" s="1056"/>
      <c r="FK139" s="1056"/>
      <c r="FL139" s="1056"/>
      <c r="FM139" s="1056"/>
      <c r="FN139" s="1056"/>
      <c r="FO139" s="1056"/>
      <c r="FP139" s="1056"/>
      <c r="FQ139" s="1056"/>
      <c r="FR139" s="1056"/>
      <c r="FS139" s="1056"/>
      <c r="FT139" s="1056"/>
      <c r="FU139" s="1056"/>
      <c r="FV139" s="1056"/>
      <c r="FW139" s="1056"/>
      <c r="FX139" s="1056"/>
      <c r="FY139" s="1056"/>
      <c r="FZ139" s="1056"/>
      <c r="GA139" s="1056"/>
      <c r="GB139" s="1056"/>
      <c r="GC139" s="1056"/>
      <c r="GD139" s="1056"/>
      <c r="GE139" s="1056"/>
      <c r="GF139" s="1056"/>
      <c r="GG139" s="1056"/>
      <c r="GH139" s="1056"/>
      <c r="GI139" s="1056"/>
      <c r="GJ139" s="1056"/>
      <c r="GK139" s="1056"/>
      <c r="GL139" s="1056"/>
      <c r="GM139" s="1056"/>
      <c r="GN139" s="1056"/>
      <c r="GO139" s="1056"/>
      <c r="GP139" s="1056"/>
      <c r="GQ139" s="1056"/>
      <c r="GR139" s="1056"/>
      <c r="GS139" s="1056"/>
      <c r="GT139" s="1056"/>
      <c r="GU139" s="1056"/>
      <c r="GV139" s="1056"/>
      <c r="GW139" s="1056"/>
      <c r="GX139" s="1056"/>
      <c r="GY139" s="1056"/>
      <c r="GZ139" s="1056"/>
      <c r="HA139" s="1056"/>
      <c r="HB139" s="1056"/>
      <c r="HC139" s="1056"/>
      <c r="HD139" s="1056"/>
      <c r="HE139" s="1056"/>
      <c r="HF139" s="1056"/>
      <c r="HG139" s="1056"/>
      <c r="HH139" s="1056"/>
      <c r="HI139" s="1056"/>
      <c r="HJ139" s="1056"/>
      <c r="HK139" s="1056"/>
      <c r="HL139" s="1056"/>
      <c r="HM139" s="1056"/>
      <c r="HN139" s="1056"/>
      <c r="HO139" s="1056"/>
      <c r="HP139" s="1056"/>
      <c r="HQ139" s="1056"/>
      <c r="HR139" s="1056"/>
      <c r="HS139" s="1056"/>
      <c r="HT139" s="1056"/>
      <c r="HU139" s="1056"/>
      <c r="HV139" s="1056"/>
      <c r="HW139" s="1056"/>
      <c r="HX139" s="1056"/>
      <c r="HY139" s="1056"/>
      <c r="HZ139" s="1056"/>
      <c r="IA139" s="1056"/>
      <c r="IB139" s="1056"/>
      <c r="IC139" s="1056"/>
      <c r="ID139" s="1056"/>
      <c r="IE139" s="1056"/>
      <c r="IF139" s="1056"/>
      <c r="IG139" s="1056"/>
      <c r="IH139" s="1056"/>
      <c r="II139" s="1056"/>
      <c r="IJ139" s="1056"/>
      <c r="IK139" s="1056"/>
      <c r="IL139" s="1056"/>
      <c r="IM139" s="1056"/>
      <c r="IN139" s="1056"/>
      <c r="IO139" s="1056"/>
      <c r="IP139" s="1056"/>
      <c r="IQ139" s="1056"/>
      <c r="IR139" s="1056"/>
      <c r="IS139" s="1056"/>
      <c r="IT139" s="1056"/>
      <c r="IU139" s="1056"/>
      <c r="IV139" s="1056"/>
      <c r="IW139" s="1056"/>
      <c r="IX139" s="1056"/>
      <c r="IY139" s="1056"/>
      <c r="IZ139" s="1056"/>
      <c r="JA139" s="1056"/>
      <c r="JB139" s="1056"/>
      <c r="JC139" s="1056"/>
      <c r="JD139" s="1056"/>
      <c r="JE139" s="1056"/>
      <c r="JF139" s="1056"/>
      <c r="JG139" s="1056"/>
      <c r="JH139" s="1056"/>
      <c r="JI139" s="1056"/>
      <c r="JJ139" s="1056"/>
      <c r="JK139" s="1056"/>
      <c r="JL139" s="1056"/>
      <c r="JM139" s="1056"/>
      <c r="JN139" s="1056"/>
      <c r="JO139" s="1056"/>
      <c r="JP139" s="1056"/>
      <c r="JQ139" s="1056"/>
      <c r="JR139" s="1056"/>
      <c r="JS139" s="1056"/>
      <c r="JT139" s="1056"/>
      <c r="JU139" s="1056"/>
      <c r="JV139" s="1056"/>
      <c r="JW139" s="1056"/>
      <c r="JX139" s="1056"/>
      <c r="JY139" s="1056"/>
      <c r="JZ139" s="1056"/>
      <c r="KA139" s="1056"/>
      <c r="KB139" s="1056"/>
      <c r="KC139" s="1056"/>
      <c r="KD139" s="1056"/>
      <c r="KE139" s="1056"/>
      <c r="KF139" s="1056"/>
      <c r="KG139" s="1056"/>
      <c r="KH139" s="1056"/>
      <c r="KI139" s="1056"/>
      <c r="KJ139" s="1056"/>
      <c r="KK139" s="1056"/>
      <c r="KL139" s="1056"/>
      <c r="KM139" s="1056"/>
      <c r="KN139" s="1056"/>
      <c r="KO139" s="1056"/>
      <c r="KP139" s="1056"/>
      <c r="KQ139" s="1056"/>
      <c r="KR139" s="1056"/>
      <c r="KS139" s="1056"/>
      <c r="KT139" s="1056"/>
      <c r="KU139" s="1056"/>
      <c r="KV139" s="1056"/>
      <c r="KW139" s="1056"/>
      <c r="KX139" s="1056"/>
      <c r="KY139" s="1056"/>
      <c r="KZ139" s="1056"/>
      <c r="LA139" s="1056"/>
      <c r="LB139" s="1056"/>
      <c r="LC139" s="1056"/>
      <c r="LD139" s="1056"/>
      <c r="LE139" s="1056"/>
      <c r="LF139" s="1056"/>
      <c r="LG139" s="1056"/>
      <c r="LH139" s="1056"/>
      <c r="LI139" s="1056"/>
      <c r="LJ139" s="1056"/>
      <c r="LK139" s="1056"/>
      <c r="LL139" s="1056"/>
      <c r="LM139" s="1056"/>
      <c r="LN139" s="1056"/>
      <c r="LO139" s="1056"/>
      <c r="LP139" s="1056"/>
      <c r="LQ139" s="1056"/>
      <c r="LR139" s="1056"/>
      <c r="LS139" s="1056"/>
      <c r="LT139" s="1056"/>
      <c r="LU139" s="1056"/>
      <c r="LV139" s="1056"/>
      <c r="LW139" s="1056"/>
      <c r="LX139" s="1056"/>
      <c r="LY139" s="1056"/>
      <c r="LZ139" s="1056"/>
      <c r="MA139" s="1056"/>
      <c r="MB139" s="1056"/>
      <c r="MC139" s="1056"/>
      <c r="MD139" s="1056"/>
      <c r="ME139" s="1056"/>
      <c r="MF139" s="1056"/>
      <c r="MG139" s="1056"/>
      <c r="MH139" s="1056"/>
      <c r="MI139" s="1056"/>
      <c r="MJ139" s="1056"/>
      <c r="MK139" s="1056"/>
      <c r="ML139" s="1056"/>
      <c r="MM139" s="1056"/>
      <c r="MN139" s="1056"/>
      <c r="MO139" s="1056"/>
      <c r="MP139" s="1056"/>
      <c r="MQ139" s="1056"/>
      <c r="MR139" s="1056"/>
      <c r="MS139" s="1056"/>
      <c r="MT139" s="1056"/>
      <c r="MU139" s="1056"/>
      <c r="MV139" s="1056"/>
      <c r="MW139" s="1056"/>
      <c r="MX139" s="1056"/>
      <c r="MY139" s="1056"/>
      <c r="MZ139" s="1056"/>
      <c r="NA139" s="1056"/>
      <c r="NB139" s="1056"/>
      <c r="NC139" s="1056"/>
      <c r="ND139" s="1056"/>
      <c r="NE139" s="1056"/>
      <c r="NF139" s="1056"/>
      <c r="NG139" s="1056"/>
      <c r="NH139" s="1056"/>
      <c r="NI139" s="1056"/>
      <c r="NJ139" s="1056"/>
      <c r="NK139" s="1056"/>
      <c r="NL139" s="1056"/>
      <c r="NM139" s="1056"/>
      <c r="NN139" s="1056"/>
      <c r="NO139" s="1056"/>
      <c r="NP139" s="1056"/>
      <c r="NQ139" s="1056"/>
      <c r="NR139" s="1056"/>
      <c r="NS139" s="1056"/>
      <c r="NT139" s="1056"/>
      <c r="NU139" s="1056"/>
      <c r="NV139" s="1056"/>
      <c r="NW139" s="1056"/>
      <c r="NX139" s="1056"/>
      <c r="NY139" s="1056"/>
      <c r="NZ139" s="1056"/>
      <c r="OA139" s="1056"/>
      <c r="OB139" s="1056"/>
      <c r="OC139" s="1056"/>
      <c r="OD139" s="1056"/>
      <c r="OE139" s="1056"/>
      <c r="OF139" s="1056"/>
      <c r="OG139" s="1056"/>
      <c r="OH139" s="1056"/>
      <c r="OI139" s="1056"/>
      <c r="OJ139" s="1056"/>
      <c r="OK139" s="1056"/>
      <c r="OL139" s="1056"/>
      <c r="OM139" s="1056"/>
      <c r="ON139" s="1056"/>
      <c r="OO139" s="1056"/>
      <c r="OP139" s="1056"/>
      <c r="OQ139" s="1056"/>
      <c r="OR139" s="1056"/>
      <c r="OS139" s="1056"/>
      <c r="OT139" s="1056"/>
      <c r="OU139" s="1056"/>
      <c r="OV139" s="1056"/>
      <c r="OW139" s="1056"/>
      <c r="OX139" s="1056"/>
      <c r="OY139" s="1056"/>
      <c r="OZ139" s="1056"/>
      <c r="PA139" s="1056"/>
      <c r="PB139" s="1056"/>
      <c r="PC139" s="1056"/>
      <c r="PD139" s="1056"/>
      <c r="PE139" s="1056"/>
      <c r="PF139" s="1056"/>
      <c r="PG139" s="1056"/>
      <c r="PH139" s="1056"/>
      <c r="PI139" s="1056"/>
      <c r="PJ139" s="1056"/>
      <c r="PK139" s="1056"/>
      <c r="PL139" s="1056"/>
      <c r="PM139" s="1056"/>
      <c r="PN139" s="1056"/>
      <c r="PO139" s="1056"/>
      <c r="PP139" s="1056"/>
      <c r="PQ139" s="1056"/>
      <c r="PR139" s="1056"/>
      <c r="PS139" s="1056"/>
      <c r="PT139" s="1056"/>
      <c r="PU139" s="1056"/>
      <c r="PV139" s="1056"/>
      <c r="PW139" s="1056"/>
      <c r="PX139" s="1056"/>
      <c r="PY139" s="1056"/>
      <c r="PZ139" s="1056"/>
      <c r="QA139" s="1056"/>
      <c r="QB139" s="1056"/>
      <c r="QC139" s="1056"/>
      <c r="QD139" s="1056"/>
      <c r="QE139" s="1056"/>
      <c r="QF139" s="1056"/>
      <c r="QG139" s="1056"/>
      <c r="QH139" s="1056"/>
      <c r="QI139" s="1056"/>
      <c r="QJ139" s="1056"/>
      <c r="QK139" s="1056"/>
      <c r="QL139" s="1056"/>
      <c r="QM139" s="1056"/>
      <c r="QN139" s="1056"/>
      <c r="QO139" s="1056"/>
      <c r="QP139" s="1056"/>
      <c r="QQ139" s="1056"/>
      <c r="QR139" s="1056"/>
      <c r="QS139" s="1056"/>
      <c r="QT139" s="1056"/>
      <c r="QU139" s="1056"/>
      <c r="QV139" s="1056"/>
      <c r="QW139" s="1056"/>
      <c r="QX139" s="1056"/>
      <c r="QY139" s="1056"/>
      <c r="QZ139" s="1056"/>
      <c r="RA139" s="1056"/>
      <c r="RB139" s="1056"/>
      <c r="RC139" s="1056"/>
      <c r="RD139" s="1056"/>
      <c r="RE139" s="1056"/>
      <c r="RF139" s="1056"/>
      <c r="RG139" s="1056"/>
      <c r="RH139" s="1056"/>
      <c r="RI139" s="1056"/>
      <c r="RJ139" s="1056"/>
      <c r="RK139" s="1056"/>
      <c r="RL139" s="1056"/>
      <c r="RM139" s="1056"/>
      <c r="RN139" s="1056"/>
      <c r="RO139" s="1056"/>
      <c r="RP139" s="1056"/>
      <c r="RQ139" s="1056"/>
      <c r="RR139" s="1056"/>
      <c r="RS139" s="1056"/>
      <c r="RT139" s="1056"/>
      <c r="RU139" s="1056"/>
      <c r="RV139" s="1056"/>
      <c r="RW139" s="1056"/>
      <c r="RX139" s="1056"/>
      <c r="RY139" s="1056"/>
      <c r="RZ139" s="1056"/>
      <c r="SA139" s="1056"/>
      <c r="SB139" s="1056"/>
      <c r="SC139" s="1056"/>
      <c r="SD139" s="1056"/>
      <c r="SE139" s="1056"/>
      <c r="SF139" s="1056"/>
      <c r="SG139" s="1056"/>
      <c r="SH139" s="1056"/>
      <c r="SI139" s="1056"/>
      <c r="SJ139" s="1056"/>
      <c r="SK139" s="1056"/>
      <c r="SL139" s="1056"/>
      <c r="SM139" s="1056"/>
      <c r="SN139" s="1056"/>
      <c r="SO139" s="1056"/>
      <c r="SP139" s="1056"/>
      <c r="SQ139" s="1056"/>
      <c r="SR139" s="1056"/>
      <c r="SS139" s="1056"/>
      <c r="ST139" s="1056"/>
      <c r="SU139" s="1056"/>
      <c r="SV139" s="1056"/>
      <c r="SW139" s="1056"/>
      <c r="SX139" s="1056"/>
      <c r="SY139" s="1056"/>
      <c r="SZ139" s="1056"/>
      <c r="TA139" s="1056"/>
      <c r="TB139" s="1056"/>
      <c r="TC139" s="1056"/>
      <c r="TD139" s="1056"/>
      <c r="TE139" s="1056"/>
      <c r="TF139" s="1056"/>
      <c r="TG139" s="1056"/>
      <c r="TH139" s="1056"/>
      <c r="TI139" s="1056"/>
      <c r="TJ139" s="1056"/>
      <c r="TK139" s="1056"/>
      <c r="TL139" s="1056"/>
      <c r="TM139" s="1056"/>
      <c r="TN139" s="1056"/>
      <c r="TO139" s="1056"/>
      <c r="TP139" s="1056"/>
      <c r="TQ139" s="1056"/>
      <c r="TR139" s="1056"/>
      <c r="TS139" s="1056"/>
      <c r="TT139" s="1056"/>
      <c r="TU139" s="1056"/>
      <c r="TV139" s="1056"/>
      <c r="TW139" s="1056"/>
      <c r="TX139" s="1056"/>
      <c r="TY139" s="1056"/>
      <c r="TZ139" s="1056"/>
      <c r="UA139" s="1056"/>
      <c r="UB139" s="1056"/>
      <c r="UC139" s="1056"/>
      <c r="UD139" s="1056"/>
      <c r="UE139" s="1056"/>
      <c r="UF139" s="1056"/>
      <c r="UG139" s="1056"/>
      <c r="UH139" s="1056"/>
      <c r="UI139" s="1056"/>
      <c r="UJ139" s="1056"/>
      <c r="UK139" s="1056"/>
      <c r="UL139" s="1056"/>
      <c r="UM139" s="1056"/>
      <c r="UN139" s="1056"/>
      <c r="UO139" s="1056"/>
      <c r="UP139" s="1056"/>
      <c r="UQ139" s="1056"/>
      <c r="UR139" s="1056"/>
      <c r="US139" s="1056"/>
      <c r="UT139" s="1056"/>
      <c r="UU139" s="1056"/>
      <c r="UV139" s="1056"/>
      <c r="UW139" s="1056"/>
      <c r="UX139" s="1056"/>
      <c r="UY139" s="1056"/>
      <c r="UZ139" s="1056"/>
      <c r="VA139" s="1056"/>
      <c r="VB139" s="1056"/>
      <c r="VC139" s="1056"/>
      <c r="VD139" s="1056"/>
      <c r="VE139" s="1056"/>
      <c r="VF139" s="1056"/>
      <c r="VG139" s="1056"/>
      <c r="VH139" s="1056"/>
      <c r="VI139" s="1056"/>
      <c r="VJ139" s="1056"/>
      <c r="VK139" s="1056"/>
      <c r="VL139" s="1056"/>
      <c r="VM139" s="1056"/>
      <c r="VN139" s="1056"/>
      <c r="VO139" s="1056"/>
      <c r="VP139" s="1056"/>
      <c r="VQ139" s="1056"/>
      <c r="VR139" s="1056"/>
      <c r="VS139" s="1056"/>
      <c r="VT139" s="1056"/>
      <c r="VU139" s="1056"/>
      <c r="VV139" s="1056"/>
      <c r="VW139" s="1056"/>
      <c r="VX139" s="1056"/>
      <c r="VY139" s="1056"/>
      <c r="VZ139" s="1056"/>
      <c r="WA139" s="1056"/>
      <c r="WB139" s="1056"/>
      <c r="WC139" s="1056"/>
      <c r="WD139" s="1056"/>
      <c r="WE139" s="1056"/>
      <c r="WF139" s="1056"/>
      <c r="WG139" s="1056"/>
      <c r="WH139" s="1056"/>
      <c r="WI139" s="1056"/>
      <c r="WJ139" s="1056"/>
      <c r="WK139" s="1056"/>
      <c r="WL139" s="1056"/>
      <c r="WM139" s="1056"/>
      <c r="WN139" s="1056"/>
      <c r="WO139" s="1056"/>
      <c r="WP139" s="1056"/>
      <c r="WQ139" s="1056"/>
      <c r="WR139" s="1056"/>
      <c r="WS139" s="1056"/>
      <c r="WT139" s="1056"/>
      <c r="WU139" s="1056"/>
      <c r="WV139" s="1056"/>
      <c r="WW139" s="1056"/>
      <c r="WX139" s="1056"/>
      <c r="WY139" s="1056"/>
      <c r="WZ139" s="1056"/>
      <c r="XA139" s="1056"/>
      <c r="XB139" s="1056"/>
      <c r="XC139" s="1056"/>
      <c r="XD139" s="1056"/>
      <c r="XE139" s="1056"/>
      <c r="XF139" s="1056"/>
      <c r="XG139" s="1056"/>
      <c r="XH139" s="1056"/>
      <c r="XI139" s="1056"/>
      <c r="XJ139" s="1056"/>
      <c r="XK139" s="1056"/>
      <c r="XL139" s="1056"/>
      <c r="XM139" s="1056"/>
      <c r="XN139" s="1056"/>
      <c r="XO139" s="1056"/>
      <c r="XP139" s="1056"/>
      <c r="XQ139" s="1056"/>
      <c r="XR139" s="1056"/>
      <c r="XS139" s="1056"/>
      <c r="XT139" s="1056"/>
      <c r="XU139" s="1056"/>
      <c r="XV139" s="1056"/>
      <c r="XW139" s="1056"/>
      <c r="XX139" s="1056"/>
      <c r="XY139" s="1056"/>
      <c r="XZ139" s="1056"/>
      <c r="YA139" s="1056"/>
      <c r="YB139" s="1056"/>
      <c r="YC139" s="1056"/>
      <c r="YD139" s="1056"/>
      <c r="YE139" s="1056"/>
      <c r="YF139" s="1056"/>
      <c r="YG139" s="1056"/>
      <c r="YH139" s="1056"/>
      <c r="YI139" s="1056"/>
      <c r="YJ139" s="1056"/>
      <c r="YK139" s="1056"/>
      <c r="YL139" s="1056"/>
      <c r="YM139" s="1056"/>
      <c r="YN139" s="1056"/>
      <c r="YO139" s="1056"/>
      <c r="YP139" s="1056"/>
      <c r="YQ139" s="1056"/>
      <c r="YR139" s="1056"/>
      <c r="YS139" s="1056"/>
      <c r="YT139" s="1056"/>
      <c r="YU139" s="1056"/>
      <c r="YV139" s="1056"/>
      <c r="YW139" s="1056"/>
      <c r="YX139" s="1056"/>
      <c r="YY139" s="1056"/>
      <c r="YZ139" s="1056"/>
      <c r="ZA139" s="1056"/>
      <c r="ZB139" s="1056"/>
      <c r="ZC139" s="1056"/>
      <c r="ZD139" s="1056"/>
      <c r="ZE139" s="1056"/>
      <c r="ZF139" s="1056"/>
      <c r="ZG139" s="1056"/>
      <c r="ZH139" s="1056"/>
      <c r="ZI139" s="1056"/>
      <c r="ZJ139" s="1056"/>
      <c r="ZK139" s="1056"/>
      <c r="ZL139" s="1056"/>
      <c r="ZM139" s="1056"/>
      <c r="ZN139" s="1056"/>
      <c r="ZO139" s="1056"/>
      <c r="ZP139" s="1056"/>
      <c r="ZQ139" s="1056"/>
      <c r="ZR139" s="1056"/>
      <c r="ZS139" s="1056"/>
      <c r="ZT139" s="1056"/>
      <c r="ZU139" s="1056"/>
      <c r="ZV139" s="1056"/>
      <c r="ZW139" s="1056"/>
      <c r="ZX139" s="1056"/>
      <c r="ZY139" s="1056"/>
      <c r="ZZ139" s="1056"/>
      <c r="AAA139" s="1056"/>
      <c r="AAB139" s="1056"/>
      <c r="AAC139" s="1056"/>
      <c r="AAD139" s="1056"/>
      <c r="AAE139" s="1056"/>
      <c r="AAF139" s="1056"/>
      <c r="AAG139" s="1056"/>
      <c r="AAH139" s="1056"/>
      <c r="AAI139" s="1056"/>
      <c r="AAJ139" s="1056"/>
      <c r="AAK139" s="1056"/>
      <c r="AAL139" s="1056"/>
      <c r="AAM139" s="1056"/>
      <c r="AAN139" s="1056"/>
      <c r="AAO139" s="1056"/>
      <c r="AAP139" s="1056"/>
      <c r="AAQ139" s="1056"/>
      <c r="AAR139" s="1056"/>
      <c r="AAS139" s="1056"/>
      <c r="AAT139" s="1056"/>
      <c r="AAU139" s="1056"/>
      <c r="AAV139" s="1056"/>
      <c r="AAW139" s="1056"/>
      <c r="AAX139" s="1056"/>
      <c r="AAY139" s="1056"/>
      <c r="AAZ139" s="1056"/>
      <c r="ABA139" s="1056"/>
      <c r="ABB139" s="1056"/>
      <c r="ABC139" s="1056"/>
      <c r="ABD139" s="1056"/>
      <c r="ABE139" s="1056"/>
      <c r="ABF139" s="1056"/>
      <c r="ABG139" s="1056"/>
      <c r="ABH139" s="1056"/>
      <c r="ABI139" s="1056"/>
      <c r="ABJ139" s="1056"/>
      <c r="ABK139" s="1056"/>
      <c r="ABL139" s="1056"/>
      <c r="ABM139" s="1056"/>
      <c r="ABN139" s="1056"/>
      <c r="ABO139" s="1056"/>
      <c r="ABP139" s="1056"/>
      <c r="ABQ139" s="1056"/>
      <c r="ABR139" s="1056"/>
      <c r="ABS139" s="1056"/>
      <c r="ABT139" s="1056"/>
      <c r="ABU139" s="1056"/>
      <c r="ABV139" s="1056"/>
      <c r="ABW139" s="1056"/>
      <c r="ABX139" s="1056"/>
      <c r="ABY139" s="1056"/>
      <c r="ABZ139" s="1056"/>
      <c r="ACA139" s="1056"/>
      <c r="ACB139" s="1056"/>
      <c r="ACC139" s="1056"/>
      <c r="ACD139" s="1056"/>
      <c r="ACE139" s="1056"/>
      <c r="ACF139" s="1056"/>
      <c r="ACG139" s="1056"/>
      <c r="ACH139" s="1056"/>
      <c r="ACI139" s="1056"/>
      <c r="ACJ139" s="1056"/>
      <c r="ACK139" s="1056"/>
      <c r="ACL139" s="1056"/>
      <c r="ACM139" s="1056"/>
      <c r="ACN139" s="1056"/>
      <c r="ACO139" s="1056"/>
      <c r="ACP139" s="1056"/>
      <c r="ACQ139" s="1056"/>
      <c r="ACR139" s="1056"/>
      <c r="ACS139" s="1056"/>
      <c r="ACT139" s="1056"/>
      <c r="ACU139" s="1056"/>
      <c r="ACV139" s="1056"/>
      <c r="ACW139" s="1056"/>
      <c r="ACX139" s="1056"/>
      <c r="ACY139" s="1056"/>
      <c r="ACZ139" s="1056"/>
      <c r="ADA139" s="1056"/>
      <c r="ADB139" s="1056"/>
      <c r="ADC139" s="1056"/>
      <c r="ADD139" s="1056"/>
      <c r="ADE139" s="1056"/>
      <c r="ADF139" s="1056"/>
      <c r="ADG139" s="1056"/>
      <c r="ADH139" s="1056"/>
      <c r="ADI139" s="1056"/>
      <c r="ADJ139" s="1056"/>
      <c r="ADK139" s="1056"/>
      <c r="ADL139" s="1056"/>
      <c r="ADM139" s="1056"/>
      <c r="ADN139" s="1056"/>
      <c r="ADO139" s="1056"/>
      <c r="ADP139" s="1056"/>
      <c r="ADQ139" s="1056"/>
      <c r="ADR139" s="1056"/>
      <c r="ADS139" s="1056"/>
      <c r="ADT139" s="1056"/>
      <c r="ADU139" s="1056"/>
      <c r="ADV139" s="1056"/>
      <c r="ADW139" s="1056"/>
      <c r="ADX139" s="1056"/>
      <c r="ADY139" s="1056"/>
      <c r="ADZ139" s="1056"/>
      <c r="AEA139" s="1056"/>
      <c r="AEB139" s="1056"/>
      <c r="AEC139" s="1056"/>
      <c r="AED139" s="1056"/>
      <c r="AEE139" s="1056"/>
      <c r="AEF139" s="1056"/>
      <c r="AEG139" s="1056"/>
      <c r="AEH139" s="1056"/>
      <c r="AEI139" s="1056"/>
      <c r="AEJ139" s="1056"/>
      <c r="AEK139" s="1056"/>
      <c r="AEL139" s="1056"/>
      <c r="AEM139" s="1056"/>
      <c r="AEN139" s="1056"/>
      <c r="AEO139" s="1056"/>
      <c r="AEP139" s="1056"/>
      <c r="AEQ139" s="1056"/>
      <c r="AER139" s="1056"/>
      <c r="AES139" s="1056"/>
      <c r="AET139" s="1056"/>
      <c r="AEU139" s="1056"/>
      <c r="AEV139" s="1056"/>
      <c r="AEW139" s="1056"/>
      <c r="AEX139" s="1056"/>
      <c r="AEY139" s="1056"/>
      <c r="AEZ139" s="1056"/>
      <c r="AFA139" s="1056"/>
      <c r="AFB139" s="1056"/>
      <c r="AFC139" s="1056"/>
      <c r="AFD139" s="1056"/>
      <c r="AFE139" s="1056"/>
      <c r="AFF139" s="1056"/>
      <c r="AFG139" s="1056"/>
      <c r="AFH139" s="1056"/>
      <c r="AFI139" s="1056"/>
      <c r="AFJ139" s="1056"/>
      <c r="AFK139" s="1056"/>
      <c r="AFL139" s="1056"/>
      <c r="AFM139" s="1056"/>
      <c r="AFN139" s="1056"/>
      <c r="AFO139" s="1056"/>
      <c r="AFP139" s="1056"/>
      <c r="AFQ139" s="1056"/>
      <c r="AFR139" s="1056"/>
      <c r="AFS139" s="1056"/>
      <c r="AFT139" s="1056"/>
      <c r="AFU139" s="1056"/>
      <c r="AFV139" s="1056"/>
      <c r="AFW139" s="1056"/>
      <c r="AFX139" s="1056"/>
      <c r="AFY139" s="1056"/>
      <c r="AFZ139" s="1056"/>
      <c r="AGA139" s="1056"/>
      <c r="AGB139" s="1056"/>
      <c r="AGC139" s="1056"/>
      <c r="AGD139" s="1056"/>
      <c r="AGE139" s="1056"/>
      <c r="AGF139" s="1056"/>
      <c r="AGG139" s="1056"/>
      <c r="AGH139" s="1056"/>
      <c r="AGI139" s="1056"/>
      <c r="AGJ139" s="1056"/>
      <c r="AGK139" s="1056"/>
      <c r="AGL139" s="1056"/>
      <c r="AGM139" s="1056"/>
      <c r="AGN139" s="1056"/>
      <c r="AGO139" s="1056"/>
      <c r="AGP139" s="1056"/>
      <c r="AGQ139" s="1056"/>
      <c r="AGR139" s="1056"/>
      <c r="AGS139" s="1056"/>
      <c r="AGT139" s="1056"/>
      <c r="AGU139" s="1056"/>
      <c r="AGV139" s="1056"/>
      <c r="AGW139" s="1056"/>
      <c r="AGX139" s="1056"/>
      <c r="AGY139" s="1056"/>
      <c r="AGZ139" s="1056"/>
      <c r="AHA139" s="1056"/>
      <c r="AHB139" s="1056"/>
      <c r="AHC139" s="1056"/>
      <c r="AHD139" s="1056"/>
      <c r="AHE139" s="1056"/>
      <c r="AHF139" s="1056"/>
      <c r="AHG139" s="1056"/>
      <c r="AHH139" s="1056"/>
      <c r="AHI139" s="1056"/>
      <c r="AHJ139" s="1056"/>
      <c r="AHK139" s="1056"/>
      <c r="AHL139" s="1056"/>
      <c r="AHM139" s="1056"/>
      <c r="AHN139" s="1056"/>
      <c r="AHO139" s="1056"/>
      <c r="AHP139" s="1056"/>
      <c r="AHQ139" s="1056"/>
      <c r="AHR139" s="1056"/>
      <c r="AHS139" s="1056"/>
      <c r="AHT139" s="1056"/>
      <c r="AHU139" s="1056"/>
      <c r="AHV139" s="1056"/>
      <c r="AHW139" s="1056"/>
      <c r="AHX139" s="1056"/>
      <c r="AHY139" s="1056"/>
      <c r="AHZ139" s="1056"/>
      <c r="AIA139" s="1056"/>
      <c r="AIB139" s="1056"/>
      <c r="AIC139" s="1056"/>
      <c r="AID139" s="1056"/>
      <c r="AIE139" s="1056"/>
      <c r="AIF139" s="1056"/>
      <c r="AIG139" s="1056"/>
      <c r="AIH139" s="1056"/>
      <c r="AII139" s="1056"/>
      <c r="AIJ139" s="1056"/>
      <c r="AIK139" s="1056"/>
      <c r="AIL139" s="1056"/>
      <c r="AIM139" s="1056"/>
      <c r="AIN139" s="1056"/>
      <c r="AIO139" s="1056"/>
      <c r="AIP139" s="1056"/>
      <c r="AIQ139" s="1056"/>
      <c r="AIR139" s="1056"/>
      <c r="AIS139" s="1056"/>
      <c r="AIT139" s="1056"/>
      <c r="AIU139" s="1056"/>
      <c r="AIV139" s="1056"/>
      <c r="AIW139" s="1056"/>
      <c r="AIX139" s="1056"/>
      <c r="AIY139" s="1056"/>
      <c r="AIZ139" s="1056"/>
      <c r="AJA139" s="1056"/>
      <c r="AJB139" s="1056"/>
      <c r="AJC139" s="1056"/>
      <c r="AJD139" s="1056"/>
      <c r="AJE139" s="1056"/>
      <c r="AJF139" s="1056"/>
      <c r="AJG139" s="1056"/>
      <c r="AJH139" s="1056"/>
      <c r="AJI139" s="1056"/>
      <c r="AJJ139" s="1056"/>
      <c r="AJK139" s="1056"/>
      <c r="AJL139" s="1056"/>
      <c r="AJM139" s="1056"/>
      <c r="AJN139" s="1056"/>
      <c r="AJO139" s="1056"/>
      <c r="AJP139" s="1056"/>
      <c r="AJQ139" s="1056"/>
      <c r="AJR139" s="1056"/>
      <c r="AJS139" s="1056"/>
      <c r="AJT139" s="1056"/>
      <c r="AJU139" s="1056"/>
      <c r="AJV139" s="1056"/>
      <c r="AJW139" s="1056"/>
      <c r="AJX139" s="1056"/>
      <c r="AJY139" s="1056"/>
      <c r="AJZ139" s="1056"/>
      <c r="AKA139" s="1056"/>
      <c r="AKB139" s="1056"/>
      <c r="AKC139" s="1056"/>
      <c r="AKD139" s="1056"/>
      <c r="AKE139" s="1056"/>
      <c r="AKF139" s="1056"/>
      <c r="AKG139" s="1056"/>
      <c r="AKH139" s="1056"/>
      <c r="AKI139" s="1056"/>
      <c r="AKJ139" s="1056"/>
      <c r="AKK139" s="1056"/>
      <c r="AKL139" s="1056"/>
      <c r="AKM139" s="1056"/>
      <c r="AKN139" s="1056"/>
      <c r="AKO139" s="1056"/>
      <c r="AKP139" s="1056"/>
      <c r="AKQ139" s="1056"/>
      <c r="AKR139" s="1056"/>
      <c r="AKS139" s="1056"/>
      <c r="AKT139" s="1056"/>
      <c r="AKU139" s="1056"/>
      <c r="AKV139" s="1056"/>
      <c r="AKW139" s="1056"/>
      <c r="AKX139" s="1056"/>
      <c r="AKY139" s="1056"/>
      <c r="AKZ139" s="1056"/>
      <c r="ALA139" s="1056"/>
      <c r="ALB139" s="1056"/>
      <c r="ALC139" s="1056"/>
      <c r="ALD139" s="1056"/>
      <c r="ALE139" s="1056"/>
      <c r="ALF139" s="1056"/>
      <c r="ALG139" s="1056"/>
      <c r="ALH139" s="1056"/>
      <c r="ALI139" s="1056"/>
      <c r="ALJ139" s="1056"/>
      <c r="ALK139" s="1056"/>
      <c r="ALL139" s="1056"/>
      <c r="ALM139" s="1056"/>
      <c r="ALN139" s="1056"/>
      <c r="ALO139" s="1056"/>
      <c r="ALP139" s="1056"/>
      <c r="ALQ139" s="1056"/>
      <c r="ALR139" s="1056"/>
      <c r="ALS139" s="1056"/>
      <c r="ALT139" s="1056"/>
      <c r="ALU139" s="1056"/>
      <c r="ALV139" s="1056"/>
      <c r="ALW139" s="1056"/>
      <c r="ALX139" s="1056"/>
      <c r="ALY139" s="1056"/>
      <c r="ALZ139" s="1056"/>
      <c r="AMA139" s="1056"/>
      <c r="AMB139" s="1056"/>
      <c r="AMC139" s="1056"/>
      <c r="AMD139" s="1056"/>
      <c r="AME139" s="1056"/>
      <c r="AMF139" s="1056"/>
      <c r="AMG139" s="1056"/>
      <c r="AMH139" s="1056"/>
      <c r="AMI139" s="1056"/>
      <c r="AMJ139" s="1056"/>
      <c r="AMK139" s="1056"/>
      <c r="AML139" s="1056"/>
      <c r="AMM139" s="1056"/>
      <c r="AMN139" s="1056"/>
      <c r="AMO139" s="1056"/>
      <c r="AMP139" s="1056"/>
      <c r="AMQ139" s="1056"/>
      <c r="AMR139" s="1056"/>
      <c r="AMS139" s="1056"/>
      <c r="AMT139" s="1056"/>
      <c r="AMU139" s="1056"/>
      <c r="AMV139" s="1056"/>
      <c r="AMW139" s="1056"/>
      <c r="AMX139" s="1056"/>
      <c r="AMY139" s="1056"/>
      <c r="AMZ139" s="1056"/>
      <c r="ANA139" s="1056"/>
      <c r="ANB139" s="1056"/>
      <c r="ANC139" s="1056"/>
      <c r="AND139" s="1056"/>
      <c r="ANE139" s="1056"/>
      <c r="ANF139" s="1056"/>
      <c r="ANG139" s="1056"/>
      <c r="ANH139" s="1056"/>
      <c r="ANI139" s="1056"/>
      <c r="ANJ139" s="1056"/>
      <c r="ANK139" s="1056"/>
      <c r="ANL139" s="1056"/>
      <c r="ANM139" s="1056"/>
      <c r="ANN139" s="1056"/>
      <c r="ANO139" s="1056"/>
      <c r="ANP139" s="1056"/>
      <c r="ANQ139" s="1056"/>
      <c r="ANR139" s="1056"/>
      <c r="ANS139" s="1056"/>
      <c r="ANT139" s="1056"/>
      <c r="ANU139" s="1056"/>
      <c r="ANV139" s="1056"/>
      <c r="ANW139" s="1056"/>
      <c r="ANX139" s="1056"/>
      <c r="ANY139" s="1056"/>
      <c r="ANZ139" s="1056"/>
      <c r="AOA139" s="1056"/>
      <c r="AOB139" s="1056"/>
      <c r="AOC139" s="1056"/>
      <c r="AOD139" s="1056"/>
      <c r="AOE139" s="1056"/>
      <c r="AOF139" s="1056"/>
      <c r="AOG139" s="1056"/>
      <c r="AOH139" s="1056"/>
      <c r="AOI139" s="1056"/>
      <c r="AOJ139" s="1056"/>
      <c r="AOK139" s="1056"/>
      <c r="AOL139" s="1056"/>
      <c r="AOM139" s="1056"/>
      <c r="AON139" s="1056"/>
      <c r="AOO139" s="1056"/>
      <c r="AOP139" s="1056"/>
      <c r="AOQ139" s="1056"/>
      <c r="AOR139" s="1056"/>
      <c r="AOS139" s="1056"/>
      <c r="AOT139" s="1056"/>
      <c r="AOU139" s="1056"/>
      <c r="AOV139" s="1056"/>
      <c r="AOW139" s="1056"/>
      <c r="AOX139" s="1056"/>
      <c r="AOY139" s="1056"/>
      <c r="AOZ139" s="1056"/>
      <c r="APA139" s="1056"/>
      <c r="APB139" s="1056"/>
      <c r="APC139" s="1056"/>
      <c r="APD139" s="1056"/>
      <c r="APE139" s="1056"/>
      <c r="APF139" s="1056"/>
      <c r="APG139" s="1056"/>
      <c r="APH139" s="1056"/>
      <c r="API139" s="1056"/>
      <c r="APJ139" s="1056"/>
      <c r="APK139" s="1056"/>
      <c r="APL139" s="1056"/>
      <c r="APM139" s="1056"/>
      <c r="APN139" s="1056"/>
      <c r="APO139" s="1056"/>
      <c r="APP139" s="1056"/>
      <c r="APQ139" s="1056"/>
      <c r="APR139" s="1056"/>
      <c r="APS139" s="1056"/>
      <c r="APT139" s="1056"/>
      <c r="APU139" s="1056"/>
      <c r="APV139" s="1056"/>
      <c r="APW139" s="1056"/>
      <c r="APX139" s="1056"/>
      <c r="APY139" s="1056"/>
      <c r="APZ139" s="1056"/>
      <c r="AQA139" s="1056"/>
      <c r="AQB139" s="1056"/>
      <c r="AQC139" s="1056"/>
      <c r="AQD139" s="1056"/>
      <c r="AQE139" s="1056"/>
      <c r="AQF139" s="1056"/>
      <c r="AQG139" s="1056"/>
      <c r="AQH139" s="1056"/>
      <c r="AQI139" s="1056"/>
      <c r="AQJ139" s="1056"/>
      <c r="AQK139" s="1056"/>
      <c r="AQL139" s="1056"/>
      <c r="AQM139" s="1056"/>
      <c r="AQN139" s="1056"/>
      <c r="AQO139" s="1056"/>
      <c r="AQP139" s="1056"/>
      <c r="AQQ139" s="1056"/>
      <c r="AQR139" s="1056"/>
      <c r="AQS139" s="1056"/>
      <c r="AQT139" s="1056"/>
      <c r="AQU139" s="1056"/>
      <c r="AQV139" s="1056"/>
      <c r="AQW139" s="1056"/>
      <c r="AQX139" s="1056"/>
      <c r="AQY139" s="1056"/>
      <c r="AQZ139" s="1056"/>
      <c r="ARA139" s="1056"/>
      <c r="ARB139" s="1056"/>
      <c r="ARC139" s="1056"/>
      <c r="ARD139" s="1056"/>
      <c r="ARE139" s="1056"/>
      <c r="ARF139" s="1056"/>
      <c r="ARG139" s="1056"/>
      <c r="ARH139" s="1056"/>
      <c r="ARI139" s="1056"/>
      <c r="ARJ139" s="1056"/>
      <c r="ARK139" s="1056"/>
      <c r="ARL139" s="1056"/>
      <c r="ARM139" s="1056"/>
      <c r="ARN139" s="1056"/>
      <c r="ARO139" s="1056"/>
      <c r="ARP139" s="1056"/>
      <c r="ARQ139" s="1056"/>
      <c r="ARR139" s="1056"/>
      <c r="ARS139" s="1056"/>
      <c r="ART139" s="1056"/>
      <c r="ARU139" s="1056"/>
      <c r="ARV139" s="1056"/>
      <c r="ARW139" s="1056"/>
      <c r="ARX139" s="1056"/>
      <c r="ARY139" s="1056"/>
      <c r="ARZ139" s="1056"/>
      <c r="ASA139" s="1056"/>
      <c r="ASB139" s="1056"/>
      <c r="ASC139" s="1056"/>
      <c r="ASD139" s="1056"/>
      <c r="ASE139" s="1056"/>
      <c r="ASF139" s="1056"/>
      <c r="ASG139" s="1056"/>
      <c r="ASH139" s="1056"/>
      <c r="ASI139" s="1056"/>
      <c r="ASJ139" s="1056"/>
      <c r="ASK139" s="1056"/>
      <c r="ASL139" s="1056"/>
      <c r="ASM139" s="1056"/>
      <c r="ASN139" s="1056"/>
      <c r="ASO139" s="1056"/>
      <c r="ASP139" s="1056"/>
      <c r="ASQ139" s="1056"/>
      <c r="ASR139" s="1056"/>
      <c r="ASS139" s="1056"/>
      <c r="AST139" s="1056"/>
      <c r="ASU139" s="1056"/>
      <c r="ASV139" s="1056"/>
      <c r="ASW139" s="1056"/>
      <c r="ASX139" s="1056"/>
      <c r="ASY139" s="1056"/>
      <c r="ASZ139" s="1056"/>
      <c r="ATA139" s="1056"/>
      <c r="ATB139" s="1056"/>
      <c r="ATC139" s="1056"/>
      <c r="ATD139" s="1056"/>
      <c r="ATE139" s="1056"/>
      <c r="ATF139" s="1056"/>
      <c r="ATG139" s="1056"/>
      <c r="ATH139" s="1056"/>
      <c r="ATI139" s="1056"/>
      <c r="ATJ139" s="1056"/>
      <c r="ATK139" s="1056"/>
      <c r="ATL139" s="1056"/>
      <c r="ATM139" s="1056"/>
      <c r="ATN139" s="1056"/>
      <c r="ATO139" s="1056"/>
      <c r="ATP139" s="1056"/>
      <c r="ATQ139" s="1056"/>
      <c r="ATR139" s="1056"/>
      <c r="ATS139" s="1056"/>
      <c r="ATT139" s="1056"/>
      <c r="ATU139" s="1056"/>
      <c r="ATV139" s="1056"/>
      <c r="ATW139" s="1056"/>
      <c r="ATX139" s="1056"/>
      <c r="ATY139" s="1056"/>
      <c r="ATZ139" s="1056"/>
      <c r="AUA139" s="1056"/>
      <c r="AUB139" s="1056"/>
      <c r="AUC139" s="1056"/>
      <c r="AUD139" s="1056"/>
      <c r="AUE139" s="1056"/>
      <c r="AUF139" s="1056"/>
      <c r="AUG139" s="1056"/>
      <c r="AUH139" s="1056"/>
      <c r="AUI139" s="1056"/>
      <c r="AUJ139" s="1056"/>
      <c r="AUK139" s="1056"/>
      <c r="AUL139" s="1056"/>
      <c r="AUM139" s="1056"/>
      <c r="AUN139" s="1056"/>
      <c r="AUO139" s="1056"/>
      <c r="AUP139" s="1056"/>
      <c r="AUQ139" s="1056"/>
      <c r="AUR139" s="1056"/>
      <c r="AUS139" s="1056"/>
      <c r="AUT139" s="1056"/>
      <c r="AUU139" s="1056"/>
      <c r="AUV139" s="1056"/>
      <c r="AUW139" s="1056"/>
      <c r="AUX139" s="1056"/>
      <c r="AUY139" s="1056"/>
      <c r="AUZ139" s="1056"/>
      <c r="AVA139" s="1056"/>
      <c r="AVB139" s="1056"/>
      <c r="AVC139" s="1056"/>
      <c r="AVD139" s="1056"/>
      <c r="AVE139" s="1056"/>
      <c r="AVF139" s="1056"/>
      <c r="AVG139" s="1056"/>
      <c r="AVH139" s="1056"/>
      <c r="AVI139" s="1056"/>
      <c r="AVJ139" s="1056"/>
      <c r="AVK139" s="1056"/>
      <c r="AVL139" s="1056"/>
      <c r="AVM139" s="1056"/>
      <c r="AVN139" s="1056"/>
      <c r="AVO139" s="1056"/>
      <c r="AVP139" s="1056"/>
      <c r="AVQ139" s="1056"/>
      <c r="AVR139" s="1056"/>
      <c r="AVS139" s="1056"/>
      <c r="AVT139" s="1056"/>
      <c r="AVU139" s="1056"/>
      <c r="AVV139" s="1056"/>
      <c r="AVW139" s="1056"/>
      <c r="AVX139" s="1056"/>
      <c r="AVY139" s="1056"/>
      <c r="AVZ139" s="1056"/>
      <c r="AWA139" s="1056"/>
      <c r="AWB139" s="1056"/>
      <c r="AWC139" s="1056"/>
      <c r="AWD139" s="1056"/>
      <c r="AWE139" s="1056"/>
      <c r="AWF139" s="1056"/>
      <c r="AWG139" s="1056"/>
      <c r="AWH139" s="1056"/>
      <c r="AWI139" s="1056"/>
      <c r="AWJ139" s="1056"/>
      <c r="AWK139" s="1056"/>
      <c r="AWL139" s="1056"/>
      <c r="AWM139" s="1056"/>
      <c r="AWN139" s="1056"/>
      <c r="AWO139" s="1056"/>
      <c r="AWP139" s="1056"/>
      <c r="AWQ139" s="1056"/>
      <c r="AWR139" s="1056"/>
      <c r="AWS139" s="1056"/>
      <c r="AWT139" s="1056"/>
      <c r="AWU139" s="1056"/>
      <c r="AWV139" s="1056"/>
      <c r="AWW139" s="1056"/>
      <c r="AWX139" s="1056"/>
      <c r="AWY139" s="1056"/>
      <c r="AWZ139" s="1056"/>
      <c r="AXA139" s="1056"/>
      <c r="AXB139" s="1056"/>
      <c r="AXC139" s="1056"/>
      <c r="AXD139" s="1056"/>
      <c r="AXE139" s="1056"/>
      <c r="AXF139" s="1056"/>
      <c r="AXG139" s="1056"/>
      <c r="AXH139" s="1056"/>
      <c r="AXI139" s="1056"/>
      <c r="AXJ139" s="1056"/>
      <c r="AXK139" s="1056"/>
      <c r="AXL139" s="1056"/>
      <c r="AXM139" s="1056"/>
      <c r="AXN139" s="1056"/>
      <c r="AXO139" s="1056"/>
      <c r="AXP139" s="1056"/>
      <c r="AXQ139" s="1056"/>
      <c r="AXR139" s="1056"/>
      <c r="AXS139" s="1056"/>
      <c r="AXT139" s="1056"/>
      <c r="AXU139" s="1056"/>
      <c r="AXV139" s="1056"/>
      <c r="AXW139" s="1056"/>
      <c r="AXX139" s="1056"/>
      <c r="AXY139" s="1056"/>
      <c r="AXZ139" s="1056"/>
      <c r="AYA139" s="1056"/>
      <c r="AYB139" s="1056"/>
      <c r="AYC139" s="1056"/>
      <c r="AYD139" s="1056"/>
      <c r="AYE139" s="1056"/>
      <c r="AYF139" s="1056"/>
      <c r="AYG139" s="1056"/>
      <c r="AYH139" s="1056"/>
      <c r="AYI139" s="1056"/>
      <c r="AYJ139" s="1056"/>
      <c r="AYK139" s="1056"/>
      <c r="AYL139" s="1056"/>
      <c r="AYM139" s="1056"/>
      <c r="AYN139" s="1056"/>
      <c r="AYO139" s="1056"/>
      <c r="AYP139" s="1056"/>
      <c r="AYQ139" s="1056"/>
      <c r="AYR139" s="1056"/>
      <c r="AYS139" s="1056"/>
      <c r="AYT139" s="1056"/>
      <c r="AYU139" s="1056"/>
      <c r="AYV139" s="1056"/>
      <c r="AYW139" s="1056"/>
      <c r="AYX139" s="1056"/>
      <c r="AYY139" s="1056"/>
      <c r="AYZ139" s="1056"/>
      <c r="AZA139" s="1056"/>
      <c r="AZB139" s="1056"/>
      <c r="AZC139" s="1056"/>
      <c r="AZD139" s="1056"/>
      <c r="AZE139" s="1056"/>
      <c r="AZF139" s="1056"/>
      <c r="AZG139" s="1056"/>
      <c r="AZH139" s="1056"/>
      <c r="AZI139" s="1056"/>
      <c r="AZJ139" s="1056"/>
      <c r="AZK139" s="1056"/>
      <c r="AZL139" s="1056"/>
      <c r="AZM139" s="1056"/>
      <c r="AZN139" s="1056"/>
      <c r="AZO139" s="1056"/>
      <c r="AZP139" s="1056"/>
      <c r="AZQ139" s="1056"/>
      <c r="AZR139" s="1056"/>
      <c r="AZS139" s="1056"/>
      <c r="AZT139" s="1056"/>
      <c r="AZU139" s="1056"/>
      <c r="AZV139" s="1056"/>
      <c r="AZW139" s="1056"/>
      <c r="AZX139" s="1056"/>
      <c r="AZY139" s="1056"/>
      <c r="AZZ139" s="1056"/>
      <c r="BAA139" s="1056"/>
      <c r="BAB139" s="1056"/>
      <c r="BAC139" s="1056"/>
      <c r="BAD139" s="1056"/>
      <c r="BAE139" s="1056"/>
      <c r="BAF139" s="1056"/>
      <c r="BAG139" s="1056"/>
      <c r="BAH139" s="1056"/>
      <c r="BAI139" s="1056"/>
      <c r="BAJ139" s="1056"/>
      <c r="BAK139" s="1056"/>
      <c r="BAL139" s="1056"/>
      <c r="BAM139" s="1056"/>
      <c r="BAN139" s="1056"/>
      <c r="BAO139" s="1056"/>
      <c r="BAP139" s="1056"/>
      <c r="BAQ139" s="1056"/>
      <c r="BAR139" s="1056"/>
      <c r="BAS139" s="1056"/>
      <c r="BAT139" s="1056"/>
      <c r="BAU139" s="1056"/>
      <c r="BAV139" s="1056"/>
      <c r="BAW139" s="1056"/>
      <c r="BAX139" s="1056"/>
      <c r="BAY139" s="1056"/>
      <c r="BAZ139" s="1056"/>
      <c r="BBA139" s="1056"/>
      <c r="BBB139" s="1056"/>
      <c r="BBC139" s="1056"/>
      <c r="BBD139" s="1056"/>
      <c r="BBE139" s="1056"/>
      <c r="BBF139" s="1056"/>
      <c r="BBG139" s="1056"/>
      <c r="BBH139" s="1056"/>
      <c r="BBI139" s="1056"/>
      <c r="BBJ139" s="1056"/>
      <c r="BBK139" s="1056"/>
      <c r="BBL139" s="1056"/>
      <c r="BBM139" s="1056"/>
      <c r="BBN139" s="1056"/>
      <c r="BBO139" s="1056"/>
      <c r="BBP139" s="1056"/>
      <c r="BBQ139" s="1056"/>
      <c r="BBR139" s="1056"/>
      <c r="BBS139" s="1056"/>
      <c r="BBT139" s="1056"/>
      <c r="BBU139" s="1056"/>
      <c r="BBV139" s="1056"/>
      <c r="BBW139" s="1056"/>
      <c r="BBX139" s="1056"/>
      <c r="BBY139" s="1056"/>
      <c r="BBZ139" s="1056"/>
      <c r="BCA139" s="1056"/>
      <c r="BCB139" s="1056"/>
      <c r="BCC139" s="1056"/>
      <c r="BCD139" s="1056"/>
      <c r="BCE139" s="1056"/>
      <c r="BCF139" s="1056"/>
      <c r="BCG139" s="1056"/>
      <c r="BCH139" s="1056"/>
      <c r="BCI139" s="1056"/>
      <c r="BCJ139" s="1056"/>
      <c r="BCK139" s="1056"/>
      <c r="BCL139" s="1056"/>
      <c r="BCM139" s="1056"/>
      <c r="BCN139" s="1056"/>
      <c r="BCO139" s="1056"/>
      <c r="BCP139" s="1056"/>
      <c r="BCQ139" s="1056"/>
      <c r="BCR139" s="1056"/>
      <c r="BCS139" s="1056"/>
      <c r="BCT139" s="1056"/>
      <c r="BCU139" s="1056"/>
      <c r="BCV139" s="1056"/>
      <c r="BCW139" s="1056"/>
      <c r="BCX139" s="1056"/>
      <c r="BCY139" s="1056"/>
      <c r="BCZ139" s="1056"/>
      <c r="BDA139" s="1056"/>
      <c r="BDB139" s="1056"/>
      <c r="BDC139" s="1056"/>
      <c r="BDD139" s="1056"/>
      <c r="BDE139" s="1056"/>
      <c r="BDF139" s="1056"/>
      <c r="BDG139" s="1056"/>
      <c r="BDH139" s="1056"/>
      <c r="BDI139" s="1056"/>
      <c r="BDJ139" s="1056"/>
      <c r="BDK139" s="1056"/>
      <c r="BDL139" s="1056"/>
      <c r="BDM139" s="1056"/>
      <c r="BDN139" s="1056"/>
      <c r="BDO139" s="1056"/>
      <c r="BDP139" s="1056"/>
      <c r="BDQ139" s="1056"/>
      <c r="BDR139" s="1056"/>
      <c r="BDS139" s="1056"/>
      <c r="BDT139" s="1056"/>
      <c r="BDU139" s="1056"/>
      <c r="BDV139" s="1056"/>
      <c r="BDW139" s="1056"/>
      <c r="BDX139" s="1056"/>
      <c r="BDY139" s="1056"/>
      <c r="BDZ139" s="1056"/>
      <c r="BEA139" s="1056"/>
      <c r="BEB139" s="1056"/>
      <c r="BEC139" s="1056"/>
      <c r="BED139" s="1056"/>
      <c r="BEE139" s="1056"/>
      <c r="BEF139" s="1056"/>
      <c r="BEG139" s="1056"/>
      <c r="BEH139" s="1056"/>
      <c r="BEI139" s="1056"/>
      <c r="BEJ139" s="1056"/>
      <c r="BEK139" s="1056"/>
      <c r="BEL139" s="1056"/>
      <c r="BEM139" s="1056"/>
      <c r="BEN139" s="1056"/>
      <c r="BEO139" s="1056"/>
      <c r="BEP139" s="1056"/>
      <c r="BEQ139" s="1056"/>
      <c r="BER139" s="1056"/>
      <c r="BES139" s="1056"/>
      <c r="BET139" s="1056"/>
      <c r="BEU139" s="1056"/>
      <c r="BEV139" s="1056"/>
      <c r="BEW139" s="1056"/>
      <c r="BEX139" s="1056"/>
      <c r="BEY139" s="1056"/>
      <c r="BEZ139" s="1056"/>
      <c r="BFA139" s="1056"/>
      <c r="BFB139" s="1056"/>
      <c r="BFC139" s="1056"/>
      <c r="BFD139" s="1056"/>
      <c r="BFE139" s="1056"/>
      <c r="BFF139" s="1056"/>
      <c r="BFG139" s="1056"/>
      <c r="BFH139" s="1056"/>
      <c r="BFI139" s="1056"/>
      <c r="BFJ139" s="1056"/>
      <c r="BFK139" s="1056"/>
      <c r="BFL139" s="1056"/>
      <c r="BFM139" s="1056"/>
      <c r="BFN139" s="1056"/>
      <c r="BFO139" s="1056"/>
      <c r="BFP139" s="1056"/>
      <c r="BFQ139" s="1056"/>
      <c r="BFR139" s="1056"/>
      <c r="BFS139" s="1056"/>
      <c r="BFT139" s="1056"/>
      <c r="BFU139" s="1056"/>
      <c r="BFV139" s="1056"/>
      <c r="BFW139" s="1056"/>
      <c r="BFX139" s="1056"/>
      <c r="BFY139" s="1056"/>
      <c r="BFZ139" s="1056"/>
      <c r="BGA139" s="1056"/>
      <c r="BGB139" s="1056"/>
      <c r="BGC139" s="1056"/>
      <c r="BGD139" s="1056"/>
      <c r="BGE139" s="1056"/>
      <c r="BGF139" s="1056"/>
      <c r="BGG139" s="1056"/>
      <c r="BGH139" s="1056"/>
      <c r="BGI139" s="1056"/>
      <c r="BGJ139" s="1056"/>
      <c r="BGK139" s="1056"/>
      <c r="BGL139" s="1056"/>
      <c r="BGM139" s="1056"/>
      <c r="BGN139" s="1056"/>
      <c r="BGO139" s="1056"/>
      <c r="BGP139" s="1056"/>
      <c r="BGQ139" s="1056"/>
      <c r="BGR139" s="1056"/>
      <c r="BGS139" s="1056"/>
      <c r="BGT139" s="1056"/>
      <c r="BGU139" s="1056"/>
      <c r="BGV139" s="1056"/>
      <c r="BGW139" s="1056"/>
      <c r="BGX139" s="1056"/>
      <c r="BGY139" s="1056"/>
      <c r="BGZ139" s="1056"/>
      <c r="BHA139" s="1056"/>
      <c r="BHB139" s="1056"/>
      <c r="BHC139" s="1056"/>
      <c r="BHD139" s="1056"/>
      <c r="BHE139" s="1056"/>
      <c r="BHF139" s="1056"/>
      <c r="BHG139" s="1056"/>
      <c r="BHH139" s="1056"/>
      <c r="BHI139" s="1056"/>
      <c r="BHJ139" s="1056"/>
      <c r="BHK139" s="1056"/>
      <c r="BHL139" s="1056"/>
      <c r="BHM139" s="1056"/>
      <c r="BHN139" s="1056"/>
      <c r="BHO139" s="1056"/>
      <c r="BHP139" s="1056"/>
      <c r="BHQ139" s="1056"/>
      <c r="BHR139" s="1056"/>
      <c r="BHS139" s="1056"/>
      <c r="BHT139" s="1056"/>
      <c r="BHU139" s="1056"/>
      <c r="BHV139" s="1056"/>
      <c r="BHW139" s="1056"/>
      <c r="BHX139" s="1056"/>
      <c r="BHY139" s="1056"/>
      <c r="BHZ139" s="1056"/>
      <c r="BIA139" s="1056"/>
      <c r="BIB139" s="1056"/>
      <c r="BIC139" s="1056"/>
      <c r="BID139" s="1056"/>
      <c r="BIE139" s="1056"/>
      <c r="BIF139" s="1056"/>
      <c r="BIG139" s="1056"/>
      <c r="BIH139" s="1056"/>
      <c r="BII139" s="1056"/>
      <c r="BIJ139" s="1056"/>
      <c r="BIK139" s="1056"/>
      <c r="BIL139" s="1056"/>
      <c r="BIM139" s="1056"/>
      <c r="BIN139" s="1056"/>
      <c r="BIO139" s="1056"/>
      <c r="BIP139" s="1056"/>
      <c r="BIQ139" s="1056"/>
      <c r="BIR139" s="1056"/>
      <c r="BIS139" s="1056"/>
      <c r="BIT139" s="1056"/>
      <c r="BIU139" s="1056"/>
      <c r="BIV139" s="1056"/>
      <c r="BIW139" s="1056"/>
      <c r="BIX139" s="1056"/>
      <c r="BIY139" s="1056"/>
      <c r="BIZ139" s="1056"/>
      <c r="BJA139" s="1056"/>
      <c r="BJB139" s="1056"/>
      <c r="BJC139" s="1056"/>
      <c r="BJD139" s="1056"/>
      <c r="BJE139" s="1056"/>
      <c r="BJF139" s="1056"/>
      <c r="BJG139" s="1056"/>
      <c r="BJH139" s="1056"/>
      <c r="BJI139" s="1056"/>
      <c r="BJJ139" s="1056"/>
      <c r="BJK139" s="1056"/>
      <c r="BJL139" s="1056"/>
      <c r="BJM139" s="1056"/>
      <c r="BJN139" s="1056"/>
      <c r="BJO139" s="1056"/>
      <c r="BJP139" s="1056"/>
      <c r="BJQ139" s="1056"/>
      <c r="BJR139" s="1056"/>
      <c r="BJS139" s="1056"/>
      <c r="BJT139" s="1056"/>
      <c r="BJU139" s="1056"/>
      <c r="BJV139" s="1056"/>
      <c r="BJW139" s="1056"/>
      <c r="BJX139" s="1056"/>
      <c r="BJY139" s="1056"/>
      <c r="BJZ139" s="1056"/>
      <c r="BKA139" s="1056"/>
      <c r="BKB139" s="1056"/>
      <c r="BKC139" s="1056"/>
      <c r="BKD139" s="1056"/>
      <c r="BKE139" s="1056"/>
      <c r="BKF139" s="1056"/>
      <c r="BKG139" s="1056"/>
      <c r="BKH139" s="1056"/>
      <c r="BKI139" s="1056"/>
      <c r="BKJ139" s="1056"/>
      <c r="BKK139" s="1056"/>
      <c r="BKL139" s="1056"/>
      <c r="BKM139" s="1056"/>
      <c r="BKN139" s="1056"/>
      <c r="BKO139" s="1056"/>
      <c r="BKP139" s="1056"/>
      <c r="BKQ139" s="1056"/>
      <c r="BKR139" s="1056"/>
      <c r="BKS139" s="1056"/>
      <c r="BKT139" s="1056"/>
      <c r="BKU139" s="1056"/>
      <c r="BKV139" s="1056"/>
      <c r="BKW139" s="1056"/>
      <c r="BKX139" s="1056"/>
      <c r="BKY139" s="1056"/>
      <c r="BKZ139" s="1056"/>
      <c r="BLA139" s="1056"/>
      <c r="BLB139" s="1056"/>
      <c r="BLC139" s="1056"/>
      <c r="BLD139" s="1056"/>
      <c r="BLE139" s="1056"/>
      <c r="BLF139" s="1056"/>
      <c r="BLG139" s="1056"/>
      <c r="BLH139" s="1056"/>
      <c r="BLI139" s="1056"/>
      <c r="BLJ139" s="1056"/>
      <c r="BLK139" s="1056"/>
      <c r="BLL139" s="1056"/>
      <c r="BLM139" s="1056"/>
      <c r="BLN139" s="1056"/>
      <c r="BLO139" s="1056"/>
      <c r="BLP139" s="1056"/>
      <c r="BLQ139" s="1056"/>
      <c r="BLR139" s="1056"/>
      <c r="BLS139" s="1056"/>
      <c r="BLT139" s="1056"/>
      <c r="BLU139" s="1056"/>
      <c r="BLV139" s="1056"/>
      <c r="BLW139" s="1056"/>
      <c r="BLX139" s="1056"/>
      <c r="BLY139" s="1056"/>
      <c r="BLZ139" s="1056"/>
      <c r="BMA139" s="1056"/>
      <c r="BMB139" s="1056"/>
      <c r="BMC139" s="1056"/>
      <c r="BMD139" s="1056"/>
      <c r="BME139" s="1056"/>
      <c r="BMF139" s="1056"/>
      <c r="BMG139" s="1056"/>
      <c r="BMH139" s="1056"/>
      <c r="BMI139" s="1056"/>
      <c r="BMJ139" s="1056"/>
      <c r="BMK139" s="1056"/>
      <c r="BML139" s="1056"/>
      <c r="BMM139" s="1056"/>
      <c r="BMN139" s="1056"/>
      <c r="BMO139" s="1056"/>
      <c r="BMP139" s="1056"/>
      <c r="BMQ139" s="1056"/>
      <c r="BMR139" s="1056"/>
      <c r="BMS139" s="1056"/>
      <c r="BMT139" s="1056"/>
      <c r="BMU139" s="1056"/>
      <c r="BMV139" s="1056"/>
      <c r="BMW139" s="1056"/>
      <c r="BMX139" s="1056"/>
      <c r="BMY139" s="1056"/>
      <c r="BMZ139" s="1056"/>
      <c r="BNA139" s="1056"/>
      <c r="BNB139" s="1056"/>
      <c r="BNC139" s="1056"/>
      <c r="BND139" s="1056"/>
      <c r="BNE139" s="1056"/>
      <c r="BNF139" s="1056"/>
      <c r="BNG139" s="1056"/>
      <c r="BNH139" s="1056"/>
      <c r="BNI139" s="1056"/>
      <c r="BNJ139" s="1056"/>
      <c r="BNK139" s="1056"/>
      <c r="BNL139" s="1056"/>
      <c r="BNM139" s="1056"/>
      <c r="BNN139" s="1056"/>
      <c r="BNO139" s="1056"/>
      <c r="BNP139" s="1056"/>
      <c r="BNQ139" s="1056"/>
      <c r="BNR139" s="1056"/>
      <c r="BNS139" s="1056"/>
      <c r="BNT139" s="1056"/>
      <c r="BNU139" s="1056"/>
      <c r="BNV139" s="1056"/>
      <c r="BNW139" s="1056"/>
      <c r="BNX139" s="1056"/>
      <c r="BNY139" s="1056"/>
      <c r="BNZ139" s="1056"/>
      <c r="BOA139" s="1056"/>
      <c r="BOB139" s="1056"/>
      <c r="BOC139" s="1056"/>
      <c r="BOD139" s="1056"/>
      <c r="BOE139" s="1056"/>
      <c r="BOF139" s="1056"/>
      <c r="BOG139" s="1056"/>
      <c r="BOH139" s="1056"/>
      <c r="BOI139" s="1056"/>
      <c r="BOJ139" s="1056"/>
      <c r="BOK139" s="1056"/>
      <c r="BOL139" s="1056"/>
      <c r="BOM139" s="1056"/>
      <c r="BON139" s="1056"/>
      <c r="BOO139" s="1056"/>
      <c r="BOP139" s="1056"/>
      <c r="BOQ139" s="1056"/>
      <c r="BOR139" s="1056"/>
      <c r="BOS139" s="1056"/>
      <c r="BOT139" s="1056"/>
      <c r="BOU139" s="1056"/>
      <c r="BOV139" s="1056"/>
      <c r="BOW139" s="1056"/>
      <c r="BOX139" s="1056"/>
      <c r="BOY139" s="1056"/>
      <c r="BOZ139" s="1056"/>
      <c r="BPA139" s="1056"/>
      <c r="BPB139" s="1056"/>
      <c r="BPC139" s="1056"/>
      <c r="BPD139" s="1056"/>
      <c r="BPE139" s="1056"/>
      <c r="BPF139" s="1056"/>
      <c r="BPG139" s="1056"/>
      <c r="BPH139" s="1056"/>
      <c r="BPI139" s="1056"/>
      <c r="BPJ139" s="1056"/>
      <c r="BPK139" s="1056"/>
      <c r="BPL139" s="1056"/>
      <c r="BPM139" s="1056"/>
      <c r="BPN139" s="1056"/>
      <c r="BPO139" s="1056"/>
      <c r="BPP139" s="1056"/>
      <c r="BPQ139" s="1056"/>
      <c r="BPR139" s="1056"/>
      <c r="BPS139" s="1056"/>
      <c r="BPT139" s="1056"/>
      <c r="BPU139" s="1056"/>
      <c r="BPV139" s="1056"/>
      <c r="BPW139" s="1056"/>
      <c r="BPX139" s="1056"/>
      <c r="BPY139" s="1056"/>
      <c r="BPZ139" s="1056"/>
      <c r="BQA139" s="1056"/>
      <c r="BQB139" s="1056"/>
      <c r="BQC139" s="1056"/>
      <c r="BQD139" s="1056"/>
      <c r="BQE139" s="1056"/>
      <c r="BQF139" s="1056"/>
      <c r="BQG139" s="1056"/>
      <c r="BQH139" s="1056"/>
      <c r="BQI139" s="1056"/>
      <c r="BQJ139" s="1056"/>
      <c r="BQK139" s="1056"/>
      <c r="BQL139" s="1056"/>
      <c r="BQM139" s="1056"/>
      <c r="BQN139" s="1056"/>
      <c r="BQO139" s="1056"/>
      <c r="BQP139" s="1056"/>
      <c r="BQQ139" s="1056"/>
      <c r="BQR139" s="1056"/>
      <c r="BQS139" s="1056"/>
      <c r="BQT139" s="1056"/>
      <c r="BQU139" s="1056"/>
      <c r="BQV139" s="1056"/>
      <c r="BQW139" s="1056"/>
      <c r="BQX139" s="1056"/>
      <c r="BQY139" s="1056"/>
      <c r="BQZ139" s="1056"/>
      <c r="BRA139" s="1056"/>
      <c r="BRB139" s="1056"/>
      <c r="BRC139" s="1056"/>
      <c r="BRD139" s="1056"/>
      <c r="BRE139" s="1056"/>
      <c r="BRF139" s="1056"/>
      <c r="BRG139" s="1056"/>
      <c r="BRH139" s="1056"/>
      <c r="BRI139" s="1056"/>
      <c r="BRJ139" s="1056"/>
      <c r="BRK139" s="1056"/>
      <c r="BRL139" s="1056"/>
      <c r="BRM139" s="1056"/>
      <c r="BRN139" s="1056"/>
      <c r="BRO139" s="1056"/>
      <c r="BRP139" s="1056"/>
      <c r="BRQ139" s="1056"/>
      <c r="BRR139" s="1056"/>
      <c r="BRS139" s="1056"/>
      <c r="BRT139" s="1056"/>
      <c r="BRU139" s="1056"/>
      <c r="BRV139" s="1056"/>
      <c r="BRW139" s="1056"/>
      <c r="BRX139" s="1056"/>
      <c r="BRY139" s="1056"/>
      <c r="BRZ139" s="1056"/>
      <c r="BSA139" s="1056"/>
      <c r="BSB139" s="1056"/>
      <c r="BSC139" s="1056"/>
      <c r="BSD139" s="1056"/>
      <c r="BSE139" s="1056"/>
      <c r="BSF139" s="1056"/>
      <c r="BSG139" s="1056"/>
      <c r="BSH139" s="1056"/>
      <c r="BSI139" s="1056"/>
      <c r="BSJ139" s="1056"/>
      <c r="BSK139" s="1056"/>
      <c r="BSL139" s="1056"/>
      <c r="BSM139" s="1056"/>
      <c r="BSN139" s="1056"/>
      <c r="BSO139" s="1056"/>
      <c r="BSP139" s="1056"/>
      <c r="BSQ139" s="1056"/>
      <c r="BSR139" s="1056"/>
      <c r="BSS139" s="1056"/>
      <c r="BST139" s="1056"/>
      <c r="BSU139" s="1056"/>
      <c r="BSV139" s="1056"/>
      <c r="BSW139" s="1056"/>
      <c r="BSX139" s="1056"/>
      <c r="BSY139" s="1056"/>
      <c r="BSZ139" s="1056"/>
      <c r="BTA139" s="1056"/>
      <c r="BTB139" s="1056"/>
      <c r="BTC139" s="1056"/>
      <c r="BTD139" s="1056"/>
      <c r="BTE139" s="1056"/>
      <c r="BTF139" s="1056"/>
      <c r="BTG139" s="1056"/>
      <c r="BTH139" s="1056"/>
      <c r="BTI139" s="1056"/>
    </row>
    <row r="140" spans="1:1881" s="1060" customFormat="1" ht="126" hidden="1" customHeight="1" x14ac:dyDescent="0.3">
      <c r="A140" s="1090">
        <v>633</v>
      </c>
      <c r="B140" s="1085" t="s">
        <v>533</v>
      </c>
      <c r="C140" s="1085" t="s">
        <v>413</v>
      </c>
      <c r="D140" s="1086" t="s">
        <v>1393</v>
      </c>
      <c r="E140" s="1053" t="e">
        <f>HLOOKUP($D$2,'2020 Data(H)'!$C$1:$AI$426,292,FALSE)</f>
        <v>#N/A</v>
      </c>
      <c r="F140" s="287">
        <v>0</v>
      </c>
      <c r="G140" s="737" t="str">
        <f>IF(F140&gt;=(F141+F142+F143+F144+F145+F146),"","Account 633 is less than the total sum of accounts 634 through 638 + 383")</f>
        <v/>
      </c>
      <c r="H140" s="1091">
        <f>F140-(F141+F142+F143+F144+F145+F146)</f>
        <v>0</v>
      </c>
      <c r="I140" s="1092" t="str">
        <f>IF(F140&gt;=(F141+F142+F143+F144+F145+F146),"","Account 633 is less than the total sum of accounts 634 through 638 + 383")</f>
        <v/>
      </c>
      <c r="J140" s="1056"/>
      <c r="K140" s="1056"/>
      <c r="L140" s="1056"/>
      <c r="M140" s="1056"/>
      <c r="N140" s="1058"/>
      <c r="O140" s="1056"/>
      <c r="P140" s="1056"/>
      <c r="Q140" s="1056"/>
      <c r="R140" s="1056"/>
      <c r="S140" s="1056"/>
      <c r="T140" s="1056"/>
      <c r="U140" s="1056"/>
      <c r="V140" s="1056"/>
      <c r="W140" s="1056"/>
      <c r="X140" s="1056"/>
      <c r="Y140" s="1056"/>
      <c r="Z140" s="1090"/>
      <c r="AA140" s="1090"/>
      <c r="AB140" s="1090"/>
      <c r="AC140" s="1090"/>
      <c r="AD140" s="1090"/>
      <c r="AE140" s="1090"/>
      <c r="AF140" s="1090"/>
      <c r="AG140" s="1090"/>
      <c r="AH140" s="1090"/>
      <c r="AI140" s="1090"/>
      <c r="AJ140" s="1090"/>
      <c r="AK140" s="1090"/>
      <c r="AL140" s="1090"/>
      <c r="AM140" s="1090"/>
      <c r="AN140" s="1090"/>
      <c r="AO140" s="1090"/>
      <c r="AP140" s="1090"/>
      <c r="AQ140" s="1090"/>
      <c r="AR140" s="1090"/>
      <c r="AS140" s="1056"/>
      <c r="AT140" s="1056"/>
      <c r="AU140" s="1056"/>
      <c r="AV140" s="1056"/>
      <c r="AW140" s="1056"/>
      <c r="AX140" s="1056"/>
      <c r="AY140" s="1056"/>
      <c r="AZ140" s="1056"/>
      <c r="BA140" s="1056"/>
      <c r="BB140" s="1056"/>
      <c r="BC140" s="1056"/>
      <c r="BD140" s="1056"/>
      <c r="BE140" s="1056"/>
      <c r="BF140" s="1056"/>
      <c r="BG140" s="1056"/>
      <c r="BH140" s="1056"/>
      <c r="BI140" s="1056"/>
      <c r="BJ140" s="1056"/>
      <c r="BK140" s="1056"/>
      <c r="BL140" s="1056"/>
      <c r="BM140" s="1056"/>
      <c r="BN140" s="1056"/>
      <c r="BO140" s="1056"/>
      <c r="BP140" s="1056"/>
      <c r="BQ140" s="1056"/>
      <c r="BR140" s="1056"/>
      <c r="BS140" s="1056"/>
      <c r="BT140" s="1056"/>
      <c r="BU140" s="1056"/>
      <c r="BV140" s="1056"/>
      <c r="BW140" s="1056"/>
      <c r="BX140" s="1056"/>
      <c r="BY140" s="1056"/>
      <c r="BZ140" s="1056"/>
      <c r="CA140" s="1056"/>
      <c r="CB140" s="1056"/>
      <c r="CC140" s="1056"/>
      <c r="CD140" s="1056"/>
      <c r="CE140" s="1056"/>
      <c r="CF140" s="1056"/>
      <c r="CG140" s="1056"/>
      <c r="CH140" s="1056"/>
      <c r="CI140" s="1056"/>
      <c r="CJ140" s="1056"/>
      <c r="CK140" s="1056"/>
      <c r="CL140" s="1056"/>
      <c r="CM140" s="1056"/>
      <c r="CN140" s="1056"/>
      <c r="CO140" s="1056"/>
      <c r="CP140" s="1056"/>
      <c r="CQ140" s="1056"/>
      <c r="CR140" s="1056"/>
      <c r="CS140" s="1056"/>
      <c r="CT140" s="1056"/>
      <c r="CU140" s="1056"/>
      <c r="CV140" s="1056"/>
      <c r="CW140" s="1056"/>
      <c r="CX140" s="1056"/>
      <c r="CY140" s="1056"/>
      <c r="CZ140" s="1056"/>
      <c r="DA140" s="1056"/>
      <c r="DB140" s="1056"/>
      <c r="DC140" s="1056"/>
      <c r="DD140" s="1056"/>
      <c r="DE140" s="1056"/>
      <c r="DF140" s="1056"/>
      <c r="DG140" s="1056"/>
      <c r="DH140" s="1056"/>
      <c r="DI140" s="1056"/>
      <c r="DJ140" s="1056"/>
      <c r="DK140" s="1056"/>
      <c r="DL140" s="1056"/>
      <c r="DM140" s="1056"/>
      <c r="DN140" s="1056"/>
      <c r="DO140" s="1056"/>
      <c r="DP140" s="1056"/>
      <c r="DQ140" s="1056"/>
      <c r="DR140" s="1056"/>
      <c r="DS140" s="1056"/>
      <c r="DT140" s="1056"/>
      <c r="DU140" s="1056"/>
      <c r="DV140" s="1056"/>
      <c r="DW140" s="1056"/>
      <c r="DX140" s="1056"/>
      <c r="DY140" s="1056"/>
      <c r="DZ140" s="1056"/>
      <c r="EA140" s="1056"/>
      <c r="EB140" s="1056"/>
      <c r="EC140" s="1056"/>
      <c r="ED140" s="1056"/>
      <c r="EE140" s="1056"/>
      <c r="EF140" s="1056"/>
      <c r="EG140" s="1056"/>
      <c r="EH140" s="1056"/>
      <c r="EI140" s="1056"/>
      <c r="EJ140" s="1056"/>
      <c r="EK140" s="1056"/>
      <c r="EL140" s="1056"/>
      <c r="EM140" s="1056"/>
      <c r="EN140" s="1056"/>
      <c r="EO140" s="1056"/>
      <c r="EP140" s="1056"/>
      <c r="EQ140" s="1056"/>
      <c r="ER140" s="1056"/>
      <c r="ES140" s="1056"/>
      <c r="ET140" s="1056"/>
      <c r="EU140" s="1056"/>
      <c r="EV140" s="1056"/>
      <c r="EW140" s="1056"/>
      <c r="EX140" s="1056"/>
      <c r="EY140" s="1056"/>
      <c r="EZ140" s="1056"/>
      <c r="FA140" s="1056"/>
      <c r="FB140" s="1056"/>
      <c r="FC140" s="1056"/>
      <c r="FD140" s="1056"/>
      <c r="FE140" s="1056"/>
      <c r="FF140" s="1056"/>
      <c r="FG140" s="1056"/>
      <c r="FH140" s="1056"/>
      <c r="FI140" s="1056"/>
      <c r="FJ140" s="1056"/>
      <c r="FK140" s="1056"/>
      <c r="FL140" s="1056"/>
      <c r="FM140" s="1056"/>
      <c r="FN140" s="1056"/>
      <c r="FO140" s="1056"/>
      <c r="FP140" s="1056"/>
      <c r="FQ140" s="1056"/>
      <c r="FR140" s="1056"/>
      <c r="FS140" s="1056"/>
      <c r="FT140" s="1056"/>
      <c r="FU140" s="1056"/>
      <c r="FV140" s="1056"/>
      <c r="FW140" s="1056"/>
      <c r="FX140" s="1056"/>
      <c r="FY140" s="1056"/>
      <c r="FZ140" s="1056"/>
      <c r="GA140" s="1056"/>
      <c r="GB140" s="1056"/>
      <c r="GC140" s="1056"/>
      <c r="GD140" s="1056"/>
      <c r="GE140" s="1056"/>
      <c r="GF140" s="1056"/>
      <c r="GG140" s="1056"/>
      <c r="GH140" s="1056"/>
      <c r="GI140" s="1056"/>
      <c r="GJ140" s="1056"/>
      <c r="GK140" s="1056"/>
      <c r="GL140" s="1056"/>
      <c r="GM140" s="1056"/>
      <c r="GN140" s="1056"/>
      <c r="GO140" s="1056"/>
      <c r="GP140" s="1056"/>
      <c r="GQ140" s="1056"/>
      <c r="GR140" s="1056"/>
      <c r="GS140" s="1056"/>
      <c r="GT140" s="1056"/>
      <c r="GU140" s="1056"/>
      <c r="GV140" s="1056"/>
      <c r="GW140" s="1056"/>
      <c r="GX140" s="1056"/>
      <c r="GY140" s="1056"/>
      <c r="GZ140" s="1056"/>
      <c r="HA140" s="1056"/>
      <c r="HB140" s="1056"/>
      <c r="HC140" s="1056"/>
      <c r="HD140" s="1056"/>
      <c r="HE140" s="1056"/>
      <c r="HF140" s="1056"/>
      <c r="HG140" s="1056"/>
      <c r="HH140" s="1056"/>
      <c r="HI140" s="1056"/>
      <c r="HJ140" s="1056"/>
      <c r="HK140" s="1056"/>
      <c r="HL140" s="1056"/>
      <c r="HM140" s="1056"/>
      <c r="HN140" s="1056"/>
      <c r="HO140" s="1056"/>
      <c r="HP140" s="1056"/>
      <c r="HQ140" s="1056"/>
      <c r="HR140" s="1056"/>
      <c r="HS140" s="1056"/>
      <c r="HT140" s="1056"/>
      <c r="HU140" s="1056"/>
      <c r="HV140" s="1056"/>
      <c r="HW140" s="1056"/>
      <c r="HX140" s="1056"/>
      <c r="HY140" s="1056"/>
      <c r="HZ140" s="1056"/>
      <c r="IA140" s="1056"/>
      <c r="IB140" s="1056"/>
      <c r="IC140" s="1056"/>
      <c r="ID140" s="1056"/>
      <c r="IE140" s="1056"/>
      <c r="IF140" s="1056"/>
      <c r="IG140" s="1056"/>
      <c r="IH140" s="1056"/>
      <c r="II140" s="1056"/>
      <c r="IJ140" s="1056"/>
      <c r="IK140" s="1056"/>
      <c r="IL140" s="1056"/>
      <c r="IM140" s="1056"/>
      <c r="IN140" s="1056"/>
      <c r="IO140" s="1056"/>
      <c r="IP140" s="1056"/>
      <c r="IQ140" s="1056"/>
      <c r="IR140" s="1056"/>
      <c r="IS140" s="1056"/>
      <c r="IT140" s="1056"/>
      <c r="IU140" s="1056"/>
      <c r="IV140" s="1056"/>
      <c r="IW140" s="1056"/>
      <c r="IX140" s="1056"/>
      <c r="IY140" s="1056"/>
      <c r="IZ140" s="1056"/>
      <c r="JA140" s="1056"/>
      <c r="JB140" s="1056"/>
      <c r="JC140" s="1056"/>
      <c r="JD140" s="1056"/>
      <c r="JE140" s="1056"/>
      <c r="JF140" s="1056"/>
      <c r="JG140" s="1056"/>
      <c r="JH140" s="1056"/>
      <c r="JI140" s="1056"/>
      <c r="JJ140" s="1056"/>
      <c r="JK140" s="1056"/>
      <c r="JL140" s="1056"/>
      <c r="JM140" s="1056"/>
      <c r="JN140" s="1056"/>
      <c r="JO140" s="1056"/>
      <c r="JP140" s="1056"/>
      <c r="JQ140" s="1056"/>
      <c r="JR140" s="1056"/>
      <c r="JS140" s="1056"/>
      <c r="JT140" s="1056"/>
      <c r="JU140" s="1056"/>
      <c r="JV140" s="1056"/>
      <c r="JW140" s="1056"/>
      <c r="JX140" s="1056"/>
      <c r="JY140" s="1056"/>
      <c r="JZ140" s="1056"/>
      <c r="KA140" s="1056"/>
      <c r="KB140" s="1056"/>
      <c r="KC140" s="1056"/>
      <c r="KD140" s="1056"/>
      <c r="KE140" s="1056"/>
      <c r="KF140" s="1056"/>
      <c r="KG140" s="1056"/>
      <c r="KH140" s="1056"/>
      <c r="KI140" s="1056"/>
      <c r="KJ140" s="1056"/>
      <c r="KK140" s="1056"/>
      <c r="KL140" s="1056"/>
      <c r="KM140" s="1056"/>
      <c r="KN140" s="1056"/>
      <c r="KO140" s="1056"/>
      <c r="KP140" s="1056"/>
      <c r="KQ140" s="1056"/>
      <c r="KR140" s="1056"/>
      <c r="KS140" s="1056"/>
      <c r="KT140" s="1056"/>
      <c r="KU140" s="1056"/>
      <c r="KV140" s="1056"/>
      <c r="KW140" s="1056"/>
      <c r="KX140" s="1056"/>
      <c r="KY140" s="1056"/>
      <c r="KZ140" s="1056"/>
      <c r="LA140" s="1056"/>
      <c r="LB140" s="1056"/>
      <c r="LC140" s="1056"/>
      <c r="LD140" s="1056"/>
      <c r="LE140" s="1056"/>
      <c r="LF140" s="1056"/>
      <c r="LG140" s="1056"/>
      <c r="LH140" s="1056"/>
      <c r="LI140" s="1056"/>
      <c r="LJ140" s="1056"/>
      <c r="LK140" s="1056"/>
      <c r="LL140" s="1056"/>
      <c r="LM140" s="1056"/>
      <c r="LN140" s="1056"/>
      <c r="LO140" s="1056"/>
      <c r="LP140" s="1056"/>
      <c r="LQ140" s="1056"/>
      <c r="LR140" s="1056"/>
      <c r="LS140" s="1056"/>
      <c r="LT140" s="1056"/>
      <c r="LU140" s="1056"/>
      <c r="LV140" s="1056"/>
      <c r="LW140" s="1056"/>
      <c r="LX140" s="1056"/>
      <c r="LY140" s="1056"/>
      <c r="LZ140" s="1056"/>
      <c r="MA140" s="1056"/>
      <c r="MB140" s="1056"/>
      <c r="MC140" s="1056"/>
      <c r="MD140" s="1056"/>
      <c r="ME140" s="1056"/>
      <c r="MF140" s="1056"/>
      <c r="MG140" s="1056"/>
      <c r="MH140" s="1056"/>
      <c r="MI140" s="1056"/>
      <c r="MJ140" s="1056"/>
      <c r="MK140" s="1056"/>
      <c r="ML140" s="1056"/>
      <c r="MM140" s="1056"/>
      <c r="MN140" s="1056"/>
      <c r="MO140" s="1056"/>
      <c r="MP140" s="1056"/>
      <c r="MQ140" s="1056"/>
      <c r="MR140" s="1056"/>
      <c r="MS140" s="1056"/>
      <c r="MT140" s="1056"/>
      <c r="MU140" s="1056"/>
      <c r="MV140" s="1056"/>
      <c r="MW140" s="1056"/>
      <c r="MX140" s="1056"/>
      <c r="MY140" s="1056"/>
      <c r="MZ140" s="1056"/>
      <c r="NA140" s="1056"/>
      <c r="NB140" s="1056"/>
      <c r="NC140" s="1056"/>
      <c r="ND140" s="1056"/>
      <c r="NE140" s="1056"/>
      <c r="NF140" s="1056"/>
      <c r="NG140" s="1056"/>
      <c r="NH140" s="1056"/>
      <c r="NI140" s="1056"/>
      <c r="NJ140" s="1056"/>
      <c r="NK140" s="1056"/>
      <c r="NL140" s="1056"/>
      <c r="NM140" s="1056"/>
      <c r="NN140" s="1056"/>
      <c r="NO140" s="1056"/>
      <c r="NP140" s="1056"/>
      <c r="NQ140" s="1056"/>
      <c r="NR140" s="1056"/>
      <c r="NS140" s="1056"/>
      <c r="NT140" s="1056"/>
      <c r="NU140" s="1056"/>
      <c r="NV140" s="1056"/>
      <c r="NW140" s="1056"/>
      <c r="NX140" s="1056"/>
      <c r="NY140" s="1056"/>
      <c r="NZ140" s="1056"/>
      <c r="OA140" s="1056"/>
      <c r="OB140" s="1056"/>
      <c r="OC140" s="1056"/>
      <c r="OD140" s="1056"/>
      <c r="OE140" s="1056"/>
      <c r="OF140" s="1056"/>
      <c r="OG140" s="1056"/>
      <c r="OH140" s="1056"/>
      <c r="OI140" s="1056"/>
      <c r="OJ140" s="1056"/>
      <c r="OK140" s="1056"/>
      <c r="OL140" s="1056"/>
      <c r="OM140" s="1056"/>
      <c r="ON140" s="1056"/>
      <c r="OO140" s="1056"/>
      <c r="OP140" s="1056"/>
      <c r="OQ140" s="1056"/>
      <c r="OR140" s="1056"/>
      <c r="OS140" s="1056"/>
      <c r="OT140" s="1056"/>
      <c r="OU140" s="1056"/>
      <c r="OV140" s="1056"/>
      <c r="OW140" s="1056"/>
      <c r="OX140" s="1056"/>
      <c r="OY140" s="1056"/>
      <c r="OZ140" s="1056"/>
      <c r="PA140" s="1056"/>
      <c r="PB140" s="1056"/>
      <c r="PC140" s="1056"/>
      <c r="PD140" s="1056"/>
      <c r="PE140" s="1056"/>
      <c r="PF140" s="1056"/>
      <c r="PG140" s="1056"/>
      <c r="PH140" s="1056"/>
      <c r="PI140" s="1056"/>
      <c r="PJ140" s="1056"/>
      <c r="PK140" s="1056"/>
      <c r="PL140" s="1056"/>
      <c r="PM140" s="1056"/>
      <c r="PN140" s="1056"/>
      <c r="PO140" s="1056"/>
      <c r="PP140" s="1056"/>
      <c r="PQ140" s="1056"/>
      <c r="PR140" s="1056"/>
      <c r="PS140" s="1056"/>
      <c r="PT140" s="1056"/>
      <c r="PU140" s="1056"/>
      <c r="PV140" s="1056"/>
      <c r="PW140" s="1056"/>
      <c r="PX140" s="1056"/>
      <c r="PY140" s="1056"/>
      <c r="PZ140" s="1056"/>
      <c r="QA140" s="1056"/>
      <c r="QB140" s="1056"/>
      <c r="QC140" s="1056"/>
      <c r="QD140" s="1056"/>
      <c r="QE140" s="1056"/>
      <c r="QF140" s="1056"/>
      <c r="QG140" s="1056"/>
      <c r="QH140" s="1056"/>
      <c r="QI140" s="1056"/>
      <c r="QJ140" s="1056"/>
      <c r="QK140" s="1056"/>
      <c r="QL140" s="1056"/>
      <c r="QM140" s="1056"/>
      <c r="QN140" s="1056"/>
      <c r="QO140" s="1056"/>
      <c r="QP140" s="1056"/>
      <c r="QQ140" s="1056"/>
      <c r="QR140" s="1056"/>
      <c r="QS140" s="1056"/>
      <c r="QT140" s="1056"/>
      <c r="QU140" s="1056"/>
      <c r="QV140" s="1056"/>
      <c r="QW140" s="1056"/>
      <c r="QX140" s="1056"/>
      <c r="QY140" s="1056"/>
      <c r="QZ140" s="1056"/>
      <c r="RA140" s="1056"/>
      <c r="RB140" s="1056"/>
      <c r="RC140" s="1056"/>
      <c r="RD140" s="1056"/>
      <c r="RE140" s="1056"/>
      <c r="RF140" s="1056"/>
      <c r="RG140" s="1056"/>
      <c r="RH140" s="1056"/>
      <c r="RI140" s="1056"/>
      <c r="RJ140" s="1056"/>
      <c r="RK140" s="1056"/>
      <c r="RL140" s="1056"/>
      <c r="RM140" s="1056"/>
      <c r="RN140" s="1056"/>
      <c r="RO140" s="1056"/>
      <c r="RP140" s="1056"/>
      <c r="RQ140" s="1056"/>
      <c r="RR140" s="1056"/>
      <c r="RS140" s="1056"/>
      <c r="RT140" s="1056"/>
      <c r="RU140" s="1056"/>
      <c r="RV140" s="1056"/>
      <c r="RW140" s="1056"/>
      <c r="RX140" s="1056"/>
      <c r="RY140" s="1056"/>
      <c r="RZ140" s="1056"/>
      <c r="SA140" s="1056"/>
      <c r="SB140" s="1056"/>
      <c r="SC140" s="1056"/>
      <c r="SD140" s="1056"/>
      <c r="SE140" s="1056"/>
      <c r="SF140" s="1056"/>
      <c r="SG140" s="1056"/>
      <c r="SH140" s="1056"/>
      <c r="SI140" s="1056"/>
      <c r="SJ140" s="1056"/>
      <c r="SK140" s="1056"/>
      <c r="SL140" s="1056"/>
      <c r="SM140" s="1056"/>
      <c r="SN140" s="1056"/>
      <c r="SO140" s="1056"/>
      <c r="SP140" s="1056"/>
      <c r="SQ140" s="1056"/>
      <c r="SR140" s="1056"/>
      <c r="SS140" s="1056"/>
      <c r="ST140" s="1056"/>
      <c r="SU140" s="1056"/>
      <c r="SV140" s="1056"/>
      <c r="SW140" s="1056"/>
      <c r="SX140" s="1056"/>
      <c r="SY140" s="1056"/>
      <c r="SZ140" s="1056"/>
      <c r="TA140" s="1056"/>
      <c r="TB140" s="1056"/>
      <c r="TC140" s="1056"/>
      <c r="TD140" s="1056"/>
      <c r="TE140" s="1056"/>
      <c r="TF140" s="1056"/>
      <c r="TG140" s="1056"/>
      <c r="TH140" s="1056"/>
      <c r="TI140" s="1056"/>
      <c r="TJ140" s="1056"/>
      <c r="TK140" s="1056"/>
      <c r="TL140" s="1056"/>
      <c r="TM140" s="1056"/>
      <c r="TN140" s="1056"/>
      <c r="TO140" s="1056"/>
      <c r="TP140" s="1056"/>
      <c r="TQ140" s="1056"/>
      <c r="TR140" s="1056"/>
      <c r="TS140" s="1056"/>
      <c r="TT140" s="1056"/>
      <c r="TU140" s="1056"/>
      <c r="TV140" s="1056"/>
      <c r="TW140" s="1056"/>
      <c r="TX140" s="1056"/>
      <c r="TY140" s="1056"/>
      <c r="TZ140" s="1056"/>
      <c r="UA140" s="1056"/>
      <c r="UB140" s="1056"/>
      <c r="UC140" s="1056"/>
      <c r="UD140" s="1056"/>
      <c r="UE140" s="1056"/>
      <c r="UF140" s="1056"/>
      <c r="UG140" s="1056"/>
      <c r="UH140" s="1056"/>
      <c r="UI140" s="1056"/>
      <c r="UJ140" s="1056"/>
      <c r="UK140" s="1056"/>
      <c r="UL140" s="1056"/>
      <c r="UM140" s="1056"/>
      <c r="UN140" s="1056"/>
      <c r="UO140" s="1056"/>
      <c r="UP140" s="1056"/>
      <c r="UQ140" s="1056"/>
      <c r="UR140" s="1056"/>
      <c r="US140" s="1056"/>
      <c r="UT140" s="1056"/>
      <c r="UU140" s="1056"/>
      <c r="UV140" s="1056"/>
      <c r="UW140" s="1056"/>
      <c r="UX140" s="1056"/>
      <c r="UY140" s="1056"/>
      <c r="UZ140" s="1056"/>
      <c r="VA140" s="1056"/>
      <c r="VB140" s="1056"/>
      <c r="VC140" s="1056"/>
      <c r="VD140" s="1056"/>
      <c r="VE140" s="1056"/>
      <c r="VF140" s="1056"/>
      <c r="VG140" s="1056"/>
      <c r="VH140" s="1056"/>
      <c r="VI140" s="1056"/>
      <c r="VJ140" s="1056"/>
      <c r="VK140" s="1056"/>
      <c r="VL140" s="1056"/>
      <c r="VM140" s="1056"/>
      <c r="VN140" s="1056"/>
      <c r="VO140" s="1056"/>
      <c r="VP140" s="1056"/>
      <c r="VQ140" s="1056"/>
      <c r="VR140" s="1056"/>
      <c r="VS140" s="1056"/>
      <c r="VT140" s="1056"/>
      <c r="VU140" s="1056"/>
      <c r="VV140" s="1056"/>
      <c r="VW140" s="1056"/>
      <c r="VX140" s="1056"/>
      <c r="VY140" s="1056"/>
      <c r="VZ140" s="1056"/>
      <c r="WA140" s="1056"/>
      <c r="WB140" s="1056"/>
      <c r="WC140" s="1056"/>
      <c r="WD140" s="1056"/>
      <c r="WE140" s="1056"/>
      <c r="WF140" s="1056"/>
      <c r="WG140" s="1056"/>
      <c r="WH140" s="1056"/>
      <c r="WI140" s="1056"/>
      <c r="WJ140" s="1056"/>
      <c r="WK140" s="1056"/>
      <c r="WL140" s="1056"/>
      <c r="WM140" s="1056"/>
      <c r="WN140" s="1056"/>
      <c r="WO140" s="1056"/>
      <c r="WP140" s="1056"/>
      <c r="WQ140" s="1056"/>
      <c r="WR140" s="1056"/>
      <c r="WS140" s="1056"/>
      <c r="WT140" s="1056"/>
      <c r="WU140" s="1056"/>
      <c r="WV140" s="1056"/>
      <c r="WW140" s="1056"/>
      <c r="WX140" s="1056"/>
      <c r="WY140" s="1056"/>
      <c r="WZ140" s="1056"/>
      <c r="XA140" s="1056"/>
      <c r="XB140" s="1056"/>
      <c r="XC140" s="1056"/>
      <c r="XD140" s="1056"/>
      <c r="XE140" s="1056"/>
      <c r="XF140" s="1056"/>
      <c r="XG140" s="1056"/>
      <c r="XH140" s="1056"/>
      <c r="XI140" s="1056"/>
      <c r="XJ140" s="1056"/>
      <c r="XK140" s="1056"/>
      <c r="XL140" s="1056"/>
      <c r="XM140" s="1056"/>
      <c r="XN140" s="1056"/>
      <c r="XO140" s="1056"/>
      <c r="XP140" s="1056"/>
      <c r="XQ140" s="1056"/>
      <c r="XR140" s="1056"/>
      <c r="XS140" s="1056"/>
      <c r="XT140" s="1056"/>
      <c r="XU140" s="1056"/>
      <c r="XV140" s="1056"/>
      <c r="XW140" s="1056"/>
      <c r="XX140" s="1056"/>
      <c r="XY140" s="1056"/>
      <c r="XZ140" s="1056"/>
      <c r="YA140" s="1056"/>
      <c r="YB140" s="1056"/>
      <c r="YC140" s="1056"/>
      <c r="YD140" s="1056"/>
      <c r="YE140" s="1056"/>
      <c r="YF140" s="1056"/>
      <c r="YG140" s="1056"/>
      <c r="YH140" s="1056"/>
      <c r="YI140" s="1056"/>
      <c r="YJ140" s="1056"/>
      <c r="YK140" s="1056"/>
      <c r="YL140" s="1056"/>
      <c r="YM140" s="1056"/>
      <c r="YN140" s="1056"/>
      <c r="YO140" s="1056"/>
      <c r="YP140" s="1056"/>
      <c r="YQ140" s="1056"/>
      <c r="YR140" s="1056"/>
      <c r="YS140" s="1056"/>
      <c r="YT140" s="1056"/>
      <c r="YU140" s="1056"/>
      <c r="YV140" s="1056"/>
      <c r="YW140" s="1056"/>
      <c r="YX140" s="1056"/>
      <c r="YY140" s="1056"/>
      <c r="YZ140" s="1056"/>
      <c r="ZA140" s="1056"/>
      <c r="ZB140" s="1056"/>
      <c r="ZC140" s="1056"/>
      <c r="ZD140" s="1056"/>
      <c r="ZE140" s="1056"/>
      <c r="ZF140" s="1056"/>
      <c r="ZG140" s="1056"/>
      <c r="ZH140" s="1056"/>
      <c r="ZI140" s="1056"/>
      <c r="ZJ140" s="1056"/>
      <c r="ZK140" s="1056"/>
      <c r="ZL140" s="1056"/>
      <c r="ZM140" s="1056"/>
      <c r="ZN140" s="1056"/>
      <c r="ZO140" s="1056"/>
      <c r="ZP140" s="1056"/>
      <c r="ZQ140" s="1056"/>
      <c r="ZR140" s="1056"/>
      <c r="ZS140" s="1056"/>
      <c r="ZT140" s="1056"/>
      <c r="ZU140" s="1056"/>
      <c r="ZV140" s="1056"/>
      <c r="ZW140" s="1056"/>
      <c r="ZX140" s="1056"/>
      <c r="ZY140" s="1056"/>
      <c r="ZZ140" s="1056"/>
      <c r="AAA140" s="1056"/>
      <c r="AAB140" s="1056"/>
      <c r="AAC140" s="1056"/>
      <c r="AAD140" s="1056"/>
      <c r="AAE140" s="1056"/>
      <c r="AAF140" s="1056"/>
      <c r="AAG140" s="1056"/>
      <c r="AAH140" s="1056"/>
      <c r="AAI140" s="1056"/>
      <c r="AAJ140" s="1056"/>
      <c r="AAK140" s="1056"/>
      <c r="AAL140" s="1056"/>
      <c r="AAM140" s="1056"/>
      <c r="AAN140" s="1056"/>
      <c r="AAO140" s="1056"/>
      <c r="AAP140" s="1056"/>
      <c r="AAQ140" s="1056"/>
      <c r="AAR140" s="1056"/>
      <c r="AAS140" s="1056"/>
      <c r="AAT140" s="1056"/>
      <c r="AAU140" s="1056"/>
      <c r="AAV140" s="1056"/>
      <c r="AAW140" s="1056"/>
      <c r="AAX140" s="1056"/>
      <c r="AAY140" s="1056"/>
      <c r="AAZ140" s="1056"/>
      <c r="ABA140" s="1056"/>
      <c r="ABB140" s="1056"/>
      <c r="ABC140" s="1056"/>
      <c r="ABD140" s="1056"/>
      <c r="ABE140" s="1056"/>
      <c r="ABF140" s="1056"/>
      <c r="ABG140" s="1056"/>
      <c r="ABH140" s="1056"/>
      <c r="ABI140" s="1056"/>
      <c r="ABJ140" s="1056"/>
      <c r="ABK140" s="1056"/>
      <c r="ABL140" s="1056"/>
      <c r="ABM140" s="1056"/>
      <c r="ABN140" s="1056"/>
      <c r="ABO140" s="1056"/>
      <c r="ABP140" s="1056"/>
      <c r="ABQ140" s="1056"/>
      <c r="ABR140" s="1056"/>
      <c r="ABS140" s="1056"/>
      <c r="ABT140" s="1056"/>
      <c r="ABU140" s="1056"/>
      <c r="ABV140" s="1056"/>
      <c r="ABW140" s="1056"/>
      <c r="ABX140" s="1056"/>
      <c r="ABY140" s="1056"/>
      <c r="ABZ140" s="1056"/>
      <c r="ACA140" s="1056"/>
      <c r="ACB140" s="1056"/>
      <c r="ACC140" s="1056"/>
      <c r="ACD140" s="1056"/>
      <c r="ACE140" s="1056"/>
      <c r="ACF140" s="1056"/>
      <c r="ACG140" s="1056"/>
      <c r="ACH140" s="1056"/>
      <c r="ACI140" s="1056"/>
      <c r="ACJ140" s="1056"/>
      <c r="ACK140" s="1056"/>
      <c r="ACL140" s="1056"/>
      <c r="ACM140" s="1056"/>
      <c r="ACN140" s="1056"/>
      <c r="ACO140" s="1056"/>
      <c r="ACP140" s="1056"/>
      <c r="ACQ140" s="1056"/>
      <c r="ACR140" s="1056"/>
      <c r="ACS140" s="1056"/>
      <c r="ACT140" s="1056"/>
      <c r="ACU140" s="1056"/>
      <c r="ACV140" s="1056"/>
      <c r="ACW140" s="1056"/>
      <c r="ACX140" s="1056"/>
      <c r="ACY140" s="1056"/>
      <c r="ACZ140" s="1056"/>
      <c r="ADA140" s="1056"/>
      <c r="ADB140" s="1056"/>
      <c r="ADC140" s="1056"/>
      <c r="ADD140" s="1056"/>
      <c r="ADE140" s="1056"/>
      <c r="ADF140" s="1056"/>
      <c r="ADG140" s="1056"/>
      <c r="ADH140" s="1056"/>
      <c r="ADI140" s="1056"/>
      <c r="ADJ140" s="1056"/>
      <c r="ADK140" s="1056"/>
      <c r="ADL140" s="1056"/>
      <c r="ADM140" s="1056"/>
      <c r="ADN140" s="1056"/>
      <c r="ADO140" s="1056"/>
      <c r="ADP140" s="1056"/>
      <c r="ADQ140" s="1056"/>
      <c r="ADR140" s="1056"/>
      <c r="ADS140" s="1056"/>
      <c r="ADT140" s="1056"/>
      <c r="ADU140" s="1056"/>
      <c r="ADV140" s="1056"/>
      <c r="ADW140" s="1056"/>
      <c r="ADX140" s="1056"/>
      <c r="ADY140" s="1056"/>
      <c r="ADZ140" s="1056"/>
      <c r="AEA140" s="1056"/>
      <c r="AEB140" s="1056"/>
      <c r="AEC140" s="1056"/>
      <c r="AED140" s="1056"/>
      <c r="AEE140" s="1056"/>
      <c r="AEF140" s="1056"/>
      <c r="AEG140" s="1056"/>
      <c r="AEH140" s="1056"/>
      <c r="AEI140" s="1056"/>
      <c r="AEJ140" s="1056"/>
      <c r="AEK140" s="1056"/>
      <c r="AEL140" s="1056"/>
      <c r="AEM140" s="1056"/>
      <c r="AEN140" s="1056"/>
      <c r="AEO140" s="1056"/>
      <c r="AEP140" s="1056"/>
      <c r="AEQ140" s="1056"/>
      <c r="AER140" s="1056"/>
      <c r="AES140" s="1056"/>
      <c r="AET140" s="1056"/>
      <c r="AEU140" s="1056"/>
      <c r="AEV140" s="1056"/>
      <c r="AEW140" s="1056"/>
      <c r="AEX140" s="1056"/>
      <c r="AEY140" s="1056"/>
      <c r="AEZ140" s="1056"/>
      <c r="AFA140" s="1056"/>
      <c r="AFB140" s="1056"/>
      <c r="AFC140" s="1056"/>
      <c r="AFD140" s="1056"/>
      <c r="AFE140" s="1056"/>
      <c r="AFF140" s="1056"/>
      <c r="AFG140" s="1056"/>
      <c r="AFH140" s="1056"/>
      <c r="AFI140" s="1056"/>
      <c r="AFJ140" s="1056"/>
      <c r="AFK140" s="1056"/>
      <c r="AFL140" s="1056"/>
      <c r="AFM140" s="1056"/>
      <c r="AFN140" s="1056"/>
      <c r="AFO140" s="1056"/>
      <c r="AFP140" s="1056"/>
      <c r="AFQ140" s="1056"/>
      <c r="AFR140" s="1056"/>
      <c r="AFS140" s="1056"/>
      <c r="AFT140" s="1056"/>
      <c r="AFU140" s="1056"/>
      <c r="AFV140" s="1056"/>
      <c r="AFW140" s="1056"/>
      <c r="AFX140" s="1056"/>
      <c r="AFY140" s="1056"/>
      <c r="AFZ140" s="1056"/>
      <c r="AGA140" s="1056"/>
      <c r="AGB140" s="1056"/>
      <c r="AGC140" s="1056"/>
      <c r="AGD140" s="1056"/>
      <c r="AGE140" s="1056"/>
      <c r="AGF140" s="1056"/>
      <c r="AGG140" s="1056"/>
      <c r="AGH140" s="1056"/>
      <c r="AGI140" s="1056"/>
      <c r="AGJ140" s="1056"/>
      <c r="AGK140" s="1056"/>
      <c r="AGL140" s="1056"/>
      <c r="AGM140" s="1056"/>
      <c r="AGN140" s="1056"/>
      <c r="AGO140" s="1056"/>
      <c r="AGP140" s="1056"/>
      <c r="AGQ140" s="1056"/>
      <c r="AGR140" s="1056"/>
      <c r="AGS140" s="1056"/>
      <c r="AGT140" s="1056"/>
      <c r="AGU140" s="1056"/>
      <c r="AGV140" s="1056"/>
      <c r="AGW140" s="1056"/>
      <c r="AGX140" s="1056"/>
      <c r="AGY140" s="1056"/>
      <c r="AGZ140" s="1056"/>
      <c r="AHA140" s="1056"/>
      <c r="AHB140" s="1056"/>
      <c r="AHC140" s="1056"/>
      <c r="AHD140" s="1056"/>
      <c r="AHE140" s="1056"/>
      <c r="AHF140" s="1056"/>
      <c r="AHG140" s="1056"/>
      <c r="AHH140" s="1056"/>
      <c r="AHI140" s="1056"/>
      <c r="AHJ140" s="1056"/>
      <c r="AHK140" s="1056"/>
      <c r="AHL140" s="1056"/>
      <c r="AHM140" s="1056"/>
      <c r="AHN140" s="1056"/>
      <c r="AHO140" s="1056"/>
      <c r="AHP140" s="1056"/>
      <c r="AHQ140" s="1056"/>
      <c r="AHR140" s="1056"/>
      <c r="AHS140" s="1056"/>
      <c r="AHT140" s="1056"/>
      <c r="AHU140" s="1056"/>
      <c r="AHV140" s="1056"/>
      <c r="AHW140" s="1056"/>
      <c r="AHX140" s="1056"/>
      <c r="AHY140" s="1056"/>
      <c r="AHZ140" s="1056"/>
      <c r="AIA140" s="1056"/>
      <c r="AIB140" s="1056"/>
      <c r="AIC140" s="1056"/>
      <c r="AID140" s="1056"/>
      <c r="AIE140" s="1056"/>
      <c r="AIF140" s="1056"/>
      <c r="AIG140" s="1056"/>
      <c r="AIH140" s="1056"/>
      <c r="AII140" s="1056"/>
      <c r="AIJ140" s="1056"/>
      <c r="AIK140" s="1056"/>
      <c r="AIL140" s="1056"/>
      <c r="AIM140" s="1056"/>
      <c r="AIN140" s="1056"/>
      <c r="AIO140" s="1056"/>
      <c r="AIP140" s="1056"/>
      <c r="AIQ140" s="1056"/>
      <c r="AIR140" s="1056"/>
      <c r="AIS140" s="1056"/>
      <c r="AIT140" s="1056"/>
      <c r="AIU140" s="1056"/>
      <c r="AIV140" s="1056"/>
      <c r="AIW140" s="1056"/>
      <c r="AIX140" s="1056"/>
      <c r="AIY140" s="1056"/>
      <c r="AIZ140" s="1056"/>
      <c r="AJA140" s="1056"/>
      <c r="AJB140" s="1056"/>
      <c r="AJC140" s="1056"/>
      <c r="AJD140" s="1056"/>
      <c r="AJE140" s="1056"/>
      <c r="AJF140" s="1056"/>
      <c r="AJG140" s="1056"/>
      <c r="AJH140" s="1056"/>
      <c r="AJI140" s="1056"/>
      <c r="AJJ140" s="1056"/>
      <c r="AJK140" s="1056"/>
      <c r="AJL140" s="1056"/>
      <c r="AJM140" s="1056"/>
      <c r="AJN140" s="1056"/>
      <c r="AJO140" s="1056"/>
      <c r="AJP140" s="1056"/>
      <c r="AJQ140" s="1056"/>
      <c r="AJR140" s="1056"/>
      <c r="AJS140" s="1056"/>
      <c r="AJT140" s="1056"/>
      <c r="AJU140" s="1056"/>
      <c r="AJV140" s="1056"/>
      <c r="AJW140" s="1056"/>
      <c r="AJX140" s="1056"/>
      <c r="AJY140" s="1056"/>
      <c r="AJZ140" s="1056"/>
      <c r="AKA140" s="1056"/>
      <c r="AKB140" s="1056"/>
      <c r="AKC140" s="1056"/>
      <c r="AKD140" s="1056"/>
      <c r="AKE140" s="1056"/>
      <c r="AKF140" s="1056"/>
      <c r="AKG140" s="1056"/>
      <c r="AKH140" s="1056"/>
      <c r="AKI140" s="1056"/>
      <c r="AKJ140" s="1056"/>
      <c r="AKK140" s="1056"/>
      <c r="AKL140" s="1056"/>
      <c r="AKM140" s="1056"/>
      <c r="AKN140" s="1056"/>
      <c r="AKO140" s="1056"/>
      <c r="AKP140" s="1056"/>
      <c r="AKQ140" s="1056"/>
      <c r="AKR140" s="1056"/>
      <c r="AKS140" s="1056"/>
      <c r="AKT140" s="1056"/>
      <c r="AKU140" s="1056"/>
      <c r="AKV140" s="1056"/>
      <c r="AKW140" s="1056"/>
      <c r="AKX140" s="1056"/>
      <c r="AKY140" s="1056"/>
      <c r="AKZ140" s="1056"/>
      <c r="ALA140" s="1056"/>
      <c r="ALB140" s="1056"/>
      <c r="ALC140" s="1056"/>
      <c r="ALD140" s="1056"/>
      <c r="ALE140" s="1056"/>
      <c r="ALF140" s="1056"/>
      <c r="ALG140" s="1056"/>
      <c r="ALH140" s="1056"/>
      <c r="ALI140" s="1056"/>
      <c r="ALJ140" s="1056"/>
      <c r="ALK140" s="1056"/>
      <c r="ALL140" s="1056"/>
      <c r="ALM140" s="1056"/>
      <c r="ALN140" s="1056"/>
      <c r="ALO140" s="1056"/>
      <c r="ALP140" s="1056"/>
      <c r="ALQ140" s="1056"/>
      <c r="ALR140" s="1056"/>
      <c r="ALS140" s="1056"/>
      <c r="ALT140" s="1056"/>
      <c r="ALU140" s="1056"/>
      <c r="ALV140" s="1056"/>
      <c r="ALW140" s="1056"/>
      <c r="ALX140" s="1056"/>
      <c r="ALY140" s="1056"/>
      <c r="ALZ140" s="1056"/>
      <c r="AMA140" s="1056"/>
      <c r="AMB140" s="1056"/>
      <c r="AMC140" s="1056"/>
      <c r="AMD140" s="1056"/>
      <c r="AME140" s="1056"/>
      <c r="AMF140" s="1056"/>
      <c r="AMG140" s="1056"/>
      <c r="AMH140" s="1056"/>
      <c r="AMI140" s="1056"/>
      <c r="AMJ140" s="1056"/>
      <c r="AMK140" s="1056"/>
      <c r="AML140" s="1056"/>
      <c r="AMM140" s="1056"/>
      <c r="AMN140" s="1056"/>
      <c r="AMO140" s="1056"/>
      <c r="AMP140" s="1056"/>
      <c r="AMQ140" s="1056"/>
      <c r="AMR140" s="1056"/>
      <c r="AMS140" s="1056"/>
      <c r="AMT140" s="1056"/>
      <c r="AMU140" s="1056"/>
      <c r="AMV140" s="1056"/>
      <c r="AMW140" s="1056"/>
      <c r="AMX140" s="1056"/>
      <c r="AMY140" s="1056"/>
      <c r="AMZ140" s="1056"/>
      <c r="ANA140" s="1056"/>
      <c r="ANB140" s="1056"/>
      <c r="ANC140" s="1056"/>
      <c r="AND140" s="1056"/>
      <c r="ANE140" s="1056"/>
      <c r="ANF140" s="1056"/>
      <c r="ANG140" s="1056"/>
      <c r="ANH140" s="1056"/>
      <c r="ANI140" s="1056"/>
      <c r="ANJ140" s="1056"/>
      <c r="ANK140" s="1056"/>
      <c r="ANL140" s="1056"/>
      <c r="ANM140" s="1056"/>
      <c r="ANN140" s="1056"/>
      <c r="ANO140" s="1056"/>
      <c r="ANP140" s="1056"/>
      <c r="ANQ140" s="1056"/>
      <c r="ANR140" s="1056"/>
      <c r="ANS140" s="1056"/>
      <c r="ANT140" s="1056"/>
      <c r="ANU140" s="1056"/>
      <c r="ANV140" s="1056"/>
      <c r="ANW140" s="1056"/>
      <c r="ANX140" s="1056"/>
      <c r="ANY140" s="1056"/>
      <c r="ANZ140" s="1056"/>
      <c r="AOA140" s="1056"/>
      <c r="AOB140" s="1056"/>
      <c r="AOC140" s="1056"/>
      <c r="AOD140" s="1056"/>
      <c r="AOE140" s="1056"/>
      <c r="AOF140" s="1056"/>
      <c r="AOG140" s="1056"/>
      <c r="AOH140" s="1056"/>
      <c r="AOI140" s="1056"/>
      <c r="AOJ140" s="1056"/>
      <c r="AOK140" s="1056"/>
      <c r="AOL140" s="1056"/>
      <c r="AOM140" s="1056"/>
      <c r="AON140" s="1056"/>
      <c r="AOO140" s="1056"/>
      <c r="AOP140" s="1056"/>
      <c r="AOQ140" s="1056"/>
      <c r="AOR140" s="1056"/>
      <c r="AOS140" s="1056"/>
      <c r="AOT140" s="1056"/>
      <c r="AOU140" s="1056"/>
      <c r="AOV140" s="1056"/>
      <c r="AOW140" s="1056"/>
      <c r="AOX140" s="1056"/>
      <c r="AOY140" s="1056"/>
      <c r="AOZ140" s="1056"/>
      <c r="APA140" s="1056"/>
      <c r="APB140" s="1056"/>
      <c r="APC140" s="1056"/>
      <c r="APD140" s="1056"/>
      <c r="APE140" s="1056"/>
      <c r="APF140" s="1056"/>
      <c r="APG140" s="1056"/>
      <c r="APH140" s="1056"/>
      <c r="API140" s="1056"/>
      <c r="APJ140" s="1056"/>
      <c r="APK140" s="1056"/>
      <c r="APL140" s="1056"/>
      <c r="APM140" s="1056"/>
      <c r="APN140" s="1056"/>
      <c r="APO140" s="1056"/>
      <c r="APP140" s="1056"/>
      <c r="APQ140" s="1056"/>
      <c r="APR140" s="1056"/>
      <c r="APS140" s="1056"/>
      <c r="APT140" s="1056"/>
      <c r="APU140" s="1056"/>
      <c r="APV140" s="1056"/>
      <c r="APW140" s="1056"/>
      <c r="APX140" s="1056"/>
      <c r="APY140" s="1056"/>
      <c r="APZ140" s="1056"/>
      <c r="AQA140" s="1056"/>
      <c r="AQB140" s="1056"/>
      <c r="AQC140" s="1056"/>
      <c r="AQD140" s="1056"/>
      <c r="AQE140" s="1056"/>
      <c r="AQF140" s="1056"/>
      <c r="AQG140" s="1056"/>
      <c r="AQH140" s="1056"/>
      <c r="AQI140" s="1056"/>
      <c r="AQJ140" s="1056"/>
      <c r="AQK140" s="1056"/>
      <c r="AQL140" s="1056"/>
      <c r="AQM140" s="1056"/>
      <c r="AQN140" s="1056"/>
      <c r="AQO140" s="1056"/>
      <c r="AQP140" s="1056"/>
      <c r="AQQ140" s="1056"/>
      <c r="AQR140" s="1056"/>
      <c r="AQS140" s="1056"/>
      <c r="AQT140" s="1056"/>
      <c r="AQU140" s="1056"/>
      <c r="AQV140" s="1056"/>
      <c r="AQW140" s="1056"/>
      <c r="AQX140" s="1056"/>
      <c r="AQY140" s="1056"/>
      <c r="AQZ140" s="1056"/>
      <c r="ARA140" s="1056"/>
      <c r="ARB140" s="1056"/>
      <c r="ARC140" s="1056"/>
      <c r="ARD140" s="1056"/>
      <c r="ARE140" s="1056"/>
      <c r="ARF140" s="1056"/>
      <c r="ARG140" s="1056"/>
      <c r="ARH140" s="1056"/>
      <c r="ARI140" s="1056"/>
      <c r="ARJ140" s="1056"/>
      <c r="ARK140" s="1056"/>
      <c r="ARL140" s="1056"/>
      <c r="ARM140" s="1056"/>
      <c r="ARN140" s="1056"/>
      <c r="ARO140" s="1056"/>
      <c r="ARP140" s="1056"/>
      <c r="ARQ140" s="1056"/>
      <c r="ARR140" s="1056"/>
      <c r="ARS140" s="1056"/>
      <c r="ART140" s="1056"/>
      <c r="ARU140" s="1056"/>
      <c r="ARV140" s="1056"/>
      <c r="ARW140" s="1056"/>
      <c r="ARX140" s="1056"/>
      <c r="ARY140" s="1056"/>
      <c r="ARZ140" s="1056"/>
      <c r="ASA140" s="1056"/>
      <c r="ASB140" s="1056"/>
      <c r="ASC140" s="1056"/>
      <c r="ASD140" s="1056"/>
      <c r="ASE140" s="1056"/>
      <c r="ASF140" s="1056"/>
      <c r="ASG140" s="1056"/>
      <c r="ASH140" s="1056"/>
      <c r="ASI140" s="1056"/>
      <c r="ASJ140" s="1056"/>
      <c r="ASK140" s="1056"/>
      <c r="ASL140" s="1056"/>
      <c r="ASM140" s="1056"/>
      <c r="ASN140" s="1056"/>
      <c r="ASO140" s="1056"/>
      <c r="ASP140" s="1056"/>
      <c r="ASQ140" s="1056"/>
      <c r="ASR140" s="1056"/>
      <c r="ASS140" s="1056"/>
      <c r="AST140" s="1056"/>
      <c r="ASU140" s="1056"/>
      <c r="ASV140" s="1056"/>
      <c r="ASW140" s="1056"/>
      <c r="ASX140" s="1056"/>
      <c r="ASY140" s="1056"/>
      <c r="ASZ140" s="1056"/>
      <c r="ATA140" s="1056"/>
      <c r="ATB140" s="1056"/>
      <c r="ATC140" s="1056"/>
      <c r="ATD140" s="1056"/>
      <c r="ATE140" s="1056"/>
      <c r="ATF140" s="1056"/>
      <c r="ATG140" s="1056"/>
      <c r="ATH140" s="1056"/>
      <c r="ATI140" s="1056"/>
      <c r="ATJ140" s="1056"/>
      <c r="ATK140" s="1056"/>
      <c r="ATL140" s="1056"/>
      <c r="ATM140" s="1056"/>
      <c r="ATN140" s="1056"/>
      <c r="ATO140" s="1056"/>
      <c r="ATP140" s="1056"/>
      <c r="ATQ140" s="1056"/>
      <c r="ATR140" s="1056"/>
      <c r="ATS140" s="1056"/>
      <c r="ATT140" s="1056"/>
      <c r="ATU140" s="1056"/>
      <c r="ATV140" s="1056"/>
      <c r="ATW140" s="1056"/>
      <c r="ATX140" s="1056"/>
      <c r="ATY140" s="1056"/>
      <c r="ATZ140" s="1056"/>
      <c r="AUA140" s="1056"/>
      <c r="AUB140" s="1056"/>
      <c r="AUC140" s="1056"/>
      <c r="AUD140" s="1056"/>
      <c r="AUE140" s="1056"/>
      <c r="AUF140" s="1056"/>
      <c r="AUG140" s="1056"/>
      <c r="AUH140" s="1056"/>
      <c r="AUI140" s="1056"/>
      <c r="AUJ140" s="1056"/>
      <c r="AUK140" s="1056"/>
      <c r="AUL140" s="1056"/>
      <c r="AUM140" s="1056"/>
      <c r="AUN140" s="1056"/>
      <c r="AUO140" s="1056"/>
      <c r="AUP140" s="1056"/>
      <c r="AUQ140" s="1056"/>
      <c r="AUR140" s="1056"/>
      <c r="AUS140" s="1056"/>
      <c r="AUT140" s="1056"/>
      <c r="AUU140" s="1056"/>
      <c r="AUV140" s="1056"/>
      <c r="AUW140" s="1056"/>
      <c r="AUX140" s="1056"/>
      <c r="AUY140" s="1056"/>
      <c r="AUZ140" s="1056"/>
      <c r="AVA140" s="1056"/>
      <c r="AVB140" s="1056"/>
      <c r="AVC140" s="1056"/>
      <c r="AVD140" s="1056"/>
      <c r="AVE140" s="1056"/>
      <c r="AVF140" s="1056"/>
      <c r="AVG140" s="1056"/>
      <c r="AVH140" s="1056"/>
      <c r="AVI140" s="1056"/>
      <c r="AVJ140" s="1056"/>
      <c r="AVK140" s="1056"/>
      <c r="AVL140" s="1056"/>
      <c r="AVM140" s="1056"/>
      <c r="AVN140" s="1056"/>
      <c r="AVO140" s="1056"/>
      <c r="AVP140" s="1056"/>
      <c r="AVQ140" s="1056"/>
      <c r="AVR140" s="1056"/>
      <c r="AVS140" s="1056"/>
      <c r="AVT140" s="1056"/>
      <c r="AVU140" s="1056"/>
      <c r="AVV140" s="1056"/>
      <c r="AVW140" s="1056"/>
      <c r="AVX140" s="1056"/>
      <c r="AVY140" s="1056"/>
      <c r="AVZ140" s="1056"/>
      <c r="AWA140" s="1056"/>
      <c r="AWB140" s="1056"/>
      <c r="AWC140" s="1056"/>
      <c r="AWD140" s="1056"/>
      <c r="AWE140" s="1056"/>
      <c r="AWF140" s="1056"/>
      <c r="AWG140" s="1056"/>
      <c r="AWH140" s="1056"/>
      <c r="AWI140" s="1056"/>
      <c r="AWJ140" s="1056"/>
      <c r="AWK140" s="1056"/>
      <c r="AWL140" s="1056"/>
      <c r="AWM140" s="1056"/>
      <c r="AWN140" s="1056"/>
      <c r="AWO140" s="1056"/>
      <c r="AWP140" s="1056"/>
      <c r="AWQ140" s="1056"/>
      <c r="AWR140" s="1056"/>
      <c r="AWS140" s="1056"/>
      <c r="AWT140" s="1056"/>
      <c r="AWU140" s="1056"/>
      <c r="AWV140" s="1056"/>
      <c r="AWW140" s="1056"/>
      <c r="AWX140" s="1056"/>
      <c r="AWY140" s="1056"/>
      <c r="AWZ140" s="1056"/>
      <c r="AXA140" s="1056"/>
      <c r="AXB140" s="1056"/>
      <c r="AXC140" s="1056"/>
      <c r="AXD140" s="1056"/>
      <c r="AXE140" s="1056"/>
      <c r="AXF140" s="1056"/>
      <c r="AXG140" s="1056"/>
      <c r="AXH140" s="1056"/>
      <c r="AXI140" s="1056"/>
      <c r="AXJ140" s="1056"/>
      <c r="AXK140" s="1056"/>
      <c r="AXL140" s="1056"/>
      <c r="AXM140" s="1056"/>
      <c r="AXN140" s="1056"/>
      <c r="AXO140" s="1056"/>
      <c r="AXP140" s="1056"/>
      <c r="AXQ140" s="1056"/>
      <c r="AXR140" s="1056"/>
      <c r="AXS140" s="1056"/>
      <c r="AXT140" s="1056"/>
      <c r="AXU140" s="1056"/>
      <c r="AXV140" s="1056"/>
      <c r="AXW140" s="1056"/>
      <c r="AXX140" s="1056"/>
      <c r="AXY140" s="1056"/>
      <c r="AXZ140" s="1056"/>
      <c r="AYA140" s="1056"/>
      <c r="AYB140" s="1056"/>
      <c r="AYC140" s="1056"/>
      <c r="AYD140" s="1056"/>
      <c r="AYE140" s="1056"/>
      <c r="AYF140" s="1056"/>
      <c r="AYG140" s="1056"/>
      <c r="AYH140" s="1056"/>
      <c r="AYI140" s="1056"/>
      <c r="AYJ140" s="1056"/>
      <c r="AYK140" s="1056"/>
      <c r="AYL140" s="1056"/>
      <c r="AYM140" s="1056"/>
      <c r="AYN140" s="1056"/>
      <c r="AYO140" s="1056"/>
      <c r="AYP140" s="1056"/>
      <c r="AYQ140" s="1056"/>
      <c r="AYR140" s="1056"/>
      <c r="AYS140" s="1056"/>
      <c r="AYT140" s="1056"/>
      <c r="AYU140" s="1056"/>
      <c r="AYV140" s="1056"/>
      <c r="AYW140" s="1056"/>
      <c r="AYX140" s="1056"/>
      <c r="AYY140" s="1056"/>
      <c r="AYZ140" s="1056"/>
      <c r="AZA140" s="1056"/>
      <c r="AZB140" s="1056"/>
      <c r="AZC140" s="1056"/>
      <c r="AZD140" s="1056"/>
      <c r="AZE140" s="1056"/>
      <c r="AZF140" s="1056"/>
      <c r="AZG140" s="1056"/>
      <c r="AZH140" s="1056"/>
      <c r="AZI140" s="1056"/>
      <c r="AZJ140" s="1056"/>
      <c r="AZK140" s="1056"/>
      <c r="AZL140" s="1056"/>
      <c r="AZM140" s="1056"/>
      <c r="AZN140" s="1056"/>
      <c r="AZO140" s="1056"/>
      <c r="AZP140" s="1056"/>
      <c r="AZQ140" s="1056"/>
      <c r="AZR140" s="1056"/>
      <c r="AZS140" s="1056"/>
      <c r="AZT140" s="1056"/>
      <c r="AZU140" s="1056"/>
      <c r="AZV140" s="1056"/>
      <c r="AZW140" s="1056"/>
      <c r="AZX140" s="1056"/>
      <c r="AZY140" s="1056"/>
      <c r="AZZ140" s="1056"/>
      <c r="BAA140" s="1056"/>
      <c r="BAB140" s="1056"/>
      <c r="BAC140" s="1056"/>
      <c r="BAD140" s="1056"/>
      <c r="BAE140" s="1056"/>
      <c r="BAF140" s="1056"/>
      <c r="BAG140" s="1056"/>
      <c r="BAH140" s="1056"/>
      <c r="BAI140" s="1056"/>
      <c r="BAJ140" s="1056"/>
      <c r="BAK140" s="1056"/>
      <c r="BAL140" s="1056"/>
      <c r="BAM140" s="1056"/>
      <c r="BAN140" s="1056"/>
      <c r="BAO140" s="1056"/>
      <c r="BAP140" s="1056"/>
      <c r="BAQ140" s="1056"/>
      <c r="BAR140" s="1056"/>
      <c r="BAS140" s="1056"/>
      <c r="BAT140" s="1056"/>
      <c r="BAU140" s="1056"/>
      <c r="BAV140" s="1056"/>
      <c r="BAW140" s="1056"/>
      <c r="BAX140" s="1056"/>
      <c r="BAY140" s="1056"/>
      <c r="BAZ140" s="1056"/>
      <c r="BBA140" s="1056"/>
      <c r="BBB140" s="1056"/>
      <c r="BBC140" s="1056"/>
      <c r="BBD140" s="1056"/>
      <c r="BBE140" s="1056"/>
      <c r="BBF140" s="1056"/>
      <c r="BBG140" s="1056"/>
      <c r="BBH140" s="1056"/>
      <c r="BBI140" s="1056"/>
      <c r="BBJ140" s="1056"/>
      <c r="BBK140" s="1056"/>
      <c r="BBL140" s="1056"/>
      <c r="BBM140" s="1056"/>
      <c r="BBN140" s="1056"/>
      <c r="BBO140" s="1056"/>
      <c r="BBP140" s="1056"/>
      <c r="BBQ140" s="1056"/>
      <c r="BBR140" s="1056"/>
      <c r="BBS140" s="1056"/>
      <c r="BBT140" s="1056"/>
      <c r="BBU140" s="1056"/>
      <c r="BBV140" s="1056"/>
      <c r="BBW140" s="1056"/>
      <c r="BBX140" s="1056"/>
      <c r="BBY140" s="1056"/>
      <c r="BBZ140" s="1056"/>
      <c r="BCA140" s="1056"/>
      <c r="BCB140" s="1056"/>
      <c r="BCC140" s="1056"/>
      <c r="BCD140" s="1056"/>
      <c r="BCE140" s="1056"/>
      <c r="BCF140" s="1056"/>
      <c r="BCG140" s="1056"/>
      <c r="BCH140" s="1056"/>
      <c r="BCI140" s="1056"/>
      <c r="BCJ140" s="1056"/>
      <c r="BCK140" s="1056"/>
      <c r="BCL140" s="1056"/>
      <c r="BCM140" s="1056"/>
      <c r="BCN140" s="1056"/>
      <c r="BCO140" s="1056"/>
      <c r="BCP140" s="1056"/>
      <c r="BCQ140" s="1056"/>
      <c r="BCR140" s="1056"/>
      <c r="BCS140" s="1056"/>
      <c r="BCT140" s="1056"/>
      <c r="BCU140" s="1056"/>
      <c r="BCV140" s="1056"/>
      <c r="BCW140" s="1056"/>
      <c r="BCX140" s="1056"/>
      <c r="BCY140" s="1056"/>
      <c r="BCZ140" s="1056"/>
      <c r="BDA140" s="1056"/>
      <c r="BDB140" s="1056"/>
      <c r="BDC140" s="1056"/>
      <c r="BDD140" s="1056"/>
      <c r="BDE140" s="1056"/>
      <c r="BDF140" s="1056"/>
      <c r="BDG140" s="1056"/>
      <c r="BDH140" s="1056"/>
      <c r="BDI140" s="1056"/>
      <c r="BDJ140" s="1056"/>
      <c r="BDK140" s="1056"/>
      <c r="BDL140" s="1056"/>
      <c r="BDM140" s="1056"/>
      <c r="BDN140" s="1056"/>
      <c r="BDO140" s="1056"/>
      <c r="BDP140" s="1056"/>
      <c r="BDQ140" s="1056"/>
      <c r="BDR140" s="1056"/>
      <c r="BDS140" s="1056"/>
      <c r="BDT140" s="1056"/>
      <c r="BDU140" s="1056"/>
      <c r="BDV140" s="1056"/>
      <c r="BDW140" s="1056"/>
      <c r="BDX140" s="1056"/>
      <c r="BDY140" s="1056"/>
      <c r="BDZ140" s="1056"/>
      <c r="BEA140" s="1056"/>
      <c r="BEB140" s="1056"/>
      <c r="BEC140" s="1056"/>
      <c r="BED140" s="1056"/>
      <c r="BEE140" s="1056"/>
      <c r="BEF140" s="1056"/>
      <c r="BEG140" s="1056"/>
      <c r="BEH140" s="1056"/>
      <c r="BEI140" s="1056"/>
      <c r="BEJ140" s="1056"/>
      <c r="BEK140" s="1056"/>
      <c r="BEL140" s="1056"/>
      <c r="BEM140" s="1056"/>
      <c r="BEN140" s="1056"/>
      <c r="BEO140" s="1056"/>
      <c r="BEP140" s="1056"/>
      <c r="BEQ140" s="1056"/>
      <c r="BER140" s="1056"/>
      <c r="BES140" s="1056"/>
      <c r="BET140" s="1056"/>
      <c r="BEU140" s="1056"/>
      <c r="BEV140" s="1056"/>
      <c r="BEW140" s="1056"/>
      <c r="BEX140" s="1056"/>
      <c r="BEY140" s="1056"/>
      <c r="BEZ140" s="1056"/>
      <c r="BFA140" s="1056"/>
      <c r="BFB140" s="1056"/>
      <c r="BFC140" s="1056"/>
      <c r="BFD140" s="1056"/>
      <c r="BFE140" s="1056"/>
      <c r="BFF140" s="1056"/>
      <c r="BFG140" s="1056"/>
      <c r="BFH140" s="1056"/>
      <c r="BFI140" s="1056"/>
      <c r="BFJ140" s="1056"/>
      <c r="BFK140" s="1056"/>
      <c r="BFL140" s="1056"/>
      <c r="BFM140" s="1056"/>
      <c r="BFN140" s="1056"/>
      <c r="BFO140" s="1056"/>
      <c r="BFP140" s="1056"/>
      <c r="BFQ140" s="1056"/>
      <c r="BFR140" s="1056"/>
      <c r="BFS140" s="1056"/>
      <c r="BFT140" s="1056"/>
      <c r="BFU140" s="1056"/>
      <c r="BFV140" s="1056"/>
      <c r="BFW140" s="1056"/>
      <c r="BFX140" s="1056"/>
      <c r="BFY140" s="1056"/>
      <c r="BFZ140" s="1056"/>
      <c r="BGA140" s="1056"/>
      <c r="BGB140" s="1056"/>
      <c r="BGC140" s="1056"/>
      <c r="BGD140" s="1056"/>
      <c r="BGE140" s="1056"/>
      <c r="BGF140" s="1056"/>
      <c r="BGG140" s="1056"/>
      <c r="BGH140" s="1056"/>
      <c r="BGI140" s="1056"/>
      <c r="BGJ140" s="1056"/>
      <c r="BGK140" s="1056"/>
      <c r="BGL140" s="1056"/>
      <c r="BGM140" s="1056"/>
      <c r="BGN140" s="1056"/>
      <c r="BGO140" s="1056"/>
      <c r="BGP140" s="1056"/>
      <c r="BGQ140" s="1056"/>
      <c r="BGR140" s="1056"/>
      <c r="BGS140" s="1056"/>
      <c r="BGT140" s="1056"/>
      <c r="BGU140" s="1056"/>
      <c r="BGV140" s="1056"/>
      <c r="BGW140" s="1056"/>
      <c r="BGX140" s="1056"/>
      <c r="BGY140" s="1056"/>
      <c r="BGZ140" s="1056"/>
      <c r="BHA140" s="1056"/>
      <c r="BHB140" s="1056"/>
      <c r="BHC140" s="1056"/>
      <c r="BHD140" s="1056"/>
      <c r="BHE140" s="1056"/>
      <c r="BHF140" s="1056"/>
      <c r="BHG140" s="1056"/>
      <c r="BHH140" s="1056"/>
      <c r="BHI140" s="1056"/>
      <c r="BHJ140" s="1056"/>
      <c r="BHK140" s="1056"/>
      <c r="BHL140" s="1056"/>
      <c r="BHM140" s="1056"/>
      <c r="BHN140" s="1056"/>
      <c r="BHO140" s="1056"/>
      <c r="BHP140" s="1056"/>
      <c r="BHQ140" s="1056"/>
      <c r="BHR140" s="1056"/>
      <c r="BHS140" s="1056"/>
      <c r="BHT140" s="1056"/>
      <c r="BHU140" s="1056"/>
      <c r="BHV140" s="1056"/>
      <c r="BHW140" s="1056"/>
      <c r="BHX140" s="1056"/>
      <c r="BHY140" s="1056"/>
      <c r="BHZ140" s="1056"/>
      <c r="BIA140" s="1056"/>
      <c r="BIB140" s="1056"/>
      <c r="BIC140" s="1056"/>
      <c r="BID140" s="1056"/>
      <c r="BIE140" s="1056"/>
      <c r="BIF140" s="1056"/>
      <c r="BIG140" s="1056"/>
      <c r="BIH140" s="1056"/>
      <c r="BII140" s="1056"/>
      <c r="BIJ140" s="1056"/>
      <c r="BIK140" s="1056"/>
      <c r="BIL140" s="1056"/>
      <c r="BIM140" s="1056"/>
      <c r="BIN140" s="1056"/>
      <c r="BIO140" s="1056"/>
      <c r="BIP140" s="1056"/>
      <c r="BIQ140" s="1056"/>
      <c r="BIR140" s="1056"/>
      <c r="BIS140" s="1056"/>
      <c r="BIT140" s="1056"/>
      <c r="BIU140" s="1056"/>
      <c r="BIV140" s="1056"/>
      <c r="BIW140" s="1056"/>
      <c r="BIX140" s="1056"/>
      <c r="BIY140" s="1056"/>
      <c r="BIZ140" s="1056"/>
      <c r="BJA140" s="1056"/>
      <c r="BJB140" s="1056"/>
      <c r="BJC140" s="1056"/>
      <c r="BJD140" s="1056"/>
      <c r="BJE140" s="1056"/>
      <c r="BJF140" s="1056"/>
      <c r="BJG140" s="1056"/>
      <c r="BJH140" s="1056"/>
      <c r="BJI140" s="1056"/>
      <c r="BJJ140" s="1056"/>
      <c r="BJK140" s="1056"/>
      <c r="BJL140" s="1056"/>
      <c r="BJM140" s="1056"/>
      <c r="BJN140" s="1056"/>
      <c r="BJO140" s="1056"/>
      <c r="BJP140" s="1056"/>
      <c r="BJQ140" s="1056"/>
      <c r="BJR140" s="1056"/>
      <c r="BJS140" s="1056"/>
      <c r="BJT140" s="1056"/>
      <c r="BJU140" s="1056"/>
      <c r="BJV140" s="1056"/>
      <c r="BJW140" s="1056"/>
      <c r="BJX140" s="1056"/>
      <c r="BJY140" s="1056"/>
      <c r="BJZ140" s="1056"/>
      <c r="BKA140" s="1056"/>
      <c r="BKB140" s="1056"/>
      <c r="BKC140" s="1056"/>
      <c r="BKD140" s="1056"/>
      <c r="BKE140" s="1056"/>
      <c r="BKF140" s="1056"/>
      <c r="BKG140" s="1056"/>
      <c r="BKH140" s="1056"/>
      <c r="BKI140" s="1056"/>
      <c r="BKJ140" s="1056"/>
      <c r="BKK140" s="1056"/>
      <c r="BKL140" s="1056"/>
      <c r="BKM140" s="1056"/>
      <c r="BKN140" s="1056"/>
      <c r="BKO140" s="1056"/>
      <c r="BKP140" s="1056"/>
      <c r="BKQ140" s="1056"/>
      <c r="BKR140" s="1056"/>
      <c r="BKS140" s="1056"/>
      <c r="BKT140" s="1056"/>
      <c r="BKU140" s="1056"/>
      <c r="BKV140" s="1056"/>
      <c r="BKW140" s="1056"/>
      <c r="BKX140" s="1056"/>
      <c r="BKY140" s="1056"/>
      <c r="BKZ140" s="1056"/>
      <c r="BLA140" s="1056"/>
      <c r="BLB140" s="1056"/>
      <c r="BLC140" s="1056"/>
      <c r="BLD140" s="1056"/>
      <c r="BLE140" s="1056"/>
      <c r="BLF140" s="1056"/>
      <c r="BLG140" s="1056"/>
      <c r="BLH140" s="1056"/>
      <c r="BLI140" s="1056"/>
      <c r="BLJ140" s="1056"/>
      <c r="BLK140" s="1056"/>
      <c r="BLL140" s="1056"/>
      <c r="BLM140" s="1056"/>
      <c r="BLN140" s="1056"/>
      <c r="BLO140" s="1056"/>
      <c r="BLP140" s="1056"/>
      <c r="BLQ140" s="1056"/>
      <c r="BLR140" s="1056"/>
      <c r="BLS140" s="1056"/>
      <c r="BLT140" s="1056"/>
      <c r="BLU140" s="1056"/>
      <c r="BLV140" s="1056"/>
      <c r="BLW140" s="1056"/>
      <c r="BLX140" s="1056"/>
      <c r="BLY140" s="1056"/>
      <c r="BLZ140" s="1056"/>
      <c r="BMA140" s="1056"/>
      <c r="BMB140" s="1056"/>
      <c r="BMC140" s="1056"/>
      <c r="BMD140" s="1056"/>
      <c r="BME140" s="1056"/>
      <c r="BMF140" s="1056"/>
      <c r="BMG140" s="1056"/>
      <c r="BMH140" s="1056"/>
      <c r="BMI140" s="1056"/>
      <c r="BMJ140" s="1056"/>
      <c r="BMK140" s="1056"/>
      <c r="BML140" s="1056"/>
      <c r="BMM140" s="1056"/>
      <c r="BMN140" s="1056"/>
      <c r="BMO140" s="1056"/>
      <c r="BMP140" s="1056"/>
      <c r="BMQ140" s="1056"/>
      <c r="BMR140" s="1056"/>
      <c r="BMS140" s="1056"/>
      <c r="BMT140" s="1056"/>
      <c r="BMU140" s="1056"/>
      <c r="BMV140" s="1056"/>
      <c r="BMW140" s="1056"/>
      <c r="BMX140" s="1056"/>
      <c r="BMY140" s="1056"/>
      <c r="BMZ140" s="1056"/>
      <c r="BNA140" s="1056"/>
      <c r="BNB140" s="1056"/>
      <c r="BNC140" s="1056"/>
      <c r="BND140" s="1056"/>
      <c r="BNE140" s="1056"/>
      <c r="BNF140" s="1056"/>
      <c r="BNG140" s="1056"/>
      <c r="BNH140" s="1056"/>
      <c r="BNI140" s="1056"/>
      <c r="BNJ140" s="1056"/>
      <c r="BNK140" s="1056"/>
      <c r="BNL140" s="1056"/>
      <c r="BNM140" s="1056"/>
      <c r="BNN140" s="1056"/>
      <c r="BNO140" s="1056"/>
      <c r="BNP140" s="1056"/>
      <c r="BNQ140" s="1056"/>
      <c r="BNR140" s="1056"/>
      <c r="BNS140" s="1056"/>
      <c r="BNT140" s="1056"/>
      <c r="BNU140" s="1056"/>
      <c r="BNV140" s="1056"/>
      <c r="BNW140" s="1056"/>
      <c r="BNX140" s="1056"/>
      <c r="BNY140" s="1056"/>
      <c r="BNZ140" s="1056"/>
      <c r="BOA140" s="1056"/>
      <c r="BOB140" s="1056"/>
      <c r="BOC140" s="1056"/>
      <c r="BOD140" s="1056"/>
      <c r="BOE140" s="1056"/>
      <c r="BOF140" s="1056"/>
      <c r="BOG140" s="1056"/>
      <c r="BOH140" s="1056"/>
      <c r="BOI140" s="1056"/>
      <c r="BOJ140" s="1056"/>
      <c r="BOK140" s="1056"/>
      <c r="BOL140" s="1056"/>
      <c r="BOM140" s="1056"/>
      <c r="BON140" s="1056"/>
      <c r="BOO140" s="1056"/>
      <c r="BOP140" s="1056"/>
      <c r="BOQ140" s="1056"/>
      <c r="BOR140" s="1056"/>
      <c r="BOS140" s="1056"/>
      <c r="BOT140" s="1056"/>
      <c r="BOU140" s="1056"/>
      <c r="BOV140" s="1056"/>
      <c r="BOW140" s="1056"/>
      <c r="BOX140" s="1056"/>
      <c r="BOY140" s="1056"/>
      <c r="BOZ140" s="1056"/>
      <c r="BPA140" s="1056"/>
      <c r="BPB140" s="1056"/>
      <c r="BPC140" s="1056"/>
      <c r="BPD140" s="1056"/>
      <c r="BPE140" s="1056"/>
      <c r="BPF140" s="1056"/>
      <c r="BPG140" s="1056"/>
      <c r="BPH140" s="1056"/>
      <c r="BPI140" s="1056"/>
      <c r="BPJ140" s="1056"/>
      <c r="BPK140" s="1056"/>
      <c r="BPL140" s="1056"/>
      <c r="BPM140" s="1056"/>
      <c r="BPN140" s="1056"/>
      <c r="BPO140" s="1056"/>
      <c r="BPP140" s="1056"/>
      <c r="BPQ140" s="1056"/>
      <c r="BPR140" s="1056"/>
      <c r="BPS140" s="1056"/>
      <c r="BPT140" s="1056"/>
      <c r="BPU140" s="1056"/>
      <c r="BPV140" s="1056"/>
      <c r="BPW140" s="1056"/>
      <c r="BPX140" s="1056"/>
      <c r="BPY140" s="1056"/>
      <c r="BPZ140" s="1056"/>
      <c r="BQA140" s="1056"/>
      <c r="BQB140" s="1056"/>
      <c r="BQC140" s="1056"/>
      <c r="BQD140" s="1056"/>
      <c r="BQE140" s="1056"/>
      <c r="BQF140" s="1056"/>
      <c r="BQG140" s="1056"/>
      <c r="BQH140" s="1056"/>
      <c r="BQI140" s="1056"/>
      <c r="BQJ140" s="1056"/>
      <c r="BQK140" s="1056"/>
      <c r="BQL140" s="1056"/>
      <c r="BQM140" s="1056"/>
      <c r="BQN140" s="1056"/>
      <c r="BQO140" s="1056"/>
      <c r="BQP140" s="1056"/>
      <c r="BQQ140" s="1056"/>
      <c r="BQR140" s="1056"/>
      <c r="BQS140" s="1056"/>
      <c r="BQT140" s="1056"/>
      <c r="BQU140" s="1056"/>
      <c r="BQV140" s="1056"/>
      <c r="BQW140" s="1056"/>
      <c r="BQX140" s="1056"/>
      <c r="BQY140" s="1056"/>
      <c r="BQZ140" s="1056"/>
      <c r="BRA140" s="1056"/>
      <c r="BRB140" s="1056"/>
      <c r="BRC140" s="1056"/>
      <c r="BRD140" s="1056"/>
      <c r="BRE140" s="1056"/>
      <c r="BRF140" s="1056"/>
      <c r="BRG140" s="1056"/>
      <c r="BRH140" s="1056"/>
      <c r="BRI140" s="1056"/>
      <c r="BRJ140" s="1056"/>
      <c r="BRK140" s="1056"/>
      <c r="BRL140" s="1056"/>
      <c r="BRM140" s="1056"/>
      <c r="BRN140" s="1056"/>
      <c r="BRO140" s="1056"/>
      <c r="BRP140" s="1056"/>
      <c r="BRQ140" s="1056"/>
      <c r="BRR140" s="1056"/>
      <c r="BRS140" s="1056"/>
      <c r="BRT140" s="1056"/>
      <c r="BRU140" s="1056"/>
      <c r="BRV140" s="1056"/>
      <c r="BRW140" s="1056"/>
      <c r="BRX140" s="1056"/>
      <c r="BRY140" s="1056"/>
      <c r="BRZ140" s="1056"/>
      <c r="BSA140" s="1056"/>
      <c r="BSB140" s="1056"/>
      <c r="BSC140" s="1056"/>
      <c r="BSD140" s="1056"/>
      <c r="BSE140" s="1056"/>
      <c r="BSF140" s="1056"/>
      <c r="BSG140" s="1056"/>
      <c r="BSH140" s="1056"/>
      <c r="BSI140" s="1056"/>
      <c r="BSJ140" s="1056"/>
      <c r="BSK140" s="1056"/>
      <c r="BSL140" s="1056"/>
      <c r="BSM140" s="1056"/>
      <c r="BSN140" s="1056"/>
      <c r="BSO140" s="1056"/>
      <c r="BSP140" s="1056"/>
      <c r="BSQ140" s="1056"/>
      <c r="BSR140" s="1056"/>
      <c r="BSS140" s="1056"/>
      <c r="BST140" s="1056"/>
      <c r="BSU140" s="1056"/>
      <c r="BSV140" s="1056"/>
      <c r="BSW140" s="1056"/>
      <c r="BSX140" s="1056"/>
      <c r="BSY140" s="1056"/>
      <c r="BSZ140" s="1056"/>
      <c r="BTA140" s="1056"/>
      <c r="BTB140" s="1056"/>
      <c r="BTC140" s="1056"/>
      <c r="BTD140" s="1056"/>
      <c r="BTE140" s="1056"/>
      <c r="BTF140" s="1056"/>
      <c r="BTG140" s="1056"/>
      <c r="BTH140" s="1056"/>
      <c r="BTI140" s="1056"/>
    </row>
    <row r="141" spans="1:1881" s="1060" customFormat="1" ht="109.5" hidden="1" customHeight="1" x14ac:dyDescent="0.3">
      <c r="A141" s="333">
        <v>634</v>
      </c>
      <c r="B141" s="1093" t="s">
        <v>409</v>
      </c>
      <c r="C141" s="1085" t="s">
        <v>413</v>
      </c>
      <c r="D141" s="1086" t="s">
        <v>1394</v>
      </c>
      <c r="E141" s="1053" t="e">
        <f>HLOOKUP($D$2,'2020 Data(H)'!$C$1:$AI$426,293,FALSE)</f>
        <v>#N/A</v>
      </c>
      <c r="F141" s="287">
        <v>0</v>
      </c>
      <c r="G141" s="738">
        <f>IF(F141&gt;F140,"Please review account numbers 634&gt;633",)</f>
        <v>0</v>
      </c>
      <c r="H141" s="1092"/>
      <c r="I141" s="1092"/>
      <c r="J141" s="1056"/>
      <c r="K141" s="1056"/>
      <c r="L141" s="1056"/>
      <c r="M141" s="1056"/>
      <c r="N141" s="1058"/>
      <c r="O141" s="1056"/>
      <c r="P141" s="1056"/>
      <c r="Q141" s="1056"/>
      <c r="R141" s="1056"/>
      <c r="S141" s="1056"/>
      <c r="T141" s="1056"/>
      <c r="U141" s="1056"/>
      <c r="V141" s="1056"/>
      <c r="W141" s="1056"/>
      <c r="X141" s="1056"/>
      <c r="Y141" s="1056"/>
      <c r="Z141" s="333"/>
      <c r="AA141" s="333"/>
      <c r="AB141" s="333"/>
      <c r="AC141" s="333"/>
      <c r="AD141" s="333"/>
      <c r="AE141" s="333"/>
      <c r="AF141" s="333"/>
      <c r="AG141" s="333"/>
      <c r="AH141" s="333"/>
      <c r="AI141" s="333"/>
      <c r="AJ141" s="333"/>
      <c r="AK141" s="333"/>
      <c r="AL141" s="333"/>
      <c r="AM141" s="333"/>
      <c r="AN141" s="333"/>
      <c r="AO141" s="333"/>
      <c r="AP141" s="333"/>
      <c r="AQ141" s="333"/>
      <c r="AR141" s="333"/>
      <c r="AS141" s="1056"/>
      <c r="AT141" s="1056"/>
      <c r="AU141" s="1056"/>
      <c r="AV141" s="1056"/>
      <c r="AW141" s="1056"/>
      <c r="AX141" s="1056"/>
      <c r="AY141" s="1056"/>
      <c r="AZ141" s="1056"/>
      <c r="BA141" s="1056"/>
      <c r="BB141" s="1056"/>
      <c r="BC141" s="1056"/>
      <c r="BD141" s="1056"/>
      <c r="BE141" s="1056"/>
      <c r="BF141" s="1056"/>
      <c r="BG141" s="1056"/>
      <c r="BH141" s="1056"/>
      <c r="BI141" s="1056"/>
      <c r="BJ141" s="1056"/>
      <c r="BK141" s="1056"/>
      <c r="BL141" s="1056"/>
      <c r="BM141" s="1056"/>
      <c r="BN141" s="1056"/>
      <c r="BO141" s="1056"/>
      <c r="BP141" s="1056"/>
      <c r="BQ141" s="1056"/>
      <c r="BR141" s="1056"/>
      <c r="BS141" s="1056"/>
      <c r="BT141" s="1056"/>
      <c r="BU141" s="1056"/>
      <c r="BV141" s="1056"/>
      <c r="BW141" s="1056"/>
      <c r="BX141" s="1056"/>
      <c r="BY141" s="1056"/>
      <c r="BZ141" s="1056"/>
      <c r="CA141" s="1056"/>
      <c r="CB141" s="1056"/>
      <c r="CC141" s="1056"/>
      <c r="CD141" s="1056"/>
      <c r="CE141" s="1056"/>
      <c r="CF141" s="1056"/>
      <c r="CG141" s="1056"/>
      <c r="CH141" s="1056"/>
      <c r="CI141" s="1056"/>
      <c r="CJ141" s="1056"/>
      <c r="CK141" s="1056"/>
      <c r="CL141" s="1056"/>
      <c r="CM141" s="1056"/>
      <c r="CN141" s="1056"/>
      <c r="CO141" s="1056"/>
      <c r="CP141" s="1056"/>
      <c r="CQ141" s="1056"/>
      <c r="CR141" s="1056"/>
      <c r="CS141" s="1056"/>
      <c r="CT141" s="1056"/>
      <c r="CU141" s="1056"/>
      <c r="CV141" s="1056"/>
      <c r="CW141" s="1056"/>
      <c r="CX141" s="1056"/>
      <c r="CY141" s="1056"/>
      <c r="CZ141" s="1056"/>
      <c r="DA141" s="1056"/>
      <c r="DB141" s="1056"/>
      <c r="DC141" s="1056"/>
      <c r="DD141" s="1056"/>
      <c r="DE141" s="1056"/>
      <c r="DF141" s="1056"/>
      <c r="DG141" s="1056"/>
      <c r="DH141" s="1056"/>
      <c r="DI141" s="1056"/>
      <c r="DJ141" s="1056"/>
      <c r="DK141" s="1056"/>
      <c r="DL141" s="1056"/>
      <c r="DM141" s="1056"/>
      <c r="DN141" s="1056"/>
      <c r="DO141" s="1056"/>
      <c r="DP141" s="1056"/>
      <c r="DQ141" s="1056"/>
      <c r="DR141" s="1056"/>
      <c r="DS141" s="1056"/>
      <c r="DT141" s="1056"/>
      <c r="DU141" s="1056"/>
      <c r="DV141" s="1056"/>
      <c r="DW141" s="1056"/>
      <c r="DX141" s="1056"/>
      <c r="DY141" s="1056"/>
      <c r="DZ141" s="1056"/>
      <c r="EA141" s="1056"/>
      <c r="EB141" s="1056"/>
      <c r="EC141" s="1056"/>
      <c r="ED141" s="1056"/>
      <c r="EE141" s="1056"/>
      <c r="EF141" s="1056"/>
      <c r="EG141" s="1056"/>
      <c r="EH141" s="1056"/>
      <c r="EI141" s="1056"/>
      <c r="EJ141" s="1056"/>
      <c r="EK141" s="1056"/>
      <c r="EL141" s="1056"/>
      <c r="EM141" s="1056"/>
      <c r="EN141" s="1056"/>
      <c r="EO141" s="1056"/>
      <c r="EP141" s="1056"/>
      <c r="EQ141" s="1056"/>
      <c r="ER141" s="1056"/>
      <c r="ES141" s="1056"/>
      <c r="ET141" s="1056"/>
      <c r="EU141" s="1056"/>
      <c r="EV141" s="1056"/>
      <c r="EW141" s="1056"/>
      <c r="EX141" s="1056"/>
      <c r="EY141" s="1056"/>
      <c r="EZ141" s="1056"/>
      <c r="FA141" s="1056"/>
      <c r="FB141" s="1056"/>
      <c r="FC141" s="1056"/>
      <c r="FD141" s="1056"/>
      <c r="FE141" s="1056"/>
      <c r="FF141" s="1056"/>
      <c r="FG141" s="1056"/>
      <c r="FH141" s="1056"/>
      <c r="FI141" s="1056"/>
      <c r="FJ141" s="1056"/>
      <c r="FK141" s="1056"/>
      <c r="FL141" s="1056"/>
      <c r="FM141" s="1056"/>
      <c r="FN141" s="1056"/>
      <c r="FO141" s="1056"/>
      <c r="FP141" s="1056"/>
      <c r="FQ141" s="1056"/>
      <c r="FR141" s="1056"/>
      <c r="FS141" s="1056"/>
      <c r="FT141" s="1056"/>
      <c r="FU141" s="1056"/>
      <c r="FV141" s="1056"/>
      <c r="FW141" s="1056"/>
      <c r="FX141" s="1056"/>
      <c r="FY141" s="1056"/>
      <c r="FZ141" s="1056"/>
      <c r="GA141" s="1056"/>
      <c r="GB141" s="1056"/>
      <c r="GC141" s="1056"/>
      <c r="GD141" s="1056"/>
      <c r="GE141" s="1056"/>
      <c r="GF141" s="1056"/>
      <c r="GG141" s="1056"/>
      <c r="GH141" s="1056"/>
      <c r="GI141" s="1056"/>
      <c r="GJ141" s="1056"/>
      <c r="GK141" s="1056"/>
      <c r="GL141" s="1056"/>
      <c r="GM141" s="1056"/>
      <c r="GN141" s="1056"/>
      <c r="GO141" s="1056"/>
      <c r="GP141" s="1056"/>
      <c r="GQ141" s="1056"/>
      <c r="GR141" s="1056"/>
      <c r="GS141" s="1056"/>
      <c r="GT141" s="1056"/>
      <c r="GU141" s="1056"/>
      <c r="GV141" s="1056"/>
      <c r="GW141" s="1056"/>
      <c r="GX141" s="1056"/>
      <c r="GY141" s="1056"/>
      <c r="GZ141" s="1056"/>
      <c r="HA141" s="1056"/>
      <c r="HB141" s="1056"/>
      <c r="HC141" s="1056"/>
      <c r="HD141" s="1056"/>
      <c r="HE141" s="1056"/>
      <c r="HF141" s="1056"/>
      <c r="HG141" s="1056"/>
      <c r="HH141" s="1056"/>
      <c r="HI141" s="1056"/>
      <c r="HJ141" s="1056"/>
      <c r="HK141" s="1056"/>
      <c r="HL141" s="1056"/>
      <c r="HM141" s="1056"/>
      <c r="HN141" s="1056"/>
      <c r="HO141" s="1056"/>
      <c r="HP141" s="1056"/>
      <c r="HQ141" s="1056"/>
      <c r="HR141" s="1056"/>
      <c r="HS141" s="1056"/>
      <c r="HT141" s="1056"/>
      <c r="HU141" s="1056"/>
      <c r="HV141" s="1056"/>
      <c r="HW141" s="1056"/>
      <c r="HX141" s="1056"/>
      <c r="HY141" s="1056"/>
      <c r="HZ141" s="1056"/>
      <c r="IA141" s="1056"/>
      <c r="IB141" s="1056"/>
      <c r="IC141" s="1056"/>
      <c r="ID141" s="1056"/>
      <c r="IE141" s="1056"/>
      <c r="IF141" s="1056"/>
      <c r="IG141" s="1056"/>
      <c r="IH141" s="1056"/>
      <c r="II141" s="1056"/>
      <c r="IJ141" s="1056"/>
      <c r="IK141" s="1056"/>
      <c r="IL141" s="1056"/>
      <c r="IM141" s="1056"/>
      <c r="IN141" s="1056"/>
      <c r="IO141" s="1056"/>
      <c r="IP141" s="1056"/>
      <c r="IQ141" s="1056"/>
      <c r="IR141" s="1056"/>
      <c r="IS141" s="1056"/>
      <c r="IT141" s="1056"/>
      <c r="IU141" s="1056"/>
      <c r="IV141" s="1056"/>
      <c r="IW141" s="1056"/>
      <c r="IX141" s="1056"/>
      <c r="IY141" s="1056"/>
      <c r="IZ141" s="1056"/>
      <c r="JA141" s="1056"/>
      <c r="JB141" s="1056"/>
      <c r="JC141" s="1056"/>
      <c r="JD141" s="1056"/>
      <c r="JE141" s="1056"/>
      <c r="JF141" s="1056"/>
      <c r="JG141" s="1056"/>
      <c r="JH141" s="1056"/>
      <c r="JI141" s="1056"/>
      <c r="JJ141" s="1056"/>
      <c r="JK141" s="1056"/>
      <c r="JL141" s="1056"/>
      <c r="JM141" s="1056"/>
      <c r="JN141" s="1056"/>
      <c r="JO141" s="1056"/>
      <c r="JP141" s="1056"/>
      <c r="JQ141" s="1056"/>
      <c r="JR141" s="1056"/>
      <c r="JS141" s="1056"/>
      <c r="JT141" s="1056"/>
      <c r="JU141" s="1056"/>
      <c r="JV141" s="1056"/>
      <c r="JW141" s="1056"/>
      <c r="JX141" s="1056"/>
      <c r="JY141" s="1056"/>
      <c r="JZ141" s="1056"/>
      <c r="KA141" s="1056"/>
      <c r="KB141" s="1056"/>
      <c r="KC141" s="1056"/>
      <c r="KD141" s="1056"/>
      <c r="KE141" s="1056"/>
      <c r="KF141" s="1056"/>
      <c r="KG141" s="1056"/>
      <c r="KH141" s="1056"/>
      <c r="KI141" s="1056"/>
      <c r="KJ141" s="1056"/>
      <c r="KK141" s="1056"/>
      <c r="KL141" s="1056"/>
      <c r="KM141" s="1056"/>
      <c r="KN141" s="1056"/>
      <c r="KO141" s="1056"/>
      <c r="KP141" s="1056"/>
      <c r="KQ141" s="1056"/>
      <c r="KR141" s="1056"/>
      <c r="KS141" s="1056"/>
      <c r="KT141" s="1056"/>
      <c r="KU141" s="1056"/>
      <c r="KV141" s="1056"/>
      <c r="KW141" s="1056"/>
      <c r="KX141" s="1056"/>
      <c r="KY141" s="1056"/>
      <c r="KZ141" s="1056"/>
      <c r="LA141" s="1056"/>
      <c r="LB141" s="1056"/>
      <c r="LC141" s="1056"/>
      <c r="LD141" s="1056"/>
      <c r="LE141" s="1056"/>
      <c r="LF141" s="1056"/>
      <c r="LG141" s="1056"/>
      <c r="LH141" s="1056"/>
      <c r="LI141" s="1056"/>
      <c r="LJ141" s="1056"/>
      <c r="LK141" s="1056"/>
      <c r="LL141" s="1056"/>
      <c r="LM141" s="1056"/>
      <c r="LN141" s="1056"/>
      <c r="LO141" s="1056"/>
      <c r="LP141" s="1056"/>
      <c r="LQ141" s="1056"/>
      <c r="LR141" s="1056"/>
      <c r="LS141" s="1056"/>
      <c r="LT141" s="1056"/>
      <c r="LU141" s="1056"/>
      <c r="LV141" s="1056"/>
      <c r="LW141" s="1056"/>
      <c r="LX141" s="1056"/>
      <c r="LY141" s="1056"/>
      <c r="LZ141" s="1056"/>
      <c r="MA141" s="1056"/>
      <c r="MB141" s="1056"/>
      <c r="MC141" s="1056"/>
      <c r="MD141" s="1056"/>
      <c r="ME141" s="1056"/>
      <c r="MF141" s="1056"/>
      <c r="MG141" s="1056"/>
      <c r="MH141" s="1056"/>
      <c r="MI141" s="1056"/>
      <c r="MJ141" s="1056"/>
      <c r="MK141" s="1056"/>
      <c r="ML141" s="1056"/>
      <c r="MM141" s="1056"/>
      <c r="MN141" s="1056"/>
      <c r="MO141" s="1056"/>
      <c r="MP141" s="1056"/>
      <c r="MQ141" s="1056"/>
      <c r="MR141" s="1056"/>
      <c r="MS141" s="1056"/>
      <c r="MT141" s="1056"/>
      <c r="MU141" s="1056"/>
      <c r="MV141" s="1056"/>
      <c r="MW141" s="1056"/>
      <c r="MX141" s="1056"/>
      <c r="MY141" s="1056"/>
      <c r="MZ141" s="1056"/>
      <c r="NA141" s="1056"/>
      <c r="NB141" s="1056"/>
      <c r="NC141" s="1056"/>
      <c r="ND141" s="1056"/>
      <c r="NE141" s="1056"/>
      <c r="NF141" s="1056"/>
      <c r="NG141" s="1056"/>
      <c r="NH141" s="1056"/>
      <c r="NI141" s="1056"/>
      <c r="NJ141" s="1056"/>
      <c r="NK141" s="1056"/>
      <c r="NL141" s="1056"/>
      <c r="NM141" s="1056"/>
      <c r="NN141" s="1056"/>
      <c r="NO141" s="1056"/>
      <c r="NP141" s="1056"/>
      <c r="NQ141" s="1056"/>
      <c r="NR141" s="1056"/>
      <c r="NS141" s="1056"/>
      <c r="NT141" s="1056"/>
      <c r="NU141" s="1056"/>
      <c r="NV141" s="1056"/>
      <c r="NW141" s="1056"/>
      <c r="NX141" s="1056"/>
      <c r="NY141" s="1056"/>
      <c r="NZ141" s="1056"/>
      <c r="OA141" s="1056"/>
      <c r="OB141" s="1056"/>
      <c r="OC141" s="1056"/>
      <c r="OD141" s="1056"/>
      <c r="OE141" s="1056"/>
      <c r="OF141" s="1056"/>
      <c r="OG141" s="1056"/>
      <c r="OH141" s="1056"/>
      <c r="OI141" s="1056"/>
      <c r="OJ141" s="1056"/>
      <c r="OK141" s="1056"/>
      <c r="OL141" s="1056"/>
      <c r="OM141" s="1056"/>
      <c r="ON141" s="1056"/>
      <c r="OO141" s="1056"/>
      <c r="OP141" s="1056"/>
      <c r="OQ141" s="1056"/>
      <c r="OR141" s="1056"/>
      <c r="OS141" s="1056"/>
      <c r="OT141" s="1056"/>
      <c r="OU141" s="1056"/>
      <c r="OV141" s="1056"/>
      <c r="OW141" s="1056"/>
      <c r="OX141" s="1056"/>
      <c r="OY141" s="1056"/>
      <c r="OZ141" s="1056"/>
      <c r="PA141" s="1056"/>
      <c r="PB141" s="1056"/>
      <c r="PC141" s="1056"/>
      <c r="PD141" s="1056"/>
      <c r="PE141" s="1056"/>
      <c r="PF141" s="1056"/>
      <c r="PG141" s="1056"/>
      <c r="PH141" s="1056"/>
      <c r="PI141" s="1056"/>
      <c r="PJ141" s="1056"/>
      <c r="PK141" s="1056"/>
      <c r="PL141" s="1056"/>
      <c r="PM141" s="1056"/>
      <c r="PN141" s="1056"/>
      <c r="PO141" s="1056"/>
      <c r="PP141" s="1056"/>
      <c r="PQ141" s="1056"/>
      <c r="PR141" s="1056"/>
      <c r="PS141" s="1056"/>
      <c r="PT141" s="1056"/>
      <c r="PU141" s="1056"/>
      <c r="PV141" s="1056"/>
      <c r="PW141" s="1056"/>
      <c r="PX141" s="1056"/>
      <c r="PY141" s="1056"/>
      <c r="PZ141" s="1056"/>
      <c r="QA141" s="1056"/>
      <c r="QB141" s="1056"/>
      <c r="QC141" s="1056"/>
      <c r="QD141" s="1056"/>
      <c r="QE141" s="1056"/>
      <c r="QF141" s="1056"/>
      <c r="QG141" s="1056"/>
      <c r="QH141" s="1056"/>
      <c r="QI141" s="1056"/>
      <c r="QJ141" s="1056"/>
      <c r="QK141" s="1056"/>
      <c r="QL141" s="1056"/>
      <c r="QM141" s="1056"/>
      <c r="QN141" s="1056"/>
      <c r="QO141" s="1056"/>
      <c r="QP141" s="1056"/>
      <c r="QQ141" s="1056"/>
      <c r="QR141" s="1056"/>
      <c r="QS141" s="1056"/>
      <c r="QT141" s="1056"/>
      <c r="QU141" s="1056"/>
      <c r="QV141" s="1056"/>
      <c r="QW141" s="1056"/>
      <c r="QX141" s="1056"/>
      <c r="QY141" s="1056"/>
      <c r="QZ141" s="1056"/>
      <c r="RA141" s="1056"/>
      <c r="RB141" s="1056"/>
      <c r="RC141" s="1056"/>
      <c r="RD141" s="1056"/>
      <c r="RE141" s="1056"/>
      <c r="RF141" s="1056"/>
      <c r="RG141" s="1056"/>
      <c r="RH141" s="1056"/>
      <c r="RI141" s="1056"/>
      <c r="RJ141" s="1056"/>
      <c r="RK141" s="1056"/>
      <c r="RL141" s="1056"/>
      <c r="RM141" s="1056"/>
      <c r="RN141" s="1056"/>
      <c r="RO141" s="1056"/>
      <c r="RP141" s="1056"/>
      <c r="RQ141" s="1056"/>
      <c r="RR141" s="1056"/>
      <c r="RS141" s="1056"/>
      <c r="RT141" s="1056"/>
      <c r="RU141" s="1056"/>
      <c r="RV141" s="1056"/>
      <c r="RW141" s="1056"/>
      <c r="RX141" s="1056"/>
      <c r="RY141" s="1056"/>
      <c r="RZ141" s="1056"/>
      <c r="SA141" s="1056"/>
      <c r="SB141" s="1056"/>
      <c r="SC141" s="1056"/>
      <c r="SD141" s="1056"/>
      <c r="SE141" s="1056"/>
      <c r="SF141" s="1056"/>
      <c r="SG141" s="1056"/>
      <c r="SH141" s="1056"/>
      <c r="SI141" s="1056"/>
      <c r="SJ141" s="1056"/>
      <c r="SK141" s="1056"/>
      <c r="SL141" s="1056"/>
      <c r="SM141" s="1056"/>
      <c r="SN141" s="1056"/>
      <c r="SO141" s="1056"/>
      <c r="SP141" s="1056"/>
      <c r="SQ141" s="1056"/>
      <c r="SR141" s="1056"/>
      <c r="SS141" s="1056"/>
      <c r="ST141" s="1056"/>
      <c r="SU141" s="1056"/>
      <c r="SV141" s="1056"/>
      <c r="SW141" s="1056"/>
      <c r="SX141" s="1056"/>
      <c r="SY141" s="1056"/>
      <c r="SZ141" s="1056"/>
      <c r="TA141" s="1056"/>
      <c r="TB141" s="1056"/>
      <c r="TC141" s="1056"/>
      <c r="TD141" s="1056"/>
      <c r="TE141" s="1056"/>
      <c r="TF141" s="1056"/>
      <c r="TG141" s="1056"/>
      <c r="TH141" s="1056"/>
      <c r="TI141" s="1056"/>
      <c r="TJ141" s="1056"/>
      <c r="TK141" s="1056"/>
      <c r="TL141" s="1056"/>
      <c r="TM141" s="1056"/>
      <c r="TN141" s="1056"/>
      <c r="TO141" s="1056"/>
      <c r="TP141" s="1056"/>
      <c r="TQ141" s="1056"/>
      <c r="TR141" s="1056"/>
      <c r="TS141" s="1056"/>
      <c r="TT141" s="1056"/>
      <c r="TU141" s="1056"/>
      <c r="TV141" s="1056"/>
      <c r="TW141" s="1056"/>
      <c r="TX141" s="1056"/>
      <c r="TY141" s="1056"/>
      <c r="TZ141" s="1056"/>
      <c r="UA141" s="1056"/>
      <c r="UB141" s="1056"/>
      <c r="UC141" s="1056"/>
      <c r="UD141" s="1056"/>
      <c r="UE141" s="1056"/>
      <c r="UF141" s="1056"/>
      <c r="UG141" s="1056"/>
      <c r="UH141" s="1056"/>
      <c r="UI141" s="1056"/>
      <c r="UJ141" s="1056"/>
      <c r="UK141" s="1056"/>
      <c r="UL141" s="1056"/>
      <c r="UM141" s="1056"/>
      <c r="UN141" s="1056"/>
      <c r="UO141" s="1056"/>
      <c r="UP141" s="1056"/>
      <c r="UQ141" s="1056"/>
      <c r="UR141" s="1056"/>
      <c r="US141" s="1056"/>
      <c r="UT141" s="1056"/>
      <c r="UU141" s="1056"/>
      <c r="UV141" s="1056"/>
      <c r="UW141" s="1056"/>
      <c r="UX141" s="1056"/>
      <c r="UY141" s="1056"/>
      <c r="UZ141" s="1056"/>
      <c r="VA141" s="1056"/>
      <c r="VB141" s="1056"/>
      <c r="VC141" s="1056"/>
      <c r="VD141" s="1056"/>
      <c r="VE141" s="1056"/>
      <c r="VF141" s="1056"/>
      <c r="VG141" s="1056"/>
      <c r="VH141" s="1056"/>
      <c r="VI141" s="1056"/>
      <c r="VJ141" s="1056"/>
      <c r="VK141" s="1056"/>
      <c r="VL141" s="1056"/>
      <c r="VM141" s="1056"/>
      <c r="VN141" s="1056"/>
      <c r="VO141" s="1056"/>
      <c r="VP141" s="1056"/>
      <c r="VQ141" s="1056"/>
      <c r="VR141" s="1056"/>
      <c r="VS141" s="1056"/>
      <c r="VT141" s="1056"/>
      <c r="VU141" s="1056"/>
      <c r="VV141" s="1056"/>
      <c r="VW141" s="1056"/>
      <c r="VX141" s="1056"/>
      <c r="VY141" s="1056"/>
      <c r="VZ141" s="1056"/>
      <c r="WA141" s="1056"/>
      <c r="WB141" s="1056"/>
      <c r="WC141" s="1056"/>
      <c r="WD141" s="1056"/>
      <c r="WE141" s="1056"/>
      <c r="WF141" s="1056"/>
      <c r="WG141" s="1056"/>
      <c r="WH141" s="1056"/>
      <c r="WI141" s="1056"/>
      <c r="WJ141" s="1056"/>
      <c r="WK141" s="1056"/>
      <c r="WL141" s="1056"/>
      <c r="WM141" s="1056"/>
      <c r="WN141" s="1056"/>
      <c r="WO141" s="1056"/>
      <c r="WP141" s="1056"/>
      <c r="WQ141" s="1056"/>
      <c r="WR141" s="1056"/>
      <c r="WS141" s="1056"/>
      <c r="WT141" s="1056"/>
      <c r="WU141" s="1056"/>
      <c r="WV141" s="1056"/>
      <c r="WW141" s="1056"/>
      <c r="WX141" s="1056"/>
      <c r="WY141" s="1056"/>
      <c r="WZ141" s="1056"/>
      <c r="XA141" s="1056"/>
      <c r="XB141" s="1056"/>
      <c r="XC141" s="1056"/>
      <c r="XD141" s="1056"/>
      <c r="XE141" s="1056"/>
      <c r="XF141" s="1056"/>
      <c r="XG141" s="1056"/>
      <c r="XH141" s="1056"/>
      <c r="XI141" s="1056"/>
      <c r="XJ141" s="1056"/>
      <c r="XK141" s="1056"/>
      <c r="XL141" s="1056"/>
      <c r="XM141" s="1056"/>
      <c r="XN141" s="1056"/>
      <c r="XO141" s="1056"/>
      <c r="XP141" s="1056"/>
      <c r="XQ141" s="1056"/>
      <c r="XR141" s="1056"/>
      <c r="XS141" s="1056"/>
      <c r="XT141" s="1056"/>
      <c r="XU141" s="1056"/>
      <c r="XV141" s="1056"/>
      <c r="XW141" s="1056"/>
      <c r="XX141" s="1056"/>
      <c r="XY141" s="1056"/>
      <c r="XZ141" s="1056"/>
      <c r="YA141" s="1056"/>
      <c r="YB141" s="1056"/>
      <c r="YC141" s="1056"/>
      <c r="YD141" s="1056"/>
      <c r="YE141" s="1056"/>
      <c r="YF141" s="1056"/>
      <c r="YG141" s="1056"/>
      <c r="YH141" s="1056"/>
      <c r="YI141" s="1056"/>
      <c r="YJ141" s="1056"/>
      <c r="YK141" s="1056"/>
      <c r="YL141" s="1056"/>
      <c r="YM141" s="1056"/>
      <c r="YN141" s="1056"/>
      <c r="YO141" s="1056"/>
      <c r="YP141" s="1056"/>
      <c r="YQ141" s="1056"/>
      <c r="YR141" s="1056"/>
      <c r="YS141" s="1056"/>
      <c r="YT141" s="1056"/>
      <c r="YU141" s="1056"/>
      <c r="YV141" s="1056"/>
      <c r="YW141" s="1056"/>
      <c r="YX141" s="1056"/>
      <c r="YY141" s="1056"/>
      <c r="YZ141" s="1056"/>
      <c r="ZA141" s="1056"/>
      <c r="ZB141" s="1056"/>
      <c r="ZC141" s="1056"/>
      <c r="ZD141" s="1056"/>
      <c r="ZE141" s="1056"/>
      <c r="ZF141" s="1056"/>
      <c r="ZG141" s="1056"/>
      <c r="ZH141" s="1056"/>
      <c r="ZI141" s="1056"/>
      <c r="ZJ141" s="1056"/>
      <c r="ZK141" s="1056"/>
      <c r="ZL141" s="1056"/>
      <c r="ZM141" s="1056"/>
      <c r="ZN141" s="1056"/>
      <c r="ZO141" s="1056"/>
      <c r="ZP141" s="1056"/>
      <c r="ZQ141" s="1056"/>
      <c r="ZR141" s="1056"/>
      <c r="ZS141" s="1056"/>
      <c r="ZT141" s="1056"/>
      <c r="ZU141" s="1056"/>
      <c r="ZV141" s="1056"/>
      <c r="ZW141" s="1056"/>
      <c r="ZX141" s="1056"/>
      <c r="ZY141" s="1056"/>
      <c r="ZZ141" s="1056"/>
      <c r="AAA141" s="1056"/>
      <c r="AAB141" s="1056"/>
      <c r="AAC141" s="1056"/>
      <c r="AAD141" s="1056"/>
      <c r="AAE141" s="1056"/>
      <c r="AAF141" s="1056"/>
      <c r="AAG141" s="1056"/>
      <c r="AAH141" s="1056"/>
      <c r="AAI141" s="1056"/>
      <c r="AAJ141" s="1056"/>
      <c r="AAK141" s="1056"/>
      <c r="AAL141" s="1056"/>
      <c r="AAM141" s="1056"/>
      <c r="AAN141" s="1056"/>
      <c r="AAO141" s="1056"/>
      <c r="AAP141" s="1056"/>
      <c r="AAQ141" s="1056"/>
      <c r="AAR141" s="1056"/>
      <c r="AAS141" s="1056"/>
      <c r="AAT141" s="1056"/>
      <c r="AAU141" s="1056"/>
      <c r="AAV141" s="1056"/>
      <c r="AAW141" s="1056"/>
      <c r="AAX141" s="1056"/>
      <c r="AAY141" s="1056"/>
      <c r="AAZ141" s="1056"/>
      <c r="ABA141" s="1056"/>
      <c r="ABB141" s="1056"/>
      <c r="ABC141" s="1056"/>
      <c r="ABD141" s="1056"/>
      <c r="ABE141" s="1056"/>
      <c r="ABF141" s="1056"/>
      <c r="ABG141" s="1056"/>
      <c r="ABH141" s="1056"/>
      <c r="ABI141" s="1056"/>
      <c r="ABJ141" s="1056"/>
      <c r="ABK141" s="1056"/>
      <c r="ABL141" s="1056"/>
      <c r="ABM141" s="1056"/>
      <c r="ABN141" s="1056"/>
      <c r="ABO141" s="1056"/>
      <c r="ABP141" s="1056"/>
      <c r="ABQ141" s="1056"/>
      <c r="ABR141" s="1056"/>
      <c r="ABS141" s="1056"/>
      <c r="ABT141" s="1056"/>
      <c r="ABU141" s="1056"/>
      <c r="ABV141" s="1056"/>
      <c r="ABW141" s="1056"/>
      <c r="ABX141" s="1056"/>
      <c r="ABY141" s="1056"/>
      <c r="ABZ141" s="1056"/>
      <c r="ACA141" s="1056"/>
      <c r="ACB141" s="1056"/>
      <c r="ACC141" s="1056"/>
      <c r="ACD141" s="1056"/>
      <c r="ACE141" s="1056"/>
      <c r="ACF141" s="1056"/>
      <c r="ACG141" s="1056"/>
      <c r="ACH141" s="1056"/>
      <c r="ACI141" s="1056"/>
      <c r="ACJ141" s="1056"/>
      <c r="ACK141" s="1056"/>
      <c r="ACL141" s="1056"/>
      <c r="ACM141" s="1056"/>
      <c r="ACN141" s="1056"/>
      <c r="ACO141" s="1056"/>
      <c r="ACP141" s="1056"/>
      <c r="ACQ141" s="1056"/>
      <c r="ACR141" s="1056"/>
      <c r="ACS141" s="1056"/>
      <c r="ACT141" s="1056"/>
      <c r="ACU141" s="1056"/>
      <c r="ACV141" s="1056"/>
      <c r="ACW141" s="1056"/>
      <c r="ACX141" s="1056"/>
      <c r="ACY141" s="1056"/>
      <c r="ACZ141" s="1056"/>
      <c r="ADA141" s="1056"/>
      <c r="ADB141" s="1056"/>
      <c r="ADC141" s="1056"/>
      <c r="ADD141" s="1056"/>
      <c r="ADE141" s="1056"/>
      <c r="ADF141" s="1056"/>
      <c r="ADG141" s="1056"/>
      <c r="ADH141" s="1056"/>
      <c r="ADI141" s="1056"/>
      <c r="ADJ141" s="1056"/>
      <c r="ADK141" s="1056"/>
      <c r="ADL141" s="1056"/>
      <c r="ADM141" s="1056"/>
      <c r="ADN141" s="1056"/>
      <c r="ADO141" s="1056"/>
      <c r="ADP141" s="1056"/>
      <c r="ADQ141" s="1056"/>
      <c r="ADR141" s="1056"/>
      <c r="ADS141" s="1056"/>
      <c r="ADT141" s="1056"/>
      <c r="ADU141" s="1056"/>
      <c r="ADV141" s="1056"/>
      <c r="ADW141" s="1056"/>
      <c r="ADX141" s="1056"/>
      <c r="ADY141" s="1056"/>
      <c r="ADZ141" s="1056"/>
      <c r="AEA141" s="1056"/>
      <c r="AEB141" s="1056"/>
      <c r="AEC141" s="1056"/>
      <c r="AED141" s="1056"/>
      <c r="AEE141" s="1056"/>
      <c r="AEF141" s="1056"/>
      <c r="AEG141" s="1056"/>
      <c r="AEH141" s="1056"/>
      <c r="AEI141" s="1056"/>
      <c r="AEJ141" s="1056"/>
      <c r="AEK141" s="1056"/>
      <c r="AEL141" s="1056"/>
      <c r="AEM141" s="1056"/>
      <c r="AEN141" s="1056"/>
      <c r="AEO141" s="1056"/>
      <c r="AEP141" s="1056"/>
      <c r="AEQ141" s="1056"/>
      <c r="AER141" s="1056"/>
      <c r="AES141" s="1056"/>
      <c r="AET141" s="1056"/>
      <c r="AEU141" s="1056"/>
      <c r="AEV141" s="1056"/>
      <c r="AEW141" s="1056"/>
      <c r="AEX141" s="1056"/>
      <c r="AEY141" s="1056"/>
      <c r="AEZ141" s="1056"/>
      <c r="AFA141" s="1056"/>
      <c r="AFB141" s="1056"/>
      <c r="AFC141" s="1056"/>
      <c r="AFD141" s="1056"/>
      <c r="AFE141" s="1056"/>
      <c r="AFF141" s="1056"/>
      <c r="AFG141" s="1056"/>
      <c r="AFH141" s="1056"/>
      <c r="AFI141" s="1056"/>
      <c r="AFJ141" s="1056"/>
      <c r="AFK141" s="1056"/>
      <c r="AFL141" s="1056"/>
      <c r="AFM141" s="1056"/>
      <c r="AFN141" s="1056"/>
      <c r="AFO141" s="1056"/>
      <c r="AFP141" s="1056"/>
      <c r="AFQ141" s="1056"/>
      <c r="AFR141" s="1056"/>
      <c r="AFS141" s="1056"/>
      <c r="AFT141" s="1056"/>
      <c r="AFU141" s="1056"/>
      <c r="AFV141" s="1056"/>
      <c r="AFW141" s="1056"/>
      <c r="AFX141" s="1056"/>
      <c r="AFY141" s="1056"/>
      <c r="AFZ141" s="1056"/>
      <c r="AGA141" s="1056"/>
      <c r="AGB141" s="1056"/>
      <c r="AGC141" s="1056"/>
      <c r="AGD141" s="1056"/>
      <c r="AGE141" s="1056"/>
      <c r="AGF141" s="1056"/>
      <c r="AGG141" s="1056"/>
      <c r="AGH141" s="1056"/>
      <c r="AGI141" s="1056"/>
      <c r="AGJ141" s="1056"/>
      <c r="AGK141" s="1056"/>
      <c r="AGL141" s="1056"/>
      <c r="AGM141" s="1056"/>
      <c r="AGN141" s="1056"/>
      <c r="AGO141" s="1056"/>
      <c r="AGP141" s="1056"/>
      <c r="AGQ141" s="1056"/>
      <c r="AGR141" s="1056"/>
      <c r="AGS141" s="1056"/>
      <c r="AGT141" s="1056"/>
      <c r="AGU141" s="1056"/>
      <c r="AGV141" s="1056"/>
      <c r="AGW141" s="1056"/>
      <c r="AGX141" s="1056"/>
      <c r="AGY141" s="1056"/>
      <c r="AGZ141" s="1056"/>
      <c r="AHA141" s="1056"/>
      <c r="AHB141" s="1056"/>
      <c r="AHC141" s="1056"/>
      <c r="AHD141" s="1056"/>
      <c r="AHE141" s="1056"/>
      <c r="AHF141" s="1056"/>
      <c r="AHG141" s="1056"/>
      <c r="AHH141" s="1056"/>
      <c r="AHI141" s="1056"/>
      <c r="AHJ141" s="1056"/>
      <c r="AHK141" s="1056"/>
      <c r="AHL141" s="1056"/>
      <c r="AHM141" s="1056"/>
      <c r="AHN141" s="1056"/>
      <c r="AHO141" s="1056"/>
      <c r="AHP141" s="1056"/>
      <c r="AHQ141" s="1056"/>
      <c r="AHR141" s="1056"/>
      <c r="AHS141" s="1056"/>
      <c r="AHT141" s="1056"/>
      <c r="AHU141" s="1056"/>
      <c r="AHV141" s="1056"/>
      <c r="AHW141" s="1056"/>
      <c r="AHX141" s="1056"/>
      <c r="AHY141" s="1056"/>
      <c r="AHZ141" s="1056"/>
      <c r="AIA141" s="1056"/>
      <c r="AIB141" s="1056"/>
      <c r="AIC141" s="1056"/>
      <c r="AID141" s="1056"/>
      <c r="AIE141" s="1056"/>
      <c r="AIF141" s="1056"/>
      <c r="AIG141" s="1056"/>
      <c r="AIH141" s="1056"/>
      <c r="AII141" s="1056"/>
      <c r="AIJ141" s="1056"/>
      <c r="AIK141" s="1056"/>
      <c r="AIL141" s="1056"/>
      <c r="AIM141" s="1056"/>
      <c r="AIN141" s="1056"/>
      <c r="AIO141" s="1056"/>
      <c r="AIP141" s="1056"/>
      <c r="AIQ141" s="1056"/>
      <c r="AIR141" s="1056"/>
      <c r="AIS141" s="1056"/>
      <c r="AIT141" s="1056"/>
      <c r="AIU141" s="1056"/>
      <c r="AIV141" s="1056"/>
      <c r="AIW141" s="1056"/>
      <c r="AIX141" s="1056"/>
      <c r="AIY141" s="1056"/>
      <c r="AIZ141" s="1056"/>
      <c r="AJA141" s="1056"/>
      <c r="AJB141" s="1056"/>
      <c r="AJC141" s="1056"/>
      <c r="AJD141" s="1056"/>
      <c r="AJE141" s="1056"/>
      <c r="AJF141" s="1056"/>
      <c r="AJG141" s="1056"/>
      <c r="AJH141" s="1056"/>
      <c r="AJI141" s="1056"/>
      <c r="AJJ141" s="1056"/>
      <c r="AJK141" s="1056"/>
      <c r="AJL141" s="1056"/>
      <c r="AJM141" s="1056"/>
      <c r="AJN141" s="1056"/>
      <c r="AJO141" s="1056"/>
      <c r="AJP141" s="1056"/>
      <c r="AJQ141" s="1056"/>
      <c r="AJR141" s="1056"/>
      <c r="AJS141" s="1056"/>
      <c r="AJT141" s="1056"/>
      <c r="AJU141" s="1056"/>
      <c r="AJV141" s="1056"/>
      <c r="AJW141" s="1056"/>
      <c r="AJX141" s="1056"/>
      <c r="AJY141" s="1056"/>
      <c r="AJZ141" s="1056"/>
      <c r="AKA141" s="1056"/>
      <c r="AKB141" s="1056"/>
      <c r="AKC141" s="1056"/>
      <c r="AKD141" s="1056"/>
      <c r="AKE141" s="1056"/>
      <c r="AKF141" s="1056"/>
      <c r="AKG141" s="1056"/>
      <c r="AKH141" s="1056"/>
      <c r="AKI141" s="1056"/>
      <c r="AKJ141" s="1056"/>
      <c r="AKK141" s="1056"/>
      <c r="AKL141" s="1056"/>
      <c r="AKM141" s="1056"/>
      <c r="AKN141" s="1056"/>
      <c r="AKO141" s="1056"/>
      <c r="AKP141" s="1056"/>
      <c r="AKQ141" s="1056"/>
      <c r="AKR141" s="1056"/>
      <c r="AKS141" s="1056"/>
      <c r="AKT141" s="1056"/>
      <c r="AKU141" s="1056"/>
      <c r="AKV141" s="1056"/>
      <c r="AKW141" s="1056"/>
      <c r="AKX141" s="1056"/>
      <c r="AKY141" s="1056"/>
      <c r="AKZ141" s="1056"/>
      <c r="ALA141" s="1056"/>
      <c r="ALB141" s="1056"/>
      <c r="ALC141" s="1056"/>
      <c r="ALD141" s="1056"/>
      <c r="ALE141" s="1056"/>
      <c r="ALF141" s="1056"/>
      <c r="ALG141" s="1056"/>
      <c r="ALH141" s="1056"/>
      <c r="ALI141" s="1056"/>
      <c r="ALJ141" s="1056"/>
      <c r="ALK141" s="1056"/>
      <c r="ALL141" s="1056"/>
      <c r="ALM141" s="1056"/>
      <c r="ALN141" s="1056"/>
      <c r="ALO141" s="1056"/>
      <c r="ALP141" s="1056"/>
      <c r="ALQ141" s="1056"/>
      <c r="ALR141" s="1056"/>
      <c r="ALS141" s="1056"/>
      <c r="ALT141" s="1056"/>
      <c r="ALU141" s="1056"/>
      <c r="ALV141" s="1056"/>
      <c r="ALW141" s="1056"/>
      <c r="ALX141" s="1056"/>
      <c r="ALY141" s="1056"/>
      <c r="ALZ141" s="1056"/>
      <c r="AMA141" s="1056"/>
      <c r="AMB141" s="1056"/>
      <c r="AMC141" s="1056"/>
      <c r="AMD141" s="1056"/>
      <c r="AME141" s="1056"/>
      <c r="AMF141" s="1056"/>
      <c r="AMG141" s="1056"/>
      <c r="AMH141" s="1056"/>
      <c r="AMI141" s="1056"/>
      <c r="AMJ141" s="1056"/>
      <c r="AMK141" s="1056"/>
      <c r="AML141" s="1056"/>
      <c r="AMM141" s="1056"/>
      <c r="AMN141" s="1056"/>
      <c r="AMO141" s="1056"/>
      <c r="AMP141" s="1056"/>
      <c r="AMQ141" s="1056"/>
      <c r="AMR141" s="1056"/>
      <c r="AMS141" s="1056"/>
      <c r="AMT141" s="1056"/>
      <c r="AMU141" s="1056"/>
      <c r="AMV141" s="1056"/>
      <c r="AMW141" s="1056"/>
      <c r="AMX141" s="1056"/>
      <c r="AMY141" s="1056"/>
      <c r="AMZ141" s="1056"/>
      <c r="ANA141" s="1056"/>
      <c r="ANB141" s="1056"/>
      <c r="ANC141" s="1056"/>
      <c r="AND141" s="1056"/>
      <c r="ANE141" s="1056"/>
      <c r="ANF141" s="1056"/>
      <c r="ANG141" s="1056"/>
      <c r="ANH141" s="1056"/>
      <c r="ANI141" s="1056"/>
      <c r="ANJ141" s="1056"/>
      <c r="ANK141" s="1056"/>
      <c r="ANL141" s="1056"/>
      <c r="ANM141" s="1056"/>
      <c r="ANN141" s="1056"/>
      <c r="ANO141" s="1056"/>
      <c r="ANP141" s="1056"/>
      <c r="ANQ141" s="1056"/>
      <c r="ANR141" s="1056"/>
      <c r="ANS141" s="1056"/>
      <c r="ANT141" s="1056"/>
      <c r="ANU141" s="1056"/>
      <c r="ANV141" s="1056"/>
      <c r="ANW141" s="1056"/>
      <c r="ANX141" s="1056"/>
      <c r="ANY141" s="1056"/>
      <c r="ANZ141" s="1056"/>
      <c r="AOA141" s="1056"/>
      <c r="AOB141" s="1056"/>
      <c r="AOC141" s="1056"/>
      <c r="AOD141" s="1056"/>
      <c r="AOE141" s="1056"/>
      <c r="AOF141" s="1056"/>
      <c r="AOG141" s="1056"/>
      <c r="AOH141" s="1056"/>
      <c r="AOI141" s="1056"/>
      <c r="AOJ141" s="1056"/>
      <c r="AOK141" s="1056"/>
      <c r="AOL141" s="1056"/>
      <c r="AOM141" s="1056"/>
      <c r="AON141" s="1056"/>
      <c r="AOO141" s="1056"/>
      <c r="AOP141" s="1056"/>
      <c r="AOQ141" s="1056"/>
      <c r="AOR141" s="1056"/>
      <c r="AOS141" s="1056"/>
      <c r="AOT141" s="1056"/>
      <c r="AOU141" s="1056"/>
      <c r="AOV141" s="1056"/>
      <c r="AOW141" s="1056"/>
      <c r="AOX141" s="1056"/>
      <c r="AOY141" s="1056"/>
      <c r="AOZ141" s="1056"/>
      <c r="APA141" s="1056"/>
      <c r="APB141" s="1056"/>
      <c r="APC141" s="1056"/>
      <c r="APD141" s="1056"/>
      <c r="APE141" s="1056"/>
      <c r="APF141" s="1056"/>
      <c r="APG141" s="1056"/>
      <c r="APH141" s="1056"/>
      <c r="API141" s="1056"/>
      <c r="APJ141" s="1056"/>
      <c r="APK141" s="1056"/>
      <c r="APL141" s="1056"/>
      <c r="APM141" s="1056"/>
      <c r="APN141" s="1056"/>
      <c r="APO141" s="1056"/>
      <c r="APP141" s="1056"/>
      <c r="APQ141" s="1056"/>
      <c r="APR141" s="1056"/>
      <c r="APS141" s="1056"/>
      <c r="APT141" s="1056"/>
      <c r="APU141" s="1056"/>
      <c r="APV141" s="1056"/>
      <c r="APW141" s="1056"/>
      <c r="APX141" s="1056"/>
      <c r="APY141" s="1056"/>
      <c r="APZ141" s="1056"/>
      <c r="AQA141" s="1056"/>
      <c r="AQB141" s="1056"/>
      <c r="AQC141" s="1056"/>
      <c r="AQD141" s="1056"/>
      <c r="AQE141" s="1056"/>
      <c r="AQF141" s="1056"/>
      <c r="AQG141" s="1056"/>
      <c r="AQH141" s="1056"/>
      <c r="AQI141" s="1056"/>
      <c r="AQJ141" s="1056"/>
      <c r="AQK141" s="1056"/>
      <c r="AQL141" s="1056"/>
      <c r="AQM141" s="1056"/>
      <c r="AQN141" s="1056"/>
      <c r="AQO141" s="1056"/>
      <c r="AQP141" s="1056"/>
      <c r="AQQ141" s="1056"/>
      <c r="AQR141" s="1056"/>
      <c r="AQS141" s="1056"/>
      <c r="AQT141" s="1056"/>
      <c r="AQU141" s="1056"/>
      <c r="AQV141" s="1056"/>
      <c r="AQW141" s="1056"/>
      <c r="AQX141" s="1056"/>
      <c r="AQY141" s="1056"/>
      <c r="AQZ141" s="1056"/>
      <c r="ARA141" s="1056"/>
      <c r="ARB141" s="1056"/>
      <c r="ARC141" s="1056"/>
      <c r="ARD141" s="1056"/>
      <c r="ARE141" s="1056"/>
      <c r="ARF141" s="1056"/>
      <c r="ARG141" s="1056"/>
      <c r="ARH141" s="1056"/>
      <c r="ARI141" s="1056"/>
      <c r="ARJ141" s="1056"/>
      <c r="ARK141" s="1056"/>
      <c r="ARL141" s="1056"/>
      <c r="ARM141" s="1056"/>
      <c r="ARN141" s="1056"/>
      <c r="ARO141" s="1056"/>
      <c r="ARP141" s="1056"/>
      <c r="ARQ141" s="1056"/>
      <c r="ARR141" s="1056"/>
      <c r="ARS141" s="1056"/>
      <c r="ART141" s="1056"/>
      <c r="ARU141" s="1056"/>
      <c r="ARV141" s="1056"/>
      <c r="ARW141" s="1056"/>
      <c r="ARX141" s="1056"/>
      <c r="ARY141" s="1056"/>
      <c r="ARZ141" s="1056"/>
      <c r="ASA141" s="1056"/>
      <c r="ASB141" s="1056"/>
      <c r="ASC141" s="1056"/>
      <c r="ASD141" s="1056"/>
      <c r="ASE141" s="1056"/>
      <c r="ASF141" s="1056"/>
      <c r="ASG141" s="1056"/>
      <c r="ASH141" s="1056"/>
      <c r="ASI141" s="1056"/>
      <c r="ASJ141" s="1056"/>
      <c r="ASK141" s="1056"/>
      <c r="ASL141" s="1056"/>
      <c r="ASM141" s="1056"/>
      <c r="ASN141" s="1056"/>
      <c r="ASO141" s="1056"/>
      <c r="ASP141" s="1056"/>
      <c r="ASQ141" s="1056"/>
      <c r="ASR141" s="1056"/>
      <c r="ASS141" s="1056"/>
      <c r="AST141" s="1056"/>
      <c r="ASU141" s="1056"/>
      <c r="ASV141" s="1056"/>
      <c r="ASW141" s="1056"/>
      <c r="ASX141" s="1056"/>
      <c r="ASY141" s="1056"/>
      <c r="ASZ141" s="1056"/>
      <c r="ATA141" s="1056"/>
      <c r="ATB141" s="1056"/>
      <c r="ATC141" s="1056"/>
      <c r="ATD141" s="1056"/>
      <c r="ATE141" s="1056"/>
      <c r="ATF141" s="1056"/>
      <c r="ATG141" s="1056"/>
      <c r="ATH141" s="1056"/>
      <c r="ATI141" s="1056"/>
      <c r="ATJ141" s="1056"/>
      <c r="ATK141" s="1056"/>
      <c r="ATL141" s="1056"/>
      <c r="ATM141" s="1056"/>
      <c r="ATN141" s="1056"/>
      <c r="ATO141" s="1056"/>
      <c r="ATP141" s="1056"/>
      <c r="ATQ141" s="1056"/>
      <c r="ATR141" s="1056"/>
      <c r="ATS141" s="1056"/>
      <c r="ATT141" s="1056"/>
      <c r="ATU141" s="1056"/>
      <c r="ATV141" s="1056"/>
      <c r="ATW141" s="1056"/>
      <c r="ATX141" s="1056"/>
      <c r="ATY141" s="1056"/>
      <c r="ATZ141" s="1056"/>
      <c r="AUA141" s="1056"/>
      <c r="AUB141" s="1056"/>
      <c r="AUC141" s="1056"/>
      <c r="AUD141" s="1056"/>
      <c r="AUE141" s="1056"/>
      <c r="AUF141" s="1056"/>
      <c r="AUG141" s="1056"/>
      <c r="AUH141" s="1056"/>
      <c r="AUI141" s="1056"/>
      <c r="AUJ141" s="1056"/>
      <c r="AUK141" s="1056"/>
      <c r="AUL141" s="1056"/>
      <c r="AUM141" s="1056"/>
      <c r="AUN141" s="1056"/>
      <c r="AUO141" s="1056"/>
      <c r="AUP141" s="1056"/>
      <c r="AUQ141" s="1056"/>
      <c r="AUR141" s="1056"/>
      <c r="AUS141" s="1056"/>
      <c r="AUT141" s="1056"/>
      <c r="AUU141" s="1056"/>
      <c r="AUV141" s="1056"/>
      <c r="AUW141" s="1056"/>
      <c r="AUX141" s="1056"/>
      <c r="AUY141" s="1056"/>
      <c r="AUZ141" s="1056"/>
      <c r="AVA141" s="1056"/>
      <c r="AVB141" s="1056"/>
      <c r="AVC141" s="1056"/>
      <c r="AVD141" s="1056"/>
      <c r="AVE141" s="1056"/>
      <c r="AVF141" s="1056"/>
      <c r="AVG141" s="1056"/>
      <c r="AVH141" s="1056"/>
      <c r="AVI141" s="1056"/>
      <c r="AVJ141" s="1056"/>
      <c r="AVK141" s="1056"/>
      <c r="AVL141" s="1056"/>
      <c r="AVM141" s="1056"/>
      <c r="AVN141" s="1056"/>
      <c r="AVO141" s="1056"/>
      <c r="AVP141" s="1056"/>
      <c r="AVQ141" s="1056"/>
      <c r="AVR141" s="1056"/>
      <c r="AVS141" s="1056"/>
      <c r="AVT141" s="1056"/>
      <c r="AVU141" s="1056"/>
      <c r="AVV141" s="1056"/>
      <c r="AVW141" s="1056"/>
      <c r="AVX141" s="1056"/>
      <c r="AVY141" s="1056"/>
      <c r="AVZ141" s="1056"/>
      <c r="AWA141" s="1056"/>
      <c r="AWB141" s="1056"/>
      <c r="AWC141" s="1056"/>
      <c r="AWD141" s="1056"/>
      <c r="AWE141" s="1056"/>
      <c r="AWF141" s="1056"/>
      <c r="AWG141" s="1056"/>
      <c r="AWH141" s="1056"/>
      <c r="AWI141" s="1056"/>
      <c r="AWJ141" s="1056"/>
      <c r="AWK141" s="1056"/>
      <c r="AWL141" s="1056"/>
      <c r="AWM141" s="1056"/>
      <c r="AWN141" s="1056"/>
      <c r="AWO141" s="1056"/>
      <c r="AWP141" s="1056"/>
      <c r="AWQ141" s="1056"/>
      <c r="AWR141" s="1056"/>
      <c r="AWS141" s="1056"/>
      <c r="AWT141" s="1056"/>
      <c r="AWU141" s="1056"/>
      <c r="AWV141" s="1056"/>
      <c r="AWW141" s="1056"/>
      <c r="AWX141" s="1056"/>
      <c r="AWY141" s="1056"/>
      <c r="AWZ141" s="1056"/>
      <c r="AXA141" s="1056"/>
      <c r="AXB141" s="1056"/>
      <c r="AXC141" s="1056"/>
      <c r="AXD141" s="1056"/>
      <c r="AXE141" s="1056"/>
      <c r="AXF141" s="1056"/>
      <c r="AXG141" s="1056"/>
      <c r="AXH141" s="1056"/>
      <c r="AXI141" s="1056"/>
      <c r="AXJ141" s="1056"/>
      <c r="AXK141" s="1056"/>
      <c r="AXL141" s="1056"/>
      <c r="AXM141" s="1056"/>
      <c r="AXN141" s="1056"/>
      <c r="AXO141" s="1056"/>
      <c r="AXP141" s="1056"/>
      <c r="AXQ141" s="1056"/>
      <c r="AXR141" s="1056"/>
      <c r="AXS141" s="1056"/>
      <c r="AXT141" s="1056"/>
      <c r="AXU141" s="1056"/>
      <c r="AXV141" s="1056"/>
      <c r="AXW141" s="1056"/>
      <c r="AXX141" s="1056"/>
      <c r="AXY141" s="1056"/>
      <c r="AXZ141" s="1056"/>
      <c r="AYA141" s="1056"/>
      <c r="AYB141" s="1056"/>
      <c r="AYC141" s="1056"/>
      <c r="AYD141" s="1056"/>
      <c r="AYE141" s="1056"/>
      <c r="AYF141" s="1056"/>
      <c r="AYG141" s="1056"/>
      <c r="AYH141" s="1056"/>
      <c r="AYI141" s="1056"/>
      <c r="AYJ141" s="1056"/>
      <c r="AYK141" s="1056"/>
      <c r="AYL141" s="1056"/>
      <c r="AYM141" s="1056"/>
      <c r="AYN141" s="1056"/>
      <c r="AYO141" s="1056"/>
      <c r="AYP141" s="1056"/>
      <c r="AYQ141" s="1056"/>
      <c r="AYR141" s="1056"/>
      <c r="AYS141" s="1056"/>
      <c r="AYT141" s="1056"/>
      <c r="AYU141" s="1056"/>
      <c r="AYV141" s="1056"/>
      <c r="AYW141" s="1056"/>
      <c r="AYX141" s="1056"/>
      <c r="AYY141" s="1056"/>
      <c r="AYZ141" s="1056"/>
      <c r="AZA141" s="1056"/>
      <c r="AZB141" s="1056"/>
      <c r="AZC141" s="1056"/>
      <c r="AZD141" s="1056"/>
      <c r="AZE141" s="1056"/>
      <c r="AZF141" s="1056"/>
      <c r="AZG141" s="1056"/>
      <c r="AZH141" s="1056"/>
      <c r="AZI141" s="1056"/>
      <c r="AZJ141" s="1056"/>
      <c r="AZK141" s="1056"/>
      <c r="AZL141" s="1056"/>
      <c r="AZM141" s="1056"/>
      <c r="AZN141" s="1056"/>
      <c r="AZO141" s="1056"/>
      <c r="AZP141" s="1056"/>
      <c r="AZQ141" s="1056"/>
      <c r="AZR141" s="1056"/>
      <c r="AZS141" s="1056"/>
      <c r="AZT141" s="1056"/>
      <c r="AZU141" s="1056"/>
      <c r="AZV141" s="1056"/>
      <c r="AZW141" s="1056"/>
      <c r="AZX141" s="1056"/>
      <c r="AZY141" s="1056"/>
      <c r="AZZ141" s="1056"/>
      <c r="BAA141" s="1056"/>
      <c r="BAB141" s="1056"/>
      <c r="BAC141" s="1056"/>
      <c r="BAD141" s="1056"/>
      <c r="BAE141" s="1056"/>
      <c r="BAF141" s="1056"/>
      <c r="BAG141" s="1056"/>
      <c r="BAH141" s="1056"/>
      <c r="BAI141" s="1056"/>
      <c r="BAJ141" s="1056"/>
      <c r="BAK141" s="1056"/>
      <c r="BAL141" s="1056"/>
      <c r="BAM141" s="1056"/>
      <c r="BAN141" s="1056"/>
      <c r="BAO141" s="1056"/>
      <c r="BAP141" s="1056"/>
      <c r="BAQ141" s="1056"/>
      <c r="BAR141" s="1056"/>
      <c r="BAS141" s="1056"/>
      <c r="BAT141" s="1056"/>
      <c r="BAU141" s="1056"/>
      <c r="BAV141" s="1056"/>
      <c r="BAW141" s="1056"/>
      <c r="BAX141" s="1056"/>
      <c r="BAY141" s="1056"/>
      <c r="BAZ141" s="1056"/>
      <c r="BBA141" s="1056"/>
      <c r="BBB141" s="1056"/>
      <c r="BBC141" s="1056"/>
      <c r="BBD141" s="1056"/>
      <c r="BBE141" s="1056"/>
      <c r="BBF141" s="1056"/>
      <c r="BBG141" s="1056"/>
      <c r="BBH141" s="1056"/>
      <c r="BBI141" s="1056"/>
      <c r="BBJ141" s="1056"/>
      <c r="BBK141" s="1056"/>
      <c r="BBL141" s="1056"/>
      <c r="BBM141" s="1056"/>
      <c r="BBN141" s="1056"/>
      <c r="BBO141" s="1056"/>
      <c r="BBP141" s="1056"/>
      <c r="BBQ141" s="1056"/>
      <c r="BBR141" s="1056"/>
      <c r="BBS141" s="1056"/>
      <c r="BBT141" s="1056"/>
      <c r="BBU141" s="1056"/>
      <c r="BBV141" s="1056"/>
      <c r="BBW141" s="1056"/>
      <c r="BBX141" s="1056"/>
      <c r="BBY141" s="1056"/>
      <c r="BBZ141" s="1056"/>
      <c r="BCA141" s="1056"/>
      <c r="BCB141" s="1056"/>
      <c r="BCC141" s="1056"/>
      <c r="BCD141" s="1056"/>
      <c r="BCE141" s="1056"/>
      <c r="BCF141" s="1056"/>
      <c r="BCG141" s="1056"/>
      <c r="BCH141" s="1056"/>
      <c r="BCI141" s="1056"/>
      <c r="BCJ141" s="1056"/>
      <c r="BCK141" s="1056"/>
      <c r="BCL141" s="1056"/>
      <c r="BCM141" s="1056"/>
      <c r="BCN141" s="1056"/>
      <c r="BCO141" s="1056"/>
      <c r="BCP141" s="1056"/>
      <c r="BCQ141" s="1056"/>
      <c r="BCR141" s="1056"/>
      <c r="BCS141" s="1056"/>
      <c r="BCT141" s="1056"/>
      <c r="BCU141" s="1056"/>
      <c r="BCV141" s="1056"/>
      <c r="BCW141" s="1056"/>
      <c r="BCX141" s="1056"/>
      <c r="BCY141" s="1056"/>
      <c r="BCZ141" s="1056"/>
      <c r="BDA141" s="1056"/>
      <c r="BDB141" s="1056"/>
      <c r="BDC141" s="1056"/>
      <c r="BDD141" s="1056"/>
      <c r="BDE141" s="1056"/>
      <c r="BDF141" s="1056"/>
      <c r="BDG141" s="1056"/>
      <c r="BDH141" s="1056"/>
      <c r="BDI141" s="1056"/>
      <c r="BDJ141" s="1056"/>
      <c r="BDK141" s="1056"/>
      <c r="BDL141" s="1056"/>
      <c r="BDM141" s="1056"/>
      <c r="BDN141" s="1056"/>
      <c r="BDO141" s="1056"/>
      <c r="BDP141" s="1056"/>
      <c r="BDQ141" s="1056"/>
      <c r="BDR141" s="1056"/>
      <c r="BDS141" s="1056"/>
      <c r="BDT141" s="1056"/>
      <c r="BDU141" s="1056"/>
      <c r="BDV141" s="1056"/>
      <c r="BDW141" s="1056"/>
      <c r="BDX141" s="1056"/>
      <c r="BDY141" s="1056"/>
      <c r="BDZ141" s="1056"/>
      <c r="BEA141" s="1056"/>
      <c r="BEB141" s="1056"/>
      <c r="BEC141" s="1056"/>
      <c r="BED141" s="1056"/>
      <c r="BEE141" s="1056"/>
      <c r="BEF141" s="1056"/>
      <c r="BEG141" s="1056"/>
      <c r="BEH141" s="1056"/>
      <c r="BEI141" s="1056"/>
      <c r="BEJ141" s="1056"/>
      <c r="BEK141" s="1056"/>
      <c r="BEL141" s="1056"/>
      <c r="BEM141" s="1056"/>
      <c r="BEN141" s="1056"/>
      <c r="BEO141" s="1056"/>
      <c r="BEP141" s="1056"/>
      <c r="BEQ141" s="1056"/>
      <c r="BER141" s="1056"/>
      <c r="BES141" s="1056"/>
      <c r="BET141" s="1056"/>
      <c r="BEU141" s="1056"/>
      <c r="BEV141" s="1056"/>
      <c r="BEW141" s="1056"/>
      <c r="BEX141" s="1056"/>
      <c r="BEY141" s="1056"/>
      <c r="BEZ141" s="1056"/>
      <c r="BFA141" s="1056"/>
      <c r="BFB141" s="1056"/>
      <c r="BFC141" s="1056"/>
      <c r="BFD141" s="1056"/>
      <c r="BFE141" s="1056"/>
      <c r="BFF141" s="1056"/>
      <c r="BFG141" s="1056"/>
      <c r="BFH141" s="1056"/>
      <c r="BFI141" s="1056"/>
      <c r="BFJ141" s="1056"/>
      <c r="BFK141" s="1056"/>
      <c r="BFL141" s="1056"/>
      <c r="BFM141" s="1056"/>
      <c r="BFN141" s="1056"/>
      <c r="BFO141" s="1056"/>
      <c r="BFP141" s="1056"/>
      <c r="BFQ141" s="1056"/>
      <c r="BFR141" s="1056"/>
      <c r="BFS141" s="1056"/>
      <c r="BFT141" s="1056"/>
      <c r="BFU141" s="1056"/>
      <c r="BFV141" s="1056"/>
      <c r="BFW141" s="1056"/>
      <c r="BFX141" s="1056"/>
      <c r="BFY141" s="1056"/>
      <c r="BFZ141" s="1056"/>
      <c r="BGA141" s="1056"/>
      <c r="BGB141" s="1056"/>
      <c r="BGC141" s="1056"/>
      <c r="BGD141" s="1056"/>
      <c r="BGE141" s="1056"/>
      <c r="BGF141" s="1056"/>
      <c r="BGG141" s="1056"/>
      <c r="BGH141" s="1056"/>
      <c r="BGI141" s="1056"/>
      <c r="BGJ141" s="1056"/>
      <c r="BGK141" s="1056"/>
      <c r="BGL141" s="1056"/>
      <c r="BGM141" s="1056"/>
      <c r="BGN141" s="1056"/>
      <c r="BGO141" s="1056"/>
      <c r="BGP141" s="1056"/>
      <c r="BGQ141" s="1056"/>
      <c r="BGR141" s="1056"/>
      <c r="BGS141" s="1056"/>
      <c r="BGT141" s="1056"/>
      <c r="BGU141" s="1056"/>
      <c r="BGV141" s="1056"/>
      <c r="BGW141" s="1056"/>
      <c r="BGX141" s="1056"/>
      <c r="BGY141" s="1056"/>
      <c r="BGZ141" s="1056"/>
      <c r="BHA141" s="1056"/>
      <c r="BHB141" s="1056"/>
      <c r="BHC141" s="1056"/>
      <c r="BHD141" s="1056"/>
      <c r="BHE141" s="1056"/>
      <c r="BHF141" s="1056"/>
      <c r="BHG141" s="1056"/>
      <c r="BHH141" s="1056"/>
      <c r="BHI141" s="1056"/>
      <c r="BHJ141" s="1056"/>
      <c r="BHK141" s="1056"/>
      <c r="BHL141" s="1056"/>
      <c r="BHM141" s="1056"/>
      <c r="BHN141" s="1056"/>
      <c r="BHO141" s="1056"/>
      <c r="BHP141" s="1056"/>
      <c r="BHQ141" s="1056"/>
      <c r="BHR141" s="1056"/>
      <c r="BHS141" s="1056"/>
      <c r="BHT141" s="1056"/>
      <c r="BHU141" s="1056"/>
      <c r="BHV141" s="1056"/>
      <c r="BHW141" s="1056"/>
      <c r="BHX141" s="1056"/>
      <c r="BHY141" s="1056"/>
      <c r="BHZ141" s="1056"/>
      <c r="BIA141" s="1056"/>
      <c r="BIB141" s="1056"/>
      <c r="BIC141" s="1056"/>
      <c r="BID141" s="1056"/>
      <c r="BIE141" s="1056"/>
      <c r="BIF141" s="1056"/>
      <c r="BIG141" s="1056"/>
      <c r="BIH141" s="1056"/>
      <c r="BII141" s="1056"/>
      <c r="BIJ141" s="1056"/>
      <c r="BIK141" s="1056"/>
      <c r="BIL141" s="1056"/>
      <c r="BIM141" s="1056"/>
      <c r="BIN141" s="1056"/>
      <c r="BIO141" s="1056"/>
      <c r="BIP141" s="1056"/>
      <c r="BIQ141" s="1056"/>
      <c r="BIR141" s="1056"/>
      <c r="BIS141" s="1056"/>
      <c r="BIT141" s="1056"/>
      <c r="BIU141" s="1056"/>
      <c r="BIV141" s="1056"/>
      <c r="BIW141" s="1056"/>
      <c r="BIX141" s="1056"/>
      <c r="BIY141" s="1056"/>
      <c r="BIZ141" s="1056"/>
      <c r="BJA141" s="1056"/>
      <c r="BJB141" s="1056"/>
      <c r="BJC141" s="1056"/>
      <c r="BJD141" s="1056"/>
      <c r="BJE141" s="1056"/>
      <c r="BJF141" s="1056"/>
      <c r="BJG141" s="1056"/>
      <c r="BJH141" s="1056"/>
      <c r="BJI141" s="1056"/>
      <c r="BJJ141" s="1056"/>
      <c r="BJK141" s="1056"/>
      <c r="BJL141" s="1056"/>
      <c r="BJM141" s="1056"/>
      <c r="BJN141" s="1056"/>
      <c r="BJO141" s="1056"/>
      <c r="BJP141" s="1056"/>
      <c r="BJQ141" s="1056"/>
      <c r="BJR141" s="1056"/>
      <c r="BJS141" s="1056"/>
      <c r="BJT141" s="1056"/>
      <c r="BJU141" s="1056"/>
      <c r="BJV141" s="1056"/>
      <c r="BJW141" s="1056"/>
      <c r="BJX141" s="1056"/>
      <c r="BJY141" s="1056"/>
      <c r="BJZ141" s="1056"/>
      <c r="BKA141" s="1056"/>
      <c r="BKB141" s="1056"/>
      <c r="BKC141" s="1056"/>
      <c r="BKD141" s="1056"/>
      <c r="BKE141" s="1056"/>
      <c r="BKF141" s="1056"/>
      <c r="BKG141" s="1056"/>
      <c r="BKH141" s="1056"/>
      <c r="BKI141" s="1056"/>
      <c r="BKJ141" s="1056"/>
      <c r="BKK141" s="1056"/>
      <c r="BKL141" s="1056"/>
      <c r="BKM141" s="1056"/>
      <c r="BKN141" s="1056"/>
      <c r="BKO141" s="1056"/>
      <c r="BKP141" s="1056"/>
      <c r="BKQ141" s="1056"/>
      <c r="BKR141" s="1056"/>
      <c r="BKS141" s="1056"/>
      <c r="BKT141" s="1056"/>
      <c r="BKU141" s="1056"/>
      <c r="BKV141" s="1056"/>
      <c r="BKW141" s="1056"/>
      <c r="BKX141" s="1056"/>
      <c r="BKY141" s="1056"/>
      <c r="BKZ141" s="1056"/>
      <c r="BLA141" s="1056"/>
      <c r="BLB141" s="1056"/>
      <c r="BLC141" s="1056"/>
      <c r="BLD141" s="1056"/>
      <c r="BLE141" s="1056"/>
      <c r="BLF141" s="1056"/>
      <c r="BLG141" s="1056"/>
      <c r="BLH141" s="1056"/>
      <c r="BLI141" s="1056"/>
      <c r="BLJ141" s="1056"/>
      <c r="BLK141" s="1056"/>
      <c r="BLL141" s="1056"/>
      <c r="BLM141" s="1056"/>
      <c r="BLN141" s="1056"/>
      <c r="BLO141" s="1056"/>
      <c r="BLP141" s="1056"/>
      <c r="BLQ141" s="1056"/>
      <c r="BLR141" s="1056"/>
      <c r="BLS141" s="1056"/>
      <c r="BLT141" s="1056"/>
      <c r="BLU141" s="1056"/>
      <c r="BLV141" s="1056"/>
      <c r="BLW141" s="1056"/>
      <c r="BLX141" s="1056"/>
      <c r="BLY141" s="1056"/>
      <c r="BLZ141" s="1056"/>
      <c r="BMA141" s="1056"/>
      <c r="BMB141" s="1056"/>
      <c r="BMC141" s="1056"/>
      <c r="BMD141" s="1056"/>
      <c r="BME141" s="1056"/>
      <c r="BMF141" s="1056"/>
      <c r="BMG141" s="1056"/>
      <c r="BMH141" s="1056"/>
      <c r="BMI141" s="1056"/>
      <c r="BMJ141" s="1056"/>
      <c r="BMK141" s="1056"/>
      <c r="BML141" s="1056"/>
      <c r="BMM141" s="1056"/>
      <c r="BMN141" s="1056"/>
      <c r="BMO141" s="1056"/>
      <c r="BMP141" s="1056"/>
      <c r="BMQ141" s="1056"/>
      <c r="BMR141" s="1056"/>
      <c r="BMS141" s="1056"/>
      <c r="BMT141" s="1056"/>
      <c r="BMU141" s="1056"/>
      <c r="BMV141" s="1056"/>
      <c r="BMW141" s="1056"/>
      <c r="BMX141" s="1056"/>
      <c r="BMY141" s="1056"/>
      <c r="BMZ141" s="1056"/>
      <c r="BNA141" s="1056"/>
      <c r="BNB141" s="1056"/>
      <c r="BNC141" s="1056"/>
      <c r="BND141" s="1056"/>
      <c r="BNE141" s="1056"/>
      <c r="BNF141" s="1056"/>
      <c r="BNG141" s="1056"/>
      <c r="BNH141" s="1056"/>
      <c r="BNI141" s="1056"/>
      <c r="BNJ141" s="1056"/>
      <c r="BNK141" s="1056"/>
      <c r="BNL141" s="1056"/>
      <c r="BNM141" s="1056"/>
      <c r="BNN141" s="1056"/>
      <c r="BNO141" s="1056"/>
      <c r="BNP141" s="1056"/>
      <c r="BNQ141" s="1056"/>
      <c r="BNR141" s="1056"/>
      <c r="BNS141" s="1056"/>
      <c r="BNT141" s="1056"/>
      <c r="BNU141" s="1056"/>
      <c r="BNV141" s="1056"/>
      <c r="BNW141" s="1056"/>
      <c r="BNX141" s="1056"/>
      <c r="BNY141" s="1056"/>
      <c r="BNZ141" s="1056"/>
      <c r="BOA141" s="1056"/>
      <c r="BOB141" s="1056"/>
      <c r="BOC141" s="1056"/>
      <c r="BOD141" s="1056"/>
      <c r="BOE141" s="1056"/>
      <c r="BOF141" s="1056"/>
      <c r="BOG141" s="1056"/>
      <c r="BOH141" s="1056"/>
      <c r="BOI141" s="1056"/>
      <c r="BOJ141" s="1056"/>
      <c r="BOK141" s="1056"/>
      <c r="BOL141" s="1056"/>
      <c r="BOM141" s="1056"/>
      <c r="BON141" s="1056"/>
      <c r="BOO141" s="1056"/>
      <c r="BOP141" s="1056"/>
      <c r="BOQ141" s="1056"/>
      <c r="BOR141" s="1056"/>
      <c r="BOS141" s="1056"/>
      <c r="BOT141" s="1056"/>
      <c r="BOU141" s="1056"/>
      <c r="BOV141" s="1056"/>
      <c r="BOW141" s="1056"/>
      <c r="BOX141" s="1056"/>
      <c r="BOY141" s="1056"/>
      <c r="BOZ141" s="1056"/>
      <c r="BPA141" s="1056"/>
      <c r="BPB141" s="1056"/>
      <c r="BPC141" s="1056"/>
      <c r="BPD141" s="1056"/>
      <c r="BPE141" s="1056"/>
      <c r="BPF141" s="1056"/>
      <c r="BPG141" s="1056"/>
      <c r="BPH141" s="1056"/>
      <c r="BPI141" s="1056"/>
      <c r="BPJ141" s="1056"/>
      <c r="BPK141" s="1056"/>
      <c r="BPL141" s="1056"/>
      <c r="BPM141" s="1056"/>
      <c r="BPN141" s="1056"/>
      <c r="BPO141" s="1056"/>
      <c r="BPP141" s="1056"/>
      <c r="BPQ141" s="1056"/>
      <c r="BPR141" s="1056"/>
      <c r="BPS141" s="1056"/>
      <c r="BPT141" s="1056"/>
      <c r="BPU141" s="1056"/>
      <c r="BPV141" s="1056"/>
      <c r="BPW141" s="1056"/>
      <c r="BPX141" s="1056"/>
      <c r="BPY141" s="1056"/>
      <c r="BPZ141" s="1056"/>
      <c r="BQA141" s="1056"/>
      <c r="BQB141" s="1056"/>
      <c r="BQC141" s="1056"/>
      <c r="BQD141" s="1056"/>
      <c r="BQE141" s="1056"/>
      <c r="BQF141" s="1056"/>
      <c r="BQG141" s="1056"/>
      <c r="BQH141" s="1056"/>
      <c r="BQI141" s="1056"/>
      <c r="BQJ141" s="1056"/>
      <c r="BQK141" s="1056"/>
      <c r="BQL141" s="1056"/>
      <c r="BQM141" s="1056"/>
      <c r="BQN141" s="1056"/>
      <c r="BQO141" s="1056"/>
      <c r="BQP141" s="1056"/>
      <c r="BQQ141" s="1056"/>
      <c r="BQR141" s="1056"/>
      <c r="BQS141" s="1056"/>
      <c r="BQT141" s="1056"/>
      <c r="BQU141" s="1056"/>
      <c r="BQV141" s="1056"/>
      <c r="BQW141" s="1056"/>
      <c r="BQX141" s="1056"/>
      <c r="BQY141" s="1056"/>
      <c r="BQZ141" s="1056"/>
      <c r="BRA141" s="1056"/>
      <c r="BRB141" s="1056"/>
      <c r="BRC141" s="1056"/>
      <c r="BRD141" s="1056"/>
      <c r="BRE141" s="1056"/>
      <c r="BRF141" s="1056"/>
      <c r="BRG141" s="1056"/>
      <c r="BRH141" s="1056"/>
      <c r="BRI141" s="1056"/>
      <c r="BRJ141" s="1056"/>
      <c r="BRK141" s="1056"/>
      <c r="BRL141" s="1056"/>
      <c r="BRM141" s="1056"/>
      <c r="BRN141" s="1056"/>
      <c r="BRO141" s="1056"/>
      <c r="BRP141" s="1056"/>
      <c r="BRQ141" s="1056"/>
      <c r="BRR141" s="1056"/>
      <c r="BRS141" s="1056"/>
      <c r="BRT141" s="1056"/>
      <c r="BRU141" s="1056"/>
      <c r="BRV141" s="1056"/>
      <c r="BRW141" s="1056"/>
      <c r="BRX141" s="1056"/>
      <c r="BRY141" s="1056"/>
      <c r="BRZ141" s="1056"/>
      <c r="BSA141" s="1056"/>
      <c r="BSB141" s="1056"/>
      <c r="BSC141" s="1056"/>
      <c r="BSD141" s="1056"/>
      <c r="BSE141" s="1056"/>
      <c r="BSF141" s="1056"/>
      <c r="BSG141" s="1056"/>
      <c r="BSH141" s="1056"/>
      <c r="BSI141" s="1056"/>
      <c r="BSJ141" s="1056"/>
      <c r="BSK141" s="1056"/>
      <c r="BSL141" s="1056"/>
      <c r="BSM141" s="1056"/>
      <c r="BSN141" s="1056"/>
      <c r="BSO141" s="1056"/>
      <c r="BSP141" s="1056"/>
      <c r="BSQ141" s="1056"/>
      <c r="BSR141" s="1056"/>
      <c r="BSS141" s="1056"/>
      <c r="BST141" s="1056"/>
      <c r="BSU141" s="1056"/>
      <c r="BSV141" s="1056"/>
      <c r="BSW141" s="1056"/>
      <c r="BSX141" s="1056"/>
      <c r="BSY141" s="1056"/>
      <c r="BSZ141" s="1056"/>
      <c r="BTA141" s="1056"/>
      <c r="BTB141" s="1056"/>
      <c r="BTC141" s="1056"/>
      <c r="BTD141" s="1056"/>
      <c r="BTE141" s="1056"/>
      <c r="BTF141" s="1056"/>
      <c r="BTG141" s="1056"/>
      <c r="BTH141" s="1056"/>
      <c r="BTI141" s="1056"/>
    </row>
    <row r="142" spans="1:1881" s="1060" customFormat="1" ht="130.5" hidden="1" customHeight="1" x14ac:dyDescent="0.3">
      <c r="A142" s="333">
        <v>635</v>
      </c>
      <c r="B142" s="1093" t="s">
        <v>409</v>
      </c>
      <c r="C142" s="1085" t="s">
        <v>413</v>
      </c>
      <c r="D142" s="1086" t="s">
        <v>1395</v>
      </c>
      <c r="E142" s="1053" t="e">
        <f>HLOOKUP($D$2,'2020 Data(H)'!$C$1:$AI$426,294,FALSE)</f>
        <v>#N/A</v>
      </c>
      <c r="F142" s="287">
        <v>0</v>
      </c>
      <c r="G142" s="738">
        <f>IF(F142&gt;F140,"Please review account numbers 635&gt;633",)</f>
        <v>0</v>
      </c>
      <c r="H142" s="1092"/>
      <c r="I142" s="1092"/>
      <c r="J142" s="1056"/>
      <c r="K142" s="1056"/>
      <c r="L142" s="1056"/>
      <c r="M142" s="1056"/>
      <c r="N142" s="1058"/>
      <c r="O142" s="1056"/>
      <c r="P142" s="1056"/>
      <c r="Q142" s="1056"/>
      <c r="R142" s="1056"/>
      <c r="S142" s="1056"/>
      <c r="T142" s="1056"/>
      <c r="U142" s="1056"/>
      <c r="V142" s="1056"/>
      <c r="W142" s="1056"/>
      <c r="X142" s="1056"/>
      <c r="Y142" s="1056"/>
      <c r="Z142" s="333"/>
      <c r="AA142" s="333"/>
      <c r="AB142" s="333"/>
      <c r="AC142" s="333"/>
      <c r="AD142" s="333"/>
      <c r="AE142" s="333"/>
      <c r="AF142" s="333"/>
      <c r="AG142" s="333"/>
      <c r="AH142" s="333"/>
      <c r="AI142" s="333"/>
      <c r="AJ142" s="333"/>
      <c r="AK142" s="333"/>
      <c r="AL142" s="333"/>
      <c r="AM142" s="333"/>
      <c r="AN142" s="333"/>
      <c r="AO142" s="333"/>
      <c r="AP142" s="333"/>
      <c r="AQ142" s="333"/>
      <c r="AR142" s="333"/>
      <c r="AS142" s="1056"/>
      <c r="AT142" s="1056"/>
      <c r="AU142" s="1056"/>
      <c r="AV142" s="1056"/>
      <c r="AW142" s="1056"/>
      <c r="AX142" s="1056"/>
      <c r="AY142" s="1056"/>
      <c r="AZ142" s="1056"/>
      <c r="BA142" s="1056"/>
      <c r="BB142" s="1056"/>
      <c r="BC142" s="1056"/>
      <c r="BD142" s="1056"/>
      <c r="BE142" s="1056"/>
      <c r="BF142" s="1056"/>
      <c r="BG142" s="1056"/>
      <c r="BH142" s="1056"/>
      <c r="BI142" s="1056"/>
      <c r="BJ142" s="1056"/>
      <c r="BK142" s="1056"/>
      <c r="BL142" s="1056"/>
      <c r="BM142" s="1056"/>
      <c r="BN142" s="1056"/>
      <c r="BO142" s="1056"/>
      <c r="BP142" s="1056"/>
      <c r="BQ142" s="1056"/>
      <c r="BR142" s="1056"/>
      <c r="BS142" s="1056"/>
      <c r="BT142" s="1056"/>
      <c r="BU142" s="1056"/>
      <c r="BV142" s="1056"/>
      <c r="BW142" s="1056"/>
      <c r="BX142" s="1056"/>
      <c r="BY142" s="1056"/>
      <c r="BZ142" s="1056"/>
      <c r="CA142" s="1056"/>
      <c r="CB142" s="1056"/>
      <c r="CC142" s="1056"/>
      <c r="CD142" s="1056"/>
      <c r="CE142" s="1056"/>
      <c r="CF142" s="1056"/>
      <c r="CG142" s="1056"/>
      <c r="CH142" s="1056"/>
      <c r="CI142" s="1056"/>
      <c r="CJ142" s="1056"/>
      <c r="CK142" s="1056"/>
      <c r="CL142" s="1056"/>
      <c r="CM142" s="1056"/>
      <c r="CN142" s="1056"/>
      <c r="CO142" s="1056"/>
      <c r="CP142" s="1056"/>
      <c r="CQ142" s="1056"/>
      <c r="CR142" s="1056"/>
      <c r="CS142" s="1056"/>
      <c r="CT142" s="1056"/>
      <c r="CU142" s="1056"/>
      <c r="CV142" s="1056"/>
      <c r="CW142" s="1056"/>
      <c r="CX142" s="1056"/>
      <c r="CY142" s="1056"/>
      <c r="CZ142" s="1056"/>
      <c r="DA142" s="1056"/>
      <c r="DB142" s="1056"/>
      <c r="DC142" s="1056"/>
      <c r="DD142" s="1056"/>
      <c r="DE142" s="1056"/>
      <c r="DF142" s="1056"/>
      <c r="DG142" s="1056"/>
      <c r="DH142" s="1056"/>
      <c r="DI142" s="1056"/>
      <c r="DJ142" s="1056"/>
      <c r="DK142" s="1056"/>
      <c r="DL142" s="1056"/>
      <c r="DM142" s="1056"/>
      <c r="DN142" s="1056"/>
      <c r="DO142" s="1056"/>
      <c r="DP142" s="1056"/>
      <c r="DQ142" s="1056"/>
      <c r="DR142" s="1056"/>
      <c r="DS142" s="1056"/>
      <c r="DT142" s="1056"/>
      <c r="DU142" s="1056"/>
      <c r="DV142" s="1056"/>
      <c r="DW142" s="1056"/>
      <c r="DX142" s="1056"/>
      <c r="DY142" s="1056"/>
      <c r="DZ142" s="1056"/>
      <c r="EA142" s="1056"/>
      <c r="EB142" s="1056"/>
      <c r="EC142" s="1056"/>
      <c r="ED142" s="1056"/>
      <c r="EE142" s="1056"/>
      <c r="EF142" s="1056"/>
      <c r="EG142" s="1056"/>
      <c r="EH142" s="1056"/>
      <c r="EI142" s="1056"/>
      <c r="EJ142" s="1056"/>
      <c r="EK142" s="1056"/>
      <c r="EL142" s="1056"/>
      <c r="EM142" s="1056"/>
      <c r="EN142" s="1056"/>
      <c r="EO142" s="1056"/>
      <c r="EP142" s="1056"/>
      <c r="EQ142" s="1056"/>
      <c r="ER142" s="1056"/>
      <c r="ES142" s="1056"/>
      <c r="ET142" s="1056"/>
      <c r="EU142" s="1056"/>
      <c r="EV142" s="1056"/>
      <c r="EW142" s="1056"/>
      <c r="EX142" s="1056"/>
      <c r="EY142" s="1056"/>
      <c r="EZ142" s="1056"/>
      <c r="FA142" s="1056"/>
      <c r="FB142" s="1056"/>
      <c r="FC142" s="1056"/>
      <c r="FD142" s="1056"/>
      <c r="FE142" s="1056"/>
      <c r="FF142" s="1056"/>
      <c r="FG142" s="1056"/>
      <c r="FH142" s="1056"/>
      <c r="FI142" s="1056"/>
      <c r="FJ142" s="1056"/>
      <c r="FK142" s="1056"/>
      <c r="FL142" s="1056"/>
      <c r="FM142" s="1056"/>
      <c r="FN142" s="1056"/>
      <c r="FO142" s="1056"/>
      <c r="FP142" s="1056"/>
      <c r="FQ142" s="1056"/>
      <c r="FR142" s="1056"/>
      <c r="FS142" s="1056"/>
      <c r="FT142" s="1056"/>
      <c r="FU142" s="1056"/>
      <c r="FV142" s="1056"/>
      <c r="FW142" s="1056"/>
      <c r="FX142" s="1056"/>
      <c r="FY142" s="1056"/>
      <c r="FZ142" s="1056"/>
      <c r="GA142" s="1056"/>
      <c r="GB142" s="1056"/>
      <c r="GC142" s="1056"/>
      <c r="GD142" s="1056"/>
      <c r="GE142" s="1056"/>
      <c r="GF142" s="1056"/>
      <c r="GG142" s="1056"/>
      <c r="GH142" s="1056"/>
      <c r="GI142" s="1056"/>
      <c r="GJ142" s="1056"/>
      <c r="GK142" s="1056"/>
      <c r="GL142" s="1056"/>
      <c r="GM142" s="1056"/>
      <c r="GN142" s="1056"/>
      <c r="GO142" s="1056"/>
      <c r="GP142" s="1056"/>
      <c r="GQ142" s="1056"/>
      <c r="GR142" s="1056"/>
      <c r="GS142" s="1056"/>
      <c r="GT142" s="1056"/>
      <c r="GU142" s="1056"/>
      <c r="GV142" s="1056"/>
      <c r="GW142" s="1056"/>
      <c r="GX142" s="1056"/>
      <c r="GY142" s="1056"/>
      <c r="GZ142" s="1056"/>
      <c r="HA142" s="1056"/>
      <c r="HB142" s="1056"/>
      <c r="HC142" s="1056"/>
      <c r="HD142" s="1056"/>
      <c r="HE142" s="1056"/>
      <c r="HF142" s="1056"/>
      <c r="HG142" s="1056"/>
      <c r="HH142" s="1056"/>
      <c r="HI142" s="1056"/>
      <c r="HJ142" s="1056"/>
      <c r="HK142" s="1056"/>
      <c r="HL142" s="1056"/>
      <c r="HM142" s="1056"/>
      <c r="HN142" s="1056"/>
      <c r="HO142" s="1056"/>
      <c r="HP142" s="1056"/>
      <c r="HQ142" s="1056"/>
      <c r="HR142" s="1056"/>
      <c r="HS142" s="1056"/>
      <c r="HT142" s="1056"/>
      <c r="HU142" s="1056"/>
      <c r="HV142" s="1056"/>
      <c r="HW142" s="1056"/>
      <c r="HX142" s="1056"/>
      <c r="HY142" s="1056"/>
      <c r="HZ142" s="1056"/>
      <c r="IA142" s="1056"/>
      <c r="IB142" s="1056"/>
      <c r="IC142" s="1056"/>
      <c r="ID142" s="1056"/>
      <c r="IE142" s="1056"/>
      <c r="IF142" s="1056"/>
      <c r="IG142" s="1056"/>
      <c r="IH142" s="1056"/>
      <c r="II142" s="1056"/>
      <c r="IJ142" s="1056"/>
      <c r="IK142" s="1056"/>
      <c r="IL142" s="1056"/>
      <c r="IM142" s="1056"/>
      <c r="IN142" s="1056"/>
      <c r="IO142" s="1056"/>
      <c r="IP142" s="1056"/>
      <c r="IQ142" s="1056"/>
      <c r="IR142" s="1056"/>
      <c r="IS142" s="1056"/>
      <c r="IT142" s="1056"/>
      <c r="IU142" s="1056"/>
      <c r="IV142" s="1056"/>
      <c r="IW142" s="1056"/>
      <c r="IX142" s="1056"/>
      <c r="IY142" s="1056"/>
      <c r="IZ142" s="1056"/>
      <c r="JA142" s="1056"/>
      <c r="JB142" s="1056"/>
      <c r="JC142" s="1056"/>
      <c r="JD142" s="1056"/>
      <c r="JE142" s="1056"/>
      <c r="JF142" s="1056"/>
      <c r="JG142" s="1056"/>
      <c r="JH142" s="1056"/>
      <c r="JI142" s="1056"/>
      <c r="JJ142" s="1056"/>
      <c r="JK142" s="1056"/>
      <c r="JL142" s="1056"/>
      <c r="JM142" s="1056"/>
      <c r="JN142" s="1056"/>
      <c r="JO142" s="1056"/>
      <c r="JP142" s="1056"/>
      <c r="JQ142" s="1056"/>
      <c r="JR142" s="1056"/>
      <c r="JS142" s="1056"/>
      <c r="JT142" s="1056"/>
      <c r="JU142" s="1056"/>
      <c r="JV142" s="1056"/>
      <c r="JW142" s="1056"/>
      <c r="JX142" s="1056"/>
      <c r="JY142" s="1056"/>
      <c r="JZ142" s="1056"/>
      <c r="KA142" s="1056"/>
      <c r="KB142" s="1056"/>
      <c r="KC142" s="1056"/>
      <c r="KD142" s="1056"/>
      <c r="KE142" s="1056"/>
      <c r="KF142" s="1056"/>
      <c r="KG142" s="1056"/>
      <c r="KH142" s="1056"/>
      <c r="KI142" s="1056"/>
      <c r="KJ142" s="1056"/>
      <c r="KK142" s="1056"/>
      <c r="KL142" s="1056"/>
      <c r="KM142" s="1056"/>
      <c r="KN142" s="1056"/>
      <c r="KO142" s="1056"/>
      <c r="KP142" s="1056"/>
      <c r="KQ142" s="1056"/>
      <c r="KR142" s="1056"/>
      <c r="KS142" s="1056"/>
      <c r="KT142" s="1056"/>
      <c r="KU142" s="1056"/>
      <c r="KV142" s="1056"/>
      <c r="KW142" s="1056"/>
      <c r="KX142" s="1056"/>
      <c r="KY142" s="1056"/>
      <c r="KZ142" s="1056"/>
      <c r="LA142" s="1056"/>
      <c r="LB142" s="1056"/>
      <c r="LC142" s="1056"/>
      <c r="LD142" s="1056"/>
      <c r="LE142" s="1056"/>
      <c r="LF142" s="1056"/>
      <c r="LG142" s="1056"/>
      <c r="LH142" s="1056"/>
      <c r="LI142" s="1056"/>
      <c r="LJ142" s="1056"/>
      <c r="LK142" s="1056"/>
      <c r="LL142" s="1056"/>
      <c r="LM142" s="1056"/>
      <c r="LN142" s="1056"/>
      <c r="LO142" s="1056"/>
      <c r="LP142" s="1056"/>
      <c r="LQ142" s="1056"/>
      <c r="LR142" s="1056"/>
      <c r="LS142" s="1056"/>
      <c r="LT142" s="1056"/>
      <c r="LU142" s="1056"/>
      <c r="LV142" s="1056"/>
      <c r="LW142" s="1056"/>
      <c r="LX142" s="1056"/>
      <c r="LY142" s="1056"/>
      <c r="LZ142" s="1056"/>
      <c r="MA142" s="1056"/>
      <c r="MB142" s="1056"/>
      <c r="MC142" s="1056"/>
      <c r="MD142" s="1056"/>
      <c r="ME142" s="1056"/>
      <c r="MF142" s="1056"/>
      <c r="MG142" s="1056"/>
      <c r="MH142" s="1056"/>
      <c r="MI142" s="1056"/>
      <c r="MJ142" s="1056"/>
      <c r="MK142" s="1056"/>
      <c r="ML142" s="1056"/>
      <c r="MM142" s="1056"/>
      <c r="MN142" s="1056"/>
      <c r="MO142" s="1056"/>
      <c r="MP142" s="1056"/>
      <c r="MQ142" s="1056"/>
      <c r="MR142" s="1056"/>
      <c r="MS142" s="1056"/>
      <c r="MT142" s="1056"/>
      <c r="MU142" s="1056"/>
      <c r="MV142" s="1056"/>
      <c r="MW142" s="1056"/>
      <c r="MX142" s="1056"/>
      <c r="MY142" s="1056"/>
      <c r="MZ142" s="1056"/>
      <c r="NA142" s="1056"/>
      <c r="NB142" s="1056"/>
      <c r="NC142" s="1056"/>
      <c r="ND142" s="1056"/>
      <c r="NE142" s="1056"/>
      <c r="NF142" s="1056"/>
      <c r="NG142" s="1056"/>
      <c r="NH142" s="1056"/>
      <c r="NI142" s="1056"/>
      <c r="NJ142" s="1056"/>
      <c r="NK142" s="1056"/>
      <c r="NL142" s="1056"/>
      <c r="NM142" s="1056"/>
      <c r="NN142" s="1056"/>
      <c r="NO142" s="1056"/>
      <c r="NP142" s="1056"/>
      <c r="NQ142" s="1056"/>
      <c r="NR142" s="1056"/>
      <c r="NS142" s="1056"/>
      <c r="NT142" s="1056"/>
      <c r="NU142" s="1056"/>
      <c r="NV142" s="1056"/>
      <c r="NW142" s="1056"/>
      <c r="NX142" s="1056"/>
      <c r="NY142" s="1056"/>
      <c r="NZ142" s="1056"/>
      <c r="OA142" s="1056"/>
      <c r="OB142" s="1056"/>
      <c r="OC142" s="1056"/>
      <c r="OD142" s="1056"/>
      <c r="OE142" s="1056"/>
      <c r="OF142" s="1056"/>
      <c r="OG142" s="1056"/>
      <c r="OH142" s="1056"/>
      <c r="OI142" s="1056"/>
      <c r="OJ142" s="1056"/>
      <c r="OK142" s="1056"/>
      <c r="OL142" s="1056"/>
      <c r="OM142" s="1056"/>
      <c r="ON142" s="1056"/>
      <c r="OO142" s="1056"/>
      <c r="OP142" s="1056"/>
      <c r="OQ142" s="1056"/>
      <c r="OR142" s="1056"/>
      <c r="OS142" s="1056"/>
      <c r="OT142" s="1056"/>
      <c r="OU142" s="1056"/>
      <c r="OV142" s="1056"/>
      <c r="OW142" s="1056"/>
      <c r="OX142" s="1056"/>
      <c r="OY142" s="1056"/>
      <c r="OZ142" s="1056"/>
      <c r="PA142" s="1056"/>
      <c r="PB142" s="1056"/>
      <c r="PC142" s="1056"/>
      <c r="PD142" s="1056"/>
      <c r="PE142" s="1056"/>
      <c r="PF142" s="1056"/>
      <c r="PG142" s="1056"/>
      <c r="PH142" s="1056"/>
      <c r="PI142" s="1056"/>
      <c r="PJ142" s="1056"/>
      <c r="PK142" s="1056"/>
      <c r="PL142" s="1056"/>
      <c r="PM142" s="1056"/>
      <c r="PN142" s="1056"/>
      <c r="PO142" s="1056"/>
      <c r="PP142" s="1056"/>
      <c r="PQ142" s="1056"/>
      <c r="PR142" s="1056"/>
      <c r="PS142" s="1056"/>
      <c r="PT142" s="1056"/>
      <c r="PU142" s="1056"/>
      <c r="PV142" s="1056"/>
      <c r="PW142" s="1056"/>
      <c r="PX142" s="1056"/>
      <c r="PY142" s="1056"/>
      <c r="PZ142" s="1056"/>
      <c r="QA142" s="1056"/>
      <c r="QB142" s="1056"/>
      <c r="QC142" s="1056"/>
      <c r="QD142" s="1056"/>
      <c r="QE142" s="1056"/>
      <c r="QF142" s="1056"/>
      <c r="QG142" s="1056"/>
      <c r="QH142" s="1056"/>
      <c r="QI142" s="1056"/>
      <c r="QJ142" s="1056"/>
      <c r="QK142" s="1056"/>
      <c r="QL142" s="1056"/>
      <c r="QM142" s="1056"/>
      <c r="QN142" s="1056"/>
      <c r="QO142" s="1056"/>
      <c r="QP142" s="1056"/>
      <c r="QQ142" s="1056"/>
      <c r="QR142" s="1056"/>
      <c r="QS142" s="1056"/>
      <c r="QT142" s="1056"/>
      <c r="QU142" s="1056"/>
      <c r="QV142" s="1056"/>
      <c r="QW142" s="1056"/>
      <c r="QX142" s="1056"/>
      <c r="QY142" s="1056"/>
      <c r="QZ142" s="1056"/>
      <c r="RA142" s="1056"/>
      <c r="RB142" s="1056"/>
      <c r="RC142" s="1056"/>
      <c r="RD142" s="1056"/>
      <c r="RE142" s="1056"/>
      <c r="RF142" s="1056"/>
      <c r="RG142" s="1056"/>
      <c r="RH142" s="1056"/>
      <c r="RI142" s="1056"/>
      <c r="RJ142" s="1056"/>
      <c r="RK142" s="1056"/>
      <c r="RL142" s="1056"/>
      <c r="RM142" s="1056"/>
      <c r="RN142" s="1056"/>
      <c r="RO142" s="1056"/>
      <c r="RP142" s="1056"/>
      <c r="RQ142" s="1056"/>
      <c r="RR142" s="1056"/>
      <c r="RS142" s="1056"/>
      <c r="RT142" s="1056"/>
      <c r="RU142" s="1056"/>
      <c r="RV142" s="1056"/>
      <c r="RW142" s="1056"/>
      <c r="RX142" s="1056"/>
      <c r="RY142" s="1056"/>
      <c r="RZ142" s="1056"/>
      <c r="SA142" s="1056"/>
      <c r="SB142" s="1056"/>
      <c r="SC142" s="1056"/>
      <c r="SD142" s="1056"/>
      <c r="SE142" s="1056"/>
      <c r="SF142" s="1056"/>
      <c r="SG142" s="1056"/>
      <c r="SH142" s="1056"/>
      <c r="SI142" s="1056"/>
      <c r="SJ142" s="1056"/>
      <c r="SK142" s="1056"/>
      <c r="SL142" s="1056"/>
      <c r="SM142" s="1056"/>
      <c r="SN142" s="1056"/>
      <c r="SO142" s="1056"/>
      <c r="SP142" s="1056"/>
      <c r="SQ142" s="1056"/>
      <c r="SR142" s="1056"/>
      <c r="SS142" s="1056"/>
      <c r="ST142" s="1056"/>
      <c r="SU142" s="1056"/>
      <c r="SV142" s="1056"/>
      <c r="SW142" s="1056"/>
      <c r="SX142" s="1056"/>
      <c r="SY142" s="1056"/>
      <c r="SZ142" s="1056"/>
      <c r="TA142" s="1056"/>
      <c r="TB142" s="1056"/>
      <c r="TC142" s="1056"/>
      <c r="TD142" s="1056"/>
      <c r="TE142" s="1056"/>
      <c r="TF142" s="1056"/>
      <c r="TG142" s="1056"/>
      <c r="TH142" s="1056"/>
      <c r="TI142" s="1056"/>
      <c r="TJ142" s="1056"/>
      <c r="TK142" s="1056"/>
      <c r="TL142" s="1056"/>
      <c r="TM142" s="1056"/>
      <c r="TN142" s="1056"/>
      <c r="TO142" s="1056"/>
      <c r="TP142" s="1056"/>
      <c r="TQ142" s="1056"/>
      <c r="TR142" s="1056"/>
      <c r="TS142" s="1056"/>
      <c r="TT142" s="1056"/>
      <c r="TU142" s="1056"/>
      <c r="TV142" s="1056"/>
      <c r="TW142" s="1056"/>
      <c r="TX142" s="1056"/>
      <c r="TY142" s="1056"/>
      <c r="TZ142" s="1056"/>
      <c r="UA142" s="1056"/>
      <c r="UB142" s="1056"/>
      <c r="UC142" s="1056"/>
      <c r="UD142" s="1056"/>
      <c r="UE142" s="1056"/>
      <c r="UF142" s="1056"/>
      <c r="UG142" s="1056"/>
      <c r="UH142" s="1056"/>
      <c r="UI142" s="1056"/>
      <c r="UJ142" s="1056"/>
      <c r="UK142" s="1056"/>
      <c r="UL142" s="1056"/>
      <c r="UM142" s="1056"/>
      <c r="UN142" s="1056"/>
      <c r="UO142" s="1056"/>
      <c r="UP142" s="1056"/>
      <c r="UQ142" s="1056"/>
      <c r="UR142" s="1056"/>
      <c r="US142" s="1056"/>
      <c r="UT142" s="1056"/>
      <c r="UU142" s="1056"/>
      <c r="UV142" s="1056"/>
      <c r="UW142" s="1056"/>
      <c r="UX142" s="1056"/>
      <c r="UY142" s="1056"/>
      <c r="UZ142" s="1056"/>
      <c r="VA142" s="1056"/>
      <c r="VB142" s="1056"/>
      <c r="VC142" s="1056"/>
      <c r="VD142" s="1056"/>
      <c r="VE142" s="1056"/>
      <c r="VF142" s="1056"/>
      <c r="VG142" s="1056"/>
      <c r="VH142" s="1056"/>
      <c r="VI142" s="1056"/>
      <c r="VJ142" s="1056"/>
      <c r="VK142" s="1056"/>
      <c r="VL142" s="1056"/>
      <c r="VM142" s="1056"/>
      <c r="VN142" s="1056"/>
      <c r="VO142" s="1056"/>
      <c r="VP142" s="1056"/>
      <c r="VQ142" s="1056"/>
      <c r="VR142" s="1056"/>
      <c r="VS142" s="1056"/>
      <c r="VT142" s="1056"/>
      <c r="VU142" s="1056"/>
      <c r="VV142" s="1056"/>
      <c r="VW142" s="1056"/>
      <c r="VX142" s="1056"/>
      <c r="VY142" s="1056"/>
      <c r="VZ142" s="1056"/>
      <c r="WA142" s="1056"/>
      <c r="WB142" s="1056"/>
      <c r="WC142" s="1056"/>
      <c r="WD142" s="1056"/>
      <c r="WE142" s="1056"/>
      <c r="WF142" s="1056"/>
      <c r="WG142" s="1056"/>
      <c r="WH142" s="1056"/>
      <c r="WI142" s="1056"/>
      <c r="WJ142" s="1056"/>
      <c r="WK142" s="1056"/>
      <c r="WL142" s="1056"/>
      <c r="WM142" s="1056"/>
      <c r="WN142" s="1056"/>
      <c r="WO142" s="1056"/>
      <c r="WP142" s="1056"/>
      <c r="WQ142" s="1056"/>
      <c r="WR142" s="1056"/>
      <c r="WS142" s="1056"/>
      <c r="WT142" s="1056"/>
      <c r="WU142" s="1056"/>
      <c r="WV142" s="1056"/>
      <c r="WW142" s="1056"/>
      <c r="WX142" s="1056"/>
      <c r="WY142" s="1056"/>
      <c r="WZ142" s="1056"/>
      <c r="XA142" s="1056"/>
      <c r="XB142" s="1056"/>
      <c r="XC142" s="1056"/>
      <c r="XD142" s="1056"/>
      <c r="XE142" s="1056"/>
      <c r="XF142" s="1056"/>
      <c r="XG142" s="1056"/>
      <c r="XH142" s="1056"/>
      <c r="XI142" s="1056"/>
      <c r="XJ142" s="1056"/>
      <c r="XK142" s="1056"/>
      <c r="XL142" s="1056"/>
      <c r="XM142" s="1056"/>
      <c r="XN142" s="1056"/>
      <c r="XO142" s="1056"/>
      <c r="XP142" s="1056"/>
      <c r="XQ142" s="1056"/>
      <c r="XR142" s="1056"/>
      <c r="XS142" s="1056"/>
      <c r="XT142" s="1056"/>
      <c r="XU142" s="1056"/>
      <c r="XV142" s="1056"/>
      <c r="XW142" s="1056"/>
      <c r="XX142" s="1056"/>
      <c r="XY142" s="1056"/>
      <c r="XZ142" s="1056"/>
      <c r="YA142" s="1056"/>
      <c r="YB142" s="1056"/>
      <c r="YC142" s="1056"/>
      <c r="YD142" s="1056"/>
      <c r="YE142" s="1056"/>
      <c r="YF142" s="1056"/>
      <c r="YG142" s="1056"/>
      <c r="YH142" s="1056"/>
      <c r="YI142" s="1056"/>
      <c r="YJ142" s="1056"/>
      <c r="YK142" s="1056"/>
      <c r="YL142" s="1056"/>
      <c r="YM142" s="1056"/>
      <c r="YN142" s="1056"/>
      <c r="YO142" s="1056"/>
      <c r="YP142" s="1056"/>
      <c r="YQ142" s="1056"/>
      <c r="YR142" s="1056"/>
      <c r="YS142" s="1056"/>
      <c r="YT142" s="1056"/>
      <c r="YU142" s="1056"/>
      <c r="YV142" s="1056"/>
      <c r="YW142" s="1056"/>
      <c r="YX142" s="1056"/>
      <c r="YY142" s="1056"/>
      <c r="YZ142" s="1056"/>
      <c r="ZA142" s="1056"/>
      <c r="ZB142" s="1056"/>
      <c r="ZC142" s="1056"/>
      <c r="ZD142" s="1056"/>
      <c r="ZE142" s="1056"/>
      <c r="ZF142" s="1056"/>
      <c r="ZG142" s="1056"/>
      <c r="ZH142" s="1056"/>
      <c r="ZI142" s="1056"/>
      <c r="ZJ142" s="1056"/>
      <c r="ZK142" s="1056"/>
      <c r="ZL142" s="1056"/>
      <c r="ZM142" s="1056"/>
      <c r="ZN142" s="1056"/>
      <c r="ZO142" s="1056"/>
      <c r="ZP142" s="1056"/>
      <c r="ZQ142" s="1056"/>
      <c r="ZR142" s="1056"/>
      <c r="ZS142" s="1056"/>
      <c r="ZT142" s="1056"/>
      <c r="ZU142" s="1056"/>
      <c r="ZV142" s="1056"/>
      <c r="ZW142" s="1056"/>
      <c r="ZX142" s="1056"/>
      <c r="ZY142" s="1056"/>
      <c r="ZZ142" s="1056"/>
      <c r="AAA142" s="1056"/>
      <c r="AAB142" s="1056"/>
      <c r="AAC142" s="1056"/>
      <c r="AAD142" s="1056"/>
      <c r="AAE142" s="1056"/>
      <c r="AAF142" s="1056"/>
      <c r="AAG142" s="1056"/>
      <c r="AAH142" s="1056"/>
      <c r="AAI142" s="1056"/>
      <c r="AAJ142" s="1056"/>
      <c r="AAK142" s="1056"/>
      <c r="AAL142" s="1056"/>
      <c r="AAM142" s="1056"/>
      <c r="AAN142" s="1056"/>
      <c r="AAO142" s="1056"/>
      <c r="AAP142" s="1056"/>
      <c r="AAQ142" s="1056"/>
      <c r="AAR142" s="1056"/>
      <c r="AAS142" s="1056"/>
      <c r="AAT142" s="1056"/>
      <c r="AAU142" s="1056"/>
      <c r="AAV142" s="1056"/>
      <c r="AAW142" s="1056"/>
      <c r="AAX142" s="1056"/>
      <c r="AAY142" s="1056"/>
      <c r="AAZ142" s="1056"/>
      <c r="ABA142" s="1056"/>
      <c r="ABB142" s="1056"/>
      <c r="ABC142" s="1056"/>
      <c r="ABD142" s="1056"/>
      <c r="ABE142" s="1056"/>
      <c r="ABF142" s="1056"/>
      <c r="ABG142" s="1056"/>
      <c r="ABH142" s="1056"/>
      <c r="ABI142" s="1056"/>
      <c r="ABJ142" s="1056"/>
      <c r="ABK142" s="1056"/>
      <c r="ABL142" s="1056"/>
      <c r="ABM142" s="1056"/>
      <c r="ABN142" s="1056"/>
      <c r="ABO142" s="1056"/>
      <c r="ABP142" s="1056"/>
      <c r="ABQ142" s="1056"/>
      <c r="ABR142" s="1056"/>
      <c r="ABS142" s="1056"/>
      <c r="ABT142" s="1056"/>
      <c r="ABU142" s="1056"/>
      <c r="ABV142" s="1056"/>
      <c r="ABW142" s="1056"/>
      <c r="ABX142" s="1056"/>
      <c r="ABY142" s="1056"/>
      <c r="ABZ142" s="1056"/>
      <c r="ACA142" s="1056"/>
      <c r="ACB142" s="1056"/>
      <c r="ACC142" s="1056"/>
      <c r="ACD142" s="1056"/>
      <c r="ACE142" s="1056"/>
      <c r="ACF142" s="1056"/>
      <c r="ACG142" s="1056"/>
      <c r="ACH142" s="1056"/>
      <c r="ACI142" s="1056"/>
      <c r="ACJ142" s="1056"/>
      <c r="ACK142" s="1056"/>
      <c r="ACL142" s="1056"/>
      <c r="ACM142" s="1056"/>
      <c r="ACN142" s="1056"/>
      <c r="ACO142" s="1056"/>
      <c r="ACP142" s="1056"/>
      <c r="ACQ142" s="1056"/>
      <c r="ACR142" s="1056"/>
      <c r="ACS142" s="1056"/>
      <c r="ACT142" s="1056"/>
      <c r="ACU142" s="1056"/>
      <c r="ACV142" s="1056"/>
      <c r="ACW142" s="1056"/>
      <c r="ACX142" s="1056"/>
      <c r="ACY142" s="1056"/>
      <c r="ACZ142" s="1056"/>
      <c r="ADA142" s="1056"/>
      <c r="ADB142" s="1056"/>
      <c r="ADC142" s="1056"/>
      <c r="ADD142" s="1056"/>
      <c r="ADE142" s="1056"/>
      <c r="ADF142" s="1056"/>
      <c r="ADG142" s="1056"/>
      <c r="ADH142" s="1056"/>
      <c r="ADI142" s="1056"/>
      <c r="ADJ142" s="1056"/>
      <c r="ADK142" s="1056"/>
      <c r="ADL142" s="1056"/>
      <c r="ADM142" s="1056"/>
      <c r="ADN142" s="1056"/>
      <c r="ADO142" s="1056"/>
      <c r="ADP142" s="1056"/>
      <c r="ADQ142" s="1056"/>
      <c r="ADR142" s="1056"/>
      <c r="ADS142" s="1056"/>
      <c r="ADT142" s="1056"/>
      <c r="ADU142" s="1056"/>
      <c r="ADV142" s="1056"/>
      <c r="ADW142" s="1056"/>
      <c r="ADX142" s="1056"/>
      <c r="ADY142" s="1056"/>
      <c r="ADZ142" s="1056"/>
      <c r="AEA142" s="1056"/>
      <c r="AEB142" s="1056"/>
      <c r="AEC142" s="1056"/>
      <c r="AED142" s="1056"/>
      <c r="AEE142" s="1056"/>
      <c r="AEF142" s="1056"/>
      <c r="AEG142" s="1056"/>
      <c r="AEH142" s="1056"/>
      <c r="AEI142" s="1056"/>
      <c r="AEJ142" s="1056"/>
      <c r="AEK142" s="1056"/>
      <c r="AEL142" s="1056"/>
      <c r="AEM142" s="1056"/>
      <c r="AEN142" s="1056"/>
      <c r="AEO142" s="1056"/>
      <c r="AEP142" s="1056"/>
      <c r="AEQ142" s="1056"/>
      <c r="AER142" s="1056"/>
      <c r="AES142" s="1056"/>
      <c r="AET142" s="1056"/>
      <c r="AEU142" s="1056"/>
      <c r="AEV142" s="1056"/>
      <c r="AEW142" s="1056"/>
      <c r="AEX142" s="1056"/>
      <c r="AEY142" s="1056"/>
      <c r="AEZ142" s="1056"/>
      <c r="AFA142" s="1056"/>
      <c r="AFB142" s="1056"/>
      <c r="AFC142" s="1056"/>
      <c r="AFD142" s="1056"/>
      <c r="AFE142" s="1056"/>
      <c r="AFF142" s="1056"/>
      <c r="AFG142" s="1056"/>
      <c r="AFH142" s="1056"/>
      <c r="AFI142" s="1056"/>
      <c r="AFJ142" s="1056"/>
      <c r="AFK142" s="1056"/>
      <c r="AFL142" s="1056"/>
      <c r="AFM142" s="1056"/>
      <c r="AFN142" s="1056"/>
      <c r="AFO142" s="1056"/>
      <c r="AFP142" s="1056"/>
      <c r="AFQ142" s="1056"/>
      <c r="AFR142" s="1056"/>
      <c r="AFS142" s="1056"/>
      <c r="AFT142" s="1056"/>
      <c r="AFU142" s="1056"/>
      <c r="AFV142" s="1056"/>
      <c r="AFW142" s="1056"/>
      <c r="AFX142" s="1056"/>
      <c r="AFY142" s="1056"/>
      <c r="AFZ142" s="1056"/>
      <c r="AGA142" s="1056"/>
      <c r="AGB142" s="1056"/>
      <c r="AGC142" s="1056"/>
      <c r="AGD142" s="1056"/>
      <c r="AGE142" s="1056"/>
      <c r="AGF142" s="1056"/>
      <c r="AGG142" s="1056"/>
      <c r="AGH142" s="1056"/>
      <c r="AGI142" s="1056"/>
      <c r="AGJ142" s="1056"/>
      <c r="AGK142" s="1056"/>
      <c r="AGL142" s="1056"/>
      <c r="AGM142" s="1056"/>
      <c r="AGN142" s="1056"/>
      <c r="AGO142" s="1056"/>
      <c r="AGP142" s="1056"/>
      <c r="AGQ142" s="1056"/>
      <c r="AGR142" s="1056"/>
      <c r="AGS142" s="1056"/>
      <c r="AGT142" s="1056"/>
      <c r="AGU142" s="1056"/>
      <c r="AGV142" s="1056"/>
      <c r="AGW142" s="1056"/>
      <c r="AGX142" s="1056"/>
      <c r="AGY142" s="1056"/>
      <c r="AGZ142" s="1056"/>
      <c r="AHA142" s="1056"/>
      <c r="AHB142" s="1056"/>
      <c r="AHC142" s="1056"/>
      <c r="AHD142" s="1056"/>
      <c r="AHE142" s="1056"/>
      <c r="AHF142" s="1056"/>
      <c r="AHG142" s="1056"/>
      <c r="AHH142" s="1056"/>
      <c r="AHI142" s="1056"/>
      <c r="AHJ142" s="1056"/>
      <c r="AHK142" s="1056"/>
      <c r="AHL142" s="1056"/>
      <c r="AHM142" s="1056"/>
      <c r="AHN142" s="1056"/>
      <c r="AHO142" s="1056"/>
      <c r="AHP142" s="1056"/>
      <c r="AHQ142" s="1056"/>
      <c r="AHR142" s="1056"/>
      <c r="AHS142" s="1056"/>
      <c r="AHT142" s="1056"/>
      <c r="AHU142" s="1056"/>
      <c r="AHV142" s="1056"/>
      <c r="AHW142" s="1056"/>
      <c r="AHX142" s="1056"/>
      <c r="AHY142" s="1056"/>
      <c r="AHZ142" s="1056"/>
      <c r="AIA142" s="1056"/>
      <c r="AIB142" s="1056"/>
      <c r="AIC142" s="1056"/>
      <c r="AID142" s="1056"/>
      <c r="AIE142" s="1056"/>
      <c r="AIF142" s="1056"/>
      <c r="AIG142" s="1056"/>
      <c r="AIH142" s="1056"/>
      <c r="AII142" s="1056"/>
      <c r="AIJ142" s="1056"/>
      <c r="AIK142" s="1056"/>
      <c r="AIL142" s="1056"/>
      <c r="AIM142" s="1056"/>
      <c r="AIN142" s="1056"/>
      <c r="AIO142" s="1056"/>
      <c r="AIP142" s="1056"/>
      <c r="AIQ142" s="1056"/>
      <c r="AIR142" s="1056"/>
      <c r="AIS142" s="1056"/>
      <c r="AIT142" s="1056"/>
      <c r="AIU142" s="1056"/>
      <c r="AIV142" s="1056"/>
      <c r="AIW142" s="1056"/>
      <c r="AIX142" s="1056"/>
      <c r="AIY142" s="1056"/>
      <c r="AIZ142" s="1056"/>
      <c r="AJA142" s="1056"/>
      <c r="AJB142" s="1056"/>
      <c r="AJC142" s="1056"/>
      <c r="AJD142" s="1056"/>
      <c r="AJE142" s="1056"/>
      <c r="AJF142" s="1056"/>
      <c r="AJG142" s="1056"/>
      <c r="AJH142" s="1056"/>
      <c r="AJI142" s="1056"/>
      <c r="AJJ142" s="1056"/>
      <c r="AJK142" s="1056"/>
      <c r="AJL142" s="1056"/>
      <c r="AJM142" s="1056"/>
      <c r="AJN142" s="1056"/>
      <c r="AJO142" s="1056"/>
      <c r="AJP142" s="1056"/>
      <c r="AJQ142" s="1056"/>
      <c r="AJR142" s="1056"/>
      <c r="AJS142" s="1056"/>
      <c r="AJT142" s="1056"/>
      <c r="AJU142" s="1056"/>
      <c r="AJV142" s="1056"/>
      <c r="AJW142" s="1056"/>
      <c r="AJX142" s="1056"/>
      <c r="AJY142" s="1056"/>
      <c r="AJZ142" s="1056"/>
      <c r="AKA142" s="1056"/>
      <c r="AKB142" s="1056"/>
      <c r="AKC142" s="1056"/>
      <c r="AKD142" s="1056"/>
      <c r="AKE142" s="1056"/>
      <c r="AKF142" s="1056"/>
      <c r="AKG142" s="1056"/>
      <c r="AKH142" s="1056"/>
      <c r="AKI142" s="1056"/>
      <c r="AKJ142" s="1056"/>
      <c r="AKK142" s="1056"/>
      <c r="AKL142" s="1056"/>
      <c r="AKM142" s="1056"/>
      <c r="AKN142" s="1056"/>
      <c r="AKO142" s="1056"/>
      <c r="AKP142" s="1056"/>
      <c r="AKQ142" s="1056"/>
      <c r="AKR142" s="1056"/>
      <c r="AKS142" s="1056"/>
      <c r="AKT142" s="1056"/>
      <c r="AKU142" s="1056"/>
      <c r="AKV142" s="1056"/>
      <c r="AKW142" s="1056"/>
      <c r="AKX142" s="1056"/>
      <c r="AKY142" s="1056"/>
      <c r="AKZ142" s="1056"/>
      <c r="ALA142" s="1056"/>
      <c r="ALB142" s="1056"/>
      <c r="ALC142" s="1056"/>
      <c r="ALD142" s="1056"/>
      <c r="ALE142" s="1056"/>
      <c r="ALF142" s="1056"/>
      <c r="ALG142" s="1056"/>
      <c r="ALH142" s="1056"/>
      <c r="ALI142" s="1056"/>
      <c r="ALJ142" s="1056"/>
      <c r="ALK142" s="1056"/>
      <c r="ALL142" s="1056"/>
      <c r="ALM142" s="1056"/>
      <c r="ALN142" s="1056"/>
      <c r="ALO142" s="1056"/>
      <c r="ALP142" s="1056"/>
      <c r="ALQ142" s="1056"/>
      <c r="ALR142" s="1056"/>
      <c r="ALS142" s="1056"/>
      <c r="ALT142" s="1056"/>
      <c r="ALU142" s="1056"/>
      <c r="ALV142" s="1056"/>
      <c r="ALW142" s="1056"/>
      <c r="ALX142" s="1056"/>
      <c r="ALY142" s="1056"/>
      <c r="ALZ142" s="1056"/>
      <c r="AMA142" s="1056"/>
      <c r="AMB142" s="1056"/>
      <c r="AMC142" s="1056"/>
      <c r="AMD142" s="1056"/>
      <c r="AME142" s="1056"/>
      <c r="AMF142" s="1056"/>
      <c r="AMG142" s="1056"/>
      <c r="AMH142" s="1056"/>
      <c r="AMI142" s="1056"/>
      <c r="AMJ142" s="1056"/>
      <c r="AMK142" s="1056"/>
      <c r="AML142" s="1056"/>
      <c r="AMM142" s="1056"/>
      <c r="AMN142" s="1056"/>
      <c r="AMO142" s="1056"/>
      <c r="AMP142" s="1056"/>
      <c r="AMQ142" s="1056"/>
      <c r="AMR142" s="1056"/>
      <c r="AMS142" s="1056"/>
      <c r="AMT142" s="1056"/>
      <c r="AMU142" s="1056"/>
      <c r="AMV142" s="1056"/>
      <c r="AMW142" s="1056"/>
      <c r="AMX142" s="1056"/>
      <c r="AMY142" s="1056"/>
      <c r="AMZ142" s="1056"/>
      <c r="ANA142" s="1056"/>
      <c r="ANB142" s="1056"/>
      <c r="ANC142" s="1056"/>
      <c r="AND142" s="1056"/>
      <c r="ANE142" s="1056"/>
      <c r="ANF142" s="1056"/>
      <c r="ANG142" s="1056"/>
      <c r="ANH142" s="1056"/>
      <c r="ANI142" s="1056"/>
      <c r="ANJ142" s="1056"/>
      <c r="ANK142" s="1056"/>
      <c r="ANL142" s="1056"/>
      <c r="ANM142" s="1056"/>
      <c r="ANN142" s="1056"/>
      <c r="ANO142" s="1056"/>
      <c r="ANP142" s="1056"/>
      <c r="ANQ142" s="1056"/>
      <c r="ANR142" s="1056"/>
      <c r="ANS142" s="1056"/>
      <c r="ANT142" s="1056"/>
      <c r="ANU142" s="1056"/>
      <c r="ANV142" s="1056"/>
      <c r="ANW142" s="1056"/>
      <c r="ANX142" s="1056"/>
      <c r="ANY142" s="1056"/>
      <c r="ANZ142" s="1056"/>
      <c r="AOA142" s="1056"/>
      <c r="AOB142" s="1056"/>
      <c r="AOC142" s="1056"/>
      <c r="AOD142" s="1056"/>
      <c r="AOE142" s="1056"/>
      <c r="AOF142" s="1056"/>
      <c r="AOG142" s="1056"/>
      <c r="AOH142" s="1056"/>
      <c r="AOI142" s="1056"/>
      <c r="AOJ142" s="1056"/>
      <c r="AOK142" s="1056"/>
      <c r="AOL142" s="1056"/>
      <c r="AOM142" s="1056"/>
      <c r="AON142" s="1056"/>
      <c r="AOO142" s="1056"/>
      <c r="AOP142" s="1056"/>
      <c r="AOQ142" s="1056"/>
      <c r="AOR142" s="1056"/>
      <c r="AOS142" s="1056"/>
      <c r="AOT142" s="1056"/>
      <c r="AOU142" s="1056"/>
      <c r="AOV142" s="1056"/>
      <c r="AOW142" s="1056"/>
      <c r="AOX142" s="1056"/>
      <c r="AOY142" s="1056"/>
      <c r="AOZ142" s="1056"/>
      <c r="APA142" s="1056"/>
      <c r="APB142" s="1056"/>
      <c r="APC142" s="1056"/>
      <c r="APD142" s="1056"/>
      <c r="APE142" s="1056"/>
      <c r="APF142" s="1056"/>
      <c r="APG142" s="1056"/>
      <c r="APH142" s="1056"/>
      <c r="API142" s="1056"/>
      <c r="APJ142" s="1056"/>
      <c r="APK142" s="1056"/>
      <c r="APL142" s="1056"/>
      <c r="APM142" s="1056"/>
      <c r="APN142" s="1056"/>
      <c r="APO142" s="1056"/>
      <c r="APP142" s="1056"/>
      <c r="APQ142" s="1056"/>
      <c r="APR142" s="1056"/>
      <c r="APS142" s="1056"/>
      <c r="APT142" s="1056"/>
      <c r="APU142" s="1056"/>
      <c r="APV142" s="1056"/>
      <c r="APW142" s="1056"/>
      <c r="APX142" s="1056"/>
      <c r="APY142" s="1056"/>
      <c r="APZ142" s="1056"/>
      <c r="AQA142" s="1056"/>
      <c r="AQB142" s="1056"/>
      <c r="AQC142" s="1056"/>
      <c r="AQD142" s="1056"/>
      <c r="AQE142" s="1056"/>
      <c r="AQF142" s="1056"/>
      <c r="AQG142" s="1056"/>
      <c r="AQH142" s="1056"/>
      <c r="AQI142" s="1056"/>
      <c r="AQJ142" s="1056"/>
      <c r="AQK142" s="1056"/>
      <c r="AQL142" s="1056"/>
      <c r="AQM142" s="1056"/>
      <c r="AQN142" s="1056"/>
      <c r="AQO142" s="1056"/>
      <c r="AQP142" s="1056"/>
      <c r="AQQ142" s="1056"/>
      <c r="AQR142" s="1056"/>
      <c r="AQS142" s="1056"/>
      <c r="AQT142" s="1056"/>
      <c r="AQU142" s="1056"/>
      <c r="AQV142" s="1056"/>
      <c r="AQW142" s="1056"/>
      <c r="AQX142" s="1056"/>
      <c r="AQY142" s="1056"/>
      <c r="AQZ142" s="1056"/>
      <c r="ARA142" s="1056"/>
      <c r="ARB142" s="1056"/>
      <c r="ARC142" s="1056"/>
      <c r="ARD142" s="1056"/>
      <c r="ARE142" s="1056"/>
      <c r="ARF142" s="1056"/>
      <c r="ARG142" s="1056"/>
      <c r="ARH142" s="1056"/>
      <c r="ARI142" s="1056"/>
      <c r="ARJ142" s="1056"/>
      <c r="ARK142" s="1056"/>
      <c r="ARL142" s="1056"/>
      <c r="ARM142" s="1056"/>
      <c r="ARN142" s="1056"/>
      <c r="ARO142" s="1056"/>
      <c r="ARP142" s="1056"/>
      <c r="ARQ142" s="1056"/>
      <c r="ARR142" s="1056"/>
      <c r="ARS142" s="1056"/>
      <c r="ART142" s="1056"/>
      <c r="ARU142" s="1056"/>
      <c r="ARV142" s="1056"/>
      <c r="ARW142" s="1056"/>
      <c r="ARX142" s="1056"/>
      <c r="ARY142" s="1056"/>
      <c r="ARZ142" s="1056"/>
      <c r="ASA142" s="1056"/>
      <c r="ASB142" s="1056"/>
      <c r="ASC142" s="1056"/>
      <c r="ASD142" s="1056"/>
      <c r="ASE142" s="1056"/>
      <c r="ASF142" s="1056"/>
      <c r="ASG142" s="1056"/>
      <c r="ASH142" s="1056"/>
      <c r="ASI142" s="1056"/>
      <c r="ASJ142" s="1056"/>
      <c r="ASK142" s="1056"/>
      <c r="ASL142" s="1056"/>
      <c r="ASM142" s="1056"/>
      <c r="ASN142" s="1056"/>
      <c r="ASO142" s="1056"/>
      <c r="ASP142" s="1056"/>
      <c r="ASQ142" s="1056"/>
      <c r="ASR142" s="1056"/>
      <c r="ASS142" s="1056"/>
      <c r="AST142" s="1056"/>
      <c r="ASU142" s="1056"/>
      <c r="ASV142" s="1056"/>
      <c r="ASW142" s="1056"/>
      <c r="ASX142" s="1056"/>
      <c r="ASY142" s="1056"/>
      <c r="ASZ142" s="1056"/>
      <c r="ATA142" s="1056"/>
      <c r="ATB142" s="1056"/>
      <c r="ATC142" s="1056"/>
      <c r="ATD142" s="1056"/>
      <c r="ATE142" s="1056"/>
      <c r="ATF142" s="1056"/>
      <c r="ATG142" s="1056"/>
      <c r="ATH142" s="1056"/>
      <c r="ATI142" s="1056"/>
      <c r="ATJ142" s="1056"/>
      <c r="ATK142" s="1056"/>
      <c r="ATL142" s="1056"/>
      <c r="ATM142" s="1056"/>
      <c r="ATN142" s="1056"/>
      <c r="ATO142" s="1056"/>
      <c r="ATP142" s="1056"/>
      <c r="ATQ142" s="1056"/>
      <c r="ATR142" s="1056"/>
      <c r="ATS142" s="1056"/>
      <c r="ATT142" s="1056"/>
      <c r="ATU142" s="1056"/>
      <c r="ATV142" s="1056"/>
      <c r="ATW142" s="1056"/>
      <c r="ATX142" s="1056"/>
      <c r="ATY142" s="1056"/>
      <c r="ATZ142" s="1056"/>
      <c r="AUA142" s="1056"/>
      <c r="AUB142" s="1056"/>
      <c r="AUC142" s="1056"/>
      <c r="AUD142" s="1056"/>
      <c r="AUE142" s="1056"/>
      <c r="AUF142" s="1056"/>
      <c r="AUG142" s="1056"/>
      <c r="AUH142" s="1056"/>
      <c r="AUI142" s="1056"/>
      <c r="AUJ142" s="1056"/>
      <c r="AUK142" s="1056"/>
      <c r="AUL142" s="1056"/>
      <c r="AUM142" s="1056"/>
      <c r="AUN142" s="1056"/>
      <c r="AUO142" s="1056"/>
      <c r="AUP142" s="1056"/>
      <c r="AUQ142" s="1056"/>
      <c r="AUR142" s="1056"/>
      <c r="AUS142" s="1056"/>
      <c r="AUT142" s="1056"/>
      <c r="AUU142" s="1056"/>
      <c r="AUV142" s="1056"/>
      <c r="AUW142" s="1056"/>
      <c r="AUX142" s="1056"/>
      <c r="AUY142" s="1056"/>
      <c r="AUZ142" s="1056"/>
      <c r="AVA142" s="1056"/>
      <c r="AVB142" s="1056"/>
      <c r="AVC142" s="1056"/>
      <c r="AVD142" s="1056"/>
      <c r="AVE142" s="1056"/>
      <c r="AVF142" s="1056"/>
      <c r="AVG142" s="1056"/>
      <c r="AVH142" s="1056"/>
      <c r="AVI142" s="1056"/>
      <c r="AVJ142" s="1056"/>
      <c r="AVK142" s="1056"/>
      <c r="AVL142" s="1056"/>
      <c r="AVM142" s="1056"/>
      <c r="AVN142" s="1056"/>
      <c r="AVO142" s="1056"/>
      <c r="AVP142" s="1056"/>
      <c r="AVQ142" s="1056"/>
      <c r="AVR142" s="1056"/>
      <c r="AVS142" s="1056"/>
      <c r="AVT142" s="1056"/>
      <c r="AVU142" s="1056"/>
      <c r="AVV142" s="1056"/>
      <c r="AVW142" s="1056"/>
      <c r="AVX142" s="1056"/>
      <c r="AVY142" s="1056"/>
      <c r="AVZ142" s="1056"/>
      <c r="AWA142" s="1056"/>
      <c r="AWB142" s="1056"/>
      <c r="AWC142" s="1056"/>
      <c r="AWD142" s="1056"/>
      <c r="AWE142" s="1056"/>
      <c r="AWF142" s="1056"/>
      <c r="AWG142" s="1056"/>
      <c r="AWH142" s="1056"/>
      <c r="AWI142" s="1056"/>
      <c r="AWJ142" s="1056"/>
      <c r="AWK142" s="1056"/>
      <c r="AWL142" s="1056"/>
      <c r="AWM142" s="1056"/>
      <c r="AWN142" s="1056"/>
      <c r="AWO142" s="1056"/>
      <c r="AWP142" s="1056"/>
      <c r="AWQ142" s="1056"/>
      <c r="AWR142" s="1056"/>
      <c r="AWS142" s="1056"/>
      <c r="AWT142" s="1056"/>
      <c r="AWU142" s="1056"/>
      <c r="AWV142" s="1056"/>
      <c r="AWW142" s="1056"/>
      <c r="AWX142" s="1056"/>
      <c r="AWY142" s="1056"/>
      <c r="AWZ142" s="1056"/>
      <c r="AXA142" s="1056"/>
      <c r="AXB142" s="1056"/>
      <c r="AXC142" s="1056"/>
      <c r="AXD142" s="1056"/>
      <c r="AXE142" s="1056"/>
      <c r="AXF142" s="1056"/>
      <c r="AXG142" s="1056"/>
      <c r="AXH142" s="1056"/>
      <c r="AXI142" s="1056"/>
      <c r="AXJ142" s="1056"/>
      <c r="AXK142" s="1056"/>
      <c r="AXL142" s="1056"/>
      <c r="AXM142" s="1056"/>
      <c r="AXN142" s="1056"/>
      <c r="AXO142" s="1056"/>
      <c r="AXP142" s="1056"/>
      <c r="AXQ142" s="1056"/>
      <c r="AXR142" s="1056"/>
      <c r="AXS142" s="1056"/>
      <c r="AXT142" s="1056"/>
      <c r="AXU142" s="1056"/>
      <c r="AXV142" s="1056"/>
      <c r="AXW142" s="1056"/>
      <c r="AXX142" s="1056"/>
      <c r="AXY142" s="1056"/>
      <c r="AXZ142" s="1056"/>
      <c r="AYA142" s="1056"/>
      <c r="AYB142" s="1056"/>
      <c r="AYC142" s="1056"/>
      <c r="AYD142" s="1056"/>
      <c r="AYE142" s="1056"/>
      <c r="AYF142" s="1056"/>
      <c r="AYG142" s="1056"/>
      <c r="AYH142" s="1056"/>
      <c r="AYI142" s="1056"/>
      <c r="AYJ142" s="1056"/>
      <c r="AYK142" s="1056"/>
      <c r="AYL142" s="1056"/>
      <c r="AYM142" s="1056"/>
      <c r="AYN142" s="1056"/>
      <c r="AYO142" s="1056"/>
      <c r="AYP142" s="1056"/>
      <c r="AYQ142" s="1056"/>
      <c r="AYR142" s="1056"/>
      <c r="AYS142" s="1056"/>
      <c r="AYT142" s="1056"/>
      <c r="AYU142" s="1056"/>
      <c r="AYV142" s="1056"/>
      <c r="AYW142" s="1056"/>
      <c r="AYX142" s="1056"/>
      <c r="AYY142" s="1056"/>
      <c r="AYZ142" s="1056"/>
      <c r="AZA142" s="1056"/>
      <c r="AZB142" s="1056"/>
      <c r="AZC142" s="1056"/>
      <c r="AZD142" s="1056"/>
      <c r="AZE142" s="1056"/>
      <c r="AZF142" s="1056"/>
      <c r="AZG142" s="1056"/>
      <c r="AZH142" s="1056"/>
      <c r="AZI142" s="1056"/>
      <c r="AZJ142" s="1056"/>
      <c r="AZK142" s="1056"/>
      <c r="AZL142" s="1056"/>
      <c r="AZM142" s="1056"/>
      <c r="AZN142" s="1056"/>
      <c r="AZO142" s="1056"/>
      <c r="AZP142" s="1056"/>
      <c r="AZQ142" s="1056"/>
      <c r="AZR142" s="1056"/>
      <c r="AZS142" s="1056"/>
      <c r="AZT142" s="1056"/>
      <c r="AZU142" s="1056"/>
      <c r="AZV142" s="1056"/>
      <c r="AZW142" s="1056"/>
      <c r="AZX142" s="1056"/>
      <c r="AZY142" s="1056"/>
      <c r="AZZ142" s="1056"/>
      <c r="BAA142" s="1056"/>
      <c r="BAB142" s="1056"/>
      <c r="BAC142" s="1056"/>
      <c r="BAD142" s="1056"/>
      <c r="BAE142" s="1056"/>
      <c r="BAF142" s="1056"/>
      <c r="BAG142" s="1056"/>
      <c r="BAH142" s="1056"/>
      <c r="BAI142" s="1056"/>
      <c r="BAJ142" s="1056"/>
      <c r="BAK142" s="1056"/>
      <c r="BAL142" s="1056"/>
      <c r="BAM142" s="1056"/>
      <c r="BAN142" s="1056"/>
      <c r="BAO142" s="1056"/>
      <c r="BAP142" s="1056"/>
      <c r="BAQ142" s="1056"/>
      <c r="BAR142" s="1056"/>
      <c r="BAS142" s="1056"/>
      <c r="BAT142" s="1056"/>
      <c r="BAU142" s="1056"/>
      <c r="BAV142" s="1056"/>
      <c r="BAW142" s="1056"/>
      <c r="BAX142" s="1056"/>
      <c r="BAY142" s="1056"/>
      <c r="BAZ142" s="1056"/>
      <c r="BBA142" s="1056"/>
      <c r="BBB142" s="1056"/>
      <c r="BBC142" s="1056"/>
      <c r="BBD142" s="1056"/>
      <c r="BBE142" s="1056"/>
      <c r="BBF142" s="1056"/>
      <c r="BBG142" s="1056"/>
      <c r="BBH142" s="1056"/>
      <c r="BBI142" s="1056"/>
      <c r="BBJ142" s="1056"/>
      <c r="BBK142" s="1056"/>
      <c r="BBL142" s="1056"/>
      <c r="BBM142" s="1056"/>
      <c r="BBN142" s="1056"/>
      <c r="BBO142" s="1056"/>
      <c r="BBP142" s="1056"/>
      <c r="BBQ142" s="1056"/>
      <c r="BBR142" s="1056"/>
      <c r="BBS142" s="1056"/>
      <c r="BBT142" s="1056"/>
      <c r="BBU142" s="1056"/>
      <c r="BBV142" s="1056"/>
      <c r="BBW142" s="1056"/>
      <c r="BBX142" s="1056"/>
      <c r="BBY142" s="1056"/>
      <c r="BBZ142" s="1056"/>
      <c r="BCA142" s="1056"/>
      <c r="BCB142" s="1056"/>
      <c r="BCC142" s="1056"/>
      <c r="BCD142" s="1056"/>
      <c r="BCE142" s="1056"/>
      <c r="BCF142" s="1056"/>
      <c r="BCG142" s="1056"/>
      <c r="BCH142" s="1056"/>
      <c r="BCI142" s="1056"/>
      <c r="BCJ142" s="1056"/>
      <c r="BCK142" s="1056"/>
      <c r="BCL142" s="1056"/>
      <c r="BCM142" s="1056"/>
      <c r="BCN142" s="1056"/>
      <c r="BCO142" s="1056"/>
      <c r="BCP142" s="1056"/>
      <c r="BCQ142" s="1056"/>
      <c r="BCR142" s="1056"/>
      <c r="BCS142" s="1056"/>
      <c r="BCT142" s="1056"/>
      <c r="BCU142" s="1056"/>
      <c r="BCV142" s="1056"/>
      <c r="BCW142" s="1056"/>
      <c r="BCX142" s="1056"/>
      <c r="BCY142" s="1056"/>
      <c r="BCZ142" s="1056"/>
      <c r="BDA142" s="1056"/>
      <c r="BDB142" s="1056"/>
      <c r="BDC142" s="1056"/>
      <c r="BDD142" s="1056"/>
      <c r="BDE142" s="1056"/>
      <c r="BDF142" s="1056"/>
      <c r="BDG142" s="1056"/>
      <c r="BDH142" s="1056"/>
      <c r="BDI142" s="1056"/>
      <c r="BDJ142" s="1056"/>
      <c r="BDK142" s="1056"/>
      <c r="BDL142" s="1056"/>
      <c r="BDM142" s="1056"/>
      <c r="BDN142" s="1056"/>
      <c r="BDO142" s="1056"/>
      <c r="BDP142" s="1056"/>
      <c r="BDQ142" s="1056"/>
      <c r="BDR142" s="1056"/>
      <c r="BDS142" s="1056"/>
      <c r="BDT142" s="1056"/>
      <c r="BDU142" s="1056"/>
      <c r="BDV142" s="1056"/>
      <c r="BDW142" s="1056"/>
      <c r="BDX142" s="1056"/>
      <c r="BDY142" s="1056"/>
      <c r="BDZ142" s="1056"/>
      <c r="BEA142" s="1056"/>
      <c r="BEB142" s="1056"/>
      <c r="BEC142" s="1056"/>
      <c r="BED142" s="1056"/>
      <c r="BEE142" s="1056"/>
      <c r="BEF142" s="1056"/>
      <c r="BEG142" s="1056"/>
      <c r="BEH142" s="1056"/>
      <c r="BEI142" s="1056"/>
      <c r="BEJ142" s="1056"/>
      <c r="BEK142" s="1056"/>
      <c r="BEL142" s="1056"/>
      <c r="BEM142" s="1056"/>
      <c r="BEN142" s="1056"/>
      <c r="BEO142" s="1056"/>
      <c r="BEP142" s="1056"/>
      <c r="BEQ142" s="1056"/>
      <c r="BER142" s="1056"/>
      <c r="BES142" s="1056"/>
      <c r="BET142" s="1056"/>
      <c r="BEU142" s="1056"/>
      <c r="BEV142" s="1056"/>
      <c r="BEW142" s="1056"/>
      <c r="BEX142" s="1056"/>
      <c r="BEY142" s="1056"/>
      <c r="BEZ142" s="1056"/>
      <c r="BFA142" s="1056"/>
      <c r="BFB142" s="1056"/>
      <c r="BFC142" s="1056"/>
      <c r="BFD142" s="1056"/>
      <c r="BFE142" s="1056"/>
      <c r="BFF142" s="1056"/>
      <c r="BFG142" s="1056"/>
      <c r="BFH142" s="1056"/>
      <c r="BFI142" s="1056"/>
      <c r="BFJ142" s="1056"/>
      <c r="BFK142" s="1056"/>
      <c r="BFL142" s="1056"/>
      <c r="BFM142" s="1056"/>
      <c r="BFN142" s="1056"/>
      <c r="BFO142" s="1056"/>
      <c r="BFP142" s="1056"/>
      <c r="BFQ142" s="1056"/>
      <c r="BFR142" s="1056"/>
      <c r="BFS142" s="1056"/>
      <c r="BFT142" s="1056"/>
      <c r="BFU142" s="1056"/>
      <c r="BFV142" s="1056"/>
      <c r="BFW142" s="1056"/>
      <c r="BFX142" s="1056"/>
      <c r="BFY142" s="1056"/>
      <c r="BFZ142" s="1056"/>
      <c r="BGA142" s="1056"/>
      <c r="BGB142" s="1056"/>
      <c r="BGC142" s="1056"/>
      <c r="BGD142" s="1056"/>
      <c r="BGE142" s="1056"/>
      <c r="BGF142" s="1056"/>
      <c r="BGG142" s="1056"/>
      <c r="BGH142" s="1056"/>
      <c r="BGI142" s="1056"/>
      <c r="BGJ142" s="1056"/>
      <c r="BGK142" s="1056"/>
      <c r="BGL142" s="1056"/>
      <c r="BGM142" s="1056"/>
      <c r="BGN142" s="1056"/>
      <c r="BGO142" s="1056"/>
      <c r="BGP142" s="1056"/>
      <c r="BGQ142" s="1056"/>
      <c r="BGR142" s="1056"/>
      <c r="BGS142" s="1056"/>
      <c r="BGT142" s="1056"/>
      <c r="BGU142" s="1056"/>
      <c r="BGV142" s="1056"/>
      <c r="BGW142" s="1056"/>
      <c r="BGX142" s="1056"/>
      <c r="BGY142" s="1056"/>
      <c r="BGZ142" s="1056"/>
      <c r="BHA142" s="1056"/>
      <c r="BHB142" s="1056"/>
      <c r="BHC142" s="1056"/>
      <c r="BHD142" s="1056"/>
      <c r="BHE142" s="1056"/>
      <c r="BHF142" s="1056"/>
      <c r="BHG142" s="1056"/>
      <c r="BHH142" s="1056"/>
      <c r="BHI142" s="1056"/>
      <c r="BHJ142" s="1056"/>
      <c r="BHK142" s="1056"/>
      <c r="BHL142" s="1056"/>
      <c r="BHM142" s="1056"/>
      <c r="BHN142" s="1056"/>
      <c r="BHO142" s="1056"/>
      <c r="BHP142" s="1056"/>
      <c r="BHQ142" s="1056"/>
      <c r="BHR142" s="1056"/>
      <c r="BHS142" s="1056"/>
      <c r="BHT142" s="1056"/>
      <c r="BHU142" s="1056"/>
      <c r="BHV142" s="1056"/>
      <c r="BHW142" s="1056"/>
      <c r="BHX142" s="1056"/>
      <c r="BHY142" s="1056"/>
      <c r="BHZ142" s="1056"/>
      <c r="BIA142" s="1056"/>
      <c r="BIB142" s="1056"/>
      <c r="BIC142" s="1056"/>
      <c r="BID142" s="1056"/>
      <c r="BIE142" s="1056"/>
      <c r="BIF142" s="1056"/>
      <c r="BIG142" s="1056"/>
      <c r="BIH142" s="1056"/>
      <c r="BII142" s="1056"/>
      <c r="BIJ142" s="1056"/>
      <c r="BIK142" s="1056"/>
      <c r="BIL142" s="1056"/>
      <c r="BIM142" s="1056"/>
      <c r="BIN142" s="1056"/>
      <c r="BIO142" s="1056"/>
      <c r="BIP142" s="1056"/>
      <c r="BIQ142" s="1056"/>
      <c r="BIR142" s="1056"/>
      <c r="BIS142" s="1056"/>
      <c r="BIT142" s="1056"/>
      <c r="BIU142" s="1056"/>
      <c r="BIV142" s="1056"/>
      <c r="BIW142" s="1056"/>
      <c r="BIX142" s="1056"/>
      <c r="BIY142" s="1056"/>
      <c r="BIZ142" s="1056"/>
      <c r="BJA142" s="1056"/>
      <c r="BJB142" s="1056"/>
      <c r="BJC142" s="1056"/>
      <c r="BJD142" s="1056"/>
      <c r="BJE142" s="1056"/>
      <c r="BJF142" s="1056"/>
      <c r="BJG142" s="1056"/>
      <c r="BJH142" s="1056"/>
      <c r="BJI142" s="1056"/>
      <c r="BJJ142" s="1056"/>
      <c r="BJK142" s="1056"/>
      <c r="BJL142" s="1056"/>
      <c r="BJM142" s="1056"/>
      <c r="BJN142" s="1056"/>
      <c r="BJO142" s="1056"/>
      <c r="BJP142" s="1056"/>
      <c r="BJQ142" s="1056"/>
      <c r="BJR142" s="1056"/>
      <c r="BJS142" s="1056"/>
      <c r="BJT142" s="1056"/>
      <c r="BJU142" s="1056"/>
      <c r="BJV142" s="1056"/>
      <c r="BJW142" s="1056"/>
      <c r="BJX142" s="1056"/>
      <c r="BJY142" s="1056"/>
      <c r="BJZ142" s="1056"/>
      <c r="BKA142" s="1056"/>
      <c r="BKB142" s="1056"/>
      <c r="BKC142" s="1056"/>
      <c r="BKD142" s="1056"/>
      <c r="BKE142" s="1056"/>
      <c r="BKF142" s="1056"/>
      <c r="BKG142" s="1056"/>
      <c r="BKH142" s="1056"/>
      <c r="BKI142" s="1056"/>
      <c r="BKJ142" s="1056"/>
      <c r="BKK142" s="1056"/>
      <c r="BKL142" s="1056"/>
      <c r="BKM142" s="1056"/>
      <c r="BKN142" s="1056"/>
      <c r="BKO142" s="1056"/>
      <c r="BKP142" s="1056"/>
      <c r="BKQ142" s="1056"/>
      <c r="BKR142" s="1056"/>
      <c r="BKS142" s="1056"/>
      <c r="BKT142" s="1056"/>
      <c r="BKU142" s="1056"/>
      <c r="BKV142" s="1056"/>
      <c r="BKW142" s="1056"/>
      <c r="BKX142" s="1056"/>
      <c r="BKY142" s="1056"/>
      <c r="BKZ142" s="1056"/>
      <c r="BLA142" s="1056"/>
      <c r="BLB142" s="1056"/>
      <c r="BLC142" s="1056"/>
      <c r="BLD142" s="1056"/>
      <c r="BLE142" s="1056"/>
      <c r="BLF142" s="1056"/>
      <c r="BLG142" s="1056"/>
      <c r="BLH142" s="1056"/>
      <c r="BLI142" s="1056"/>
      <c r="BLJ142" s="1056"/>
      <c r="BLK142" s="1056"/>
      <c r="BLL142" s="1056"/>
      <c r="BLM142" s="1056"/>
      <c r="BLN142" s="1056"/>
      <c r="BLO142" s="1056"/>
      <c r="BLP142" s="1056"/>
      <c r="BLQ142" s="1056"/>
      <c r="BLR142" s="1056"/>
      <c r="BLS142" s="1056"/>
      <c r="BLT142" s="1056"/>
      <c r="BLU142" s="1056"/>
      <c r="BLV142" s="1056"/>
      <c r="BLW142" s="1056"/>
      <c r="BLX142" s="1056"/>
      <c r="BLY142" s="1056"/>
      <c r="BLZ142" s="1056"/>
      <c r="BMA142" s="1056"/>
      <c r="BMB142" s="1056"/>
      <c r="BMC142" s="1056"/>
      <c r="BMD142" s="1056"/>
      <c r="BME142" s="1056"/>
      <c r="BMF142" s="1056"/>
      <c r="BMG142" s="1056"/>
      <c r="BMH142" s="1056"/>
      <c r="BMI142" s="1056"/>
      <c r="BMJ142" s="1056"/>
      <c r="BMK142" s="1056"/>
      <c r="BML142" s="1056"/>
      <c r="BMM142" s="1056"/>
      <c r="BMN142" s="1056"/>
      <c r="BMO142" s="1056"/>
      <c r="BMP142" s="1056"/>
      <c r="BMQ142" s="1056"/>
      <c r="BMR142" s="1056"/>
      <c r="BMS142" s="1056"/>
      <c r="BMT142" s="1056"/>
      <c r="BMU142" s="1056"/>
      <c r="BMV142" s="1056"/>
      <c r="BMW142" s="1056"/>
      <c r="BMX142" s="1056"/>
      <c r="BMY142" s="1056"/>
      <c r="BMZ142" s="1056"/>
      <c r="BNA142" s="1056"/>
      <c r="BNB142" s="1056"/>
      <c r="BNC142" s="1056"/>
      <c r="BND142" s="1056"/>
      <c r="BNE142" s="1056"/>
      <c r="BNF142" s="1056"/>
      <c r="BNG142" s="1056"/>
      <c r="BNH142" s="1056"/>
      <c r="BNI142" s="1056"/>
      <c r="BNJ142" s="1056"/>
      <c r="BNK142" s="1056"/>
      <c r="BNL142" s="1056"/>
      <c r="BNM142" s="1056"/>
      <c r="BNN142" s="1056"/>
      <c r="BNO142" s="1056"/>
      <c r="BNP142" s="1056"/>
      <c r="BNQ142" s="1056"/>
      <c r="BNR142" s="1056"/>
      <c r="BNS142" s="1056"/>
      <c r="BNT142" s="1056"/>
      <c r="BNU142" s="1056"/>
      <c r="BNV142" s="1056"/>
      <c r="BNW142" s="1056"/>
      <c r="BNX142" s="1056"/>
      <c r="BNY142" s="1056"/>
      <c r="BNZ142" s="1056"/>
      <c r="BOA142" s="1056"/>
      <c r="BOB142" s="1056"/>
      <c r="BOC142" s="1056"/>
      <c r="BOD142" s="1056"/>
      <c r="BOE142" s="1056"/>
      <c r="BOF142" s="1056"/>
      <c r="BOG142" s="1056"/>
      <c r="BOH142" s="1056"/>
      <c r="BOI142" s="1056"/>
      <c r="BOJ142" s="1056"/>
      <c r="BOK142" s="1056"/>
      <c r="BOL142" s="1056"/>
      <c r="BOM142" s="1056"/>
      <c r="BON142" s="1056"/>
      <c r="BOO142" s="1056"/>
      <c r="BOP142" s="1056"/>
      <c r="BOQ142" s="1056"/>
      <c r="BOR142" s="1056"/>
      <c r="BOS142" s="1056"/>
      <c r="BOT142" s="1056"/>
      <c r="BOU142" s="1056"/>
      <c r="BOV142" s="1056"/>
      <c r="BOW142" s="1056"/>
      <c r="BOX142" s="1056"/>
      <c r="BOY142" s="1056"/>
      <c r="BOZ142" s="1056"/>
      <c r="BPA142" s="1056"/>
      <c r="BPB142" s="1056"/>
      <c r="BPC142" s="1056"/>
      <c r="BPD142" s="1056"/>
      <c r="BPE142" s="1056"/>
      <c r="BPF142" s="1056"/>
      <c r="BPG142" s="1056"/>
      <c r="BPH142" s="1056"/>
      <c r="BPI142" s="1056"/>
      <c r="BPJ142" s="1056"/>
      <c r="BPK142" s="1056"/>
      <c r="BPL142" s="1056"/>
      <c r="BPM142" s="1056"/>
      <c r="BPN142" s="1056"/>
      <c r="BPO142" s="1056"/>
      <c r="BPP142" s="1056"/>
      <c r="BPQ142" s="1056"/>
      <c r="BPR142" s="1056"/>
      <c r="BPS142" s="1056"/>
      <c r="BPT142" s="1056"/>
      <c r="BPU142" s="1056"/>
      <c r="BPV142" s="1056"/>
      <c r="BPW142" s="1056"/>
      <c r="BPX142" s="1056"/>
      <c r="BPY142" s="1056"/>
      <c r="BPZ142" s="1056"/>
      <c r="BQA142" s="1056"/>
      <c r="BQB142" s="1056"/>
      <c r="BQC142" s="1056"/>
      <c r="BQD142" s="1056"/>
      <c r="BQE142" s="1056"/>
      <c r="BQF142" s="1056"/>
      <c r="BQG142" s="1056"/>
      <c r="BQH142" s="1056"/>
      <c r="BQI142" s="1056"/>
      <c r="BQJ142" s="1056"/>
      <c r="BQK142" s="1056"/>
      <c r="BQL142" s="1056"/>
      <c r="BQM142" s="1056"/>
      <c r="BQN142" s="1056"/>
      <c r="BQO142" s="1056"/>
      <c r="BQP142" s="1056"/>
      <c r="BQQ142" s="1056"/>
      <c r="BQR142" s="1056"/>
      <c r="BQS142" s="1056"/>
      <c r="BQT142" s="1056"/>
      <c r="BQU142" s="1056"/>
      <c r="BQV142" s="1056"/>
      <c r="BQW142" s="1056"/>
      <c r="BQX142" s="1056"/>
      <c r="BQY142" s="1056"/>
      <c r="BQZ142" s="1056"/>
      <c r="BRA142" s="1056"/>
      <c r="BRB142" s="1056"/>
      <c r="BRC142" s="1056"/>
      <c r="BRD142" s="1056"/>
      <c r="BRE142" s="1056"/>
      <c r="BRF142" s="1056"/>
      <c r="BRG142" s="1056"/>
      <c r="BRH142" s="1056"/>
      <c r="BRI142" s="1056"/>
      <c r="BRJ142" s="1056"/>
      <c r="BRK142" s="1056"/>
      <c r="BRL142" s="1056"/>
      <c r="BRM142" s="1056"/>
      <c r="BRN142" s="1056"/>
      <c r="BRO142" s="1056"/>
      <c r="BRP142" s="1056"/>
      <c r="BRQ142" s="1056"/>
      <c r="BRR142" s="1056"/>
      <c r="BRS142" s="1056"/>
      <c r="BRT142" s="1056"/>
      <c r="BRU142" s="1056"/>
      <c r="BRV142" s="1056"/>
      <c r="BRW142" s="1056"/>
      <c r="BRX142" s="1056"/>
      <c r="BRY142" s="1056"/>
      <c r="BRZ142" s="1056"/>
      <c r="BSA142" s="1056"/>
      <c r="BSB142" s="1056"/>
      <c r="BSC142" s="1056"/>
      <c r="BSD142" s="1056"/>
      <c r="BSE142" s="1056"/>
      <c r="BSF142" s="1056"/>
      <c r="BSG142" s="1056"/>
      <c r="BSH142" s="1056"/>
      <c r="BSI142" s="1056"/>
      <c r="BSJ142" s="1056"/>
      <c r="BSK142" s="1056"/>
      <c r="BSL142" s="1056"/>
      <c r="BSM142" s="1056"/>
      <c r="BSN142" s="1056"/>
      <c r="BSO142" s="1056"/>
      <c r="BSP142" s="1056"/>
      <c r="BSQ142" s="1056"/>
      <c r="BSR142" s="1056"/>
      <c r="BSS142" s="1056"/>
      <c r="BST142" s="1056"/>
      <c r="BSU142" s="1056"/>
      <c r="BSV142" s="1056"/>
      <c r="BSW142" s="1056"/>
      <c r="BSX142" s="1056"/>
      <c r="BSY142" s="1056"/>
      <c r="BSZ142" s="1056"/>
      <c r="BTA142" s="1056"/>
      <c r="BTB142" s="1056"/>
      <c r="BTC142" s="1056"/>
      <c r="BTD142" s="1056"/>
      <c r="BTE142" s="1056"/>
      <c r="BTF142" s="1056"/>
      <c r="BTG142" s="1056"/>
      <c r="BTH142" s="1056"/>
      <c r="BTI142" s="1056"/>
    </row>
    <row r="143" spans="1:1881" s="1060" customFormat="1" ht="106.5" hidden="1" customHeight="1" x14ac:dyDescent="0.3">
      <c r="A143" s="333">
        <v>636</v>
      </c>
      <c r="B143" s="1093" t="s">
        <v>409</v>
      </c>
      <c r="C143" s="1085" t="s">
        <v>413</v>
      </c>
      <c r="D143" s="1086" t="s">
        <v>1396</v>
      </c>
      <c r="E143" s="1053" t="e">
        <f>HLOOKUP($D$2,'2020 Data(H)'!$C$1:$AI$426,295,FALSE)</f>
        <v>#N/A</v>
      </c>
      <c r="F143" s="287">
        <v>0</v>
      </c>
      <c r="G143" s="738">
        <f>IF(F143&gt;F140,"Please review account numbers 636&gt;633",)</f>
        <v>0</v>
      </c>
      <c r="H143" s="1092"/>
      <c r="I143" s="1092"/>
      <c r="J143" s="1056"/>
      <c r="K143" s="1056"/>
      <c r="L143" s="1056"/>
      <c r="M143" s="1056"/>
      <c r="N143" s="1058"/>
      <c r="O143" s="1056"/>
      <c r="P143" s="1056"/>
      <c r="Q143" s="1056"/>
      <c r="R143" s="1056"/>
      <c r="S143" s="1056"/>
      <c r="T143" s="1056"/>
      <c r="U143" s="1056"/>
      <c r="V143" s="1056"/>
      <c r="W143" s="1056"/>
      <c r="X143" s="1056"/>
      <c r="Y143" s="1056"/>
      <c r="Z143" s="333"/>
      <c r="AA143" s="333"/>
      <c r="AB143" s="333"/>
      <c r="AC143" s="333"/>
      <c r="AD143" s="333"/>
      <c r="AE143" s="333"/>
      <c r="AF143" s="333"/>
      <c r="AG143" s="333"/>
      <c r="AH143" s="333"/>
      <c r="AI143" s="333"/>
      <c r="AJ143" s="333"/>
      <c r="AK143" s="333"/>
      <c r="AL143" s="333"/>
      <c r="AM143" s="333"/>
      <c r="AN143" s="333"/>
      <c r="AO143" s="333"/>
      <c r="AP143" s="333"/>
      <c r="AQ143" s="333"/>
      <c r="AR143" s="333"/>
      <c r="AS143" s="1056"/>
      <c r="AT143" s="1056"/>
      <c r="AU143" s="1056"/>
      <c r="AV143" s="1056"/>
      <c r="AW143" s="1056"/>
      <c r="AX143" s="1056"/>
      <c r="AY143" s="1056"/>
      <c r="AZ143" s="1056"/>
      <c r="BA143" s="1056"/>
      <c r="BB143" s="1056"/>
      <c r="BC143" s="1056"/>
      <c r="BD143" s="1056"/>
      <c r="BE143" s="1056"/>
      <c r="BF143" s="1056"/>
      <c r="BG143" s="1056"/>
      <c r="BH143" s="1056"/>
      <c r="BI143" s="1056"/>
      <c r="BJ143" s="1056"/>
      <c r="BK143" s="1056"/>
      <c r="BL143" s="1056"/>
      <c r="BM143" s="1056"/>
      <c r="BN143" s="1056"/>
      <c r="BO143" s="1056"/>
      <c r="BP143" s="1056"/>
      <c r="BQ143" s="1056"/>
      <c r="BR143" s="1056"/>
      <c r="BS143" s="1056"/>
      <c r="BT143" s="1056"/>
      <c r="BU143" s="1056"/>
      <c r="BV143" s="1056"/>
      <c r="BW143" s="1056"/>
      <c r="BX143" s="1056"/>
      <c r="BY143" s="1056"/>
      <c r="BZ143" s="1056"/>
      <c r="CA143" s="1056"/>
      <c r="CB143" s="1056"/>
      <c r="CC143" s="1056"/>
      <c r="CD143" s="1056"/>
      <c r="CE143" s="1056"/>
      <c r="CF143" s="1056"/>
      <c r="CG143" s="1056"/>
      <c r="CH143" s="1056"/>
      <c r="CI143" s="1056"/>
      <c r="CJ143" s="1056"/>
      <c r="CK143" s="1056"/>
      <c r="CL143" s="1056"/>
      <c r="CM143" s="1056"/>
      <c r="CN143" s="1056"/>
      <c r="CO143" s="1056"/>
      <c r="CP143" s="1056"/>
      <c r="CQ143" s="1056"/>
      <c r="CR143" s="1056"/>
      <c r="CS143" s="1056"/>
      <c r="CT143" s="1056"/>
      <c r="CU143" s="1056"/>
      <c r="CV143" s="1056"/>
      <c r="CW143" s="1056"/>
      <c r="CX143" s="1056"/>
      <c r="CY143" s="1056"/>
      <c r="CZ143" s="1056"/>
      <c r="DA143" s="1056"/>
      <c r="DB143" s="1056"/>
      <c r="DC143" s="1056"/>
      <c r="DD143" s="1056"/>
      <c r="DE143" s="1056"/>
      <c r="DF143" s="1056"/>
      <c r="DG143" s="1056"/>
      <c r="DH143" s="1056"/>
      <c r="DI143" s="1056"/>
      <c r="DJ143" s="1056"/>
      <c r="DK143" s="1056"/>
      <c r="DL143" s="1056"/>
      <c r="DM143" s="1056"/>
      <c r="DN143" s="1056"/>
      <c r="DO143" s="1056"/>
      <c r="DP143" s="1056"/>
      <c r="DQ143" s="1056"/>
      <c r="DR143" s="1056"/>
      <c r="DS143" s="1056"/>
      <c r="DT143" s="1056"/>
      <c r="DU143" s="1056"/>
      <c r="DV143" s="1056"/>
      <c r="DW143" s="1056"/>
      <c r="DX143" s="1056"/>
      <c r="DY143" s="1056"/>
      <c r="DZ143" s="1056"/>
      <c r="EA143" s="1056"/>
      <c r="EB143" s="1056"/>
      <c r="EC143" s="1056"/>
      <c r="ED143" s="1056"/>
      <c r="EE143" s="1056"/>
      <c r="EF143" s="1056"/>
      <c r="EG143" s="1056"/>
      <c r="EH143" s="1056"/>
      <c r="EI143" s="1056"/>
      <c r="EJ143" s="1056"/>
      <c r="EK143" s="1056"/>
      <c r="EL143" s="1056"/>
      <c r="EM143" s="1056"/>
      <c r="EN143" s="1056"/>
      <c r="EO143" s="1056"/>
      <c r="EP143" s="1056"/>
      <c r="EQ143" s="1056"/>
      <c r="ER143" s="1056"/>
      <c r="ES143" s="1056"/>
      <c r="ET143" s="1056"/>
      <c r="EU143" s="1056"/>
      <c r="EV143" s="1056"/>
      <c r="EW143" s="1056"/>
      <c r="EX143" s="1056"/>
      <c r="EY143" s="1056"/>
      <c r="EZ143" s="1056"/>
      <c r="FA143" s="1056"/>
      <c r="FB143" s="1056"/>
      <c r="FC143" s="1056"/>
      <c r="FD143" s="1056"/>
      <c r="FE143" s="1056"/>
      <c r="FF143" s="1056"/>
      <c r="FG143" s="1056"/>
      <c r="FH143" s="1056"/>
      <c r="FI143" s="1056"/>
      <c r="FJ143" s="1056"/>
      <c r="FK143" s="1056"/>
      <c r="FL143" s="1056"/>
      <c r="FM143" s="1056"/>
      <c r="FN143" s="1056"/>
      <c r="FO143" s="1056"/>
      <c r="FP143" s="1056"/>
      <c r="FQ143" s="1056"/>
      <c r="FR143" s="1056"/>
      <c r="FS143" s="1056"/>
      <c r="FT143" s="1056"/>
      <c r="FU143" s="1056"/>
      <c r="FV143" s="1056"/>
      <c r="FW143" s="1056"/>
      <c r="FX143" s="1056"/>
      <c r="FY143" s="1056"/>
      <c r="FZ143" s="1056"/>
      <c r="GA143" s="1056"/>
      <c r="GB143" s="1056"/>
      <c r="GC143" s="1056"/>
      <c r="GD143" s="1056"/>
      <c r="GE143" s="1056"/>
      <c r="GF143" s="1056"/>
      <c r="GG143" s="1056"/>
      <c r="GH143" s="1056"/>
      <c r="GI143" s="1056"/>
      <c r="GJ143" s="1056"/>
      <c r="GK143" s="1056"/>
      <c r="GL143" s="1056"/>
      <c r="GM143" s="1056"/>
      <c r="GN143" s="1056"/>
      <c r="GO143" s="1056"/>
      <c r="GP143" s="1056"/>
      <c r="GQ143" s="1056"/>
      <c r="GR143" s="1056"/>
      <c r="GS143" s="1056"/>
      <c r="GT143" s="1056"/>
      <c r="GU143" s="1056"/>
      <c r="GV143" s="1056"/>
      <c r="GW143" s="1056"/>
      <c r="GX143" s="1056"/>
      <c r="GY143" s="1056"/>
      <c r="GZ143" s="1056"/>
      <c r="HA143" s="1056"/>
      <c r="HB143" s="1056"/>
      <c r="HC143" s="1056"/>
      <c r="HD143" s="1056"/>
      <c r="HE143" s="1056"/>
      <c r="HF143" s="1056"/>
      <c r="HG143" s="1056"/>
      <c r="HH143" s="1056"/>
      <c r="HI143" s="1056"/>
      <c r="HJ143" s="1056"/>
      <c r="HK143" s="1056"/>
      <c r="HL143" s="1056"/>
      <c r="HM143" s="1056"/>
      <c r="HN143" s="1056"/>
      <c r="HO143" s="1056"/>
      <c r="HP143" s="1056"/>
      <c r="HQ143" s="1056"/>
      <c r="HR143" s="1056"/>
      <c r="HS143" s="1056"/>
      <c r="HT143" s="1056"/>
      <c r="HU143" s="1056"/>
      <c r="HV143" s="1056"/>
      <c r="HW143" s="1056"/>
      <c r="HX143" s="1056"/>
      <c r="HY143" s="1056"/>
      <c r="HZ143" s="1056"/>
      <c r="IA143" s="1056"/>
      <c r="IB143" s="1056"/>
      <c r="IC143" s="1056"/>
      <c r="ID143" s="1056"/>
      <c r="IE143" s="1056"/>
      <c r="IF143" s="1056"/>
      <c r="IG143" s="1056"/>
      <c r="IH143" s="1056"/>
      <c r="II143" s="1056"/>
      <c r="IJ143" s="1056"/>
      <c r="IK143" s="1056"/>
      <c r="IL143" s="1056"/>
      <c r="IM143" s="1056"/>
      <c r="IN143" s="1056"/>
      <c r="IO143" s="1056"/>
      <c r="IP143" s="1056"/>
      <c r="IQ143" s="1056"/>
      <c r="IR143" s="1056"/>
      <c r="IS143" s="1056"/>
      <c r="IT143" s="1056"/>
      <c r="IU143" s="1056"/>
      <c r="IV143" s="1056"/>
      <c r="IW143" s="1056"/>
      <c r="IX143" s="1056"/>
      <c r="IY143" s="1056"/>
      <c r="IZ143" s="1056"/>
      <c r="JA143" s="1056"/>
      <c r="JB143" s="1056"/>
      <c r="JC143" s="1056"/>
      <c r="JD143" s="1056"/>
      <c r="JE143" s="1056"/>
      <c r="JF143" s="1056"/>
      <c r="JG143" s="1056"/>
      <c r="JH143" s="1056"/>
      <c r="JI143" s="1056"/>
      <c r="JJ143" s="1056"/>
      <c r="JK143" s="1056"/>
      <c r="JL143" s="1056"/>
      <c r="JM143" s="1056"/>
      <c r="JN143" s="1056"/>
      <c r="JO143" s="1056"/>
      <c r="JP143" s="1056"/>
      <c r="JQ143" s="1056"/>
      <c r="JR143" s="1056"/>
      <c r="JS143" s="1056"/>
      <c r="JT143" s="1056"/>
      <c r="JU143" s="1056"/>
      <c r="JV143" s="1056"/>
      <c r="JW143" s="1056"/>
      <c r="JX143" s="1056"/>
      <c r="JY143" s="1056"/>
      <c r="JZ143" s="1056"/>
      <c r="KA143" s="1056"/>
      <c r="KB143" s="1056"/>
      <c r="KC143" s="1056"/>
      <c r="KD143" s="1056"/>
      <c r="KE143" s="1056"/>
      <c r="KF143" s="1056"/>
      <c r="KG143" s="1056"/>
      <c r="KH143" s="1056"/>
      <c r="KI143" s="1056"/>
      <c r="KJ143" s="1056"/>
      <c r="KK143" s="1056"/>
      <c r="KL143" s="1056"/>
      <c r="KM143" s="1056"/>
      <c r="KN143" s="1056"/>
      <c r="KO143" s="1056"/>
      <c r="KP143" s="1056"/>
      <c r="KQ143" s="1056"/>
      <c r="KR143" s="1056"/>
      <c r="KS143" s="1056"/>
      <c r="KT143" s="1056"/>
      <c r="KU143" s="1056"/>
      <c r="KV143" s="1056"/>
      <c r="KW143" s="1056"/>
      <c r="KX143" s="1056"/>
      <c r="KY143" s="1056"/>
      <c r="KZ143" s="1056"/>
      <c r="LA143" s="1056"/>
      <c r="LB143" s="1056"/>
      <c r="LC143" s="1056"/>
      <c r="LD143" s="1056"/>
      <c r="LE143" s="1056"/>
      <c r="LF143" s="1056"/>
      <c r="LG143" s="1056"/>
      <c r="LH143" s="1056"/>
      <c r="LI143" s="1056"/>
      <c r="LJ143" s="1056"/>
      <c r="LK143" s="1056"/>
      <c r="LL143" s="1056"/>
      <c r="LM143" s="1056"/>
      <c r="LN143" s="1056"/>
      <c r="LO143" s="1056"/>
      <c r="LP143" s="1056"/>
      <c r="LQ143" s="1056"/>
      <c r="LR143" s="1056"/>
      <c r="LS143" s="1056"/>
      <c r="LT143" s="1056"/>
      <c r="LU143" s="1056"/>
      <c r="LV143" s="1056"/>
      <c r="LW143" s="1056"/>
      <c r="LX143" s="1056"/>
      <c r="LY143" s="1056"/>
      <c r="LZ143" s="1056"/>
      <c r="MA143" s="1056"/>
      <c r="MB143" s="1056"/>
      <c r="MC143" s="1056"/>
      <c r="MD143" s="1056"/>
      <c r="ME143" s="1056"/>
      <c r="MF143" s="1056"/>
      <c r="MG143" s="1056"/>
      <c r="MH143" s="1056"/>
      <c r="MI143" s="1056"/>
      <c r="MJ143" s="1056"/>
      <c r="MK143" s="1056"/>
      <c r="ML143" s="1056"/>
      <c r="MM143" s="1056"/>
      <c r="MN143" s="1056"/>
      <c r="MO143" s="1056"/>
      <c r="MP143" s="1056"/>
      <c r="MQ143" s="1056"/>
      <c r="MR143" s="1056"/>
      <c r="MS143" s="1056"/>
      <c r="MT143" s="1056"/>
      <c r="MU143" s="1056"/>
      <c r="MV143" s="1056"/>
      <c r="MW143" s="1056"/>
      <c r="MX143" s="1056"/>
      <c r="MY143" s="1056"/>
      <c r="MZ143" s="1056"/>
      <c r="NA143" s="1056"/>
      <c r="NB143" s="1056"/>
      <c r="NC143" s="1056"/>
      <c r="ND143" s="1056"/>
      <c r="NE143" s="1056"/>
      <c r="NF143" s="1056"/>
      <c r="NG143" s="1056"/>
      <c r="NH143" s="1056"/>
      <c r="NI143" s="1056"/>
      <c r="NJ143" s="1056"/>
      <c r="NK143" s="1056"/>
      <c r="NL143" s="1056"/>
      <c r="NM143" s="1056"/>
      <c r="NN143" s="1056"/>
      <c r="NO143" s="1056"/>
      <c r="NP143" s="1056"/>
      <c r="NQ143" s="1056"/>
      <c r="NR143" s="1056"/>
      <c r="NS143" s="1056"/>
      <c r="NT143" s="1056"/>
      <c r="NU143" s="1056"/>
      <c r="NV143" s="1056"/>
      <c r="NW143" s="1056"/>
      <c r="NX143" s="1056"/>
      <c r="NY143" s="1056"/>
      <c r="NZ143" s="1056"/>
      <c r="OA143" s="1056"/>
      <c r="OB143" s="1056"/>
      <c r="OC143" s="1056"/>
      <c r="OD143" s="1056"/>
      <c r="OE143" s="1056"/>
      <c r="OF143" s="1056"/>
      <c r="OG143" s="1056"/>
      <c r="OH143" s="1056"/>
      <c r="OI143" s="1056"/>
      <c r="OJ143" s="1056"/>
      <c r="OK143" s="1056"/>
      <c r="OL143" s="1056"/>
      <c r="OM143" s="1056"/>
      <c r="ON143" s="1056"/>
      <c r="OO143" s="1056"/>
      <c r="OP143" s="1056"/>
      <c r="OQ143" s="1056"/>
      <c r="OR143" s="1056"/>
      <c r="OS143" s="1056"/>
      <c r="OT143" s="1056"/>
      <c r="OU143" s="1056"/>
      <c r="OV143" s="1056"/>
      <c r="OW143" s="1056"/>
      <c r="OX143" s="1056"/>
      <c r="OY143" s="1056"/>
      <c r="OZ143" s="1056"/>
      <c r="PA143" s="1056"/>
      <c r="PB143" s="1056"/>
      <c r="PC143" s="1056"/>
      <c r="PD143" s="1056"/>
      <c r="PE143" s="1056"/>
      <c r="PF143" s="1056"/>
      <c r="PG143" s="1056"/>
      <c r="PH143" s="1056"/>
      <c r="PI143" s="1056"/>
      <c r="PJ143" s="1056"/>
      <c r="PK143" s="1056"/>
      <c r="PL143" s="1056"/>
      <c r="PM143" s="1056"/>
      <c r="PN143" s="1056"/>
      <c r="PO143" s="1056"/>
      <c r="PP143" s="1056"/>
      <c r="PQ143" s="1056"/>
      <c r="PR143" s="1056"/>
      <c r="PS143" s="1056"/>
      <c r="PT143" s="1056"/>
      <c r="PU143" s="1056"/>
      <c r="PV143" s="1056"/>
      <c r="PW143" s="1056"/>
      <c r="PX143" s="1056"/>
      <c r="PY143" s="1056"/>
      <c r="PZ143" s="1056"/>
      <c r="QA143" s="1056"/>
      <c r="QB143" s="1056"/>
      <c r="QC143" s="1056"/>
      <c r="QD143" s="1056"/>
      <c r="QE143" s="1056"/>
      <c r="QF143" s="1056"/>
      <c r="QG143" s="1056"/>
      <c r="QH143" s="1056"/>
      <c r="QI143" s="1056"/>
      <c r="QJ143" s="1056"/>
      <c r="QK143" s="1056"/>
      <c r="QL143" s="1056"/>
      <c r="QM143" s="1056"/>
      <c r="QN143" s="1056"/>
      <c r="QO143" s="1056"/>
      <c r="QP143" s="1056"/>
      <c r="QQ143" s="1056"/>
      <c r="QR143" s="1056"/>
      <c r="QS143" s="1056"/>
      <c r="QT143" s="1056"/>
      <c r="QU143" s="1056"/>
      <c r="QV143" s="1056"/>
      <c r="QW143" s="1056"/>
      <c r="QX143" s="1056"/>
      <c r="QY143" s="1056"/>
      <c r="QZ143" s="1056"/>
      <c r="RA143" s="1056"/>
      <c r="RB143" s="1056"/>
      <c r="RC143" s="1056"/>
      <c r="RD143" s="1056"/>
      <c r="RE143" s="1056"/>
      <c r="RF143" s="1056"/>
      <c r="RG143" s="1056"/>
      <c r="RH143" s="1056"/>
      <c r="RI143" s="1056"/>
      <c r="RJ143" s="1056"/>
      <c r="RK143" s="1056"/>
      <c r="RL143" s="1056"/>
      <c r="RM143" s="1056"/>
      <c r="RN143" s="1056"/>
      <c r="RO143" s="1056"/>
      <c r="RP143" s="1056"/>
      <c r="RQ143" s="1056"/>
      <c r="RR143" s="1056"/>
      <c r="RS143" s="1056"/>
      <c r="RT143" s="1056"/>
      <c r="RU143" s="1056"/>
      <c r="RV143" s="1056"/>
      <c r="RW143" s="1056"/>
      <c r="RX143" s="1056"/>
      <c r="RY143" s="1056"/>
      <c r="RZ143" s="1056"/>
      <c r="SA143" s="1056"/>
      <c r="SB143" s="1056"/>
      <c r="SC143" s="1056"/>
      <c r="SD143" s="1056"/>
      <c r="SE143" s="1056"/>
      <c r="SF143" s="1056"/>
      <c r="SG143" s="1056"/>
      <c r="SH143" s="1056"/>
      <c r="SI143" s="1056"/>
      <c r="SJ143" s="1056"/>
      <c r="SK143" s="1056"/>
      <c r="SL143" s="1056"/>
      <c r="SM143" s="1056"/>
      <c r="SN143" s="1056"/>
      <c r="SO143" s="1056"/>
      <c r="SP143" s="1056"/>
      <c r="SQ143" s="1056"/>
      <c r="SR143" s="1056"/>
      <c r="SS143" s="1056"/>
      <c r="ST143" s="1056"/>
      <c r="SU143" s="1056"/>
      <c r="SV143" s="1056"/>
      <c r="SW143" s="1056"/>
      <c r="SX143" s="1056"/>
      <c r="SY143" s="1056"/>
      <c r="SZ143" s="1056"/>
      <c r="TA143" s="1056"/>
      <c r="TB143" s="1056"/>
      <c r="TC143" s="1056"/>
      <c r="TD143" s="1056"/>
      <c r="TE143" s="1056"/>
      <c r="TF143" s="1056"/>
      <c r="TG143" s="1056"/>
      <c r="TH143" s="1056"/>
      <c r="TI143" s="1056"/>
      <c r="TJ143" s="1056"/>
      <c r="TK143" s="1056"/>
      <c r="TL143" s="1056"/>
      <c r="TM143" s="1056"/>
      <c r="TN143" s="1056"/>
      <c r="TO143" s="1056"/>
      <c r="TP143" s="1056"/>
      <c r="TQ143" s="1056"/>
      <c r="TR143" s="1056"/>
      <c r="TS143" s="1056"/>
      <c r="TT143" s="1056"/>
      <c r="TU143" s="1056"/>
      <c r="TV143" s="1056"/>
      <c r="TW143" s="1056"/>
      <c r="TX143" s="1056"/>
      <c r="TY143" s="1056"/>
      <c r="TZ143" s="1056"/>
      <c r="UA143" s="1056"/>
      <c r="UB143" s="1056"/>
      <c r="UC143" s="1056"/>
      <c r="UD143" s="1056"/>
      <c r="UE143" s="1056"/>
      <c r="UF143" s="1056"/>
      <c r="UG143" s="1056"/>
      <c r="UH143" s="1056"/>
      <c r="UI143" s="1056"/>
      <c r="UJ143" s="1056"/>
      <c r="UK143" s="1056"/>
      <c r="UL143" s="1056"/>
      <c r="UM143" s="1056"/>
      <c r="UN143" s="1056"/>
      <c r="UO143" s="1056"/>
      <c r="UP143" s="1056"/>
      <c r="UQ143" s="1056"/>
      <c r="UR143" s="1056"/>
      <c r="US143" s="1056"/>
      <c r="UT143" s="1056"/>
      <c r="UU143" s="1056"/>
      <c r="UV143" s="1056"/>
      <c r="UW143" s="1056"/>
      <c r="UX143" s="1056"/>
      <c r="UY143" s="1056"/>
      <c r="UZ143" s="1056"/>
      <c r="VA143" s="1056"/>
      <c r="VB143" s="1056"/>
      <c r="VC143" s="1056"/>
      <c r="VD143" s="1056"/>
      <c r="VE143" s="1056"/>
      <c r="VF143" s="1056"/>
      <c r="VG143" s="1056"/>
      <c r="VH143" s="1056"/>
      <c r="VI143" s="1056"/>
      <c r="VJ143" s="1056"/>
      <c r="VK143" s="1056"/>
      <c r="VL143" s="1056"/>
      <c r="VM143" s="1056"/>
      <c r="VN143" s="1056"/>
      <c r="VO143" s="1056"/>
      <c r="VP143" s="1056"/>
      <c r="VQ143" s="1056"/>
      <c r="VR143" s="1056"/>
      <c r="VS143" s="1056"/>
      <c r="VT143" s="1056"/>
      <c r="VU143" s="1056"/>
      <c r="VV143" s="1056"/>
      <c r="VW143" s="1056"/>
      <c r="VX143" s="1056"/>
      <c r="VY143" s="1056"/>
      <c r="VZ143" s="1056"/>
      <c r="WA143" s="1056"/>
      <c r="WB143" s="1056"/>
      <c r="WC143" s="1056"/>
      <c r="WD143" s="1056"/>
      <c r="WE143" s="1056"/>
      <c r="WF143" s="1056"/>
      <c r="WG143" s="1056"/>
      <c r="WH143" s="1056"/>
      <c r="WI143" s="1056"/>
      <c r="WJ143" s="1056"/>
      <c r="WK143" s="1056"/>
      <c r="WL143" s="1056"/>
      <c r="WM143" s="1056"/>
      <c r="WN143" s="1056"/>
      <c r="WO143" s="1056"/>
      <c r="WP143" s="1056"/>
      <c r="WQ143" s="1056"/>
      <c r="WR143" s="1056"/>
      <c r="WS143" s="1056"/>
      <c r="WT143" s="1056"/>
      <c r="WU143" s="1056"/>
      <c r="WV143" s="1056"/>
      <c r="WW143" s="1056"/>
      <c r="WX143" s="1056"/>
      <c r="WY143" s="1056"/>
      <c r="WZ143" s="1056"/>
      <c r="XA143" s="1056"/>
      <c r="XB143" s="1056"/>
      <c r="XC143" s="1056"/>
      <c r="XD143" s="1056"/>
      <c r="XE143" s="1056"/>
      <c r="XF143" s="1056"/>
      <c r="XG143" s="1056"/>
      <c r="XH143" s="1056"/>
      <c r="XI143" s="1056"/>
      <c r="XJ143" s="1056"/>
      <c r="XK143" s="1056"/>
      <c r="XL143" s="1056"/>
      <c r="XM143" s="1056"/>
      <c r="XN143" s="1056"/>
      <c r="XO143" s="1056"/>
      <c r="XP143" s="1056"/>
      <c r="XQ143" s="1056"/>
      <c r="XR143" s="1056"/>
      <c r="XS143" s="1056"/>
      <c r="XT143" s="1056"/>
      <c r="XU143" s="1056"/>
      <c r="XV143" s="1056"/>
      <c r="XW143" s="1056"/>
      <c r="XX143" s="1056"/>
      <c r="XY143" s="1056"/>
      <c r="XZ143" s="1056"/>
      <c r="YA143" s="1056"/>
      <c r="YB143" s="1056"/>
      <c r="YC143" s="1056"/>
      <c r="YD143" s="1056"/>
      <c r="YE143" s="1056"/>
      <c r="YF143" s="1056"/>
      <c r="YG143" s="1056"/>
      <c r="YH143" s="1056"/>
      <c r="YI143" s="1056"/>
      <c r="YJ143" s="1056"/>
      <c r="YK143" s="1056"/>
      <c r="YL143" s="1056"/>
      <c r="YM143" s="1056"/>
      <c r="YN143" s="1056"/>
      <c r="YO143" s="1056"/>
      <c r="YP143" s="1056"/>
      <c r="YQ143" s="1056"/>
      <c r="YR143" s="1056"/>
      <c r="YS143" s="1056"/>
      <c r="YT143" s="1056"/>
      <c r="YU143" s="1056"/>
      <c r="YV143" s="1056"/>
      <c r="YW143" s="1056"/>
      <c r="YX143" s="1056"/>
      <c r="YY143" s="1056"/>
      <c r="YZ143" s="1056"/>
      <c r="ZA143" s="1056"/>
      <c r="ZB143" s="1056"/>
      <c r="ZC143" s="1056"/>
      <c r="ZD143" s="1056"/>
      <c r="ZE143" s="1056"/>
      <c r="ZF143" s="1056"/>
      <c r="ZG143" s="1056"/>
      <c r="ZH143" s="1056"/>
      <c r="ZI143" s="1056"/>
      <c r="ZJ143" s="1056"/>
      <c r="ZK143" s="1056"/>
      <c r="ZL143" s="1056"/>
      <c r="ZM143" s="1056"/>
      <c r="ZN143" s="1056"/>
      <c r="ZO143" s="1056"/>
      <c r="ZP143" s="1056"/>
      <c r="ZQ143" s="1056"/>
      <c r="ZR143" s="1056"/>
      <c r="ZS143" s="1056"/>
      <c r="ZT143" s="1056"/>
      <c r="ZU143" s="1056"/>
      <c r="ZV143" s="1056"/>
      <c r="ZW143" s="1056"/>
      <c r="ZX143" s="1056"/>
      <c r="ZY143" s="1056"/>
      <c r="ZZ143" s="1056"/>
      <c r="AAA143" s="1056"/>
      <c r="AAB143" s="1056"/>
      <c r="AAC143" s="1056"/>
      <c r="AAD143" s="1056"/>
      <c r="AAE143" s="1056"/>
      <c r="AAF143" s="1056"/>
      <c r="AAG143" s="1056"/>
      <c r="AAH143" s="1056"/>
      <c r="AAI143" s="1056"/>
      <c r="AAJ143" s="1056"/>
      <c r="AAK143" s="1056"/>
      <c r="AAL143" s="1056"/>
      <c r="AAM143" s="1056"/>
      <c r="AAN143" s="1056"/>
      <c r="AAO143" s="1056"/>
      <c r="AAP143" s="1056"/>
      <c r="AAQ143" s="1056"/>
      <c r="AAR143" s="1056"/>
      <c r="AAS143" s="1056"/>
      <c r="AAT143" s="1056"/>
      <c r="AAU143" s="1056"/>
      <c r="AAV143" s="1056"/>
      <c r="AAW143" s="1056"/>
      <c r="AAX143" s="1056"/>
      <c r="AAY143" s="1056"/>
      <c r="AAZ143" s="1056"/>
      <c r="ABA143" s="1056"/>
      <c r="ABB143" s="1056"/>
      <c r="ABC143" s="1056"/>
      <c r="ABD143" s="1056"/>
      <c r="ABE143" s="1056"/>
      <c r="ABF143" s="1056"/>
      <c r="ABG143" s="1056"/>
      <c r="ABH143" s="1056"/>
      <c r="ABI143" s="1056"/>
      <c r="ABJ143" s="1056"/>
      <c r="ABK143" s="1056"/>
      <c r="ABL143" s="1056"/>
      <c r="ABM143" s="1056"/>
      <c r="ABN143" s="1056"/>
      <c r="ABO143" s="1056"/>
      <c r="ABP143" s="1056"/>
      <c r="ABQ143" s="1056"/>
      <c r="ABR143" s="1056"/>
      <c r="ABS143" s="1056"/>
      <c r="ABT143" s="1056"/>
      <c r="ABU143" s="1056"/>
      <c r="ABV143" s="1056"/>
      <c r="ABW143" s="1056"/>
      <c r="ABX143" s="1056"/>
      <c r="ABY143" s="1056"/>
      <c r="ABZ143" s="1056"/>
      <c r="ACA143" s="1056"/>
      <c r="ACB143" s="1056"/>
      <c r="ACC143" s="1056"/>
      <c r="ACD143" s="1056"/>
      <c r="ACE143" s="1056"/>
      <c r="ACF143" s="1056"/>
      <c r="ACG143" s="1056"/>
      <c r="ACH143" s="1056"/>
      <c r="ACI143" s="1056"/>
      <c r="ACJ143" s="1056"/>
      <c r="ACK143" s="1056"/>
      <c r="ACL143" s="1056"/>
      <c r="ACM143" s="1056"/>
      <c r="ACN143" s="1056"/>
      <c r="ACO143" s="1056"/>
      <c r="ACP143" s="1056"/>
      <c r="ACQ143" s="1056"/>
      <c r="ACR143" s="1056"/>
      <c r="ACS143" s="1056"/>
      <c r="ACT143" s="1056"/>
      <c r="ACU143" s="1056"/>
      <c r="ACV143" s="1056"/>
      <c r="ACW143" s="1056"/>
      <c r="ACX143" s="1056"/>
      <c r="ACY143" s="1056"/>
      <c r="ACZ143" s="1056"/>
      <c r="ADA143" s="1056"/>
      <c r="ADB143" s="1056"/>
      <c r="ADC143" s="1056"/>
      <c r="ADD143" s="1056"/>
      <c r="ADE143" s="1056"/>
      <c r="ADF143" s="1056"/>
      <c r="ADG143" s="1056"/>
      <c r="ADH143" s="1056"/>
      <c r="ADI143" s="1056"/>
      <c r="ADJ143" s="1056"/>
      <c r="ADK143" s="1056"/>
      <c r="ADL143" s="1056"/>
      <c r="ADM143" s="1056"/>
      <c r="ADN143" s="1056"/>
      <c r="ADO143" s="1056"/>
      <c r="ADP143" s="1056"/>
      <c r="ADQ143" s="1056"/>
      <c r="ADR143" s="1056"/>
      <c r="ADS143" s="1056"/>
      <c r="ADT143" s="1056"/>
      <c r="ADU143" s="1056"/>
      <c r="ADV143" s="1056"/>
      <c r="ADW143" s="1056"/>
      <c r="ADX143" s="1056"/>
      <c r="ADY143" s="1056"/>
      <c r="ADZ143" s="1056"/>
      <c r="AEA143" s="1056"/>
      <c r="AEB143" s="1056"/>
      <c r="AEC143" s="1056"/>
      <c r="AED143" s="1056"/>
      <c r="AEE143" s="1056"/>
      <c r="AEF143" s="1056"/>
      <c r="AEG143" s="1056"/>
      <c r="AEH143" s="1056"/>
      <c r="AEI143" s="1056"/>
      <c r="AEJ143" s="1056"/>
      <c r="AEK143" s="1056"/>
      <c r="AEL143" s="1056"/>
      <c r="AEM143" s="1056"/>
      <c r="AEN143" s="1056"/>
      <c r="AEO143" s="1056"/>
      <c r="AEP143" s="1056"/>
      <c r="AEQ143" s="1056"/>
      <c r="AER143" s="1056"/>
      <c r="AES143" s="1056"/>
      <c r="AET143" s="1056"/>
      <c r="AEU143" s="1056"/>
      <c r="AEV143" s="1056"/>
      <c r="AEW143" s="1056"/>
      <c r="AEX143" s="1056"/>
      <c r="AEY143" s="1056"/>
      <c r="AEZ143" s="1056"/>
      <c r="AFA143" s="1056"/>
      <c r="AFB143" s="1056"/>
      <c r="AFC143" s="1056"/>
      <c r="AFD143" s="1056"/>
      <c r="AFE143" s="1056"/>
      <c r="AFF143" s="1056"/>
      <c r="AFG143" s="1056"/>
      <c r="AFH143" s="1056"/>
      <c r="AFI143" s="1056"/>
      <c r="AFJ143" s="1056"/>
      <c r="AFK143" s="1056"/>
      <c r="AFL143" s="1056"/>
      <c r="AFM143" s="1056"/>
      <c r="AFN143" s="1056"/>
      <c r="AFO143" s="1056"/>
      <c r="AFP143" s="1056"/>
      <c r="AFQ143" s="1056"/>
      <c r="AFR143" s="1056"/>
      <c r="AFS143" s="1056"/>
      <c r="AFT143" s="1056"/>
      <c r="AFU143" s="1056"/>
      <c r="AFV143" s="1056"/>
      <c r="AFW143" s="1056"/>
      <c r="AFX143" s="1056"/>
      <c r="AFY143" s="1056"/>
      <c r="AFZ143" s="1056"/>
      <c r="AGA143" s="1056"/>
      <c r="AGB143" s="1056"/>
      <c r="AGC143" s="1056"/>
      <c r="AGD143" s="1056"/>
      <c r="AGE143" s="1056"/>
      <c r="AGF143" s="1056"/>
      <c r="AGG143" s="1056"/>
      <c r="AGH143" s="1056"/>
      <c r="AGI143" s="1056"/>
      <c r="AGJ143" s="1056"/>
      <c r="AGK143" s="1056"/>
      <c r="AGL143" s="1056"/>
      <c r="AGM143" s="1056"/>
      <c r="AGN143" s="1056"/>
      <c r="AGO143" s="1056"/>
      <c r="AGP143" s="1056"/>
      <c r="AGQ143" s="1056"/>
      <c r="AGR143" s="1056"/>
      <c r="AGS143" s="1056"/>
      <c r="AGT143" s="1056"/>
      <c r="AGU143" s="1056"/>
      <c r="AGV143" s="1056"/>
      <c r="AGW143" s="1056"/>
      <c r="AGX143" s="1056"/>
      <c r="AGY143" s="1056"/>
      <c r="AGZ143" s="1056"/>
      <c r="AHA143" s="1056"/>
      <c r="AHB143" s="1056"/>
      <c r="AHC143" s="1056"/>
      <c r="AHD143" s="1056"/>
      <c r="AHE143" s="1056"/>
      <c r="AHF143" s="1056"/>
      <c r="AHG143" s="1056"/>
      <c r="AHH143" s="1056"/>
      <c r="AHI143" s="1056"/>
      <c r="AHJ143" s="1056"/>
      <c r="AHK143" s="1056"/>
      <c r="AHL143" s="1056"/>
      <c r="AHM143" s="1056"/>
      <c r="AHN143" s="1056"/>
      <c r="AHO143" s="1056"/>
      <c r="AHP143" s="1056"/>
      <c r="AHQ143" s="1056"/>
      <c r="AHR143" s="1056"/>
      <c r="AHS143" s="1056"/>
      <c r="AHT143" s="1056"/>
      <c r="AHU143" s="1056"/>
      <c r="AHV143" s="1056"/>
      <c r="AHW143" s="1056"/>
      <c r="AHX143" s="1056"/>
      <c r="AHY143" s="1056"/>
      <c r="AHZ143" s="1056"/>
      <c r="AIA143" s="1056"/>
      <c r="AIB143" s="1056"/>
      <c r="AIC143" s="1056"/>
      <c r="AID143" s="1056"/>
      <c r="AIE143" s="1056"/>
      <c r="AIF143" s="1056"/>
      <c r="AIG143" s="1056"/>
      <c r="AIH143" s="1056"/>
      <c r="AII143" s="1056"/>
      <c r="AIJ143" s="1056"/>
      <c r="AIK143" s="1056"/>
      <c r="AIL143" s="1056"/>
      <c r="AIM143" s="1056"/>
      <c r="AIN143" s="1056"/>
      <c r="AIO143" s="1056"/>
      <c r="AIP143" s="1056"/>
      <c r="AIQ143" s="1056"/>
      <c r="AIR143" s="1056"/>
      <c r="AIS143" s="1056"/>
      <c r="AIT143" s="1056"/>
      <c r="AIU143" s="1056"/>
      <c r="AIV143" s="1056"/>
      <c r="AIW143" s="1056"/>
      <c r="AIX143" s="1056"/>
      <c r="AIY143" s="1056"/>
      <c r="AIZ143" s="1056"/>
      <c r="AJA143" s="1056"/>
      <c r="AJB143" s="1056"/>
      <c r="AJC143" s="1056"/>
      <c r="AJD143" s="1056"/>
      <c r="AJE143" s="1056"/>
      <c r="AJF143" s="1056"/>
      <c r="AJG143" s="1056"/>
      <c r="AJH143" s="1056"/>
      <c r="AJI143" s="1056"/>
      <c r="AJJ143" s="1056"/>
      <c r="AJK143" s="1056"/>
      <c r="AJL143" s="1056"/>
      <c r="AJM143" s="1056"/>
      <c r="AJN143" s="1056"/>
      <c r="AJO143" s="1056"/>
      <c r="AJP143" s="1056"/>
      <c r="AJQ143" s="1056"/>
      <c r="AJR143" s="1056"/>
      <c r="AJS143" s="1056"/>
      <c r="AJT143" s="1056"/>
      <c r="AJU143" s="1056"/>
      <c r="AJV143" s="1056"/>
      <c r="AJW143" s="1056"/>
      <c r="AJX143" s="1056"/>
      <c r="AJY143" s="1056"/>
      <c r="AJZ143" s="1056"/>
      <c r="AKA143" s="1056"/>
      <c r="AKB143" s="1056"/>
      <c r="AKC143" s="1056"/>
      <c r="AKD143" s="1056"/>
      <c r="AKE143" s="1056"/>
      <c r="AKF143" s="1056"/>
      <c r="AKG143" s="1056"/>
      <c r="AKH143" s="1056"/>
      <c r="AKI143" s="1056"/>
      <c r="AKJ143" s="1056"/>
      <c r="AKK143" s="1056"/>
      <c r="AKL143" s="1056"/>
      <c r="AKM143" s="1056"/>
      <c r="AKN143" s="1056"/>
      <c r="AKO143" s="1056"/>
      <c r="AKP143" s="1056"/>
      <c r="AKQ143" s="1056"/>
      <c r="AKR143" s="1056"/>
      <c r="AKS143" s="1056"/>
      <c r="AKT143" s="1056"/>
      <c r="AKU143" s="1056"/>
      <c r="AKV143" s="1056"/>
      <c r="AKW143" s="1056"/>
      <c r="AKX143" s="1056"/>
      <c r="AKY143" s="1056"/>
      <c r="AKZ143" s="1056"/>
      <c r="ALA143" s="1056"/>
      <c r="ALB143" s="1056"/>
      <c r="ALC143" s="1056"/>
      <c r="ALD143" s="1056"/>
      <c r="ALE143" s="1056"/>
      <c r="ALF143" s="1056"/>
      <c r="ALG143" s="1056"/>
      <c r="ALH143" s="1056"/>
      <c r="ALI143" s="1056"/>
      <c r="ALJ143" s="1056"/>
      <c r="ALK143" s="1056"/>
      <c r="ALL143" s="1056"/>
      <c r="ALM143" s="1056"/>
      <c r="ALN143" s="1056"/>
      <c r="ALO143" s="1056"/>
      <c r="ALP143" s="1056"/>
      <c r="ALQ143" s="1056"/>
      <c r="ALR143" s="1056"/>
      <c r="ALS143" s="1056"/>
      <c r="ALT143" s="1056"/>
      <c r="ALU143" s="1056"/>
      <c r="ALV143" s="1056"/>
      <c r="ALW143" s="1056"/>
      <c r="ALX143" s="1056"/>
      <c r="ALY143" s="1056"/>
      <c r="ALZ143" s="1056"/>
      <c r="AMA143" s="1056"/>
      <c r="AMB143" s="1056"/>
      <c r="AMC143" s="1056"/>
      <c r="AMD143" s="1056"/>
      <c r="AME143" s="1056"/>
      <c r="AMF143" s="1056"/>
      <c r="AMG143" s="1056"/>
      <c r="AMH143" s="1056"/>
      <c r="AMI143" s="1056"/>
      <c r="AMJ143" s="1056"/>
      <c r="AMK143" s="1056"/>
      <c r="AML143" s="1056"/>
      <c r="AMM143" s="1056"/>
      <c r="AMN143" s="1056"/>
      <c r="AMO143" s="1056"/>
      <c r="AMP143" s="1056"/>
      <c r="AMQ143" s="1056"/>
      <c r="AMR143" s="1056"/>
      <c r="AMS143" s="1056"/>
      <c r="AMT143" s="1056"/>
      <c r="AMU143" s="1056"/>
      <c r="AMV143" s="1056"/>
      <c r="AMW143" s="1056"/>
      <c r="AMX143" s="1056"/>
      <c r="AMY143" s="1056"/>
      <c r="AMZ143" s="1056"/>
      <c r="ANA143" s="1056"/>
      <c r="ANB143" s="1056"/>
      <c r="ANC143" s="1056"/>
      <c r="AND143" s="1056"/>
      <c r="ANE143" s="1056"/>
      <c r="ANF143" s="1056"/>
      <c r="ANG143" s="1056"/>
      <c r="ANH143" s="1056"/>
      <c r="ANI143" s="1056"/>
      <c r="ANJ143" s="1056"/>
      <c r="ANK143" s="1056"/>
      <c r="ANL143" s="1056"/>
      <c r="ANM143" s="1056"/>
      <c r="ANN143" s="1056"/>
      <c r="ANO143" s="1056"/>
      <c r="ANP143" s="1056"/>
      <c r="ANQ143" s="1056"/>
      <c r="ANR143" s="1056"/>
      <c r="ANS143" s="1056"/>
      <c r="ANT143" s="1056"/>
      <c r="ANU143" s="1056"/>
      <c r="ANV143" s="1056"/>
      <c r="ANW143" s="1056"/>
      <c r="ANX143" s="1056"/>
      <c r="ANY143" s="1056"/>
      <c r="ANZ143" s="1056"/>
      <c r="AOA143" s="1056"/>
      <c r="AOB143" s="1056"/>
      <c r="AOC143" s="1056"/>
      <c r="AOD143" s="1056"/>
      <c r="AOE143" s="1056"/>
      <c r="AOF143" s="1056"/>
      <c r="AOG143" s="1056"/>
      <c r="AOH143" s="1056"/>
      <c r="AOI143" s="1056"/>
      <c r="AOJ143" s="1056"/>
      <c r="AOK143" s="1056"/>
      <c r="AOL143" s="1056"/>
      <c r="AOM143" s="1056"/>
      <c r="AON143" s="1056"/>
      <c r="AOO143" s="1056"/>
      <c r="AOP143" s="1056"/>
      <c r="AOQ143" s="1056"/>
      <c r="AOR143" s="1056"/>
      <c r="AOS143" s="1056"/>
      <c r="AOT143" s="1056"/>
      <c r="AOU143" s="1056"/>
      <c r="AOV143" s="1056"/>
      <c r="AOW143" s="1056"/>
      <c r="AOX143" s="1056"/>
      <c r="AOY143" s="1056"/>
      <c r="AOZ143" s="1056"/>
      <c r="APA143" s="1056"/>
      <c r="APB143" s="1056"/>
      <c r="APC143" s="1056"/>
      <c r="APD143" s="1056"/>
      <c r="APE143" s="1056"/>
      <c r="APF143" s="1056"/>
      <c r="APG143" s="1056"/>
      <c r="APH143" s="1056"/>
      <c r="API143" s="1056"/>
      <c r="APJ143" s="1056"/>
      <c r="APK143" s="1056"/>
      <c r="APL143" s="1056"/>
      <c r="APM143" s="1056"/>
      <c r="APN143" s="1056"/>
      <c r="APO143" s="1056"/>
      <c r="APP143" s="1056"/>
      <c r="APQ143" s="1056"/>
      <c r="APR143" s="1056"/>
      <c r="APS143" s="1056"/>
      <c r="APT143" s="1056"/>
      <c r="APU143" s="1056"/>
      <c r="APV143" s="1056"/>
      <c r="APW143" s="1056"/>
      <c r="APX143" s="1056"/>
      <c r="APY143" s="1056"/>
      <c r="APZ143" s="1056"/>
      <c r="AQA143" s="1056"/>
      <c r="AQB143" s="1056"/>
      <c r="AQC143" s="1056"/>
      <c r="AQD143" s="1056"/>
      <c r="AQE143" s="1056"/>
      <c r="AQF143" s="1056"/>
      <c r="AQG143" s="1056"/>
      <c r="AQH143" s="1056"/>
      <c r="AQI143" s="1056"/>
      <c r="AQJ143" s="1056"/>
      <c r="AQK143" s="1056"/>
      <c r="AQL143" s="1056"/>
      <c r="AQM143" s="1056"/>
      <c r="AQN143" s="1056"/>
      <c r="AQO143" s="1056"/>
      <c r="AQP143" s="1056"/>
      <c r="AQQ143" s="1056"/>
      <c r="AQR143" s="1056"/>
      <c r="AQS143" s="1056"/>
      <c r="AQT143" s="1056"/>
      <c r="AQU143" s="1056"/>
      <c r="AQV143" s="1056"/>
      <c r="AQW143" s="1056"/>
      <c r="AQX143" s="1056"/>
      <c r="AQY143" s="1056"/>
      <c r="AQZ143" s="1056"/>
      <c r="ARA143" s="1056"/>
      <c r="ARB143" s="1056"/>
      <c r="ARC143" s="1056"/>
      <c r="ARD143" s="1056"/>
      <c r="ARE143" s="1056"/>
      <c r="ARF143" s="1056"/>
      <c r="ARG143" s="1056"/>
      <c r="ARH143" s="1056"/>
      <c r="ARI143" s="1056"/>
      <c r="ARJ143" s="1056"/>
      <c r="ARK143" s="1056"/>
      <c r="ARL143" s="1056"/>
      <c r="ARM143" s="1056"/>
      <c r="ARN143" s="1056"/>
      <c r="ARO143" s="1056"/>
      <c r="ARP143" s="1056"/>
      <c r="ARQ143" s="1056"/>
      <c r="ARR143" s="1056"/>
      <c r="ARS143" s="1056"/>
      <c r="ART143" s="1056"/>
      <c r="ARU143" s="1056"/>
      <c r="ARV143" s="1056"/>
      <c r="ARW143" s="1056"/>
      <c r="ARX143" s="1056"/>
      <c r="ARY143" s="1056"/>
      <c r="ARZ143" s="1056"/>
      <c r="ASA143" s="1056"/>
      <c r="ASB143" s="1056"/>
      <c r="ASC143" s="1056"/>
      <c r="ASD143" s="1056"/>
      <c r="ASE143" s="1056"/>
      <c r="ASF143" s="1056"/>
      <c r="ASG143" s="1056"/>
      <c r="ASH143" s="1056"/>
      <c r="ASI143" s="1056"/>
      <c r="ASJ143" s="1056"/>
      <c r="ASK143" s="1056"/>
      <c r="ASL143" s="1056"/>
      <c r="ASM143" s="1056"/>
      <c r="ASN143" s="1056"/>
      <c r="ASO143" s="1056"/>
      <c r="ASP143" s="1056"/>
      <c r="ASQ143" s="1056"/>
      <c r="ASR143" s="1056"/>
      <c r="ASS143" s="1056"/>
      <c r="AST143" s="1056"/>
      <c r="ASU143" s="1056"/>
      <c r="ASV143" s="1056"/>
      <c r="ASW143" s="1056"/>
      <c r="ASX143" s="1056"/>
      <c r="ASY143" s="1056"/>
      <c r="ASZ143" s="1056"/>
      <c r="ATA143" s="1056"/>
      <c r="ATB143" s="1056"/>
      <c r="ATC143" s="1056"/>
      <c r="ATD143" s="1056"/>
      <c r="ATE143" s="1056"/>
      <c r="ATF143" s="1056"/>
      <c r="ATG143" s="1056"/>
      <c r="ATH143" s="1056"/>
      <c r="ATI143" s="1056"/>
      <c r="ATJ143" s="1056"/>
      <c r="ATK143" s="1056"/>
      <c r="ATL143" s="1056"/>
      <c r="ATM143" s="1056"/>
      <c r="ATN143" s="1056"/>
      <c r="ATO143" s="1056"/>
      <c r="ATP143" s="1056"/>
      <c r="ATQ143" s="1056"/>
      <c r="ATR143" s="1056"/>
      <c r="ATS143" s="1056"/>
      <c r="ATT143" s="1056"/>
      <c r="ATU143" s="1056"/>
      <c r="ATV143" s="1056"/>
      <c r="ATW143" s="1056"/>
      <c r="ATX143" s="1056"/>
      <c r="ATY143" s="1056"/>
      <c r="ATZ143" s="1056"/>
      <c r="AUA143" s="1056"/>
      <c r="AUB143" s="1056"/>
      <c r="AUC143" s="1056"/>
      <c r="AUD143" s="1056"/>
      <c r="AUE143" s="1056"/>
      <c r="AUF143" s="1056"/>
      <c r="AUG143" s="1056"/>
      <c r="AUH143" s="1056"/>
      <c r="AUI143" s="1056"/>
      <c r="AUJ143" s="1056"/>
      <c r="AUK143" s="1056"/>
      <c r="AUL143" s="1056"/>
      <c r="AUM143" s="1056"/>
      <c r="AUN143" s="1056"/>
      <c r="AUO143" s="1056"/>
      <c r="AUP143" s="1056"/>
      <c r="AUQ143" s="1056"/>
      <c r="AUR143" s="1056"/>
      <c r="AUS143" s="1056"/>
      <c r="AUT143" s="1056"/>
      <c r="AUU143" s="1056"/>
      <c r="AUV143" s="1056"/>
      <c r="AUW143" s="1056"/>
      <c r="AUX143" s="1056"/>
      <c r="AUY143" s="1056"/>
      <c r="AUZ143" s="1056"/>
      <c r="AVA143" s="1056"/>
      <c r="AVB143" s="1056"/>
      <c r="AVC143" s="1056"/>
      <c r="AVD143" s="1056"/>
      <c r="AVE143" s="1056"/>
      <c r="AVF143" s="1056"/>
      <c r="AVG143" s="1056"/>
      <c r="AVH143" s="1056"/>
      <c r="AVI143" s="1056"/>
      <c r="AVJ143" s="1056"/>
      <c r="AVK143" s="1056"/>
      <c r="AVL143" s="1056"/>
      <c r="AVM143" s="1056"/>
      <c r="AVN143" s="1056"/>
      <c r="AVO143" s="1056"/>
      <c r="AVP143" s="1056"/>
      <c r="AVQ143" s="1056"/>
      <c r="AVR143" s="1056"/>
      <c r="AVS143" s="1056"/>
      <c r="AVT143" s="1056"/>
      <c r="AVU143" s="1056"/>
      <c r="AVV143" s="1056"/>
      <c r="AVW143" s="1056"/>
      <c r="AVX143" s="1056"/>
      <c r="AVY143" s="1056"/>
      <c r="AVZ143" s="1056"/>
      <c r="AWA143" s="1056"/>
      <c r="AWB143" s="1056"/>
      <c r="AWC143" s="1056"/>
      <c r="AWD143" s="1056"/>
      <c r="AWE143" s="1056"/>
      <c r="AWF143" s="1056"/>
      <c r="AWG143" s="1056"/>
      <c r="AWH143" s="1056"/>
      <c r="AWI143" s="1056"/>
      <c r="AWJ143" s="1056"/>
      <c r="AWK143" s="1056"/>
      <c r="AWL143" s="1056"/>
      <c r="AWM143" s="1056"/>
      <c r="AWN143" s="1056"/>
      <c r="AWO143" s="1056"/>
      <c r="AWP143" s="1056"/>
      <c r="AWQ143" s="1056"/>
      <c r="AWR143" s="1056"/>
      <c r="AWS143" s="1056"/>
      <c r="AWT143" s="1056"/>
      <c r="AWU143" s="1056"/>
      <c r="AWV143" s="1056"/>
      <c r="AWW143" s="1056"/>
      <c r="AWX143" s="1056"/>
      <c r="AWY143" s="1056"/>
      <c r="AWZ143" s="1056"/>
      <c r="AXA143" s="1056"/>
      <c r="AXB143" s="1056"/>
      <c r="AXC143" s="1056"/>
      <c r="AXD143" s="1056"/>
      <c r="AXE143" s="1056"/>
      <c r="AXF143" s="1056"/>
      <c r="AXG143" s="1056"/>
      <c r="AXH143" s="1056"/>
      <c r="AXI143" s="1056"/>
      <c r="AXJ143" s="1056"/>
      <c r="AXK143" s="1056"/>
      <c r="AXL143" s="1056"/>
      <c r="AXM143" s="1056"/>
      <c r="AXN143" s="1056"/>
      <c r="AXO143" s="1056"/>
      <c r="AXP143" s="1056"/>
      <c r="AXQ143" s="1056"/>
      <c r="AXR143" s="1056"/>
      <c r="AXS143" s="1056"/>
      <c r="AXT143" s="1056"/>
      <c r="AXU143" s="1056"/>
      <c r="AXV143" s="1056"/>
      <c r="AXW143" s="1056"/>
      <c r="AXX143" s="1056"/>
      <c r="AXY143" s="1056"/>
      <c r="AXZ143" s="1056"/>
      <c r="AYA143" s="1056"/>
      <c r="AYB143" s="1056"/>
      <c r="AYC143" s="1056"/>
      <c r="AYD143" s="1056"/>
      <c r="AYE143" s="1056"/>
      <c r="AYF143" s="1056"/>
      <c r="AYG143" s="1056"/>
      <c r="AYH143" s="1056"/>
      <c r="AYI143" s="1056"/>
      <c r="AYJ143" s="1056"/>
      <c r="AYK143" s="1056"/>
      <c r="AYL143" s="1056"/>
      <c r="AYM143" s="1056"/>
      <c r="AYN143" s="1056"/>
      <c r="AYO143" s="1056"/>
      <c r="AYP143" s="1056"/>
      <c r="AYQ143" s="1056"/>
      <c r="AYR143" s="1056"/>
      <c r="AYS143" s="1056"/>
      <c r="AYT143" s="1056"/>
      <c r="AYU143" s="1056"/>
      <c r="AYV143" s="1056"/>
      <c r="AYW143" s="1056"/>
      <c r="AYX143" s="1056"/>
      <c r="AYY143" s="1056"/>
      <c r="AYZ143" s="1056"/>
      <c r="AZA143" s="1056"/>
      <c r="AZB143" s="1056"/>
      <c r="AZC143" s="1056"/>
      <c r="AZD143" s="1056"/>
      <c r="AZE143" s="1056"/>
      <c r="AZF143" s="1056"/>
      <c r="AZG143" s="1056"/>
      <c r="AZH143" s="1056"/>
      <c r="AZI143" s="1056"/>
      <c r="AZJ143" s="1056"/>
      <c r="AZK143" s="1056"/>
      <c r="AZL143" s="1056"/>
      <c r="AZM143" s="1056"/>
      <c r="AZN143" s="1056"/>
      <c r="AZO143" s="1056"/>
      <c r="AZP143" s="1056"/>
      <c r="AZQ143" s="1056"/>
      <c r="AZR143" s="1056"/>
      <c r="AZS143" s="1056"/>
      <c r="AZT143" s="1056"/>
      <c r="AZU143" s="1056"/>
      <c r="AZV143" s="1056"/>
      <c r="AZW143" s="1056"/>
      <c r="AZX143" s="1056"/>
      <c r="AZY143" s="1056"/>
      <c r="AZZ143" s="1056"/>
      <c r="BAA143" s="1056"/>
      <c r="BAB143" s="1056"/>
      <c r="BAC143" s="1056"/>
      <c r="BAD143" s="1056"/>
      <c r="BAE143" s="1056"/>
      <c r="BAF143" s="1056"/>
      <c r="BAG143" s="1056"/>
      <c r="BAH143" s="1056"/>
      <c r="BAI143" s="1056"/>
      <c r="BAJ143" s="1056"/>
      <c r="BAK143" s="1056"/>
      <c r="BAL143" s="1056"/>
      <c r="BAM143" s="1056"/>
      <c r="BAN143" s="1056"/>
      <c r="BAO143" s="1056"/>
      <c r="BAP143" s="1056"/>
      <c r="BAQ143" s="1056"/>
      <c r="BAR143" s="1056"/>
      <c r="BAS143" s="1056"/>
      <c r="BAT143" s="1056"/>
      <c r="BAU143" s="1056"/>
      <c r="BAV143" s="1056"/>
      <c r="BAW143" s="1056"/>
      <c r="BAX143" s="1056"/>
      <c r="BAY143" s="1056"/>
      <c r="BAZ143" s="1056"/>
      <c r="BBA143" s="1056"/>
      <c r="BBB143" s="1056"/>
      <c r="BBC143" s="1056"/>
      <c r="BBD143" s="1056"/>
      <c r="BBE143" s="1056"/>
      <c r="BBF143" s="1056"/>
      <c r="BBG143" s="1056"/>
      <c r="BBH143" s="1056"/>
      <c r="BBI143" s="1056"/>
      <c r="BBJ143" s="1056"/>
      <c r="BBK143" s="1056"/>
      <c r="BBL143" s="1056"/>
      <c r="BBM143" s="1056"/>
      <c r="BBN143" s="1056"/>
      <c r="BBO143" s="1056"/>
      <c r="BBP143" s="1056"/>
      <c r="BBQ143" s="1056"/>
      <c r="BBR143" s="1056"/>
      <c r="BBS143" s="1056"/>
      <c r="BBT143" s="1056"/>
      <c r="BBU143" s="1056"/>
      <c r="BBV143" s="1056"/>
      <c r="BBW143" s="1056"/>
      <c r="BBX143" s="1056"/>
      <c r="BBY143" s="1056"/>
      <c r="BBZ143" s="1056"/>
      <c r="BCA143" s="1056"/>
      <c r="BCB143" s="1056"/>
      <c r="BCC143" s="1056"/>
      <c r="BCD143" s="1056"/>
      <c r="BCE143" s="1056"/>
      <c r="BCF143" s="1056"/>
      <c r="BCG143" s="1056"/>
      <c r="BCH143" s="1056"/>
      <c r="BCI143" s="1056"/>
      <c r="BCJ143" s="1056"/>
      <c r="BCK143" s="1056"/>
      <c r="BCL143" s="1056"/>
      <c r="BCM143" s="1056"/>
      <c r="BCN143" s="1056"/>
      <c r="BCO143" s="1056"/>
      <c r="BCP143" s="1056"/>
      <c r="BCQ143" s="1056"/>
      <c r="BCR143" s="1056"/>
      <c r="BCS143" s="1056"/>
      <c r="BCT143" s="1056"/>
      <c r="BCU143" s="1056"/>
      <c r="BCV143" s="1056"/>
      <c r="BCW143" s="1056"/>
      <c r="BCX143" s="1056"/>
      <c r="BCY143" s="1056"/>
      <c r="BCZ143" s="1056"/>
      <c r="BDA143" s="1056"/>
      <c r="BDB143" s="1056"/>
      <c r="BDC143" s="1056"/>
      <c r="BDD143" s="1056"/>
      <c r="BDE143" s="1056"/>
      <c r="BDF143" s="1056"/>
      <c r="BDG143" s="1056"/>
      <c r="BDH143" s="1056"/>
      <c r="BDI143" s="1056"/>
      <c r="BDJ143" s="1056"/>
      <c r="BDK143" s="1056"/>
      <c r="BDL143" s="1056"/>
      <c r="BDM143" s="1056"/>
      <c r="BDN143" s="1056"/>
      <c r="BDO143" s="1056"/>
      <c r="BDP143" s="1056"/>
      <c r="BDQ143" s="1056"/>
      <c r="BDR143" s="1056"/>
      <c r="BDS143" s="1056"/>
      <c r="BDT143" s="1056"/>
      <c r="BDU143" s="1056"/>
      <c r="BDV143" s="1056"/>
      <c r="BDW143" s="1056"/>
      <c r="BDX143" s="1056"/>
      <c r="BDY143" s="1056"/>
      <c r="BDZ143" s="1056"/>
      <c r="BEA143" s="1056"/>
      <c r="BEB143" s="1056"/>
      <c r="BEC143" s="1056"/>
      <c r="BED143" s="1056"/>
      <c r="BEE143" s="1056"/>
      <c r="BEF143" s="1056"/>
      <c r="BEG143" s="1056"/>
      <c r="BEH143" s="1056"/>
      <c r="BEI143" s="1056"/>
      <c r="BEJ143" s="1056"/>
      <c r="BEK143" s="1056"/>
      <c r="BEL143" s="1056"/>
      <c r="BEM143" s="1056"/>
      <c r="BEN143" s="1056"/>
      <c r="BEO143" s="1056"/>
      <c r="BEP143" s="1056"/>
      <c r="BEQ143" s="1056"/>
      <c r="BER143" s="1056"/>
      <c r="BES143" s="1056"/>
      <c r="BET143" s="1056"/>
      <c r="BEU143" s="1056"/>
      <c r="BEV143" s="1056"/>
      <c r="BEW143" s="1056"/>
      <c r="BEX143" s="1056"/>
      <c r="BEY143" s="1056"/>
      <c r="BEZ143" s="1056"/>
      <c r="BFA143" s="1056"/>
      <c r="BFB143" s="1056"/>
      <c r="BFC143" s="1056"/>
      <c r="BFD143" s="1056"/>
      <c r="BFE143" s="1056"/>
      <c r="BFF143" s="1056"/>
      <c r="BFG143" s="1056"/>
      <c r="BFH143" s="1056"/>
      <c r="BFI143" s="1056"/>
      <c r="BFJ143" s="1056"/>
      <c r="BFK143" s="1056"/>
      <c r="BFL143" s="1056"/>
      <c r="BFM143" s="1056"/>
      <c r="BFN143" s="1056"/>
      <c r="BFO143" s="1056"/>
      <c r="BFP143" s="1056"/>
      <c r="BFQ143" s="1056"/>
      <c r="BFR143" s="1056"/>
      <c r="BFS143" s="1056"/>
      <c r="BFT143" s="1056"/>
      <c r="BFU143" s="1056"/>
      <c r="BFV143" s="1056"/>
      <c r="BFW143" s="1056"/>
      <c r="BFX143" s="1056"/>
      <c r="BFY143" s="1056"/>
      <c r="BFZ143" s="1056"/>
      <c r="BGA143" s="1056"/>
      <c r="BGB143" s="1056"/>
      <c r="BGC143" s="1056"/>
      <c r="BGD143" s="1056"/>
      <c r="BGE143" s="1056"/>
      <c r="BGF143" s="1056"/>
      <c r="BGG143" s="1056"/>
      <c r="BGH143" s="1056"/>
      <c r="BGI143" s="1056"/>
      <c r="BGJ143" s="1056"/>
      <c r="BGK143" s="1056"/>
      <c r="BGL143" s="1056"/>
      <c r="BGM143" s="1056"/>
      <c r="BGN143" s="1056"/>
      <c r="BGO143" s="1056"/>
      <c r="BGP143" s="1056"/>
      <c r="BGQ143" s="1056"/>
      <c r="BGR143" s="1056"/>
      <c r="BGS143" s="1056"/>
      <c r="BGT143" s="1056"/>
      <c r="BGU143" s="1056"/>
      <c r="BGV143" s="1056"/>
      <c r="BGW143" s="1056"/>
      <c r="BGX143" s="1056"/>
      <c r="BGY143" s="1056"/>
      <c r="BGZ143" s="1056"/>
      <c r="BHA143" s="1056"/>
      <c r="BHB143" s="1056"/>
      <c r="BHC143" s="1056"/>
      <c r="BHD143" s="1056"/>
      <c r="BHE143" s="1056"/>
      <c r="BHF143" s="1056"/>
      <c r="BHG143" s="1056"/>
      <c r="BHH143" s="1056"/>
      <c r="BHI143" s="1056"/>
      <c r="BHJ143" s="1056"/>
      <c r="BHK143" s="1056"/>
      <c r="BHL143" s="1056"/>
      <c r="BHM143" s="1056"/>
      <c r="BHN143" s="1056"/>
      <c r="BHO143" s="1056"/>
      <c r="BHP143" s="1056"/>
      <c r="BHQ143" s="1056"/>
      <c r="BHR143" s="1056"/>
      <c r="BHS143" s="1056"/>
      <c r="BHT143" s="1056"/>
      <c r="BHU143" s="1056"/>
      <c r="BHV143" s="1056"/>
      <c r="BHW143" s="1056"/>
      <c r="BHX143" s="1056"/>
      <c r="BHY143" s="1056"/>
      <c r="BHZ143" s="1056"/>
      <c r="BIA143" s="1056"/>
      <c r="BIB143" s="1056"/>
      <c r="BIC143" s="1056"/>
      <c r="BID143" s="1056"/>
      <c r="BIE143" s="1056"/>
      <c r="BIF143" s="1056"/>
      <c r="BIG143" s="1056"/>
      <c r="BIH143" s="1056"/>
      <c r="BII143" s="1056"/>
      <c r="BIJ143" s="1056"/>
      <c r="BIK143" s="1056"/>
      <c r="BIL143" s="1056"/>
      <c r="BIM143" s="1056"/>
      <c r="BIN143" s="1056"/>
      <c r="BIO143" s="1056"/>
      <c r="BIP143" s="1056"/>
      <c r="BIQ143" s="1056"/>
      <c r="BIR143" s="1056"/>
      <c r="BIS143" s="1056"/>
      <c r="BIT143" s="1056"/>
      <c r="BIU143" s="1056"/>
      <c r="BIV143" s="1056"/>
      <c r="BIW143" s="1056"/>
      <c r="BIX143" s="1056"/>
      <c r="BIY143" s="1056"/>
      <c r="BIZ143" s="1056"/>
      <c r="BJA143" s="1056"/>
      <c r="BJB143" s="1056"/>
      <c r="BJC143" s="1056"/>
      <c r="BJD143" s="1056"/>
      <c r="BJE143" s="1056"/>
      <c r="BJF143" s="1056"/>
      <c r="BJG143" s="1056"/>
      <c r="BJH143" s="1056"/>
      <c r="BJI143" s="1056"/>
      <c r="BJJ143" s="1056"/>
      <c r="BJK143" s="1056"/>
      <c r="BJL143" s="1056"/>
      <c r="BJM143" s="1056"/>
      <c r="BJN143" s="1056"/>
      <c r="BJO143" s="1056"/>
      <c r="BJP143" s="1056"/>
      <c r="BJQ143" s="1056"/>
      <c r="BJR143" s="1056"/>
      <c r="BJS143" s="1056"/>
      <c r="BJT143" s="1056"/>
      <c r="BJU143" s="1056"/>
      <c r="BJV143" s="1056"/>
      <c r="BJW143" s="1056"/>
      <c r="BJX143" s="1056"/>
      <c r="BJY143" s="1056"/>
      <c r="BJZ143" s="1056"/>
      <c r="BKA143" s="1056"/>
      <c r="BKB143" s="1056"/>
      <c r="BKC143" s="1056"/>
      <c r="BKD143" s="1056"/>
      <c r="BKE143" s="1056"/>
      <c r="BKF143" s="1056"/>
      <c r="BKG143" s="1056"/>
      <c r="BKH143" s="1056"/>
      <c r="BKI143" s="1056"/>
      <c r="BKJ143" s="1056"/>
      <c r="BKK143" s="1056"/>
      <c r="BKL143" s="1056"/>
      <c r="BKM143" s="1056"/>
      <c r="BKN143" s="1056"/>
      <c r="BKO143" s="1056"/>
      <c r="BKP143" s="1056"/>
      <c r="BKQ143" s="1056"/>
      <c r="BKR143" s="1056"/>
      <c r="BKS143" s="1056"/>
      <c r="BKT143" s="1056"/>
      <c r="BKU143" s="1056"/>
      <c r="BKV143" s="1056"/>
      <c r="BKW143" s="1056"/>
      <c r="BKX143" s="1056"/>
      <c r="BKY143" s="1056"/>
      <c r="BKZ143" s="1056"/>
      <c r="BLA143" s="1056"/>
      <c r="BLB143" s="1056"/>
      <c r="BLC143" s="1056"/>
      <c r="BLD143" s="1056"/>
      <c r="BLE143" s="1056"/>
      <c r="BLF143" s="1056"/>
      <c r="BLG143" s="1056"/>
      <c r="BLH143" s="1056"/>
      <c r="BLI143" s="1056"/>
      <c r="BLJ143" s="1056"/>
      <c r="BLK143" s="1056"/>
      <c r="BLL143" s="1056"/>
      <c r="BLM143" s="1056"/>
      <c r="BLN143" s="1056"/>
      <c r="BLO143" s="1056"/>
      <c r="BLP143" s="1056"/>
      <c r="BLQ143" s="1056"/>
      <c r="BLR143" s="1056"/>
      <c r="BLS143" s="1056"/>
      <c r="BLT143" s="1056"/>
      <c r="BLU143" s="1056"/>
      <c r="BLV143" s="1056"/>
      <c r="BLW143" s="1056"/>
      <c r="BLX143" s="1056"/>
      <c r="BLY143" s="1056"/>
      <c r="BLZ143" s="1056"/>
      <c r="BMA143" s="1056"/>
      <c r="BMB143" s="1056"/>
      <c r="BMC143" s="1056"/>
      <c r="BMD143" s="1056"/>
      <c r="BME143" s="1056"/>
      <c r="BMF143" s="1056"/>
      <c r="BMG143" s="1056"/>
      <c r="BMH143" s="1056"/>
      <c r="BMI143" s="1056"/>
      <c r="BMJ143" s="1056"/>
      <c r="BMK143" s="1056"/>
      <c r="BML143" s="1056"/>
      <c r="BMM143" s="1056"/>
      <c r="BMN143" s="1056"/>
      <c r="BMO143" s="1056"/>
      <c r="BMP143" s="1056"/>
      <c r="BMQ143" s="1056"/>
      <c r="BMR143" s="1056"/>
      <c r="BMS143" s="1056"/>
      <c r="BMT143" s="1056"/>
      <c r="BMU143" s="1056"/>
      <c r="BMV143" s="1056"/>
      <c r="BMW143" s="1056"/>
      <c r="BMX143" s="1056"/>
      <c r="BMY143" s="1056"/>
      <c r="BMZ143" s="1056"/>
      <c r="BNA143" s="1056"/>
      <c r="BNB143" s="1056"/>
      <c r="BNC143" s="1056"/>
      <c r="BND143" s="1056"/>
      <c r="BNE143" s="1056"/>
      <c r="BNF143" s="1056"/>
      <c r="BNG143" s="1056"/>
      <c r="BNH143" s="1056"/>
      <c r="BNI143" s="1056"/>
      <c r="BNJ143" s="1056"/>
      <c r="BNK143" s="1056"/>
      <c r="BNL143" s="1056"/>
      <c r="BNM143" s="1056"/>
      <c r="BNN143" s="1056"/>
      <c r="BNO143" s="1056"/>
      <c r="BNP143" s="1056"/>
      <c r="BNQ143" s="1056"/>
      <c r="BNR143" s="1056"/>
      <c r="BNS143" s="1056"/>
      <c r="BNT143" s="1056"/>
      <c r="BNU143" s="1056"/>
      <c r="BNV143" s="1056"/>
      <c r="BNW143" s="1056"/>
      <c r="BNX143" s="1056"/>
      <c r="BNY143" s="1056"/>
      <c r="BNZ143" s="1056"/>
      <c r="BOA143" s="1056"/>
      <c r="BOB143" s="1056"/>
      <c r="BOC143" s="1056"/>
      <c r="BOD143" s="1056"/>
      <c r="BOE143" s="1056"/>
      <c r="BOF143" s="1056"/>
      <c r="BOG143" s="1056"/>
      <c r="BOH143" s="1056"/>
      <c r="BOI143" s="1056"/>
      <c r="BOJ143" s="1056"/>
      <c r="BOK143" s="1056"/>
      <c r="BOL143" s="1056"/>
      <c r="BOM143" s="1056"/>
      <c r="BON143" s="1056"/>
      <c r="BOO143" s="1056"/>
      <c r="BOP143" s="1056"/>
      <c r="BOQ143" s="1056"/>
      <c r="BOR143" s="1056"/>
      <c r="BOS143" s="1056"/>
      <c r="BOT143" s="1056"/>
      <c r="BOU143" s="1056"/>
      <c r="BOV143" s="1056"/>
      <c r="BOW143" s="1056"/>
      <c r="BOX143" s="1056"/>
      <c r="BOY143" s="1056"/>
      <c r="BOZ143" s="1056"/>
      <c r="BPA143" s="1056"/>
      <c r="BPB143" s="1056"/>
      <c r="BPC143" s="1056"/>
      <c r="BPD143" s="1056"/>
      <c r="BPE143" s="1056"/>
      <c r="BPF143" s="1056"/>
      <c r="BPG143" s="1056"/>
      <c r="BPH143" s="1056"/>
      <c r="BPI143" s="1056"/>
      <c r="BPJ143" s="1056"/>
      <c r="BPK143" s="1056"/>
      <c r="BPL143" s="1056"/>
      <c r="BPM143" s="1056"/>
      <c r="BPN143" s="1056"/>
      <c r="BPO143" s="1056"/>
      <c r="BPP143" s="1056"/>
      <c r="BPQ143" s="1056"/>
      <c r="BPR143" s="1056"/>
      <c r="BPS143" s="1056"/>
      <c r="BPT143" s="1056"/>
      <c r="BPU143" s="1056"/>
      <c r="BPV143" s="1056"/>
      <c r="BPW143" s="1056"/>
      <c r="BPX143" s="1056"/>
      <c r="BPY143" s="1056"/>
      <c r="BPZ143" s="1056"/>
      <c r="BQA143" s="1056"/>
      <c r="BQB143" s="1056"/>
      <c r="BQC143" s="1056"/>
      <c r="BQD143" s="1056"/>
      <c r="BQE143" s="1056"/>
      <c r="BQF143" s="1056"/>
      <c r="BQG143" s="1056"/>
      <c r="BQH143" s="1056"/>
      <c r="BQI143" s="1056"/>
      <c r="BQJ143" s="1056"/>
      <c r="BQK143" s="1056"/>
      <c r="BQL143" s="1056"/>
      <c r="BQM143" s="1056"/>
      <c r="BQN143" s="1056"/>
      <c r="BQO143" s="1056"/>
      <c r="BQP143" s="1056"/>
      <c r="BQQ143" s="1056"/>
      <c r="BQR143" s="1056"/>
      <c r="BQS143" s="1056"/>
      <c r="BQT143" s="1056"/>
      <c r="BQU143" s="1056"/>
      <c r="BQV143" s="1056"/>
      <c r="BQW143" s="1056"/>
      <c r="BQX143" s="1056"/>
      <c r="BQY143" s="1056"/>
      <c r="BQZ143" s="1056"/>
      <c r="BRA143" s="1056"/>
      <c r="BRB143" s="1056"/>
      <c r="BRC143" s="1056"/>
      <c r="BRD143" s="1056"/>
      <c r="BRE143" s="1056"/>
      <c r="BRF143" s="1056"/>
      <c r="BRG143" s="1056"/>
      <c r="BRH143" s="1056"/>
      <c r="BRI143" s="1056"/>
      <c r="BRJ143" s="1056"/>
      <c r="BRK143" s="1056"/>
      <c r="BRL143" s="1056"/>
      <c r="BRM143" s="1056"/>
      <c r="BRN143" s="1056"/>
      <c r="BRO143" s="1056"/>
      <c r="BRP143" s="1056"/>
      <c r="BRQ143" s="1056"/>
      <c r="BRR143" s="1056"/>
      <c r="BRS143" s="1056"/>
      <c r="BRT143" s="1056"/>
      <c r="BRU143" s="1056"/>
      <c r="BRV143" s="1056"/>
      <c r="BRW143" s="1056"/>
      <c r="BRX143" s="1056"/>
      <c r="BRY143" s="1056"/>
      <c r="BRZ143" s="1056"/>
      <c r="BSA143" s="1056"/>
      <c r="BSB143" s="1056"/>
      <c r="BSC143" s="1056"/>
      <c r="BSD143" s="1056"/>
      <c r="BSE143" s="1056"/>
      <c r="BSF143" s="1056"/>
      <c r="BSG143" s="1056"/>
      <c r="BSH143" s="1056"/>
      <c r="BSI143" s="1056"/>
      <c r="BSJ143" s="1056"/>
      <c r="BSK143" s="1056"/>
      <c r="BSL143" s="1056"/>
      <c r="BSM143" s="1056"/>
      <c r="BSN143" s="1056"/>
      <c r="BSO143" s="1056"/>
      <c r="BSP143" s="1056"/>
      <c r="BSQ143" s="1056"/>
      <c r="BSR143" s="1056"/>
      <c r="BSS143" s="1056"/>
      <c r="BST143" s="1056"/>
      <c r="BSU143" s="1056"/>
      <c r="BSV143" s="1056"/>
      <c r="BSW143" s="1056"/>
      <c r="BSX143" s="1056"/>
      <c r="BSY143" s="1056"/>
      <c r="BSZ143" s="1056"/>
      <c r="BTA143" s="1056"/>
      <c r="BTB143" s="1056"/>
      <c r="BTC143" s="1056"/>
      <c r="BTD143" s="1056"/>
      <c r="BTE143" s="1056"/>
      <c r="BTF143" s="1056"/>
      <c r="BTG143" s="1056"/>
      <c r="BTH143" s="1056"/>
      <c r="BTI143" s="1056"/>
    </row>
    <row r="144" spans="1:1881" s="1060" customFormat="1" ht="80.25" hidden="1" customHeight="1" x14ac:dyDescent="0.3">
      <c r="A144" s="333">
        <v>637</v>
      </c>
      <c r="B144" s="1093" t="s">
        <v>409</v>
      </c>
      <c r="C144" s="1085" t="s">
        <v>413</v>
      </c>
      <c r="D144" s="1086" t="s">
        <v>1175</v>
      </c>
      <c r="E144" s="1053" t="e">
        <f>HLOOKUP($D$2,'2020 Data(H)'!$C$1:$AI$426,296,FALSE)</f>
        <v>#N/A</v>
      </c>
      <c r="F144" s="287">
        <v>0</v>
      </c>
      <c r="G144" s="738">
        <f>IF(F144&gt;F140,"Please review account numbers 637&gt;633",)</f>
        <v>0</v>
      </c>
      <c r="H144" s="1092"/>
      <c r="I144" s="1092"/>
      <c r="J144" s="1056"/>
      <c r="K144" s="1056"/>
      <c r="L144" s="1056"/>
      <c r="M144" s="1056"/>
      <c r="N144" s="1058"/>
      <c r="O144" s="1056"/>
      <c r="P144" s="1056"/>
      <c r="Q144" s="1056"/>
      <c r="R144" s="1056"/>
      <c r="S144" s="1056"/>
      <c r="T144" s="1056"/>
      <c r="U144" s="1056"/>
      <c r="V144" s="1056"/>
      <c r="W144" s="1056"/>
      <c r="X144" s="1056"/>
      <c r="Y144" s="1056"/>
      <c r="Z144" s="333"/>
      <c r="AA144" s="333"/>
      <c r="AB144" s="333"/>
      <c r="AC144" s="333"/>
      <c r="AD144" s="333"/>
      <c r="AE144" s="333"/>
      <c r="AF144" s="333"/>
      <c r="AG144" s="333"/>
      <c r="AH144" s="333"/>
      <c r="AI144" s="333"/>
      <c r="AJ144" s="333"/>
      <c r="AK144" s="333"/>
      <c r="AL144" s="333"/>
      <c r="AM144" s="333"/>
      <c r="AN144" s="333"/>
      <c r="AO144" s="333"/>
      <c r="AP144" s="333"/>
      <c r="AQ144" s="333"/>
      <c r="AR144" s="333"/>
      <c r="AS144" s="1056"/>
      <c r="AT144" s="1056"/>
      <c r="AU144" s="1056"/>
      <c r="AV144" s="1056"/>
      <c r="AW144" s="1056"/>
      <c r="AX144" s="1056"/>
      <c r="AY144" s="1056"/>
      <c r="AZ144" s="1056"/>
      <c r="BA144" s="1056"/>
      <c r="BB144" s="1056"/>
      <c r="BC144" s="1056"/>
      <c r="BD144" s="1056"/>
      <c r="BE144" s="1056"/>
      <c r="BF144" s="1056"/>
      <c r="BG144" s="1056"/>
      <c r="BH144" s="1056"/>
      <c r="BI144" s="1056"/>
      <c r="BJ144" s="1056"/>
      <c r="BK144" s="1056"/>
      <c r="BL144" s="1056"/>
      <c r="BM144" s="1056"/>
      <c r="BN144" s="1056"/>
      <c r="BO144" s="1056"/>
      <c r="BP144" s="1056"/>
      <c r="BQ144" s="1056"/>
      <c r="BR144" s="1056"/>
      <c r="BS144" s="1056"/>
      <c r="BT144" s="1056"/>
      <c r="BU144" s="1056"/>
      <c r="BV144" s="1056"/>
      <c r="BW144" s="1056"/>
      <c r="BX144" s="1056"/>
      <c r="BY144" s="1056"/>
      <c r="BZ144" s="1056"/>
      <c r="CA144" s="1056"/>
      <c r="CB144" s="1056"/>
      <c r="CC144" s="1056"/>
      <c r="CD144" s="1056"/>
      <c r="CE144" s="1056"/>
      <c r="CF144" s="1056"/>
      <c r="CG144" s="1056"/>
      <c r="CH144" s="1056"/>
      <c r="CI144" s="1056"/>
      <c r="CJ144" s="1056"/>
      <c r="CK144" s="1056"/>
      <c r="CL144" s="1056"/>
      <c r="CM144" s="1056"/>
      <c r="CN144" s="1056"/>
      <c r="CO144" s="1056"/>
      <c r="CP144" s="1056"/>
      <c r="CQ144" s="1056"/>
      <c r="CR144" s="1056"/>
      <c r="CS144" s="1056"/>
      <c r="CT144" s="1056"/>
      <c r="CU144" s="1056"/>
      <c r="CV144" s="1056"/>
      <c r="CW144" s="1056"/>
      <c r="CX144" s="1056"/>
      <c r="CY144" s="1056"/>
      <c r="CZ144" s="1056"/>
      <c r="DA144" s="1056"/>
      <c r="DB144" s="1056"/>
      <c r="DC144" s="1056"/>
      <c r="DD144" s="1056"/>
      <c r="DE144" s="1056"/>
      <c r="DF144" s="1056"/>
      <c r="DG144" s="1056"/>
      <c r="DH144" s="1056"/>
      <c r="DI144" s="1056"/>
      <c r="DJ144" s="1056"/>
      <c r="DK144" s="1056"/>
      <c r="DL144" s="1056"/>
      <c r="DM144" s="1056"/>
      <c r="DN144" s="1056"/>
      <c r="DO144" s="1056"/>
      <c r="DP144" s="1056"/>
      <c r="DQ144" s="1056"/>
      <c r="DR144" s="1056"/>
      <c r="DS144" s="1056"/>
      <c r="DT144" s="1056"/>
      <c r="DU144" s="1056"/>
      <c r="DV144" s="1056"/>
      <c r="DW144" s="1056"/>
      <c r="DX144" s="1056"/>
      <c r="DY144" s="1056"/>
      <c r="DZ144" s="1056"/>
      <c r="EA144" s="1056"/>
      <c r="EB144" s="1056"/>
      <c r="EC144" s="1056"/>
      <c r="ED144" s="1056"/>
      <c r="EE144" s="1056"/>
      <c r="EF144" s="1056"/>
      <c r="EG144" s="1056"/>
      <c r="EH144" s="1056"/>
      <c r="EI144" s="1056"/>
      <c r="EJ144" s="1056"/>
      <c r="EK144" s="1056"/>
      <c r="EL144" s="1056"/>
      <c r="EM144" s="1056"/>
      <c r="EN144" s="1056"/>
      <c r="EO144" s="1056"/>
      <c r="EP144" s="1056"/>
      <c r="EQ144" s="1056"/>
      <c r="ER144" s="1056"/>
      <c r="ES144" s="1056"/>
      <c r="ET144" s="1056"/>
      <c r="EU144" s="1056"/>
      <c r="EV144" s="1056"/>
      <c r="EW144" s="1056"/>
      <c r="EX144" s="1056"/>
      <c r="EY144" s="1056"/>
      <c r="EZ144" s="1056"/>
      <c r="FA144" s="1056"/>
      <c r="FB144" s="1056"/>
      <c r="FC144" s="1056"/>
      <c r="FD144" s="1056"/>
      <c r="FE144" s="1056"/>
      <c r="FF144" s="1056"/>
      <c r="FG144" s="1056"/>
      <c r="FH144" s="1056"/>
      <c r="FI144" s="1056"/>
      <c r="FJ144" s="1056"/>
      <c r="FK144" s="1056"/>
      <c r="FL144" s="1056"/>
      <c r="FM144" s="1056"/>
      <c r="FN144" s="1056"/>
      <c r="FO144" s="1056"/>
      <c r="FP144" s="1056"/>
      <c r="FQ144" s="1056"/>
      <c r="FR144" s="1056"/>
      <c r="FS144" s="1056"/>
      <c r="FT144" s="1056"/>
      <c r="FU144" s="1056"/>
      <c r="FV144" s="1056"/>
      <c r="FW144" s="1056"/>
      <c r="FX144" s="1056"/>
      <c r="FY144" s="1056"/>
      <c r="FZ144" s="1056"/>
      <c r="GA144" s="1056"/>
      <c r="GB144" s="1056"/>
      <c r="GC144" s="1056"/>
      <c r="GD144" s="1056"/>
      <c r="GE144" s="1056"/>
      <c r="GF144" s="1056"/>
      <c r="GG144" s="1056"/>
      <c r="GH144" s="1056"/>
      <c r="GI144" s="1056"/>
      <c r="GJ144" s="1056"/>
      <c r="GK144" s="1056"/>
      <c r="GL144" s="1056"/>
      <c r="GM144" s="1056"/>
      <c r="GN144" s="1056"/>
      <c r="GO144" s="1056"/>
      <c r="GP144" s="1056"/>
      <c r="GQ144" s="1056"/>
      <c r="GR144" s="1056"/>
      <c r="GS144" s="1056"/>
      <c r="GT144" s="1056"/>
      <c r="GU144" s="1056"/>
      <c r="GV144" s="1056"/>
      <c r="GW144" s="1056"/>
      <c r="GX144" s="1056"/>
      <c r="GY144" s="1056"/>
      <c r="GZ144" s="1056"/>
      <c r="HA144" s="1056"/>
      <c r="HB144" s="1056"/>
      <c r="HC144" s="1056"/>
      <c r="HD144" s="1056"/>
      <c r="HE144" s="1056"/>
      <c r="HF144" s="1056"/>
      <c r="HG144" s="1056"/>
      <c r="HH144" s="1056"/>
      <c r="HI144" s="1056"/>
      <c r="HJ144" s="1056"/>
      <c r="HK144" s="1056"/>
      <c r="HL144" s="1056"/>
      <c r="HM144" s="1056"/>
      <c r="HN144" s="1056"/>
      <c r="HO144" s="1056"/>
      <c r="HP144" s="1056"/>
      <c r="HQ144" s="1056"/>
      <c r="HR144" s="1056"/>
      <c r="HS144" s="1056"/>
      <c r="HT144" s="1056"/>
      <c r="HU144" s="1056"/>
      <c r="HV144" s="1056"/>
      <c r="HW144" s="1056"/>
      <c r="HX144" s="1056"/>
      <c r="HY144" s="1056"/>
      <c r="HZ144" s="1056"/>
      <c r="IA144" s="1056"/>
      <c r="IB144" s="1056"/>
      <c r="IC144" s="1056"/>
      <c r="ID144" s="1056"/>
      <c r="IE144" s="1056"/>
      <c r="IF144" s="1056"/>
      <c r="IG144" s="1056"/>
      <c r="IH144" s="1056"/>
      <c r="II144" s="1056"/>
      <c r="IJ144" s="1056"/>
      <c r="IK144" s="1056"/>
      <c r="IL144" s="1056"/>
      <c r="IM144" s="1056"/>
      <c r="IN144" s="1056"/>
      <c r="IO144" s="1056"/>
      <c r="IP144" s="1056"/>
      <c r="IQ144" s="1056"/>
      <c r="IR144" s="1056"/>
      <c r="IS144" s="1056"/>
      <c r="IT144" s="1056"/>
      <c r="IU144" s="1056"/>
      <c r="IV144" s="1056"/>
      <c r="IW144" s="1056"/>
      <c r="IX144" s="1056"/>
      <c r="IY144" s="1056"/>
      <c r="IZ144" s="1056"/>
      <c r="JA144" s="1056"/>
      <c r="JB144" s="1056"/>
      <c r="JC144" s="1056"/>
      <c r="JD144" s="1056"/>
      <c r="JE144" s="1056"/>
      <c r="JF144" s="1056"/>
      <c r="JG144" s="1056"/>
      <c r="JH144" s="1056"/>
      <c r="JI144" s="1056"/>
      <c r="JJ144" s="1056"/>
      <c r="JK144" s="1056"/>
      <c r="JL144" s="1056"/>
      <c r="JM144" s="1056"/>
      <c r="JN144" s="1056"/>
      <c r="JO144" s="1056"/>
      <c r="JP144" s="1056"/>
      <c r="JQ144" s="1056"/>
      <c r="JR144" s="1056"/>
      <c r="JS144" s="1056"/>
      <c r="JT144" s="1056"/>
      <c r="JU144" s="1056"/>
      <c r="JV144" s="1056"/>
      <c r="JW144" s="1056"/>
      <c r="JX144" s="1056"/>
      <c r="JY144" s="1056"/>
      <c r="JZ144" s="1056"/>
      <c r="KA144" s="1056"/>
      <c r="KB144" s="1056"/>
      <c r="KC144" s="1056"/>
      <c r="KD144" s="1056"/>
      <c r="KE144" s="1056"/>
      <c r="KF144" s="1056"/>
      <c r="KG144" s="1056"/>
      <c r="KH144" s="1056"/>
      <c r="KI144" s="1056"/>
      <c r="KJ144" s="1056"/>
      <c r="KK144" s="1056"/>
      <c r="KL144" s="1056"/>
      <c r="KM144" s="1056"/>
      <c r="KN144" s="1056"/>
      <c r="KO144" s="1056"/>
      <c r="KP144" s="1056"/>
      <c r="KQ144" s="1056"/>
      <c r="KR144" s="1056"/>
      <c r="KS144" s="1056"/>
      <c r="KT144" s="1056"/>
      <c r="KU144" s="1056"/>
      <c r="KV144" s="1056"/>
      <c r="KW144" s="1056"/>
      <c r="KX144" s="1056"/>
      <c r="KY144" s="1056"/>
      <c r="KZ144" s="1056"/>
      <c r="LA144" s="1056"/>
      <c r="LB144" s="1056"/>
      <c r="LC144" s="1056"/>
      <c r="LD144" s="1056"/>
      <c r="LE144" s="1056"/>
      <c r="LF144" s="1056"/>
      <c r="LG144" s="1056"/>
      <c r="LH144" s="1056"/>
      <c r="LI144" s="1056"/>
      <c r="LJ144" s="1056"/>
      <c r="LK144" s="1056"/>
      <c r="LL144" s="1056"/>
      <c r="LM144" s="1056"/>
      <c r="LN144" s="1056"/>
      <c r="LO144" s="1056"/>
      <c r="LP144" s="1056"/>
      <c r="LQ144" s="1056"/>
      <c r="LR144" s="1056"/>
      <c r="LS144" s="1056"/>
      <c r="LT144" s="1056"/>
      <c r="LU144" s="1056"/>
      <c r="LV144" s="1056"/>
      <c r="LW144" s="1056"/>
      <c r="LX144" s="1056"/>
      <c r="LY144" s="1056"/>
      <c r="LZ144" s="1056"/>
      <c r="MA144" s="1056"/>
      <c r="MB144" s="1056"/>
      <c r="MC144" s="1056"/>
      <c r="MD144" s="1056"/>
      <c r="ME144" s="1056"/>
      <c r="MF144" s="1056"/>
      <c r="MG144" s="1056"/>
      <c r="MH144" s="1056"/>
      <c r="MI144" s="1056"/>
      <c r="MJ144" s="1056"/>
      <c r="MK144" s="1056"/>
      <c r="ML144" s="1056"/>
      <c r="MM144" s="1056"/>
      <c r="MN144" s="1056"/>
      <c r="MO144" s="1056"/>
      <c r="MP144" s="1056"/>
      <c r="MQ144" s="1056"/>
      <c r="MR144" s="1056"/>
      <c r="MS144" s="1056"/>
      <c r="MT144" s="1056"/>
      <c r="MU144" s="1056"/>
      <c r="MV144" s="1056"/>
      <c r="MW144" s="1056"/>
      <c r="MX144" s="1056"/>
      <c r="MY144" s="1056"/>
      <c r="MZ144" s="1056"/>
      <c r="NA144" s="1056"/>
      <c r="NB144" s="1056"/>
      <c r="NC144" s="1056"/>
      <c r="ND144" s="1056"/>
      <c r="NE144" s="1056"/>
      <c r="NF144" s="1056"/>
      <c r="NG144" s="1056"/>
      <c r="NH144" s="1056"/>
      <c r="NI144" s="1056"/>
      <c r="NJ144" s="1056"/>
      <c r="NK144" s="1056"/>
      <c r="NL144" s="1056"/>
      <c r="NM144" s="1056"/>
      <c r="NN144" s="1056"/>
      <c r="NO144" s="1056"/>
      <c r="NP144" s="1056"/>
      <c r="NQ144" s="1056"/>
      <c r="NR144" s="1056"/>
      <c r="NS144" s="1056"/>
      <c r="NT144" s="1056"/>
      <c r="NU144" s="1056"/>
      <c r="NV144" s="1056"/>
      <c r="NW144" s="1056"/>
      <c r="NX144" s="1056"/>
      <c r="NY144" s="1056"/>
      <c r="NZ144" s="1056"/>
      <c r="OA144" s="1056"/>
      <c r="OB144" s="1056"/>
      <c r="OC144" s="1056"/>
      <c r="OD144" s="1056"/>
      <c r="OE144" s="1056"/>
      <c r="OF144" s="1056"/>
      <c r="OG144" s="1056"/>
      <c r="OH144" s="1056"/>
      <c r="OI144" s="1056"/>
      <c r="OJ144" s="1056"/>
      <c r="OK144" s="1056"/>
      <c r="OL144" s="1056"/>
      <c r="OM144" s="1056"/>
      <c r="ON144" s="1056"/>
      <c r="OO144" s="1056"/>
      <c r="OP144" s="1056"/>
      <c r="OQ144" s="1056"/>
      <c r="OR144" s="1056"/>
      <c r="OS144" s="1056"/>
      <c r="OT144" s="1056"/>
      <c r="OU144" s="1056"/>
      <c r="OV144" s="1056"/>
      <c r="OW144" s="1056"/>
      <c r="OX144" s="1056"/>
      <c r="OY144" s="1056"/>
      <c r="OZ144" s="1056"/>
      <c r="PA144" s="1056"/>
      <c r="PB144" s="1056"/>
      <c r="PC144" s="1056"/>
      <c r="PD144" s="1056"/>
      <c r="PE144" s="1056"/>
      <c r="PF144" s="1056"/>
      <c r="PG144" s="1056"/>
      <c r="PH144" s="1056"/>
      <c r="PI144" s="1056"/>
      <c r="PJ144" s="1056"/>
      <c r="PK144" s="1056"/>
      <c r="PL144" s="1056"/>
      <c r="PM144" s="1056"/>
      <c r="PN144" s="1056"/>
      <c r="PO144" s="1056"/>
      <c r="PP144" s="1056"/>
      <c r="PQ144" s="1056"/>
      <c r="PR144" s="1056"/>
      <c r="PS144" s="1056"/>
      <c r="PT144" s="1056"/>
      <c r="PU144" s="1056"/>
      <c r="PV144" s="1056"/>
      <c r="PW144" s="1056"/>
      <c r="PX144" s="1056"/>
      <c r="PY144" s="1056"/>
      <c r="PZ144" s="1056"/>
      <c r="QA144" s="1056"/>
      <c r="QB144" s="1056"/>
      <c r="QC144" s="1056"/>
      <c r="QD144" s="1056"/>
      <c r="QE144" s="1056"/>
      <c r="QF144" s="1056"/>
      <c r="QG144" s="1056"/>
      <c r="QH144" s="1056"/>
      <c r="QI144" s="1056"/>
      <c r="QJ144" s="1056"/>
      <c r="QK144" s="1056"/>
      <c r="QL144" s="1056"/>
      <c r="QM144" s="1056"/>
      <c r="QN144" s="1056"/>
      <c r="QO144" s="1056"/>
      <c r="QP144" s="1056"/>
      <c r="QQ144" s="1056"/>
      <c r="QR144" s="1056"/>
      <c r="QS144" s="1056"/>
      <c r="QT144" s="1056"/>
      <c r="QU144" s="1056"/>
      <c r="QV144" s="1056"/>
      <c r="QW144" s="1056"/>
      <c r="QX144" s="1056"/>
      <c r="QY144" s="1056"/>
      <c r="QZ144" s="1056"/>
      <c r="RA144" s="1056"/>
      <c r="RB144" s="1056"/>
      <c r="RC144" s="1056"/>
      <c r="RD144" s="1056"/>
      <c r="RE144" s="1056"/>
      <c r="RF144" s="1056"/>
      <c r="RG144" s="1056"/>
      <c r="RH144" s="1056"/>
      <c r="RI144" s="1056"/>
      <c r="RJ144" s="1056"/>
      <c r="RK144" s="1056"/>
      <c r="RL144" s="1056"/>
      <c r="RM144" s="1056"/>
      <c r="RN144" s="1056"/>
      <c r="RO144" s="1056"/>
      <c r="RP144" s="1056"/>
      <c r="RQ144" s="1056"/>
      <c r="RR144" s="1056"/>
      <c r="RS144" s="1056"/>
      <c r="RT144" s="1056"/>
      <c r="RU144" s="1056"/>
      <c r="RV144" s="1056"/>
      <c r="RW144" s="1056"/>
      <c r="RX144" s="1056"/>
      <c r="RY144" s="1056"/>
      <c r="RZ144" s="1056"/>
      <c r="SA144" s="1056"/>
      <c r="SB144" s="1056"/>
      <c r="SC144" s="1056"/>
      <c r="SD144" s="1056"/>
      <c r="SE144" s="1056"/>
      <c r="SF144" s="1056"/>
      <c r="SG144" s="1056"/>
      <c r="SH144" s="1056"/>
      <c r="SI144" s="1056"/>
      <c r="SJ144" s="1056"/>
      <c r="SK144" s="1056"/>
      <c r="SL144" s="1056"/>
      <c r="SM144" s="1056"/>
      <c r="SN144" s="1056"/>
      <c r="SO144" s="1056"/>
      <c r="SP144" s="1056"/>
      <c r="SQ144" s="1056"/>
      <c r="SR144" s="1056"/>
      <c r="SS144" s="1056"/>
      <c r="ST144" s="1056"/>
      <c r="SU144" s="1056"/>
      <c r="SV144" s="1056"/>
      <c r="SW144" s="1056"/>
      <c r="SX144" s="1056"/>
      <c r="SY144" s="1056"/>
      <c r="SZ144" s="1056"/>
      <c r="TA144" s="1056"/>
      <c r="TB144" s="1056"/>
      <c r="TC144" s="1056"/>
      <c r="TD144" s="1056"/>
      <c r="TE144" s="1056"/>
      <c r="TF144" s="1056"/>
      <c r="TG144" s="1056"/>
      <c r="TH144" s="1056"/>
      <c r="TI144" s="1056"/>
      <c r="TJ144" s="1056"/>
      <c r="TK144" s="1056"/>
      <c r="TL144" s="1056"/>
      <c r="TM144" s="1056"/>
      <c r="TN144" s="1056"/>
      <c r="TO144" s="1056"/>
      <c r="TP144" s="1056"/>
      <c r="TQ144" s="1056"/>
      <c r="TR144" s="1056"/>
      <c r="TS144" s="1056"/>
      <c r="TT144" s="1056"/>
      <c r="TU144" s="1056"/>
      <c r="TV144" s="1056"/>
      <c r="TW144" s="1056"/>
      <c r="TX144" s="1056"/>
      <c r="TY144" s="1056"/>
      <c r="TZ144" s="1056"/>
      <c r="UA144" s="1056"/>
      <c r="UB144" s="1056"/>
      <c r="UC144" s="1056"/>
      <c r="UD144" s="1056"/>
      <c r="UE144" s="1056"/>
      <c r="UF144" s="1056"/>
      <c r="UG144" s="1056"/>
      <c r="UH144" s="1056"/>
      <c r="UI144" s="1056"/>
      <c r="UJ144" s="1056"/>
      <c r="UK144" s="1056"/>
      <c r="UL144" s="1056"/>
      <c r="UM144" s="1056"/>
      <c r="UN144" s="1056"/>
      <c r="UO144" s="1056"/>
      <c r="UP144" s="1056"/>
      <c r="UQ144" s="1056"/>
      <c r="UR144" s="1056"/>
      <c r="US144" s="1056"/>
      <c r="UT144" s="1056"/>
      <c r="UU144" s="1056"/>
      <c r="UV144" s="1056"/>
      <c r="UW144" s="1056"/>
      <c r="UX144" s="1056"/>
      <c r="UY144" s="1056"/>
      <c r="UZ144" s="1056"/>
      <c r="VA144" s="1056"/>
      <c r="VB144" s="1056"/>
      <c r="VC144" s="1056"/>
      <c r="VD144" s="1056"/>
      <c r="VE144" s="1056"/>
      <c r="VF144" s="1056"/>
      <c r="VG144" s="1056"/>
      <c r="VH144" s="1056"/>
      <c r="VI144" s="1056"/>
      <c r="VJ144" s="1056"/>
      <c r="VK144" s="1056"/>
      <c r="VL144" s="1056"/>
      <c r="VM144" s="1056"/>
      <c r="VN144" s="1056"/>
      <c r="VO144" s="1056"/>
      <c r="VP144" s="1056"/>
      <c r="VQ144" s="1056"/>
      <c r="VR144" s="1056"/>
      <c r="VS144" s="1056"/>
      <c r="VT144" s="1056"/>
      <c r="VU144" s="1056"/>
      <c r="VV144" s="1056"/>
      <c r="VW144" s="1056"/>
      <c r="VX144" s="1056"/>
      <c r="VY144" s="1056"/>
      <c r="VZ144" s="1056"/>
      <c r="WA144" s="1056"/>
      <c r="WB144" s="1056"/>
      <c r="WC144" s="1056"/>
      <c r="WD144" s="1056"/>
      <c r="WE144" s="1056"/>
      <c r="WF144" s="1056"/>
      <c r="WG144" s="1056"/>
      <c r="WH144" s="1056"/>
      <c r="WI144" s="1056"/>
      <c r="WJ144" s="1056"/>
      <c r="WK144" s="1056"/>
      <c r="WL144" s="1056"/>
      <c r="WM144" s="1056"/>
      <c r="WN144" s="1056"/>
      <c r="WO144" s="1056"/>
      <c r="WP144" s="1056"/>
      <c r="WQ144" s="1056"/>
      <c r="WR144" s="1056"/>
      <c r="WS144" s="1056"/>
      <c r="WT144" s="1056"/>
      <c r="WU144" s="1056"/>
      <c r="WV144" s="1056"/>
      <c r="WW144" s="1056"/>
      <c r="WX144" s="1056"/>
      <c r="WY144" s="1056"/>
      <c r="WZ144" s="1056"/>
      <c r="XA144" s="1056"/>
      <c r="XB144" s="1056"/>
      <c r="XC144" s="1056"/>
      <c r="XD144" s="1056"/>
      <c r="XE144" s="1056"/>
      <c r="XF144" s="1056"/>
      <c r="XG144" s="1056"/>
      <c r="XH144" s="1056"/>
      <c r="XI144" s="1056"/>
      <c r="XJ144" s="1056"/>
      <c r="XK144" s="1056"/>
      <c r="XL144" s="1056"/>
      <c r="XM144" s="1056"/>
      <c r="XN144" s="1056"/>
      <c r="XO144" s="1056"/>
      <c r="XP144" s="1056"/>
      <c r="XQ144" s="1056"/>
      <c r="XR144" s="1056"/>
      <c r="XS144" s="1056"/>
      <c r="XT144" s="1056"/>
      <c r="XU144" s="1056"/>
      <c r="XV144" s="1056"/>
      <c r="XW144" s="1056"/>
      <c r="XX144" s="1056"/>
      <c r="XY144" s="1056"/>
      <c r="XZ144" s="1056"/>
      <c r="YA144" s="1056"/>
      <c r="YB144" s="1056"/>
      <c r="YC144" s="1056"/>
      <c r="YD144" s="1056"/>
      <c r="YE144" s="1056"/>
      <c r="YF144" s="1056"/>
      <c r="YG144" s="1056"/>
      <c r="YH144" s="1056"/>
      <c r="YI144" s="1056"/>
      <c r="YJ144" s="1056"/>
      <c r="YK144" s="1056"/>
      <c r="YL144" s="1056"/>
      <c r="YM144" s="1056"/>
      <c r="YN144" s="1056"/>
      <c r="YO144" s="1056"/>
      <c r="YP144" s="1056"/>
      <c r="YQ144" s="1056"/>
      <c r="YR144" s="1056"/>
      <c r="YS144" s="1056"/>
      <c r="YT144" s="1056"/>
      <c r="YU144" s="1056"/>
      <c r="YV144" s="1056"/>
      <c r="YW144" s="1056"/>
      <c r="YX144" s="1056"/>
      <c r="YY144" s="1056"/>
      <c r="YZ144" s="1056"/>
      <c r="ZA144" s="1056"/>
      <c r="ZB144" s="1056"/>
      <c r="ZC144" s="1056"/>
      <c r="ZD144" s="1056"/>
      <c r="ZE144" s="1056"/>
      <c r="ZF144" s="1056"/>
      <c r="ZG144" s="1056"/>
      <c r="ZH144" s="1056"/>
      <c r="ZI144" s="1056"/>
      <c r="ZJ144" s="1056"/>
      <c r="ZK144" s="1056"/>
      <c r="ZL144" s="1056"/>
      <c r="ZM144" s="1056"/>
      <c r="ZN144" s="1056"/>
      <c r="ZO144" s="1056"/>
      <c r="ZP144" s="1056"/>
      <c r="ZQ144" s="1056"/>
      <c r="ZR144" s="1056"/>
      <c r="ZS144" s="1056"/>
      <c r="ZT144" s="1056"/>
      <c r="ZU144" s="1056"/>
      <c r="ZV144" s="1056"/>
      <c r="ZW144" s="1056"/>
      <c r="ZX144" s="1056"/>
      <c r="ZY144" s="1056"/>
      <c r="ZZ144" s="1056"/>
      <c r="AAA144" s="1056"/>
      <c r="AAB144" s="1056"/>
      <c r="AAC144" s="1056"/>
      <c r="AAD144" s="1056"/>
      <c r="AAE144" s="1056"/>
      <c r="AAF144" s="1056"/>
      <c r="AAG144" s="1056"/>
      <c r="AAH144" s="1056"/>
      <c r="AAI144" s="1056"/>
      <c r="AAJ144" s="1056"/>
      <c r="AAK144" s="1056"/>
      <c r="AAL144" s="1056"/>
      <c r="AAM144" s="1056"/>
      <c r="AAN144" s="1056"/>
      <c r="AAO144" s="1056"/>
      <c r="AAP144" s="1056"/>
      <c r="AAQ144" s="1056"/>
      <c r="AAR144" s="1056"/>
      <c r="AAS144" s="1056"/>
      <c r="AAT144" s="1056"/>
      <c r="AAU144" s="1056"/>
      <c r="AAV144" s="1056"/>
      <c r="AAW144" s="1056"/>
      <c r="AAX144" s="1056"/>
      <c r="AAY144" s="1056"/>
      <c r="AAZ144" s="1056"/>
      <c r="ABA144" s="1056"/>
      <c r="ABB144" s="1056"/>
      <c r="ABC144" s="1056"/>
      <c r="ABD144" s="1056"/>
      <c r="ABE144" s="1056"/>
      <c r="ABF144" s="1056"/>
      <c r="ABG144" s="1056"/>
      <c r="ABH144" s="1056"/>
      <c r="ABI144" s="1056"/>
      <c r="ABJ144" s="1056"/>
      <c r="ABK144" s="1056"/>
      <c r="ABL144" s="1056"/>
      <c r="ABM144" s="1056"/>
      <c r="ABN144" s="1056"/>
      <c r="ABO144" s="1056"/>
      <c r="ABP144" s="1056"/>
      <c r="ABQ144" s="1056"/>
      <c r="ABR144" s="1056"/>
      <c r="ABS144" s="1056"/>
      <c r="ABT144" s="1056"/>
      <c r="ABU144" s="1056"/>
      <c r="ABV144" s="1056"/>
      <c r="ABW144" s="1056"/>
      <c r="ABX144" s="1056"/>
      <c r="ABY144" s="1056"/>
      <c r="ABZ144" s="1056"/>
      <c r="ACA144" s="1056"/>
      <c r="ACB144" s="1056"/>
      <c r="ACC144" s="1056"/>
      <c r="ACD144" s="1056"/>
      <c r="ACE144" s="1056"/>
      <c r="ACF144" s="1056"/>
      <c r="ACG144" s="1056"/>
      <c r="ACH144" s="1056"/>
      <c r="ACI144" s="1056"/>
      <c r="ACJ144" s="1056"/>
      <c r="ACK144" s="1056"/>
      <c r="ACL144" s="1056"/>
      <c r="ACM144" s="1056"/>
      <c r="ACN144" s="1056"/>
      <c r="ACO144" s="1056"/>
      <c r="ACP144" s="1056"/>
      <c r="ACQ144" s="1056"/>
      <c r="ACR144" s="1056"/>
      <c r="ACS144" s="1056"/>
      <c r="ACT144" s="1056"/>
      <c r="ACU144" s="1056"/>
      <c r="ACV144" s="1056"/>
      <c r="ACW144" s="1056"/>
      <c r="ACX144" s="1056"/>
      <c r="ACY144" s="1056"/>
      <c r="ACZ144" s="1056"/>
      <c r="ADA144" s="1056"/>
      <c r="ADB144" s="1056"/>
      <c r="ADC144" s="1056"/>
      <c r="ADD144" s="1056"/>
      <c r="ADE144" s="1056"/>
      <c r="ADF144" s="1056"/>
      <c r="ADG144" s="1056"/>
      <c r="ADH144" s="1056"/>
      <c r="ADI144" s="1056"/>
      <c r="ADJ144" s="1056"/>
      <c r="ADK144" s="1056"/>
      <c r="ADL144" s="1056"/>
      <c r="ADM144" s="1056"/>
      <c r="ADN144" s="1056"/>
      <c r="ADO144" s="1056"/>
      <c r="ADP144" s="1056"/>
      <c r="ADQ144" s="1056"/>
      <c r="ADR144" s="1056"/>
      <c r="ADS144" s="1056"/>
      <c r="ADT144" s="1056"/>
      <c r="ADU144" s="1056"/>
      <c r="ADV144" s="1056"/>
      <c r="ADW144" s="1056"/>
      <c r="ADX144" s="1056"/>
      <c r="ADY144" s="1056"/>
      <c r="ADZ144" s="1056"/>
      <c r="AEA144" s="1056"/>
      <c r="AEB144" s="1056"/>
      <c r="AEC144" s="1056"/>
      <c r="AED144" s="1056"/>
      <c r="AEE144" s="1056"/>
      <c r="AEF144" s="1056"/>
      <c r="AEG144" s="1056"/>
      <c r="AEH144" s="1056"/>
      <c r="AEI144" s="1056"/>
      <c r="AEJ144" s="1056"/>
      <c r="AEK144" s="1056"/>
      <c r="AEL144" s="1056"/>
      <c r="AEM144" s="1056"/>
      <c r="AEN144" s="1056"/>
      <c r="AEO144" s="1056"/>
      <c r="AEP144" s="1056"/>
      <c r="AEQ144" s="1056"/>
      <c r="AER144" s="1056"/>
      <c r="AES144" s="1056"/>
      <c r="AET144" s="1056"/>
      <c r="AEU144" s="1056"/>
      <c r="AEV144" s="1056"/>
      <c r="AEW144" s="1056"/>
      <c r="AEX144" s="1056"/>
      <c r="AEY144" s="1056"/>
      <c r="AEZ144" s="1056"/>
      <c r="AFA144" s="1056"/>
      <c r="AFB144" s="1056"/>
      <c r="AFC144" s="1056"/>
      <c r="AFD144" s="1056"/>
      <c r="AFE144" s="1056"/>
      <c r="AFF144" s="1056"/>
      <c r="AFG144" s="1056"/>
      <c r="AFH144" s="1056"/>
      <c r="AFI144" s="1056"/>
      <c r="AFJ144" s="1056"/>
      <c r="AFK144" s="1056"/>
      <c r="AFL144" s="1056"/>
      <c r="AFM144" s="1056"/>
      <c r="AFN144" s="1056"/>
      <c r="AFO144" s="1056"/>
      <c r="AFP144" s="1056"/>
      <c r="AFQ144" s="1056"/>
      <c r="AFR144" s="1056"/>
      <c r="AFS144" s="1056"/>
      <c r="AFT144" s="1056"/>
      <c r="AFU144" s="1056"/>
      <c r="AFV144" s="1056"/>
      <c r="AFW144" s="1056"/>
      <c r="AFX144" s="1056"/>
      <c r="AFY144" s="1056"/>
      <c r="AFZ144" s="1056"/>
      <c r="AGA144" s="1056"/>
      <c r="AGB144" s="1056"/>
      <c r="AGC144" s="1056"/>
      <c r="AGD144" s="1056"/>
      <c r="AGE144" s="1056"/>
      <c r="AGF144" s="1056"/>
      <c r="AGG144" s="1056"/>
      <c r="AGH144" s="1056"/>
      <c r="AGI144" s="1056"/>
      <c r="AGJ144" s="1056"/>
      <c r="AGK144" s="1056"/>
      <c r="AGL144" s="1056"/>
      <c r="AGM144" s="1056"/>
      <c r="AGN144" s="1056"/>
      <c r="AGO144" s="1056"/>
      <c r="AGP144" s="1056"/>
      <c r="AGQ144" s="1056"/>
      <c r="AGR144" s="1056"/>
      <c r="AGS144" s="1056"/>
      <c r="AGT144" s="1056"/>
      <c r="AGU144" s="1056"/>
      <c r="AGV144" s="1056"/>
      <c r="AGW144" s="1056"/>
      <c r="AGX144" s="1056"/>
      <c r="AGY144" s="1056"/>
      <c r="AGZ144" s="1056"/>
      <c r="AHA144" s="1056"/>
      <c r="AHB144" s="1056"/>
      <c r="AHC144" s="1056"/>
      <c r="AHD144" s="1056"/>
      <c r="AHE144" s="1056"/>
      <c r="AHF144" s="1056"/>
      <c r="AHG144" s="1056"/>
      <c r="AHH144" s="1056"/>
      <c r="AHI144" s="1056"/>
      <c r="AHJ144" s="1056"/>
      <c r="AHK144" s="1056"/>
      <c r="AHL144" s="1056"/>
      <c r="AHM144" s="1056"/>
      <c r="AHN144" s="1056"/>
      <c r="AHO144" s="1056"/>
      <c r="AHP144" s="1056"/>
      <c r="AHQ144" s="1056"/>
      <c r="AHR144" s="1056"/>
      <c r="AHS144" s="1056"/>
      <c r="AHT144" s="1056"/>
      <c r="AHU144" s="1056"/>
      <c r="AHV144" s="1056"/>
      <c r="AHW144" s="1056"/>
      <c r="AHX144" s="1056"/>
      <c r="AHY144" s="1056"/>
      <c r="AHZ144" s="1056"/>
      <c r="AIA144" s="1056"/>
      <c r="AIB144" s="1056"/>
      <c r="AIC144" s="1056"/>
      <c r="AID144" s="1056"/>
      <c r="AIE144" s="1056"/>
      <c r="AIF144" s="1056"/>
      <c r="AIG144" s="1056"/>
      <c r="AIH144" s="1056"/>
      <c r="AII144" s="1056"/>
      <c r="AIJ144" s="1056"/>
      <c r="AIK144" s="1056"/>
      <c r="AIL144" s="1056"/>
      <c r="AIM144" s="1056"/>
      <c r="AIN144" s="1056"/>
      <c r="AIO144" s="1056"/>
      <c r="AIP144" s="1056"/>
      <c r="AIQ144" s="1056"/>
      <c r="AIR144" s="1056"/>
      <c r="AIS144" s="1056"/>
      <c r="AIT144" s="1056"/>
      <c r="AIU144" s="1056"/>
      <c r="AIV144" s="1056"/>
      <c r="AIW144" s="1056"/>
      <c r="AIX144" s="1056"/>
      <c r="AIY144" s="1056"/>
      <c r="AIZ144" s="1056"/>
      <c r="AJA144" s="1056"/>
      <c r="AJB144" s="1056"/>
      <c r="AJC144" s="1056"/>
      <c r="AJD144" s="1056"/>
      <c r="AJE144" s="1056"/>
      <c r="AJF144" s="1056"/>
      <c r="AJG144" s="1056"/>
      <c r="AJH144" s="1056"/>
      <c r="AJI144" s="1056"/>
      <c r="AJJ144" s="1056"/>
      <c r="AJK144" s="1056"/>
      <c r="AJL144" s="1056"/>
      <c r="AJM144" s="1056"/>
      <c r="AJN144" s="1056"/>
      <c r="AJO144" s="1056"/>
      <c r="AJP144" s="1056"/>
      <c r="AJQ144" s="1056"/>
      <c r="AJR144" s="1056"/>
      <c r="AJS144" s="1056"/>
      <c r="AJT144" s="1056"/>
      <c r="AJU144" s="1056"/>
      <c r="AJV144" s="1056"/>
      <c r="AJW144" s="1056"/>
      <c r="AJX144" s="1056"/>
      <c r="AJY144" s="1056"/>
      <c r="AJZ144" s="1056"/>
      <c r="AKA144" s="1056"/>
      <c r="AKB144" s="1056"/>
      <c r="AKC144" s="1056"/>
      <c r="AKD144" s="1056"/>
      <c r="AKE144" s="1056"/>
      <c r="AKF144" s="1056"/>
      <c r="AKG144" s="1056"/>
      <c r="AKH144" s="1056"/>
      <c r="AKI144" s="1056"/>
      <c r="AKJ144" s="1056"/>
      <c r="AKK144" s="1056"/>
      <c r="AKL144" s="1056"/>
      <c r="AKM144" s="1056"/>
      <c r="AKN144" s="1056"/>
      <c r="AKO144" s="1056"/>
      <c r="AKP144" s="1056"/>
      <c r="AKQ144" s="1056"/>
      <c r="AKR144" s="1056"/>
      <c r="AKS144" s="1056"/>
      <c r="AKT144" s="1056"/>
      <c r="AKU144" s="1056"/>
      <c r="AKV144" s="1056"/>
      <c r="AKW144" s="1056"/>
      <c r="AKX144" s="1056"/>
      <c r="AKY144" s="1056"/>
      <c r="AKZ144" s="1056"/>
      <c r="ALA144" s="1056"/>
      <c r="ALB144" s="1056"/>
      <c r="ALC144" s="1056"/>
      <c r="ALD144" s="1056"/>
      <c r="ALE144" s="1056"/>
      <c r="ALF144" s="1056"/>
      <c r="ALG144" s="1056"/>
      <c r="ALH144" s="1056"/>
      <c r="ALI144" s="1056"/>
      <c r="ALJ144" s="1056"/>
      <c r="ALK144" s="1056"/>
      <c r="ALL144" s="1056"/>
      <c r="ALM144" s="1056"/>
      <c r="ALN144" s="1056"/>
      <c r="ALO144" s="1056"/>
      <c r="ALP144" s="1056"/>
      <c r="ALQ144" s="1056"/>
      <c r="ALR144" s="1056"/>
      <c r="ALS144" s="1056"/>
      <c r="ALT144" s="1056"/>
      <c r="ALU144" s="1056"/>
      <c r="ALV144" s="1056"/>
      <c r="ALW144" s="1056"/>
      <c r="ALX144" s="1056"/>
      <c r="ALY144" s="1056"/>
      <c r="ALZ144" s="1056"/>
      <c r="AMA144" s="1056"/>
      <c r="AMB144" s="1056"/>
      <c r="AMC144" s="1056"/>
      <c r="AMD144" s="1056"/>
      <c r="AME144" s="1056"/>
      <c r="AMF144" s="1056"/>
      <c r="AMG144" s="1056"/>
      <c r="AMH144" s="1056"/>
      <c r="AMI144" s="1056"/>
      <c r="AMJ144" s="1056"/>
      <c r="AMK144" s="1056"/>
      <c r="AML144" s="1056"/>
      <c r="AMM144" s="1056"/>
      <c r="AMN144" s="1056"/>
      <c r="AMO144" s="1056"/>
      <c r="AMP144" s="1056"/>
      <c r="AMQ144" s="1056"/>
      <c r="AMR144" s="1056"/>
      <c r="AMS144" s="1056"/>
      <c r="AMT144" s="1056"/>
      <c r="AMU144" s="1056"/>
      <c r="AMV144" s="1056"/>
      <c r="AMW144" s="1056"/>
      <c r="AMX144" s="1056"/>
      <c r="AMY144" s="1056"/>
      <c r="AMZ144" s="1056"/>
      <c r="ANA144" s="1056"/>
      <c r="ANB144" s="1056"/>
      <c r="ANC144" s="1056"/>
      <c r="AND144" s="1056"/>
      <c r="ANE144" s="1056"/>
      <c r="ANF144" s="1056"/>
      <c r="ANG144" s="1056"/>
      <c r="ANH144" s="1056"/>
      <c r="ANI144" s="1056"/>
      <c r="ANJ144" s="1056"/>
      <c r="ANK144" s="1056"/>
      <c r="ANL144" s="1056"/>
      <c r="ANM144" s="1056"/>
      <c r="ANN144" s="1056"/>
      <c r="ANO144" s="1056"/>
      <c r="ANP144" s="1056"/>
      <c r="ANQ144" s="1056"/>
      <c r="ANR144" s="1056"/>
      <c r="ANS144" s="1056"/>
      <c r="ANT144" s="1056"/>
      <c r="ANU144" s="1056"/>
      <c r="ANV144" s="1056"/>
      <c r="ANW144" s="1056"/>
      <c r="ANX144" s="1056"/>
      <c r="ANY144" s="1056"/>
      <c r="ANZ144" s="1056"/>
      <c r="AOA144" s="1056"/>
      <c r="AOB144" s="1056"/>
      <c r="AOC144" s="1056"/>
      <c r="AOD144" s="1056"/>
      <c r="AOE144" s="1056"/>
      <c r="AOF144" s="1056"/>
      <c r="AOG144" s="1056"/>
      <c r="AOH144" s="1056"/>
      <c r="AOI144" s="1056"/>
      <c r="AOJ144" s="1056"/>
      <c r="AOK144" s="1056"/>
      <c r="AOL144" s="1056"/>
      <c r="AOM144" s="1056"/>
      <c r="AON144" s="1056"/>
      <c r="AOO144" s="1056"/>
      <c r="AOP144" s="1056"/>
      <c r="AOQ144" s="1056"/>
      <c r="AOR144" s="1056"/>
      <c r="AOS144" s="1056"/>
      <c r="AOT144" s="1056"/>
      <c r="AOU144" s="1056"/>
      <c r="AOV144" s="1056"/>
      <c r="AOW144" s="1056"/>
      <c r="AOX144" s="1056"/>
      <c r="AOY144" s="1056"/>
      <c r="AOZ144" s="1056"/>
      <c r="APA144" s="1056"/>
      <c r="APB144" s="1056"/>
      <c r="APC144" s="1056"/>
      <c r="APD144" s="1056"/>
      <c r="APE144" s="1056"/>
      <c r="APF144" s="1056"/>
      <c r="APG144" s="1056"/>
      <c r="APH144" s="1056"/>
      <c r="API144" s="1056"/>
      <c r="APJ144" s="1056"/>
      <c r="APK144" s="1056"/>
      <c r="APL144" s="1056"/>
      <c r="APM144" s="1056"/>
      <c r="APN144" s="1056"/>
      <c r="APO144" s="1056"/>
      <c r="APP144" s="1056"/>
      <c r="APQ144" s="1056"/>
      <c r="APR144" s="1056"/>
      <c r="APS144" s="1056"/>
      <c r="APT144" s="1056"/>
      <c r="APU144" s="1056"/>
      <c r="APV144" s="1056"/>
      <c r="APW144" s="1056"/>
      <c r="APX144" s="1056"/>
      <c r="APY144" s="1056"/>
      <c r="APZ144" s="1056"/>
      <c r="AQA144" s="1056"/>
      <c r="AQB144" s="1056"/>
      <c r="AQC144" s="1056"/>
      <c r="AQD144" s="1056"/>
      <c r="AQE144" s="1056"/>
      <c r="AQF144" s="1056"/>
      <c r="AQG144" s="1056"/>
      <c r="AQH144" s="1056"/>
      <c r="AQI144" s="1056"/>
      <c r="AQJ144" s="1056"/>
      <c r="AQK144" s="1056"/>
      <c r="AQL144" s="1056"/>
      <c r="AQM144" s="1056"/>
      <c r="AQN144" s="1056"/>
      <c r="AQO144" s="1056"/>
      <c r="AQP144" s="1056"/>
      <c r="AQQ144" s="1056"/>
      <c r="AQR144" s="1056"/>
      <c r="AQS144" s="1056"/>
      <c r="AQT144" s="1056"/>
      <c r="AQU144" s="1056"/>
      <c r="AQV144" s="1056"/>
      <c r="AQW144" s="1056"/>
      <c r="AQX144" s="1056"/>
      <c r="AQY144" s="1056"/>
      <c r="AQZ144" s="1056"/>
      <c r="ARA144" s="1056"/>
      <c r="ARB144" s="1056"/>
      <c r="ARC144" s="1056"/>
      <c r="ARD144" s="1056"/>
      <c r="ARE144" s="1056"/>
      <c r="ARF144" s="1056"/>
      <c r="ARG144" s="1056"/>
      <c r="ARH144" s="1056"/>
      <c r="ARI144" s="1056"/>
      <c r="ARJ144" s="1056"/>
      <c r="ARK144" s="1056"/>
      <c r="ARL144" s="1056"/>
      <c r="ARM144" s="1056"/>
      <c r="ARN144" s="1056"/>
      <c r="ARO144" s="1056"/>
      <c r="ARP144" s="1056"/>
      <c r="ARQ144" s="1056"/>
      <c r="ARR144" s="1056"/>
      <c r="ARS144" s="1056"/>
      <c r="ART144" s="1056"/>
      <c r="ARU144" s="1056"/>
      <c r="ARV144" s="1056"/>
      <c r="ARW144" s="1056"/>
      <c r="ARX144" s="1056"/>
      <c r="ARY144" s="1056"/>
      <c r="ARZ144" s="1056"/>
      <c r="ASA144" s="1056"/>
      <c r="ASB144" s="1056"/>
      <c r="ASC144" s="1056"/>
      <c r="ASD144" s="1056"/>
      <c r="ASE144" s="1056"/>
      <c r="ASF144" s="1056"/>
      <c r="ASG144" s="1056"/>
      <c r="ASH144" s="1056"/>
      <c r="ASI144" s="1056"/>
      <c r="ASJ144" s="1056"/>
      <c r="ASK144" s="1056"/>
      <c r="ASL144" s="1056"/>
      <c r="ASM144" s="1056"/>
      <c r="ASN144" s="1056"/>
      <c r="ASO144" s="1056"/>
      <c r="ASP144" s="1056"/>
      <c r="ASQ144" s="1056"/>
      <c r="ASR144" s="1056"/>
      <c r="ASS144" s="1056"/>
      <c r="AST144" s="1056"/>
      <c r="ASU144" s="1056"/>
      <c r="ASV144" s="1056"/>
      <c r="ASW144" s="1056"/>
      <c r="ASX144" s="1056"/>
      <c r="ASY144" s="1056"/>
      <c r="ASZ144" s="1056"/>
      <c r="ATA144" s="1056"/>
      <c r="ATB144" s="1056"/>
      <c r="ATC144" s="1056"/>
      <c r="ATD144" s="1056"/>
      <c r="ATE144" s="1056"/>
      <c r="ATF144" s="1056"/>
      <c r="ATG144" s="1056"/>
      <c r="ATH144" s="1056"/>
      <c r="ATI144" s="1056"/>
      <c r="ATJ144" s="1056"/>
      <c r="ATK144" s="1056"/>
      <c r="ATL144" s="1056"/>
      <c r="ATM144" s="1056"/>
      <c r="ATN144" s="1056"/>
      <c r="ATO144" s="1056"/>
      <c r="ATP144" s="1056"/>
      <c r="ATQ144" s="1056"/>
      <c r="ATR144" s="1056"/>
      <c r="ATS144" s="1056"/>
      <c r="ATT144" s="1056"/>
      <c r="ATU144" s="1056"/>
      <c r="ATV144" s="1056"/>
      <c r="ATW144" s="1056"/>
      <c r="ATX144" s="1056"/>
      <c r="ATY144" s="1056"/>
      <c r="ATZ144" s="1056"/>
      <c r="AUA144" s="1056"/>
      <c r="AUB144" s="1056"/>
      <c r="AUC144" s="1056"/>
      <c r="AUD144" s="1056"/>
      <c r="AUE144" s="1056"/>
      <c r="AUF144" s="1056"/>
      <c r="AUG144" s="1056"/>
      <c r="AUH144" s="1056"/>
      <c r="AUI144" s="1056"/>
      <c r="AUJ144" s="1056"/>
      <c r="AUK144" s="1056"/>
      <c r="AUL144" s="1056"/>
      <c r="AUM144" s="1056"/>
      <c r="AUN144" s="1056"/>
      <c r="AUO144" s="1056"/>
      <c r="AUP144" s="1056"/>
      <c r="AUQ144" s="1056"/>
      <c r="AUR144" s="1056"/>
      <c r="AUS144" s="1056"/>
      <c r="AUT144" s="1056"/>
      <c r="AUU144" s="1056"/>
      <c r="AUV144" s="1056"/>
      <c r="AUW144" s="1056"/>
      <c r="AUX144" s="1056"/>
      <c r="AUY144" s="1056"/>
      <c r="AUZ144" s="1056"/>
      <c r="AVA144" s="1056"/>
      <c r="AVB144" s="1056"/>
      <c r="AVC144" s="1056"/>
      <c r="AVD144" s="1056"/>
      <c r="AVE144" s="1056"/>
      <c r="AVF144" s="1056"/>
      <c r="AVG144" s="1056"/>
      <c r="AVH144" s="1056"/>
      <c r="AVI144" s="1056"/>
      <c r="AVJ144" s="1056"/>
      <c r="AVK144" s="1056"/>
      <c r="AVL144" s="1056"/>
      <c r="AVM144" s="1056"/>
      <c r="AVN144" s="1056"/>
      <c r="AVO144" s="1056"/>
      <c r="AVP144" s="1056"/>
      <c r="AVQ144" s="1056"/>
      <c r="AVR144" s="1056"/>
      <c r="AVS144" s="1056"/>
      <c r="AVT144" s="1056"/>
      <c r="AVU144" s="1056"/>
      <c r="AVV144" s="1056"/>
      <c r="AVW144" s="1056"/>
      <c r="AVX144" s="1056"/>
      <c r="AVY144" s="1056"/>
      <c r="AVZ144" s="1056"/>
      <c r="AWA144" s="1056"/>
      <c r="AWB144" s="1056"/>
      <c r="AWC144" s="1056"/>
      <c r="AWD144" s="1056"/>
      <c r="AWE144" s="1056"/>
      <c r="AWF144" s="1056"/>
      <c r="AWG144" s="1056"/>
      <c r="AWH144" s="1056"/>
      <c r="AWI144" s="1056"/>
      <c r="AWJ144" s="1056"/>
      <c r="AWK144" s="1056"/>
      <c r="AWL144" s="1056"/>
      <c r="AWM144" s="1056"/>
      <c r="AWN144" s="1056"/>
      <c r="AWO144" s="1056"/>
      <c r="AWP144" s="1056"/>
      <c r="AWQ144" s="1056"/>
      <c r="AWR144" s="1056"/>
      <c r="AWS144" s="1056"/>
      <c r="AWT144" s="1056"/>
      <c r="AWU144" s="1056"/>
      <c r="AWV144" s="1056"/>
      <c r="AWW144" s="1056"/>
      <c r="AWX144" s="1056"/>
      <c r="AWY144" s="1056"/>
      <c r="AWZ144" s="1056"/>
      <c r="AXA144" s="1056"/>
      <c r="AXB144" s="1056"/>
      <c r="AXC144" s="1056"/>
      <c r="AXD144" s="1056"/>
      <c r="AXE144" s="1056"/>
      <c r="AXF144" s="1056"/>
      <c r="AXG144" s="1056"/>
      <c r="AXH144" s="1056"/>
      <c r="AXI144" s="1056"/>
      <c r="AXJ144" s="1056"/>
      <c r="AXK144" s="1056"/>
      <c r="AXL144" s="1056"/>
      <c r="AXM144" s="1056"/>
      <c r="AXN144" s="1056"/>
      <c r="AXO144" s="1056"/>
      <c r="AXP144" s="1056"/>
      <c r="AXQ144" s="1056"/>
      <c r="AXR144" s="1056"/>
      <c r="AXS144" s="1056"/>
      <c r="AXT144" s="1056"/>
      <c r="AXU144" s="1056"/>
      <c r="AXV144" s="1056"/>
      <c r="AXW144" s="1056"/>
      <c r="AXX144" s="1056"/>
      <c r="AXY144" s="1056"/>
      <c r="AXZ144" s="1056"/>
      <c r="AYA144" s="1056"/>
      <c r="AYB144" s="1056"/>
      <c r="AYC144" s="1056"/>
      <c r="AYD144" s="1056"/>
      <c r="AYE144" s="1056"/>
      <c r="AYF144" s="1056"/>
      <c r="AYG144" s="1056"/>
      <c r="AYH144" s="1056"/>
      <c r="AYI144" s="1056"/>
      <c r="AYJ144" s="1056"/>
      <c r="AYK144" s="1056"/>
      <c r="AYL144" s="1056"/>
      <c r="AYM144" s="1056"/>
      <c r="AYN144" s="1056"/>
      <c r="AYO144" s="1056"/>
      <c r="AYP144" s="1056"/>
      <c r="AYQ144" s="1056"/>
      <c r="AYR144" s="1056"/>
      <c r="AYS144" s="1056"/>
      <c r="AYT144" s="1056"/>
      <c r="AYU144" s="1056"/>
      <c r="AYV144" s="1056"/>
      <c r="AYW144" s="1056"/>
      <c r="AYX144" s="1056"/>
      <c r="AYY144" s="1056"/>
      <c r="AYZ144" s="1056"/>
      <c r="AZA144" s="1056"/>
      <c r="AZB144" s="1056"/>
      <c r="AZC144" s="1056"/>
      <c r="AZD144" s="1056"/>
      <c r="AZE144" s="1056"/>
      <c r="AZF144" s="1056"/>
      <c r="AZG144" s="1056"/>
      <c r="AZH144" s="1056"/>
      <c r="AZI144" s="1056"/>
      <c r="AZJ144" s="1056"/>
      <c r="AZK144" s="1056"/>
      <c r="AZL144" s="1056"/>
      <c r="AZM144" s="1056"/>
      <c r="AZN144" s="1056"/>
      <c r="AZO144" s="1056"/>
      <c r="AZP144" s="1056"/>
      <c r="AZQ144" s="1056"/>
      <c r="AZR144" s="1056"/>
      <c r="AZS144" s="1056"/>
      <c r="AZT144" s="1056"/>
      <c r="AZU144" s="1056"/>
      <c r="AZV144" s="1056"/>
      <c r="AZW144" s="1056"/>
      <c r="AZX144" s="1056"/>
      <c r="AZY144" s="1056"/>
      <c r="AZZ144" s="1056"/>
      <c r="BAA144" s="1056"/>
      <c r="BAB144" s="1056"/>
      <c r="BAC144" s="1056"/>
      <c r="BAD144" s="1056"/>
      <c r="BAE144" s="1056"/>
      <c r="BAF144" s="1056"/>
      <c r="BAG144" s="1056"/>
      <c r="BAH144" s="1056"/>
      <c r="BAI144" s="1056"/>
      <c r="BAJ144" s="1056"/>
      <c r="BAK144" s="1056"/>
      <c r="BAL144" s="1056"/>
      <c r="BAM144" s="1056"/>
      <c r="BAN144" s="1056"/>
      <c r="BAO144" s="1056"/>
      <c r="BAP144" s="1056"/>
      <c r="BAQ144" s="1056"/>
      <c r="BAR144" s="1056"/>
      <c r="BAS144" s="1056"/>
      <c r="BAT144" s="1056"/>
      <c r="BAU144" s="1056"/>
      <c r="BAV144" s="1056"/>
      <c r="BAW144" s="1056"/>
      <c r="BAX144" s="1056"/>
      <c r="BAY144" s="1056"/>
      <c r="BAZ144" s="1056"/>
      <c r="BBA144" s="1056"/>
      <c r="BBB144" s="1056"/>
      <c r="BBC144" s="1056"/>
      <c r="BBD144" s="1056"/>
      <c r="BBE144" s="1056"/>
      <c r="BBF144" s="1056"/>
      <c r="BBG144" s="1056"/>
      <c r="BBH144" s="1056"/>
      <c r="BBI144" s="1056"/>
      <c r="BBJ144" s="1056"/>
      <c r="BBK144" s="1056"/>
      <c r="BBL144" s="1056"/>
      <c r="BBM144" s="1056"/>
      <c r="BBN144" s="1056"/>
      <c r="BBO144" s="1056"/>
      <c r="BBP144" s="1056"/>
      <c r="BBQ144" s="1056"/>
      <c r="BBR144" s="1056"/>
      <c r="BBS144" s="1056"/>
      <c r="BBT144" s="1056"/>
      <c r="BBU144" s="1056"/>
      <c r="BBV144" s="1056"/>
      <c r="BBW144" s="1056"/>
      <c r="BBX144" s="1056"/>
      <c r="BBY144" s="1056"/>
      <c r="BBZ144" s="1056"/>
      <c r="BCA144" s="1056"/>
      <c r="BCB144" s="1056"/>
      <c r="BCC144" s="1056"/>
      <c r="BCD144" s="1056"/>
      <c r="BCE144" s="1056"/>
      <c r="BCF144" s="1056"/>
      <c r="BCG144" s="1056"/>
      <c r="BCH144" s="1056"/>
      <c r="BCI144" s="1056"/>
      <c r="BCJ144" s="1056"/>
      <c r="BCK144" s="1056"/>
      <c r="BCL144" s="1056"/>
      <c r="BCM144" s="1056"/>
      <c r="BCN144" s="1056"/>
      <c r="BCO144" s="1056"/>
      <c r="BCP144" s="1056"/>
      <c r="BCQ144" s="1056"/>
      <c r="BCR144" s="1056"/>
      <c r="BCS144" s="1056"/>
      <c r="BCT144" s="1056"/>
      <c r="BCU144" s="1056"/>
      <c r="BCV144" s="1056"/>
      <c r="BCW144" s="1056"/>
      <c r="BCX144" s="1056"/>
      <c r="BCY144" s="1056"/>
      <c r="BCZ144" s="1056"/>
      <c r="BDA144" s="1056"/>
      <c r="BDB144" s="1056"/>
      <c r="BDC144" s="1056"/>
      <c r="BDD144" s="1056"/>
      <c r="BDE144" s="1056"/>
      <c r="BDF144" s="1056"/>
      <c r="BDG144" s="1056"/>
      <c r="BDH144" s="1056"/>
      <c r="BDI144" s="1056"/>
      <c r="BDJ144" s="1056"/>
      <c r="BDK144" s="1056"/>
      <c r="BDL144" s="1056"/>
      <c r="BDM144" s="1056"/>
      <c r="BDN144" s="1056"/>
      <c r="BDO144" s="1056"/>
      <c r="BDP144" s="1056"/>
      <c r="BDQ144" s="1056"/>
      <c r="BDR144" s="1056"/>
      <c r="BDS144" s="1056"/>
      <c r="BDT144" s="1056"/>
      <c r="BDU144" s="1056"/>
      <c r="BDV144" s="1056"/>
      <c r="BDW144" s="1056"/>
      <c r="BDX144" s="1056"/>
      <c r="BDY144" s="1056"/>
      <c r="BDZ144" s="1056"/>
      <c r="BEA144" s="1056"/>
      <c r="BEB144" s="1056"/>
      <c r="BEC144" s="1056"/>
      <c r="BED144" s="1056"/>
      <c r="BEE144" s="1056"/>
      <c r="BEF144" s="1056"/>
      <c r="BEG144" s="1056"/>
      <c r="BEH144" s="1056"/>
      <c r="BEI144" s="1056"/>
      <c r="BEJ144" s="1056"/>
      <c r="BEK144" s="1056"/>
      <c r="BEL144" s="1056"/>
      <c r="BEM144" s="1056"/>
      <c r="BEN144" s="1056"/>
      <c r="BEO144" s="1056"/>
      <c r="BEP144" s="1056"/>
      <c r="BEQ144" s="1056"/>
      <c r="BER144" s="1056"/>
      <c r="BES144" s="1056"/>
      <c r="BET144" s="1056"/>
      <c r="BEU144" s="1056"/>
      <c r="BEV144" s="1056"/>
      <c r="BEW144" s="1056"/>
      <c r="BEX144" s="1056"/>
      <c r="BEY144" s="1056"/>
      <c r="BEZ144" s="1056"/>
      <c r="BFA144" s="1056"/>
      <c r="BFB144" s="1056"/>
      <c r="BFC144" s="1056"/>
      <c r="BFD144" s="1056"/>
      <c r="BFE144" s="1056"/>
      <c r="BFF144" s="1056"/>
      <c r="BFG144" s="1056"/>
      <c r="BFH144" s="1056"/>
      <c r="BFI144" s="1056"/>
      <c r="BFJ144" s="1056"/>
      <c r="BFK144" s="1056"/>
      <c r="BFL144" s="1056"/>
      <c r="BFM144" s="1056"/>
      <c r="BFN144" s="1056"/>
      <c r="BFO144" s="1056"/>
      <c r="BFP144" s="1056"/>
      <c r="BFQ144" s="1056"/>
      <c r="BFR144" s="1056"/>
      <c r="BFS144" s="1056"/>
      <c r="BFT144" s="1056"/>
      <c r="BFU144" s="1056"/>
      <c r="BFV144" s="1056"/>
      <c r="BFW144" s="1056"/>
      <c r="BFX144" s="1056"/>
      <c r="BFY144" s="1056"/>
      <c r="BFZ144" s="1056"/>
      <c r="BGA144" s="1056"/>
      <c r="BGB144" s="1056"/>
      <c r="BGC144" s="1056"/>
      <c r="BGD144" s="1056"/>
      <c r="BGE144" s="1056"/>
      <c r="BGF144" s="1056"/>
      <c r="BGG144" s="1056"/>
      <c r="BGH144" s="1056"/>
      <c r="BGI144" s="1056"/>
      <c r="BGJ144" s="1056"/>
      <c r="BGK144" s="1056"/>
      <c r="BGL144" s="1056"/>
      <c r="BGM144" s="1056"/>
      <c r="BGN144" s="1056"/>
      <c r="BGO144" s="1056"/>
      <c r="BGP144" s="1056"/>
      <c r="BGQ144" s="1056"/>
      <c r="BGR144" s="1056"/>
      <c r="BGS144" s="1056"/>
      <c r="BGT144" s="1056"/>
      <c r="BGU144" s="1056"/>
      <c r="BGV144" s="1056"/>
      <c r="BGW144" s="1056"/>
      <c r="BGX144" s="1056"/>
      <c r="BGY144" s="1056"/>
      <c r="BGZ144" s="1056"/>
      <c r="BHA144" s="1056"/>
      <c r="BHB144" s="1056"/>
      <c r="BHC144" s="1056"/>
      <c r="BHD144" s="1056"/>
      <c r="BHE144" s="1056"/>
      <c r="BHF144" s="1056"/>
      <c r="BHG144" s="1056"/>
      <c r="BHH144" s="1056"/>
      <c r="BHI144" s="1056"/>
      <c r="BHJ144" s="1056"/>
      <c r="BHK144" s="1056"/>
      <c r="BHL144" s="1056"/>
      <c r="BHM144" s="1056"/>
      <c r="BHN144" s="1056"/>
      <c r="BHO144" s="1056"/>
      <c r="BHP144" s="1056"/>
      <c r="BHQ144" s="1056"/>
      <c r="BHR144" s="1056"/>
      <c r="BHS144" s="1056"/>
      <c r="BHT144" s="1056"/>
      <c r="BHU144" s="1056"/>
      <c r="BHV144" s="1056"/>
      <c r="BHW144" s="1056"/>
      <c r="BHX144" s="1056"/>
      <c r="BHY144" s="1056"/>
      <c r="BHZ144" s="1056"/>
      <c r="BIA144" s="1056"/>
      <c r="BIB144" s="1056"/>
      <c r="BIC144" s="1056"/>
      <c r="BID144" s="1056"/>
      <c r="BIE144" s="1056"/>
      <c r="BIF144" s="1056"/>
      <c r="BIG144" s="1056"/>
      <c r="BIH144" s="1056"/>
      <c r="BII144" s="1056"/>
      <c r="BIJ144" s="1056"/>
      <c r="BIK144" s="1056"/>
      <c r="BIL144" s="1056"/>
      <c r="BIM144" s="1056"/>
      <c r="BIN144" s="1056"/>
      <c r="BIO144" s="1056"/>
      <c r="BIP144" s="1056"/>
      <c r="BIQ144" s="1056"/>
      <c r="BIR144" s="1056"/>
      <c r="BIS144" s="1056"/>
      <c r="BIT144" s="1056"/>
      <c r="BIU144" s="1056"/>
      <c r="BIV144" s="1056"/>
      <c r="BIW144" s="1056"/>
      <c r="BIX144" s="1056"/>
      <c r="BIY144" s="1056"/>
      <c r="BIZ144" s="1056"/>
      <c r="BJA144" s="1056"/>
      <c r="BJB144" s="1056"/>
      <c r="BJC144" s="1056"/>
      <c r="BJD144" s="1056"/>
      <c r="BJE144" s="1056"/>
      <c r="BJF144" s="1056"/>
      <c r="BJG144" s="1056"/>
      <c r="BJH144" s="1056"/>
      <c r="BJI144" s="1056"/>
      <c r="BJJ144" s="1056"/>
      <c r="BJK144" s="1056"/>
      <c r="BJL144" s="1056"/>
      <c r="BJM144" s="1056"/>
      <c r="BJN144" s="1056"/>
      <c r="BJO144" s="1056"/>
      <c r="BJP144" s="1056"/>
      <c r="BJQ144" s="1056"/>
      <c r="BJR144" s="1056"/>
      <c r="BJS144" s="1056"/>
      <c r="BJT144" s="1056"/>
      <c r="BJU144" s="1056"/>
      <c r="BJV144" s="1056"/>
      <c r="BJW144" s="1056"/>
      <c r="BJX144" s="1056"/>
      <c r="BJY144" s="1056"/>
      <c r="BJZ144" s="1056"/>
      <c r="BKA144" s="1056"/>
      <c r="BKB144" s="1056"/>
      <c r="BKC144" s="1056"/>
      <c r="BKD144" s="1056"/>
      <c r="BKE144" s="1056"/>
      <c r="BKF144" s="1056"/>
      <c r="BKG144" s="1056"/>
      <c r="BKH144" s="1056"/>
      <c r="BKI144" s="1056"/>
      <c r="BKJ144" s="1056"/>
      <c r="BKK144" s="1056"/>
      <c r="BKL144" s="1056"/>
      <c r="BKM144" s="1056"/>
      <c r="BKN144" s="1056"/>
      <c r="BKO144" s="1056"/>
      <c r="BKP144" s="1056"/>
      <c r="BKQ144" s="1056"/>
      <c r="BKR144" s="1056"/>
      <c r="BKS144" s="1056"/>
      <c r="BKT144" s="1056"/>
      <c r="BKU144" s="1056"/>
      <c r="BKV144" s="1056"/>
      <c r="BKW144" s="1056"/>
      <c r="BKX144" s="1056"/>
      <c r="BKY144" s="1056"/>
      <c r="BKZ144" s="1056"/>
      <c r="BLA144" s="1056"/>
      <c r="BLB144" s="1056"/>
      <c r="BLC144" s="1056"/>
      <c r="BLD144" s="1056"/>
      <c r="BLE144" s="1056"/>
      <c r="BLF144" s="1056"/>
      <c r="BLG144" s="1056"/>
      <c r="BLH144" s="1056"/>
      <c r="BLI144" s="1056"/>
      <c r="BLJ144" s="1056"/>
      <c r="BLK144" s="1056"/>
      <c r="BLL144" s="1056"/>
      <c r="BLM144" s="1056"/>
      <c r="BLN144" s="1056"/>
      <c r="BLO144" s="1056"/>
      <c r="BLP144" s="1056"/>
      <c r="BLQ144" s="1056"/>
      <c r="BLR144" s="1056"/>
      <c r="BLS144" s="1056"/>
      <c r="BLT144" s="1056"/>
      <c r="BLU144" s="1056"/>
      <c r="BLV144" s="1056"/>
      <c r="BLW144" s="1056"/>
      <c r="BLX144" s="1056"/>
      <c r="BLY144" s="1056"/>
      <c r="BLZ144" s="1056"/>
      <c r="BMA144" s="1056"/>
      <c r="BMB144" s="1056"/>
      <c r="BMC144" s="1056"/>
      <c r="BMD144" s="1056"/>
      <c r="BME144" s="1056"/>
      <c r="BMF144" s="1056"/>
      <c r="BMG144" s="1056"/>
      <c r="BMH144" s="1056"/>
      <c r="BMI144" s="1056"/>
      <c r="BMJ144" s="1056"/>
      <c r="BMK144" s="1056"/>
      <c r="BML144" s="1056"/>
      <c r="BMM144" s="1056"/>
      <c r="BMN144" s="1056"/>
      <c r="BMO144" s="1056"/>
      <c r="BMP144" s="1056"/>
      <c r="BMQ144" s="1056"/>
      <c r="BMR144" s="1056"/>
      <c r="BMS144" s="1056"/>
      <c r="BMT144" s="1056"/>
      <c r="BMU144" s="1056"/>
      <c r="BMV144" s="1056"/>
      <c r="BMW144" s="1056"/>
      <c r="BMX144" s="1056"/>
      <c r="BMY144" s="1056"/>
      <c r="BMZ144" s="1056"/>
      <c r="BNA144" s="1056"/>
      <c r="BNB144" s="1056"/>
      <c r="BNC144" s="1056"/>
      <c r="BND144" s="1056"/>
      <c r="BNE144" s="1056"/>
      <c r="BNF144" s="1056"/>
      <c r="BNG144" s="1056"/>
      <c r="BNH144" s="1056"/>
      <c r="BNI144" s="1056"/>
      <c r="BNJ144" s="1056"/>
      <c r="BNK144" s="1056"/>
      <c r="BNL144" s="1056"/>
      <c r="BNM144" s="1056"/>
      <c r="BNN144" s="1056"/>
      <c r="BNO144" s="1056"/>
      <c r="BNP144" s="1056"/>
      <c r="BNQ144" s="1056"/>
      <c r="BNR144" s="1056"/>
      <c r="BNS144" s="1056"/>
      <c r="BNT144" s="1056"/>
      <c r="BNU144" s="1056"/>
      <c r="BNV144" s="1056"/>
      <c r="BNW144" s="1056"/>
      <c r="BNX144" s="1056"/>
      <c r="BNY144" s="1056"/>
      <c r="BNZ144" s="1056"/>
      <c r="BOA144" s="1056"/>
      <c r="BOB144" s="1056"/>
      <c r="BOC144" s="1056"/>
      <c r="BOD144" s="1056"/>
      <c r="BOE144" s="1056"/>
      <c r="BOF144" s="1056"/>
      <c r="BOG144" s="1056"/>
      <c r="BOH144" s="1056"/>
      <c r="BOI144" s="1056"/>
      <c r="BOJ144" s="1056"/>
      <c r="BOK144" s="1056"/>
      <c r="BOL144" s="1056"/>
      <c r="BOM144" s="1056"/>
      <c r="BON144" s="1056"/>
      <c r="BOO144" s="1056"/>
      <c r="BOP144" s="1056"/>
      <c r="BOQ144" s="1056"/>
      <c r="BOR144" s="1056"/>
      <c r="BOS144" s="1056"/>
      <c r="BOT144" s="1056"/>
      <c r="BOU144" s="1056"/>
      <c r="BOV144" s="1056"/>
      <c r="BOW144" s="1056"/>
      <c r="BOX144" s="1056"/>
      <c r="BOY144" s="1056"/>
      <c r="BOZ144" s="1056"/>
      <c r="BPA144" s="1056"/>
      <c r="BPB144" s="1056"/>
      <c r="BPC144" s="1056"/>
      <c r="BPD144" s="1056"/>
      <c r="BPE144" s="1056"/>
      <c r="BPF144" s="1056"/>
      <c r="BPG144" s="1056"/>
      <c r="BPH144" s="1056"/>
      <c r="BPI144" s="1056"/>
      <c r="BPJ144" s="1056"/>
      <c r="BPK144" s="1056"/>
      <c r="BPL144" s="1056"/>
      <c r="BPM144" s="1056"/>
      <c r="BPN144" s="1056"/>
      <c r="BPO144" s="1056"/>
      <c r="BPP144" s="1056"/>
      <c r="BPQ144" s="1056"/>
      <c r="BPR144" s="1056"/>
      <c r="BPS144" s="1056"/>
      <c r="BPT144" s="1056"/>
      <c r="BPU144" s="1056"/>
      <c r="BPV144" s="1056"/>
      <c r="BPW144" s="1056"/>
      <c r="BPX144" s="1056"/>
      <c r="BPY144" s="1056"/>
      <c r="BPZ144" s="1056"/>
      <c r="BQA144" s="1056"/>
      <c r="BQB144" s="1056"/>
      <c r="BQC144" s="1056"/>
      <c r="BQD144" s="1056"/>
      <c r="BQE144" s="1056"/>
      <c r="BQF144" s="1056"/>
      <c r="BQG144" s="1056"/>
      <c r="BQH144" s="1056"/>
      <c r="BQI144" s="1056"/>
      <c r="BQJ144" s="1056"/>
      <c r="BQK144" s="1056"/>
      <c r="BQL144" s="1056"/>
      <c r="BQM144" s="1056"/>
      <c r="BQN144" s="1056"/>
      <c r="BQO144" s="1056"/>
      <c r="BQP144" s="1056"/>
      <c r="BQQ144" s="1056"/>
      <c r="BQR144" s="1056"/>
      <c r="BQS144" s="1056"/>
      <c r="BQT144" s="1056"/>
      <c r="BQU144" s="1056"/>
      <c r="BQV144" s="1056"/>
      <c r="BQW144" s="1056"/>
      <c r="BQX144" s="1056"/>
      <c r="BQY144" s="1056"/>
      <c r="BQZ144" s="1056"/>
      <c r="BRA144" s="1056"/>
      <c r="BRB144" s="1056"/>
      <c r="BRC144" s="1056"/>
      <c r="BRD144" s="1056"/>
      <c r="BRE144" s="1056"/>
      <c r="BRF144" s="1056"/>
      <c r="BRG144" s="1056"/>
      <c r="BRH144" s="1056"/>
      <c r="BRI144" s="1056"/>
      <c r="BRJ144" s="1056"/>
      <c r="BRK144" s="1056"/>
      <c r="BRL144" s="1056"/>
      <c r="BRM144" s="1056"/>
      <c r="BRN144" s="1056"/>
      <c r="BRO144" s="1056"/>
      <c r="BRP144" s="1056"/>
      <c r="BRQ144" s="1056"/>
      <c r="BRR144" s="1056"/>
      <c r="BRS144" s="1056"/>
      <c r="BRT144" s="1056"/>
      <c r="BRU144" s="1056"/>
      <c r="BRV144" s="1056"/>
      <c r="BRW144" s="1056"/>
      <c r="BRX144" s="1056"/>
      <c r="BRY144" s="1056"/>
      <c r="BRZ144" s="1056"/>
      <c r="BSA144" s="1056"/>
      <c r="BSB144" s="1056"/>
      <c r="BSC144" s="1056"/>
      <c r="BSD144" s="1056"/>
      <c r="BSE144" s="1056"/>
      <c r="BSF144" s="1056"/>
      <c r="BSG144" s="1056"/>
      <c r="BSH144" s="1056"/>
      <c r="BSI144" s="1056"/>
      <c r="BSJ144" s="1056"/>
      <c r="BSK144" s="1056"/>
      <c r="BSL144" s="1056"/>
      <c r="BSM144" s="1056"/>
      <c r="BSN144" s="1056"/>
      <c r="BSO144" s="1056"/>
      <c r="BSP144" s="1056"/>
      <c r="BSQ144" s="1056"/>
      <c r="BSR144" s="1056"/>
      <c r="BSS144" s="1056"/>
      <c r="BST144" s="1056"/>
      <c r="BSU144" s="1056"/>
      <c r="BSV144" s="1056"/>
      <c r="BSW144" s="1056"/>
      <c r="BSX144" s="1056"/>
      <c r="BSY144" s="1056"/>
      <c r="BSZ144" s="1056"/>
      <c r="BTA144" s="1056"/>
      <c r="BTB144" s="1056"/>
      <c r="BTC144" s="1056"/>
      <c r="BTD144" s="1056"/>
      <c r="BTE144" s="1056"/>
      <c r="BTF144" s="1056"/>
      <c r="BTG144" s="1056"/>
      <c r="BTH144" s="1056"/>
      <c r="BTI144" s="1056"/>
    </row>
    <row r="145" spans="1:1881" s="1060" customFormat="1" ht="110.25" hidden="1" customHeight="1" x14ac:dyDescent="0.3">
      <c r="A145" s="333">
        <v>638</v>
      </c>
      <c r="B145" s="1093" t="s">
        <v>409</v>
      </c>
      <c r="C145" s="1085" t="s">
        <v>413</v>
      </c>
      <c r="D145" s="1086" t="s">
        <v>1397</v>
      </c>
      <c r="E145" s="1053" t="e">
        <f>HLOOKUP($D$2,'2020 Data(H)'!$C$1:$AI$426,297,FALSE)</f>
        <v>#N/A</v>
      </c>
      <c r="F145" s="287">
        <v>0</v>
      </c>
      <c r="G145" s="738">
        <f>IF(F145&gt;F140,"Please review account numbers 638&gt;633",)</f>
        <v>0</v>
      </c>
      <c r="H145" s="1092"/>
      <c r="I145" s="1092"/>
      <c r="J145" s="1056"/>
      <c r="K145" s="1056"/>
      <c r="L145" s="1056"/>
      <c r="M145" s="1056"/>
      <c r="N145" s="1058"/>
      <c r="O145" s="1056"/>
      <c r="P145" s="1056"/>
      <c r="Q145" s="1056"/>
      <c r="R145" s="1056"/>
      <c r="S145" s="1056"/>
      <c r="T145" s="1056"/>
      <c r="U145" s="1056"/>
      <c r="V145" s="1056"/>
      <c r="W145" s="1056"/>
      <c r="X145" s="1056"/>
      <c r="Y145" s="1056"/>
      <c r="Z145" s="333"/>
      <c r="AA145" s="333"/>
      <c r="AB145" s="333"/>
      <c r="AC145" s="333"/>
      <c r="AD145" s="333"/>
      <c r="AE145" s="333"/>
      <c r="AF145" s="333"/>
      <c r="AG145" s="333"/>
      <c r="AH145" s="333"/>
      <c r="AI145" s="333"/>
      <c r="AJ145" s="333"/>
      <c r="AK145" s="333"/>
      <c r="AL145" s="333"/>
      <c r="AM145" s="333"/>
      <c r="AN145" s="333"/>
      <c r="AO145" s="333"/>
      <c r="AP145" s="333"/>
      <c r="AQ145" s="333"/>
      <c r="AR145" s="333"/>
      <c r="AS145" s="1056"/>
      <c r="AT145" s="1056"/>
      <c r="AU145" s="1056"/>
      <c r="AV145" s="1056"/>
      <c r="AW145" s="1056"/>
      <c r="AX145" s="1056"/>
      <c r="AY145" s="1056"/>
      <c r="AZ145" s="1056"/>
      <c r="BA145" s="1056"/>
      <c r="BB145" s="1056"/>
      <c r="BC145" s="1056"/>
      <c r="BD145" s="1056"/>
      <c r="BE145" s="1056"/>
      <c r="BF145" s="1056"/>
      <c r="BG145" s="1056"/>
      <c r="BH145" s="1056"/>
      <c r="BI145" s="1056"/>
      <c r="BJ145" s="1056"/>
      <c r="BK145" s="1056"/>
      <c r="BL145" s="1056"/>
      <c r="BM145" s="1056"/>
      <c r="BN145" s="1056"/>
      <c r="BO145" s="1056"/>
      <c r="BP145" s="1056"/>
      <c r="BQ145" s="1056"/>
      <c r="BR145" s="1056"/>
      <c r="BS145" s="1056"/>
      <c r="BT145" s="1056"/>
      <c r="BU145" s="1056"/>
      <c r="BV145" s="1056"/>
      <c r="BW145" s="1056"/>
      <c r="BX145" s="1056"/>
      <c r="BY145" s="1056"/>
      <c r="BZ145" s="1056"/>
      <c r="CA145" s="1056"/>
      <c r="CB145" s="1056"/>
      <c r="CC145" s="1056"/>
      <c r="CD145" s="1056"/>
      <c r="CE145" s="1056"/>
      <c r="CF145" s="1056"/>
      <c r="CG145" s="1056"/>
      <c r="CH145" s="1056"/>
      <c r="CI145" s="1056"/>
      <c r="CJ145" s="1056"/>
      <c r="CK145" s="1056"/>
      <c r="CL145" s="1056"/>
      <c r="CM145" s="1056"/>
      <c r="CN145" s="1056"/>
      <c r="CO145" s="1056"/>
      <c r="CP145" s="1056"/>
      <c r="CQ145" s="1056"/>
      <c r="CR145" s="1056"/>
      <c r="CS145" s="1056"/>
      <c r="CT145" s="1056"/>
      <c r="CU145" s="1056"/>
      <c r="CV145" s="1056"/>
      <c r="CW145" s="1056"/>
      <c r="CX145" s="1056"/>
      <c r="CY145" s="1056"/>
      <c r="CZ145" s="1056"/>
      <c r="DA145" s="1056"/>
      <c r="DB145" s="1056"/>
      <c r="DC145" s="1056"/>
      <c r="DD145" s="1056"/>
      <c r="DE145" s="1056"/>
      <c r="DF145" s="1056"/>
      <c r="DG145" s="1056"/>
      <c r="DH145" s="1056"/>
      <c r="DI145" s="1056"/>
      <c r="DJ145" s="1056"/>
      <c r="DK145" s="1056"/>
      <c r="DL145" s="1056"/>
      <c r="DM145" s="1056"/>
      <c r="DN145" s="1056"/>
      <c r="DO145" s="1056"/>
      <c r="DP145" s="1056"/>
      <c r="DQ145" s="1056"/>
      <c r="DR145" s="1056"/>
      <c r="DS145" s="1056"/>
      <c r="DT145" s="1056"/>
      <c r="DU145" s="1056"/>
      <c r="DV145" s="1056"/>
      <c r="DW145" s="1056"/>
      <c r="DX145" s="1056"/>
      <c r="DY145" s="1056"/>
      <c r="DZ145" s="1056"/>
      <c r="EA145" s="1056"/>
      <c r="EB145" s="1056"/>
      <c r="EC145" s="1056"/>
      <c r="ED145" s="1056"/>
      <c r="EE145" s="1056"/>
      <c r="EF145" s="1056"/>
      <c r="EG145" s="1056"/>
      <c r="EH145" s="1056"/>
      <c r="EI145" s="1056"/>
      <c r="EJ145" s="1056"/>
      <c r="EK145" s="1056"/>
      <c r="EL145" s="1056"/>
      <c r="EM145" s="1056"/>
      <c r="EN145" s="1056"/>
      <c r="EO145" s="1056"/>
      <c r="EP145" s="1056"/>
      <c r="EQ145" s="1056"/>
      <c r="ER145" s="1056"/>
      <c r="ES145" s="1056"/>
      <c r="ET145" s="1056"/>
      <c r="EU145" s="1056"/>
      <c r="EV145" s="1056"/>
      <c r="EW145" s="1056"/>
      <c r="EX145" s="1056"/>
      <c r="EY145" s="1056"/>
      <c r="EZ145" s="1056"/>
      <c r="FA145" s="1056"/>
      <c r="FB145" s="1056"/>
      <c r="FC145" s="1056"/>
      <c r="FD145" s="1056"/>
      <c r="FE145" s="1056"/>
      <c r="FF145" s="1056"/>
      <c r="FG145" s="1056"/>
      <c r="FH145" s="1056"/>
      <c r="FI145" s="1056"/>
      <c r="FJ145" s="1056"/>
      <c r="FK145" s="1056"/>
      <c r="FL145" s="1056"/>
      <c r="FM145" s="1056"/>
      <c r="FN145" s="1056"/>
      <c r="FO145" s="1056"/>
      <c r="FP145" s="1056"/>
      <c r="FQ145" s="1056"/>
      <c r="FR145" s="1056"/>
      <c r="FS145" s="1056"/>
      <c r="FT145" s="1056"/>
      <c r="FU145" s="1056"/>
      <c r="FV145" s="1056"/>
      <c r="FW145" s="1056"/>
      <c r="FX145" s="1056"/>
      <c r="FY145" s="1056"/>
      <c r="FZ145" s="1056"/>
      <c r="GA145" s="1056"/>
      <c r="GB145" s="1056"/>
      <c r="GC145" s="1056"/>
      <c r="GD145" s="1056"/>
      <c r="GE145" s="1056"/>
      <c r="GF145" s="1056"/>
      <c r="GG145" s="1056"/>
      <c r="GH145" s="1056"/>
      <c r="GI145" s="1056"/>
      <c r="GJ145" s="1056"/>
      <c r="GK145" s="1056"/>
      <c r="GL145" s="1056"/>
      <c r="GM145" s="1056"/>
      <c r="GN145" s="1056"/>
      <c r="GO145" s="1056"/>
      <c r="GP145" s="1056"/>
      <c r="GQ145" s="1056"/>
      <c r="GR145" s="1056"/>
      <c r="GS145" s="1056"/>
      <c r="GT145" s="1056"/>
      <c r="GU145" s="1056"/>
      <c r="GV145" s="1056"/>
      <c r="GW145" s="1056"/>
      <c r="GX145" s="1056"/>
      <c r="GY145" s="1056"/>
      <c r="GZ145" s="1056"/>
      <c r="HA145" s="1056"/>
      <c r="HB145" s="1056"/>
      <c r="HC145" s="1056"/>
      <c r="HD145" s="1056"/>
      <c r="HE145" s="1056"/>
      <c r="HF145" s="1056"/>
      <c r="HG145" s="1056"/>
      <c r="HH145" s="1056"/>
      <c r="HI145" s="1056"/>
      <c r="HJ145" s="1056"/>
      <c r="HK145" s="1056"/>
      <c r="HL145" s="1056"/>
      <c r="HM145" s="1056"/>
      <c r="HN145" s="1056"/>
      <c r="HO145" s="1056"/>
      <c r="HP145" s="1056"/>
      <c r="HQ145" s="1056"/>
      <c r="HR145" s="1056"/>
      <c r="HS145" s="1056"/>
      <c r="HT145" s="1056"/>
      <c r="HU145" s="1056"/>
      <c r="HV145" s="1056"/>
      <c r="HW145" s="1056"/>
      <c r="HX145" s="1056"/>
      <c r="HY145" s="1056"/>
      <c r="HZ145" s="1056"/>
      <c r="IA145" s="1056"/>
      <c r="IB145" s="1056"/>
      <c r="IC145" s="1056"/>
      <c r="ID145" s="1056"/>
      <c r="IE145" s="1056"/>
      <c r="IF145" s="1056"/>
      <c r="IG145" s="1056"/>
      <c r="IH145" s="1056"/>
      <c r="II145" s="1056"/>
      <c r="IJ145" s="1056"/>
      <c r="IK145" s="1056"/>
      <c r="IL145" s="1056"/>
      <c r="IM145" s="1056"/>
      <c r="IN145" s="1056"/>
      <c r="IO145" s="1056"/>
      <c r="IP145" s="1056"/>
      <c r="IQ145" s="1056"/>
      <c r="IR145" s="1056"/>
      <c r="IS145" s="1056"/>
      <c r="IT145" s="1056"/>
      <c r="IU145" s="1056"/>
      <c r="IV145" s="1056"/>
      <c r="IW145" s="1056"/>
      <c r="IX145" s="1056"/>
      <c r="IY145" s="1056"/>
      <c r="IZ145" s="1056"/>
      <c r="JA145" s="1056"/>
      <c r="JB145" s="1056"/>
      <c r="JC145" s="1056"/>
      <c r="JD145" s="1056"/>
      <c r="JE145" s="1056"/>
      <c r="JF145" s="1056"/>
      <c r="JG145" s="1056"/>
      <c r="JH145" s="1056"/>
      <c r="JI145" s="1056"/>
      <c r="JJ145" s="1056"/>
      <c r="JK145" s="1056"/>
      <c r="JL145" s="1056"/>
      <c r="JM145" s="1056"/>
      <c r="JN145" s="1056"/>
      <c r="JO145" s="1056"/>
      <c r="JP145" s="1056"/>
      <c r="JQ145" s="1056"/>
      <c r="JR145" s="1056"/>
      <c r="JS145" s="1056"/>
      <c r="JT145" s="1056"/>
      <c r="JU145" s="1056"/>
      <c r="JV145" s="1056"/>
      <c r="JW145" s="1056"/>
      <c r="JX145" s="1056"/>
      <c r="JY145" s="1056"/>
      <c r="JZ145" s="1056"/>
      <c r="KA145" s="1056"/>
      <c r="KB145" s="1056"/>
      <c r="KC145" s="1056"/>
      <c r="KD145" s="1056"/>
      <c r="KE145" s="1056"/>
      <c r="KF145" s="1056"/>
      <c r="KG145" s="1056"/>
      <c r="KH145" s="1056"/>
      <c r="KI145" s="1056"/>
      <c r="KJ145" s="1056"/>
      <c r="KK145" s="1056"/>
      <c r="KL145" s="1056"/>
      <c r="KM145" s="1056"/>
      <c r="KN145" s="1056"/>
      <c r="KO145" s="1056"/>
      <c r="KP145" s="1056"/>
      <c r="KQ145" s="1056"/>
      <c r="KR145" s="1056"/>
      <c r="KS145" s="1056"/>
      <c r="KT145" s="1056"/>
      <c r="KU145" s="1056"/>
      <c r="KV145" s="1056"/>
      <c r="KW145" s="1056"/>
      <c r="KX145" s="1056"/>
      <c r="KY145" s="1056"/>
      <c r="KZ145" s="1056"/>
      <c r="LA145" s="1056"/>
      <c r="LB145" s="1056"/>
      <c r="LC145" s="1056"/>
      <c r="LD145" s="1056"/>
      <c r="LE145" s="1056"/>
      <c r="LF145" s="1056"/>
      <c r="LG145" s="1056"/>
      <c r="LH145" s="1056"/>
      <c r="LI145" s="1056"/>
      <c r="LJ145" s="1056"/>
      <c r="LK145" s="1056"/>
      <c r="LL145" s="1056"/>
      <c r="LM145" s="1056"/>
      <c r="LN145" s="1056"/>
      <c r="LO145" s="1056"/>
      <c r="LP145" s="1056"/>
      <c r="LQ145" s="1056"/>
      <c r="LR145" s="1056"/>
      <c r="LS145" s="1056"/>
      <c r="LT145" s="1056"/>
      <c r="LU145" s="1056"/>
      <c r="LV145" s="1056"/>
      <c r="LW145" s="1056"/>
      <c r="LX145" s="1056"/>
      <c r="LY145" s="1056"/>
      <c r="LZ145" s="1056"/>
      <c r="MA145" s="1056"/>
      <c r="MB145" s="1056"/>
      <c r="MC145" s="1056"/>
      <c r="MD145" s="1056"/>
      <c r="ME145" s="1056"/>
      <c r="MF145" s="1056"/>
      <c r="MG145" s="1056"/>
      <c r="MH145" s="1056"/>
      <c r="MI145" s="1056"/>
      <c r="MJ145" s="1056"/>
      <c r="MK145" s="1056"/>
      <c r="ML145" s="1056"/>
      <c r="MM145" s="1056"/>
      <c r="MN145" s="1056"/>
      <c r="MO145" s="1056"/>
      <c r="MP145" s="1056"/>
      <c r="MQ145" s="1056"/>
      <c r="MR145" s="1056"/>
      <c r="MS145" s="1056"/>
      <c r="MT145" s="1056"/>
      <c r="MU145" s="1056"/>
      <c r="MV145" s="1056"/>
      <c r="MW145" s="1056"/>
      <c r="MX145" s="1056"/>
      <c r="MY145" s="1056"/>
      <c r="MZ145" s="1056"/>
      <c r="NA145" s="1056"/>
      <c r="NB145" s="1056"/>
      <c r="NC145" s="1056"/>
      <c r="ND145" s="1056"/>
      <c r="NE145" s="1056"/>
      <c r="NF145" s="1056"/>
      <c r="NG145" s="1056"/>
      <c r="NH145" s="1056"/>
      <c r="NI145" s="1056"/>
      <c r="NJ145" s="1056"/>
      <c r="NK145" s="1056"/>
      <c r="NL145" s="1056"/>
      <c r="NM145" s="1056"/>
      <c r="NN145" s="1056"/>
      <c r="NO145" s="1056"/>
      <c r="NP145" s="1056"/>
      <c r="NQ145" s="1056"/>
      <c r="NR145" s="1056"/>
      <c r="NS145" s="1056"/>
      <c r="NT145" s="1056"/>
      <c r="NU145" s="1056"/>
      <c r="NV145" s="1056"/>
      <c r="NW145" s="1056"/>
      <c r="NX145" s="1056"/>
      <c r="NY145" s="1056"/>
      <c r="NZ145" s="1056"/>
      <c r="OA145" s="1056"/>
      <c r="OB145" s="1056"/>
      <c r="OC145" s="1056"/>
      <c r="OD145" s="1056"/>
      <c r="OE145" s="1056"/>
      <c r="OF145" s="1056"/>
      <c r="OG145" s="1056"/>
      <c r="OH145" s="1056"/>
      <c r="OI145" s="1056"/>
      <c r="OJ145" s="1056"/>
      <c r="OK145" s="1056"/>
      <c r="OL145" s="1056"/>
      <c r="OM145" s="1056"/>
      <c r="ON145" s="1056"/>
      <c r="OO145" s="1056"/>
      <c r="OP145" s="1056"/>
      <c r="OQ145" s="1056"/>
      <c r="OR145" s="1056"/>
      <c r="OS145" s="1056"/>
      <c r="OT145" s="1056"/>
      <c r="OU145" s="1056"/>
      <c r="OV145" s="1056"/>
      <c r="OW145" s="1056"/>
      <c r="OX145" s="1056"/>
      <c r="OY145" s="1056"/>
      <c r="OZ145" s="1056"/>
      <c r="PA145" s="1056"/>
      <c r="PB145" s="1056"/>
      <c r="PC145" s="1056"/>
      <c r="PD145" s="1056"/>
      <c r="PE145" s="1056"/>
      <c r="PF145" s="1056"/>
      <c r="PG145" s="1056"/>
      <c r="PH145" s="1056"/>
      <c r="PI145" s="1056"/>
      <c r="PJ145" s="1056"/>
      <c r="PK145" s="1056"/>
      <c r="PL145" s="1056"/>
      <c r="PM145" s="1056"/>
      <c r="PN145" s="1056"/>
      <c r="PO145" s="1056"/>
      <c r="PP145" s="1056"/>
      <c r="PQ145" s="1056"/>
      <c r="PR145" s="1056"/>
      <c r="PS145" s="1056"/>
      <c r="PT145" s="1056"/>
      <c r="PU145" s="1056"/>
      <c r="PV145" s="1056"/>
      <c r="PW145" s="1056"/>
      <c r="PX145" s="1056"/>
      <c r="PY145" s="1056"/>
      <c r="PZ145" s="1056"/>
      <c r="QA145" s="1056"/>
      <c r="QB145" s="1056"/>
      <c r="QC145" s="1056"/>
      <c r="QD145" s="1056"/>
      <c r="QE145" s="1056"/>
      <c r="QF145" s="1056"/>
      <c r="QG145" s="1056"/>
      <c r="QH145" s="1056"/>
      <c r="QI145" s="1056"/>
      <c r="QJ145" s="1056"/>
      <c r="QK145" s="1056"/>
      <c r="QL145" s="1056"/>
      <c r="QM145" s="1056"/>
      <c r="QN145" s="1056"/>
      <c r="QO145" s="1056"/>
      <c r="QP145" s="1056"/>
      <c r="QQ145" s="1056"/>
      <c r="QR145" s="1056"/>
      <c r="QS145" s="1056"/>
      <c r="QT145" s="1056"/>
      <c r="QU145" s="1056"/>
      <c r="QV145" s="1056"/>
      <c r="QW145" s="1056"/>
      <c r="QX145" s="1056"/>
      <c r="QY145" s="1056"/>
      <c r="QZ145" s="1056"/>
      <c r="RA145" s="1056"/>
      <c r="RB145" s="1056"/>
      <c r="RC145" s="1056"/>
      <c r="RD145" s="1056"/>
      <c r="RE145" s="1056"/>
      <c r="RF145" s="1056"/>
      <c r="RG145" s="1056"/>
      <c r="RH145" s="1056"/>
      <c r="RI145" s="1056"/>
      <c r="RJ145" s="1056"/>
      <c r="RK145" s="1056"/>
      <c r="RL145" s="1056"/>
      <c r="RM145" s="1056"/>
      <c r="RN145" s="1056"/>
      <c r="RO145" s="1056"/>
      <c r="RP145" s="1056"/>
      <c r="RQ145" s="1056"/>
      <c r="RR145" s="1056"/>
      <c r="RS145" s="1056"/>
      <c r="RT145" s="1056"/>
      <c r="RU145" s="1056"/>
      <c r="RV145" s="1056"/>
      <c r="RW145" s="1056"/>
      <c r="RX145" s="1056"/>
      <c r="RY145" s="1056"/>
      <c r="RZ145" s="1056"/>
      <c r="SA145" s="1056"/>
      <c r="SB145" s="1056"/>
      <c r="SC145" s="1056"/>
      <c r="SD145" s="1056"/>
      <c r="SE145" s="1056"/>
      <c r="SF145" s="1056"/>
      <c r="SG145" s="1056"/>
      <c r="SH145" s="1056"/>
      <c r="SI145" s="1056"/>
      <c r="SJ145" s="1056"/>
      <c r="SK145" s="1056"/>
      <c r="SL145" s="1056"/>
      <c r="SM145" s="1056"/>
      <c r="SN145" s="1056"/>
      <c r="SO145" s="1056"/>
      <c r="SP145" s="1056"/>
      <c r="SQ145" s="1056"/>
      <c r="SR145" s="1056"/>
      <c r="SS145" s="1056"/>
      <c r="ST145" s="1056"/>
      <c r="SU145" s="1056"/>
      <c r="SV145" s="1056"/>
      <c r="SW145" s="1056"/>
      <c r="SX145" s="1056"/>
      <c r="SY145" s="1056"/>
      <c r="SZ145" s="1056"/>
      <c r="TA145" s="1056"/>
      <c r="TB145" s="1056"/>
      <c r="TC145" s="1056"/>
      <c r="TD145" s="1056"/>
      <c r="TE145" s="1056"/>
      <c r="TF145" s="1056"/>
      <c r="TG145" s="1056"/>
      <c r="TH145" s="1056"/>
      <c r="TI145" s="1056"/>
      <c r="TJ145" s="1056"/>
      <c r="TK145" s="1056"/>
      <c r="TL145" s="1056"/>
      <c r="TM145" s="1056"/>
      <c r="TN145" s="1056"/>
      <c r="TO145" s="1056"/>
      <c r="TP145" s="1056"/>
      <c r="TQ145" s="1056"/>
      <c r="TR145" s="1056"/>
      <c r="TS145" s="1056"/>
      <c r="TT145" s="1056"/>
      <c r="TU145" s="1056"/>
      <c r="TV145" s="1056"/>
      <c r="TW145" s="1056"/>
      <c r="TX145" s="1056"/>
      <c r="TY145" s="1056"/>
      <c r="TZ145" s="1056"/>
      <c r="UA145" s="1056"/>
      <c r="UB145" s="1056"/>
      <c r="UC145" s="1056"/>
      <c r="UD145" s="1056"/>
      <c r="UE145" s="1056"/>
      <c r="UF145" s="1056"/>
      <c r="UG145" s="1056"/>
      <c r="UH145" s="1056"/>
      <c r="UI145" s="1056"/>
      <c r="UJ145" s="1056"/>
      <c r="UK145" s="1056"/>
      <c r="UL145" s="1056"/>
      <c r="UM145" s="1056"/>
      <c r="UN145" s="1056"/>
      <c r="UO145" s="1056"/>
      <c r="UP145" s="1056"/>
      <c r="UQ145" s="1056"/>
      <c r="UR145" s="1056"/>
      <c r="US145" s="1056"/>
      <c r="UT145" s="1056"/>
      <c r="UU145" s="1056"/>
      <c r="UV145" s="1056"/>
      <c r="UW145" s="1056"/>
      <c r="UX145" s="1056"/>
      <c r="UY145" s="1056"/>
      <c r="UZ145" s="1056"/>
      <c r="VA145" s="1056"/>
      <c r="VB145" s="1056"/>
      <c r="VC145" s="1056"/>
      <c r="VD145" s="1056"/>
      <c r="VE145" s="1056"/>
      <c r="VF145" s="1056"/>
      <c r="VG145" s="1056"/>
      <c r="VH145" s="1056"/>
      <c r="VI145" s="1056"/>
      <c r="VJ145" s="1056"/>
      <c r="VK145" s="1056"/>
      <c r="VL145" s="1056"/>
      <c r="VM145" s="1056"/>
      <c r="VN145" s="1056"/>
      <c r="VO145" s="1056"/>
      <c r="VP145" s="1056"/>
      <c r="VQ145" s="1056"/>
      <c r="VR145" s="1056"/>
      <c r="VS145" s="1056"/>
      <c r="VT145" s="1056"/>
      <c r="VU145" s="1056"/>
      <c r="VV145" s="1056"/>
      <c r="VW145" s="1056"/>
      <c r="VX145" s="1056"/>
      <c r="VY145" s="1056"/>
      <c r="VZ145" s="1056"/>
      <c r="WA145" s="1056"/>
      <c r="WB145" s="1056"/>
      <c r="WC145" s="1056"/>
      <c r="WD145" s="1056"/>
      <c r="WE145" s="1056"/>
      <c r="WF145" s="1056"/>
      <c r="WG145" s="1056"/>
      <c r="WH145" s="1056"/>
      <c r="WI145" s="1056"/>
      <c r="WJ145" s="1056"/>
      <c r="WK145" s="1056"/>
      <c r="WL145" s="1056"/>
      <c r="WM145" s="1056"/>
      <c r="WN145" s="1056"/>
      <c r="WO145" s="1056"/>
      <c r="WP145" s="1056"/>
      <c r="WQ145" s="1056"/>
      <c r="WR145" s="1056"/>
      <c r="WS145" s="1056"/>
      <c r="WT145" s="1056"/>
      <c r="WU145" s="1056"/>
      <c r="WV145" s="1056"/>
      <c r="WW145" s="1056"/>
      <c r="WX145" s="1056"/>
      <c r="WY145" s="1056"/>
      <c r="WZ145" s="1056"/>
      <c r="XA145" s="1056"/>
      <c r="XB145" s="1056"/>
      <c r="XC145" s="1056"/>
      <c r="XD145" s="1056"/>
      <c r="XE145" s="1056"/>
      <c r="XF145" s="1056"/>
      <c r="XG145" s="1056"/>
      <c r="XH145" s="1056"/>
      <c r="XI145" s="1056"/>
      <c r="XJ145" s="1056"/>
      <c r="XK145" s="1056"/>
      <c r="XL145" s="1056"/>
      <c r="XM145" s="1056"/>
      <c r="XN145" s="1056"/>
      <c r="XO145" s="1056"/>
      <c r="XP145" s="1056"/>
      <c r="XQ145" s="1056"/>
      <c r="XR145" s="1056"/>
      <c r="XS145" s="1056"/>
      <c r="XT145" s="1056"/>
      <c r="XU145" s="1056"/>
      <c r="XV145" s="1056"/>
      <c r="XW145" s="1056"/>
      <c r="XX145" s="1056"/>
      <c r="XY145" s="1056"/>
      <c r="XZ145" s="1056"/>
      <c r="YA145" s="1056"/>
      <c r="YB145" s="1056"/>
      <c r="YC145" s="1056"/>
      <c r="YD145" s="1056"/>
      <c r="YE145" s="1056"/>
      <c r="YF145" s="1056"/>
      <c r="YG145" s="1056"/>
      <c r="YH145" s="1056"/>
      <c r="YI145" s="1056"/>
      <c r="YJ145" s="1056"/>
      <c r="YK145" s="1056"/>
      <c r="YL145" s="1056"/>
      <c r="YM145" s="1056"/>
      <c r="YN145" s="1056"/>
      <c r="YO145" s="1056"/>
      <c r="YP145" s="1056"/>
      <c r="YQ145" s="1056"/>
      <c r="YR145" s="1056"/>
      <c r="YS145" s="1056"/>
      <c r="YT145" s="1056"/>
      <c r="YU145" s="1056"/>
      <c r="YV145" s="1056"/>
      <c r="YW145" s="1056"/>
      <c r="YX145" s="1056"/>
      <c r="YY145" s="1056"/>
      <c r="YZ145" s="1056"/>
      <c r="ZA145" s="1056"/>
      <c r="ZB145" s="1056"/>
      <c r="ZC145" s="1056"/>
      <c r="ZD145" s="1056"/>
      <c r="ZE145" s="1056"/>
      <c r="ZF145" s="1056"/>
      <c r="ZG145" s="1056"/>
      <c r="ZH145" s="1056"/>
      <c r="ZI145" s="1056"/>
      <c r="ZJ145" s="1056"/>
      <c r="ZK145" s="1056"/>
      <c r="ZL145" s="1056"/>
      <c r="ZM145" s="1056"/>
      <c r="ZN145" s="1056"/>
      <c r="ZO145" s="1056"/>
      <c r="ZP145" s="1056"/>
      <c r="ZQ145" s="1056"/>
      <c r="ZR145" s="1056"/>
      <c r="ZS145" s="1056"/>
      <c r="ZT145" s="1056"/>
      <c r="ZU145" s="1056"/>
      <c r="ZV145" s="1056"/>
      <c r="ZW145" s="1056"/>
      <c r="ZX145" s="1056"/>
      <c r="ZY145" s="1056"/>
      <c r="ZZ145" s="1056"/>
      <c r="AAA145" s="1056"/>
      <c r="AAB145" s="1056"/>
      <c r="AAC145" s="1056"/>
      <c r="AAD145" s="1056"/>
      <c r="AAE145" s="1056"/>
      <c r="AAF145" s="1056"/>
      <c r="AAG145" s="1056"/>
      <c r="AAH145" s="1056"/>
      <c r="AAI145" s="1056"/>
      <c r="AAJ145" s="1056"/>
      <c r="AAK145" s="1056"/>
      <c r="AAL145" s="1056"/>
      <c r="AAM145" s="1056"/>
      <c r="AAN145" s="1056"/>
      <c r="AAO145" s="1056"/>
      <c r="AAP145" s="1056"/>
      <c r="AAQ145" s="1056"/>
      <c r="AAR145" s="1056"/>
      <c r="AAS145" s="1056"/>
      <c r="AAT145" s="1056"/>
      <c r="AAU145" s="1056"/>
      <c r="AAV145" s="1056"/>
      <c r="AAW145" s="1056"/>
      <c r="AAX145" s="1056"/>
      <c r="AAY145" s="1056"/>
      <c r="AAZ145" s="1056"/>
      <c r="ABA145" s="1056"/>
      <c r="ABB145" s="1056"/>
      <c r="ABC145" s="1056"/>
      <c r="ABD145" s="1056"/>
      <c r="ABE145" s="1056"/>
      <c r="ABF145" s="1056"/>
      <c r="ABG145" s="1056"/>
      <c r="ABH145" s="1056"/>
      <c r="ABI145" s="1056"/>
      <c r="ABJ145" s="1056"/>
      <c r="ABK145" s="1056"/>
      <c r="ABL145" s="1056"/>
      <c r="ABM145" s="1056"/>
      <c r="ABN145" s="1056"/>
      <c r="ABO145" s="1056"/>
      <c r="ABP145" s="1056"/>
      <c r="ABQ145" s="1056"/>
      <c r="ABR145" s="1056"/>
      <c r="ABS145" s="1056"/>
      <c r="ABT145" s="1056"/>
      <c r="ABU145" s="1056"/>
      <c r="ABV145" s="1056"/>
      <c r="ABW145" s="1056"/>
      <c r="ABX145" s="1056"/>
      <c r="ABY145" s="1056"/>
      <c r="ABZ145" s="1056"/>
      <c r="ACA145" s="1056"/>
      <c r="ACB145" s="1056"/>
      <c r="ACC145" s="1056"/>
      <c r="ACD145" s="1056"/>
      <c r="ACE145" s="1056"/>
      <c r="ACF145" s="1056"/>
      <c r="ACG145" s="1056"/>
      <c r="ACH145" s="1056"/>
      <c r="ACI145" s="1056"/>
      <c r="ACJ145" s="1056"/>
      <c r="ACK145" s="1056"/>
      <c r="ACL145" s="1056"/>
      <c r="ACM145" s="1056"/>
      <c r="ACN145" s="1056"/>
      <c r="ACO145" s="1056"/>
      <c r="ACP145" s="1056"/>
      <c r="ACQ145" s="1056"/>
      <c r="ACR145" s="1056"/>
      <c r="ACS145" s="1056"/>
      <c r="ACT145" s="1056"/>
      <c r="ACU145" s="1056"/>
      <c r="ACV145" s="1056"/>
      <c r="ACW145" s="1056"/>
      <c r="ACX145" s="1056"/>
      <c r="ACY145" s="1056"/>
      <c r="ACZ145" s="1056"/>
      <c r="ADA145" s="1056"/>
      <c r="ADB145" s="1056"/>
      <c r="ADC145" s="1056"/>
      <c r="ADD145" s="1056"/>
      <c r="ADE145" s="1056"/>
      <c r="ADF145" s="1056"/>
      <c r="ADG145" s="1056"/>
      <c r="ADH145" s="1056"/>
      <c r="ADI145" s="1056"/>
      <c r="ADJ145" s="1056"/>
      <c r="ADK145" s="1056"/>
      <c r="ADL145" s="1056"/>
      <c r="ADM145" s="1056"/>
      <c r="ADN145" s="1056"/>
      <c r="ADO145" s="1056"/>
      <c r="ADP145" s="1056"/>
      <c r="ADQ145" s="1056"/>
      <c r="ADR145" s="1056"/>
      <c r="ADS145" s="1056"/>
      <c r="ADT145" s="1056"/>
      <c r="ADU145" s="1056"/>
      <c r="ADV145" s="1056"/>
      <c r="ADW145" s="1056"/>
      <c r="ADX145" s="1056"/>
      <c r="ADY145" s="1056"/>
      <c r="ADZ145" s="1056"/>
      <c r="AEA145" s="1056"/>
      <c r="AEB145" s="1056"/>
      <c r="AEC145" s="1056"/>
      <c r="AED145" s="1056"/>
      <c r="AEE145" s="1056"/>
      <c r="AEF145" s="1056"/>
      <c r="AEG145" s="1056"/>
      <c r="AEH145" s="1056"/>
      <c r="AEI145" s="1056"/>
      <c r="AEJ145" s="1056"/>
      <c r="AEK145" s="1056"/>
      <c r="AEL145" s="1056"/>
      <c r="AEM145" s="1056"/>
      <c r="AEN145" s="1056"/>
      <c r="AEO145" s="1056"/>
      <c r="AEP145" s="1056"/>
      <c r="AEQ145" s="1056"/>
      <c r="AER145" s="1056"/>
      <c r="AES145" s="1056"/>
      <c r="AET145" s="1056"/>
      <c r="AEU145" s="1056"/>
      <c r="AEV145" s="1056"/>
      <c r="AEW145" s="1056"/>
      <c r="AEX145" s="1056"/>
      <c r="AEY145" s="1056"/>
      <c r="AEZ145" s="1056"/>
      <c r="AFA145" s="1056"/>
      <c r="AFB145" s="1056"/>
      <c r="AFC145" s="1056"/>
      <c r="AFD145" s="1056"/>
      <c r="AFE145" s="1056"/>
      <c r="AFF145" s="1056"/>
      <c r="AFG145" s="1056"/>
      <c r="AFH145" s="1056"/>
      <c r="AFI145" s="1056"/>
      <c r="AFJ145" s="1056"/>
      <c r="AFK145" s="1056"/>
      <c r="AFL145" s="1056"/>
      <c r="AFM145" s="1056"/>
      <c r="AFN145" s="1056"/>
      <c r="AFO145" s="1056"/>
      <c r="AFP145" s="1056"/>
      <c r="AFQ145" s="1056"/>
      <c r="AFR145" s="1056"/>
      <c r="AFS145" s="1056"/>
      <c r="AFT145" s="1056"/>
      <c r="AFU145" s="1056"/>
      <c r="AFV145" s="1056"/>
      <c r="AFW145" s="1056"/>
      <c r="AFX145" s="1056"/>
      <c r="AFY145" s="1056"/>
      <c r="AFZ145" s="1056"/>
      <c r="AGA145" s="1056"/>
      <c r="AGB145" s="1056"/>
      <c r="AGC145" s="1056"/>
      <c r="AGD145" s="1056"/>
      <c r="AGE145" s="1056"/>
      <c r="AGF145" s="1056"/>
      <c r="AGG145" s="1056"/>
      <c r="AGH145" s="1056"/>
      <c r="AGI145" s="1056"/>
      <c r="AGJ145" s="1056"/>
      <c r="AGK145" s="1056"/>
      <c r="AGL145" s="1056"/>
      <c r="AGM145" s="1056"/>
      <c r="AGN145" s="1056"/>
      <c r="AGO145" s="1056"/>
      <c r="AGP145" s="1056"/>
      <c r="AGQ145" s="1056"/>
      <c r="AGR145" s="1056"/>
      <c r="AGS145" s="1056"/>
      <c r="AGT145" s="1056"/>
      <c r="AGU145" s="1056"/>
      <c r="AGV145" s="1056"/>
      <c r="AGW145" s="1056"/>
      <c r="AGX145" s="1056"/>
      <c r="AGY145" s="1056"/>
      <c r="AGZ145" s="1056"/>
      <c r="AHA145" s="1056"/>
      <c r="AHB145" s="1056"/>
      <c r="AHC145" s="1056"/>
      <c r="AHD145" s="1056"/>
      <c r="AHE145" s="1056"/>
      <c r="AHF145" s="1056"/>
      <c r="AHG145" s="1056"/>
      <c r="AHH145" s="1056"/>
      <c r="AHI145" s="1056"/>
      <c r="AHJ145" s="1056"/>
      <c r="AHK145" s="1056"/>
      <c r="AHL145" s="1056"/>
      <c r="AHM145" s="1056"/>
      <c r="AHN145" s="1056"/>
      <c r="AHO145" s="1056"/>
      <c r="AHP145" s="1056"/>
      <c r="AHQ145" s="1056"/>
      <c r="AHR145" s="1056"/>
      <c r="AHS145" s="1056"/>
      <c r="AHT145" s="1056"/>
      <c r="AHU145" s="1056"/>
      <c r="AHV145" s="1056"/>
      <c r="AHW145" s="1056"/>
      <c r="AHX145" s="1056"/>
      <c r="AHY145" s="1056"/>
      <c r="AHZ145" s="1056"/>
      <c r="AIA145" s="1056"/>
      <c r="AIB145" s="1056"/>
      <c r="AIC145" s="1056"/>
      <c r="AID145" s="1056"/>
      <c r="AIE145" s="1056"/>
      <c r="AIF145" s="1056"/>
      <c r="AIG145" s="1056"/>
      <c r="AIH145" s="1056"/>
      <c r="AII145" s="1056"/>
      <c r="AIJ145" s="1056"/>
      <c r="AIK145" s="1056"/>
      <c r="AIL145" s="1056"/>
      <c r="AIM145" s="1056"/>
      <c r="AIN145" s="1056"/>
      <c r="AIO145" s="1056"/>
      <c r="AIP145" s="1056"/>
      <c r="AIQ145" s="1056"/>
      <c r="AIR145" s="1056"/>
      <c r="AIS145" s="1056"/>
      <c r="AIT145" s="1056"/>
      <c r="AIU145" s="1056"/>
      <c r="AIV145" s="1056"/>
      <c r="AIW145" s="1056"/>
      <c r="AIX145" s="1056"/>
      <c r="AIY145" s="1056"/>
      <c r="AIZ145" s="1056"/>
      <c r="AJA145" s="1056"/>
      <c r="AJB145" s="1056"/>
      <c r="AJC145" s="1056"/>
      <c r="AJD145" s="1056"/>
      <c r="AJE145" s="1056"/>
      <c r="AJF145" s="1056"/>
      <c r="AJG145" s="1056"/>
      <c r="AJH145" s="1056"/>
      <c r="AJI145" s="1056"/>
      <c r="AJJ145" s="1056"/>
      <c r="AJK145" s="1056"/>
      <c r="AJL145" s="1056"/>
      <c r="AJM145" s="1056"/>
      <c r="AJN145" s="1056"/>
      <c r="AJO145" s="1056"/>
      <c r="AJP145" s="1056"/>
      <c r="AJQ145" s="1056"/>
      <c r="AJR145" s="1056"/>
      <c r="AJS145" s="1056"/>
      <c r="AJT145" s="1056"/>
      <c r="AJU145" s="1056"/>
      <c r="AJV145" s="1056"/>
      <c r="AJW145" s="1056"/>
      <c r="AJX145" s="1056"/>
      <c r="AJY145" s="1056"/>
      <c r="AJZ145" s="1056"/>
      <c r="AKA145" s="1056"/>
      <c r="AKB145" s="1056"/>
      <c r="AKC145" s="1056"/>
      <c r="AKD145" s="1056"/>
      <c r="AKE145" s="1056"/>
      <c r="AKF145" s="1056"/>
      <c r="AKG145" s="1056"/>
      <c r="AKH145" s="1056"/>
      <c r="AKI145" s="1056"/>
      <c r="AKJ145" s="1056"/>
      <c r="AKK145" s="1056"/>
      <c r="AKL145" s="1056"/>
      <c r="AKM145" s="1056"/>
      <c r="AKN145" s="1056"/>
      <c r="AKO145" s="1056"/>
      <c r="AKP145" s="1056"/>
      <c r="AKQ145" s="1056"/>
      <c r="AKR145" s="1056"/>
      <c r="AKS145" s="1056"/>
      <c r="AKT145" s="1056"/>
      <c r="AKU145" s="1056"/>
      <c r="AKV145" s="1056"/>
      <c r="AKW145" s="1056"/>
      <c r="AKX145" s="1056"/>
      <c r="AKY145" s="1056"/>
      <c r="AKZ145" s="1056"/>
      <c r="ALA145" s="1056"/>
      <c r="ALB145" s="1056"/>
      <c r="ALC145" s="1056"/>
      <c r="ALD145" s="1056"/>
      <c r="ALE145" s="1056"/>
      <c r="ALF145" s="1056"/>
      <c r="ALG145" s="1056"/>
      <c r="ALH145" s="1056"/>
      <c r="ALI145" s="1056"/>
      <c r="ALJ145" s="1056"/>
      <c r="ALK145" s="1056"/>
      <c r="ALL145" s="1056"/>
      <c r="ALM145" s="1056"/>
      <c r="ALN145" s="1056"/>
      <c r="ALO145" s="1056"/>
      <c r="ALP145" s="1056"/>
      <c r="ALQ145" s="1056"/>
      <c r="ALR145" s="1056"/>
      <c r="ALS145" s="1056"/>
      <c r="ALT145" s="1056"/>
      <c r="ALU145" s="1056"/>
      <c r="ALV145" s="1056"/>
      <c r="ALW145" s="1056"/>
      <c r="ALX145" s="1056"/>
      <c r="ALY145" s="1056"/>
      <c r="ALZ145" s="1056"/>
      <c r="AMA145" s="1056"/>
      <c r="AMB145" s="1056"/>
      <c r="AMC145" s="1056"/>
      <c r="AMD145" s="1056"/>
      <c r="AME145" s="1056"/>
      <c r="AMF145" s="1056"/>
      <c r="AMG145" s="1056"/>
      <c r="AMH145" s="1056"/>
      <c r="AMI145" s="1056"/>
      <c r="AMJ145" s="1056"/>
      <c r="AMK145" s="1056"/>
      <c r="AML145" s="1056"/>
      <c r="AMM145" s="1056"/>
      <c r="AMN145" s="1056"/>
      <c r="AMO145" s="1056"/>
      <c r="AMP145" s="1056"/>
      <c r="AMQ145" s="1056"/>
      <c r="AMR145" s="1056"/>
      <c r="AMS145" s="1056"/>
      <c r="AMT145" s="1056"/>
      <c r="AMU145" s="1056"/>
      <c r="AMV145" s="1056"/>
      <c r="AMW145" s="1056"/>
      <c r="AMX145" s="1056"/>
      <c r="AMY145" s="1056"/>
      <c r="AMZ145" s="1056"/>
      <c r="ANA145" s="1056"/>
      <c r="ANB145" s="1056"/>
      <c r="ANC145" s="1056"/>
      <c r="AND145" s="1056"/>
      <c r="ANE145" s="1056"/>
      <c r="ANF145" s="1056"/>
      <c r="ANG145" s="1056"/>
      <c r="ANH145" s="1056"/>
      <c r="ANI145" s="1056"/>
      <c r="ANJ145" s="1056"/>
      <c r="ANK145" s="1056"/>
      <c r="ANL145" s="1056"/>
      <c r="ANM145" s="1056"/>
      <c r="ANN145" s="1056"/>
      <c r="ANO145" s="1056"/>
      <c r="ANP145" s="1056"/>
      <c r="ANQ145" s="1056"/>
      <c r="ANR145" s="1056"/>
      <c r="ANS145" s="1056"/>
      <c r="ANT145" s="1056"/>
      <c r="ANU145" s="1056"/>
      <c r="ANV145" s="1056"/>
      <c r="ANW145" s="1056"/>
      <c r="ANX145" s="1056"/>
      <c r="ANY145" s="1056"/>
      <c r="ANZ145" s="1056"/>
      <c r="AOA145" s="1056"/>
      <c r="AOB145" s="1056"/>
      <c r="AOC145" s="1056"/>
      <c r="AOD145" s="1056"/>
      <c r="AOE145" s="1056"/>
      <c r="AOF145" s="1056"/>
      <c r="AOG145" s="1056"/>
      <c r="AOH145" s="1056"/>
      <c r="AOI145" s="1056"/>
      <c r="AOJ145" s="1056"/>
      <c r="AOK145" s="1056"/>
      <c r="AOL145" s="1056"/>
      <c r="AOM145" s="1056"/>
      <c r="AON145" s="1056"/>
      <c r="AOO145" s="1056"/>
      <c r="AOP145" s="1056"/>
      <c r="AOQ145" s="1056"/>
      <c r="AOR145" s="1056"/>
      <c r="AOS145" s="1056"/>
      <c r="AOT145" s="1056"/>
      <c r="AOU145" s="1056"/>
      <c r="AOV145" s="1056"/>
      <c r="AOW145" s="1056"/>
      <c r="AOX145" s="1056"/>
      <c r="AOY145" s="1056"/>
      <c r="AOZ145" s="1056"/>
      <c r="APA145" s="1056"/>
      <c r="APB145" s="1056"/>
      <c r="APC145" s="1056"/>
      <c r="APD145" s="1056"/>
      <c r="APE145" s="1056"/>
      <c r="APF145" s="1056"/>
      <c r="APG145" s="1056"/>
      <c r="APH145" s="1056"/>
      <c r="API145" s="1056"/>
      <c r="APJ145" s="1056"/>
      <c r="APK145" s="1056"/>
      <c r="APL145" s="1056"/>
      <c r="APM145" s="1056"/>
      <c r="APN145" s="1056"/>
      <c r="APO145" s="1056"/>
      <c r="APP145" s="1056"/>
      <c r="APQ145" s="1056"/>
      <c r="APR145" s="1056"/>
      <c r="APS145" s="1056"/>
      <c r="APT145" s="1056"/>
      <c r="APU145" s="1056"/>
      <c r="APV145" s="1056"/>
      <c r="APW145" s="1056"/>
      <c r="APX145" s="1056"/>
      <c r="APY145" s="1056"/>
      <c r="APZ145" s="1056"/>
      <c r="AQA145" s="1056"/>
      <c r="AQB145" s="1056"/>
      <c r="AQC145" s="1056"/>
      <c r="AQD145" s="1056"/>
      <c r="AQE145" s="1056"/>
      <c r="AQF145" s="1056"/>
      <c r="AQG145" s="1056"/>
      <c r="AQH145" s="1056"/>
      <c r="AQI145" s="1056"/>
      <c r="AQJ145" s="1056"/>
      <c r="AQK145" s="1056"/>
      <c r="AQL145" s="1056"/>
      <c r="AQM145" s="1056"/>
      <c r="AQN145" s="1056"/>
      <c r="AQO145" s="1056"/>
      <c r="AQP145" s="1056"/>
      <c r="AQQ145" s="1056"/>
      <c r="AQR145" s="1056"/>
      <c r="AQS145" s="1056"/>
      <c r="AQT145" s="1056"/>
      <c r="AQU145" s="1056"/>
      <c r="AQV145" s="1056"/>
      <c r="AQW145" s="1056"/>
      <c r="AQX145" s="1056"/>
      <c r="AQY145" s="1056"/>
      <c r="AQZ145" s="1056"/>
      <c r="ARA145" s="1056"/>
      <c r="ARB145" s="1056"/>
      <c r="ARC145" s="1056"/>
      <c r="ARD145" s="1056"/>
      <c r="ARE145" s="1056"/>
      <c r="ARF145" s="1056"/>
      <c r="ARG145" s="1056"/>
      <c r="ARH145" s="1056"/>
      <c r="ARI145" s="1056"/>
      <c r="ARJ145" s="1056"/>
      <c r="ARK145" s="1056"/>
      <c r="ARL145" s="1056"/>
      <c r="ARM145" s="1056"/>
      <c r="ARN145" s="1056"/>
      <c r="ARO145" s="1056"/>
      <c r="ARP145" s="1056"/>
      <c r="ARQ145" s="1056"/>
      <c r="ARR145" s="1056"/>
      <c r="ARS145" s="1056"/>
      <c r="ART145" s="1056"/>
      <c r="ARU145" s="1056"/>
      <c r="ARV145" s="1056"/>
      <c r="ARW145" s="1056"/>
      <c r="ARX145" s="1056"/>
      <c r="ARY145" s="1056"/>
      <c r="ARZ145" s="1056"/>
      <c r="ASA145" s="1056"/>
      <c r="ASB145" s="1056"/>
      <c r="ASC145" s="1056"/>
      <c r="ASD145" s="1056"/>
      <c r="ASE145" s="1056"/>
      <c r="ASF145" s="1056"/>
      <c r="ASG145" s="1056"/>
      <c r="ASH145" s="1056"/>
      <c r="ASI145" s="1056"/>
      <c r="ASJ145" s="1056"/>
      <c r="ASK145" s="1056"/>
      <c r="ASL145" s="1056"/>
      <c r="ASM145" s="1056"/>
      <c r="ASN145" s="1056"/>
      <c r="ASO145" s="1056"/>
      <c r="ASP145" s="1056"/>
      <c r="ASQ145" s="1056"/>
      <c r="ASR145" s="1056"/>
      <c r="ASS145" s="1056"/>
      <c r="AST145" s="1056"/>
      <c r="ASU145" s="1056"/>
      <c r="ASV145" s="1056"/>
      <c r="ASW145" s="1056"/>
      <c r="ASX145" s="1056"/>
      <c r="ASY145" s="1056"/>
      <c r="ASZ145" s="1056"/>
      <c r="ATA145" s="1056"/>
      <c r="ATB145" s="1056"/>
      <c r="ATC145" s="1056"/>
      <c r="ATD145" s="1056"/>
      <c r="ATE145" s="1056"/>
      <c r="ATF145" s="1056"/>
      <c r="ATG145" s="1056"/>
      <c r="ATH145" s="1056"/>
      <c r="ATI145" s="1056"/>
      <c r="ATJ145" s="1056"/>
      <c r="ATK145" s="1056"/>
      <c r="ATL145" s="1056"/>
      <c r="ATM145" s="1056"/>
      <c r="ATN145" s="1056"/>
      <c r="ATO145" s="1056"/>
      <c r="ATP145" s="1056"/>
      <c r="ATQ145" s="1056"/>
      <c r="ATR145" s="1056"/>
      <c r="ATS145" s="1056"/>
      <c r="ATT145" s="1056"/>
      <c r="ATU145" s="1056"/>
      <c r="ATV145" s="1056"/>
      <c r="ATW145" s="1056"/>
      <c r="ATX145" s="1056"/>
      <c r="ATY145" s="1056"/>
      <c r="ATZ145" s="1056"/>
      <c r="AUA145" s="1056"/>
      <c r="AUB145" s="1056"/>
      <c r="AUC145" s="1056"/>
      <c r="AUD145" s="1056"/>
      <c r="AUE145" s="1056"/>
      <c r="AUF145" s="1056"/>
      <c r="AUG145" s="1056"/>
      <c r="AUH145" s="1056"/>
      <c r="AUI145" s="1056"/>
      <c r="AUJ145" s="1056"/>
      <c r="AUK145" s="1056"/>
      <c r="AUL145" s="1056"/>
      <c r="AUM145" s="1056"/>
      <c r="AUN145" s="1056"/>
      <c r="AUO145" s="1056"/>
      <c r="AUP145" s="1056"/>
      <c r="AUQ145" s="1056"/>
      <c r="AUR145" s="1056"/>
      <c r="AUS145" s="1056"/>
      <c r="AUT145" s="1056"/>
      <c r="AUU145" s="1056"/>
      <c r="AUV145" s="1056"/>
      <c r="AUW145" s="1056"/>
      <c r="AUX145" s="1056"/>
      <c r="AUY145" s="1056"/>
      <c r="AUZ145" s="1056"/>
      <c r="AVA145" s="1056"/>
      <c r="AVB145" s="1056"/>
      <c r="AVC145" s="1056"/>
      <c r="AVD145" s="1056"/>
      <c r="AVE145" s="1056"/>
      <c r="AVF145" s="1056"/>
      <c r="AVG145" s="1056"/>
      <c r="AVH145" s="1056"/>
      <c r="AVI145" s="1056"/>
      <c r="AVJ145" s="1056"/>
      <c r="AVK145" s="1056"/>
      <c r="AVL145" s="1056"/>
      <c r="AVM145" s="1056"/>
      <c r="AVN145" s="1056"/>
      <c r="AVO145" s="1056"/>
      <c r="AVP145" s="1056"/>
      <c r="AVQ145" s="1056"/>
      <c r="AVR145" s="1056"/>
      <c r="AVS145" s="1056"/>
      <c r="AVT145" s="1056"/>
      <c r="AVU145" s="1056"/>
      <c r="AVV145" s="1056"/>
      <c r="AVW145" s="1056"/>
      <c r="AVX145" s="1056"/>
      <c r="AVY145" s="1056"/>
      <c r="AVZ145" s="1056"/>
      <c r="AWA145" s="1056"/>
      <c r="AWB145" s="1056"/>
      <c r="AWC145" s="1056"/>
      <c r="AWD145" s="1056"/>
      <c r="AWE145" s="1056"/>
      <c r="AWF145" s="1056"/>
      <c r="AWG145" s="1056"/>
      <c r="AWH145" s="1056"/>
      <c r="AWI145" s="1056"/>
      <c r="AWJ145" s="1056"/>
      <c r="AWK145" s="1056"/>
      <c r="AWL145" s="1056"/>
      <c r="AWM145" s="1056"/>
      <c r="AWN145" s="1056"/>
      <c r="AWO145" s="1056"/>
      <c r="AWP145" s="1056"/>
      <c r="AWQ145" s="1056"/>
      <c r="AWR145" s="1056"/>
      <c r="AWS145" s="1056"/>
      <c r="AWT145" s="1056"/>
      <c r="AWU145" s="1056"/>
      <c r="AWV145" s="1056"/>
      <c r="AWW145" s="1056"/>
      <c r="AWX145" s="1056"/>
      <c r="AWY145" s="1056"/>
      <c r="AWZ145" s="1056"/>
      <c r="AXA145" s="1056"/>
      <c r="AXB145" s="1056"/>
      <c r="AXC145" s="1056"/>
      <c r="AXD145" s="1056"/>
      <c r="AXE145" s="1056"/>
      <c r="AXF145" s="1056"/>
      <c r="AXG145" s="1056"/>
      <c r="AXH145" s="1056"/>
      <c r="AXI145" s="1056"/>
      <c r="AXJ145" s="1056"/>
      <c r="AXK145" s="1056"/>
      <c r="AXL145" s="1056"/>
      <c r="AXM145" s="1056"/>
      <c r="AXN145" s="1056"/>
      <c r="AXO145" s="1056"/>
      <c r="AXP145" s="1056"/>
      <c r="AXQ145" s="1056"/>
      <c r="AXR145" s="1056"/>
      <c r="AXS145" s="1056"/>
      <c r="AXT145" s="1056"/>
      <c r="AXU145" s="1056"/>
      <c r="AXV145" s="1056"/>
      <c r="AXW145" s="1056"/>
      <c r="AXX145" s="1056"/>
      <c r="AXY145" s="1056"/>
      <c r="AXZ145" s="1056"/>
      <c r="AYA145" s="1056"/>
      <c r="AYB145" s="1056"/>
      <c r="AYC145" s="1056"/>
      <c r="AYD145" s="1056"/>
      <c r="AYE145" s="1056"/>
      <c r="AYF145" s="1056"/>
      <c r="AYG145" s="1056"/>
      <c r="AYH145" s="1056"/>
      <c r="AYI145" s="1056"/>
      <c r="AYJ145" s="1056"/>
      <c r="AYK145" s="1056"/>
      <c r="AYL145" s="1056"/>
      <c r="AYM145" s="1056"/>
      <c r="AYN145" s="1056"/>
      <c r="AYO145" s="1056"/>
      <c r="AYP145" s="1056"/>
      <c r="AYQ145" s="1056"/>
      <c r="AYR145" s="1056"/>
      <c r="AYS145" s="1056"/>
      <c r="AYT145" s="1056"/>
      <c r="AYU145" s="1056"/>
      <c r="AYV145" s="1056"/>
      <c r="AYW145" s="1056"/>
      <c r="AYX145" s="1056"/>
      <c r="AYY145" s="1056"/>
      <c r="AYZ145" s="1056"/>
      <c r="AZA145" s="1056"/>
      <c r="AZB145" s="1056"/>
      <c r="AZC145" s="1056"/>
      <c r="AZD145" s="1056"/>
      <c r="AZE145" s="1056"/>
      <c r="AZF145" s="1056"/>
      <c r="AZG145" s="1056"/>
      <c r="AZH145" s="1056"/>
      <c r="AZI145" s="1056"/>
      <c r="AZJ145" s="1056"/>
      <c r="AZK145" s="1056"/>
      <c r="AZL145" s="1056"/>
      <c r="AZM145" s="1056"/>
      <c r="AZN145" s="1056"/>
      <c r="AZO145" s="1056"/>
      <c r="AZP145" s="1056"/>
      <c r="AZQ145" s="1056"/>
      <c r="AZR145" s="1056"/>
      <c r="AZS145" s="1056"/>
      <c r="AZT145" s="1056"/>
      <c r="AZU145" s="1056"/>
      <c r="AZV145" s="1056"/>
      <c r="AZW145" s="1056"/>
      <c r="AZX145" s="1056"/>
      <c r="AZY145" s="1056"/>
      <c r="AZZ145" s="1056"/>
      <c r="BAA145" s="1056"/>
      <c r="BAB145" s="1056"/>
      <c r="BAC145" s="1056"/>
      <c r="BAD145" s="1056"/>
      <c r="BAE145" s="1056"/>
      <c r="BAF145" s="1056"/>
      <c r="BAG145" s="1056"/>
      <c r="BAH145" s="1056"/>
      <c r="BAI145" s="1056"/>
      <c r="BAJ145" s="1056"/>
      <c r="BAK145" s="1056"/>
      <c r="BAL145" s="1056"/>
      <c r="BAM145" s="1056"/>
      <c r="BAN145" s="1056"/>
      <c r="BAO145" s="1056"/>
      <c r="BAP145" s="1056"/>
      <c r="BAQ145" s="1056"/>
      <c r="BAR145" s="1056"/>
      <c r="BAS145" s="1056"/>
      <c r="BAT145" s="1056"/>
      <c r="BAU145" s="1056"/>
      <c r="BAV145" s="1056"/>
      <c r="BAW145" s="1056"/>
      <c r="BAX145" s="1056"/>
      <c r="BAY145" s="1056"/>
      <c r="BAZ145" s="1056"/>
      <c r="BBA145" s="1056"/>
      <c r="BBB145" s="1056"/>
      <c r="BBC145" s="1056"/>
      <c r="BBD145" s="1056"/>
      <c r="BBE145" s="1056"/>
      <c r="BBF145" s="1056"/>
      <c r="BBG145" s="1056"/>
      <c r="BBH145" s="1056"/>
      <c r="BBI145" s="1056"/>
      <c r="BBJ145" s="1056"/>
      <c r="BBK145" s="1056"/>
      <c r="BBL145" s="1056"/>
      <c r="BBM145" s="1056"/>
      <c r="BBN145" s="1056"/>
      <c r="BBO145" s="1056"/>
      <c r="BBP145" s="1056"/>
      <c r="BBQ145" s="1056"/>
      <c r="BBR145" s="1056"/>
      <c r="BBS145" s="1056"/>
      <c r="BBT145" s="1056"/>
      <c r="BBU145" s="1056"/>
      <c r="BBV145" s="1056"/>
      <c r="BBW145" s="1056"/>
      <c r="BBX145" s="1056"/>
      <c r="BBY145" s="1056"/>
      <c r="BBZ145" s="1056"/>
      <c r="BCA145" s="1056"/>
      <c r="BCB145" s="1056"/>
      <c r="BCC145" s="1056"/>
      <c r="BCD145" s="1056"/>
      <c r="BCE145" s="1056"/>
      <c r="BCF145" s="1056"/>
      <c r="BCG145" s="1056"/>
      <c r="BCH145" s="1056"/>
      <c r="BCI145" s="1056"/>
      <c r="BCJ145" s="1056"/>
      <c r="BCK145" s="1056"/>
      <c r="BCL145" s="1056"/>
      <c r="BCM145" s="1056"/>
      <c r="BCN145" s="1056"/>
      <c r="BCO145" s="1056"/>
      <c r="BCP145" s="1056"/>
      <c r="BCQ145" s="1056"/>
      <c r="BCR145" s="1056"/>
      <c r="BCS145" s="1056"/>
      <c r="BCT145" s="1056"/>
      <c r="BCU145" s="1056"/>
      <c r="BCV145" s="1056"/>
      <c r="BCW145" s="1056"/>
      <c r="BCX145" s="1056"/>
      <c r="BCY145" s="1056"/>
      <c r="BCZ145" s="1056"/>
      <c r="BDA145" s="1056"/>
      <c r="BDB145" s="1056"/>
      <c r="BDC145" s="1056"/>
      <c r="BDD145" s="1056"/>
      <c r="BDE145" s="1056"/>
      <c r="BDF145" s="1056"/>
      <c r="BDG145" s="1056"/>
      <c r="BDH145" s="1056"/>
      <c r="BDI145" s="1056"/>
      <c r="BDJ145" s="1056"/>
      <c r="BDK145" s="1056"/>
      <c r="BDL145" s="1056"/>
      <c r="BDM145" s="1056"/>
      <c r="BDN145" s="1056"/>
      <c r="BDO145" s="1056"/>
      <c r="BDP145" s="1056"/>
      <c r="BDQ145" s="1056"/>
      <c r="BDR145" s="1056"/>
      <c r="BDS145" s="1056"/>
      <c r="BDT145" s="1056"/>
      <c r="BDU145" s="1056"/>
      <c r="BDV145" s="1056"/>
      <c r="BDW145" s="1056"/>
      <c r="BDX145" s="1056"/>
      <c r="BDY145" s="1056"/>
      <c r="BDZ145" s="1056"/>
      <c r="BEA145" s="1056"/>
      <c r="BEB145" s="1056"/>
      <c r="BEC145" s="1056"/>
      <c r="BED145" s="1056"/>
      <c r="BEE145" s="1056"/>
      <c r="BEF145" s="1056"/>
      <c r="BEG145" s="1056"/>
      <c r="BEH145" s="1056"/>
      <c r="BEI145" s="1056"/>
      <c r="BEJ145" s="1056"/>
      <c r="BEK145" s="1056"/>
      <c r="BEL145" s="1056"/>
      <c r="BEM145" s="1056"/>
      <c r="BEN145" s="1056"/>
      <c r="BEO145" s="1056"/>
      <c r="BEP145" s="1056"/>
      <c r="BEQ145" s="1056"/>
      <c r="BER145" s="1056"/>
      <c r="BES145" s="1056"/>
      <c r="BET145" s="1056"/>
      <c r="BEU145" s="1056"/>
      <c r="BEV145" s="1056"/>
      <c r="BEW145" s="1056"/>
      <c r="BEX145" s="1056"/>
      <c r="BEY145" s="1056"/>
      <c r="BEZ145" s="1056"/>
      <c r="BFA145" s="1056"/>
      <c r="BFB145" s="1056"/>
      <c r="BFC145" s="1056"/>
      <c r="BFD145" s="1056"/>
      <c r="BFE145" s="1056"/>
      <c r="BFF145" s="1056"/>
      <c r="BFG145" s="1056"/>
      <c r="BFH145" s="1056"/>
      <c r="BFI145" s="1056"/>
      <c r="BFJ145" s="1056"/>
      <c r="BFK145" s="1056"/>
      <c r="BFL145" s="1056"/>
      <c r="BFM145" s="1056"/>
      <c r="BFN145" s="1056"/>
      <c r="BFO145" s="1056"/>
      <c r="BFP145" s="1056"/>
      <c r="BFQ145" s="1056"/>
      <c r="BFR145" s="1056"/>
      <c r="BFS145" s="1056"/>
      <c r="BFT145" s="1056"/>
      <c r="BFU145" s="1056"/>
      <c r="BFV145" s="1056"/>
      <c r="BFW145" s="1056"/>
      <c r="BFX145" s="1056"/>
      <c r="BFY145" s="1056"/>
      <c r="BFZ145" s="1056"/>
      <c r="BGA145" s="1056"/>
      <c r="BGB145" s="1056"/>
      <c r="BGC145" s="1056"/>
      <c r="BGD145" s="1056"/>
      <c r="BGE145" s="1056"/>
      <c r="BGF145" s="1056"/>
      <c r="BGG145" s="1056"/>
      <c r="BGH145" s="1056"/>
      <c r="BGI145" s="1056"/>
      <c r="BGJ145" s="1056"/>
      <c r="BGK145" s="1056"/>
      <c r="BGL145" s="1056"/>
      <c r="BGM145" s="1056"/>
      <c r="BGN145" s="1056"/>
      <c r="BGO145" s="1056"/>
      <c r="BGP145" s="1056"/>
      <c r="BGQ145" s="1056"/>
      <c r="BGR145" s="1056"/>
      <c r="BGS145" s="1056"/>
      <c r="BGT145" s="1056"/>
      <c r="BGU145" s="1056"/>
      <c r="BGV145" s="1056"/>
      <c r="BGW145" s="1056"/>
      <c r="BGX145" s="1056"/>
      <c r="BGY145" s="1056"/>
      <c r="BGZ145" s="1056"/>
      <c r="BHA145" s="1056"/>
      <c r="BHB145" s="1056"/>
      <c r="BHC145" s="1056"/>
      <c r="BHD145" s="1056"/>
      <c r="BHE145" s="1056"/>
      <c r="BHF145" s="1056"/>
      <c r="BHG145" s="1056"/>
      <c r="BHH145" s="1056"/>
      <c r="BHI145" s="1056"/>
      <c r="BHJ145" s="1056"/>
      <c r="BHK145" s="1056"/>
      <c r="BHL145" s="1056"/>
      <c r="BHM145" s="1056"/>
      <c r="BHN145" s="1056"/>
      <c r="BHO145" s="1056"/>
      <c r="BHP145" s="1056"/>
      <c r="BHQ145" s="1056"/>
      <c r="BHR145" s="1056"/>
      <c r="BHS145" s="1056"/>
      <c r="BHT145" s="1056"/>
      <c r="BHU145" s="1056"/>
      <c r="BHV145" s="1056"/>
      <c r="BHW145" s="1056"/>
      <c r="BHX145" s="1056"/>
      <c r="BHY145" s="1056"/>
      <c r="BHZ145" s="1056"/>
      <c r="BIA145" s="1056"/>
      <c r="BIB145" s="1056"/>
      <c r="BIC145" s="1056"/>
      <c r="BID145" s="1056"/>
      <c r="BIE145" s="1056"/>
      <c r="BIF145" s="1056"/>
      <c r="BIG145" s="1056"/>
      <c r="BIH145" s="1056"/>
      <c r="BII145" s="1056"/>
      <c r="BIJ145" s="1056"/>
      <c r="BIK145" s="1056"/>
      <c r="BIL145" s="1056"/>
      <c r="BIM145" s="1056"/>
      <c r="BIN145" s="1056"/>
      <c r="BIO145" s="1056"/>
      <c r="BIP145" s="1056"/>
      <c r="BIQ145" s="1056"/>
      <c r="BIR145" s="1056"/>
      <c r="BIS145" s="1056"/>
      <c r="BIT145" s="1056"/>
      <c r="BIU145" s="1056"/>
      <c r="BIV145" s="1056"/>
      <c r="BIW145" s="1056"/>
      <c r="BIX145" s="1056"/>
      <c r="BIY145" s="1056"/>
      <c r="BIZ145" s="1056"/>
      <c r="BJA145" s="1056"/>
      <c r="BJB145" s="1056"/>
      <c r="BJC145" s="1056"/>
      <c r="BJD145" s="1056"/>
      <c r="BJE145" s="1056"/>
      <c r="BJF145" s="1056"/>
      <c r="BJG145" s="1056"/>
      <c r="BJH145" s="1056"/>
      <c r="BJI145" s="1056"/>
      <c r="BJJ145" s="1056"/>
      <c r="BJK145" s="1056"/>
      <c r="BJL145" s="1056"/>
      <c r="BJM145" s="1056"/>
      <c r="BJN145" s="1056"/>
      <c r="BJO145" s="1056"/>
      <c r="BJP145" s="1056"/>
      <c r="BJQ145" s="1056"/>
      <c r="BJR145" s="1056"/>
      <c r="BJS145" s="1056"/>
      <c r="BJT145" s="1056"/>
      <c r="BJU145" s="1056"/>
      <c r="BJV145" s="1056"/>
      <c r="BJW145" s="1056"/>
      <c r="BJX145" s="1056"/>
      <c r="BJY145" s="1056"/>
      <c r="BJZ145" s="1056"/>
      <c r="BKA145" s="1056"/>
      <c r="BKB145" s="1056"/>
      <c r="BKC145" s="1056"/>
      <c r="BKD145" s="1056"/>
      <c r="BKE145" s="1056"/>
      <c r="BKF145" s="1056"/>
      <c r="BKG145" s="1056"/>
      <c r="BKH145" s="1056"/>
      <c r="BKI145" s="1056"/>
      <c r="BKJ145" s="1056"/>
      <c r="BKK145" s="1056"/>
      <c r="BKL145" s="1056"/>
      <c r="BKM145" s="1056"/>
      <c r="BKN145" s="1056"/>
      <c r="BKO145" s="1056"/>
      <c r="BKP145" s="1056"/>
      <c r="BKQ145" s="1056"/>
      <c r="BKR145" s="1056"/>
      <c r="BKS145" s="1056"/>
      <c r="BKT145" s="1056"/>
      <c r="BKU145" s="1056"/>
      <c r="BKV145" s="1056"/>
      <c r="BKW145" s="1056"/>
      <c r="BKX145" s="1056"/>
      <c r="BKY145" s="1056"/>
      <c r="BKZ145" s="1056"/>
      <c r="BLA145" s="1056"/>
      <c r="BLB145" s="1056"/>
      <c r="BLC145" s="1056"/>
      <c r="BLD145" s="1056"/>
      <c r="BLE145" s="1056"/>
      <c r="BLF145" s="1056"/>
      <c r="BLG145" s="1056"/>
      <c r="BLH145" s="1056"/>
      <c r="BLI145" s="1056"/>
      <c r="BLJ145" s="1056"/>
      <c r="BLK145" s="1056"/>
      <c r="BLL145" s="1056"/>
      <c r="BLM145" s="1056"/>
      <c r="BLN145" s="1056"/>
      <c r="BLO145" s="1056"/>
      <c r="BLP145" s="1056"/>
      <c r="BLQ145" s="1056"/>
      <c r="BLR145" s="1056"/>
      <c r="BLS145" s="1056"/>
      <c r="BLT145" s="1056"/>
      <c r="BLU145" s="1056"/>
      <c r="BLV145" s="1056"/>
      <c r="BLW145" s="1056"/>
      <c r="BLX145" s="1056"/>
      <c r="BLY145" s="1056"/>
      <c r="BLZ145" s="1056"/>
      <c r="BMA145" s="1056"/>
      <c r="BMB145" s="1056"/>
      <c r="BMC145" s="1056"/>
      <c r="BMD145" s="1056"/>
      <c r="BME145" s="1056"/>
      <c r="BMF145" s="1056"/>
      <c r="BMG145" s="1056"/>
      <c r="BMH145" s="1056"/>
      <c r="BMI145" s="1056"/>
      <c r="BMJ145" s="1056"/>
      <c r="BMK145" s="1056"/>
      <c r="BML145" s="1056"/>
      <c r="BMM145" s="1056"/>
      <c r="BMN145" s="1056"/>
      <c r="BMO145" s="1056"/>
      <c r="BMP145" s="1056"/>
      <c r="BMQ145" s="1056"/>
      <c r="BMR145" s="1056"/>
      <c r="BMS145" s="1056"/>
      <c r="BMT145" s="1056"/>
      <c r="BMU145" s="1056"/>
      <c r="BMV145" s="1056"/>
      <c r="BMW145" s="1056"/>
      <c r="BMX145" s="1056"/>
      <c r="BMY145" s="1056"/>
      <c r="BMZ145" s="1056"/>
      <c r="BNA145" s="1056"/>
      <c r="BNB145" s="1056"/>
      <c r="BNC145" s="1056"/>
      <c r="BND145" s="1056"/>
      <c r="BNE145" s="1056"/>
      <c r="BNF145" s="1056"/>
      <c r="BNG145" s="1056"/>
      <c r="BNH145" s="1056"/>
      <c r="BNI145" s="1056"/>
      <c r="BNJ145" s="1056"/>
      <c r="BNK145" s="1056"/>
      <c r="BNL145" s="1056"/>
      <c r="BNM145" s="1056"/>
      <c r="BNN145" s="1056"/>
      <c r="BNO145" s="1056"/>
      <c r="BNP145" s="1056"/>
      <c r="BNQ145" s="1056"/>
      <c r="BNR145" s="1056"/>
      <c r="BNS145" s="1056"/>
      <c r="BNT145" s="1056"/>
      <c r="BNU145" s="1056"/>
      <c r="BNV145" s="1056"/>
      <c r="BNW145" s="1056"/>
      <c r="BNX145" s="1056"/>
      <c r="BNY145" s="1056"/>
      <c r="BNZ145" s="1056"/>
      <c r="BOA145" s="1056"/>
      <c r="BOB145" s="1056"/>
      <c r="BOC145" s="1056"/>
      <c r="BOD145" s="1056"/>
      <c r="BOE145" s="1056"/>
      <c r="BOF145" s="1056"/>
      <c r="BOG145" s="1056"/>
      <c r="BOH145" s="1056"/>
      <c r="BOI145" s="1056"/>
      <c r="BOJ145" s="1056"/>
      <c r="BOK145" s="1056"/>
      <c r="BOL145" s="1056"/>
      <c r="BOM145" s="1056"/>
      <c r="BON145" s="1056"/>
      <c r="BOO145" s="1056"/>
      <c r="BOP145" s="1056"/>
      <c r="BOQ145" s="1056"/>
      <c r="BOR145" s="1056"/>
      <c r="BOS145" s="1056"/>
      <c r="BOT145" s="1056"/>
      <c r="BOU145" s="1056"/>
      <c r="BOV145" s="1056"/>
      <c r="BOW145" s="1056"/>
      <c r="BOX145" s="1056"/>
      <c r="BOY145" s="1056"/>
      <c r="BOZ145" s="1056"/>
      <c r="BPA145" s="1056"/>
      <c r="BPB145" s="1056"/>
      <c r="BPC145" s="1056"/>
      <c r="BPD145" s="1056"/>
      <c r="BPE145" s="1056"/>
      <c r="BPF145" s="1056"/>
      <c r="BPG145" s="1056"/>
      <c r="BPH145" s="1056"/>
      <c r="BPI145" s="1056"/>
      <c r="BPJ145" s="1056"/>
      <c r="BPK145" s="1056"/>
      <c r="BPL145" s="1056"/>
      <c r="BPM145" s="1056"/>
      <c r="BPN145" s="1056"/>
      <c r="BPO145" s="1056"/>
      <c r="BPP145" s="1056"/>
      <c r="BPQ145" s="1056"/>
      <c r="BPR145" s="1056"/>
      <c r="BPS145" s="1056"/>
      <c r="BPT145" s="1056"/>
      <c r="BPU145" s="1056"/>
      <c r="BPV145" s="1056"/>
      <c r="BPW145" s="1056"/>
      <c r="BPX145" s="1056"/>
      <c r="BPY145" s="1056"/>
      <c r="BPZ145" s="1056"/>
      <c r="BQA145" s="1056"/>
      <c r="BQB145" s="1056"/>
      <c r="BQC145" s="1056"/>
      <c r="BQD145" s="1056"/>
      <c r="BQE145" s="1056"/>
      <c r="BQF145" s="1056"/>
      <c r="BQG145" s="1056"/>
      <c r="BQH145" s="1056"/>
      <c r="BQI145" s="1056"/>
      <c r="BQJ145" s="1056"/>
      <c r="BQK145" s="1056"/>
      <c r="BQL145" s="1056"/>
      <c r="BQM145" s="1056"/>
      <c r="BQN145" s="1056"/>
      <c r="BQO145" s="1056"/>
      <c r="BQP145" s="1056"/>
      <c r="BQQ145" s="1056"/>
      <c r="BQR145" s="1056"/>
      <c r="BQS145" s="1056"/>
      <c r="BQT145" s="1056"/>
      <c r="BQU145" s="1056"/>
      <c r="BQV145" s="1056"/>
      <c r="BQW145" s="1056"/>
      <c r="BQX145" s="1056"/>
      <c r="BQY145" s="1056"/>
      <c r="BQZ145" s="1056"/>
      <c r="BRA145" s="1056"/>
      <c r="BRB145" s="1056"/>
      <c r="BRC145" s="1056"/>
      <c r="BRD145" s="1056"/>
      <c r="BRE145" s="1056"/>
      <c r="BRF145" s="1056"/>
      <c r="BRG145" s="1056"/>
      <c r="BRH145" s="1056"/>
      <c r="BRI145" s="1056"/>
      <c r="BRJ145" s="1056"/>
      <c r="BRK145" s="1056"/>
      <c r="BRL145" s="1056"/>
      <c r="BRM145" s="1056"/>
      <c r="BRN145" s="1056"/>
      <c r="BRO145" s="1056"/>
      <c r="BRP145" s="1056"/>
      <c r="BRQ145" s="1056"/>
      <c r="BRR145" s="1056"/>
      <c r="BRS145" s="1056"/>
      <c r="BRT145" s="1056"/>
      <c r="BRU145" s="1056"/>
      <c r="BRV145" s="1056"/>
      <c r="BRW145" s="1056"/>
      <c r="BRX145" s="1056"/>
      <c r="BRY145" s="1056"/>
      <c r="BRZ145" s="1056"/>
      <c r="BSA145" s="1056"/>
      <c r="BSB145" s="1056"/>
      <c r="BSC145" s="1056"/>
      <c r="BSD145" s="1056"/>
      <c r="BSE145" s="1056"/>
      <c r="BSF145" s="1056"/>
      <c r="BSG145" s="1056"/>
      <c r="BSH145" s="1056"/>
      <c r="BSI145" s="1056"/>
      <c r="BSJ145" s="1056"/>
      <c r="BSK145" s="1056"/>
      <c r="BSL145" s="1056"/>
      <c r="BSM145" s="1056"/>
      <c r="BSN145" s="1056"/>
      <c r="BSO145" s="1056"/>
      <c r="BSP145" s="1056"/>
      <c r="BSQ145" s="1056"/>
      <c r="BSR145" s="1056"/>
      <c r="BSS145" s="1056"/>
      <c r="BST145" s="1056"/>
      <c r="BSU145" s="1056"/>
      <c r="BSV145" s="1056"/>
      <c r="BSW145" s="1056"/>
      <c r="BSX145" s="1056"/>
      <c r="BSY145" s="1056"/>
      <c r="BSZ145" s="1056"/>
      <c r="BTA145" s="1056"/>
      <c r="BTB145" s="1056"/>
      <c r="BTC145" s="1056"/>
      <c r="BTD145" s="1056"/>
      <c r="BTE145" s="1056"/>
      <c r="BTF145" s="1056"/>
      <c r="BTG145" s="1056"/>
      <c r="BTH145" s="1056"/>
      <c r="BTI145" s="1056"/>
    </row>
    <row r="146" spans="1:1881" s="1060" customFormat="1" ht="93.75" hidden="1" customHeight="1" x14ac:dyDescent="0.3">
      <c r="A146" s="1059">
        <v>383</v>
      </c>
      <c r="B146" s="808" t="s">
        <v>62</v>
      </c>
      <c r="C146" s="808" t="s">
        <v>1387</v>
      </c>
      <c r="D146" s="1084" t="s">
        <v>1398</v>
      </c>
      <c r="E146" s="1053" t="e">
        <f>HLOOKUP($D$2,'2020 Data(H)'!$C$1:$AI$426,142,FALSE)</f>
        <v>#N/A</v>
      </c>
      <c r="F146" s="287">
        <v>0</v>
      </c>
      <c r="G146" s="739">
        <f>IF(F146&gt;F140,"Error: Please review components of current liabilities above. Account number 383&gt;633",)</f>
        <v>0</v>
      </c>
      <c r="H146" s="1094"/>
      <c r="I146" s="1055"/>
      <c r="J146" s="1056"/>
      <c r="K146" s="1056"/>
      <c r="L146" s="1056"/>
      <c r="M146" s="1056"/>
      <c r="N146" s="1058"/>
      <c r="O146" s="1056"/>
      <c r="P146" s="1056"/>
      <c r="Q146" s="1056"/>
      <c r="R146" s="1056"/>
      <c r="S146" s="1056"/>
      <c r="T146" s="1056"/>
      <c r="U146" s="1056"/>
      <c r="V146" s="1056"/>
      <c r="W146" s="1056"/>
      <c r="X146" s="1056"/>
      <c r="Y146" s="1056"/>
      <c r="Z146" s="1059"/>
      <c r="AA146" s="1059"/>
      <c r="AB146" s="1059"/>
      <c r="AC146" s="1059"/>
      <c r="AD146" s="1059"/>
      <c r="AE146" s="1059"/>
      <c r="AF146" s="1059"/>
      <c r="AG146" s="1059"/>
      <c r="AH146" s="1059"/>
      <c r="AI146" s="1059"/>
      <c r="AJ146" s="1059"/>
      <c r="AK146" s="1059"/>
      <c r="AL146" s="1059"/>
      <c r="AM146" s="1059"/>
      <c r="AN146" s="1059"/>
      <c r="AO146" s="1059"/>
      <c r="AP146" s="1059"/>
      <c r="AQ146" s="1059"/>
      <c r="AR146" s="1059"/>
      <c r="AS146" s="1056"/>
      <c r="AT146" s="1056"/>
      <c r="AU146" s="1056"/>
      <c r="AV146" s="1056"/>
      <c r="AW146" s="1056"/>
      <c r="AX146" s="1056"/>
      <c r="AY146" s="1056"/>
      <c r="AZ146" s="1056"/>
      <c r="BA146" s="1056"/>
      <c r="BB146" s="1056"/>
      <c r="BC146" s="1056"/>
      <c r="BD146" s="1056"/>
      <c r="BE146" s="1056"/>
      <c r="BF146" s="1056"/>
      <c r="BG146" s="1056"/>
      <c r="BH146" s="1056"/>
      <c r="BI146" s="1056"/>
      <c r="BJ146" s="1056"/>
      <c r="BK146" s="1056"/>
      <c r="BL146" s="1056"/>
      <c r="BM146" s="1056"/>
      <c r="BN146" s="1056"/>
      <c r="BO146" s="1056"/>
      <c r="BP146" s="1056"/>
      <c r="BQ146" s="1056"/>
      <c r="BR146" s="1056"/>
      <c r="BS146" s="1056"/>
      <c r="BT146" s="1056"/>
      <c r="BU146" s="1056"/>
      <c r="BV146" s="1056"/>
      <c r="BW146" s="1056"/>
      <c r="BX146" s="1056"/>
      <c r="BY146" s="1056"/>
      <c r="BZ146" s="1056"/>
      <c r="CA146" s="1056"/>
      <c r="CB146" s="1056"/>
      <c r="CC146" s="1056"/>
      <c r="CD146" s="1056"/>
      <c r="CE146" s="1056"/>
      <c r="CF146" s="1056"/>
      <c r="CG146" s="1056"/>
      <c r="CH146" s="1056"/>
      <c r="CI146" s="1056"/>
      <c r="CJ146" s="1056"/>
      <c r="CK146" s="1056"/>
      <c r="CL146" s="1056"/>
      <c r="CM146" s="1056"/>
      <c r="CN146" s="1056"/>
      <c r="CO146" s="1056"/>
      <c r="CP146" s="1056"/>
      <c r="CQ146" s="1056"/>
      <c r="CR146" s="1056"/>
      <c r="CS146" s="1056"/>
      <c r="CT146" s="1056"/>
      <c r="CU146" s="1056"/>
      <c r="CV146" s="1056"/>
      <c r="CW146" s="1056"/>
      <c r="CX146" s="1056"/>
      <c r="CY146" s="1056"/>
      <c r="CZ146" s="1056"/>
      <c r="DA146" s="1056"/>
      <c r="DB146" s="1056"/>
      <c r="DC146" s="1056"/>
      <c r="DD146" s="1056"/>
      <c r="DE146" s="1056"/>
      <c r="DF146" s="1056"/>
      <c r="DG146" s="1056"/>
      <c r="DH146" s="1056"/>
      <c r="DI146" s="1056"/>
      <c r="DJ146" s="1056"/>
      <c r="DK146" s="1056"/>
      <c r="DL146" s="1056"/>
      <c r="DM146" s="1056"/>
      <c r="DN146" s="1056"/>
      <c r="DO146" s="1056"/>
      <c r="DP146" s="1056"/>
      <c r="DQ146" s="1056"/>
      <c r="DR146" s="1056"/>
      <c r="DS146" s="1056"/>
      <c r="DT146" s="1056"/>
      <c r="DU146" s="1056"/>
      <c r="DV146" s="1056"/>
      <c r="DW146" s="1056"/>
      <c r="DX146" s="1056"/>
      <c r="DY146" s="1056"/>
      <c r="DZ146" s="1056"/>
      <c r="EA146" s="1056"/>
      <c r="EB146" s="1056"/>
      <c r="EC146" s="1056"/>
      <c r="ED146" s="1056"/>
      <c r="EE146" s="1056"/>
      <c r="EF146" s="1056"/>
      <c r="EG146" s="1056"/>
      <c r="EH146" s="1056"/>
      <c r="EI146" s="1056"/>
      <c r="EJ146" s="1056"/>
      <c r="EK146" s="1056"/>
      <c r="EL146" s="1056"/>
      <c r="EM146" s="1056"/>
      <c r="EN146" s="1056"/>
      <c r="EO146" s="1056"/>
      <c r="EP146" s="1056"/>
      <c r="EQ146" s="1056"/>
      <c r="ER146" s="1056"/>
      <c r="ES146" s="1056"/>
      <c r="ET146" s="1056"/>
      <c r="EU146" s="1056"/>
      <c r="EV146" s="1056"/>
      <c r="EW146" s="1056"/>
      <c r="EX146" s="1056"/>
      <c r="EY146" s="1056"/>
      <c r="EZ146" s="1056"/>
      <c r="FA146" s="1056"/>
      <c r="FB146" s="1056"/>
      <c r="FC146" s="1056"/>
      <c r="FD146" s="1056"/>
      <c r="FE146" s="1056"/>
      <c r="FF146" s="1056"/>
      <c r="FG146" s="1056"/>
      <c r="FH146" s="1056"/>
      <c r="FI146" s="1056"/>
      <c r="FJ146" s="1056"/>
      <c r="FK146" s="1056"/>
      <c r="FL146" s="1056"/>
      <c r="FM146" s="1056"/>
      <c r="FN146" s="1056"/>
      <c r="FO146" s="1056"/>
      <c r="FP146" s="1056"/>
      <c r="FQ146" s="1056"/>
      <c r="FR146" s="1056"/>
      <c r="FS146" s="1056"/>
      <c r="FT146" s="1056"/>
      <c r="FU146" s="1056"/>
      <c r="FV146" s="1056"/>
      <c r="FW146" s="1056"/>
      <c r="FX146" s="1056"/>
      <c r="FY146" s="1056"/>
      <c r="FZ146" s="1056"/>
      <c r="GA146" s="1056"/>
      <c r="GB146" s="1056"/>
      <c r="GC146" s="1056"/>
      <c r="GD146" s="1056"/>
      <c r="GE146" s="1056"/>
      <c r="GF146" s="1056"/>
      <c r="GG146" s="1056"/>
      <c r="GH146" s="1056"/>
      <c r="GI146" s="1056"/>
      <c r="GJ146" s="1056"/>
      <c r="GK146" s="1056"/>
      <c r="GL146" s="1056"/>
      <c r="GM146" s="1056"/>
      <c r="GN146" s="1056"/>
      <c r="GO146" s="1056"/>
      <c r="GP146" s="1056"/>
      <c r="GQ146" s="1056"/>
      <c r="GR146" s="1056"/>
      <c r="GS146" s="1056"/>
      <c r="GT146" s="1056"/>
      <c r="GU146" s="1056"/>
      <c r="GV146" s="1056"/>
      <c r="GW146" s="1056"/>
      <c r="GX146" s="1056"/>
      <c r="GY146" s="1056"/>
      <c r="GZ146" s="1056"/>
      <c r="HA146" s="1056"/>
      <c r="HB146" s="1056"/>
      <c r="HC146" s="1056"/>
      <c r="HD146" s="1056"/>
      <c r="HE146" s="1056"/>
      <c r="HF146" s="1056"/>
      <c r="HG146" s="1056"/>
      <c r="HH146" s="1056"/>
      <c r="HI146" s="1056"/>
      <c r="HJ146" s="1056"/>
      <c r="HK146" s="1056"/>
      <c r="HL146" s="1056"/>
      <c r="HM146" s="1056"/>
      <c r="HN146" s="1056"/>
      <c r="HO146" s="1056"/>
      <c r="HP146" s="1056"/>
      <c r="HQ146" s="1056"/>
      <c r="HR146" s="1056"/>
      <c r="HS146" s="1056"/>
      <c r="HT146" s="1056"/>
      <c r="HU146" s="1056"/>
      <c r="HV146" s="1056"/>
      <c r="HW146" s="1056"/>
      <c r="HX146" s="1056"/>
      <c r="HY146" s="1056"/>
      <c r="HZ146" s="1056"/>
      <c r="IA146" s="1056"/>
      <c r="IB146" s="1056"/>
      <c r="IC146" s="1056"/>
      <c r="ID146" s="1056"/>
      <c r="IE146" s="1056"/>
      <c r="IF146" s="1056"/>
      <c r="IG146" s="1056"/>
      <c r="IH146" s="1056"/>
      <c r="II146" s="1056"/>
      <c r="IJ146" s="1056"/>
      <c r="IK146" s="1056"/>
      <c r="IL146" s="1056"/>
      <c r="IM146" s="1056"/>
      <c r="IN146" s="1056"/>
      <c r="IO146" s="1056"/>
      <c r="IP146" s="1056"/>
      <c r="IQ146" s="1056"/>
      <c r="IR146" s="1056"/>
      <c r="IS146" s="1056"/>
      <c r="IT146" s="1056"/>
      <c r="IU146" s="1056"/>
      <c r="IV146" s="1056"/>
      <c r="IW146" s="1056"/>
      <c r="IX146" s="1056"/>
      <c r="IY146" s="1056"/>
      <c r="IZ146" s="1056"/>
      <c r="JA146" s="1056"/>
      <c r="JB146" s="1056"/>
      <c r="JC146" s="1056"/>
      <c r="JD146" s="1056"/>
      <c r="JE146" s="1056"/>
      <c r="JF146" s="1056"/>
      <c r="JG146" s="1056"/>
      <c r="JH146" s="1056"/>
      <c r="JI146" s="1056"/>
      <c r="JJ146" s="1056"/>
      <c r="JK146" s="1056"/>
      <c r="JL146" s="1056"/>
      <c r="JM146" s="1056"/>
      <c r="JN146" s="1056"/>
      <c r="JO146" s="1056"/>
      <c r="JP146" s="1056"/>
      <c r="JQ146" s="1056"/>
      <c r="JR146" s="1056"/>
      <c r="JS146" s="1056"/>
      <c r="JT146" s="1056"/>
      <c r="JU146" s="1056"/>
      <c r="JV146" s="1056"/>
      <c r="JW146" s="1056"/>
      <c r="JX146" s="1056"/>
      <c r="JY146" s="1056"/>
      <c r="JZ146" s="1056"/>
      <c r="KA146" s="1056"/>
      <c r="KB146" s="1056"/>
      <c r="KC146" s="1056"/>
      <c r="KD146" s="1056"/>
      <c r="KE146" s="1056"/>
      <c r="KF146" s="1056"/>
      <c r="KG146" s="1056"/>
      <c r="KH146" s="1056"/>
      <c r="KI146" s="1056"/>
      <c r="KJ146" s="1056"/>
      <c r="KK146" s="1056"/>
      <c r="KL146" s="1056"/>
      <c r="KM146" s="1056"/>
      <c r="KN146" s="1056"/>
      <c r="KO146" s="1056"/>
      <c r="KP146" s="1056"/>
      <c r="KQ146" s="1056"/>
      <c r="KR146" s="1056"/>
      <c r="KS146" s="1056"/>
      <c r="KT146" s="1056"/>
      <c r="KU146" s="1056"/>
      <c r="KV146" s="1056"/>
      <c r="KW146" s="1056"/>
      <c r="KX146" s="1056"/>
      <c r="KY146" s="1056"/>
      <c r="KZ146" s="1056"/>
      <c r="LA146" s="1056"/>
      <c r="LB146" s="1056"/>
      <c r="LC146" s="1056"/>
      <c r="LD146" s="1056"/>
      <c r="LE146" s="1056"/>
      <c r="LF146" s="1056"/>
      <c r="LG146" s="1056"/>
      <c r="LH146" s="1056"/>
      <c r="LI146" s="1056"/>
      <c r="LJ146" s="1056"/>
      <c r="LK146" s="1056"/>
      <c r="LL146" s="1056"/>
      <c r="LM146" s="1056"/>
      <c r="LN146" s="1056"/>
      <c r="LO146" s="1056"/>
      <c r="LP146" s="1056"/>
      <c r="LQ146" s="1056"/>
      <c r="LR146" s="1056"/>
      <c r="LS146" s="1056"/>
      <c r="LT146" s="1056"/>
      <c r="LU146" s="1056"/>
      <c r="LV146" s="1056"/>
      <c r="LW146" s="1056"/>
      <c r="LX146" s="1056"/>
      <c r="LY146" s="1056"/>
      <c r="LZ146" s="1056"/>
      <c r="MA146" s="1056"/>
      <c r="MB146" s="1056"/>
      <c r="MC146" s="1056"/>
      <c r="MD146" s="1056"/>
      <c r="ME146" s="1056"/>
      <c r="MF146" s="1056"/>
      <c r="MG146" s="1056"/>
      <c r="MH146" s="1056"/>
      <c r="MI146" s="1056"/>
      <c r="MJ146" s="1056"/>
      <c r="MK146" s="1056"/>
      <c r="ML146" s="1056"/>
      <c r="MM146" s="1056"/>
      <c r="MN146" s="1056"/>
      <c r="MO146" s="1056"/>
      <c r="MP146" s="1056"/>
      <c r="MQ146" s="1056"/>
      <c r="MR146" s="1056"/>
      <c r="MS146" s="1056"/>
      <c r="MT146" s="1056"/>
      <c r="MU146" s="1056"/>
      <c r="MV146" s="1056"/>
      <c r="MW146" s="1056"/>
      <c r="MX146" s="1056"/>
      <c r="MY146" s="1056"/>
      <c r="MZ146" s="1056"/>
      <c r="NA146" s="1056"/>
      <c r="NB146" s="1056"/>
      <c r="NC146" s="1056"/>
      <c r="ND146" s="1056"/>
      <c r="NE146" s="1056"/>
      <c r="NF146" s="1056"/>
      <c r="NG146" s="1056"/>
      <c r="NH146" s="1056"/>
      <c r="NI146" s="1056"/>
      <c r="NJ146" s="1056"/>
      <c r="NK146" s="1056"/>
      <c r="NL146" s="1056"/>
      <c r="NM146" s="1056"/>
      <c r="NN146" s="1056"/>
      <c r="NO146" s="1056"/>
      <c r="NP146" s="1056"/>
      <c r="NQ146" s="1056"/>
      <c r="NR146" s="1056"/>
      <c r="NS146" s="1056"/>
      <c r="NT146" s="1056"/>
      <c r="NU146" s="1056"/>
      <c r="NV146" s="1056"/>
      <c r="NW146" s="1056"/>
      <c r="NX146" s="1056"/>
      <c r="NY146" s="1056"/>
      <c r="NZ146" s="1056"/>
      <c r="OA146" s="1056"/>
      <c r="OB146" s="1056"/>
      <c r="OC146" s="1056"/>
      <c r="OD146" s="1056"/>
      <c r="OE146" s="1056"/>
      <c r="OF146" s="1056"/>
      <c r="OG146" s="1056"/>
      <c r="OH146" s="1056"/>
      <c r="OI146" s="1056"/>
      <c r="OJ146" s="1056"/>
      <c r="OK146" s="1056"/>
      <c r="OL146" s="1056"/>
      <c r="OM146" s="1056"/>
      <c r="ON146" s="1056"/>
      <c r="OO146" s="1056"/>
      <c r="OP146" s="1056"/>
      <c r="OQ146" s="1056"/>
      <c r="OR146" s="1056"/>
      <c r="OS146" s="1056"/>
      <c r="OT146" s="1056"/>
      <c r="OU146" s="1056"/>
      <c r="OV146" s="1056"/>
      <c r="OW146" s="1056"/>
      <c r="OX146" s="1056"/>
      <c r="OY146" s="1056"/>
      <c r="OZ146" s="1056"/>
      <c r="PA146" s="1056"/>
      <c r="PB146" s="1056"/>
      <c r="PC146" s="1056"/>
      <c r="PD146" s="1056"/>
      <c r="PE146" s="1056"/>
      <c r="PF146" s="1056"/>
      <c r="PG146" s="1056"/>
      <c r="PH146" s="1056"/>
      <c r="PI146" s="1056"/>
      <c r="PJ146" s="1056"/>
      <c r="PK146" s="1056"/>
      <c r="PL146" s="1056"/>
      <c r="PM146" s="1056"/>
      <c r="PN146" s="1056"/>
      <c r="PO146" s="1056"/>
      <c r="PP146" s="1056"/>
      <c r="PQ146" s="1056"/>
      <c r="PR146" s="1056"/>
      <c r="PS146" s="1056"/>
      <c r="PT146" s="1056"/>
      <c r="PU146" s="1056"/>
      <c r="PV146" s="1056"/>
      <c r="PW146" s="1056"/>
      <c r="PX146" s="1056"/>
      <c r="PY146" s="1056"/>
      <c r="PZ146" s="1056"/>
      <c r="QA146" s="1056"/>
      <c r="QB146" s="1056"/>
      <c r="QC146" s="1056"/>
      <c r="QD146" s="1056"/>
      <c r="QE146" s="1056"/>
      <c r="QF146" s="1056"/>
      <c r="QG146" s="1056"/>
      <c r="QH146" s="1056"/>
      <c r="QI146" s="1056"/>
      <c r="QJ146" s="1056"/>
      <c r="QK146" s="1056"/>
      <c r="QL146" s="1056"/>
      <c r="QM146" s="1056"/>
      <c r="QN146" s="1056"/>
      <c r="QO146" s="1056"/>
      <c r="QP146" s="1056"/>
      <c r="QQ146" s="1056"/>
      <c r="QR146" s="1056"/>
      <c r="QS146" s="1056"/>
      <c r="QT146" s="1056"/>
      <c r="QU146" s="1056"/>
      <c r="QV146" s="1056"/>
      <c r="QW146" s="1056"/>
      <c r="QX146" s="1056"/>
      <c r="QY146" s="1056"/>
      <c r="QZ146" s="1056"/>
      <c r="RA146" s="1056"/>
      <c r="RB146" s="1056"/>
      <c r="RC146" s="1056"/>
      <c r="RD146" s="1056"/>
      <c r="RE146" s="1056"/>
      <c r="RF146" s="1056"/>
      <c r="RG146" s="1056"/>
      <c r="RH146" s="1056"/>
      <c r="RI146" s="1056"/>
      <c r="RJ146" s="1056"/>
      <c r="RK146" s="1056"/>
      <c r="RL146" s="1056"/>
      <c r="RM146" s="1056"/>
      <c r="RN146" s="1056"/>
      <c r="RO146" s="1056"/>
      <c r="RP146" s="1056"/>
      <c r="RQ146" s="1056"/>
      <c r="RR146" s="1056"/>
      <c r="RS146" s="1056"/>
      <c r="RT146" s="1056"/>
      <c r="RU146" s="1056"/>
      <c r="RV146" s="1056"/>
      <c r="RW146" s="1056"/>
      <c r="RX146" s="1056"/>
      <c r="RY146" s="1056"/>
      <c r="RZ146" s="1056"/>
      <c r="SA146" s="1056"/>
      <c r="SB146" s="1056"/>
      <c r="SC146" s="1056"/>
      <c r="SD146" s="1056"/>
      <c r="SE146" s="1056"/>
      <c r="SF146" s="1056"/>
      <c r="SG146" s="1056"/>
      <c r="SH146" s="1056"/>
      <c r="SI146" s="1056"/>
      <c r="SJ146" s="1056"/>
      <c r="SK146" s="1056"/>
      <c r="SL146" s="1056"/>
      <c r="SM146" s="1056"/>
      <c r="SN146" s="1056"/>
      <c r="SO146" s="1056"/>
      <c r="SP146" s="1056"/>
      <c r="SQ146" s="1056"/>
      <c r="SR146" s="1056"/>
      <c r="SS146" s="1056"/>
      <c r="ST146" s="1056"/>
      <c r="SU146" s="1056"/>
      <c r="SV146" s="1056"/>
      <c r="SW146" s="1056"/>
      <c r="SX146" s="1056"/>
      <c r="SY146" s="1056"/>
      <c r="SZ146" s="1056"/>
      <c r="TA146" s="1056"/>
      <c r="TB146" s="1056"/>
      <c r="TC146" s="1056"/>
      <c r="TD146" s="1056"/>
      <c r="TE146" s="1056"/>
      <c r="TF146" s="1056"/>
      <c r="TG146" s="1056"/>
      <c r="TH146" s="1056"/>
      <c r="TI146" s="1056"/>
      <c r="TJ146" s="1056"/>
      <c r="TK146" s="1056"/>
      <c r="TL146" s="1056"/>
      <c r="TM146" s="1056"/>
      <c r="TN146" s="1056"/>
      <c r="TO146" s="1056"/>
      <c r="TP146" s="1056"/>
      <c r="TQ146" s="1056"/>
      <c r="TR146" s="1056"/>
      <c r="TS146" s="1056"/>
      <c r="TT146" s="1056"/>
      <c r="TU146" s="1056"/>
      <c r="TV146" s="1056"/>
      <c r="TW146" s="1056"/>
      <c r="TX146" s="1056"/>
      <c r="TY146" s="1056"/>
      <c r="TZ146" s="1056"/>
      <c r="UA146" s="1056"/>
      <c r="UB146" s="1056"/>
      <c r="UC146" s="1056"/>
      <c r="UD146" s="1056"/>
      <c r="UE146" s="1056"/>
      <c r="UF146" s="1056"/>
      <c r="UG146" s="1056"/>
      <c r="UH146" s="1056"/>
      <c r="UI146" s="1056"/>
      <c r="UJ146" s="1056"/>
      <c r="UK146" s="1056"/>
      <c r="UL146" s="1056"/>
      <c r="UM146" s="1056"/>
      <c r="UN146" s="1056"/>
      <c r="UO146" s="1056"/>
      <c r="UP146" s="1056"/>
      <c r="UQ146" s="1056"/>
      <c r="UR146" s="1056"/>
      <c r="US146" s="1056"/>
      <c r="UT146" s="1056"/>
      <c r="UU146" s="1056"/>
      <c r="UV146" s="1056"/>
      <c r="UW146" s="1056"/>
      <c r="UX146" s="1056"/>
      <c r="UY146" s="1056"/>
      <c r="UZ146" s="1056"/>
      <c r="VA146" s="1056"/>
      <c r="VB146" s="1056"/>
      <c r="VC146" s="1056"/>
      <c r="VD146" s="1056"/>
      <c r="VE146" s="1056"/>
      <c r="VF146" s="1056"/>
      <c r="VG146" s="1056"/>
      <c r="VH146" s="1056"/>
      <c r="VI146" s="1056"/>
      <c r="VJ146" s="1056"/>
      <c r="VK146" s="1056"/>
      <c r="VL146" s="1056"/>
      <c r="VM146" s="1056"/>
      <c r="VN146" s="1056"/>
      <c r="VO146" s="1056"/>
      <c r="VP146" s="1056"/>
      <c r="VQ146" s="1056"/>
      <c r="VR146" s="1056"/>
      <c r="VS146" s="1056"/>
      <c r="VT146" s="1056"/>
      <c r="VU146" s="1056"/>
      <c r="VV146" s="1056"/>
      <c r="VW146" s="1056"/>
      <c r="VX146" s="1056"/>
      <c r="VY146" s="1056"/>
      <c r="VZ146" s="1056"/>
      <c r="WA146" s="1056"/>
      <c r="WB146" s="1056"/>
      <c r="WC146" s="1056"/>
      <c r="WD146" s="1056"/>
      <c r="WE146" s="1056"/>
      <c r="WF146" s="1056"/>
      <c r="WG146" s="1056"/>
      <c r="WH146" s="1056"/>
      <c r="WI146" s="1056"/>
      <c r="WJ146" s="1056"/>
      <c r="WK146" s="1056"/>
      <c r="WL146" s="1056"/>
      <c r="WM146" s="1056"/>
      <c r="WN146" s="1056"/>
      <c r="WO146" s="1056"/>
      <c r="WP146" s="1056"/>
      <c r="WQ146" s="1056"/>
      <c r="WR146" s="1056"/>
      <c r="WS146" s="1056"/>
      <c r="WT146" s="1056"/>
      <c r="WU146" s="1056"/>
      <c r="WV146" s="1056"/>
      <c r="WW146" s="1056"/>
      <c r="WX146" s="1056"/>
      <c r="WY146" s="1056"/>
      <c r="WZ146" s="1056"/>
      <c r="XA146" s="1056"/>
      <c r="XB146" s="1056"/>
      <c r="XC146" s="1056"/>
      <c r="XD146" s="1056"/>
      <c r="XE146" s="1056"/>
      <c r="XF146" s="1056"/>
      <c r="XG146" s="1056"/>
      <c r="XH146" s="1056"/>
      <c r="XI146" s="1056"/>
      <c r="XJ146" s="1056"/>
      <c r="XK146" s="1056"/>
      <c r="XL146" s="1056"/>
      <c r="XM146" s="1056"/>
      <c r="XN146" s="1056"/>
      <c r="XO146" s="1056"/>
      <c r="XP146" s="1056"/>
      <c r="XQ146" s="1056"/>
      <c r="XR146" s="1056"/>
      <c r="XS146" s="1056"/>
      <c r="XT146" s="1056"/>
      <c r="XU146" s="1056"/>
      <c r="XV146" s="1056"/>
      <c r="XW146" s="1056"/>
      <c r="XX146" s="1056"/>
      <c r="XY146" s="1056"/>
      <c r="XZ146" s="1056"/>
      <c r="YA146" s="1056"/>
      <c r="YB146" s="1056"/>
      <c r="YC146" s="1056"/>
      <c r="YD146" s="1056"/>
      <c r="YE146" s="1056"/>
      <c r="YF146" s="1056"/>
      <c r="YG146" s="1056"/>
      <c r="YH146" s="1056"/>
      <c r="YI146" s="1056"/>
      <c r="YJ146" s="1056"/>
      <c r="YK146" s="1056"/>
      <c r="YL146" s="1056"/>
      <c r="YM146" s="1056"/>
      <c r="YN146" s="1056"/>
      <c r="YO146" s="1056"/>
      <c r="YP146" s="1056"/>
      <c r="YQ146" s="1056"/>
      <c r="YR146" s="1056"/>
      <c r="YS146" s="1056"/>
      <c r="YT146" s="1056"/>
      <c r="YU146" s="1056"/>
      <c r="YV146" s="1056"/>
      <c r="YW146" s="1056"/>
      <c r="YX146" s="1056"/>
      <c r="YY146" s="1056"/>
      <c r="YZ146" s="1056"/>
      <c r="ZA146" s="1056"/>
      <c r="ZB146" s="1056"/>
      <c r="ZC146" s="1056"/>
      <c r="ZD146" s="1056"/>
      <c r="ZE146" s="1056"/>
      <c r="ZF146" s="1056"/>
      <c r="ZG146" s="1056"/>
      <c r="ZH146" s="1056"/>
      <c r="ZI146" s="1056"/>
      <c r="ZJ146" s="1056"/>
      <c r="ZK146" s="1056"/>
      <c r="ZL146" s="1056"/>
      <c r="ZM146" s="1056"/>
      <c r="ZN146" s="1056"/>
      <c r="ZO146" s="1056"/>
      <c r="ZP146" s="1056"/>
      <c r="ZQ146" s="1056"/>
      <c r="ZR146" s="1056"/>
      <c r="ZS146" s="1056"/>
      <c r="ZT146" s="1056"/>
      <c r="ZU146" s="1056"/>
      <c r="ZV146" s="1056"/>
      <c r="ZW146" s="1056"/>
      <c r="ZX146" s="1056"/>
      <c r="ZY146" s="1056"/>
      <c r="ZZ146" s="1056"/>
      <c r="AAA146" s="1056"/>
      <c r="AAB146" s="1056"/>
      <c r="AAC146" s="1056"/>
      <c r="AAD146" s="1056"/>
      <c r="AAE146" s="1056"/>
      <c r="AAF146" s="1056"/>
      <c r="AAG146" s="1056"/>
      <c r="AAH146" s="1056"/>
      <c r="AAI146" s="1056"/>
      <c r="AAJ146" s="1056"/>
      <c r="AAK146" s="1056"/>
      <c r="AAL146" s="1056"/>
      <c r="AAM146" s="1056"/>
      <c r="AAN146" s="1056"/>
      <c r="AAO146" s="1056"/>
      <c r="AAP146" s="1056"/>
      <c r="AAQ146" s="1056"/>
      <c r="AAR146" s="1056"/>
      <c r="AAS146" s="1056"/>
      <c r="AAT146" s="1056"/>
      <c r="AAU146" s="1056"/>
      <c r="AAV146" s="1056"/>
      <c r="AAW146" s="1056"/>
      <c r="AAX146" s="1056"/>
      <c r="AAY146" s="1056"/>
      <c r="AAZ146" s="1056"/>
      <c r="ABA146" s="1056"/>
      <c r="ABB146" s="1056"/>
      <c r="ABC146" s="1056"/>
      <c r="ABD146" s="1056"/>
      <c r="ABE146" s="1056"/>
      <c r="ABF146" s="1056"/>
      <c r="ABG146" s="1056"/>
      <c r="ABH146" s="1056"/>
      <c r="ABI146" s="1056"/>
      <c r="ABJ146" s="1056"/>
      <c r="ABK146" s="1056"/>
      <c r="ABL146" s="1056"/>
      <c r="ABM146" s="1056"/>
      <c r="ABN146" s="1056"/>
      <c r="ABO146" s="1056"/>
      <c r="ABP146" s="1056"/>
      <c r="ABQ146" s="1056"/>
      <c r="ABR146" s="1056"/>
      <c r="ABS146" s="1056"/>
      <c r="ABT146" s="1056"/>
      <c r="ABU146" s="1056"/>
      <c r="ABV146" s="1056"/>
      <c r="ABW146" s="1056"/>
      <c r="ABX146" s="1056"/>
      <c r="ABY146" s="1056"/>
      <c r="ABZ146" s="1056"/>
      <c r="ACA146" s="1056"/>
      <c r="ACB146" s="1056"/>
      <c r="ACC146" s="1056"/>
      <c r="ACD146" s="1056"/>
      <c r="ACE146" s="1056"/>
      <c r="ACF146" s="1056"/>
      <c r="ACG146" s="1056"/>
      <c r="ACH146" s="1056"/>
      <c r="ACI146" s="1056"/>
      <c r="ACJ146" s="1056"/>
      <c r="ACK146" s="1056"/>
      <c r="ACL146" s="1056"/>
      <c r="ACM146" s="1056"/>
      <c r="ACN146" s="1056"/>
      <c r="ACO146" s="1056"/>
      <c r="ACP146" s="1056"/>
      <c r="ACQ146" s="1056"/>
      <c r="ACR146" s="1056"/>
      <c r="ACS146" s="1056"/>
      <c r="ACT146" s="1056"/>
      <c r="ACU146" s="1056"/>
      <c r="ACV146" s="1056"/>
      <c r="ACW146" s="1056"/>
      <c r="ACX146" s="1056"/>
      <c r="ACY146" s="1056"/>
      <c r="ACZ146" s="1056"/>
      <c r="ADA146" s="1056"/>
      <c r="ADB146" s="1056"/>
      <c r="ADC146" s="1056"/>
      <c r="ADD146" s="1056"/>
      <c r="ADE146" s="1056"/>
      <c r="ADF146" s="1056"/>
      <c r="ADG146" s="1056"/>
      <c r="ADH146" s="1056"/>
      <c r="ADI146" s="1056"/>
      <c r="ADJ146" s="1056"/>
      <c r="ADK146" s="1056"/>
      <c r="ADL146" s="1056"/>
      <c r="ADM146" s="1056"/>
      <c r="ADN146" s="1056"/>
      <c r="ADO146" s="1056"/>
      <c r="ADP146" s="1056"/>
      <c r="ADQ146" s="1056"/>
      <c r="ADR146" s="1056"/>
      <c r="ADS146" s="1056"/>
      <c r="ADT146" s="1056"/>
      <c r="ADU146" s="1056"/>
      <c r="ADV146" s="1056"/>
      <c r="ADW146" s="1056"/>
      <c r="ADX146" s="1056"/>
      <c r="ADY146" s="1056"/>
      <c r="ADZ146" s="1056"/>
      <c r="AEA146" s="1056"/>
      <c r="AEB146" s="1056"/>
      <c r="AEC146" s="1056"/>
      <c r="AED146" s="1056"/>
      <c r="AEE146" s="1056"/>
      <c r="AEF146" s="1056"/>
      <c r="AEG146" s="1056"/>
      <c r="AEH146" s="1056"/>
      <c r="AEI146" s="1056"/>
      <c r="AEJ146" s="1056"/>
      <c r="AEK146" s="1056"/>
      <c r="AEL146" s="1056"/>
      <c r="AEM146" s="1056"/>
      <c r="AEN146" s="1056"/>
      <c r="AEO146" s="1056"/>
      <c r="AEP146" s="1056"/>
      <c r="AEQ146" s="1056"/>
      <c r="AER146" s="1056"/>
      <c r="AES146" s="1056"/>
      <c r="AET146" s="1056"/>
      <c r="AEU146" s="1056"/>
      <c r="AEV146" s="1056"/>
      <c r="AEW146" s="1056"/>
      <c r="AEX146" s="1056"/>
      <c r="AEY146" s="1056"/>
      <c r="AEZ146" s="1056"/>
      <c r="AFA146" s="1056"/>
      <c r="AFB146" s="1056"/>
      <c r="AFC146" s="1056"/>
      <c r="AFD146" s="1056"/>
      <c r="AFE146" s="1056"/>
      <c r="AFF146" s="1056"/>
      <c r="AFG146" s="1056"/>
      <c r="AFH146" s="1056"/>
      <c r="AFI146" s="1056"/>
      <c r="AFJ146" s="1056"/>
      <c r="AFK146" s="1056"/>
      <c r="AFL146" s="1056"/>
      <c r="AFM146" s="1056"/>
      <c r="AFN146" s="1056"/>
      <c r="AFO146" s="1056"/>
      <c r="AFP146" s="1056"/>
      <c r="AFQ146" s="1056"/>
      <c r="AFR146" s="1056"/>
      <c r="AFS146" s="1056"/>
      <c r="AFT146" s="1056"/>
      <c r="AFU146" s="1056"/>
      <c r="AFV146" s="1056"/>
      <c r="AFW146" s="1056"/>
      <c r="AFX146" s="1056"/>
      <c r="AFY146" s="1056"/>
      <c r="AFZ146" s="1056"/>
      <c r="AGA146" s="1056"/>
      <c r="AGB146" s="1056"/>
      <c r="AGC146" s="1056"/>
      <c r="AGD146" s="1056"/>
      <c r="AGE146" s="1056"/>
      <c r="AGF146" s="1056"/>
      <c r="AGG146" s="1056"/>
      <c r="AGH146" s="1056"/>
      <c r="AGI146" s="1056"/>
      <c r="AGJ146" s="1056"/>
      <c r="AGK146" s="1056"/>
      <c r="AGL146" s="1056"/>
      <c r="AGM146" s="1056"/>
      <c r="AGN146" s="1056"/>
      <c r="AGO146" s="1056"/>
      <c r="AGP146" s="1056"/>
      <c r="AGQ146" s="1056"/>
      <c r="AGR146" s="1056"/>
      <c r="AGS146" s="1056"/>
      <c r="AGT146" s="1056"/>
      <c r="AGU146" s="1056"/>
      <c r="AGV146" s="1056"/>
      <c r="AGW146" s="1056"/>
      <c r="AGX146" s="1056"/>
      <c r="AGY146" s="1056"/>
      <c r="AGZ146" s="1056"/>
      <c r="AHA146" s="1056"/>
      <c r="AHB146" s="1056"/>
      <c r="AHC146" s="1056"/>
      <c r="AHD146" s="1056"/>
      <c r="AHE146" s="1056"/>
      <c r="AHF146" s="1056"/>
      <c r="AHG146" s="1056"/>
      <c r="AHH146" s="1056"/>
      <c r="AHI146" s="1056"/>
      <c r="AHJ146" s="1056"/>
      <c r="AHK146" s="1056"/>
      <c r="AHL146" s="1056"/>
      <c r="AHM146" s="1056"/>
      <c r="AHN146" s="1056"/>
      <c r="AHO146" s="1056"/>
      <c r="AHP146" s="1056"/>
      <c r="AHQ146" s="1056"/>
      <c r="AHR146" s="1056"/>
      <c r="AHS146" s="1056"/>
      <c r="AHT146" s="1056"/>
      <c r="AHU146" s="1056"/>
      <c r="AHV146" s="1056"/>
      <c r="AHW146" s="1056"/>
      <c r="AHX146" s="1056"/>
      <c r="AHY146" s="1056"/>
      <c r="AHZ146" s="1056"/>
      <c r="AIA146" s="1056"/>
      <c r="AIB146" s="1056"/>
      <c r="AIC146" s="1056"/>
      <c r="AID146" s="1056"/>
      <c r="AIE146" s="1056"/>
      <c r="AIF146" s="1056"/>
      <c r="AIG146" s="1056"/>
      <c r="AIH146" s="1056"/>
      <c r="AII146" s="1056"/>
      <c r="AIJ146" s="1056"/>
      <c r="AIK146" s="1056"/>
      <c r="AIL146" s="1056"/>
      <c r="AIM146" s="1056"/>
      <c r="AIN146" s="1056"/>
      <c r="AIO146" s="1056"/>
      <c r="AIP146" s="1056"/>
      <c r="AIQ146" s="1056"/>
      <c r="AIR146" s="1056"/>
      <c r="AIS146" s="1056"/>
      <c r="AIT146" s="1056"/>
      <c r="AIU146" s="1056"/>
      <c r="AIV146" s="1056"/>
      <c r="AIW146" s="1056"/>
      <c r="AIX146" s="1056"/>
      <c r="AIY146" s="1056"/>
      <c r="AIZ146" s="1056"/>
      <c r="AJA146" s="1056"/>
      <c r="AJB146" s="1056"/>
      <c r="AJC146" s="1056"/>
      <c r="AJD146" s="1056"/>
      <c r="AJE146" s="1056"/>
      <c r="AJF146" s="1056"/>
      <c r="AJG146" s="1056"/>
      <c r="AJH146" s="1056"/>
      <c r="AJI146" s="1056"/>
      <c r="AJJ146" s="1056"/>
      <c r="AJK146" s="1056"/>
      <c r="AJL146" s="1056"/>
      <c r="AJM146" s="1056"/>
      <c r="AJN146" s="1056"/>
      <c r="AJO146" s="1056"/>
      <c r="AJP146" s="1056"/>
      <c r="AJQ146" s="1056"/>
      <c r="AJR146" s="1056"/>
      <c r="AJS146" s="1056"/>
      <c r="AJT146" s="1056"/>
      <c r="AJU146" s="1056"/>
      <c r="AJV146" s="1056"/>
      <c r="AJW146" s="1056"/>
      <c r="AJX146" s="1056"/>
      <c r="AJY146" s="1056"/>
      <c r="AJZ146" s="1056"/>
      <c r="AKA146" s="1056"/>
      <c r="AKB146" s="1056"/>
      <c r="AKC146" s="1056"/>
      <c r="AKD146" s="1056"/>
      <c r="AKE146" s="1056"/>
      <c r="AKF146" s="1056"/>
      <c r="AKG146" s="1056"/>
      <c r="AKH146" s="1056"/>
      <c r="AKI146" s="1056"/>
      <c r="AKJ146" s="1056"/>
      <c r="AKK146" s="1056"/>
      <c r="AKL146" s="1056"/>
      <c r="AKM146" s="1056"/>
      <c r="AKN146" s="1056"/>
      <c r="AKO146" s="1056"/>
      <c r="AKP146" s="1056"/>
      <c r="AKQ146" s="1056"/>
      <c r="AKR146" s="1056"/>
      <c r="AKS146" s="1056"/>
      <c r="AKT146" s="1056"/>
      <c r="AKU146" s="1056"/>
      <c r="AKV146" s="1056"/>
      <c r="AKW146" s="1056"/>
      <c r="AKX146" s="1056"/>
      <c r="AKY146" s="1056"/>
      <c r="AKZ146" s="1056"/>
      <c r="ALA146" s="1056"/>
      <c r="ALB146" s="1056"/>
      <c r="ALC146" s="1056"/>
      <c r="ALD146" s="1056"/>
      <c r="ALE146" s="1056"/>
      <c r="ALF146" s="1056"/>
      <c r="ALG146" s="1056"/>
      <c r="ALH146" s="1056"/>
      <c r="ALI146" s="1056"/>
      <c r="ALJ146" s="1056"/>
      <c r="ALK146" s="1056"/>
      <c r="ALL146" s="1056"/>
      <c r="ALM146" s="1056"/>
      <c r="ALN146" s="1056"/>
      <c r="ALO146" s="1056"/>
      <c r="ALP146" s="1056"/>
      <c r="ALQ146" s="1056"/>
      <c r="ALR146" s="1056"/>
      <c r="ALS146" s="1056"/>
      <c r="ALT146" s="1056"/>
      <c r="ALU146" s="1056"/>
      <c r="ALV146" s="1056"/>
      <c r="ALW146" s="1056"/>
      <c r="ALX146" s="1056"/>
      <c r="ALY146" s="1056"/>
      <c r="ALZ146" s="1056"/>
      <c r="AMA146" s="1056"/>
      <c r="AMB146" s="1056"/>
      <c r="AMC146" s="1056"/>
      <c r="AMD146" s="1056"/>
      <c r="AME146" s="1056"/>
      <c r="AMF146" s="1056"/>
      <c r="AMG146" s="1056"/>
      <c r="AMH146" s="1056"/>
      <c r="AMI146" s="1056"/>
      <c r="AMJ146" s="1056"/>
      <c r="AMK146" s="1056"/>
      <c r="AML146" s="1056"/>
      <c r="AMM146" s="1056"/>
      <c r="AMN146" s="1056"/>
      <c r="AMO146" s="1056"/>
      <c r="AMP146" s="1056"/>
      <c r="AMQ146" s="1056"/>
      <c r="AMR146" s="1056"/>
      <c r="AMS146" s="1056"/>
      <c r="AMT146" s="1056"/>
      <c r="AMU146" s="1056"/>
      <c r="AMV146" s="1056"/>
      <c r="AMW146" s="1056"/>
      <c r="AMX146" s="1056"/>
      <c r="AMY146" s="1056"/>
      <c r="AMZ146" s="1056"/>
      <c r="ANA146" s="1056"/>
      <c r="ANB146" s="1056"/>
      <c r="ANC146" s="1056"/>
      <c r="AND146" s="1056"/>
      <c r="ANE146" s="1056"/>
      <c r="ANF146" s="1056"/>
      <c r="ANG146" s="1056"/>
      <c r="ANH146" s="1056"/>
      <c r="ANI146" s="1056"/>
      <c r="ANJ146" s="1056"/>
      <c r="ANK146" s="1056"/>
      <c r="ANL146" s="1056"/>
      <c r="ANM146" s="1056"/>
      <c r="ANN146" s="1056"/>
      <c r="ANO146" s="1056"/>
      <c r="ANP146" s="1056"/>
      <c r="ANQ146" s="1056"/>
      <c r="ANR146" s="1056"/>
      <c r="ANS146" s="1056"/>
      <c r="ANT146" s="1056"/>
      <c r="ANU146" s="1056"/>
      <c r="ANV146" s="1056"/>
      <c r="ANW146" s="1056"/>
      <c r="ANX146" s="1056"/>
      <c r="ANY146" s="1056"/>
      <c r="ANZ146" s="1056"/>
      <c r="AOA146" s="1056"/>
      <c r="AOB146" s="1056"/>
      <c r="AOC146" s="1056"/>
      <c r="AOD146" s="1056"/>
      <c r="AOE146" s="1056"/>
      <c r="AOF146" s="1056"/>
      <c r="AOG146" s="1056"/>
      <c r="AOH146" s="1056"/>
      <c r="AOI146" s="1056"/>
      <c r="AOJ146" s="1056"/>
      <c r="AOK146" s="1056"/>
      <c r="AOL146" s="1056"/>
      <c r="AOM146" s="1056"/>
      <c r="AON146" s="1056"/>
      <c r="AOO146" s="1056"/>
      <c r="AOP146" s="1056"/>
      <c r="AOQ146" s="1056"/>
      <c r="AOR146" s="1056"/>
      <c r="AOS146" s="1056"/>
      <c r="AOT146" s="1056"/>
      <c r="AOU146" s="1056"/>
      <c r="AOV146" s="1056"/>
      <c r="AOW146" s="1056"/>
      <c r="AOX146" s="1056"/>
      <c r="AOY146" s="1056"/>
      <c r="AOZ146" s="1056"/>
      <c r="APA146" s="1056"/>
      <c r="APB146" s="1056"/>
      <c r="APC146" s="1056"/>
      <c r="APD146" s="1056"/>
      <c r="APE146" s="1056"/>
      <c r="APF146" s="1056"/>
      <c r="APG146" s="1056"/>
      <c r="APH146" s="1056"/>
      <c r="API146" s="1056"/>
      <c r="APJ146" s="1056"/>
      <c r="APK146" s="1056"/>
      <c r="APL146" s="1056"/>
      <c r="APM146" s="1056"/>
      <c r="APN146" s="1056"/>
      <c r="APO146" s="1056"/>
      <c r="APP146" s="1056"/>
      <c r="APQ146" s="1056"/>
      <c r="APR146" s="1056"/>
      <c r="APS146" s="1056"/>
      <c r="APT146" s="1056"/>
      <c r="APU146" s="1056"/>
      <c r="APV146" s="1056"/>
      <c r="APW146" s="1056"/>
      <c r="APX146" s="1056"/>
      <c r="APY146" s="1056"/>
      <c r="APZ146" s="1056"/>
      <c r="AQA146" s="1056"/>
      <c r="AQB146" s="1056"/>
      <c r="AQC146" s="1056"/>
      <c r="AQD146" s="1056"/>
      <c r="AQE146" s="1056"/>
      <c r="AQF146" s="1056"/>
      <c r="AQG146" s="1056"/>
      <c r="AQH146" s="1056"/>
      <c r="AQI146" s="1056"/>
      <c r="AQJ146" s="1056"/>
      <c r="AQK146" s="1056"/>
      <c r="AQL146" s="1056"/>
      <c r="AQM146" s="1056"/>
      <c r="AQN146" s="1056"/>
      <c r="AQO146" s="1056"/>
      <c r="AQP146" s="1056"/>
      <c r="AQQ146" s="1056"/>
      <c r="AQR146" s="1056"/>
      <c r="AQS146" s="1056"/>
      <c r="AQT146" s="1056"/>
      <c r="AQU146" s="1056"/>
      <c r="AQV146" s="1056"/>
      <c r="AQW146" s="1056"/>
      <c r="AQX146" s="1056"/>
      <c r="AQY146" s="1056"/>
      <c r="AQZ146" s="1056"/>
      <c r="ARA146" s="1056"/>
      <c r="ARB146" s="1056"/>
      <c r="ARC146" s="1056"/>
      <c r="ARD146" s="1056"/>
      <c r="ARE146" s="1056"/>
      <c r="ARF146" s="1056"/>
      <c r="ARG146" s="1056"/>
      <c r="ARH146" s="1056"/>
      <c r="ARI146" s="1056"/>
      <c r="ARJ146" s="1056"/>
      <c r="ARK146" s="1056"/>
      <c r="ARL146" s="1056"/>
      <c r="ARM146" s="1056"/>
      <c r="ARN146" s="1056"/>
      <c r="ARO146" s="1056"/>
      <c r="ARP146" s="1056"/>
      <c r="ARQ146" s="1056"/>
      <c r="ARR146" s="1056"/>
      <c r="ARS146" s="1056"/>
      <c r="ART146" s="1056"/>
      <c r="ARU146" s="1056"/>
      <c r="ARV146" s="1056"/>
      <c r="ARW146" s="1056"/>
      <c r="ARX146" s="1056"/>
      <c r="ARY146" s="1056"/>
      <c r="ARZ146" s="1056"/>
      <c r="ASA146" s="1056"/>
      <c r="ASB146" s="1056"/>
      <c r="ASC146" s="1056"/>
      <c r="ASD146" s="1056"/>
      <c r="ASE146" s="1056"/>
      <c r="ASF146" s="1056"/>
      <c r="ASG146" s="1056"/>
      <c r="ASH146" s="1056"/>
      <c r="ASI146" s="1056"/>
      <c r="ASJ146" s="1056"/>
      <c r="ASK146" s="1056"/>
      <c r="ASL146" s="1056"/>
      <c r="ASM146" s="1056"/>
      <c r="ASN146" s="1056"/>
      <c r="ASO146" s="1056"/>
      <c r="ASP146" s="1056"/>
      <c r="ASQ146" s="1056"/>
      <c r="ASR146" s="1056"/>
      <c r="ASS146" s="1056"/>
      <c r="AST146" s="1056"/>
      <c r="ASU146" s="1056"/>
      <c r="ASV146" s="1056"/>
      <c r="ASW146" s="1056"/>
      <c r="ASX146" s="1056"/>
      <c r="ASY146" s="1056"/>
      <c r="ASZ146" s="1056"/>
      <c r="ATA146" s="1056"/>
      <c r="ATB146" s="1056"/>
      <c r="ATC146" s="1056"/>
      <c r="ATD146" s="1056"/>
      <c r="ATE146" s="1056"/>
      <c r="ATF146" s="1056"/>
      <c r="ATG146" s="1056"/>
      <c r="ATH146" s="1056"/>
      <c r="ATI146" s="1056"/>
      <c r="ATJ146" s="1056"/>
      <c r="ATK146" s="1056"/>
      <c r="ATL146" s="1056"/>
      <c r="ATM146" s="1056"/>
      <c r="ATN146" s="1056"/>
      <c r="ATO146" s="1056"/>
      <c r="ATP146" s="1056"/>
      <c r="ATQ146" s="1056"/>
      <c r="ATR146" s="1056"/>
      <c r="ATS146" s="1056"/>
      <c r="ATT146" s="1056"/>
      <c r="ATU146" s="1056"/>
      <c r="ATV146" s="1056"/>
      <c r="ATW146" s="1056"/>
      <c r="ATX146" s="1056"/>
      <c r="ATY146" s="1056"/>
      <c r="ATZ146" s="1056"/>
      <c r="AUA146" s="1056"/>
      <c r="AUB146" s="1056"/>
      <c r="AUC146" s="1056"/>
      <c r="AUD146" s="1056"/>
      <c r="AUE146" s="1056"/>
      <c r="AUF146" s="1056"/>
      <c r="AUG146" s="1056"/>
      <c r="AUH146" s="1056"/>
      <c r="AUI146" s="1056"/>
      <c r="AUJ146" s="1056"/>
      <c r="AUK146" s="1056"/>
      <c r="AUL146" s="1056"/>
      <c r="AUM146" s="1056"/>
      <c r="AUN146" s="1056"/>
      <c r="AUO146" s="1056"/>
      <c r="AUP146" s="1056"/>
      <c r="AUQ146" s="1056"/>
      <c r="AUR146" s="1056"/>
      <c r="AUS146" s="1056"/>
      <c r="AUT146" s="1056"/>
      <c r="AUU146" s="1056"/>
      <c r="AUV146" s="1056"/>
      <c r="AUW146" s="1056"/>
      <c r="AUX146" s="1056"/>
      <c r="AUY146" s="1056"/>
      <c r="AUZ146" s="1056"/>
      <c r="AVA146" s="1056"/>
      <c r="AVB146" s="1056"/>
      <c r="AVC146" s="1056"/>
      <c r="AVD146" s="1056"/>
      <c r="AVE146" s="1056"/>
      <c r="AVF146" s="1056"/>
      <c r="AVG146" s="1056"/>
      <c r="AVH146" s="1056"/>
      <c r="AVI146" s="1056"/>
      <c r="AVJ146" s="1056"/>
      <c r="AVK146" s="1056"/>
      <c r="AVL146" s="1056"/>
      <c r="AVM146" s="1056"/>
      <c r="AVN146" s="1056"/>
      <c r="AVO146" s="1056"/>
      <c r="AVP146" s="1056"/>
      <c r="AVQ146" s="1056"/>
      <c r="AVR146" s="1056"/>
      <c r="AVS146" s="1056"/>
      <c r="AVT146" s="1056"/>
      <c r="AVU146" s="1056"/>
      <c r="AVV146" s="1056"/>
      <c r="AVW146" s="1056"/>
      <c r="AVX146" s="1056"/>
      <c r="AVY146" s="1056"/>
      <c r="AVZ146" s="1056"/>
      <c r="AWA146" s="1056"/>
      <c r="AWB146" s="1056"/>
      <c r="AWC146" s="1056"/>
      <c r="AWD146" s="1056"/>
      <c r="AWE146" s="1056"/>
      <c r="AWF146" s="1056"/>
      <c r="AWG146" s="1056"/>
      <c r="AWH146" s="1056"/>
      <c r="AWI146" s="1056"/>
      <c r="AWJ146" s="1056"/>
      <c r="AWK146" s="1056"/>
      <c r="AWL146" s="1056"/>
      <c r="AWM146" s="1056"/>
      <c r="AWN146" s="1056"/>
      <c r="AWO146" s="1056"/>
      <c r="AWP146" s="1056"/>
      <c r="AWQ146" s="1056"/>
      <c r="AWR146" s="1056"/>
      <c r="AWS146" s="1056"/>
      <c r="AWT146" s="1056"/>
      <c r="AWU146" s="1056"/>
      <c r="AWV146" s="1056"/>
      <c r="AWW146" s="1056"/>
      <c r="AWX146" s="1056"/>
      <c r="AWY146" s="1056"/>
      <c r="AWZ146" s="1056"/>
      <c r="AXA146" s="1056"/>
      <c r="AXB146" s="1056"/>
      <c r="AXC146" s="1056"/>
      <c r="AXD146" s="1056"/>
      <c r="AXE146" s="1056"/>
      <c r="AXF146" s="1056"/>
      <c r="AXG146" s="1056"/>
      <c r="AXH146" s="1056"/>
      <c r="AXI146" s="1056"/>
      <c r="AXJ146" s="1056"/>
      <c r="AXK146" s="1056"/>
      <c r="AXL146" s="1056"/>
      <c r="AXM146" s="1056"/>
      <c r="AXN146" s="1056"/>
      <c r="AXO146" s="1056"/>
      <c r="AXP146" s="1056"/>
      <c r="AXQ146" s="1056"/>
      <c r="AXR146" s="1056"/>
      <c r="AXS146" s="1056"/>
      <c r="AXT146" s="1056"/>
      <c r="AXU146" s="1056"/>
      <c r="AXV146" s="1056"/>
      <c r="AXW146" s="1056"/>
      <c r="AXX146" s="1056"/>
      <c r="AXY146" s="1056"/>
      <c r="AXZ146" s="1056"/>
      <c r="AYA146" s="1056"/>
      <c r="AYB146" s="1056"/>
      <c r="AYC146" s="1056"/>
      <c r="AYD146" s="1056"/>
      <c r="AYE146" s="1056"/>
      <c r="AYF146" s="1056"/>
      <c r="AYG146" s="1056"/>
      <c r="AYH146" s="1056"/>
      <c r="AYI146" s="1056"/>
      <c r="AYJ146" s="1056"/>
      <c r="AYK146" s="1056"/>
      <c r="AYL146" s="1056"/>
      <c r="AYM146" s="1056"/>
      <c r="AYN146" s="1056"/>
      <c r="AYO146" s="1056"/>
      <c r="AYP146" s="1056"/>
      <c r="AYQ146" s="1056"/>
      <c r="AYR146" s="1056"/>
      <c r="AYS146" s="1056"/>
      <c r="AYT146" s="1056"/>
      <c r="AYU146" s="1056"/>
      <c r="AYV146" s="1056"/>
      <c r="AYW146" s="1056"/>
      <c r="AYX146" s="1056"/>
      <c r="AYY146" s="1056"/>
      <c r="AYZ146" s="1056"/>
      <c r="AZA146" s="1056"/>
      <c r="AZB146" s="1056"/>
      <c r="AZC146" s="1056"/>
      <c r="AZD146" s="1056"/>
      <c r="AZE146" s="1056"/>
      <c r="AZF146" s="1056"/>
      <c r="AZG146" s="1056"/>
      <c r="AZH146" s="1056"/>
      <c r="AZI146" s="1056"/>
      <c r="AZJ146" s="1056"/>
      <c r="AZK146" s="1056"/>
      <c r="AZL146" s="1056"/>
      <c r="AZM146" s="1056"/>
      <c r="AZN146" s="1056"/>
      <c r="AZO146" s="1056"/>
      <c r="AZP146" s="1056"/>
      <c r="AZQ146" s="1056"/>
      <c r="AZR146" s="1056"/>
      <c r="AZS146" s="1056"/>
      <c r="AZT146" s="1056"/>
      <c r="AZU146" s="1056"/>
      <c r="AZV146" s="1056"/>
      <c r="AZW146" s="1056"/>
      <c r="AZX146" s="1056"/>
      <c r="AZY146" s="1056"/>
      <c r="AZZ146" s="1056"/>
      <c r="BAA146" s="1056"/>
      <c r="BAB146" s="1056"/>
      <c r="BAC146" s="1056"/>
      <c r="BAD146" s="1056"/>
      <c r="BAE146" s="1056"/>
      <c r="BAF146" s="1056"/>
      <c r="BAG146" s="1056"/>
      <c r="BAH146" s="1056"/>
      <c r="BAI146" s="1056"/>
      <c r="BAJ146" s="1056"/>
      <c r="BAK146" s="1056"/>
      <c r="BAL146" s="1056"/>
      <c r="BAM146" s="1056"/>
      <c r="BAN146" s="1056"/>
      <c r="BAO146" s="1056"/>
      <c r="BAP146" s="1056"/>
      <c r="BAQ146" s="1056"/>
      <c r="BAR146" s="1056"/>
      <c r="BAS146" s="1056"/>
      <c r="BAT146" s="1056"/>
      <c r="BAU146" s="1056"/>
      <c r="BAV146" s="1056"/>
      <c r="BAW146" s="1056"/>
      <c r="BAX146" s="1056"/>
      <c r="BAY146" s="1056"/>
      <c r="BAZ146" s="1056"/>
      <c r="BBA146" s="1056"/>
      <c r="BBB146" s="1056"/>
      <c r="BBC146" s="1056"/>
      <c r="BBD146" s="1056"/>
      <c r="BBE146" s="1056"/>
      <c r="BBF146" s="1056"/>
      <c r="BBG146" s="1056"/>
      <c r="BBH146" s="1056"/>
      <c r="BBI146" s="1056"/>
      <c r="BBJ146" s="1056"/>
      <c r="BBK146" s="1056"/>
      <c r="BBL146" s="1056"/>
      <c r="BBM146" s="1056"/>
      <c r="BBN146" s="1056"/>
      <c r="BBO146" s="1056"/>
      <c r="BBP146" s="1056"/>
      <c r="BBQ146" s="1056"/>
      <c r="BBR146" s="1056"/>
      <c r="BBS146" s="1056"/>
      <c r="BBT146" s="1056"/>
      <c r="BBU146" s="1056"/>
      <c r="BBV146" s="1056"/>
      <c r="BBW146" s="1056"/>
      <c r="BBX146" s="1056"/>
      <c r="BBY146" s="1056"/>
      <c r="BBZ146" s="1056"/>
      <c r="BCA146" s="1056"/>
      <c r="BCB146" s="1056"/>
      <c r="BCC146" s="1056"/>
      <c r="BCD146" s="1056"/>
      <c r="BCE146" s="1056"/>
      <c r="BCF146" s="1056"/>
      <c r="BCG146" s="1056"/>
      <c r="BCH146" s="1056"/>
      <c r="BCI146" s="1056"/>
      <c r="BCJ146" s="1056"/>
      <c r="BCK146" s="1056"/>
      <c r="BCL146" s="1056"/>
      <c r="BCM146" s="1056"/>
      <c r="BCN146" s="1056"/>
      <c r="BCO146" s="1056"/>
      <c r="BCP146" s="1056"/>
      <c r="BCQ146" s="1056"/>
      <c r="BCR146" s="1056"/>
      <c r="BCS146" s="1056"/>
      <c r="BCT146" s="1056"/>
      <c r="BCU146" s="1056"/>
      <c r="BCV146" s="1056"/>
      <c r="BCW146" s="1056"/>
      <c r="BCX146" s="1056"/>
      <c r="BCY146" s="1056"/>
      <c r="BCZ146" s="1056"/>
      <c r="BDA146" s="1056"/>
      <c r="BDB146" s="1056"/>
      <c r="BDC146" s="1056"/>
      <c r="BDD146" s="1056"/>
      <c r="BDE146" s="1056"/>
      <c r="BDF146" s="1056"/>
      <c r="BDG146" s="1056"/>
      <c r="BDH146" s="1056"/>
      <c r="BDI146" s="1056"/>
      <c r="BDJ146" s="1056"/>
      <c r="BDK146" s="1056"/>
      <c r="BDL146" s="1056"/>
      <c r="BDM146" s="1056"/>
      <c r="BDN146" s="1056"/>
      <c r="BDO146" s="1056"/>
      <c r="BDP146" s="1056"/>
      <c r="BDQ146" s="1056"/>
      <c r="BDR146" s="1056"/>
      <c r="BDS146" s="1056"/>
      <c r="BDT146" s="1056"/>
      <c r="BDU146" s="1056"/>
      <c r="BDV146" s="1056"/>
      <c r="BDW146" s="1056"/>
      <c r="BDX146" s="1056"/>
      <c r="BDY146" s="1056"/>
      <c r="BDZ146" s="1056"/>
      <c r="BEA146" s="1056"/>
      <c r="BEB146" s="1056"/>
      <c r="BEC146" s="1056"/>
      <c r="BED146" s="1056"/>
      <c r="BEE146" s="1056"/>
      <c r="BEF146" s="1056"/>
      <c r="BEG146" s="1056"/>
      <c r="BEH146" s="1056"/>
      <c r="BEI146" s="1056"/>
      <c r="BEJ146" s="1056"/>
      <c r="BEK146" s="1056"/>
      <c r="BEL146" s="1056"/>
      <c r="BEM146" s="1056"/>
      <c r="BEN146" s="1056"/>
      <c r="BEO146" s="1056"/>
      <c r="BEP146" s="1056"/>
      <c r="BEQ146" s="1056"/>
      <c r="BER146" s="1056"/>
      <c r="BES146" s="1056"/>
      <c r="BET146" s="1056"/>
      <c r="BEU146" s="1056"/>
      <c r="BEV146" s="1056"/>
      <c r="BEW146" s="1056"/>
      <c r="BEX146" s="1056"/>
      <c r="BEY146" s="1056"/>
      <c r="BEZ146" s="1056"/>
      <c r="BFA146" s="1056"/>
      <c r="BFB146" s="1056"/>
      <c r="BFC146" s="1056"/>
      <c r="BFD146" s="1056"/>
      <c r="BFE146" s="1056"/>
      <c r="BFF146" s="1056"/>
      <c r="BFG146" s="1056"/>
      <c r="BFH146" s="1056"/>
      <c r="BFI146" s="1056"/>
      <c r="BFJ146" s="1056"/>
      <c r="BFK146" s="1056"/>
      <c r="BFL146" s="1056"/>
      <c r="BFM146" s="1056"/>
      <c r="BFN146" s="1056"/>
      <c r="BFO146" s="1056"/>
      <c r="BFP146" s="1056"/>
      <c r="BFQ146" s="1056"/>
      <c r="BFR146" s="1056"/>
      <c r="BFS146" s="1056"/>
      <c r="BFT146" s="1056"/>
      <c r="BFU146" s="1056"/>
      <c r="BFV146" s="1056"/>
      <c r="BFW146" s="1056"/>
      <c r="BFX146" s="1056"/>
      <c r="BFY146" s="1056"/>
      <c r="BFZ146" s="1056"/>
      <c r="BGA146" s="1056"/>
      <c r="BGB146" s="1056"/>
      <c r="BGC146" s="1056"/>
      <c r="BGD146" s="1056"/>
      <c r="BGE146" s="1056"/>
      <c r="BGF146" s="1056"/>
      <c r="BGG146" s="1056"/>
      <c r="BGH146" s="1056"/>
      <c r="BGI146" s="1056"/>
      <c r="BGJ146" s="1056"/>
      <c r="BGK146" s="1056"/>
      <c r="BGL146" s="1056"/>
      <c r="BGM146" s="1056"/>
      <c r="BGN146" s="1056"/>
      <c r="BGO146" s="1056"/>
      <c r="BGP146" s="1056"/>
      <c r="BGQ146" s="1056"/>
      <c r="BGR146" s="1056"/>
      <c r="BGS146" s="1056"/>
      <c r="BGT146" s="1056"/>
      <c r="BGU146" s="1056"/>
      <c r="BGV146" s="1056"/>
      <c r="BGW146" s="1056"/>
      <c r="BGX146" s="1056"/>
      <c r="BGY146" s="1056"/>
      <c r="BGZ146" s="1056"/>
      <c r="BHA146" s="1056"/>
      <c r="BHB146" s="1056"/>
      <c r="BHC146" s="1056"/>
      <c r="BHD146" s="1056"/>
      <c r="BHE146" s="1056"/>
      <c r="BHF146" s="1056"/>
      <c r="BHG146" s="1056"/>
      <c r="BHH146" s="1056"/>
      <c r="BHI146" s="1056"/>
      <c r="BHJ146" s="1056"/>
      <c r="BHK146" s="1056"/>
      <c r="BHL146" s="1056"/>
      <c r="BHM146" s="1056"/>
      <c r="BHN146" s="1056"/>
      <c r="BHO146" s="1056"/>
      <c r="BHP146" s="1056"/>
      <c r="BHQ146" s="1056"/>
      <c r="BHR146" s="1056"/>
      <c r="BHS146" s="1056"/>
      <c r="BHT146" s="1056"/>
      <c r="BHU146" s="1056"/>
      <c r="BHV146" s="1056"/>
      <c r="BHW146" s="1056"/>
      <c r="BHX146" s="1056"/>
      <c r="BHY146" s="1056"/>
      <c r="BHZ146" s="1056"/>
      <c r="BIA146" s="1056"/>
      <c r="BIB146" s="1056"/>
      <c r="BIC146" s="1056"/>
      <c r="BID146" s="1056"/>
      <c r="BIE146" s="1056"/>
      <c r="BIF146" s="1056"/>
      <c r="BIG146" s="1056"/>
      <c r="BIH146" s="1056"/>
      <c r="BII146" s="1056"/>
      <c r="BIJ146" s="1056"/>
      <c r="BIK146" s="1056"/>
      <c r="BIL146" s="1056"/>
      <c r="BIM146" s="1056"/>
      <c r="BIN146" s="1056"/>
      <c r="BIO146" s="1056"/>
      <c r="BIP146" s="1056"/>
      <c r="BIQ146" s="1056"/>
      <c r="BIR146" s="1056"/>
      <c r="BIS146" s="1056"/>
      <c r="BIT146" s="1056"/>
      <c r="BIU146" s="1056"/>
      <c r="BIV146" s="1056"/>
      <c r="BIW146" s="1056"/>
      <c r="BIX146" s="1056"/>
      <c r="BIY146" s="1056"/>
      <c r="BIZ146" s="1056"/>
      <c r="BJA146" s="1056"/>
      <c r="BJB146" s="1056"/>
      <c r="BJC146" s="1056"/>
      <c r="BJD146" s="1056"/>
      <c r="BJE146" s="1056"/>
      <c r="BJF146" s="1056"/>
      <c r="BJG146" s="1056"/>
      <c r="BJH146" s="1056"/>
      <c r="BJI146" s="1056"/>
      <c r="BJJ146" s="1056"/>
      <c r="BJK146" s="1056"/>
      <c r="BJL146" s="1056"/>
      <c r="BJM146" s="1056"/>
      <c r="BJN146" s="1056"/>
      <c r="BJO146" s="1056"/>
      <c r="BJP146" s="1056"/>
      <c r="BJQ146" s="1056"/>
      <c r="BJR146" s="1056"/>
      <c r="BJS146" s="1056"/>
      <c r="BJT146" s="1056"/>
      <c r="BJU146" s="1056"/>
      <c r="BJV146" s="1056"/>
      <c r="BJW146" s="1056"/>
      <c r="BJX146" s="1056"/>
      <c r="BJY146" s="1056"/>
      <c r="BJZ146" s="1056"/>
      <c r="BKA146" s="1056"/>
      <c r="BKB146" s="1056"/>
      <c r="BKC146" s="1056"/>
      <c r="BKD146" s="1056"/>
      <c r="BKE146" s="1056"/>
      <c r="BKF146" s="1056"/>
      <c r="BKG146" s="1056"/>
      <c r="BKH146" s="1056"/>
      <c r="BKI146" s="1056"/>
      <c r="BKJ146" s="1056"/>
      <c r="BKK146" s="1056"/>
      <c r="BKL146" s="1056"/>
      <c r="BKM146" s="1056"/>
      <c r="BKN146" s="1056"/>
      <c r="BKO146" s="1056"/>
      <c r="BKP146" s="1056"/>
      <c r="BKQ146" s="1056"/>
      <c r="BKR146" s="1056"/>
      <c r="BKS146" s="1056"/>
      <c r="BKT146" s="1056"/>
      <c r="BKU146" s="1056"/>
      <c r="BKV146" s="1056"/>
      <c r="BKW146" s="1056"/>
      <c r="BKX146" s="1056"/>
      <c r="BKY146" s="1056"/>
      <c r="BKZ146" s="1056"/>
      <c r="BLA146" s="1056"/>
      <c r="BLB146" s="1056"/>
      <c r="BLC146" s="1056"/>
      <c r="BLD146" s="1056"/>
      <c r="BLE146" s="1056"/>
      <c r="BLF146" s="1056"/>
      <c r="BLG146" s="1056"/>
      <c r="BLH146" s="1056"/>
      <c r="BLI146" s="1056"/>
      <c r="BLJ146" s="1056"/>
      <c r="BLK146" s="1056"/>
      <c r="BLL146" s="1056"/>
      <c r="BLM146" s="1056"/>
      <c r="BLN146" s="1056"/>
      <c r="BLO146" s="1056"/>
      <c r="BLP146" s="1056"/>
      <c r="BLQ146" s="1056"/>
      <c r="BLR146" s="1056"/>
      <c r="BLS146" s="1056"/>
      <c r="BLT146" s="1056"/>
      <c r="BLU146" s="1056"/>
      <c r="BLV146" s="1056"/>
      <c r="BLW146" s="1056"/>
      <c r="BLX146" s="1056"/>
      <c r="BLY146" s="1056"/>
      <c r="BLZ146" s="1056"/>
      <c r="BMA146" s="1056"/>
      <c r="BMB146" s="1056"/>
      <c r="BMC146" s="1056"/>
      <c r="BMD146" s="1056"/>
      <c r="BME146" s="1056"/>
      <c r="BMF146" s="1056"/>
      <c r="BMG146" s="1056"/>
      <c r="BMH146" s="1056"/>
      <c r="BMI146" s="1056"/>
      <c r="BMJ146" s="1056"/>
      <c r="BMK146" s="1056"/>
      <c r="BML146" s="1056"/>
      <c r="BMM146" s="1056"/>
      <c r="BMN146" s="1056"/>
      <c r="BMO146" s="1056"/>
      <c r="BMP146" s="1056"/>
      <c r="BMQ146" s="1056"/>
      <c r="BMR146" s="1056"/>
      <c r="BMS146" s="1056"/>
      <c r="BMT146" s="1056"/>
      <c r="BMU146" s="1056"/>
      <c r="BMV146" s="1056"/>
      <c r="BMW146" s="1056"/>
      <c r="BMX146" s="1056"/>
      <c r="BMY146" s="1056"/>
      <c r="BMZ146" s="1056"/>
      <c r="BNA146" s="1056"/>
      <c r="BNB146" s="1056"/>
      <c r="BNC146" s="1056"/>
      <c r="BND146" s="1056"/>
      <c r="BNE146" s="1056"/>
      <c r="BNF146" s="1056"/>
      <c r="BNG146" s="1056"/>
      <c r="BNH146" s="1056"/>
      <c r="BNI146" s="1056"/>
      <c r="BNJ146" s="1056"/>
      <c r="BNK146" s="1056"/>
      <c r="BNL146" s="1056"/>
      <c r="BNM146" s="1056"/>
      <c r="BNN146" s="1056"/>
      <c r="BNO146" s="1056"/>
      <c r="BNP146" s="1056"/>
      <c r="BNQ146" s="1056"/>
      <c r="BNR146" s="1056"/>
      <c r="BNS146" s="1056"/>
      <c r="BNT146" s="1056"/>
      <c r="BNU146" s="1056"/>
      <c r="BNV146" s="1056"/>
      <c r="BNW146" s="1056"/>
      <c r="BNX146" s="1056"/>
      <c r="BNY146" s="1056"/>
      <c r="BNZ146" s="1056"/>
      <c r="BOA146" s="1056"/>
      <c r="BOB146" s="1056"/>
      <c r="BOC146" s="1056"/>
      <c r="BOD146" s="1056"/>
      <c r="BOE146" s="1056"/>
      <c r="BOF146" s="1056"/>
      <c r="BOG146" s="1056"/>
      <c r="BOH146" s="1056"/>
      <c r="BOI146" s="1056"/>
      <c r="BOJ146" s="1056"/>
      <c r="BOK146" s="1056"/>
      <c r="BOL146" s="1056"/>
      <c r="BOM146" s="1056"/>
      <c r="BON146" s="1056"/>
      <c r="BOO146" s="1056"/>
      <c r="BOP146" s="1056"/>
      <c r="BOQ146" s="1056"/>
      <c r="BOR146" s="1056"/>
      <c r="BOS146" s="1056"/>
      <c r="BOT146" s="1056"/>
      <c r="BOU146" s="1056"/>
      <c r="BOV146" s="1056"/>
      <c r="BOW146" s="1056"/>
      <c r="BOX146" s="1056"/>
      <c r="BOY146" s="1056"/>
      <c r="BOZ146" s="1056"/>
      <c r="BPA146" s="1056"/>
      <c r="BPB146" s="1056"/>
      <c r="BPC146" s="1056"/>
      <c r="BPD146" s="1056"/>
      <c r="BPE146" s="1056"/>
      <c r="BPF146" s="1056"/>
      <c r="BPG146" s="1056"/>
      <c r="BPH146" s="1056"/>
      <c r="BPI146" s="1056"/>
      <c r="BPJ146" s="1056"/>
      <c r="BPK146" s="1056"/>
      <c r="BPL146" s="1056"/>
      <c r="BPM146" s="1056"/>
      <c r="BPN146" s="1056"/>
      <c r="BPO146" s="1056"/>
      <c r="BPP146" s="1056"/>
      <c r="BPQ146" s="1056"/>
      <c r="BPR146" s="1056"/>
      <c r="BPS146" s="1056"/>
      <c r="BPT146" s="1056"/>
      <c r="BPU146" s="1056"/>
      <c r="BPV146" s="1056"/>
      <c r="BPW146" s="1056"/>
      <c r="BPX146" s="1056"/>
      <c r="BPY146" s="1056"/>
      <c r="BPZ146" s="1056"/>
      <c r="BQA146" s="1056"/>
      <c r="BQB146" s="1056"/>
      <c r="BQC146" s="1056"/>
      <c r="BQD146" s="1056"/>
      <c r="BQE146" s="1056"/>
      <c r="BQF146" s="1056"/>
      <c r="BQG146" s="1056"/>
      <c r="BQH146" s="1056"/>
      <c r="BQI146" s="1056"/>
      <c r="BQJ146" s="1056"/>
      <c r="BQK146" s="1056"/>
      <c r="BQL146" s="1056"/>
      <c r="BQM146" s="1056"/>
      <c r="BQN146" s="1056"/>
      <c r="BQO146" s="1056"/>
      <c r="BQP146" s="1056"/>
      <c r="BQQ146" s="1056"/>
      <c r="BQR146" s="1056"/>
      <c r="BQS146" s="1056"/>
      <c r="BQT146" s="1056"/>
      <c r="BQU146" s="1056"/>
      <c r="BQV146" s="1056"/>
      <c r="BQW146" s="1056"/>
      <c r="BQX146" s="1056"/>
      <c r="BQY146" s="1056"/>
      <c r="BQZ146" s="1056"/>
      <c r="BRA146" s="1056"/>
      <c r="BRB146" s="1056"/>
      <c r="BRC146" s="1056"/>
      <c r="BRD146" s="1056"/>
      <c r="BRE146" s="1056"/>
      <c r="BRF146" s="1056"/>
      <c r="BRG146" s="1056"/>
      <c r="BRH146" s="1056"/>
      <c r="BRI146" s="1056"/>
      <c r="BRJ146" s="1056"/>
      <c r="BRK146" s="1056"/>
      <c r="BRL146" s="1056"/>
      <c r="BRM146" s="1056"/>
      <c r="BRN146" s="1056"/>
      <c r="BRO146" s="1056"/>
      <c r="BRP146" s="1056"/>
      <c r="BRQ146" s="1056"/>
      <c r="BRR146" s="1056"/>
      <c r="BRS146" s="1056"/>
      <c r="BRT146" s="1056"/>
      <c r="BRU146" s="1056"/>
      <c r="BRV146" s="1056"/>
      <c r="BRW146" s="1056"/>
      <c r="BRX146" s="1056"/>
      <c r="BRY146" s="1056"/>
      <c r="BRZ146" s="1056"/>
      <c r="BSA146" s="1056"/>
      <c r="BSB146" s="1056"/>
      <c r="BSC146" s="1056"/>
      <c r="BSD146" s="1056"/>
      <c r="BSE146" s="1056"/>
      <c r="BSF146" s="1056"/>
      <c r="BSG146" s="1056"/>
      <c r="BSH146" s="1056"/>
      <c r="BSI146" s="1056"/>
      <c r="BSJ146" s="1056"/>
      <c r="BSK146" s="1056"/>
      <c r="BSL146" s="1056"/>
      <c r="BSM146" s="1056"/>
      <c r="BSN146" s="1056"/>
      <c r="BSO146" s="1056"/>
      <c r="BSP146" s="1056"/>
      <c r="BSQ146" s="1056"/>
      <c r="BSR146" s="1056"/>
      <c r="BSS146" s="1056"/>
      <c r="BST146" s="1056"/>
      <c r="BSU146" s="1056"/>
      <c r="BSV146" s="1056"/>
      <c r="BSW146" s="1056"/>
      <c r="BSX146" s="1056"/>
      <c r="BSY146" s="1056"/>
      <c r="BSZ146" s="1056"/>
      <c r="BTA146" s="1056"/>
      <c r="BTB146" s="1056"/>
      <c r="BTC146" s="1056"/>
      <c r="BTD146" s="1056"/>
      <c r="BTE146" s="1056"/>
      <c r="BTF146" s="1056"/>
      <c r="BTG146" s="1056"/>
      <c r="BTH146" s="1056"/>
      <c r="BTI146" s="1056"/>
    </row>
    <row r="147" spans="1:1881" s="1060" customFormat="1" ht="61.5" hidden="1" customHeight="1" x14ac:dyDescent="0.3">
      <c r="A147" s="1059">
        <v>349</v>
      </c>
      <c r="B147" s="808" t="s">
        <v>62</v>
      </c>
      <c r="C147" s="808" t="s">
        <v>1387</v>
      </c>
      <c r="D147" s="1095" t="s">
        <v>153</v>
      </c>
      <c r="E147" s="1053" t="e">
        <f>HLOOKUP($D$2,'2020 Data(H)'!$C$1:$AI$426,113,FALSE)</f>
        <v>#N/A</v>
      </c>
      <c r="F147" s="287">
        <v>0</v>
      </c>
      <c r="G147" s="722" t="str">
        <f>IF(F140&gt;F147,"Error: Please review accts 633&gt;349","")</f>
        <v/>
      </c>
      <c r="H147" s="764"/>
      <c r="I147" s="1055"/>
      <c r="J147" s="1056"/>
      <c r="K147" s="1056"/>
      <c r="L147" s="1056"/>
      <c r="M147" s="1056"/>
      <c r="N147" s="1058"/>
      <c r="O147" s="1056"/>
      <c r="P147" s="1056"/>
      <c r="Q147" s="1056"/>
      <c r="R147" s="1056"/>
      <c r="S147" s="1056"/>
      <c r="T147" s="1056"/>
      <c r="U147" s="1056"/>
      <c r="V147" s="1056"/>
      <c r="W147" s="1056"/>
      <c r="X147" s="1056"/>
      <c r="Y147" s="1056"/>
      <c r="Z147" s="1059"/>
      <c r="AA147" s="1059"/>
      <c r="AB147" s="1059"/>
      <c r="AC147" s="1059"/>
      <c r="AD147" s="1059"/>
      <c r="AE147" s="1059"/>
      <c r="AF147" s="1059"/>
      <c r="AG147" s="1059"/>
      <c r="AH147" s="1059"/>
      <c r="AI147" s="1059"/>
      <c r="AJ147" s="1059"/>
      <c r="AK147" s="1059"/>
      <c r="AL147" s="1059"/>
      <c r="AM147" s="1059"/>
      <c r="AN147" s="1059"/>
      <c r="AO147" s="1059"/>
      <c r="AP147" s="1059"/>
      <c r="AQ147" s="1059"/>
      <c r="AR147" s="1059"/>
      <c r="AS147" s="1056"/>
      <c r="AT147" s="1056"/>
      <c r="AU147" s="1056"/>
      <c r="AV147" s="1056"/>
      <c r="AW147" s="1056"/>
      <c r="AX147" s="1056"/>
      <c r="AY147" s="1056"/>
      <c r="AZ147" s="1056"/>
      <c r="BA147" s="1056"/>
      <c r="BB147" s="1056"/>
      <c r="BC147" s="1056"/>
      <c r="BD147" s="1056"/>
      <c r="BE147" s="1056"/>
      <c r="BF147" s="1056"/>
      <c r="BG147" s="1056"/>
      <c r="BH147" s="1056"/>
      <c r="BI147" s="1056"/>
      <c r="BJ147" s="1056"/>
      <c r="BK147" s="1056"/>
      <c r="BL147" s="1056"/>
      <c r="BM147" s="1056"/>
      <c r="BN147" s="1056"/>
      <c r="BO147" s="1056"/>
      <c r="BP147" s="1056"/>
      <c r="BQ147" s="1056"/>
      <c r="BR147" s="1056"/>
      <c r="BS147" s="1056"/>
      <c r="BT147" s="1056"/>
      <c r="BU147" s="1056"/>
      <c r="BV147" s="1056"/>
      <c r="BW147" s="1056"/>
      <c r="BX147" s="1056"/>
      <c r="BY147" s="1056"/>
      <c r="BZ147" s="1056"/>
      <c r="CA147" s="1056"/>
      <c r="CB147" s="1056"/>
      <c r="CC147" s="1056"/>
      <c r="CD147" s="1056"/>
      <c r="CE147" s="1056"/>
      <c r="CF147" s="1056"/>
      <c r="CG147" s="1056"/>
      <c r="CH147" s="1056"/>
      <c r="CI147" s="1056"/>
      <c r="CJ147" s="1056"/>
      <c r="CK147" s="1056"/>
      <c r="CL147" s="1056"/>
      <c r="CM147" s="1056"/>
      <c r="CN147" s="1056"/>
      <c r="CO147" s="1056"/>
      <c r="CP147" s="1056"/>
      <c r="CQ147" s="1056"/>
      <c r="CR147" s="1056"/>
      <c r="CS147" s="1056"/>
      <c r="CT147" s="1056"/>
      <c r="CU147" s="1056"/>
      <c r="CV147" s="1056"/>
      <c r="CW147" s="1056"/>
      <c r="CX147" s="1056"/>
      <c r="CY147" s="1056"/>
      <c r="CZ147" s="1056"/>
      <c r="DA147" s="1056"/>
      <c r="DB147" s="1056"/>
      <c r="DC147" s="1056"/>
      <c r="DD147" s="1056"/>
      <c r="DE147" s="1056"/>
      <c r="DF147" s="1056"/>
      <c r="DG147" s="1056"/>
      <c r="DH147" s="1056"/>
      <c r="DI147" s="1056"/>
      <c r="DJ147" s="1056"/>
      <c r="DK147" s="1056"/>
      <c r="DL147" s="1056"/>
      <c r="DM147" s="1056"/>
      <c r="DN147" s="1056"/>
      <c r="DO147" s="1056"/>
      <c r="DP147" s="1056"/>
      <c r="DQ147" s="1056"/>
      <c r="DR147" s="1056"/>
      <c r="DS147" s="1056"/>
      <c r="DT147" s="1056"/>
      <c r="DU147" s="1056"/>
      <c r="DV147" s="1056"/>
      <c r="DW147" s="1056"/>
      <c r="DX147" s="1056"/>
      <c r="DY147" s="1056"/>
      <c r="DZ147" s="1056"/>
      <c r="EA147" s="1056"/>
      <c r="EB147" s="1056"/>
      <c r="EC147" s="1056"/>
      <c r="ED147" s="1056"/>
      <c r="EE147" s="1056"/>
      <c r="EF147" s="1056"/>
      <c r="EG147" s="1056"/>
      <c r="EH147" s="1056"/>
      <c r="EI147" s="1056"/>
      <c r="EJ147" s="1056"/>
      <c r="EK147" s="1056"/>
      <c r="EL147" s="1056"/>
      <c r="EM147" s="1056"/>
      <c r="EN147" s="1056"/>
      <c r="EO147" s="1056"/>
      <c r="EP147" s="1056"/>
      <c r="EQ147" s="1056"/>
      <c r="ER147" s="1056"/>
      <c r="ES147" s="1056"/>
      <c r="ET147" s="1056"/>
      <c r="EU147" s="1056"/>
      <c r="EV147" s="1056"/>
      <c r="EW147" s="1056"/>
      <c r="EX147" s="1056"/>
      <c r="EY147" s="1056"/>
      <c r="EZ147" s="1056"/>
      <c r="FA147" s="1056"/>
      <c r="FB147" s="1056"/>
      <c r="FC147" s="1056"/>
      <c r="FD147" s="1056"/>
      <c r="FE147" s="1056"/>
      <c r="FF147" s="1056"/>
      <c r="FG147" s="1056"/>
      <c r="FH147" s="1056"/>
      <c r="FI147" s="1056"/>
      <c r="FJ147" s="1056"/>
      <c r="FK147" s="1056"/>
      <c r="FL147" s="1056"/>
      <c r="FM147" s="1056"/>
      <c r="FN147" s="1056"/>
      <c r="FO147" s="1056"/>
      <c r="FP147" s="1056"/>
      <c r="FQ147" s="1056"/>
      <c r="FR147" s="1056"/>
      <c r="FS147" s="1056"/>
      <c r="FT147" s="1056"/>
      <c r="FU147" s="1056"/>
      <c r="FV147" s="1056"/>
      <c r="FW147" s="1056"/>
      <c r="FX147" s="1056"/>
      <c r="FY147" s="1056"/>
      <c r="FZ147" s="1056"/>
      <c r="GA147" s="1056"/>
      <c r="GB147" s="1056"/>
      <c r="GC147" s="1056"/>
      <c r="GD147" s="1056"/>
      <c r="GE147" s="1056"/>
      <c r="GF147" s="1056"/>
      <c r="GG147" s="1056"/>
      <c r="GH147" s="1056"/>
      <c r="GI147" s="1056"/>
      <c r="GJ147" s="1056"/>
      <c r="GK147" s="1056"/>
      <c r="GL147" s="1056"/>
      <c r="GM147" s="1056"/>
      <c r="GN147" s="1056"/>
      <c r="GO147" s="1056"/>
      <c r="GP147" s="1056"/>
      <c r="GQ147" s="1056"/>
      <c r="GR147" s="1056"/>
      <c r="GS147" s="1056"/>
      <c r="GT147" s="1056"/>
      <c r="GU147" s="1056"/>
      <c r="GV147" s="1056"/>
      <c r="GW147" s="1056"/>
      <c r="GX147" s="1056"/>
      <c r="GY147" s="1056"/>
      <c r="GZ147" s="1056"/>
      <c r="HA147" s="1056"/>
      <c r="HB147" s="1056"/>
      <c r="HC147" s="1056"/>
      <c r="HD147" s="1056"/>
      <c r="HE147" s="1056"/>
      <c r="HF147" s="1056"/>
      <c r="HG147" s="1056"/>
      <c r="HH147" s="1056"/>
      <c r="HI147" s="1056"/>
      <c r="HJ147" s="1056"/>
      <c r="HK147" s="1056"/>
      <c r="HL147" s="1056"/>
      <c r="HM147" s="1056"/>
      <c r="HN147" s="1056"/>
      <c r="HO147" s="1056"/>
      <c r="HP147" s="1056"/>
      <c r="HQ147" s="1056"/>
      <c r="HR147" s="1056"/>
      <c r="HS147" s="1056"/>
      <c r="HT147" s="1056"/>
      <c r="HU147" s="1056"/>
      <c r="HV147" s="1056"/>
      <c r="HW147" s="1056"/>
      <c r="HX147" s="1056"/>
      <c r="HY147" s="1056"/>
      <c r="HZ147" s="1056"/>
      <c r="IA147" s="1056"/>
      <c r="IB147" s="1056"/>
      <c r="IC147" s="1056"/>
      <c r="ID147" s="1056"/>
      <c r="IE147" s="1056"/>
      <c r="IF147" s="1056"/>
      <c r="IG147" s="1056"/>
      <c r="IH147" s="1056"/>
      <c r="II147" s="1056"/>
      <c r="IJ147" s="1056"/>
      <c r="IK147" s="1056"/>
      <c r="IL147" s="1056"/>
      <c r="IM147" s="1056"/>
      <c r="IN147" s="1056"/>
      <c r="IO147" s="1056"/>
      <c r="IP147" s="1056"/>
      <c r="IQ147" s="1056"/>
      <c r="IR147" s="1056"/>
      <c r="IS147" s="1056"/>
      <c r="IT147" s="1056"/>
      <c r="IU147" s="1056"/>
      <c r="IV147" s="1056"/>
      <c r="IW147" s="1056"/>
      <c r="IX147" s="1056"/>
      <c r="IY147" s="1056"/>
      <c r="IZ147" s="1056"/>
      <c r="JA147" s="1056"/>
      <c r="JB147" s="1056"/>
      <c r="JC147" s="1056"/>
      <c r="JD147" s="1056"/>
      <c r="JE147" s="1056"/>
      <c r="JF147" s="1056"/>
      <c r="JG147" s="1056"/>
      <c r="JH147" s="1056"/>
      <c r="JI147" s="1056"/>
      <c r="JJ147" s="1056"/>
      <c r="JK147" s="1056"/>
      <c r="JL147" s="1056"/>
      <c r="JM147" s="1056"/>
      <c r="JN147" s="1056"/>
      <c r="JO147" s="1056"/>
      <c r="JP147" s="1056"/>
      <c r="JQ147" s="1056"/>
      <c r="JR147" s="1056"/>
      <c r="JS147" s="1056"/>
      <c r="JT147" s="1056"/>
      <c r="JU147" s="1056"/>
      <c r="JV147" s="1056"/>
      <c r="JW147" s="1056"/>
      <c r="JX147" s="1056"/>
      <c r="JY147" s="1056"/>
      <c r="JZ147" s="1056"/>
      <c r="KA147" s="1056"/>
      <c r="KB147" s="1056"/>
      <c r="KC147" s="1056"/>
      <c r="KD147" s="1056"/>
      <c r="KE147" s="1056"/>
      <c r="KF147" s="1056"/>
      <c r="KG147" s="1056"/>
      <c r="KH147" s="1056"/>
      <c r="KI147" s="1056"/>
      <c r="KJ147" s="1056"/>
      <c r="KK147" s="1056"/>
      <c r="KL147" s="1056"/>
      <c r="KM147" s="1056"/>
      <c r="KN147" s="1056"/>
      <c r="KO147" s="1056"/>
      <c r="KP147" s="1056"/>
      <c r="KQ147" s="1056"/>
      <c r="KR147" s="1056"/>
      <c r="KS147" s="1056"/>
      <c r="KT147" s="1056"/>
      <c r="KU147" s="1056"/>
      <c r="KV147" s="1056"/>
      <c r="KW147" s="1056"/>
      <c r="KX147" s="1056"/>
      <c r="KY147" s="1056"/>
      <c r="KZ147" s="1056"/>
      <c r="LA147" s="1056"/>
      <c r="LB147" s="1056"/>
      <c r="LC147" s="1056"/>
      <c r="LD147" s="1056"/>
      <c r="LE147" s="1056"/>
      <c r="LF147" s="1056"/>
      <c r="LG147" s="1056"/>
      <c r="LH147" s="1056"/>
      <c r="LI147" s="1056"/>
      <c r="LJ147" s="1056"/>
      <c r="LK147" s="1056"/>
      <c r="LL147" s="1056"/>
      <c r="LM147" s="1056"/>
      <c r="LN147" s="1056"/>
      <c r="LO147" s="1056"/>
      <c r="LP147" s="1056"/>
      <c r="LQ147" s="1056"/>
      <c r="LR147" s="1056"/>
      <c r="LS147" s="1056"/>
      <c r="LT147" s="1056"/>
      <c r="LU147" s="1056"/>
      <c r="LV147" s="1056"/>
      <c r="LW147" s="1056"/>
      <c r="LX147" s="1056"/>
      <c r="LY147" s="1056"/>
      <c r="LZ147" s="1056"/>
      <c r="MA147" s="1056"/>
      <c r="MB147" s="1056"/>
      <c r="MC147" s="1056"/>
      <c r="MD147" s="1056"/>
      <c r="ME147" s="1056"/>
      <c r="MF147" s="1056"/>
      <c r="MG147" s="1056"/>
      <c r="MH147" s="1056"/>
      <c r="MI147" s="1056"/>
      <c r="MJ147" s="1056"/>
      <c r="MK147" s="1056"/>
      <c r="ML147" s="1056"/>
      <c r="MM147" s="1056"/>
      <c r="MN147" s="1056"/>
      <c r="MO147" s="1056"/>
      <c r="MP147" s="1056"/>
      <c r="MQ147" s="1056"/>
      <c r="MR147" s="1056"/>
      <c r="MS147" s="1056"/>
      <c r="MT147" s="1056"/>
      <c r="MU147" s="1056"/>
      <c r="MV147" s="1056"/>
      <c r="MW147" s="1056"/>
      <c r="MX147" s="1056"/>
      <c r="MY147" s="1056"/>
      <c r="MZ147" s="1056"/>
      <c r="NA147" s="1056"/>
      <c r="NB147" s="1056"/>
      <c r="NC147" s="1056"/>
      <c r="ND147" s="1056"/>
      <c r="NE147" s="1056"/>
      <c r="NF147" s="1056"/>
      <c r="NG147" s="1056"/>
      <c r="NH147" s="1056"/>
      <c r="NI147" s="1056"/>
      <c r="NJ147" s="1056"/>
      <c r="NK147" s="1056"/>
      <c r="NL147" s="1056"/>
      <c r="NM147" s="1056"/>
      <c r="NN147" s="1056"/>
      <c r="NO147" s="1056"/>
      <c r="NP147" s="1056"/>
      <c r="NQ147" s="1056"/>
      <c r="NR147" s="1056"/>
      <c r="NS147" s="1056"/>
      <c r="NT147" s="1056"/>
      <c r="NU147" s="1056"/>
      <c r="NV147" s="1056"/>
      <c r="NW147" s="1056"/>
      <c r="NX147" s="1056"/>
      <c r="NY147" s="1056"/>
      <c r="NZ147" s="1056"/>
      <c r="OA147" s="1056"/>
      <c r="OB147" s="1056"/>
      <c r="OC147" s="1056"/>
      <c r="OD147" s="1056"/>
      <c r="OE147" s="1056"/>
      <c r="OF147" s="1056"/>
      <c r="OG147" s="1056"/>
      <c r="OH147" s="1056"/>
      <c r="OI147" s="1056"/>
      <c r="OJ147" s="1056"/>
      <c r="OK147" s="1056"/>
      <c r="OL147" s="1056"/>
      <c r="OM147" s="1056"/>
      <c r="ON147" s="1056"/>
      <c r="OO147" s="1056"/>
      <c r="OP147" s="1056"/>
      <c r="OQ147" s="1056"/>
      <c r="OR147" s="1056"/>
      <c r="OS147" s="1056"/>
      <c r="OT147" s="1056"/>
      <c r="OU147" s="1056"/>
      <c r="OV147" s="1056"/>
      <c r="OW147" s="1056"/>
      <c r="OX147" s="1056"/>
      <c r="OY147" s="1056"/>
      <c r="OZ147" s="1056"/>
      <c r="PA147" s="1056"/>
      <c r="PB147" s="1056"/>
      <c r="PC147" s="1056"/>
      <c r="PD147" s="1056"/>
      <c r="PE147" s="1056"/>
      <c r="PF147" s="1056"/>
      <c r="PG147" s="1056"/>
      <c r="PH147" s="1056"/>
      <c r="PI147" s="1056"/>
      <c r="PJ147" s="1056"/>
      <c r="PK147" s="1056"/>
      <c r="PL147" s="1056"/>
      <c r="PM147" s="1056"/>
      <c r="PN147" s="1056"/>
      <c r="PO147" s="1056"/>
      <c r="PP147" s="1056"/>
      <c r="PQ147" s="1056"/>
      <c r="PR147" s="1056"/>
      <c r="PS147" s="1056"/>
      <c r="PT147" s="1056"/>
      <c r="PU147" s="1056"/>
      <c r="PV147" s="1056"/>
      <c r="PW147" s="1056"/>
      <c r="PX147" s="1056"/>
      <c r="PY147" s="1056"/>
      <c r="PZ147" s="1056"/>
      <c r="QA147" s="1056"/>
      <c r="QB147" s="1056"/>
      <c r="QC147" s="1056"/>
      <c r="QD147" s="1056"/>
      <c r="QE147" s="1056"/>
      <c r="QF147" s="1056"/>
      <c r="QG147" s="1056"/>
      <c r="QH147" s="1056"/>
      <c r="QI147" s="1056"/>
      <c r="QJ147" s="1056"/>
      <c r="QK147" s="1056"/>
      <c r="QL147" s="1056"/>
      <c r="QM147" s="1056"/>
      <c r="QN147" s="1056"/>
      <c r="QO147" s="1056"/>
      <c r="QP147" s="1056"/>
      <c r="QQ147" s="1056"/>
      <c r="QR147" s="1056"/>
      <c r="QS147" s="1056"/>
      <c r="QT147" s="1056"/>
      <c r="QU147" s="1056"/>
      <c r="QV147" s="1056"/>
      <c r="QW147" s="1056"/>
      <c r="QX147" s="1056"/>
      <c r="QY147" s="1056"/>
      <c r="QZ147" s="1056"/>
      <c r="RA147" s="1056"/>
      <c r="RB147" s="1056"/>
      <c r="RC147" s="1056"/>
      <c r="RD147" s="1056"/>
      <c r="RE147" s="1056"/>
      <c r="RF147" s="1056"/>
      <c r="RG147" s="1056"/>
      <c r="RH147" s="1056"/>
      <c r="RI147" s="1056"/>
      <c r="RJ147" s="1056"/>
      <c r="RK147" s="1056"/>
      <c r="RL147" s="1056"/>
      <c r="RM147" s="1056"/>
      <c r="RN147" s="1056"/>
      <c r="RO147" s="1056"/>
      <c r="RP147" s="1056"/>
      <c r="RQ147" s="1056"/>
      <c r="RR147" s="1056"/>
      <c r="RS147" s="1056"/>
      <c r="RT147" s="1056"/>
      <c r="RU147" s="1056"/>
      <c r="RV147" s="1056"/>
      <c r="RW147" s="1056"/>
      <c r="RX147" s="1056"/>
      <c r="RY147" s="1056"/>
      <c r="RZ147" s="1056"/>
      <c r="SA147" s="1056"/>
      <c r="SB147" s="1056"/>
      <c r="SC147" s="1056"/>
      <c r="SD147" s="1056"/>
      <c r="SE147" s="1056"/>
      <c r="SF147" s="1056"/>
      <c r="SG147" s="1056"/>
      <c r="SH147" s="1056"/>
      <c r="SI147" s="1056"/>
      <c r="SJ147" s="1056"/>
      <c r="SK147" s="1056"/>
      <c r="SL147" s="1056"/>
      <c r="SM147" s="1056"/>
      <c r="SN147" s="1056"/>
      <c r="SO147" s="1056"/>
      <c r="SP147" s="1056"/>
      <c r="SQ147" s="1056"/>
      <c r="SR147" s="1056"/>
      <c r="SS147" s="1056"/>
      <c r="ST147" s="1056"/>
      <c r="SU147" s="1056"/>
      <c r="SV147" s="1056"/>
      <c r="SW147" s="1056"/>
      <c r="SX147" s="1056"/>
      <c r="SY147" s="1056"/>
      <c r="SZ147" s="1056"/>
      <c r="TA147" s="1056"/>
      <c r="TB147" s="1056"/>
      <c r="TC147" s="1056"/>
      <c r="TD147" s="1056"/>
      <c r="TE147" s="1056"/>
      <c r="TF147" s="1056"/>
      <c r="TG147" s="1056"/>
      <c r="TH147" s="1056"/>
      <c r="TI147" s="1056"/>
      <c r="TJ147" s="1056"/>
      <c r="TK147" s="1056"/>
      <c r="TL147" s="1056"/>
      <c r="TM147" s="1056"/>
      <c r="TN147" s="1056"/>
      <c r="TO147" s="1056"/>
      <c r="TP147" s="1056"/>
      <c r="TQ147" s="1056"/>
      <c r="TR147" s="1056"/>
      <c r="TS147" s="1056"/>
      <c r="TT147" s="1056"/>
      <c r="TU147" s="1056"/>
      <c r="TV147" s="1056"/>
      <c r="TW147" s="1056"/>
      <c r="TX147" s="1056"/>
      <c r="TY147" s="1056"/>
      <c r="TZ147" s="1056"/>
      <c r="UA147" s="1056"/>
      <c r="UB147" s="1056"/>
      <c r="UC147" s="1056"/>
      <c r="UD147" s="1056"/>
      <c r="UE147" s="1056"/>
      <c r="UF147" s="1056"/>
      <c r="UG147" s="1056"/>
      <c r="UH147" s="1056"/>
      <c r="UI147" s="1056"/>
      <c r="UJ147" s="1056"/>
      <c r="UK147" s="1056"/>
      <c r="UL147" s="1056"/>
      <c r="UM147" s="1056"/>
      <c r="UN147" s="1056"/>
      <c r="UO147" s="1056"/>
      <c r="UP147" s="1056"/>
      <c r="UQ147" s="1056"/>
      <c r="UR147" s="1056"/>
      <c r="US147" s="1056"/>
      <c r="UT147" s="1056"/>
      <c r="UU147" s="1056"/>
      <c r="UV147" s="1056"/>
      <c r="UW147" s="1056"/>
      <c r="UX147" s="1056"/>
      <c r="UY147" s="1056"/>
      <c r="UZ147" s="1056"/>
      <c r="VA147" s="1056"/>
      <c r="VB147" s="1056"/>
      <c r="VC147" s="1056"/>
      <c r="VD147" s="1056"/>
      <c r="VE147" s="1056"/>
      <c r="VF147" s="1056"/>
      <c r="VG147" s="1056"/>
      <c r="VH147" s="1056"/>
      <c r="VI147" s="1056"/>
      <c r="VJ147" s="1056"/>
      <c r="VK147" s="1056"/>
      <c r="VL147" s="1056"/>
      <c r="VM147" s="1056"/>
      <c r="VN147" s="1056"/>
      <c r="VO147" s="1056"/>
      <c r="VP147" s="1056"/>
      <c r="VQ147" s="1056"/>
      <c r="VR147" s="1056"/>
      <c r="VS147" s="1056"/>
      <c r="VT147" s="1056"/>
      <c r="VU147" s="1056"/>
      <c r="VV147" s="1056"/>
      <c r="VW147" s="1056"/>
      <c r="VX147" s="1056"/>
      <c r="VY147" s="1056"/>
      <c r="VZ147" s="1056"/>
      <c r="WA147" s="1056"/>
      <c r="WB147" s="1056"/>
      <c r="WC147" s="1056"/>
      <c r="WD147" s="1056"/>
      <c r="WE147" s="1056"/>
      <c r="WF147" s="1056"/>
      <c r="WG147" s="1056"/>
      <c r="WH147" s="1056"/>
      <c r="WI147" s="1056"/>
      <c r="WJ147" s="1056"/>
      <c r="WK147" s="1056"/>
      <c r="WL147" s="1056"/>
      <c r="WM147" s="1056"/>
      <c r="WN147" s="1056"/>
      <c r="WO147" s="1056"/>
      <c r="WP147" s="1056"/>
      <c r="WQ147" s="1056"/>
      <c r="WR147" s="1056"/>
      <c r="WS147" s="1056"/>
      <c r="WT147" s="1056"/>
      <c r="WU147" s="1056"/>
      <c r="WV147" s="1056"/>
      <c r="WW147" s="1056"/>
      <c r="WX147" s="1056"/>
      <c r="WY147" s="1056"/>
      <c r="WZ147" s="1056"/>
      <c r="XA147" s="1056"/>
      <c r="XB147" s="1056"/>
      <c r="XC147" s="1056"/>
      <c r="XD147" s="1056"/>
      <c r="XE147" s="1056"/>
      <c r="XF147" s="1056"/>
      <c r="XG147" s="1056"/>
      <c r="XH147" s="1056"/>
      <c r="XI147" s="1056"/>
      <c r="XJ147" s="1056"/>
      <c r="XK147" s="1056"/>
      <c r="XL147" s="1056"/>
      <c r="XM147" s="1056"/>
      <c r="XN147" s="1056"/>
      <c r="XO147" s="1056"/>
      <c r="XP147" s="1056"/>
      <c r="XQ147" s="1056"/>
      <c r="XR147" s="1056"/>
      <c r="XS147" s="1056"/>
      <c r="XT147" s="1056"/>
      <c r="XU147" s="1056"/>
      <c r="XV147" s="1056"/>
      <c r="XW147" s="1056"/>
      <c r="XX147" s="1056"/>
      <c r="XY147" s="1056"/>
      <c r="XZ147" s="1056"/>
      <c r="YA147" s="1056"/>
      <c r="YB147" s="1056"/>
      <c r="YC147" s="1056"/>
      <c r="YD147" s="1056"/>
      <c r="YE147" s="1056"/>
      <c r="YF147" s="1056"/>
      <c r="YG147" s="1056"/>
      <c r="YH147" s="1056"/>
      <c r="YI147" s="1056"/>
      <c r="YJ147" s="1056"/>
      <c r="YK147" s="1056"/>
      <c r="YL147" s="1056"/>
      <c r="YM147" s="1056"/>
      <c r="YN147" s="1056"/>
      <c r="YO147" s="1056"/>
      <c r="YP147" s="1056"/>
      <c r="YQ147" s="1056"/>
      <c r="YR147" s="1056"/>
      <c r="YS147" s="1056"/>
      <c r="YT147" s="1056"/>
      <c r="YU147" s="1056"/>
      <c r="YV147" s="1056"/>
      <c r="YW147" s="1056"/>
      <c r="YX147" s="1056"/>
      <c r="YY147" s="1056"/>
      <c r="YZ147" s="1056"/>
      <c r="ZA147" s="1056"/>
      <c r="ZB147" s="1056"/>
      <c r="ZC147" s="1056"/>
      <c r="ZD147" s="1056"/>
      <c r="ZE147" s="1056"/>
      <c r="ZF147" s="1056"/>
      <c r="ZG147" s="1056"/>
      <c r="ZH147" s="1056"/>
      <c r="ZI147" s="1056"/>
      <c r="ZJ147" s="1056"/>
      <c r="ZK147" s="1056"/>
      <c r="ZL147" s="1056"/>
      <c r="ZM147" s="1056"/>
      <c r="ZN147" s="1056"/>
      <c r="ZO147" s="1056"/>
      <c r="ZP147" s="1056"/>
      <c r="ZQ147" s="1056"/>
      <c r="ZR147" s="1056"/>
      <c r="ZS147" s="1056"/>
      <c r="ZT147" s="1056"/>
      <c r="ZU147" s="1056"/>
      <c r="ZV147" s="1056"/>
      <c r="ZW147" s="1056"/>
      <c r="ZX147" s="1056"/>
      <c r="ZY147" s="1056"/>
      <c r="ZZ147" s="1056"/>
      <c r="AAA147" s="1056"/>
      <c r="AAB147" s="1056"/>
      <c r="AAC147" s="1056"/>
      <c r="AAD147" s="1056"/>
      <c r="AAE147" s="1056"/>
      <c r="AAF147" s="1056"/>
      <c r="AAG147" s="1056"/>
      <c r="AAH147" s="1056"/>
      <c r="AAI147" s="1056"/>
      <c r="AAJ147" s="1056"/>
      <c r="AAK147" s="1056"/>
      <c r="AAL147" s="1056"/>
      <c r="AAM147" s="1056"/>
      <c r="AAN147" s="1056"/>
      <c r="AAO147" s="1056"/>
      <c r="AAP147" s="1056"/>
      <c r="AAQ147" s="1056"/>
      <c r="AAR147" s="1056"/>
      <c r="AAS147" s="1056"/>
      <c r="AAT147" s="1056"/>
      <c r="AAU147" s="1056"/>
      <c r="AAV147" s="1056"/>
      <c r="AAW147" s="1056"/>
      <c r="AAX147" s="1056"/>
      <c r="AAY147" s="1056"/>
      <c r="AAZ147" s="1056"/>
      <c r="ABA147" s="1056"/>
      <c r="ABB147" s="1056"/>
      <c r="ABC147" s="1056"/>
      <c r="ABD147" s="1056"/>
      <c r="ABE147" s="1056"/>
      <c r="ABF147" s="1056"/>
      <c r="ABG147" s="1056"/>
      <c r="ABH147" s="1056"/>
      <c r="ABI147" s="1056"/>
      <c r="ABJ147" s="1056"/>
      <c r="ABK147" s="1056"/>
      <c r="ABL147" s="1056"/>
      <c r="ABM147" s="1056"/>
      <c r="ABN147" s="1056"/>
      <c r="ABO147" s="1056"/>
      <c r="ABP147" s="1056"/>
      <c r="ABQ147" s="1056"/>
      <c r="ABR147" s="1056"/>
      <c r="ABS147" s="1056"/>
      <c r="ABT147" s="1056"/>
      <c r="ABU147" s="1056"/>
      <c r="ABV147" s="1056"/>
      <c r="ABW147" s="1056"/>
      <c r="ABX147" s="1056"/>
      <c r="ABY147" s="1056"/>
      <c r="ABZ147" s="1056"/>
      <c r="ACA147" s="1056"/>
      <c r="ACB147" s="1056"/>
      <c r="ACC147" s="1056"/>
      <c r="ACD147" s="1056"/>
      <c r="ACE147" s="1056"/>
      <c r="ACF147" s="1056"/>
      <c r="ACG147" s="1056"/>
      <c r="ACH147" s="1056"/>
      <c r="ACI147" s="1056"/>
      <c r="ACJ147" s="1056"/>
      <c r="ACK147" s="1056"/>
      <c r="ACL147" s="1056"/>
      <c r="ACM147" s="1056"/>
      <c r="ACN147" s="1056"/>
      <c r="ACO147" s="1056"/>
      <c r="ACP147" s="1056"/>
      <c r="ACQ147" s="1056"/>
      <c r="ACR147" s="1056"/>
      <c r="ACS147" s="1056"/>
      <c r="ACT147" s="1056"/>
      <c r="ACU147" s="1056"/>
      <c r="ACV147" s="1056"/>
      <c r="ACW147" s="1056"/>
      <c r="ACX147" s="1056"/>
      <c r="ACY147" s="1056"/>
      <c r="ACZ147" s="1056"/>
      <c r="ADA147" s="1056"/>
      <c r="ADB147" s="1056"/>
      <c r="ADC147" s="1056"/>
      <c r="ADD147" s="1056"/>
      <c r="ADE147" s="1056"/>
      <c r="ADF147" s="1056"/>
      <c r="ADG147" s="1056"/>
      <c r="ADH147" s="1056"/>
      <c r="ADI147" s="1056"/>
      <c r="ADJ147" s="1056"/>
      <c r="ADK147" s="1056"/>
      <c r="ADL147" s="1056"/>
      <c r="ADM147" s="1056"/>
      <c r="ADN147" s="1056"/>
      <c r="ADO147" s="1056"/>
      <c r="ADP147" s="1056"/>
      <c r="ADQ147" s="1056"/>
      <c r="ADR147" s="1056"/>
      <c r="ADS147" s="1056"/>
      <c r="ADT147" s="1056"/>
      <c r="ADU147" s="1056"/>
      <c r="ADV147" s="1056"/>
      <c r="ADW147" s="1056"/>
      <c r="ADX147" s="1056"/>
      <c r="ADY147" s="1056"/>
      <c r="ADZ147" s="1056"/>
      <c r="AEA147" s="1056"/>
      <c r="AEB147" s="1056"/>
      <c r="AEC147" s="1056"/>
      <c r="AED147" s="1056"/>
      <c r="AEE147" s="1056"/>
      <c r="AEF147" s="1056"/>
      <c r="AEG147" s="1056"/>
      <c r="AEH147" s="1056"/>
      <c r="AEI147" s="1056"/>
      <c r="AEJ147" s="1056"/>
      <c r="AEK147" s="1056"/>
      <c r="AEL147" s="1056"/>
      <c r="AEM147" s="1056"/>
      <c r="AEN147" s="1056"/>
      <c r="AEO147" s="1056"/>
      <c r="AEP147" s="1056"/>
      <c r="AEQ147" s="1056"/>
      <c r="AER147" s="1056"/>
      <c r="AES147" s="1056"/>
      <c r="AET147" s="1056"/>
      <c r="AEU147" s="1056"/>
      <c r="AEV147" s="1056"/>
      <c r="AEW147" s="1056"/>
      <c r="AEX147" s="1056"/>
      <c r="AEY147" s="1056"/>
      <c r="AEZ147" s="1056"/>
      <c r="AFA147" s="1056"/>
      <c r="AFB147" s="1056"/>
      <c r="AFC147" s="1056"/>
      <c r="AFD147" s="1056"/>
      <c r="AFE147" s="1056"/>
      <c r="AFF147" s="1056"/>
      <c r="AFG147" s="1056"/>
      <c r="AFH147" s="1056"/>
      <c r="AFI147" s="1056"/>
      <c r="AFJ147" s="1056"/>
      <c r="AFK147" s="1056"/>
      <c r="AFL147" s="1056"/>
      <c r="AFM147" s="1056"/>
      <c r="AFN147" s="1056"/>
      <c r="AFO147" s="1056"/>
      <c r="AFP147" s="1056"/>
      <c r="AFQ147" s="1056"/>
      <c r="AFR147" s="1056"/>
      <c r="AFS147" s="1056"/>
      <c r="AFT147" s="1056"/>
      <c r="AFU147" s="1056"/>
      <c r="AFV147" s="1056"/>
      <c r="AFW147" s="1056"/>
      <c r="AFX147" s="1056"/>
      <c r="AFY147" s="1056"/>
      <c r="AFZ147" s="1056"/>
      <c r="AGA147" s="1056"/>
      <c r="AGB147" s="1056"/>
      <c r="AGC147" s="1056"/>
      <c r="AGD147" s="1056"/>
      <c r="AGE147" s="1056"/>
      <c r="AGF147" s="1056"/>
      <c r="AGG147" s="1056"/>
      <c r="AGH147" s="1056"/>
      <c r="AGI147" s="1056"/>
      <c r="AGJ147" s="1056"/>
      <c r="AGK147" s="1056"/>
      <c r="AGL147" s="1056"/>
      <c r="AGM147" s="1056"/>
      <c r="AGN147" s="1056"/>
      <c r="AGO147" s="1056"/>
      <c r="AGP147" s="1056"/>
      <c r="AGQ147" s="1056"/>
      <c r="AGR147" s="1056"/>
      <c r="AGS147" s="1056"/>
      <c r="AGT147" s="1056"/>
      <c r="AGU147" s="1056"/>
      <c r="AGV147" s="1056"/>
      <c r="AGW147" s="1056"/>
      <c r="AGX147" s="1056"/>
      <c r="AGY147" s="1056"/>
      <c r="AGZ147" s="1056"/>
      <c r="AHA147" s="1056"/>
      <c r="AHB147" s="1056"/>
      <c r="AHC147" s="1056"/>
      <c r="AHD147" s="1056"/>
      <c r="AHE147" s="1056"/>
      <c r="AHF147" s="1056"/>
      <c r="AHG147" s="1056"/>
      <c r="AHH147" s="1056"/>
      <c r="AHI147" s="1056"/>
      <c r="AHJ147" s="1056"/>
      <c r="AHK147" s="1056"/>
      <c r="AHL147" s="1056"/>
      <c r="AHM147" s="1056"/>
      <c r="AHN147" s="1056"/>
      <c r="AHO147" s="1056"/>
      <c r="AHP147" s="1056"/>
      <c r="AHQ147" s="1056"/>
      <c r="AHR147" s="1056"/>
      <c r="AHS147" s="1056"/>
      <c r="AHT147" s="1056"/>
      <c r="AHU147" s="1056"/>
      <c r="AHV147" s="1056"/>
      <c r="AHW147" s="1056"/>
      <c r="AHX147" s="1056"/>
      <c r="AHY147" s="1056"/>
      <c r="AHZ147" s="1056"/>
      <c r="AIA147" s="1056"/>
      <c r="AIB147" s="1056"/>
      <c r="AIC147" s="1056"/>
      <c r="AID147" s="1056"/>
      <c r="AIE147" s="1056"/>
      <c r="AIF147" s="1056"/>
      <c r="AIG147" s="1056"/>
      <c r="AIH147" s="1056"/>
      <c r="AII147" s="1056"/>
      <c r="AIJ147" s="1056"/>
      <c r="AIK147" s="1056"/>
      <c r="AIL147" s="1056"/>
      <c r="AIM147" s="1056"/>
      <c r="AIN147" s="1056"/>
      <c r="AIO147" s="1056"/>
      <c r="AIP147" s="1056"/>
      <c r="AIQ147" s="1056"/>
      <c r="AIR147" s="1056"/>
      <c r="AIS147" s="1056"/>
      <c r="AIT147" s="1056"/>
      <c r="AIU147" s="1056"/>
      <c r="AIV147" s="1056"/>
      <c r="AIW147" s="1056"/>
      <c r="AIX147" s="1056"/>
      <c r="AIY147" s="1056"/>
      <c r="AIZ147" s="1056"/>
      <c r="AJA147" s="1056"/>
      <c r="AJB147" s="1056"/>
      <c r="AJC147" s="1056"/>
      <c r="AJD147" s="1056"/>
      <c r="AJE147" s="1056"/>
      <c r="AJF147" s="1056"/>
      <c r="AJG147" s="1056"/>
      <c r="AJH147" s="1056"/>
      <c r="AJI147" s="1056"/>
      <c r="AJJ147" s="1056"/>
      <c r="AJK147" s="1056"/>
      <c r="AJL147" s="1056"/>
      <c r="AJM147" s="1056"/>
      <c r="AJN147" s="1056"/>
      <c r="AJO147" s="1056"/>
      <c r="AJP147" s="1056"/>
      <c r="AJQ147" s="1056"/>
      <c r="AJR147" s="1056"/>
      <c r="AJS147" s="1056"/>
      <c r="AJT147" s="1056"/>
      <c r="AJU147" s="1056"/>
      <c r="AJV147" s="1056"/>
      <c r="AJW147" s="1056"/>
      <c r="AJX147" s="1056"/>
      <c r="AJY147" s="1056"/>
      <c r="AJZ147" s="1056"/>
      <c r="AKA147" s="1056"/>
      <c r="AKB147" s="1056"/>
      <c r="AKC147" s="1056"/>
      <c r="AKD147" s="1056"/>
      <c r="AKE147" s="1056"/>
      <c r="AKF147" s="1056"/>
      <c r="AKG147" s="1056"/>
      <c r="AKH147" s="1056"/>
      <c r="AKI147" s="1056"/>
      <c r="AKJ147" s="1056"/>
      <c r="AKK147" s="1056"/>
      <c r="AKL147" s="1056"/>
      <c r="AKM147" s="1056"/>
      <c r="AKN147" s="1056"/>
      <c r="AKO147" s="1056"/>
      <c r="AKP147" s="1056"/>
      <c r="AKQ147" s="1056"/>
      <c r="AKR147" s="1056"/>
      <c r="AKS147" s="1056"/>
      <c r="AKT147" s="1056"/>
      <c r="AKU147" s="1056"/>
      <c r="AKV147" s="1056"/>
      <c r="AKW147" s="1056"/>
      <c r="AKX147" s="1056"/>
      <c r="AKY147" s="1056"/>
      <c r="AKZ147" s="1056"/>
      <c r="ALA147" s="1056"/>
      <c r="ALB147" s="1056"/>
      <c r="ALC147" s="1056"/>
      <c r="ALD147" s="1056"/>
      <c r="ALE147" s="1056"/>
      <c r="ALF147" s="1056"/>
      <c r="ALG147" s="1056"/>
      <c r="ALH147" s="1056"/>
      <c r="ALI147" s="1056"/>
      <c r="ALJ147" s="1056"/>
      <c r="ALK147" s="1056"/>
      <c r="ALL147" s="1056"/>
      <c r="ALM147" s="1056"/>
      <c r="ALN147" s="1056"/>
      <c r="ALO147" s="1056"/>
      <c r="ALP147" s="1056"/>
      <c r="ALQ147" s="1056"/>
      <c r="ALR147" s="1056"/>
      <c r="ALS147" s="1056"/>
      <c r="ALT147" s="1056"/>
      <c r="ALU147" s="1056"/>
      <c r="ALV147" s="1056"/>
      <c r="ALW147" s="1056"/>
      <c r="ALX147" s="1056"/>
      <c r="ALY147" s="1056"/>
      <c r="ALZ147" s="1056"/>
      <c r="AMA147" s="1056"/>
      <c r="AMB147" s="1056"/>
      <c r="AMC147" s="1056"/>
      <c r="AMD147" s="1056"/>
      <c r="AME147" s="1056"/>
      <c r="AMF147" s="1056"/>
      <c r="AMG147" s="1056"/>
      <c r="AMH147" s="1056"/>
      <c r="AMI147" s="1056"/>
      <c r="AMJ147" s="1056"/>
      <c r="AMK147" s="1056"/>
      <c r="AML147" s="1056"/>
      <c r="AMM147" s="1056"/>
      <c r="AMN147" s="1056"/>
      <c r="AMO147" s="1056"/>
      <c r="AMP147" s="1056"/>
      <c r="AMQ147" s="1056"/>
      <c r="AMR147" s="1056"/>
      <c r="AMS147" s="1056"/>
      <c r="AMT147" s="1056"/>
      <c r="AMU147" s="1056"/>
      <c r="AMV147" s="1056"/>
      <c r="AMW147" s="1056"/>
      <c r="AMX147" s="1056"/>
      <c r="AMY147" s="1056"/>
      <c r="AMZ147" s="1056"/>
      <c r="ANA147" s="1056"/>
      <c r="ANB147" s="1056"/>
      <c r="ANC147" s="1056"/>
      <c r="AND147" s="1056"/>
      <c r="ANE147" s="1056"/>
      <c r="ANF147" s="1056"/>
      <c r="ANG147" s="1056"/>
      <c r="ANH147" s="1056"/>
      <c r="ANI147" s="1056"/>
      <c r="ANJ147" s="1056"/>
      <c r="ANK147" s="1056"/>
      <c r="ANL147" s="1056"/>
      <c r="ANM147" s="1056"/>
      <c r="ANN147" s="1056"/>
      <c r="ANO147" s="1056"/>
      <c r="ANP147" s="1056"/>
      <c r="ANQ147" s="1056"/>
      <c r="ANR147" s="1056"/>
      <c r="ANS147" s="1056"/>
      <c r="ANT147" s="1056"/>
      <c r="ANU147" s="1056"/>
      <c r="ANV147" s="1056"/>
      <c r="ANW147" s="1056"/>
      <c r="ANX147" s="1056"/>
      <c r="ANY147" s="1056"/>
      <c r="ANZ147" s="1056"/>
      <c r="AOA147" s="1056"/>
      <c r="AOB147" s="1056"/>
      <c r="AOC147" s="1056"/>
      <c r="AOD147" s="1056"/>
      <c r="AOE147" s="1056"/>
      <c r="AOF147" s="1056"/>
      <c r="AOG147" s="1056"/>
      <c r="AOH147" s="1056"/>
      <c r="AOI147" s="1056"/>
      <c r="AOJ147" s="1056"/>
      <c r="AOK147" s="1056"/>
      <c r="AOL147" s="1056"/>
      <c r="AOM147" s="1056"/>
      <c r="AON147" s="1056"/>
      <c r="AOO147" s="1056"/>
      <c r="AOP147" s="1056"/>
      <c r="AOQ147" s="1056"/>
      <c r="AOR147" s="1056"/>
      <c r="AOS147" s="1056"/>
      <c r="AOT147" s="1056"/>
      <c r="AOU147" s="1056"/>
      <c r="AOV147" s="1056"/>
      <c r="AOW147" s="1056"/>
      <c r="AOX147" s="1056"/>
      <c r="AOY147" s="1056"/>
      <c r="AOZ147" s="1056"/>
      <c r="APA147" s="1056"/>
      <c r="APB147" s="1056"/>
      <c r="APC147" s="1056"/>
      <c r="APD147" s="1056"/>
      <c r="APE147" s="1056"/>
      <c r="APF147" s="1056"/>
      <c r="APG147" s="1056"/>
      <c r="APH147" s="1056"/>
      <c r="API147" s="1056"/>
      <c r="APJ147" s="1056"/>
      <c r="APK147" s="1056"/>
      <c r="APL147" s="1056"/>
      <c r="APM147" s="1056"/>
      <c r="APN147" s="1056"/>
      <c r="APO147" s="1056"/>
      <c r="APP147" s="1056"/>
      <c r="APQ147" s="1056"/>
      <c r="APR147" s="1056"/>
      <c r="APS147" s="1056"/>
      <c r="APT147" s="1056"/>
      <c r="APU147" s="1056"/>
      <c r="APV147" s="1056"/>
      <c r="APW147" s="1056"/>
      <c r="APX147" s="1056"/>
      <c r="APY147" s="1056"/>
      <c r="APZ147" s="1056"/>
      <c r="AQA147" s="1056"/>
      <c r="AQB147" s="1056"/>
      <c r="AQC147" s="1056"/>
      <c r="AQD147" s="1056"/>
      <c r="AQE147" s="1056"/>
      <c r="AQF147" s="1056"/>
      <c r="AQG147" s="1056"/>
      <c r="AQH147" s="1056"/>
      <c r="AQI147" s="1056"/>
      <c r="AQJ147" s="1056"/>
      <c r="AQK147" s="1056"/>
      <c r="AQL147" s="1056"/>
      <c r="AQM147" s="1056"/>
      <c r="AQN147" s="1056"/>
      <c r="AQO147" s="1056"/>
      <c r="AQP147" s="1056"/>
      <c r="AQQ147" s="1056"/>
      <c r="AQR147" s="1056"/>
      <c r="AQS147" s="1056"/>
      <c r="AQT147" s="1056"/>
      <c r="AQU147" s="1056"/>
      <c r="AQV147" s="1056"/>
      <c r="AQW147" s="1056"/>
      <c r="AQX147" s="1056"/>
      <c r="AQY147" s="1056"/>
      <c r="AQZ147" s="1056"/>
      <c r="ARA147" s="1056"/>
      <c r="ARB147" s="1056"/>
      <c r="ARC147" s="1056"/>
      <c r="ARD147" s="1056"/>
      <c r="ARE147" s="1056"/>
      <c r="ARF147" s="1056"/>
      <c r="ARG147" s="1056"/>
      <c r="ARH147" s="1056"/>
      <c r="ARI147" s="1056"/>
      <c r="ARJ147" s="1056"/>
      <c r="ARK147" s="1056"/>
      <c r="ARL147" s="1056"/>
      <c r="ARM147" s="1056"/>
      <c r="ARN147" s="1056"/>
      <c r="ARO147" s="1056"/>
      <c r="ARP147" s="1056"/>
      <c r="ARQ147" s="1056"/>
      <c r="ARR147" s="1056"/>
      <c r="ARS147" s="1056"/>
      <c r="ART147" s="1056"/>
      <c r="ARU147" s="1056"/>
      <c r="ARV147" s="1056"/>
      <c r="ARW147" s="1056"/>
      <c r="ARX147" s="1056"/>
      <c r="ARY147" s="1056"/>
      <c r="ARZ147" s="1056"/>
      <c r="ASA147" s="1056"/>
      <c r="ASB147" s="1056"/>
      <c r="ASC147" s="1056"/>
      <c r="ASD147" s="1056"/>
      <c r="ASE147" s="1056"/>
      <c r="ASF147" s="1056"/>
      <c r="ASG147" s="1056"/>
      <c r="ASH147" s="1056"/>
      <c r="ASI147" s="1056"/>
      <c r="ASJ147" s="1056"/>
      <c r="ASK147" s="1056"/>
      <c r="ASL147" s="1056"/>
      <c r="ASM147" s="1056"/>
      <c r="ASN147" s="1056"/>
      <c r="ASO147" s="1056"/>
      <c r="ASP147" s="1056"/>
      <c r="ASQ147" s="1056"/>
      <c r="ASR147" s="1056"/>
      <c r="ASS147" s="1056"/>
      <c r="AST147" s="1056"/>
      <c r="ASU147" s="1056"/>
      <c r="ASV147" s="1056"/>
      <c r="ASW147" s="1056"/>
      <c r="ASX147" s="1056"/>
      <c r="ASY147" s="1056"/>
      <c r="ASZ147" s="1056"/>
      <c r="ATA147" s="1056"/>
      <c r="ATB147" s="1056"/>
      <c r="ATC147" s="1056"/>
      <c r="ATD147" s="1056"/>
      <c r="ATE147" s="1056"/>
      <c r="ATF147" s="1056"/>
      <c r="ATG147" s="1056"/>
      <c r="ATH147" s="1056"/>
      <c r="ATI147" s="1056"/>
      <c r="ATJ147" s="1056"/>
      <c r="ATK147" s="1056"/>
      <c r="ATL147" s="1056"/>
      <c r="ATM147" s="1056"/>
      <c r="ATN147" s="1056"/>
      <c r="ATO147" s="1056"/>
      <c r="ATP147" s="1056"/>
      <c r="ATQ147" s="1056"/>
      <c r="ATR147" s="1056"/>
      <c r="ATS147" s="1056"/>
      <c r="ATT147" s="1056"/>
      <c r="ATU147" s="1056"/>
      <c r="ATV147" s="1056"/>
      <c r="ATW147" s="1056"/>
      <c r="ATX147" s="1056"/>
      <c r="ATY147" s="1056"/>
      <c r="ATZ147" s="1056"/>
      <c r="AUA147" s="1056"/>
      <c r="AUB147" s="1056"/>
      <c r="AUC147" s="1056"/>
      <c r="AUD147" s="1056"/>
      <c r="AUE147" s="1056"/>
      <c r="AUF147" s="1056"/>
      <c r="AUG147" s="1056"/>
      <c r="AUH147" s="1056"/>
      <c r="AUI147" s="1056"/>
      <c r="AUJ147" s="1056"/>
      <c r="AUK147" s="1056"/>
      <c r="AUL147" s="1056"/>
      <c r="AUM147" s="1056"/>
      <c r="AUN147" s="1056"/>
      <c r="AUO147" s="1056"/>
      <c r="AUP147" s="1056"/>
      <c r="AUQ147" s="1056"/>
      <c r="AUR147" s="1056"/>
      <c r="AUS147" s="1056"/>
      <c r="AUT147" s="1056"/>
      <c r="AUU147" s="1056"/>
      <c r="AUV147" s="1056"/>
      <c r="AUW147" s="1056"/>
      <c r="AUX147" s="1056"/>
      <c r="AUY147" s="1056"/>
      <c r="AUZ147" s="1056"/>
      <c r="AVA147" s="1056"/>
      <c r="AVB147" s="1056"/>
      <c r="AVC147" s="1056"/>
      <c r="AVD147" s="1056"/>
      <c r="AVE147" s="1056"/>
      <c r="AVF147" s="1056"/>
      <c r="AVG147" s="1056"/>
      <c r="AVH147" s="1056"/>
      <c r="AVI147" s="1056"/>
      <c r="AVJ147" s="1056"/>
      <c r="AVK147" s="1056"/>
      <c r="AVL147" s="1056"/>
      <c r="AVM147" s="1056"/>
      <c r="AVN147" s="1056"/>
      <c r="AVO147" s="1056"/>
      <c r="AVP147" s="1056"/>
      <c r="AVQ147" s="1056"/>
      <c r="AVR147" s="1056"/>
      <c r="AVS147" s="1056"/>
      <c r="AVT147" s="1056"/>
      <c r="AVU147" s="1056"/>
      <c r="AVV147" s="1056"/>
      <c r="AVW147" s="1056"/>
      <c r="AVX147" s="1056"/>
      <c r="AVY147" s="1056"/>
      <c r="AVZ147" s="1056"/>
      <c r="AWA147" s="1056"/>
      <c r="AWB147" s="1056"/>
      <c r="AWC147" s="1056"/>
      <c r="AWD147" s="1056"/>
      <c r="AWE147" s="1056"/>
      <c r="AWF147" s="1056"/>
      <c r="AWG147" s="1056"/>
      <c r="AWH147" s="1056"/>
      <c r="AWI147" s="1056"/>
      <c r="AWJ147" s="1056"/>
      <c r="AWK147" s="1056"/>
      <c r="AWL147" s="1056"/>
      <c r="AWM147" s="1056"/>
      <c r="AWN147" s="1056"/>
      <c r="AWO147" s="1056"/>
      <c r="AWP147" s="1056"/>
      <c r="AWQ147" s="1056"/>
      <c r="AWR147" s="1056"/>
      <c r="AWS147" s="1056"/>
      <c r="AWT147" s="1056"/>
      <c r="AWU147" s="1056"/>
      <c r="AWV147" s="1056"/>
      <c r="AWW147" s="1056"/>
      <c r="AWX147" s="1056"/>
      <c r="AWY147" s="1056"/>
      <c r="AWZ147" s="1056"/>
      <c r="AXA147" s="1056"/>
      <c r="AXB147" s="1056"/>
      <c r="AXC147" s="1056"/>
      <c r="AXD147" s="1056"/>
      <c r="AXE147" s="1056"/>
      <c r="AXF147" s="1056"/>
      <c r="AXG147" s="1056"/>
      <c r="AXH147" s="1056"/>
      <c r="AXI147" s="1056"/>
      <c r="AXJ147" s="1056"/>
      <c r="AXK147" s="1056"/>
      <c r="AXL147" s="1056"/>
      <c r="AXM147" s="1056"/>
      <c r="AXN147" s="1056"/>
      <c r="AXO147" s="1056"/>
      <c r="AXP147" s="1056"/>
      <c r="AXQ147" s="1056"/>
      <c r="AXR147" s="1056"/>
      <c r="AXS147" s="1056"/>
      <c r="AXT147" s="1056"/>
      <c r="AXU147" s="1056"/>
      <c r="AXV147" s="1056"/>
      <c r="AXW147" s="1056"/>
      <c r="AXX147" s="1056"/>
      <c r="AXY147" s="1056"/>
      <c r="AXZ147" s="1056"/>
      <c r="AYA147" s="1056"/>
      <c r="AYB147" s="1056"/>
      <c r="AYC147" s="1056"/>
      <c r="AYD147" s="1056"/>
      <c r="AYE147" s="1056"/>
      <c r="AYF147" s="1056"/>
      <c r="AYG147" s="1056"/>
      <c r="AYH147" s="1056"/>
      <c r="AYI147" s="1056"/>
      <c r="AYJ147" s="1056"/>
      <c r="AYK147" s="1056"/>
      <c r="AYL147" s="1056"/>
      <c r="AYM147" s="1056"/>
      <c r="AYN147" s="1056"/>
      <c r="AYO147" s="1056"/>
      <c r="AYP147" s="1056"/>
      <c r="AYQ147" s="1056"/>
      <c r="AYR147" s="1056"/>
      <c r="AYS147" s="1056"/>
      <c r="AYT147" s="1056"/>
      <c r="AYU147" s="1056"/>
      <c r="AYV147" s="1056"/>
      <c r="AYW147" s="1056"/>
      <c r="AYX147" s="1056"/>
      <c r="AYY147" s="1056"/>
      <c r="AYZ147" s="1056"/>
      <c r="AZA147" s="1056"/>
      <c r="AZB147" s="1056"/>
      <c r="AZC147" s="1056"/>
      <c r="AZD147" s="1056"/>
      <c r="AZE147" s="1056"/>
      <c r="AZF147" s="1056"/>
      <c r="AZG147" s="1056"/>
      <c r="AZH147" s="1056"/>
      <c r="AZI147" s="1056"/>
      <c r="AZJ147" s="1056"/>
      <c r="AZK147" s="1056"/>
      <c r="AZL147" s="1056"/>
      <c r="AZM147" s="1056"/>
      <c r="AZN147" s="1056"/>
      <c r="AZO147" s="1056"/>
      <c r="AZP147" s="1056"/>
      <c r="AZQ147" s="1056"/>
      <c r="AZR147" s="1056"/>
      <c r="AZS147" s="1056"/>
      <c r="AZT147" s="1056"/>
      <c r="AZU147" s="1056"/>
      <c r="AZV147" s="1056"/>
      <c r="AZW147" s="1056"/>
      <c r="AZX147" s="1056"/>
      <c r="AZY147" s="1056"/>
      <c r="AZZ147" s="1056"/>
      <c r="BAA147" s="1056"/>
      <c r="BAB147" s="1056"/>
      <c r="BAC147" s="1056"/>
      <c r="BAD147" s="1056"/>
      <c r="BAE147" s="1056"/>
      <c r="BAF147" s="1056"/>
      <c r="BAG147" s="1056"/>
      <c r="BAH147" s="1056"/>
      <c r="BAI147" s="1056"/>
      <c r="BAJ147" s="1056"/>
      <c r="BAK147" s="1056"/>
      <c r="BAL147" s="1056"/>
      <c r="BAM147" s="1056"/>
      <c r="BAN147" s="1056"/>
      <c r="BAO147" s="1056"/>
      <c r="BAP147" s="1056"/>
      <c r="BAQ147" s="1056"/>
      <c r="BAR147" s="1056"/>
      <c r="BAS147" s="1056"/>
      <c r="BAT147" s="1056"/>
      <c r="BAU147" s="1056"/>
      <c r="BAV147" s="1056"/>
      <c r="BAW147" s="1056"/>
      <c r="BAX147" s="1056"/>
      <c r="BAY147" s="1056"/>
      <c r="BAZ147" s="1056"/>
      <c r="BBA147" s="1056"/>
      <c r="BBB147" s="1056"/>
      <c r="BBC147" s="1056"/>
      <c r="BBD147" s="1056"/>
      <c r="BBE147" s="1056"/>
      <c r="BBF147" s="1056"/>
      <c r="BBG147" s="1056"/>
      <c r="BBH147" s="1056"/>
      <c r="BBI147" s="1056"/>
      <c r="BBJ147" s="1056"/>
      <c r="BBK147" s="1056"/>
      <c r="BBL147" s="1056"/>
      <c r="BBM147" s="1056"/>
      <c r="BBN147" s="1056"/>
      <c r="BBO147" s="1056"/>
      <c r="BBP147" s="1056"/>
      <c r="BBQ147" s="1056"/>
      <c r="BBR147" s="1056"/>
      <c r="BBS147" s="1056"/>
      <c r="BBT147" s="1056"/>
      <c r="BBU147" s="1056"/>
      <c r="BBV147" s="1056"/>
      <c r="BBW147" s="1056"/>
      <c r="BBX147" s="1056"/>
      <c r="BBY147" s="1056"/>
      <c r="BBZ147" s="1056"/>
      <c r="BCA147" s="1056"/>
      <c r="BCB147" s="1056"/>
      <c r="BCC147" s="1056"/>
      <c r="BCD147" s="1056"/>
      <c r="BCE147" s="1056"/>
      <c r="BCF147" s="1056"/>
      <c r="BCG147" s="1056"/>
      <c r="BCH147" s="1056"/>
      <c r="BCI147" s="1056"/>
      <c r="BCJ147" s="1056"/>
      <c r="BCK147" s="1056"/>
      <c r="BCL147" s="1056"/>
      <c r="BCM147" s="1056"/>
      <c r="BCN147" s="1056"/>
      <c r="BCO147" s="1056"/>
      <c r="BCP147" s="1056"/>
      <c r="BCQ147" s="1056"/>
      <c r="BCR147" s="1056"/>
      <c r="BCS147" s="1056"/>
      <c r="BCT147" s="1056"/>
      <c r="BCU147" s="1056"/>
      <c r="BCV147" s="1056"/>
      <c r="BCW147" s="1056"/>
      <c r="BCX147" s="1056"/>
      <c r="BCY147" s="1056"/>
      <c r="BCZ147" s="1056"/>
      <c r="BDA147" s="1056"/>
      <c r="BDB147" s="1056"/>
      <c r="BDC147" s="1056"/>
      <c r="BDD147" s="1056"/>
      <c r="BDE147" s="1056"/>
      <c r="BDF147" s="1056"/>
      <c r="BDG147" s="1056"/>
      <c r="BDH147" s="1056"/>
      <c r="BDI147" s="1056"/>
      <c r="BDJ147" s="1056"/>
      <c r="BDK147" s="1056"/>
      <c r="BDL147" s="1056"/>
      <c r="BDM147" s="1056"/>
      <c r="BDN147" s="1056"/>
      <c r="BDO147" s="1056"/>
      <c r="BDP147" s="1056"/>
      <c r="BDQ147" s="1056"/>
      <c r="BDR147" s="1056"/>
      <c r="BDS147" s="1056"/>
      <c r="BDT147" s="1056"/>
      <c r="BDU147" s="1056"/>
      <c r="BDV147" s="1056"/>
      <c r="BDW147" s="1056"/>
      <c r="BDX147" s="1056"/>
      <c r="BDY147" s="1056"/>
      <c r="BDZ147" s="1056"/>
      <c r="BEA147" s="1056"/>
      <c r="BEB147" s="1056"/>
      <c r="BEC147" s="1056"/>
      <c r="BED147" s="1056"/>
      <c r="BEE147" s="1056"/>
      <c r="BEF147" s="1056"/>
      <c r="BEG147" s="1056"/>
      <c r="BEH147" s="1056"/>
      <c r="BEI147" s="1056"/>
      <c r="BEJ147" s="1056"/>
      <c r="BEK147" s="1056"/>
      <c r="BEL147" s="1056"/>
      <c r="BEM147" s="1056"/>
      <c r="BEN147" s="1056"/>
      <c r="BEO147" s="1056"/>
      <c r="BEP147" s="1056"/>
      <c r="BEQ147" s="1056"/>
      <c r="BER147" s="1056"/>
      <c r="BES147" s="1056"/>
      <c r="BET147" s="1056"/>
      <c r="BEU147" s="1056"/>
      <c r="BEV147" s="1056"/>
      <c r="BEW147" s="1056"/>
      <c r="BEX147" s="1056"/>
      <c r="BEY147" s="1056"/>
      <c r="BEZ147" s="1056"/>
      <c r="BFA147" s="1056"/>
      <c r="BFB147" s="1056"/>
      <c r="BFC147" s="1056"/>
      <c r="BFD147" s="1056"/>
      <c r="BFE147" s="1056"/>
      <c r="BFF147" s="1056"/>
      <c r="BFG147" s="1056"/>
      <c r="BFH147" s="1056"/>
      <c r="BFI147" s="1056"/>
      <c r="BFJ147" s="1056"/>
      <c r="BFK147" s="1056"/>
      <c r="BFL147" s="1056"/>
      <c r="BFM147" s="1056"/>
      <c r="BFN147" s="1056"/>
      <c r="BFO147" s="1056"/>
      <c r="BFP147" s="1056"/>
      <c r="BFQ147" s="1056"/>
      <c r="BFR147" s="1056"/>
      <c r="BFS147" s="1056"/>
      <c r="BFT147" s="1056"/>
      <c r="BFU147" s="1056"/>
      <c r="BFV147" s="1056"/>
      <c r="BFW147" s="1056"/>
      <c r="BFX147" s="1056"/>
      <c r="BFY147" s="1056"/>
      <c r="BFZ147" s="1056"/>
      <c r="BGA147" s="1056"/>
      <c r="BGB147" s="1056"/>
      <c r="BGC147" s="1056"/>
      <c r="BGD147" s="1056"/>
      <c r="BGE147" s="1056"/>
      <c r="BGF147" s="1056"/>
      <c r="BGG147" s="1056"/>
      <c r="BGH147" s="1056"/>
      <c r="BGI147" s="1056"/>
      <c r="BGJ147" s="1056"/>
      <c r="BGK147" s="1056"/>
      <c r="BGL147" s="1056"/>
      <c r="BGM147" s="1056"/>
      <c r="BGN147" s="1056"/>
      <c r="BGO147" s="1056"/>
      <c r="BGP147" s="1056"/>
      <c r="BGQ147" s="1056"/>
      <c r="BGR147" s="1056"/>
      <c r="BGS147" s="1056"/>
      <c r="BGT147" s="1056"/>
      <c r="BGU147" s="1056"/>
      <c r="BGV147" s="1056"/>
      <c r="BGW147" s="1056"/>
      <c r="BGX147" s="1056"/>
      <c r="BGY147" s="1056"/>
      <c r="BGZ147" s="1056"/>
      <c r="BHA147" s="1056"/>
      <c r="BHB147" s="1056"/>
      <c r="BHC147" s="1056"/>
      <c r="BHD147" s="1056"/>
      <c r="BHE147" s="1056"/>
      <c r="BHF147" s="1056"/>
      <c r="BHG147" s="1056"/>
      <c r="BHH147" s="1056"/>
      <c r="BHI147" s="1056"/>
      <c r="BHJ147" s="1056"/>
      <c r="BHK147" s="1056"/>
      <c r="BHL147" s="1056"/>
      <c r="BHM147" s="1056"/>
      <c r="BHN147" s="1056"/>
      <c r="BHO147" s="1056"/>
      <c r="BHP147" s="1056"/>
      <c r="BHQ147" s="1056"/>
      <c r="BHR147" s="1056"/>
      <c r="BHS147" s="1056"/>
      <c r="BHT147" s="1056"/>
      <c r="BHU147" s="1056"/>
      <c r="BHV147" s="1056"/>
      <c r="BHW147" s="1056"/>
      <c r="BHX147" s="1056"/>
      <c r="BHY147" s="1056"/>
      <c r="BHZ147" s="1056"/>
      <c r="BIA147" s="1056"/>
      <c r="BIB147" s="1056"/>
      <c r="BIC147" s="1056"/>
      <c r="BID147" s="1056"/>
      <c r="BIE147" s="1056"/>
      <c r="BIF147" s="1056"/>
      <c r="BIG147" s="1056"/>
      <c r="BIH147" s="1056"/>
      <c r="BII147" s="1056"/>
      <c r="BIJ147" s="1056"/>
      <c r="BIK147" s="1056"/>
      <c r="BIL147" s="1056"/>
      <c r="BIM147" s="1056"/>
      <c r="BIN147" s="1056"/>
      <c r="BIO147" s="1056"/>
      <c r="BIP147" s="1056"/>
      <c r="BIQ147" s="1056"/>
      <c r="BIR147" s="1056"/>
      <c r="BIS147" s="1056"/>
      <c r="BIT147" s="1056"/>
      <c r="BIU147" s="1056"/>
      <c r="BIV147" s="1056"/>
      <c r="BIW147" s="1056"/>
      <c r="BIX147" s="1056"/>
      <c r="BIY147" s="1056"/>
      <c r="BIZ147" s="1056"/>
      <c r="BJA147" s="1056"/>
      <c r="BJB147" s="1056"/>
      <c r="BJC147" s="1056"/>
      <c r="BJD147" s="1056"/>
      <c r="BJE147" s="1056"/>
      <c r="BJF147" s="1056"/>
      <c r="BJG147" s="1056"/>
      <c r="BJH147" s="1056"/>
      <c r="BJI147" s="1056"/>
      <c r="BJJ147" s="1056"/>
      <c r="BJK147" s="1056"/>
      <c r="BJL147" s="1056"/>
      <c r="BJM147" s="1056"/>
      <c r="BJN147" s="1056"/>
      <c r="BJO147" s="1056"/>
      <c r="BJP147" s="1056"/>
      <c r="BJQ147" s="1056"/>
      <c r="BJR147" s="1056"/>
      <c r="BJS147" s="1056"/>
      <c r="BJT147" s="1056"/>
      <c r="BJU147" s="1056"/>
      <c r="BJV147" s="1056"/>
      <c r="BJW147" s="1056"/>
      <c r="BJX147" s="1056"/>
      <c r="BJY147" s="1056"/>
      <c r="BJZ147" s="1056"/>
      <c r="BKA147" s="1056"/>
      <c r="BKB147" s="1056"/>
      <c r="BKC147" s="1056"/>
      <c r="BKD147" s="1056"/>
      <c r="BKE147" s="1056"/>
      <c r="BKF147" s="1056"/>
      <c r="BKG147" s="1056"/>
      <c r="BKH147" s="1056"/>
      <c r="BKI147" s="1056"/>
      <c r="BKJ147" s="1056"/>
      <c r="BKK147" s="1056"/>
      <c r="BKL147" s="1056"/>
      <c r="BKM147" s="1056"/>
      <c r="BKN147" s="1056"/>
      <c r="BKO147" s="1056"/>
      <c r="BKP147" s="1056"/>
      <c r="BKQ147" s="1056"/>
      <c r="BKR147" s="1056"/>
      <c r="BKS147" s="1056"/>
      <c r="BKT147" s="1056"/>
      <c r="BKU147" s="1056"/>
      <c r="BKV147" s="1056"/>
      <c r="BKW147" s="1056"/>
      <c r="BKX147" s="1056"/>
      <c r="BKY147" s="1056"/>
      <c r="BKZ147" s="1056"/>
      <c r="BLA147" s="1056"/>
      <c r="BLB147" s="1056"/>
      <c r="BLC147" s="1056"/>
      <c r="BLD147" s="1056"/>
      <c r="BLE147" s="1056"/>
      <c r="BLF147" s="1056"/>
      <c r="BLG147" s="1056"/>
      <c r="BLH147" s="1056"/>
      <c r="BLI147" s="1056"/>
      <c r="BLJ147" s="1056"/>
      <c r="BLK147" s="1056"/>
      <c r="BLL147" s="1056"/>
      <c r="BLM147" s="1056"/>
      <c r="BLN147" s="1056"/>
      <c r="BLO147" s="1056"/>
      <c r="BLP147" s="1056"/>
      <c r="BLQ147" s="1056"/>
      <c r="BLR147" s="1056"/>
      <c r="BLS147" s="1056"/>
      <c r="BLT147" s="1056"/>
      <c r="BLU147" s="1056"/>
      <c r="BLV147" s="1056"/>
      <c r="BLW147" s="1056"/>
      <c r="BLX147" s="1056"/>
      <c r="BLY147" s="1056"/>
      <c r="BLZ147" s="1056"/>
      <c r="BMA147" s="1056"/>
      <c r="BMB147" s="1056"/>
      <c r="BMC147" s="1056"/>
      <c r="BMD147" s="1056"/>
      <c r="BME147" s="1056"/>
      <c r="BMF147" s="1056"/>
      <c r="BMG147" s="1056"/>
      <c r="BMH147" s="1056"/>
      <c r="BMI147" s="1056"/>
      <c r="BMJ147" s="1056"/>
      <c r="BMK147" s="1056"/>
      <c r="BML147" s="1056"/>
      <c r="BMM147" s="1056"/>
      <c r="BMN147" s="1056"/>
      <c r="BMO147" s="1056"/>
      <c r="BMP147" s="1056"/>
      <c r="BMQ147" s="1056"/>
      <c r="BMR147" s="1056"/>
      <c r="BMS147" s="1056"/>
      <c r="BMT147" s="1056"/>
      <c r="BMU147" s="1056"/>
      <c r="BMV147" s="1056"/>
      <c r="BMW147" s="1056"/>
      <c r="BMX147" s="1056"/>
      <c r="BMY147" s="1056"/>
      <c r="BMZ147" s="1056"/>
      <c r="BNA147" s="1056"/>
      <c r="BNB147" s="1056"/>
      <c r="BNC147" s="1056"/>
      <c r="BND147" s="1056"/>
      <c r="BNE147" s="1056"/>
      <c r="BNF147" s="1056"/>
      <c r="BNG147" s="1056"/>
      <c r="BNH147" s="1056"/>
      <c r="BNI147" s="1056"/>
      <c r="BNJ147" s="1056"/>
      <c r="BNK147" s="1056"/>
      <c r="BNL147" s="1056"/>
      <c r="BNM147" s="1056"/>
      <c r="BNN147" s="1056"/>
      <c r="BNO147" s="1056"/>
      <c r="BNP147" s="1056"/>
      <c r="BNQ147" s="1056"/>
      <c r="BNR147" s="1056"/>
      <c r="BNS147" s="1056"/>
      <c r="BNT147" s="1056"/>
      <c r="BNU147" s="1056"/>
      <c r="BNV147" s="1056"/>
      <c r="BNW147" s="1056"/>
      <c r="BNX147" s="1056"/>
      <c r="BNY147" s="1056"/>
      <c r="BNZ147" s="1056"/>
      <c r="BOA147" s="1056"/>
      <c r="BOB147" s="1056"/>
      <c r="BOC147" s="1056"/>
      <c r="BOD147" s="1056"/>
      <c r="BOE147" s="1056"/>
      <c r="BOF147" s="1056"/>
      <c r="BOG147" s="1056"/>
      <c r="BOH147" s="1056"/>
      <c r="BOI147" s="1056"/>
      <c r="BOJ147" s="1056"/>
      <c r="BOK147" s="1056"/>
      <c r="BOL147" s="1056"/>
      <c r="BOM147" s="1056"/>
      <c r="BON147" s="1056"/>
      <c r="BOO147" s="1056"/>
      <c r="BOP147" s="1056"/>
      <c r="BOQ147" s="1056"/>
      <c r="BOR147" s="1056"/>
      <c r="BOS147" s="1056"/>
      <c r="BOT147" s="1056"/>
      <c r="BOU147" s="1056"/>
      <c r="BOV147" s="1056"/>
      <c r="BOW147" s="1056"/>
      <c r="BOX147" s="1056"/>
      <c r="BOY147" s="1056"/>
      <c r="BOZ147" s="1056"/>
      <c r="BPA147" s="1056"/>
      <c r="BPB147" s="1056"/>
      <c r="BPC147" s="1056"/>
      <c r="BPD147" s="1056"/>
      <c r="BPE147" s="1056"/>
      <c r="BPF147" s="1056"/>
      <c r="BPG147" s="1056"/>
      <c r="BPH147" s="1056"/>
      <c r="BPI147" s="1056"/>
      <c r="BPJ147" s="1056"/>
      <c r="BPK147" s="1056"/>
      <c r="BPL147" s="1056"/>
      <c r="BPM147" s="1056"/>
      <c r="BPN147" s="1056"/>
      <c r="BPO147" s="1056"/>
      <c r="BPP147" s="1056"/>
      <c r="BPQ147" s="1056"/>
      <c r="BPR147" s="1056"/>
      <c r="BPS147" s="1056"/>
      <c r="BPT147" s="1056"/>
      <c r="BPU147" s="1056"/>
      <c r="BPV147" s="1056"/>
      <c r="BPW147" s="1056"/>
      <c r="BPX147" s="1056"/>
      <c r="BPY147" s="1056"/>
      <c r="BPZ147" s="1056"/>
      <c r="BQA147" s="1056"/>
      <c r="BQB147" s="1056"/>
      <c r="BQC147" s="1056"/>
      <c r="BQD147" s="1056"/>
      <c r="BQE147" s="1056"/>
      <c r="BQF147" s="1056"/>
      <c r="BQG147" s="1056"/>
      <c r="BQH147" s="1056"/>
      <c r="BQI147" s="1056"/>
      <c r="BQJ147" s="1056"/>
      <c r="BQK147" s="1056"/>
      <c r="BQL147" s="1056"/>
      <c r="BQM147" s="1056"/>
      <c r="BQN147" s="1056"/>
      <c r="BQO147" s="1056"/>
      <c r="BQP147" s="1056"/>
      <c r="BQQ147" s="1056"/>
      <c r="BQR147" s="1056"/>
      <c r="BQS147" s="1056"/>
      <c r="BQT147" s="1056"/>
      <c r="BQU147" s="1056"/>
      <c r="BQV147" s="1056"/>
      <c r="BQW147" s="1056"/>
      <c r="BQX147" s="1056"/>
      <c r="BQY147" s="1056"/>
      <c r="BQZ147" s="1056"/>
      <c r="BRA147" s="1056"/>
      <c r="BRB147" s="1056"/>
      <c r="BRC147" s="1056"/>
      <c r="BRD147" s="1056"/>
      <c r="BRE147" s="1056"/>
      <c r="BRF147" s="1056"/>
      <c r="BRG147" s="1056"/>
      <c r="BRH147" s="1056"/>
      <c r="BRI147" s="1056"/>
      <c r="BRJ147" s="1056"/>
      <c r="BRK147" s="1056"/>
      <c r="BRL147" s="1056"/>
      <c r="BRM147" s="1056"/>
      <c r="BRN147" s="1056"/>
      <c r="BRO147" s="1056"/>
      <c r="BRP147" s="1056"/>
      <c r="BRQ147" s="1056"/>
      <c r="BRR147" s="1056"/>
      <c r="BRS147" s="1056"/>
      <c r="BRT147" s="1056"/>
      <c r="BRU147" s="1056"/>
      <c r="BRV147" s="1056"/>
      <c r="BRW147" s="1056"/>
      <c r="BRX147" s="1056"/>
      <c r="BRY147" s="1056"/>
      <c r="BRZ147" s="1056"/>
      <c r="BSA147" s="1056"/>
      <c r="BSB147" s="1056"/>
      <c r="BSC147" s="1056"/>
      <c r="BSD147" s="1056"/>
      <c r="BSE147" s="1056"/>
      <c r="BSF147" s="1056"/>
      <c r="BSG147" s="1056"/>
      <c r="BSH147" s="1056"/>
      <c r="BSI147" s="1056"/>
      <c r="BSJ147" s="1056"/>
      <c r="BSK147" s="1056"/>
      <c r="BSL147" s="1056"/>
      <c r="BSM147" s="1056"/>
      <c r="BSN147" s="1056"/>
      <c r="BSO147" s="1056"/>
      <c r="BSP147" s="1056"/>
      <c r="BSQ147" s="1056"/>
      <c r="BSR147" s="1056"/>
      <c r="BSS147" s="1056"/>
      <c r="BST147" s="1056"/>
      <c r="BSU147" s="1056"/>
      <c r="BSV147" s="1056"/>
      <c r="BSW147" s="1056"/>
      <c r="BSX147" s="1056"/>
      <c r="BSY147" s="1056"/>
      <c r="BSZ147" s="1056"/>
      <c r="BTA147" s="1056"/>
      <c r="BTB147" s="1056"/>
      <c r="BTC147" s="1056"/>
      <c r="BTD147" s="1056"/>
      <c r="BTE147" s="1056"/>
      <c r="BTF147" s="1056"/>
      <c r="BTG147" s="1056"/>
      <c r="BTH147" s="1056"/>
      <c r="BTI147" s="1056"/>
    </row>
    <row r="148" spans="1:1881" s="1060" customFormat="1" ht="105" hidden="1" customHeight="1" x14ac:dyDescent="0.3">
      <c r="A148" s="1059">
        <v>375</v>
      </c>
      <c r="B148" s="808" t="s">
        <v>62</v>
      </c>
      <c r="C148" s="808" t="s">
        <v>1387</v>
      </c>
      <c r="D148" s="1052" t="s">
        <v>1399</v>
      </c>
      <c r="E148" s="1053" t="e">
        <f>HLOOKUP($D$2,'2020 Data(H)'!$C$1:$AI$426,134,FALSE)</f>
        <v>#N/A</v>
      </c>
      <c r="F148" s="287">
        <v>0</v>
      </c>
      <c r="G148" s="722"/>
      <c r="H148" s="764"/>
      <c r="I148" s="1055"/>
      <c r="J148" s="1056"/>
      <c r="K148" s="1056"/>
      <c r="L148" s="1056"/>
      <c r="M148" s="1056"/>
      <c r="N148" s="1058"/>
      <c r="O148" s="1056"/>
      <c r="P148" s="1056"/>
      <c r="Q148" s="1056"/>
      <c r="R148" s="1056"/>
      <c r="S148" s="1056"/>
      <c r="T148" s="1056"/>
      <c r="U148" s="1056"/>
      <c r="V148" s="1056"/>
      <c r="W148" s="1056"/>
      <c r="X148" s="1056"/>
      <c r="Y148" s="1056"/>
      <c r="Z148" s="1059"/>
      <c r="AA148" s="1059"/>
      <c r="AB148" s="1059"/>
      <c r="AC148" s="1059"/>
      <c r="AD148" s="1059"/>
      <c r="AE148" s="1059"/>
      <c r="AF148" s="1059"/>
      <c r="AG148" s="1059"/>
      <c r="AH148" s="1059"/>
      <c r="AI148" s="1059"/>
      <c r="AJ148" s="1059"/>
      <c r="AK148" s="1059"/>
      <c r="AL148" s="1059"/>
      <c r="AM148" s="1059"/>
      <c r="AN148" s="1059"/>
      <c r="AO148" s="1059"/>
      <c r="AP148" s="1059"/>
      <c r="AQ148" s="1059"/>
      <c r="AR148" s="1059"/>
      <c r="AS148" s="1056"/>
      <c r="AT148" s="1056"/>
      <c r="AU148" s="1056"/>
      <c r="AV148" s="1056"/>
      <c r="AW148" s="1056"/>
      <c r="AX148" s="1056"/>
      <c r="AY148" s="1056"/>
      <c r="AZ148" s="1056"/>
      <c r="BA148" s="1056"/>
      <c r="BB148" s="1056"/>
      <c r="BC148" s="1056"/>
      <c r="BD148" s="1056"/>
      <c r="BE148" s="1056"/>
      <c r="BF148" s="1056"/>
      <c r="BG148" s="1056"/>
      <c r="BH148" s="1056"/>
      <c r="BI148" s="1056"/>
      <c r="BJ148" s="1056"/>
      <c r="BK148" s="1056"/>
      <c r="BL148" s="1056"/>
      <c r="BM148" s="1056"/>
      <c r="BN148" s="1056"/>
      <c r="BO148" s="1056"/>
      <c r="BP148" s="1056"/>
      <c r="BQ148" s="1056"/>
      <c r="BR148" s="1056"/>
      <c r="BS148" s="1056"/>
      <c r="BT148" s="1056"/>
      <c r="BU148" s="1056"/>
      <c r="BV148" s="1056"/>
      <c r="BW148" s="1056"/>
      <c r="BX148" s="1056"/>
      <c r="BY148" s="1056"/>
      <c r="BZ148" s="1056"/>
      <c r="CA148" s="1056"/>
      <c r="CB148" s="1056"/>
      <c r="CC148" s="1056"/>
      <c r="CD148" s="1056"/>
      <c r="CE148" s="1056"/>
      <c r="CF148" s="1056"/>
      <c r="CG148" s="1056"/>
      <c r="CH148" s="1056"/>
      <c r="CI148" s="1056"/>
      <c r="CJ148" s="1056"/>
      <c r="CK148" s="1056"/>
      <c r="CL148" s="1056"/>
      <c r="CM148" s="1056"/>
      <c r="CN148" s="1056"/>
      <c r="CO148" s="1056"/>
      <c r="CP148" s="1056"/>
      <c r="CQ148" s="1056"/>
      <c r="CR148" s="1056"/>
      <c r="CS148" s="1056"/>
      <c r="CT148" s="1056"/>
      <c r="CU148" s="1056"/>
      <c r="CV148" s="1056"/>
      <c r="CW148" s="1056"/>
      <c r="CX148" s="1056"/>
      <c r="CY148" s="1056"/>
      <c r="CZ148" s="1056"/>
      <c r="DA148" s="1056"/>
      <c r="DB148" s="1056"/>
      <c r="DC148" s="1056"/>
      <c r="DD148" s="1056"/>
      <c r="DE148" s="1056"/>
      <c r="DF148" s="1056"/>
      <c r="DG148" s="1056"/>
      <c r="DH148" s="1056"/>
      <c r="DI148" s="1056"/>
      <c r="DJ148" s="1056"/>
      <c r="DK148" s="1056"/>
      <c r="DL148" s="1056"/>
      <c r="DM148" s="1056"/>
      <c r="DN148" s="1056"/>
      <c r="DO148" s="1056"/>
      <c r="DP148" s="1056"/>
      <c r="DQ148" s="1056"/>
      <c r="DR148" s="1056"/>
      <c r="DS148" s="1056"/>
      <c r="DT148" s="1056"/>
      <c r="DU148" s="1056"/>
      <c r="DV148" s="1056"/>
      <c r="DW148" s="1056"/>
      <c r="DX148" s="1056"/>
      <c r="DY148" s="1056"/>
      <c r="DZ148" s="1056"/>
      <c r="EA148" s="1056"/>
      <c r="EB148" s="1056"/>
      <c r="EC148" s="1056"/>
      <c r="ED148" s="1056"/>
      <c r="EE148" s="1056"/>
      <c r="EF148" s="1056"/>
      <c r="EG148" s="1056"/>
      <c r="EH148" s="1056"/>
      <c r="EI148" s="1056"/>
      <c r="EJ148" s="1056"/>
      <c r="EK148" s="1056"/>
      <c r="EL148" s="1056"/>
      <c r="EM148" s="1056"/>
      <c r="EN148" s="1056"/>
      <c r="EO148" s="1056"/>
      <c r="EP148" s="1056"/>
      <c r="EQ148" s="1056"/>
      <c r="ER148" s="1056"/>
      <c r="ES148" s="1056"/>
      <c r="ET148" s="1056"/>
      <c r="EU148" s="1056"/>
      <c r="EV148" s="1056"/>
      <c r="EW148" s="1056"/>
      <c r="EX148" s="1056"/>
      <c r="EY148" s="1056"/>
      <c r="EZ148" s="1056"/>
      <c r="FA148" s="1056"/>
      <c r="FB148" s="1056"/>
      <c r="FC148" s="1056"/>
      <c r="FD148" s="1056"/>
      <c r="FE148" s="1056"/>
      <c r="FF148" s="1056"/>
      <c r="FG148" s="1056"/>
      <c r="FH148" s="1056"/>
      <c r="FI148" s="1056"/>
      <c r="FJ148" s="1056"/>
      <c r="FK148" s="1056"/>
      <c r="FL148" s="1056"/>
      <c r="FM148" s="1056"/>
      <c r="FN148" s="1056"/>
      <c r="FO148" s="1056"/>
      <c r="FP148" s="1056"/>
      <c r="FQ148" s="1056"/>
      <c r="FR148" s="1056"/>
      <c r="FS148" s="1056"/>
      <c r="FT148" s="1056"/>
      <c r="FU148" s="1056"/>
      <c r="FV148" s="1056"/>
      <c r="FW148" s="1056"/>
      <c r="FX148" s="1056"/>
      <c r="FY148" s="1056"/>
      <c r="FZ148" s="1056"/>
      <c r="GA148" s="1056"/>
      <c r="GB148" s="1056"/>
      <c r="GC148" s="1056"/>
      <c r="GD148" s="1056"/>
      <c r="GE148" s="1056"/>
      <c r="GF148" s="1056"/>
      <c r="GG148" s="1056"/>
      <c r="GH148" s="1056"/>
      <c r="GI148" s="1056"/>
      <c r="GJ148" s="1056"/>
      <c r="GK148" s="1056"/>
      <c r="GL148" s="1056"/>
      <c r="GM148" s="1056"/>
      <c r="GN148" s="1056"/>
      <c r="GO148" s="1056"/>
      <c r="GP148" s="1056"/>
      <c r="GQ148" s="1056"/>
      <c r="GR148" s="1056"/>
      <c r="GS148" s="1056"/>
      <c r="GT148" s="1056"/>
      <c r="GU148" s="1056"/>
      <c r="GV148" s="1056"/>
      <c r="GW148" s="1056"/>
      <c r="GX148" s="1056"/>
      <c r="GY148" s="1056"/>
      <c r="GZ148" s="1056"/>
      <c r="HA148" s="1056"/>
      <c r="HB148" s="1056"/>
      <c r="HC148" s="1056"/>
      <c r="HD148" s="1056"/>
      <c r="HE148" s="1056"/>
      <c r="HF148" s="1056"/>
      <c r="HG148" s="1056"/>
      <c r="HH148" s="1056"/>
      <c r="HI148" s="1056"/>
      <c r="HJ148" s="1056"/>
      <c r="HK148" s="1056"/>
      <c r="HL148" s="1056"/>
      <c r="HM148" s="1056"/>
      <c r="HN148" s="1056"/>
      <c r="HO148" s="1056"/>
      <c r="HP148" s="1056"/>
      <c r="HQ148" s="1056"/>
      <c r="HR148" s="1056"/>
      <c r="HS148" s="1056"/>
      <c r="HT148" s="1056"/>
      <c r="HU148" s="1056"/>
      <c r="HV148" s="1056"/>
      <c r="HW148" s="1056"/>
      <c r="HX148" s="1056"/>
      <c r="HY148" s="1056"/>
      <c r="HZ148" s="1056"/>
      <c r="IA148" s="1056"/>
      <c r="IB148" s="1056"/>
      <c r="IC148" s="1056"/>
      <c r="ID148" s="1056"/>
      <c r="IE148" s="1056"/>
      <c r="IF148" s="1056"/>
      <c r="IG148" s="1056"/>
      <c r="IH148" s="1056"/>
      <c r="II148" s="1056"/>
      <c r="IJ148" s="1056"/>
      <c r="IK148" s="1056"/>
      <c r="IL148" s="1056"/>
      <c r="IM148" s="1056"/>
      <c r="IN148" s="1056"/>
      <c r="IO148" s="1056"/>
      <c r="IP148" s="1056"/>
      <c r="IQ148" s="1056"/>
      <c r="IR148" s="1056"/>
      <c r="IS148" s="1056"/>
      <c r="IT148" s="1056"/>
      <c r="IU148" s="1056"/>
      <c r="IV148" s="1056"/>
      <c r="IW148" s="1056"/>
      <c r="IX148" s="1056"/>
      <c r="IY148" s="1056"/>
      <c r="IZ148" s="1056"/>
      <c r="JA148" s="1056"/>
      <c r="JB148" s="1056"/>
      <c r="JC148" s="1056"/>
      <c r="JD148" s="1056"/>
      <c r="JE148" s="1056"/>
      <c r="JF148" s="1056"/>
      <c r="JG148" s="1056"/>
      <c r="JH148" s="1056"/>
      <c r="JI148" s="1056"/>
      <c r="JJ148" s="1056"/>
      <c r="JK148" s="1056"/>
      <c r="JL148" s="1056"/>
      <c r="JM148" s="1056"/>
      <c r="JN148" s="1056"/>
      <c r="JO148" s="1056"/>
      <c r="JP148" s="1056"/>
      <c r="JQ148" s="1056"/>
      <c r="JR148" s="1056"/>
      <c r="JS148" s="1056"/>
      <c r="JT148" s="1056"/>
      <c r="JU148" s="1056"/>
      <c r="JV148" s="1056"/>
      <c r="JW148" s="1056"/>
      <c r="JX148" s="1056"/>
      <c r="JY148" s="1056"/>
      <c r="JZ148" s="1056"/>
      <c r="KA148" s="1056"/>
      <c r="KB148" s="1056"/>
      <c r="KC148" s="1056"/>
      <c r="KD148" s="1056"/>
      <c r="KE148" s="1056"/>
      <c r="KF148" s="1056"/>
      <c r="KG148" s="1056"/>
      <c r="KH148" s="1056"/>
      <c r="KI148" s="1056"/>
      <c r="KJ148" s="1056"/>
      <c r="KK148" s="1056"/>
      <c r="KL148" s="1056"/>
      <c r="KM148" s="1056"/>
      <c r="KN148" s="1056"/>
      <c r="KO148" s="1056"/>
      <c r="KP148" s="1056"/>
      <c r="KQ148" s="1056"/>
      <c r="KR148" s="1056"/>
      <c r="KS148" s="1056"/>
      <c r="KT148" s="1056"/>
      <c r="KU148" s="1056"/>
      <c r="KV148" s="1056"/>
      <c r="KW148" s="1056"/>
      <c r="KX148" s="1056"/>
      <c r="KY148" s="1056"/>
      <c r="KZ148" s="1056"/>
      <c r="LA148" s="1056"/>
      <c r="LB148" s="1056"/>
      <c r="LC148" s="1056"/>
      <c r="LD148" s="1056"/>
      <c r="LE148" s="1056"/>
      <c r="LF148" s="1056"/>
      <c r="LG148" s="1056"/>
      <c r="LH148" s="1056"/>
      <c r="LI148" s="1056"/>
      <c r="LJ148" s="1056"/>
      <c r="LK148" s="1056"/>
      <c r="LL148" s="1056"/>
      <c r="LM148" s="1056"/>
      <c r="LN148" s="1056"/>
      <c r="LO148" s="1056"/>
      <c r="LP148" s="1056"/>
      <c r="LQ148" s="1056"/>
      <c r="LR148" s="1056"/>
      <c r="LS148" s="1056"/>
      <c r="LT148" s="1056"/>
      <c r="LU148" s="1056"/>
      <c r="LV148" s="1056"/>
      <c r="LW148" s="1056"/>
      <c r="LX148" s="1056"/>
      <c r="LY148" s="1056"/>
      <c r="LZ148" s="1056"/>
      <c r="MA148" s="1056"/>
      <c r="MB148" s="1056"/>
      <c r="MC148" s="1056"/>
      <c r="MD148" s="1056"/>
      <c r="ME148" s="1056"/>
      <c r="MF148" s="1056"/>
      <c r="MG148" s="1056"/>
      <c r="MH148" s="1056"/>
      <c r="MI148" s="1056"/>
      <c r="MJ148" s="1056"/>
      <c r="MK148" s="1056"/>
      <c r="ML148" s="1056"/>
      <c r="MM148" s="1056"/>
      <c r="MN148" s="1056"/>
      <c r="MO148" s="1056"/>
      <c r="MP148" s="1056"/>
      <c r="MQ148" s="1056"/>
      <c r="MR148" s="1056"/>
      <c r="MS148" s="1056"/>
      <c r="MT148" s="1056"/>
      <c r="MU148" s="1056"/>
      <c r="MV148" s="1056"/>
      <c r="MW148" s="1056"/>
      <c r="MX148" s="1056"/>
      <c r="MY148" s="1056"/>
      <c r="MZ148" s="1056"/>
      <c r="NA148" s="1056"/>
      <c r="NB148" s="1056"/>
      <c r="NC148" s="1056"/>
      <c r="ND148" s="1056"/>
      <c r="NE148" s="1056"/>
      <c r="NF148" s="1056"/>
      <c r="NG148" s="1056"/>
      <c r="NH148" s="1056"/>
      <c r="NI148" s="1056"/>
      <c r="NJ148" s="1056"/>
      <c r="NK148" s="1056"/>
      <c r="NL148" s="1056"/>
      <c r="NM148" s="1056"/>
      <c r="NN148" s="1056"/>
      <c r="NO148" s="1056"/>
      <c r="NP148" s="1056"/>
      <c r="NQ148" s="1056"/>
      <c r="NR148" s="1056"/>
      <c r="NS148" s="1056"/>
      <c r="NT148" s="1056"/>
      <c r="NU148" s="1056"/>
      <c r="NV148" s="1056"/>
      <c r="NW148" s="1056"/>
      <c r="NX148" s="1056"/>
      <c r="NY148" s="1056"/>
      <c r="NZ148" s="1056"/>
      <c r="OA148" s="1056"/>
      <c r="OB148" s="1056"/>
      <c r="OC148" s="1056"/>
      <c r="OD148" s="1056"/>
      <c r="OE148" s="1056"/>
      <c r="OF148" s="1056"/>
      <c r="OG148" s="1056"/>
      <c r="OH148" s="1056"/>
      <c r="OI148" s="1056"/>
      <c r="OJ148" s="1056"/>
      <c r="OK148" s="1056"/>
      <c r="OL148" s="1056"/>
      <c r="OM148" s="1056"/>
      <c r="ON148" s="1056"/>
      <c r="OO148" s="1056"/>
      <c r="OP148" s="1056"/>
      <c r="OQ148" s="1056"/>
      <c r="OR148" s="1056"/>
      <c r="OS148" s="1056"/>
      <c r="OT148" s="1056"/>
      <c r="OU148" s="1056"/>
      <c r="OV148" s="1056"/>
      <c r="OW148" s="1056"/>
      <c r="OX148" s="1056"/>
      <c r="OY148" s="1056"/>
      <c r="OZ148" s="1056"/>
      <c r="PA148" s="1056"/>
      <c r="PB148" s="1056"/>
      <c r="PC148" s="1056"/>
      <c r="PD148" s="1056"/>
      <c r="PE148" s="1056"/>
      <c r="PF148" s="1056"/>
      <c r="PG148" s="1056"/>
      <c r="PH148" s="1056"/>
      <c r="PI148" s="1056"/>
      <c r="PJ148" s="1056"/>
      <c r="PK148" s="1056"/>
      <c r="PL148" s="1056"/>
      <c r="PM148" s="1056"/>
      <c r="PN148" s="1056"/>
      <c r="PO148" s="1056"/>
      <c r="PP148" s="1056"/>
      <c r="PQ148" s="1056"/>
      <c r="PR148" s="1056"/>
      <c r="PS148" s="1056"/>
      <c r="PT148" s="1056"/>
      <c r="PU148" s="1056"/>
      <c r="PV148" s="1056"/>
      <c r="PW148" s="1056"/>
      <c r="PX148" s="1056"/>
      <c r="PY148" s="1056"/>
      <c r="PZ148" s="1056"/>
      <c r="QA148" s="1056"/>
      <c r="QB148" s="1056"/>
      <c r="QC148" s="1056"/>
      <c r="QD148" s="1056"/>
      <c r="QE148" s="1056"/>
      <c r="QF148" s="1056"/>
      <c r="QG148" s="1056"/>
      <c r="QH148" s="1056"/>
      <c r="QI148" s="1056"/>
      <c r="QJ148" s="1056"/>
      <c r="QK148" s="1056"/>
      <c r="QL148" s="1056"/>
      <c r="QM148" s="1056"/>
      <c r="QN148" s="1056"/>
      <c r="QO148" s="1056"/>
      <c r="QP148" s="1056"/>
      <c r="QQ148" s="1056"/>
      <c r="QR148" s="1056"/>
      <c r="QS148" s="1056"/>
      <c r="QT148" s="1056"/>
      <c r="QU148" s="1056"/>
      <c r="QV148" s="1056"/>
      <c r="QW148" s="1056"/>
      <c r="QX148" s="1056"/>
      <c r="QY148" s="1056"/>
      <c r="QZ148" s="1056"/>
      <c r="RA148" s="1056"/>
      <c r="RB148" s="1056"/>
      <c r="RC148" s="1056"/>
      <c r="RD148" s="1056"/>
      <c r="RE148" s="1056"/>
      <c r="RF148" s="1056"/>
      <c r="RG148" s="1056"/>
      <c r="RH148" s="1056"/>
      <c r="RI148" s="1056"/>
      <c r="RJ148" s="1056"/>
      <c r="RK148" s="1056"/>
      <c r="RL148" s="1056"/>
      <c r="RM148" s="1056"/>
      <c r="RN148" s="1056"/>
      <c r="RO148" s="1056"/>
      <c r="RP148" s="1056"/>
      <c r="RQ148" s="1056"/>
      <c r="RR148" s="1056"/>
      <c r="RS148" s="1056"/>
      <c r="RT148" s="1056"/>
      <c r="RU148" s="1056"/>
      <c r="RV148" s="1056"/>
      <c r="RW148" s="1056"/>
      <c r="RX148" s="1056"/>
      <c r="RY148" s="1056"/>
      <c r="RZ148" s="1056"/>
      <c r="SA148" s="1056"/>
      <c r="SB148" s="1056"/>
      <c r="SC148" s="1056"/>
      <c r="SD148" s="1056"/>
      <c r="SE148" s="1056"/>
      <c r="SF148" s="1056"/>
      <c r="SG148" s="1056"/>
      <c r="SH148" s="1056"/>
      <c r="SI148" s="1056"/>
      <c r="SJ148" s="1056"/>
      <c r="SK148" s="1056"/>
      <c r="SL148" s="1056"/>
      <c r="SM148" s="1056"/>
      <c r="SN148" s="1056"/>
      <c r="SO148" s="1056"/>
      <c r="SP148" s="1056"/>
      <c r="SQ148" s="1056"/>
      <c r="SR148" s="1056"/>
      <c r="SS148" s="1056"/>
      <c r="ST148" s="1056"/>
      <c r="SU148" s="1056"/>
      <c r="SV148" s="1056"/>
      <c r="SW148" s="1056"/>
      <c r="SX148" s="1056"/>
      <c r="SY148" s="1056"/>
      <c r="SZ148" s="1056"/>
      <c r="TA148" s="1056"/>
      <c r="TB148" s="1056"/>
      <c r="TC148" s="1056"/>
      <c r="TD148" s="1056"/>
      <c r="TE148" s="1056"/>
      <c r="TF148" s="1056"/>
      <c r="TG148" s="1056"/>
      <c r="TH148" s="1056"/>
      <c r="TI148" s="1056"/>
      <c r="TJ148" s="1056"/>
      <c r="TK148" s="1056"/>
      <c r="TL148" s="1056"/>
      <c r="TM148" s="1056"/>
      <c r="TN148" s="1056"/>
      <c r="TO148" s="1056"/>
      <c r="TP148" s="1056"/>
      <c r="TQ148" s="1056"/>
      <c r="TR148" s="1056"/>
      <c r="TS148" s="1056"/>
      <c r="TT148" s="1056"/>
      <c r="TU148" s="1056"/>
      <c r="TV148" s="1056"/>
      <c r="TW148" s="1056"/>
      <c r="TX148" s="1056"/>
      <c r="TY148" s="1056"/>
      <c r="TZ148" s="1056"/>
      <c r="UA148" s="1056"/>
      <c r="UB148" s="1056"/>
      <c r="UC148" s="1056"/>
      <c r="UD148" s="1056"/>
      <c r="UE148" s="1056"/>
      <c r="UF148" s="1056"/>
      <c r="UG148" s="1056"/>
      <c r="UH148" s="1056"/>
      <c r="UI148" s="1056"/>
      <c r="UJ148" s="1056"/>
      <c r="UK148" s="1056"/>
      <c r="UL148" s="1056"/>
      <c r="UM148" s="1056"/>
      <c r="UN148" s="1056"/>
      <c r="UO148" s="1056"/>
      <c r="UP148" s="1056"/>
      <c r="UQ148" s="1056"/>
      <c r="UR148" s="1056"/>
      <c r="US148" s="1056"/>
      <c r="UT148" s="1056"/>
      <c r="UU148" s="1056"/>
      <c r="UV148" s="1056"/>
      <c r="UW148" s="1056"/>
      <c r="UX148" s="1056"/>
      <c r="UY148" s="1056"/>
      <c r="UZ148" s="1056"/>
      <c r="VA148" s="1056"/>
      <c r="VB148" s="1056"/>
      <c r="VC148" s="1056"/>
      <c r="VD148" s="1056"/>
      <c r="VE148" s="1056"/>
      <c r="VF148" s="1056"/>
      <c r="VG148" s="1056"/>
      <c r="VH148" s="1056"/>
      <c r="VI148" s="1056"/>
      <c r="VJ148" s="1056"/>
      <c r="VK148" s="1056"/>
      <c r="VL148" s="1056"/>
      <c r="VM148" s="1056"/>
      <c r="VN148" s="1056"/>
      <c r="VO148" s="1056"/>
      <c r="VP148" s="1056"/>
      <c r="VQ148" s="1056"/>
      <c r="VR148" s="1056"/>
      <c r="VS148" s="1056"/>
      <c r="VT148" s="1056"/>
      <c r="VU148" s="1056"/>
      <c r="VV148" s="1056"/>
      <c r="VW148" s="1056"/>
      <c r="VX148" s="1056"/>
      <c r="VY148" s="1056"/>
      <c r="VZ148" s="1056"/>
      <c r="WA148" s="1056"/>
      <c r="WB148" s="1056"/>
      <c r="WC148" s="1056"/>
      <c r="WD148" s="1056"/>
      <c r="WE148" s="1056"/>
      <c r="WF148" s="1056"/>
      <c r="WG148" s="1056"/>
      <c r="WH148" s="1056"/>
      <c r="WI148" s="1056"/>
      <c r="WJ148" s="1056"/>
      <c r="WK148" s="1056"/>
      <c r="WL148" s="1056"/>
      <c r="WM148" s="1056"/>
      <c r="WN148" s="1056"/>
      <c r="WO148" s="1056"/>
      <c r="WP148" s="1056"/>
      <c r="WQ148" s="1056"/>
      <c r="WR148" s="1056"/>
      <c r="WS148" s="1056"/>
      <c r="WT148" s="1056"/>
      <c r="WU148" s="1056"/>
      <c r="WV148" s="1056"/>
      <c r="WW148" s="1056"/>
      <c r="WX148" s="1056"/>
      <c r="WY148" s="1056"/>
      <c r="WZ148" s="1056"/>
      <c r="XA148" s="1056"/>
      <c r="XB148" s="1056"/>
      <c r="XC148" s="1056"/>
      <c r="XD148" s="1056"/>
      <c r="XE148" s="1056"/>
      <c r="XF148" s="1056"/>
      <c r="XG148" s="1056"/>
      <c r="XH148" s="1056"/>
      <c r="XI148" s="1056"/>
      <c r="XJ148" s="1056"/>
      <c r="XK148" s="1056"/>
      <c r="XL148" s="1056"/>
      <c r="XM148" s="1056"/>
      <c r="XN148" s="1056"/>
      <c r="XO148" s="1056"/>
      <c r="XP148" s="1056"/>
      <c r="XQ148" s="1056"/>
      <c r="XR148" s="1056"/>
      <c r="XS148" s="1056"/>
      <c r="XT148" s="1056"/>
      <c r="XU148" s="1056"/>
      <c r="XV148" s="1056"/>
      <c r="XW148" s="1056"/>
      <c r="XX148" s="1056"/>
      <c r="XY148" s="1056"/>
      <c r="XZ148" s="1056"/>
      <c r="YA148" s="1056"/>
      <c r="YB148" s="1056"/>
      <c r="YC148" s="1056"/>
      <c r="YD148" s="1056"/>
      <c r="YE148" s="1056"/>
      <c r="YF148" s="1056"/>
      <c r="YG148" s="1056"/>
      <c r="YH148" s="1056"/>
      <c r="YI148" s="1056"/>
      <c r="YJ148" s="1056"/>
      <c r="YK148" s="1056"/>
      <c r="YL148" s="1056"/>
      <c r="YM148" s="1056"/>
      <c r="YN148" s="1056"/>
      <c r="YO148" s="1056"/>
      <c r="YP148" s="1056"/>
      <c r="YQ148" s="1056"/>
      <c r="YR148" s="1056"/>
      <c r="YS148" s="1056"/>
      <c r="YT148" s="1056"/>
      <c r="YU148" s="1056"/>
      <c r="YV148" s="1056"/>
      <c r="YW148" s="1056"/>
      <c r="YX148" s="1056"/>
      <c r="YY148" s="1056"/>
      <c r="YZ148" s="1056"/>
      <c r="ZA148" s="1056"/>
      <c r="ZB148" s="1056"/>
      <c r="ZC148" s="1056"/>
      <c r="ZD148" s="1056"/>
      <c r="ZE148" s="1056"/>
      <c r="ZF148" s="1056"/>
      <c r="ZG148" s="1056"/>
      <c r="ZH148" s="1056"/>
      <c r="ZI148" s="1056"/>
      <c r="ZJ148" s="1056"/>
      <c r="ZK148" s="1056"/>
      <c r="ZL148" s="1056"/>
      <c r="ZM148" s="1056"/>
      <c r="ZN148" s="1056"/>
      <c r="ZO148" s="1056"/>
      <c r="ZP148" s="1056"/>
      <c r="ZQ148" s="1056"/>
      <c r="ZR148" s="1056"/>
      <c r="ZS148" s="1056"/>
      <c r="ZT148" s="1056"/>
      <c r="ZU148" s="1056"/>
      <c r="ZV148" s="1056"/>
      <c r="ZW148" s="1056"/>
      <c r="ZX148" s="1056"/>
      <c r="ZY148" s="1056"/>
      <c r="ZZ148" s="1056"/>
      <c r="AAA148" s="1056"/>
      <c r="AAB148" s="1056"/>
      <c r="AAC148" s="1056"/>
      <c r="AAD148" s="1056"/>
      <c r="AAE148" s="1056"/>
      <c r="AAF148" s="1056"/>
      <c r="AAG148" s="1056"/>
      <c r="AAH148" s="1056"/>
      <c r="AAI148" s="1056"/>
      <c r="AAJ148" s="1056"/>
      <c r="AAK148" s="1056"/>
      <c r="AAL148" s="1056"/>
      <c r="AAM148" s="1056"/>
      <c r="AAN148" s="1056"/>
      <c r="AAO148" s="1056"/>
      <c r="AAP148" s="1056"/>
      <c r="AAQ148" s="1056"/>
      <c r="AAR148" s="1056"/>
      <c r="AAS148" s="1056"/>
      <c r="AAT148" s="1056"/>
      <c r="AAU148" s="1056"/>
      <c r="AAV148" s="1056"/>
      <c r="AAW148" s="1056"/>
      <c r="AAX148" s="1056"/>
      <c r="AAY148" s="1056"/>
      <c r="AAZ148" s="1056"/>
      <c r="ABA148" s="1056"/>
      <c r="ABB148" s="1056"/>
      <c r="ABC148" s="1056"/>
      <c r="ABD148" s="1056"/>
      <c r="ABE148" s="1056"/>
      <c r="ABF148" s="1056"/>
      <c r="ABG148" s="1056"/>
      <c r="ABH148" s="1056"/>
      <c r="ABI148" s="1056"/>
      <c r="ABJ148" s="1056"/>
      <c r="ABK148" s="1056"/>
      <c r="ABL148" s="1056"/>
      <c r="ABM148" s="1056"/>
      <c r="ABN148" s="1056"/>
      <c r="ABO148" s="1056"/>
      <c r="ABP148" s="1056"/>
      <c r="ABQ148" s="1056"/>
      <c r="ABR148" s="1056"/>
      <c r="ABS148" s="1056"/>
      <c r="ABT148" s="1056"/>
      <c r="ABU148" s="1056"/>
      <c r="ABV148" s="1056"/>
      <c r="ABW148" s="1056"/>
      <c r="ABX148" s="1056"/>
      <c r="ABY148" s="1056"/>
      <c r="ABZ148" s="1056"/>
      <c r="ACA148" s="1056"/>
      <c r="ACB148" s="1056"/>
      <c r="ACC148" s="1056"/>
      <c r="ACD148" s="1056"/>
      <c r="ACE148" s="1056"/>
      <c r="ACF148" s="1056"/>
      <c r="ACG148" s="1056"/>
      <c r="ACH148" s="1056"/>
      <c r="ACI148" s="1056"/>
      <c r="ACJ148" s="1056"/>
      <c r="ACK148" s="1056"/>
      <c r="ACL148" s="1056"/>
      <c r="ACM148" s="1056"/>
      <c r="ACN148" s="1056"/>
      <c r="ACO148" s="1056"/>
      <c r="ACP148" s="1056"/>
      <c r="ACQ148" s="1056"/>
      <c r="ACR148" s="1056"/>
      <c r="ACS148" s="1056"/>
      <c r="ACT148" s="1056"/>
      <c r="ACU148" s="1056"/>
      <c r="ACV148" s="1056"/>
      <c r="ACW148" s="1056"/>
      <c r="ACX148" s="1056"/>
      <c r="ACY148" s="1056"/>
      <c r="ACZ148" s="1056"/>
      <c r="ADA148" s="1056"/>
      <c r="ADB148" s="1056"/>
      <c r="ADC148" s="1056"/>
      <c r="ADD148" s="1056"/>
      <c r="ADE148" s="1056"/>
      <c r="ADF148" s="1056"/>
      <c r="ADG148" s="1056"/>
      <c r="ADH148" s="1056"/>
      <c r="ADI148" s="1056"/>
      <c r="ADJ148" s="1056"/>
      <c r="ADK148" s="1056"/>
      <c r="ADL148" s="1056"/>
      <c r="ADM148" s="1056"/>
      <c r="ADN148" s="1056"/>
      <c r="ADO148" s="1056"/>
      <c r="ADP148" s="1056"/>
      <c r="ADQ148" s="1056"/>
      <c r="ADR148" s="1056"/>
      <c r="ADS148" s="1056"/>
      <c r="ADT148" s="1056"/>
      <c r="ADU148" s="1056"/>
      <c r="ADV148" s="1056"/>
      <c r="ADW148" s="1056"/>
      <c r="ADX148" s="1056"/>
      <c r="ADY148" s="1056"/>
      <c r="ADZ148" s="1056"/>
      <c r="AEA148" s="1056"/>
      <c r="AEB148" s="1056"/>
      <c r="AEC148" s="1056"/>
      <c r="AED148" s="1056"/>
      <c r="AEE148" s="1056"/>
      <c r="AEF148" s="1056"/>
      <c r="AEG148" s="1056"/>
      <c r="AEH148" s="1056"/>
      <c r="AEI148" s="1056"/>
      <c r="AEJ148" s="1056"/>
      <c r="AEK148" s="1056"/>
      <c r="AEL148" s="1056"/>
      <c r="AEM148" s="1056"/>
      <c r="AEN148" s="1056"/>
      <c r="AEO148" s="1056"/>
      <c r="AEP148" s="1056"/>
      <c r="AEQ148" s="1056"/>
      <c r="AER148" s="1056"/>
      <c r="AES148" s="1056"/>
      <c r="AET148" s="1056"/>
      <c r="AEU148" s="1056"/>
      <c r="AEV148" s="1056"/>
      <c r="AEW148" s="1056"/>
      <c r="AEX148" s="1056"/>
      <c r="AEY148" s="1056"/>
      <c r="AEZ148" s="1056"/>
      <c r="AFA148" s="1056"/>
      <c r="AFB148" s="1056"/>
      <c r="AFC148" s="1056"/>
      <c r="AFD148" s="1056"/>
      <c r="AFE148" s="1056"/>
      <c r="AFF148" s="1056"/>
      <c r="AFG148" s="1056"/>
      <c r="AFH148" s="1056"/>
      <c r="AFI148" s="1056"/>
      <c r="AFJ148" s="1056"/>
      <c r="AFK148" s="1056"/>
      <c r="AFL148" s="1056"/>
      <c r="AFM148" s="1056"/>
      <c r="AFN148" s="1056"/>
      <c r="AFO148" s="1056"/>
      <c r="AFP148" s="1056"/>
      <c r="AFQ148" s="1056"/>
      <c r="AFR148" s="1056"/>
      <c r="AFS148" s="1056"/>
      <c r="AFT148" s="1056"/>
      <c r="AFU148" s="1056"/>
      <c r="AFV148" s="1056"/>
      <c r="AFW148" s="1056"/>
      <c r="AFX148" s="1056"/>
      <c r="AFY148" s="1056"/>
      <c r="AFZ148" s="1056"/>
      <c r="AGA148" s="1056"/>
      <c r="AGB148" s="1056"/>
      <c r="AGC148" s="1056"/>
      <c r="AGD148" s="1056"/>
      <c r="AGE148" s="1056"/>
      <c r="AGF148" s="1056"/>
      <c r="AGG148" s="1056"/>
      <c r="AGH148" s="1056"/>
      <c r="AGI148" s="1056"/>
      <c r="AGJ148" s="1056"/>
      <c r="AGK148" s="1056"/>
      <c r="AGL148" s="1056"/>
      <c r="AGM148" s="1056"/>
      <c r="AGN148" s="1056"/>
      <c r="AGO148" s="1056"/>
      <c r="AGP148" s="1056"/>
      <c r="AGQ148" s="1056"/>
      <c r="AGR148" s="1056"/>
      <c r="AGS148" s="1056"/>
      <c r="AGT148" s="1056"/>
      <c r="AGU148" s="1056"/>
      <c r="AGV148" s="1056"/>
      <c r="AGW148" s="1056"/>
      <c r="AGX148" s="1056"/>
      <c r="AGY148" s="1056"/>
      <c r="AGZ148" s="1056"/>
      <c r="AHA148" s="1056"/>
      <c r="AHB148" s="1056"/>
      <c r="AHC148" s="1056"/>
      <c r="AHD148" s="1056"/>
      <c r="AHE148" s="1056"/>
      <c r="AHF148" s="1056"/>
      <c r="AHG148" s="1056"/>
      <c r="AHH148" s="1056"/>
      <c r="AHI148" s="1056"/>
      <c r="AHJ148" s="1056"/>
      <c r="AHK148" s="1056"/>
      <c r="AHL148" s="1056"/>
      <c r="AHM148" s="1056"/>
      <c r="AHN148" s="1056"/>
      <c r="AHO148" s="1056"/>
      <c r="AHP148" s="1056"/>
      <c r="AHQ148" s="1056"/>
      <c r="AHR148" s="1056"/>
      <c r="AHS148" s="1056"/>
      <c r="AHT148" s="1056"/>
      <c r="AHU148" s="1056"/>
      <c r="AHV148" s="1056"/>
      <c r="AHW148" s="1056"/>
      <c r="AHX148" s="1056"/>
      <c r="AHY148" s="1056"/>
      <c r="AHZ148" s="1056"/>
      <c r="AIA148" s="1056"/>
      <c r="AIB148" s="1056"/>
      <c r="AIC148" s="1056"/>
      <c r="AID148" s="1056"/>
      <c r="AIE148" s="1056"/>
      <c r="AIF148" s="1056"/>
      <c r="AIG148" s="1056"/>
      <c r="AIH148" s="1056"/>
      <c r="AII148" s="1056"/>
      <c r="AIJ148" s="1056"/>
      <c r="AIK148" s="1056"/>
      <c r="AIL148" s="1056"/>
      <c r="AIM148" s="1056"/>
      <c r="AIN148" s="1056"/>
      <c r="AIO148" s="1056"/>
      <c r="AIP148" s="1056"/>
      <c r="AIQ148" s="1056"/>
      <c r="AIR148" s="1056"/>
      <c r="AIS148" s="1056"/>
      <c r="AIT148" s="1056"/>
      <c r="AIU148" s="1056"/>
      <c r="AIV148" s="1056"/>
      <c r="AIW148" s="1056"/>
      <c r="AIX148" s="1056"/>
      <c r="AIY148" s="1056"/>
      <c r="AIZ148" s="1056"/>
      <c r="AJA148" s="1056"/>
      <c r="AJB148" s="1056"/>
      <c r="AJC148" s="1056"/>
      <c r="AJD148" s="1056"/>
      <c r="AJE148" s="1056"/>
      <c r="AJF148" s="1056"/>
      <c r="AJG148" s="1056"/>
      <c r="AJH148" s="1056"/>
      <c r="AJI148" s="1056"/>
      <c r="AJJ148" s="1056"/>
      <c r="AJK148" s="1056"/>
      <c r="AJL148" s="1056"/>
      <c r="AJM148" s="1056"/>
      <c r="AJN148" s="1056"/>
      <c r="AJO148" s="1056"/>
      <c r="AJP148" s="1056"/>
      <c r="AJQ148" s="1056"/>
      <c r="AJR148" s="1056"/>
      <c r="AJS148" s="1056"/>
      <c r="AJT148" s="1056"/>
      <c r="AJU148" s="1056"/>
      <c r="AJV148" s="1056"/>
      <c r="AJW148" s="1056"/>
      <c r="AJX148" s="1056"/>
      <c r="AJY148" s="1056"/>
      <c r="AJZ148" s="1056"/>
      <c r="AKA148" s="1056"/>
      <c r="AKB148" s="1056"/>
      <c r="AKC148" s="1056"/>
      <c r="AKD148" s="1056"/>
      <c r="AKE148" s="1056"/>
      <c r="AKF148" s="1056"/>
      <c r="AKG148" s="1056"/>
      <c r="AKH148" s="1056"/>
      <c r="AKI148" s="1056"/>
      <c r="AKJ148" s="1056"/>
      <c r="AKK148" s="1056"/>
      <c r="AKL148" s="1056"/>
      <c r="AKM148" s="1056"/>
      <c r="AKN148" s="1056"/>
      <c r="AKO148" s="1056"/>
      <c r="AKP148" s="1056"/>
      <c r="AKQ148" s="1056"/>
      <c r="AKR148" s="1056"/>
      <c r="AKS148" s="1056"/>
      <c r="AKT148" s="1056"/>
      <c r="AKU148" s="1056"/>
      <c r="AKV148" s="1056"/>
      <c r="AKW148" s="1056"/>
      <c r="AKX148" s="1056"/>
      <c r="AKY148" s="1056"/>
      <c r="AKZ148" s="1056"/>
      <c r="ALA148" s="1056"/>
      <c r="ALB148" s="1056"/>
      <c r="ALC148" s="1056"/>
      <c r="ALD148" s="1056"/>
      <c r="ALE148" s="1056"/>
      <c r="ALF148" s="1056"/>
      <c r="ALG148" s="1056"/>
      <c r="ALH148" s="1056"/>
      <c r="ALI148" s="1056"/>
      <c r="ALJ148" s="1056"/>
      <c r="ALK148" s="1056"/>
      <c r="ALL148" s="1056"/>
      <c r="ALM148" s="1056"/>
      <c r="ALN148" s="1056"/>
      <c r="ALO148" s="1056"/>
      <c r="ALP148" s="1056"/>
      <c r="ALQ148" s="1056"/>
      <c r="ALR148" s="1056"/>
      <c r="ALS148" s="1056"/>
      <c r="ALT148" s="1056"/>
      <c r="ALU148" s="1056"/>
      <c r="ALV148" s="1056"/>
      <c r="ALW148" s="1056"/>
      <c r="ALX148" s="1056"/>
      <c r="ALY148" s="1056"/>
      <c r="ALZ148" s="1056"/>
      <c r="AMA148" s="1056"/>
      <c r="AMB148" s="1056"/>
      <c r="AMC148" s="1056"/>
      <c r="AMD148" s="1056"/>
      <c r="AME148" s="1056"/>
      <c r="AMF148" s="1056"/>
      <c r="AMG148" s="1056"/>
      <c r="AMH148" s="1056"/>
      <c r="AMI148" s="1056"/>
      <c r="AMJ148" s="1056"/>
      <c r="AMK148" s="1056"/>
      <c r="AML148" s="1056"/>
      <c r="AMM148" s="1056"/>
      <c r="AMN148" s="1056"/>
      <c r="AMO148" s="1056"/>
      <c r="AMP148" s="1056"/>
      <c r="AMQ148" s="1056"/>
      <c r="AMR148" s="1056"/>
      <c r="AMS148" s="1056"/>
      <c r="AMT148" s="1056"/>
      <c r="AMU148" s="1056"/>
      <c r="AMV148" s="1056"/>
      <c r="AMW148" s="1056"/>
      <c r="AMX148" s="1056"/>
      <c r="AMY148" s="1056"/>
      <c r="AMZ148" s="1056"/>
      <c r="ANA148" s="1056"/>
      <c r="ANB148" s="1056"/>
      <c r="ANC148" s="1056"/>
      <c r="AND148" s="1056"/>
      <c r="ANE148" s="1056"/>
      <c r="ANF148" s="1056"/>
      <c r="ANG148" s="1056"/>
      <c r="ANH148" s="1056"/>
      <c r="ANI148" s="1056"/>
      <c r="ANJ148" s="1056"/>
      <c r="ANK148" s="1056"/>
      <c r="ANL148" s="1056"/>
      <c r="ANM148" s="1056"/>
      <c r="ANN148" s="1056"/>
      <c r="ANO148" s="1056"/>
      <c r="ANP148" s="1056"/>
      <c r="ANQ148" s="1056"/>
      <c r="ANR148" s="1056"/>
      <c r="ANS148" s="1056"/>
      <c r="ANT148" s="1056"/>
      <c r="ANU148" s="1056"/>
      <c r="ANV148" s="1056"/>
      <c r="ANW148" s="1056"/>
      <c r="ANX148" s="1056"/>
      <c r="ANY148" s="1056"/>
      <c r="ANZ148" s="1056"/>
      <c r="AOA148" s="1056"/>
      <c r="AOB148" s="1056"/>
      <c r="AOC148" s="1056"/>
      <c r="AOD148" s="1056"/>
      <c r="AOE148" s="1056"/>
      <c r="AOF148" s="1056"/>
      <c r="AOG148" s="1056"/>
      <c r="AOH148" s="1056"/>
      <c r="AOI148" s="1056"/>
      <c r="AOJ148" s="1056"/>
      <c r="AOK148" s="1056"/>
      <c r="AOL148" s="1056"/>
      <c r="AOM148" s="1056"/>
      <c r="AON148" s="1056"/>
      <c r="AOO148" s="1056"/>
      <c r="AOP148" s="1056"/>
      <c r="AOQ148" s="1056"/>
      <c r="AOR148" s="1056"/>
      <c r="AOS148" s="1056"/>
      <c r="AOT148" s="1056"/>
      <c r="AOU148" s="1056"/>
      <c r="AOV148" s="1056"/>
      <c r="AOW148" s="1056"/>
      <c r="AOX148" s="1056"/>
      <c r="AOY148" s="1056"/>
      <c r="AOZ148" s="1056"/>
      <c r="APA148" s="1056"/>
      <c r="APB148" s="1056"/>
      <c r="APC148" s="1056"/>
      <c r="APD148" s="1056"/>
      <c r="APE148" s="1056"/>
      <c r="APF148" s="1056"/>
      <c r="APG148" s="1056"/>
      <c r="APH148" s="1056"/>
      <c r="API148" s="1056"/>
      <c r="APJ148" s="1056"/>
      <c r="APK148" s="1056"/>
      <c r="APL148" s="1056"/>
      <c r="APM148" s="1056"/>
      <c r="APN148" s="1056"/>
      <c r="APO148" s="1056"/>
      <c r="APP148" s="1056"/>
      <c r="APQ148" s="1056"/>
      <c r="APR148" s="1056"/>
      <c r="APS148" s="1056"/>
      <c r="APT148" s="1056"/>
      <c r="APU148" s="1056"/>
      <c r="APV148" s="1056"/>
      <c r="APW148" s="1056"/>
      <c r="APX148" s="1056"/>
      <c r="APY148" s="1056"/>
      <c r="APZ148" s="1056"/>
      <c r="AQA148" s="1056"/>
      <c r="AQB148" s="1056"/>
      <c r="AQC148" s="1056"/>
      <c r="AQD148" s="1056"/>
      <c r="AQE148" s="1056"/>
      <c r="AQF148" s="1056"/>
      <c r="AQG148" s="1056"/>
      <c r="AQH148" s="1056"/>
      <c r="AQI148" s="1056"/>
      <c r="AQJ148" s="1056"/>
      <c r="AQK148" s="1056"/>
      <c r="AQL148" s="1056"/>
      <c r="AQM148" s="1056"/>
      <c r="AQN148" s="1056"/>
      <c r="AQO148" s="1056"/>
      <c r="AQP148" s="1056"/>
      <c r="AQQ148" s="1056"/>
      <c r="AQR148" s="1056"/>
      <c r="AQS148" s="1056"/>
      <c r="AQT148" s="1056"/>
      <c r="AQU148" s="1056"/>
      <c r="AQV148" s="1056"/>
      <c r="AQW148" s="1056"/>
      <c r="AQX148" s="1056"/>
      <c r="AQY148" s="1056"/>
      <c r="AQZ148" s="1056"/>
      <c r="ARA148" s="1056"/>
      <c r="ARB148" s="1056"/>
      <c r="ARC148" s="1056"/>
      <c r="ARD148" s="1056"/>
      <c r="ARE148" s="1056"/>
      <c r="ARF148" s="1056"/>
      <c r="ARG148" s="1056"/>
      <c r="ARH148" s="1056"/>
      <c r="ARI148" s="1056"/>
      <c r="ARJ148" s="1056"/>
      <c r="ARK148" s="1056"/>
      <c r="ARL148" s="1056"/>
      <c r="ARM148" s="1056"/>
      <c r="ARN148" s="1056"/>
      <c r="ARO148" s="1056"/>
      <c r="ARP148" s="1056"/>
      <c r="ARQ148" s="1056"/>
      <c r="ARR148" s="1056"/>
      <c r="ARS148" s="1056"/>
      <c r="ART148" s="1056"/>
      <c r="ARU148" s="1056"/>
      <c r="ARV148" s="1056"/>
      <c r="ARW148" s="1056"/>
      <c r="ARX148" s="1056"/>
      <c r="ARY148" s="1056"/>
      <c r="ARZ148" s="1056"/>
      <c r="ASA148" s="1056"/>
      <c r="ASB148" s="1056"/>
      <c r="ASC148" s="1056"/>
      <c r="ASD148" s="1056"/>
      <c r="ASE148" s="1056"/>
      <c r="ASF148" s="1056"/>
      <c r="ASG148" s="1056"/>
      <c r="ASH148" s="1056"/>
      <c r="ASI148" s="1056"/>
      <c r="ASJ148" s="1056"/>
      <c r="ASK148" s="1056"/>
      <c r="ASL148" s="1056"/>
      <c r="ASM148" s="1056"/>
      <c r="ASN148" s="1056"/>
      <c r="ASO148" s="1056"/>
      <c r="ASP148" s="1056"/>
      <c r="ASQ148" s="1056"/>
      <c r="ASR148" s="1056"/>
      <c r="ASS148" s="1056"/>
      <c r="AST148" s="1056"/>
      <c r="ASU148" s="1056"/>
      <c r="ASV148" s="1056"/>
      <c r="ASW148" s="1056"/>
      <c r="ASX148" s="1056"/>
      <c r="ASY148" s="1056"/>
      <c r="ASZ148" s="1056"/>
      <c r="ATA148" s="1056"/>
      <c r="ATB148" s="1056"/>
      <c r="ATC148" s="1056"/>
      <c r="ATD148" s="1056"/>
      <c r="ATE148" s="1056"/>
      <c r="ATF148" s="1056"/>
      <c r="ATG148" s="1056"/>
      <c r="ATH148" s="1056"/>
      <c r="ATI148" s="1056"/>
      <c r="ATJ148" s="1056"/>
      <c r="ATK148" s="1056"/>
      <c r="ATL148" s="1056"/>
      <c r="ATM148" s="1056"/>
      <c r="ATN148" s="1056"/>
      <c r="ATO148" s="1056"/>
      <c r="ATP148" s="1056"/>
      <c r="ATQ148" s="1056"/>
      <c r="ATR148" s="1056"/>
      <c r="ATS148" s="1056"/>
      <c r="ATT148" s="1056"/>
      <c r="ATU148" s="1056"/>
      <c r="ATV148" s="1056"/>
      <c r="ATW148" s="1056"/>
      <c r="ATX148" s="1056"/>
      <c r="ATY148" s="1056"/>
      <c r="ATZ148" s="1056"/>
      <c r="AUA148" s="1056"/>
      <c r="AUB148" s="1056"/>
      <c r="AUC148" s="1056"/>
      <c r="AUD148" s="1056"/>
      <c r="AUE148" s="1056"/>
      <c r="AUF148" s="1056"/>
      <c r="AUG148" s="1056"/>
      <c r="AUH148" s="1056"/>
      <c r="AUI148" s="1056"/>
      <c r="AUJ148" s="1056"/>
      <c r="AUK148" s="1056"/>
      <c r="AUL148" s="1056"/>
      <c r="AUM148" s="1056"/>
      <c r="AUN148" s="1056"/>
      <c r="AUO148" s="1056"/>
      <c r="AUP148" s="1056"/>
      <c r="AUQ148" s="1056"/>
      <c r="AUR148" s="1056"/>
      <c r="AUS148" s="1056"/>
      <c r="AUT148" s="1056"/>
      <c r="AUU148" s="1056"/>
      <c r="AUV148" s="1056"/>
      <c r="AUW148" s="1056"/>
      <c r="AUX148" s="1056"/>
      <c r="AUY148" s="1056"/>
      <c r="AUZ148" s="1056"/>
      <c r="AVA148" s="1056"/>
      <c r="AVB148" s="1056"/>
      <c r="AVC148" s="1056"/>
      <c r="AVD148" s="1056"/>
      <c r="AVE148" s="1056"/>
      <c r="AVF148" s="1056"/>
      <c r="AVG148" s="1056"/>
      <c r="AVH148" s="1056"/>
      <c r="AVI148" s="1056"/>
      <c r="AVJ148" s="1056"/>
      <c r="AVK148" s="1056"/>
      <c r="AVL148" s="1056"/>
      <c r="AVM148" s="1056"/>
      <c r="AVN148" s="1056"/>
      <c r="AVO148" s="1056"/>
      <c r="AVP148" s="1056"/>
      <c r="AVQ148" s="1056"/>
      <c r="AVR148" s="1056"/>
      <c r="AVS148" s="1056"/>
      <c r="AVT148" s="1056"/>
      <c r="AVU148" s="1056"/>
      <c r="AVV148" s="1056"/>
      <c r="AVW148" s="1056"/>
      <c r="AVX148" s="1056"/>
      <c r="AVY148" s="1056"/>
      <c r="AVZ148" s="1056"/>
      <c r="AWA148" s="1056"/>
      <c r="AWB148" s="1056"/>
      <c r="AWC148" s="1056"/>
      <c r="AWD148" s="1056"/>
      <c r="AWE148" s="1056"/>
      <c r="AWF148" s="1056"/>
      <c r="AWG148" s="1056"/>
      <c r="AWH148" s="1056"/>
      <c r="AWI148" s="1056"/>
      <c r="AWJ148" s="1056"/>
      <c r="AWK148" s="1056"/>
      <c r="AWL148" s="1056"/>
      <c r="AWM148" s="1056"/>
      <c r="AWN148" s="1056"/>
      <c r="AWO148" s="1056"/>
      <c r="AWP148" s="1056"/>
      <c r="AWQ148" s="1056"/>
      <c r="AWR148" s="1056"/>
      <c r="AWS148" s="1056"/>
      <c r="AWT148" s="1056"/>
      <c r="AWU148" s="1056"/>
      <c r="AWV148" s="1056"/>
      <c r="AWW148" s="1056"/>
      <c r="AWX148" s="1056"/>
      <c r="AWY148" s="1056"/>
      <c r="AWZ148" s="1056"/>
      <c r="AXA148" s="1056"/>
      <c r="AXB148" s="1056"/>
      <c r="AXC148" s="1056"/>
      <c r="AXD148" s="1056"/>
      <c r="AXE148" s="1056"/>
      <c r="AXF148" s="1056"/>
      <c r="AXG148" s="1056"/>
      <c r="AXH148" s="1056"/>
      <c r="AXI148" s="1056"/>
      <c r="AXJ148" s="1056"/>
      <c r="AXK148" s="1056"/>
      <c r="AXL148" s="1056"/>
      <c r="AXM148" s="1056"/>
      <c r="AXN148" s="1056"/>
      <c r="AXO148" s="1056"/>
      <c r="AXP148" s="1056"/>
      <c r="AXQ148" s="1056"/>
      <c r="AXR148" s="1056"/>
      <c r="AXS148" s="1056"/>
      <c r="AXT148" s="1056"/>
      <c r="AXU148" s="1056"/>
      <c r="AXV148" s="1056"/>
      <c r="AXW148" s="1056"/>
      <c r="AXX148" s="1056"/>
      <c r="AXY148" s="1056"/>
      <c r="AXZ148" s="1056"/>
      <c r="AYA148" s="1056"/>
      <c r="AYB148" s="1056"/>
      <c r="AYC148" s="1056"/>
      <c r="AYD148" s="1056"/>
      <c r="AYE148" s="1056"/>
      <c r="AYF148" s="1056"/>
      <c r="AYG148" s="1056"/>
      <c r="AYH148" s="1056"/>
      <c r="AYI148" s="1056"/>
      <c r="AYJ148" s="1056"/>
      <c r="AYK148" s="1056"/>
      <c r="AYL148" s="1056"/>
      <c r="AYM148" s="1056"/>
      <c r="AYN148" s="1056"/>
      <c r="AYO148" s="1056"/>
      <c r="AYP148" s="1056"/>
      <c r="AYQ148" s="1056"/>
      <c r="AYR148" s="1056"/>
      <c r="AYS148" s="1056"/>
      <c r="AYT148" s="1056"/>
      <c r="AYU148" s="1056"/>
      <c r="AYV148" s="1056"/>
      <c r="AYW148" s="1056"/>
      <c r="AYX148" s="1056"/>
      <c r="AYY148" s="1056"/>
      <c r="AYZ148" s="1056"/>
      <c r="AZA148" s="1056"/>
      <c r="AZB148" s="1056"/>
      <c r="AZC148" s="1056"/>
      <c r="AZD148" s="1056"/>
      <c r="AZE148" s="1056"/>
      <c r="AZF148" s="1056"/>
      <c r="AZG148" s="1056"/>
      <c r="AZH148" s="1056"/>
      <c r="AZI148" s="1056"/>
      <c r="AZJ148" s="1056"/>
      <c r="AZK148" s="1056"/>
      <c r="AZL148" s="1056"/>
      <c r="AZM148" s="1056"/>
      <c r="AZN148" s="1056"/>
      <c r="AZO148" s="1056"/>
      <c r="AZP148" s="1056"/>
      <c r="AZQ148" s="1056"/>
      <c r="AZR148" s="1056"/>
      <c r="AZS148" s="1056"/>
      <c r="AZT148" s="1056"/>
      <c r="AZU148" s="1056"/>
      <c r="AZV148" s="1056"/>
      <c r="AZW148" s="1056"/>
      <c r="AZX148" s="1056"/>
      <c r="AZY148" s="1056"/>
      <c r="AZZ148" s="1056"/>
      <c r="BAA148" s="1056"/>
      <c r="BAB148" s="1056"/>
      <c r="BAC148" s="1056"/>
      <c r="BAD148" s="1056"/>
      <c r="BAE148" s="1056"/>
      <c r="BAF148" s="1056"/>
      <c r="BAG148" s="1056"/>
      <c r="BAH148" s="1056"/>
      <c r="BAI148" s="1056"/>
      <c r="BAJ148" s="1056"/>
      <c r="BAK148" s="1056"/>
      <c r="BAL148" s="1056"/>
      <c r="BAM148" s="1056"/>
      <c r="BAN148" s="1056"/>
      <c r="BAO148" s="1056"/>
      <c r="BAP148" s="1056"/>
      <c r="BAQ148" s="1056"/>
      <c r="BAR148" s="1056"/>
      <c r="BAS148" s="1056"/>
      <c r="BAT148" s="1056"/>
      <c r="BAU148" s="1056"/>
      <c r="BAV148" s="1056"/>
      <c r="BAW148" s="1056"/>
      <c r="BAX148" s="1056"/>
      <c r="BAY148" s="1056"/>
      <c r="BAZ148" s="1056"/>
      <c r="BBA148" s="1056"/>
      <c r="BBB148" s="1056"/>
      <c r="BBC148" s="1056"/>
      <c r="BBD148" s="1056"/>
      <c r="BBE148" s="1056"/>
      <c r="BBF148" s="1056"/>
      <c r="BBG148" s="1056"/>
      <c r="BBH148" s="1056"/>
      <c r="BBI148" s="1056"/>
      <c r="BBJ148" s="1056"/>
      <c r="BBK148" s="1056"/>
      <c r="BBL148" s="1056"/>
      <c r="BBM148" s="1056"/>
      <c r="BBN148" s="1056"/>
      <c r="BBO148" s="1056"/>
      <c r="BBP148" s="1056"/>
      <c r="BBQ148" s="1056"/>
      <c r="BBR148" s="1056"/>
      <c r="BBS148" s="1056"/>
      <c r="BBT148" s="1056"/>
      <c r="BBU148" s="1056"/>
      <c r="BBV148" s="1056"/>
      <c r="BBW148" s="1056"/>
      <c r="BBX148" s="1056"/>
      <c r="BBY148" s="1056"/>
      <c r="BBZ148" s="1056"/>
      <c r="BCA148" s="1056"/>
      <c r="BCB148" s="1056"/>
      <c r="BCC148" s="1056"/>
      <c r="BCD148" s="1056"/>
      <c r="BCE148" s="1056"/>
      <c r="BCF148" s="1056"/>
      <c r="BCG148" s="1056"/>
      <c r="BCH148" s="1056"/>
      <c r="BCI148" s="1056"/>
      <c r="BCJ148" s="1056"/>
      <c r="BCK148" s="1056"/>
      <c r="BCL148" s="1056"/>
      <c r="BCM148" s="1056"/>
      <c r="BCN148" s="1056"/>
      <c r="BCO148" s="1056"/>
      <c r="BCP148" s="1056"/>
      <c r="BCQ148" s="1056"/>
      <c r="BCR148" s="1056"/>
      <c r="BCS148" s="1056"/>
      <c r="BCT148" s="1056"/>
      <c r="BCU148" s="1056"/>
      <c r="BCV148" s="1056"/>
      <c r="BCW148" s="1056"/>
      <c r="BCX148" s="1056"/>
      <c r="BCY148" s="1056"/>
      <c r="BCZ148" s="1056"/>
      <c r="BDA148" s="1056"/>
      <c r="BDB148" s="1056"/>
      <c r="BDC148" s="1056"/>
      <c r="BDD148" s="1056"/>
      <c r="BDE148" s="1056"/>
      <c r="BDF148" s="1056"/>
      <c r="BDG148" s="1056"/>
      <c r="BDH148" s="1056"/>
      <c r="BDI148" s="1056"/>
      <c r="BDJ148" s="1056"/>
      <c r="BDK148" s="1056"/>
      <c r="BDL148" s="1056"/>
      <c r="BDM148" s="1056"/>
      <c r="BDN148" s="1056"/>
      <c r="BDO148" s="1056"/>
      <c r="BDP148" s="1056"/>
      <c r="BDQ148" s="1056"/>
      <c r="BDR148" s="1056"/>
      <c r="BDS148" s="1056"/>
      <c r="BDT148" s="1056"/>
      <c r="BDU148" s="1056"/>
      <c r="BDV148" s="1056"/>
      <c r="BDW148" s="1056"/>
      <c r="BDX148" s="1056"/>
      <c r="BDY148" s="1056"/>
      <c r="BDZ148" s="1056"/>
      <c r="BEA148" s="1056"/>
      <c r="BEB148" s="1056"/>
      <c r="BEC148" s="1056"/>
      <c r="BED148" s="1056"/>
      <c r="BEE148" s="1056"/>
      <c r="BEF148" s="1056"/>
      <c r="BEG148" s="1056"/>
      <c r="BEH148" s="1056"/>
      <c r="BEI148" s="1056"/>
      <c r="BEJ148" s="1056"/>
      <c r="BEK148" s="1056"/>
      <c r="BEL148" s="1056"/>
      <c r="BEM148" s="1056"/>
      <c r="BEN148" s="1056"/>
      <c r="BEO148" s="1056"/>
      <c r="BEP148" s="1056"/>
      <c r="BEQ148" s="1056"/>
      <c r="BER148" s="1056"/>
      <c r="BES148" s="1056"/>
      <c r="BET148" s="1056"/>
      <c r="BEU148" s="1056"/>
      <c r="BEV148" s="1056"/>
      <c r="BEW148" s="1056"/>
      <c r="BEX148" s="1056"/>
      <c r="BEY148" s="1056"/>
      <c r="BEZ148" s="1056"/>
      <c r="BFA148" s="1056"/>
      <c r="BFB148" s="1056"/>
      <c r="BFC148" s="1056"/>
      <c r="BFD148" s="1056"/>
      <c r="BFE148" s="1056"/>
      <c r="BFF148" s="1056"/>
      <c r="BFG148" s="1056"/>
      <c r="BFH148" s="1056"/>
      <c r="BFI148" s="1056"/>
      <c r="BFJ148" s="1056"/>
      <c r="BFK148" s="1056"/>
      <c r="BFL148" s="1056"/>
      <c r="BFM148" s="1056"/>
      <c r="BFN148" s="1056"/>
      <c r="BFO148" s="1056"/>
      <c r="BFP148" s="1056"/>
      <c r="BFQ148" s="1056"/>
      <c r="BFR148" s="1056"/>
      <c r="BFS148" s="1056"/>
      <c r="BFT148" s="1056"/>
      <c r="BFU148" s="1056"/>
      <c r="BFV148" s="1056"/>
      <c r="BFW148" s="1056"/>
      <c r="BFX148" s="1056"/>
      <c r="BFY148" s="1056"/>
      <c r="BFZ148" s="1056"/>
      <c r="BGA148" s="1056"/>
      <c r="BGB148" s="1056"/>
      <c r="BGC148" s="1056"/>
      <c r="BGD148" s="1056"/>
      <c r="BGE148" s="1056"/>
      <c r="BGF148" s="1056"/>
      <c r="BGG148" s="1056"/>
      <c r="BGH148" s="1056"/>
      <c r="BGI148" s="1056"/>
      <c r="BGJ148" s="1056"/>
      <c r="BGK148" s="1056"/>
      <c r="BGL148" s="1056"/>
      <c r="BGM148" s="1056"/>
      <c r="BGN148" s="1056"/>
      <c r="BGO148" s="1056"/>
      <c r="BGP148" s="1056"/>
      <c r="BGQ148" s="1056"/>
      <c r="BGR148" s="1056"/>
      <c r="BGS148" s="1056"/>
      <c r="BGT148" s="1056"/>
      <c r="BGU148" s="1056"/>
      <c r="BGV148" s="1056"/>
      <c r="BGW148" s="1056"/>
      <c r="BGX148" s="1056"/>
      <c r="BGY148" s="1056"/>
      <c r="BGZ148" s="1056"/>
      <c r="BHA148" s="1056"/>
      <c r="BHB148" s="1056"/>
      <c r="BHC148" s="1056"/>
      <c r="BHD148" s="1056"/>
      <c r="BHE148" s="1056"/>
      <c r="BHF148" s="1056"/>
      <c r="BHG148" s="1056"/>
      <c r="BHH148" s="1056"/>
      <c r="BHI148" s="1056"/>
      <c r="BHJ148" s="1056"/>
      <c r="BHK148" s="1056"/>
      <c r="BHL148" s="1056"/>
      <c r="BHM148" s="1056"/>
      <c r="BHN148" s="1056"/>
      <c r="BHO148" s="1056"/>
      <c r="BHP148" s="1056"/>
      <c r="BHQ148" s="1056"/>
      <c r="BHR148" s="1056"/>
      <c r="BHS148" s="1056"/>
      <c r="BHT148" s="1056"/>
      <c r="BHU148" s="1056"/>
      <c r="BHV148" s="1056"/>
      <c r="BHW148" s="1056"/>
      <c r="BHX148" s="1056"/>
      <c r="BHY148" s="1056"/>
      <c r="BHZ148" s="1056"/>
      <c r="BIA148" s="1056"/>
      <c r="BIB148" s="1056"/>
      <c r="BIC148" s="1056"/>
      <c r="BID148" s="1056"/>
      <c r="BIE148" s="1056"/>
      <c r="BIF148" s="1056"/>
      <c r="BIG148" s="1056"/>
      <c r="BIH148" s="1056"/>
      <c r="BII148" s="1056"/>
      <c r="BIJ148" s="1056"/>
      <c r="BIK148" s="1056"/>
      <c r="BIL148" s="1056"/>
      <c r="BIM148" s="1056"/>
      <c r="BIN148" s="1056"/>
      <c r="BIO148" s="1056"/>
      <c r="BIP148" s="1056"/>
      <c r="BIQ148" s="1056"/>
      <c r="BIR148" s="1056"/>
      <c r="BIS148" s="1056"/>
      <c r="BIT148" s="1056"/>
      <c r="BIU148" s="1056"/>
      <c r="BIV148" s="1056"/>
      <c r="BIW148" s="1056"/>
      <c r="BIX148" s="1056"/>
      <c r="BIY148" s="1056"/>
      <c r="BIZ148" s="1056"/>
      <c r="BJA148" s="1056"/>
      <c r="BJB148" s="1056"/>
      <c r="BJC148" s="1056"/>
      <c r="BJD148" s="1056"/>
      <c r="BJE148" s="1056"/>
      <c r="BJF148" s="1056"/>
      <c r="BJG148" s="1056"/>
      <c r="BJH148" s="1056"/>
      <c r="BJI148" s="1056"/>
      <c r="BJJ148" s="1056"/>
      <c r="BJK148" s="1056"/>
      <c r="BJL148" s="1056"/>
      <c r="BJM148" s="1056"/>
      <c r="BJN148" s="1056"/>
      <c r="BJO148" s="1056"/>
      <c r="BJP148" s="1056"/>
      <c r="BJQ148" s="1056"/>
      <c r="BJR148" s="1056"/>
      <c r="BJS148" s="1056"/>
      <c r="BJT148" s="1056"/>
      <c r="BJU148" s="1056"/>
      <c r="BJV148" s="1056"/>
      <c r="BJW148" s="1056"/>
      <c r="BJX148" s="1056"/>
      <c r="BJY148" s="1056"/>
      <c r="BJZ148" s="1056"/>
      <c r="BKA148" s="1056"/>
      <c r="BKB148" s="1056"/>
      <c r="BKC148" s="1056"/>
      <c r="BKD148" s="1056"/>
      <c r="BKE148" s="1056"/>
      <c r="BKF148" s="1056"/>
      <c r="BKG148" s="1056"/>
      <c r="BKH148" s="1056"/>
      <c r="BKI148" s="1056"/>
      <c r="BKJ148" s="1056"/>
      <c r="BKK148" s="1056"/>
      <c r="BKL148" s="1056"/>
      <c r="BKM148" s="1056"/>
      <c r="BKN148" s="1056"/>
      <c r="BKO148" s="1056"/>
      <c r="BKP148" s="1056"/>
      <c r="BKQ148" s="1056"/>
      <c r="BKR148" s="1056"/>
      <c r="BKS148" s="1056"/>
      <c r="BKT148" s="1056"/>
      <c r="BKU148" s="1056"/>
      <c r="BKV148" s="1056"/>
      <c r="BKW148" s="1056"/>
      <c r="BKX148" s="1056"/>
      <c r="BKY148" s="1056"/>
      <c r="BKZ148" s="1056"/>
      <c r="BLA148" s="1056"/>
      <c r="BLB148" s="1056"/>
      <c r="BLC148" s="1056"/>
      <c r="BLD148" s="1056"/>
      <c r="BLE148" s="1056"/>
      <c r="BLF148" s="1056"/>
      <c r="BLG148" s="1056"/>
      <c r="BLH148" s="1056"/>
      <c r="BLI148" s="1056"/>
      <c r="BLJ148" s="1056"/>
      <c r="BLK148" s="1056"/>
      <c r="BLL148" s="1056"/>
      <c r="BLM148" s="1056"/>
      <c r="BLN148" s="1056"/>
      <c r="BLO148" s="1056"/>
      <c r="BLP148" s="1056"/>
      <c r="BLQ148" s="1056"/>
      <c r="BLR148" s="1056"/>
      <c r="BLS148" s="1056"/>
      <c r="BLT148" s="1056"/>
      <c r="BLU148" s="1056"/>
      <c r="BLV148" s="1056"/>
      <c r="BLW148" s="1056"/>
      <c r="BLX148" s="1056"/>
      <c r="BLY148" s="1056"/>
      <c r="BLZ148" s="1056"/>
      <c r="BMA148" s="1056"/>
      <c r="BMB148" s="1056"/>
      <c r="BMC148" s="1056"/>
      <c r="BMD148" s="1056"/>
      <c r="BME148" s="1056"/>
      <c r="BMF148" s="1056"/>
      <c r="BMG148" s="1056"/>
      <c r="BMH148" s="1056"/>
      <c r="BMI148" s="1056"/>
      <c r="BMJ148" s="1056"/>
      <c r="BMK148" s="1056"/>
      <c r="BML148" s="1056"/>
      <c r="BMM148" s="1056"/>
      <c r="BMN148" s="1056"/>
      <c r="BMO148" s="1056"/>
      <c r="BMP148" s="1056"/>
      <c r="BMQ148" s="1056"/>
      <c r="BMR148" s="1056"/>
      <c r="BMS148" s="1056"/>
      <c r="BMT148" s="1056"/>
      <c r="BMU148" s="1056"/>
      <c r="BMV148" s="1056"/>
      <c r="BMW148" s="1056"/>
      <c r="BMX148" s="1056"/>
      <c r="BMY148" s="1056"/>
      <c r="BMZ148" s="1056"/>
      <c r="BNA148" s="1056"/>
      <c r="BNB148" s="1056"/>
      <c r="BNC148" s="1056"/>
      <c r="BND148" s="1056"/>
      <c r="BNE148" s="1056"/>
      <c r="BNF148" s="1056"/>
      <c r="BNG148" s="1056"/>
      <c r="BNH148" s="1056"/>
      <c r="BNI148" s="1056"/>
      <c r="BNJ148" s="1056"/>
      <c r="BNK148" s="1056"/>
      <c r="BNL148" s="1056"/>
      <c r="BNM148" s="1056"/>
      <c r="BNN148" s="1056"/>
      <c r="BNO148" s="1056"/>
      <c r="BNP148" s="1056"/>
      <c r="BNQ148" s="1056"/>
      <c r="BNR148" s="1056"/>
      <c r="BNS148" s="1056"/>
      <c r="BNT148" s="1056"/>
      <c r="BNU148" s="1056"/>
      <c r="BNV148" s="1056"/>
      <c r="BNW148" s="1056"/>
      <c r="BNX148" s="1056"/>
      <c r="BNY148" s="1056"/>
      <c r="BNZ148" s="1056"/>
      <c r="BOA148" s="1056"/>
      <c r="BOB148" s="1056"/>
      <c r="BOC148" s="1056"/>
      <c r="BOD148" s="1056"/>
      <c r="BOE148" s="1056"/>
      <c r="BOF148" s="1056"/>
      <c r="BOG148" s="1056"/>
      <c r="BOH148" s="1056"/>
      <c r="BOI148" s="1056"/>
      <c r="BOJ148" s="1056"/>
      <c r="BOK148" s="1056"/>
      <c r="BOL148" s="1056"/>
      <c r="BOM148" s="1056"/>
      <c r="BON148" s="1056"/>
      <c r="BOO148" s="1056"/>
      <c r="BOP148" s="1056"/>
      <c r="BOQ148" s="1056"/>
      <c r="BOR148" s="1056"/>
      <c r="BOS148" s="1056"/>
      <c r="BOT148" s="1056"/>
      <c r="BOU148" s="1056"/>
      <c r="BOV148" s="1056"/>
      <c r="BOW148" s="1056"/>
      <c r="BOX148" s="1056"/>
      <c r="BOY148" s="1056"/>
      <c r="BOZ148" s="1056"/>
      <c r="BPA148" s="1056"/>
      <c r="BPB148" s="1056"/>
      <c r="BPC148" s="1056"/>
      <c r="BPD148" s="1056"/>
      <c r="BPE148" s="1056"/>
      <c r="BPF148" s="1056"/>
      <c r="BPG148" s="1056"/>
      <c r="BPH148" s="1056"/>
      <c r="BPI148" s="1056"/>
      <c r="BPJ148" s="1056"/>
      <c r="BPK148" s="1056"/>
      <c r="BPL148" s="1056"/>
      <c r="BPM148" s="1056"/>
      <c r="BPN148" s="1056"/>
      <c r="BPO148" s="1056"/>
      <c r="BPP148" s="1056"/>
      <c r="BPQ148" s="1056"/>
      <c r="BPR148" s="1056"/>
      <c r="BPS148" s="1056"/>
      <c r="BPT148" s="1056"/>
      <c r="BPU148" s="1056"/>
      <c r="BPV148" s="1056"/>
      <c r="BPW148" s="1056"/>
      <c r="BPX148" s="1056"/>
      <c r="BPY148" s="1056"/>
      <c r="BPZ148" s="1056"/>
      <c r="BQA148" s="1056"/>
      <c r="BQB148" s="1056"/>
      <c r="BQC148" s="1056"/>
      <c r="BQD148" s="1056"/>
      <c r="BQE148" s="1056"/>
      <c r="BQF148" s="1056"/>
      <c r="BQG148" s="1056"/>
      <c r="BQH148" s="1056"/>
      <c r="BQI148" s="1056"/>
      <c r="BQJ148" s="1056"/>
      <c r="BQK148" s="1056"/>
      <c r="BQL148" s="1056"/>
      <c r="BQM148" s="1056"/>
      <c r="BQN148" s="1056"/>
      <c r="BQO148" s="1056"/>
      <c r="BQP148" s="1056"/>
      <c r="BQQ148" s="1056"/>
      <c r="BQR148" s="1056"/>
      <c r="BQS148" s="1056"/>
      <c r="BQT148" s="1056"/>
      <c r="BQU148" s="1056"/>
      <c r="BQV148" s="1056"/>
      <c r="BQW148" s="1056"/>
      <c r="BQX148" s="1056"/>
      <c r="BQY148" s="1056"/>
      <c r="BQZ148" s="1056"/>
      <c r="BRA148" s="1056"/>
      <c r="BRB148" s="1056"/>
      <c r="BRC148" s="1056"/>
      <c r="BRD148" s="1056"/>
      <c r="BRE148" s="1056"/>
      <c r="BRF148" s="1056"/>
      <c r="BRG148" s="1056"/>
      <c r="BRH148" s="1056"/>
      <c r="BRI148" s="1056"/>
      <c r="BRJ148" s="1056"/>
      <c r="BRK148" s="1056"/>
      <c r="BRL148" s="1056"/>
      <c r="BRM148" s="1056"/>
      <c r="BRN148" s="1056"/>
      <c r="BRO148" s="1056"/>
      <c r="BRP148" s="1056"/>
      <c r="BRQ148" s="1056"/>
      <c r="BRR148" s="1056"/>
      <c r="BRS148" s="1056"/>
      <c r="BRT148" s="1056"/>
      <c r="BRU148" s="1056"/>
      <c r="BRV148" s="1056"/>
      <c r="BRW148" s="1056"/>
      <c r="BRX148" s="1056"/>
      <c r="BRY148" s="1056"/>
      <c r="BRZ148" s="1056"/>
      <c r="BSA148" s="1056"/>
      <c r="BSB148" s="1056"/>
      <c r="BSC148" s="1056"/>
      <c r="BSD148" s="1056"/>
      <c r="BSE148" s="1056"/>
      <c r="BSF148" s="1056"/>
      <c r="BSG148" s="1056"/>
      <c r="BSH148" s="1056"/>
      <c r="BSI148" s="1056"/>
      <c r="BSJ148" s="1056"/>
      <c r="BSK148" s="1056"/>
      <c r="BSL148" s="1056"/>
      <c r="BSM148" s="1056"/>
      <c r="BSN148" s="1056"/>
      <c r="BSO148" s="1056"/>
      <c r="BSP148" s="1056"/>
      <c r="BSQ148" s="1056"/>
      <c r="BSR148" s="1056"/>
      <c r="BSS148" s="1056"/>
      <c r="BST148" s="1056"/>
      <c r="BSU148" s="1056"/>
      <c r="BSV148" s="1056"/>
      <c r="BSW148" s="1056"/>
      <c r="BSX148" s="1056"/>
      <c r="BSY148" s="1056"/>
      <c r="BSZ148" s="1056"/>
      <c r="BTA148" s="1056"/>
      <c r="BTB148" s="1056"/>
      <c r="BTC148" s="1056"/>
      <c r="BTD148" s="1056"/>
      <c r="BTE148" s="1056"/>
      <c r="BTF148" s="1056"/>
      <c r="BTG148" s="1056"/>
      <c r="BTH148" s="1056"/>
      <c r="BTI148" s="1056"/>
    </row>
    <row r="149" spans="1:1881" s="1060" customFormat="1" ht="67.5" hidden="1" customHeight="1" x14ac:dyDescent="0.3">
      <c r="A149" s="1059">
        <v>83</v>
      </c>
      <c r="B149" s="808" t="s">
        <v>61</v>
      </c>
      <c r="C149" s="808" t="s">
        <v>1387</v>
      </c>
      <c r="D149" s="1095" t="s">
        <v>154</v>
      </c>
      <c r="E149" s="1053" t="e">
        <f>HLOOKUP($D$2,'2020 Data(H)'!$C$1:$AI$426,47,FALSE)</f>
        <v>#N/A</v>
      </c>
      <c r="F149" s="287">
        <v>0</v>
      </c>
      <c r="G149" s="722">
        <f>IF(F138-F147-F149=0,,"Error: Total assets less total liabilities do not equal total net assets.  Account numbers 381-349-83=0  The amount of the formula is in the cell to the right")</f>
        <v>0</v>
      </c>
      <c r="H149" s="1054">
        <f>F138-F147-F149</f>
        <v>0</v>
      </c>
      <c r="I149" s="1055"/>
      <c r="J149" s="1056"/>
      <c r="K149" s="1056"/>
      <c r="L149" s="1056"/>
      <c r="M149" s="1056"/>
      <c r="N149" s="1058"/>
      <c r="O149" s="1056"/>
      <c r="P149" s="1056"/>
      <c r="Q149" s="1056"/>
      <c r="R149" s="1056"/>
      <c r="S149" s="1056"/>
      <c r="T149" s="1056"/>
      <c r="U149" s="1056"/>
      <c r="V149" s="1056"/>
      <c r="W149" s="1056"/>
      <c r="X149" s="1056"/>
      <c r="Y149" s="1056"/>
      <c r="Z149" s="1059"/>
      <c r="AA149" s="1059"/>
      <c r="AB149" s="1059"/>
      <c r="AC149" s="1059"/>
      <c r="AD149" s="1059"/>
      <c r="AE149" s="1059"/>
      <c r="AF149" s="1059"/>
      <c r="AG149" s="1059"/>
      <c r="AH149" s="1059"/>
      <c r="AI149" s="1059"/>
      <c r="AJ149" s="1059"/>
      <c r="AK149" s="1059"/>
      <c r="AL149" s="1059"/>
      <c r="AM149" s="1059"/>
      <c r="AN149" s="1059"/>
      <c r="AO149" s="1059"/>
      <c r="AP149" s="1059"/>
      <c r="AQ149" s="1059"/>
      <c r="AR149" s="1059"/>
      <c r="AS149" s="1056"/>
      <c r="AT149" s="1056"/>
      <c r="AU149" s="1056"/>
      <c r="AV149" s="1056"/>
      <c r="AW149" s="1056"/>
      <c r="AX149" s="1056"/>
      <c r="AY149" s="1056"/>
      <c r="AZ149" s="1056"/>
      <c r="BA149" s="1056"/>
      <c r="BB149" s="1056"/>
      <c r="BC149" s="1056"/>
      <c r="BD149" s="1056"/>
      <c r="BE149" s="1056"/>
      <c r="BF149" s="1056"/>
      <c r="BG149" s="1056"/>
      <c r="BH149" s="1056"/>
      <c r="BI149" s="1056"/>
      <c r="BJ149" s="1056"/>
      <c r="BK149" s="1056"/>
      <c r="BL149" s="1056"/>
      <c r="BM149" s="1056"/>
      <c r="BN149" s="1056"/>
      <c r="BO149" s="1056"/>
      <c r="BP149" s="1056"/>
      <c r="BQ149" s="1056"/>
      <c r="BR149" s="1056"/>
      <c r="BS149" s="1056"/>
      <c r="BT149" s="1056"/>
      <c r="BU149" s="1056"/>
      <c r="BV149" s="1056"/>
      <c r="BW149" s="1056"/>
      <c r="BX149" s="1056"/>
      <c r="BY149" s="1056"/>
      <c r="BZ149" s="1056"/>
      <c r="CA149" s="1056"/>
      <c r="CB149" s="1056"/>
      <c r="CC149" s="1056"/>
      <c r="CD149" s="1056"/>
      <c r="CE149" s="1056"/>
      <c r="CF149" s="1056"/>
      <c r="CG149" s="1056"/>
      <c r="CH149" s="1056"/>
      <c r="CI149" s="1056"/>
      <c r="CJ149" s="1056"/>
      <c r="CK149" s="1056"/>
      <c r="CL149" s="1056"/>
      <c r="CM149" s="1056"/>
      <c r="CN149" s="1056"/>
      <c r="CO149" s="1056"/>
      <c r="CP149" s="1056"/>
      <c r="CQ149" s="1056"/>
      <c r="CR149" s="1056"/>
      <c r="CS149" s="1056"/>
      <c r="CT149" s="1056"/>
      <c r="CU149" s="1056"/>
      <c r="CV149" s="1056"/>
      <c r="CW149" s="1056"/>
      <c r="CX149" s="1056"/>
      <c r="CY149" s="1056"/>
      <c r="CZ149" s="1056"/>
      <c r="DA149" s="1056"/>
      <c r="DB149" s="1056"/>
      <c r="DC149" s="1056"/>
      <c r="DD149" s="1056"/>
      <c r="DE149" s="1056"/>
      <c r="DF149" s="1056"/>
      <c r="DG149" s="1056"/>
      <c r="DH149" s="1056"/>
      <c r="DI149" s="1056"/>
      <c r="DJ149" s="1056"/>
      <c r="DK149" s="1056"/>
      <c r="DL149" s="1056"/>
      <c r="DM149" s="1056"/>
      <c r="DN149" s="1056"/>
      <c r="DO149" s="1056"/>
      <c r="DP149" s="1056"/>
      <c r="DQ149" s="1056"/>
      <c r="DR149" s="1056"/>
      <c r="DS149" s="1056"/>
      <c r="DT149" s="1056"/>
      <c r="DU149" s="1056"/>
      <c r="DV149" s="1056"/>
      <c r="DW149" s="1056"/>
      <c r="DX149" s="1056"/>
      <c r="DY149" s="1056"/>
      <c r="DZ149" s="1056"/>
      <c r="EA149" s="1056"/>
      <c r="EB149" s="1056"/>
      <c r="EC149" s="1056"/>
      <c r="ED149" s="1056"/>
      <c r="EE149" s="1056"/>
      <c r="EF149" s="1056"/>
      <c r="EG149" s="1056"/>
      <c r="EH149" s="1056"/>
      <c r="EI149" s="1056"/>
      <c r="EJ149" s="1056"/>
      <c r="EK149" s="1056"/>
      <c r="EL149" s="1056"/>
      <c r="EM149" s="1056"/>
      <c r="EN149" s="1056"/>
      <c r="EO149" s="1056"/>
      <c r="EP149" s="1056"/>
      <c r="EQ149" s="1056"/>
      <c r="ER149" s="1056"/>
      <c r="ES149" s="1056"/>
      <c r="ET149" s="1056"/>
      <c r="EU149" s="1056"/>
      <c r="EV149" s="1056"/>
      <c r="EW149" s="1056"/>
      <c r="EX149" s="1056"/>
      <c r="EY149" s="1056"/>
      <c r="EZ149" s="1056"/>
      <c r="FA149" s="1056"/>
      <c r="FB149" s="1056"/>
      <c r="FC149" s="1056"/>
      <c r="FD149" s="1056"/>
      <c r="FE149" s="1056"/>
      <c r="FF149" s="1056"/>
      <c r="FG149" s="1056"/>
      <c r="FH149" s="1056"/>
      <c r="FI149" s="1056"/>
      <c r="FJ149" s="1056"/>
      <c r="FK149" s="1056"/>
      <c r="FL149" s="1056"/>
      <c r="FM149" s="1056"/>
      <c r="FN149" s="1056"/>
      <c r="FO149" s="1056"/>
      <c r="FP149" s="1056"/>
      <c r="FQ149" s="1056"/>
      <c r="FR149" s="1056"/>
      <c r="FS149" s="1056"/>
      <c r="FT149" s="1056"/>
      <c r="FU149" s="1056"/>
      <c r="FV149" s="1056"/>
      <c r="FW149" s="1056"/>
      <c r="FX149" s="1056"/>
      <c r="FY149" s="1056"/>
      <c r="FZ149" s="1056"/>
      <c r="GA149" s="1056"/>
      <c r="GB149" s="1056"/>
      <c r="GC149" s="1056"/>
      <c r="GD149" s="1056"/>
      <c r="GE149" s="1056"/>
      <c r="GF149" s="1056"/>
      <c r="GG149" s="1056"/>
      <c r="GH149" s="1056"/>
      <c r="GI149" s="1056"/>
      <c r="GJ149" s="1056"/>
      <c r="GK149" s="1056"/>
      <c r="GL149" s="1056"/>
      <c r="GM149" s="1056"/>
      <c r="GN149" s="1056"/>
      <c r="GO149" s="1056"/>
      <c r="GP149" s="1056"/>
      <c r="GQ149" s="1056"/>
      <c r="GR149" s="1056"/>
      <c r="GS149" s="1056"/>
      <c r="GT149" s="1056"/>
      <c r="GU149" s="1056"/>
      <c r="GV149" s="1056"/>
      <c r="GW149" s="1056"/>
      <c r="GX149" s="1056"/>
      <c r="GY149" s="1056"/>
      <c r="GZ149" s="1056"/>
      <c r="HA149" s="1056"/>
      <c r="HB149" s="1056"/>
      <c r="HC149" s="1056"/>
      <c r="HD149" s="1056"/>
      <c r="HE149" s="1056"/>
      <c r="HF149" s="1056"/>
      <c r="HG149" s="1056"/>
      <c r="HH149" s="1056"/>
      <c r="HI149" s="1056"/>
      <c r="HJ149" s="1056"/>
      <c r="HK149" s="1056"/>
      <c r="HL149" s="1056"/>
      <c r="HM149" s="1056"/>
      <c r="HN149" s="1056"/>
      <c r="HO149" s="1056"/>
      <c r="HP149" s="1056"/>
      <c r="HQ149" s="1056"/>
      <c r="HR149" s="1056"/>
      <c r="HS149" s="1056"/>
      <c r="HT149" s="1056"/>
      <c r="HU149" s="1056"/>
      <c r="HV149" s="1056"/>
      <c r="HW149" s="1056"/>
      <c r="HX149" s="1056"/>
      <c r="HY149" s="1056"/>
      <c r="HZ149" s="1056"/>
      <c r="IA149" s="1056"/>
      <c r="IB149" s="1056"/>
      <c r="IC149" s="1056"/>
      <c r="ID149" s="1056"/>
      <c r="IE149" s="1056"/>
      <c r="IF149" s="1056"/>
      <c r="IG149" s="1056"/>
      <c r="IH149" s="1056"/>
      <c r="II149" s="1056"/>
      <c r="IJ149" s="1056"/>
      <c r="IK149" s="1056"/>
      <c r="IL149" s="1056"/>
      <c r="IM149" s="1056"/>
      <c r="IN149" s="1056"/>
      <c r="IO149" s="1056"/>
      <c r="IP149" s="1056"/>
      <c r="IQ149" s="1056"/>
      <c r="IR149" s="1056"/>
      <c r="IS149" s="1056"/>
      <c r="IT149" s="1056"/>
      <c r="IU149" s="1056"/>
      <c r="IV149" s="1056"/>
      <c r="IW149" s="1056"/>
      <c r="IX149" s="1056"/>
      <c r="IY149" s="1056"/>
      <c r="IZ149" s="1056"/>
      <c r="JA149" s="1056"/>
      <c r="JB149" s="1056"/>
      <c r="JC149" s="1056"/>
      <c r="JD149" s="1056"/>
      <c r="JE149" s="1056"/>
      <c r="JF149" s="1056"/>
      <c r="JG149" s="1056"/>
      <c r="JH149" s="1056"/>
      <c r="JI149" s="1056"/>
      <c r="JJ149" s="1056"/>
      <c r="JK149" s="1056"/>
      <c r="JL149" s="1056"/>
      <c r="JM149" s="1056"/>
      <c r="JN149" s="1056"/>
      <c r="JO149" s="1056"/>
      <c r="JP149" s="1056"/>
      <c r="JQ149" s="1056"/>
      <c r="JR149" s="1056"/>
      <c r="JS149" s="1056"/>
      <c r="JT149" s="1056"/>
      <c r="JU149" s="1056"/>
      <c r="JV149" s="1056"/>
      <c r="JW149" s="1056"/>
      <c r="JX149" s="1056"/>
      <c r="JY149" s="1056"/>
      <c r="JZ149" s="1056"/>
      <c r="KA149" s="1056"/>
      <c r="KB149" s="1056"/>
      <c r="KC149" s="1056"/>
      <c r="KD149" s="1056"/>
      <c r="KE149" s="1056"/>
      <c r="KF149" s="1056"/>
      <c r="KG149" s="1056"/>
      <c r="KH149" s="1056"/>
      <c r="KI149" s="1056"/>
      <c r="KJ149" s="1056"/>
      <c r="KK149" s="1056"/>
      <c r="KL149" s="1056"/>
      <c r="KM149" s="1056"/>
      <c r="KN149" s="1056"/>
      <c r="KO149" s="1056"/>
      <c r="KP149" s="1056"/>
      <c r="KQ149" s="1056"/>
      <c r="KR149" s="1056"/>
      <c r="KS149" s="1056"/>
      <c r="KT149" s="1056"/>
      <c r="KU149" s="1056"/>
      <c r="KV149" s="1056"/>
      <c r="KW149" s="1056"/>
      <c r="KX149" s="1056"/>
      <c r="KY149" s="1056"/>
      <c r="KZ149" s="1056"/>
      <c r="LA149" s="1056"/>
      <c r="LB149" s="1056"/>
      <c r="LC149" s="1056"/>
      <c r="LD149" s="1056"/>
      <c r="LE149" s="1056"/>
      <c r="LF149" s="1056"/>
      <c r="LG149" s="1056"/>
      <c r="LH149" s="1056"/>
      <c r="LI149" s="1056"/>
      <c r="LJ149" s="1056"/>
      <c r="LK149" s="1056"/>
      <c r="LL149" s="1056"/>
      <c r="LM149" s="1056"/>
      <c r="LN149" s="1056"/>
      <c r="LO149" s="1056"/>
      <c r="LP149" s="1056"/>
      <c r="LQ149" s="1056"/>
      <c r="LR149" s="1056"/>
      <c r="LS149" s="1056"/>
      <c r="LT149" s="1056"/>
      <c r="LU149" s="1056"/>
      <c r="LV149" s="1056"/>
      <c r="LW149" s="1056"/>
      <c r="LX149" s="1056"/>
      <c r="LY149" s="1056"/>
      <c r="LZ149" s="1056"/>
      <c r="MA149" s="1056"/>
      <c r="MB149" s="1056"/>
      <c r="MC149" s="1056"/>
      <c r="MD149" s="1056"/>
      <c r="ME149" s="1056"/>
      <c r="MF149" s="1056"/>
      <c r="MG149" s="1056"/>
      <c r="MH149" s="1056"/>
      <c r="MI149" s="1056"/>
      <c r="MJ149" s="1056"/>
      <c r="MK149" s="1056"/>
      <c r="ML149" s="1056"/>
      <c r="MM149" s="1056"/>
      <c r="MN149" s="1056"/>
      <c r="MO149" s="1056"/>
      <c r="MP149" s="1056"/>
      <c r="MQ149" s="1056"/>
      <c r="MR149" s="1056"/>
      <c r="MS149" s="1056"/>
      <c r="MT149" s="1056"/>
      <c r="MU149" s="1056"/>
      <c r="MV149" s="1056"/>
      <c r="MW149" s="1056"/>
      <c r="MX149" s="1056"/>
      <c r="MY149" s="1056"/>
      <c r="MZ149" s="1056"/>
      <c r="NA149" s="1056"/>
      <c r="NB149" s="1056"/>
      <c r="NC149" s="1056"/>
      <c r="ND149" s="1056"/>
      <c r="NE149" s="1056"/>
      <c r="NF149" s="1056"/>
      <c r="NG149" s="1056"/>
      <c r="NH149" s="1056"/>
      <c r="NI149" s="1056"/>
      <c r="NJ149" s="1056"/>
      <c r="NK149" s="1056"/>
      <c r="NL149" s="1056"/>
      <c r="NM149" s="1056"/>
      <c r="NN149" s="1056"/>
      <c r="NO149" s="1056"/>
      <c r="NP149" s="1056"/>
      <c r="NQ149" s="1056"/>
      <c r="NR149" s="1056"/>
      <c r="NS149" s="1056"/>
      <c r="NT149" s="1056"/>
      <c r="NU149" s="1056"/>
      <c r="NV149" s="1056"/>
      <c r="NW149" s="1056"/>
      <c r="NX149" s="1056"/>
      <c r="NY149" s="1056"/>
      <c r="NZ149" s="1056"/>
      <c r="OA149" s="1056"/>
      <c r="OB149" s="1056"/>
      <c r="OC149" s="1056"/>
      <c r="OD149" s="1056"/>
      <c r="OE149" s="1056"/>
      <c r="OF149" s="1056"/>
      <c r="OG149" s="1056"/>
      <c r="OH149" s="1056"/>
      <c r="OI149" s="1056"/>
      <c r="OJ149" s="1056"/>
      <c r="OK149" s="1056"/>
      <c r="OL149" s="1056"/>
      <c r="OM149" s="1056"/>
      <c r="ON149" s="1056"/>
      <c r="OO149" s="1056"/>
      <c r="OP149" s="1056"/>
      <c r="OQ149" s="1056"/>
      <c r="OR149" s="1056"/>
      <c r="OS149" s="1056"/>
      <c r="OT149" s="1056"/>
      <c r="OU149" s="1056"/>
      <c r="OV149" s="1056"/>
      <c r="OW149" s="1056"/>
      <c r="OX149" s="1056"/>
      <c r="OY149" s="1056"/>
      <c r="OZ149" s="1056"/>
      <c r="PA149" s="1056"/>
      <c r="PB149" s="1056"/>
      <c r="PC149" s="1056"/>
      <c r="PD149" s="1056"/>
      <c r="PE149" s="1056"/>
      <c r="PF149" s="1056"/>
      <c r="PG149" s="1056"/>
      <c r="PH149" s="1056"/>
      <c r="PI149" s="1056"/>
      <c r="PJ149" s="1056"/>
      <c r="PK149" s="1056"/>
      <c r="PL149" s="1056"/>
      <c r="PM149" s="1056"/>
      <c r="PN149" s="1056"/>
      <c r="PO149" s="1056"/>
      <c r="PP149" s="1056"/>
      <c r="PQ149" s="1056"/>
      <c r="PR149" s="1056"/>
      <c r="PS149" s="1056"/>
      <c r="PT149" s="1056"/>
      <c r="PU149" s="1056"/>
      <c r="PV149" s="1056"/>
      <c r="PW149" s="1056"/>
      <c r="PX149" s="1056"/>
      <c r="PY149" s="1056"/>
      <c r="PZ149" s="1056"/>
      <c r="QA149" s="1056"/>
      <c r="QB149" s="1056"/>
      <c r="QC149" s="1056"/>
      <c r="QD149" s="1056"/>
      <c r="QE149" s="1056"/>
      <c r="QF149" s="1056"/>
      <c r="QG149" s="1056"/>
      <c r="QH149" s="1056"/>
      <c r="QI149" s="1056"/>
      <c r="QJ149" s="1056"/>
      <c r="QK149" s="1056"/>
      <c r="QL149" s="1056"/>
      <c r="QM149" s="1056"/>
      <c r="QN149" s="1056"/>
      <c r="QO149" s="1056"/>
      <c r="QP149" s="1056"/>
      <c r="QQ149" s="1056"/>
      <c r="QR149" s="1056"/>
      <c r="QS149" s="1056"/>
      <c r="QT149" s="1056"/>
      <c r="QU149" s="1056"/>
      <c r="QV149" s="1056"/>
      <c r="QW149" s="1056"/>
      <c r="QX149" s="1056"/>
      <c r="QY149" s="1056"/>
      <c r="QZ149" s="1056"/>
      <c r="RA149" s="1056"/>
      <c r="RB149" s="1056"/>
      <c r="RC149" s="1056"/>
      <c r="RD149" s="1056"/>
      <c r="RE149" s="1056"/>
      <c r="RF149" s="1056"/>
      <c r="RG149" s="1056"/>
      <c r="RH149" s="1056"/>
      <c r="RI149" s="1056"/>
      <c r="RJ149" s="1056"/>
      <c r="RK149" s="1056"/>
      <c r="RL149" s="1056"/>
      <c r="RM149" s="1056"/>
      <c r="RN149" s="1056"/>
      <c r="RO149" s="1056"/>
      <c r="RP149" s="1056"/>
      <c r="RQ149" s="1056"/>
      <c r="RR149" s="1056"/>
      <c r="RS149" s="1056"/>
      <c r="RT149" s="1056"/>
      <c r="RU149" s="1056"/>
      <c r="RV149" s="1056"/>
      <c r="RW149" s="1056"/>
      <c r="RX149" s="1056"/>
      <c r="RY149" s="1056"/>
      <c r="RZ149" s="1056"/>
      <c r="SA149" s="1056"/>
      <c r="SB149" s="1056"/>
      <c r="SC149" s="1056"/>
      <c r="SD149" s="1056"/>
      <c r="SE149" s="1056"/>
      <c r="SF149" s="1056"/>
      <c r="SG149" s="1056"/>
      <c r="SH149" s="1056"/>
      <c r="SI149" s="1056"/>
      <c r="SJ149" s="1056"/>
      <c r="SK149" s="1056"/>
      <c r="SL149" s="1056"/>
      <c r="SM149" s="1056"/>
      <c r="SN149" s="1056"/>
      <c r="SO149" s="1056"/>
      <c r="SP149" s="1056"/>
      <c r="SQ149" s="1056"/>
      <c r="SR149" s="1056"/>
      <c r="SS149" s="1056"/>
      <c r="ST149" s="1056"/>
      <c r="SU149" s="1056"/>
      <c r="SV149" s="1056"/>
      <c r="SW149" s="1056"/>
      <c r="SX149" s="1056"/>
      <c r="SY149" s="1056"/>
      <c r="SZ149" s="1056"/>
      <c r="TA149" s="1056"/>
      <c r="TB149" s="1056"/>
      <c r="TC149" s="1056"/>
      <c r="TD149" s="1056"/>
      <c r="TE149" s="1056"/>
      <c r="TF149" s="1056"/>
      <c r="TG149" s="1056"/>
      <c r="TH149" s="1056"/>
      <c r="TI149" s="1056"/>
      <c r="TJ149" s="1056"/>
      <c r="TK149" s="1056"/>
      <c r="TL149" s="1056"/>
      <c r="TM149" s="1056"/>
      <c r="TN149" s="1056"/>
      <c r="TO149" s="1056"/>
      <c r="TP149" s="1056"/>
      <c r="TQ149" s="1056"/>
      <c r="TR149" s="1056"/>
      <c r="TS149" s="1056"/>
      <c r="TT149" s="1056"/>
      <c r="TU149" s="1056"/>
      <c r="TV149" s="1056"/>
      <c r="TW149" s="1056"/>
      <c r="TX149" s="1056"/>
      <c r="TY149" s="1056"/>
      <c r="TZ149" s="1056"/>
      <c r="UA149" s="1056"/>
      <c r="UB149" s="1056"/>
      <c r="UC149" s="1056"/>
      <c r="UD149" s="1056"/>
      <c r="UE149" s="1056"/>
      <c r="UF149" s="1056"/>
      <c r="UG149" s="1056"/>
      <c r="UH149" s="1056"/>
      <c r="UI149" s="1056"/>
      <c r="UJ149" s="1056"/>
      <c r="UK149" s="1056"/>
      <c r="UL149" s="1056"/>
      <c r="UM149" s="1056"/>
      <c r="UN149" s="1056"/>
      <c r="UO149" s="1056"/>
      <c r="UP149" s="1056"/>
      <c r="UQ149" s="1056"/>
      <c r="UR149" s="1056"/>
      <c r="US149" s="1056"/>
      <c r="UT149" s="1056"/>
      <c r="UU149" s="1056"/>
      <c r="UV149" s="1056"/>
      <c r="UW149" s="1056"/>
      <c r="UX149" s="1056"/>
      <c r="UY149" s="1056"/>
      <c r="UZ149" s="1056"/>
      <c r="VA149" s="1056"/>
      <c r="VB149" s="1056"/>
      <c r="VC149" s="1056"/>
      <c r="VD149" s="1056"/>
      <c r="VE149" s="1056"/>
      <c r="VF149" s="1056"/>
      <c r="VG149" s="1056"/>
      <c r="VH149" s="1056"/>
      <c r="VI149" s="1056"/>
      <c r="VJ149" s="1056"/>
      <c r="VK149" s="1056"/>
      <c r="VL149" s="1056"/>
      <c r="VM149" s="1056"/>
      <c r="VN149" s="1056"/>
      <c r="VO149" s="1056"/>
      <c r="VP149" s="1056"/>
      <c r="VQ149" s="1056"/>
      <c r="VR149" s="1056"/>
      <c r="VS149" s="1056"/>
      <c r="VT149" s="1056"/>
      <c r="VU149" s="1056"/>
      <c r="VV149" s="1056"/>
      <c r="VW149" s="1056"/>
      <c r="VX149" s="1056"/>
      <c r="VY149" s="1056"/>
      <c r="VZ149" s="1056"/>
      <c r="WA149" s="1056"/>
      <c r="WB149" s="1056"/>
      <c r="WC149" s="1056"/>
      <c r="WD149" s="1056"/>
      <c r="WE149" s="1056"/>
      <c r="WF149" s="1056"/>
      <c r="WG149" s="1056"/>
      <c r="WH149" s="1056"/>
      <c r="WI149" s="1056"/>
      <c r="WJ149" s="1056"/>
      <c r="WK149" s="1056"/>
      <c r="WL149" s="1056"/>
      <c r="WM149" s="1056"/>
      <c r="WN149" s="1056"/>
      <c r="WO149" s="1056"/>
      <c r="WP149" s="1056"/>
      <c r="WQ149" s="1056"/>
      <c r="WR149" s="1056"/>
      <c r="WS149" s="1056"/>
      <c r="WT149" s="1056"/>
      <c r="WU149" s="1056"/>
      <c r="WV149" s="1056"/>
      <c r="WW149" s="1056"/>
      <c r="WX149" s="1056"/>
      <c r="WY149" s="1056"/>
      <c r="WZ149" s="1056"/>
      <c r="XA149" s="1056"/>
      <c r="XB149" s="1056"/>
      <c r="XC149" s="1056"/>
      <c r="XD149" s="1056"/>
      <c r="XE149" s="1056"/>
      <c r="XF149" s="1056"/>
      <c r="XG149" s="1056"/>
      <c r="XH149" s="1056"/>
      <c r="XI149" s="1056"/>
      <c r="XJ149" s="1056"/>
      <c r="XK149" s="1056"/>
      <c r="XL149" s="1056"/>
      <c r="XM149" s="1056"/>
      <c r="XN149" s="1056"/>
      <c r="XO149" s="1056"/>
      <c r="XP149" s="1056"/>
      <c r="XQ149" s="1056"/>
      <c r="XR149" s="1056"/>
      <c r="XS149" s="1056"/>
      <c r="XT149" s="1056"/>
      <c r="XU149" s="1056"/>
      <c r="XV149" s="1056"/>
      <c r="XW149" s="1056"/>
      <c r="XX149" s="1056"/>
      <c r="XY149" s="1056"/>
      <c r="XZ149" s="1056"/>
      <c r="YA149" s="1056"/>
      <c r="YB149" s="1056"/>
      <c r="YC149" s="1056"/>
      <c r="YD149" s="1056"/>
      <c r="YE149" s="1056"/>
      <c r="YF149" s="1056"/>
      <c r="YG149" s="1056"/>
      <c r="YH149" s="1056"/>
      <c r="YI149" s="1056"/>
      <c r="YJ149" s="1056"/>
      <c r="YK149" s="1056"/>
      <c r="YL149" s="1056"/>
      <c r="YM149" s="1056"/>
      <c r="YN149" s="1056"/>
      <c r="YO149" s="1056"/>
      <c r="YP149" s="1056"/>
      <c r="YQ149" s="1056"/>
      <c r="YR149" s="1056"/>
      <c r="YS149" s="1056"/>
      <c r="YT149" s="1056"/>
      <c r="YU149" s="1056"/>
      <c r="YV149" s="1056"/>
      <c r="YW149" s="1056"/>
      <c r="YX149" s="1056"/>
      <c r="YY149" s="1056"/>
      <c r="YZ149" s="1056"/>
      <c r="ZA149" s="1056"/>
      <c r="ZB149" s="1056"/>
      <c r="ZC149" s="1056"/>
      <c r="ZD149" s="1056"/>
      <c r="ZE149" s="1056"/>
      <c r="ZF149" s="1056"/>
      <c r="ZG149" s="1056"/>
      <c r="ZH149" s="1056"/>
      <c r="ZI149" s="1056"/>
      <c r="ZJ149" s="1056"/>
      <c r="ZK149" s="1056"/>
      <c r="ZL149" s="1056"/>
      <c r="ZM149" s="1056"/>
      <c r="ZN149" s="1056"/>
      <c r="ZO149" s="1056"/>
      <c r="ZP149" s="1056"/>
      <c r="ZQ149" s="1056"/>
      <c r="ZR149" s="1056"/>
      <c r="ZS149" s="1056"/>
      <c r="ZT149" s="1056"/>
      <c r="ZU149" s="1056"/>
      <c r="ZV149" s="1056"/>
      <c r="ZW149" s="1056"/>
      <c r="ZX149" s="1056"/>
      <c r="ZY149" s="1056"/>
      <c r="ZZ149" s="1056"/>
      <c r="AAA149" s="1056"/>
      <c r="AAB149" s="1056"/>
      <c r="AAC149" s="1056"/>
      <c r="AAD149" s="1056"/>
      <c r="AAE149" s="1056"/>
      <c r="AAF149" s="1056"/>
      <c r="AAG149" s="1056"/>
      <c r="AAH149" s="1056"/>
      <c r="AAI149" s="1056"/>
      <c r="AAJ149" s="1056"/>
      <c r="AAK149" s="1056"/>
      <c r="AAL149" s="1056"/>
      <c r="AAM149" s="1056"/>
      <c r="AAN149" s="1056"/>
      <c r="AAO149" s="1056"/>
      <c r="AAP149" s="1056"/>
      <c r="AAQ149" s="1056"/>
      <c r="AAR149" s="1056"/>
      <c r="AAS149" s="1056"/>
      <c r="AAT149" s="1056"/>
      <c r="AAU149" s="1056"/>
      <c r="AAV149" s="1056"/>
      <c r="AAW149" s="1056"/>
      <c r="AAX149" s="1056"/>
      <c r="AAY149" s="1056"/>
      <c r="AAZ149" s="1056"/>
      <c r="ABA149" s="1056"/>
      <c r="ABB149" s="1056"/>
      <c r="ABC149" s="1056"/>
      <c r="ABD149" s="1056"/>
      <c r="ABE149" s="1056"/>
      <c r="ABF149" s="1056"/>
      <c r="ABG149" s="1056"/>
      <c r="ABH149" s="1056"/>
      <c r="ABI149" s="1056"/>
      <c r="ABJ149" s="1056"/>
      <c r="ABK149" s="1056"/>
      <c r="ABL149" s="1056"/>
      <c r="ABM149" s="1056"/>
      <c r="ABN149" s="1056"/>
      <c r="ABO149" s="1056"/>
      <c r="ABP149" s="1056"/>
      <c r="ABQ149" s="1056"/>
      <c r="ABR149" s="1056"/>
      <c r="ABS149" s="1056"/>
      <c r="ABT149" s="1056"/>
      <c r="ABU149" s="1056"/>
      <c r="ABV149" s="1056"/>
      <c r="ABW149" s="1056"/>
      <c r="ABX149" s="1056"/>
      <c r="ABY149" s="1056"/>
      <c r="ABZ149" s="1056"/>
      <c r="ACA149" s="1056"/>
      <c r="ACB149" s="1056"/>
      <c r="ACC149" s="1056"/>
      <c r="ACD149" s="1056"/>
      <c r="ACE149" s="1056"/>
      <c r="ACF149" s="1056"/>
      <c r="ACG149" s="1056"/>
      <c r="ACH149" s="1056"/>
      <c r="ACI149" s="1056"/>
      <c r="ACJ149" s="1056"/>
      <c r="ACK149" s="1056"/>
      <c r="ACL149" s="1056"/>
      <c r="ACM149" s="1056"/>
      <c r="ACN149" s="1056"/>
      <c r="ACO149" s="1056"/>
      <c r="ACP149" s="1056"/>
      <c r="ACQ149" s="1056"/>
      <c r="ACR149" s="1056"/>
      <c r="ACS149" s="1056"/>
      <c r="ACT149" s="1056"/>
      <c r="ACU149" s="1056"/>
      <c r="ACV149" s="1056"/>
      <c r="ACW149" s="1056"/>
      <c r="ACX149" s="1056"/>
      <c r="ACY149" s="1056"/>
      <c r="ACZ149" s="1056"/>
      <c r="ADA149" s="1056"/>
      <c r="ADB149" s="1056"/>
      <c r="ADC149" s="1056"/>
      <c r="ADD149" s="1056"/>
      <c r="ADE149" s="1056"/>
      <c r="ADF149" s="1056"/>
      <c r="ADG149" s="1056"/>
      <c r="ADH149" s="1056"/>
      <c r="ADI149" s="1056"/>
      <c r="ADJ149" s="1056"/>
      <c r="ADK149" s="1056"/>
      <c r="ADL149" s="1056"/>
      <c r="ADM149" s="1056"/>
      <c r="ADN149" s="1056"/>
      <c r="ADO149" s="1056"/>
      <c r="ADP149" s="1056"/>
      <c r="ADQ149" s="1056"/>
      <c r="ADR149" s="1056"/>
      <c r="ADS149" s="1056"/>
      <c r="ADT149" s="1056"/>
      <c r="ADU149" s="1056"/>
      <c r="ADV149" s="1056"/>
      <c r="ADW149" s="1056"/>
      <c r="ADX149" s="1056"/>
      <c r="ADY149" s="1056"/>
      <c r="ADZ149" s="1056"/>
      <c r="AEA149" s="1056"/>
      <c r="AEB149" s="1056"/>
      <c r="AEC149" s="1056"/>
      <c r="AED149" s="1056"/>
      <c r="AEE149" s="1056"/>
      <c r="AEF149" s="1056"/>
      <c r="AEG149" s="1056"/>
      <c r="AEH149" s="1056"/>
      <c r="AEI149" s="1056"/>
      <c r="AEJ149" s="1056"/>
      <c r="AEK149" s="1056"/>
      <c r="AEL149" s="1056"/>
      <c r="AEM149" s="1056"/>
      <c r="AEN149" s="1056"/>
      <c r="AEO149" s="1056"/>
      <c r="AEP149" s="1056"/>
      <c r="AEQ149" s="1056"/>
      <c r="AER149" s="1056"/>
      <c r="AES149" s="1056"/>
      <c r="AET149" s="1056"/>
      <c r="AEU149" s="1056"/>
      <c r="AEV149" s="1056"/>
      <c r="AEW149" s="1056"/>
      <c r="AEX149" s="1056"/>
      <c r="AEY149" s="1056"/>
      <c r="AEZ149" s="1056"/>
      <c r="AFA149" s="1056"/>
      <c r="AFB149" s="1056"/>
      <c r="AFC149" s="1056"/>
      <c r="AFD149" s="1056"/>
      <c r="AFE149" s="1056"/>
      <c r="AFF149" s="1056"/>
      <c r="AFG149" s="1056"/>
      <c r="AFH149" s="1056"/>
      <c r="AFI149" s="1056"/>
      <c r="AFJ149" s="1056"/>
      <c r="AFK149" s="1056"/>
      <c r="AFL149" s="1056"/>
      <c r="AFM149" s="1056"/>
      <c r="AFN149" s="1056"/>
      <c r="AFO149" s="1056"/>
      <c r="AFP149" s="1056"/>
      <c r="AFQ149" s="1056"/>
      <c r="AFR149" s="1056"/>
      <c r="AFS149" s="1056"/>
      <c r="AFT149" s="1056"/>
      <c r="AFU149" s="1056"/>
      <c r="AFV149" s="1056"/>
      <c r="AFW149" s="1056"/>
      <c r="AFX149" s="1056"/>
      <c r="AFY149" s="1056"/>
      <c r="AFZ149" s="1056"/>
      <c r="AGA149" s="1056"/>
      <c r="AGB149" s="1056"/>
      <c r="AGC149" s="1056"/>
      <c r="AGD149" s="1056"/>
      <c r="AGE149" s="1056"/>
      <c r="AGF149" s="1056"/>
      <c r="AGG149" s="1056"/>
      <c r="AGH149" s="1056"/>
      <c r="AGI149" s="1056"/>
      <c r="AGJ149" s="1056"/>
      <c r="AGK149" s="1056"/>
      <c r="AGL149" s="1056"/>
      <c r="AGM149" s="1056"/>
      <c r="AGN149" s="1056"/>
      <c r="AGO149" s="1056"/>
      <c r="AGP149" s="1056"/>
      <c r="AGQ149" s="1056"/>
      <c r="AGR149" s="1056"/>
      <c r="AGS149" s="1056"/>
      <c r="AGT149" s="1056"/>
      <c r="AGU149" s="1056"/>
      <c r="AGV149" s="1056"/>
      <c r="AGW149" s="1056"/>
      <c r="AGX149" s="1056"/>
      <c r="AGY149" s="1056"/>
      <c r="AGZ149" s="1056"/>
      <c r="AHA149" s="1056"/>
      <c r="AHB149" s="1056"/>
      <c r="AHC149" s="1056"/>
      <c r="AHD149" s="1056"/>
      <c r="AHE149" s="1056"/>
      <c r="AHF149" s="1056"/>
      <c r="AHG149" s="1056"/>
      <c r="AHH149" s="1056"/>
      <c r="AHI149" s="1056"/>
      <c r="AHJ149" s="1056"/>
      <c r="AHK149" s="1056"/>
      <c r="AHL149" s="1056"/>
      <c r="AHM149" s="1056"/>
      <c r="AHN149" s="1056"/>
      <c r="AHO149" s="1056"/>
      <c r="AHP149" s="1056"/>
      <c r="AHQ149" s="1056"/>
      <c r="AHR149" s="1056"/>
      <c r="AHS149" s="1056"/>
      <c r="AHT149" s="1056"/>
      <c r="AHU149" s="1056"/>
      <c r="AHV149" s="1056"/>
      <c r="AHW149" s="1056"/>
      <c r="AHX149" s="1056"/>
      <c r="AHY149" s="1056"/>
      <c r="AHZ149" s="1056"/>
      <c r="AIA149" s="1056"/>
      <c r="AIB149" s="1056"/>
      <c r="AIC149" s="1056"/>
      <c r="AID149" s="1056"/>
      <c r="AIE149" s="1056"/>
      <c r="AIF149" s="1056"/>
      <c r="AIG149" s="1056"/>
      <c r="AIH149" s="1056"/>
      <c r="AII149" s="1056"/>
      <c r="AIJ149" s="1056"/>
      <c r="AIK149" s="1056"/>
      <c r="AIL149" s="1056"/>
      <c r="AIM149" s="1056"/>
      <c r="AIN149" s="1056"/>
      <c r="AIO149" s="1056"/>
      <c r="AIP149" s="1056"/>
      <c r="AIQ149" s="1056"/>
      <c r="AIR149" s="1056"/>
      <c r="AIS149" s="1056"/>
      <c r="AIT149" s="1056"/>
      <c r="AIU149" s="1056"/>
      <c r="AIV149" s="1056"/>
      <c r="AIW149" s="1056"/>
      <c r="AIX149" s="1056"/>
      <c r="AIY149" s="1056"/>
      <c r="AIZ149" s="1056"/>
      <c r="AJA149" s="1056"/>
      <c r="AJB149" s="1056"/>
      <c r="AJC149" s="1056"/>
      <c r="AJD149" s="1056"/>
      <c r="AJE149" s="1056"/>
      <c r="AJF149" s="1056"/>
      <c r="AJG149" s="1056"/>
      <c r="AJH149" s="1056"/>
      <c r="AJI149" s="1056"/>
      <c r="AJJ149" s="1056"/>
      <c r="AJK149" s="1056"/>
      <c r="AJL149" s="1056"/>
      <c r="AJM149" s="1056"/>
      <c r="AJN149" s="1056"/>
      <c r="AJO149" s="1056"/>
      <c r="AJP149" s="1056"/>
      <c r="AJQ149" s="1056"/>
      <c r="AJR149" s="1056"/>
      <c r="AJS149" s="1056"/>
      <c r="AJT149" s="1056"/>
      <c r="AJU149" s="1056"/>
      <c r="AJV149" s="1056"/>
      <c r="AJW149" s="1056"/>
      <c r="AJX149" s="1056"/>
      <c r="AJY149" s="1056"/>
      <c r="AJZ149" s="1056"/>
      <c r="AKA149" s="1056"/>
      <c r="AKB149" s="1056"/>
      <c r="AKC149" s="1056"/>
      <c r="AKD149" s="1056"/>
      <c r="AKE149" s="1056"/>
      <c r="AKF149" s="1056"/>
      <c r="AKG149" s="1056"/>
      <c r="AKH149" s="1056"/>
      <c r="AKI149" s="1056"/>
      <c r="AKJ149" s="1056"/>
      <c r="AKK149" s="1056"/>
      <c r="AKL149" s="1056"/>
      <c r="AKM149" s="1056"/>
      <c r="AKN149" s="1056"/>
      <c r="AKO149" s="1056"/>
      <c r="AKP149" s="1056"/>
      <c r="AKQ149" s="1056"/>
      <c r="AKR149" s="1056"/>
      <c r="AKS149" s="1056"/>
      <c r="AKT149" s="1056"/>
      <c r="AKU149" s="1056"/>
      <c r="AKV149" s="1056"/>
      <c r="AKW149" s="1056"/>
      <c r="AKX149" s="1056"/>
      <c r="AKY149" s="1056"/>
      <c r="AKZ149" s="1056"/>
      <c r="ALA149" s="1056"/>
      <c r="ALB149" s="1056"/>
      <c r="ALC149" s="1056"/>
      <c r="ALD149" s="1056"/>
      <c r="ALE149" s="1056"/>
      <c r="ALF149" s="1056"/>
      <c r="ALG149" s="1056"/>
      <c r="ALH149" s="1056"/>
      <c r="ALI149" s="1056"/>
      <c r="ALJ149" s="1056"/>
      <c r="ALK149" s="1056"/>
      <c r="ALL149" s="1056"/>
      <c r="ALM149" s="1056"/>
      <c r="ALN149" s="1056"/>
      <c r="ALO149" s="1056"/>
      <c r="ALP149" s="1056"/>
      <c r="ALQ149" s="1056"/>
      <c r="ALR149" s="1056"/>
      <c r="ALS149" s="1056"/>
      <c r="ALT149" s="1056"/>
      <c r="ALU149" s="1056"/>
      <c r="ALV149" s="1056"/>
      <c r="ALW149" s="1056"/>
      <c r="ALX149" s="1056"/>
      <c r="ALY149" s="1056"/>
      <c r="ALZ149" s="1056"/>
      <c r="AMA149" s="1056"/>
      <c r="AMB149" s="1056"/>
      <c r="AMC149" s="1056"/>
      <c r="AMD149" s="1056"/>
      <c r="AME149" s="1056"/>
      <c r="AMF149" s="1056"/>
      <c r="AMG149" s="1056"/>
      <c r="AMH149" s="1056"/>
      <c r="AMI149" s="1056"/>
      <c r="AMJ149" s="1056"/>
      <c r="AMK149" s="1056"/>
      <c r="AML149" s="1056"/>
      <c r="AMM149" s="1056"/>
      <c r="AMN149" s="1056"/>
      <c r="AMO149" s="1056"/>
      <c r="AMP149" s="1056"/>
      <c r="AMQ149" s="1056"/>
      <c r="AMR149" s="1056"/>
      <c r="AMS149" s="1056"/>
      <c r="AMT149" s="1056"/>
      <c r="AMU149" s="1056"/>
      <c r="AMV149" s="1056"/>
      <c r="AMW149" s="1056"/>
      <c r="AMX149" s="1056"/>
      <c r="AMY149" s="1056"/>
      <c r="AMZ149" s="1056"/>
      <c r="ANA149" s="1056"/>
      <c r="ANB149" s="1056"/>
      <c r="ANC149" s="1056"/>
      <c r="AND149" s="1056"/>
      <c r="ANE149" s="1056"/>
      <c r="ANF149" s="1056"/>
      <c r="ANG149" s="1056"/>
      <c r="ANH149" s="1056"/>
      <c r="ANI149" s="1056"/>
      <c r="ANJ149" s="1056"/>
      <c r="ANK149" s="1056"/>
      <c r="ANL149" s="1056"/>
      <c r="ANM149" s="1056"/>
      <c r="ANN149" s="1056"/>
      <c r="ANO149" s="1056"/>
      <c r="ANP149" s="1056"/>
      <c r="ANQ149" s="1056"/>
      <c r="ANR149" s="1056"/>
      <c r="ANS149" s="1056"/>
      <c r="ANT149" s="1056"/>
      <c r="ANU149" s="1056"/>
      <c r="ANV149" s="1056"/>
      <c r="ANW149" s="1056"/>
      <c r="ANX149" s="1056"/>
      <c r="ANY149" s="1056"/>
      <c r="ANZ149" s="1056"/>
      <c r="AOA149" s="1056"/>
      <c r="AOB149" s="1056"/>
      <c r="AOC149" s="1056"/>
      <c r="AOD149" s="1056"/>
      <c r="AOE149" s="1056"/>
      <c r="AOF149" s="1056"/>
      <c r="AOG149" s="1056"/>
      <c r="AOH149" s="1056"/>
      <c r="AOI149" s="1056"/>
      <c r="AOJ149" s="1056"/>
      <c r="AOK149" s="1056"/>
      <c r="AOL149" s="1056"/>
      <c r="AOM149" s="1056"/>
      <c r="AON149" s="1056"/>
      <c r="AOO149" s="1056"/>
      <c r="AOP149" s="1056"/>
      <c r="AOQ149" s="1056"/>
      <c r="AOR149" s="1056"/>
      <c r="AOS149" s="1056"/>
      <c r="AOT149" s="1056"/>
      <c r="AOU149" s="1056"/>
      <c r="AOV149" s="1056"/>
      <c r="AOW149" s="1056"/>
      <c r="AOX149" s="1056"/>
      <c r="AOY149" s="1056"/>
      <c r="AOZ149" s="1056"/>
      <c r="APA149" s="1056"/>
      <c r="APB149" s="1056"/>
      <c r="APC149" s="1056"/>
      <c r="APD149" s="1056"/>
      <c r="APE149" s="1056"/>
      <c r="APF149" s="1056"/>
      <c r="APG149" s="1056"/>
      <c r="APH149" s="1056"/>
      <c r="API149" s="1056"/>
      <c r="APJ149" s="1056"/>
      <c r="APK149" s="1056"/>
      <c r="APL149" s="1056"/>
      <c r="APM149" s="1056"/>
      <c r="APN149" s="1056"/>
      <c r="APO149" s="1056"/>
      <c r="APP149" s="1056"/>
      <c r="APQ149" s="1056"/>
      <c r="APR149" s="1056"/>
      <c r="APS149" s="1056"/>
      <c r="APT149" s="1056"/>
      <c r="APU149" s="1056"/>
      <c r="APV149" s="1056"/>
      <c r="APW149" s="1056"/>
      <c r="APX149" s="1056"/>
      <c r="APY149" s="1056"/>
      <c r="APZ149" s="1056"/>
      <c r="AQA149" s="1056"/>
      <c r="AQB149" s="1056"/>
      <c r="AQC149" s="1056"/>
      <c r="AQD149" s="1056"/>
      <c r="AQE149" s="1056"/>
      <c r="AQF149" s="1056"/>
      <c r="AQG149" s="1056"/>
      <c r="AQH149" s="1056"/>
      <c r="AQI149" s="1056"/>
      <c r="AQJ149" s="1056"/>
      <c r="AQK149" s="1056"/>
      <c r="AQL149" s="1056"/>
      <c r="AQM149" s="1056"/>
      <c r="AQN149" s="1056"/>
      <c r="AQO149" s="1056"/>
      <c r="AQP149" s="1056"/>
      <c r="AQQ149" s="1056"/>
      <c r="AQR149" s="1056"/>
      <c r="AQS149" s="1056"/>
      <c r="AQT149" s="1056"/>
      <c r="AQU149" s="1056"/>
      <c r="AQV149" s="1056"/>
      <c r="AQW149" s="1056"/>
      <c r="AQX149" s="1056"/>
      <c r="AQY149" s="1056"/>
      <c r="AQZ149" s="1056"/>
      <c r="ARA149" s="1056"/>
      <c r="ARB149" s="1056"/>
      <c r="ARC149" s="1056"/>
      <c r="ARD149" s="1056"/>
      <c r="ARE149" s="1056"/>
      <c r="ARF149" s="1056"/>
      <c r="ARG149" s="1056"/>
      <c r="ARH149" s="1056"/>
      <c r="ARI149" s="1056"/>
      <c r="ARJ149" s="1056"/>
      <c r="ARK149" s="1056"/>
      <c r="ARL149" s="1056"/>
      <c r="ARM149" s="1056"/>
      <c r="ARN149" s="1056"/>
      <c r="ARO149" s="1056"/>
      <c r="ARP149" s="1056"/>
      <c r="ARQ149" s="1056"/>
      <c r="ARR149" s="1056"/>
      <c r="ARS149" s="1056"/>
      <c r="ART149" s="1056"/>
      <c r="ARU149" s="1056"/>
      <c r="ARV149" s="1056"/>
      <c r="ARW149" s="1056"/>
      <c r="ARX149" s="1056"/>
      <c r="ARY149" s="1056"/>
      <c r="ARZ149" s="1056"/>
      <c r="ASA149" s="1056"/>
      <c r="ASB149" s="1056"/>
      <c r="ASC149" s="1056"/>
      <c r="ASD149" s="1056"/>
      <c r="ASE149" s="1056"/>
      <c r="ASF149" s="1056"/>
      <c r="ASG149" s="1056"/>
      <c r="ASH149" s="1056"/>
      <c r="ASI149" s="1056"/>
      <c r="ASJ149" s="1056"/>
      <c r="ASK149" s="1056"/>
      <c r="ASL149" s="1056"/>
      <c r="ASM149" s="1056"/>
      <c r="ASN149" s="1056"/>
      <c r="ASO149" s="1056"/>
      <c r="ASP149" s="1056"/>
      <c r="ASQ149" s="1056"/>
      <c r="ASR149" s="1056"/>
      <c r="ASS149" s="1056"/>
      <c r="AST149" s="1056"/>
      <c r="ASU149" s="1056"/>
      <c r="ASV149" s="1056"/>
      <c r="ASW149" s="1056"/>
      <c r="ASX149" s="1056"/>
      <c r="ASY149" s="1056"/>
      <c r="ASZ149" s="1056"/>
      <c r="ATA149" s="1056"/>
      <c r="ATB149" s="1056"/>
      <c r="ATC149" s="1056"/>
      <c r="ATD149" s="1056"/>
      <c r="ATE149" s="1056"/>
      <c r="ATF149" s="1056"/>
      <c r="ATG149" s="1056"/>
      <c r="ATH149" s="1056"/>
      <c r="ATI149" s="1056"/>
      <c r="ATJ149" s="1056"/>
      <c r="ATK149" s="1056"/>
      <c r="ATL149" s="1056"/>
      <c r="ATM149" s="1056"/>
      <c r="ATN149" s="1056"/>
      <c r="ATO149" s="1056"/>
      <c r="ATP149" s="1056"/>
      <c r="ATQ149" s="1056"/>
      <c r="ATR149" s="1056"/>
      <c r="ATS149" s="1056"/>
      <c r="ATT149" s="1056"/>
      <c r="ATU149" s="1056"/>
      <c r="ATV149" s="1056"/>
      <c r="ATW149" s="1056"/>
      <c r="ATX149" s="1056"/>
      <c r="ATY149" s="1056"/>
      <c r="ATZ149" s="1056"/>
      <c r="AUA149" s="1056"/>
      <c r="AUB149" s="1056"/>
      <c r="AUC149" s="1056"/>
      <c r="AUD149" s="1056"/>
      <c r="AUE149" s="1056"/>
      <c r="AUF149" s="1056"/>
      <c r="AUG149" s="1056"/>
      <c r="AUH149" s="1056"/>
      <c r="AUI149" s="1056"/>
      <c r="AUJ149" s="1056"/>
      <c r="AUK149" s="1056"/>
      <c r="AUL149" s="1056"/>
      <c r="AUM149" s="1056"/>
      <c r="AUN149" s="1056"/>
      <c r="AUO149" s="1056"/>
      <c r="AUP149" s="1056"/>
      <c r="AUQ149" s="1056"/>
      <c r="AUR149" s="1056"/>
      <c r="AUS149" s="1056"/>
      <c r="AUT149" s="1056"/>
      <c r="AUU149" s="1056"/>
      <c r="AUV149" s="1056"/>
      <c r="AUW149" s="1056"/>
      <c r="AUX149" s="1056"/>
      <c r="AUY149" s="1056"/>
      <c r="AUZ149" s="1056"/>
      <c r="AVA149" s="1056"/>
      <c r="AVB149" s="1056"/>
      <c r="AVC149" s="1056"/>
      <c r="AVD149" s="1056"/>
      <c r="AVE149" s="1056"/>
      <c r="AVF149" s="1056"/>
      <c r="AVG149" s="1056"/>
      <c r="AVH149" s="1056"/>
      <c r="AVI149" s="1056"/>
      <c r="AVJ149" s="1056"/>
      <c r="AVK149" s="1056"/>
      <c r="AVL149" s="1056"/>
      <c r="AVM149" s="1056"/>
      <c r="AVN149" s="1056"/>
      <c r="AVO149" s="1056"/>
      <c r="AVP149" s="1056"/>
      <c r="AVQ149" s="1056"/>
      <c r="AVR149" s="1056"/>
      <c r="AVS149" s="1056"/>
      <c r="AVT149" s="1056"/>
      <c r="AVU149" s="1056"/>
      <c r="AVV149" s="1056"/>
      <c r="AVW149" s="1056"/>
      <c r="AVX149" s="1056"/>
      <c r="AVY149" s="1056"/>
      <c r="AVZ149" s="1056"/>
      <c r="AWA149" s="1056"/>
      <c r="AWB149" s="1056"/>
      <c r="AWC149" s="1056"/>
      <c r="AWD149" s="1056"/>
      <c r="AWE149" s="1056"/>
      <c r="AWF149" s="1056"/>
      <c r="AWG149" s="1056"/>
      <c r="AWH149" s="1056"/>
      <c r="AWI149" s="1056"/>
      <c r="AWJ149" s="1056"/>
      <c r="AWK149" s="1056"/>
      <c r="AWL149" s="1056"/>
      <c r="AWM149" s="1056"/>
      <c r="AWN149" s="1056"/>
      <c r="AWO149" s="1056"/>
      <c r="AWP149" s="1056"/>
      <c r="AWQ149" s="1056"/>
      <c r="AWR149" s="1056"/>
      <c r="AWS149" s="1056"/>
      <c r="AWT149" s="1056"/>
      <c r="AWU149" s="1056"/>
      <c r="AWV149" s="1056"/>
      <c r="AWW149" s="1056"/>
      <c r="AWX149" s="1056"/>
      <c r="AWY149" s="1056"/>
      <c r="AWZ149" s="1056"/>
      <c r="AXA149" s="1056"/>
      <c r="AXB149" s="1056"/>
      <c r="AXC149" s="1056"/>
      <c r="AXD149" s="1056"/>
      <c r="AXE149" s="1056"/>
      <c r="AXF149" s="1056"/>
      <c r="AXG149" s="1056"/>
      <c r="AXH149" s="1056"/>
      <c r="AXI149" s="1056"/>
      <c r="AXJ149" s="1056"/>
      <c r="AXK149" s="1056"/>
      <c r="AXL149" s="1056"/>
      <c r="AXM149" s="1056"/>
      <c r="AXN149" s="1056"/>
      <c r="AXO149" s="1056"/>
      <c r="AXP149" s="1056"/>
      <c r="AXQ149" s="1056"/>
      <c r="AXR149" s="1056"/>
      <c r="AXS149" s="1056"/>
      <c r="AXT149" s="1056"/>
      <c r="AXU149" s="1056"/>
      <c r="AXV149" s="1056"/>
      <c r="AXW149" s="1056"/>
      <c r="AXX149" s="1056"/>
      <c r="AXY149" s="1056"/>
      <c r="AXZ149" s="1056"/>
      <c r="AYA149" s="1056"/>
      <c r="AYB149" s="1056"/>
      <c r="AYC149" s="1056"/>
      <c r="AYD149" s="1056"/>
      <c r="AYE149" s="1056"/>
      <c r="AYF149" s="1056"/>
      <c r="AYG149" s="1056"/>
      <c r="AYH149" s="1056"/>
      <c r="AYI149" s="1056"/>
      <c r="AYJ149" s="1056"/>
      <c r="AYK149" s="1056"/>
      <c r="AYL149" s="1056"/>
      <c r="AYM149" s="1056"/>
      <c r="AYN149" s="1056"/>
      <c r="AYO149" s="1056"/>
      <c r="AYP149" s="1056"/>
      <c r="AYQ149" s="1056"/>
      <c r="AYR149" s="1056"/>
      <c r="AYS149" s="1056"/>
      <c r="AYT149" s="1056"/>
      <c r="AYU149" s="1056"/>
      <c r="AYV149" s="1056"/>
      <c r="AYW149" s="1056"/>
      <c r="AYX149" s="1056"/>
      <c r="AYY149" s="1056"/>
      <c r="AYZ149" s="1056"/>
      <c r="AZA149" s="1056"/>
      <c r="AZB149" s="1056"/>
      <c r="AZC149" s="1056"/>
      <c r="AZD149" s="1056"/>
      <c r="AZE149" s="1056"/>
      <c r="AZF149" s="1056"/>
      <c r="AZG149" s="1056"/>
      <c r="AZH149" s="1056"/>
      <c r="AZI149" s="1056"/>
      <c r="AZJ149" s="1056"/>
      <c r="AZK149" s="1056"/>
      <c r="AZL149" s="1056"/>
      <c r="AZM149" s="1056"/>
      <c r="AZN149" s="1056"/>
      <c r="AZO149" s="1056"/>
      <c r="AZP149" s="1056"/>
      <c r="AZQ149" s="1056"/>
      <c r="AZR149" s="1056"/>
      <c r="AZS149" s="1056"/>
      <c r="AZT149" s="1056"/>
      <c r="AZU149" s="1056"/>
      <c r="AZV149" s="1056"/>
      <c r="AZW149" s="1056"/>
      <c r="AZX149" s="1056"/>
      <c r="AZY149" s="1056"/>
      <c r="AZZ149" s="1056"/>
      <c r="BAA149" s="1056"/>
      <c r="BAB149" s="1056"/>
      <c r="BAC149" s="1056"/>
      <c r="BAD149" s="1056"/>
      <c r="BAE149" s="1056"/>
      <c r="BAF149" s="1056"/>
      <c r="BAG149" s="1056"/>
      <c r="BAH149" s="1056"/>
      <c r="BAI149" s="1056"/>
      <c r="BAJ149" s="1056"/>
      <c r="BAK149" s="1056"/>
      <c r="BAL149" s="1056"/>
      <c r="BAM149" s="1056"/>
      <c r="BAN149" s="1056"/>
      <c r="BAO149" s="1056"/>
      <c r="BAP149" s="1056"/>
      <c r="BAQ149" s="1056"/>
      <c r="BAR149" s="1056"/>
      <c r="BAS149" s="1056"/>
      <c r="BAT149" s="1056"/>
      <c r="BAU149" s="1056"/>
      <c r="BAV149" s="1056"/>
      <c r="BAW149" s="1056"/>
      <c r="BAX149" s="1056"/>
      <c r="BAY149" s="1056"/>
      <c r="BAZ149" s="1056"/>
      <c r="BBA149" s="1056"/>
      <c r="BBB149" s="1056"/>
      <c r="BBC149" s="1056"/>
      <c r="BBD149" s="1056"/>
      <c r="BBE149" s="1056"/>
      <c r="BBF149" s="1056"/>
      <c r="BBG149" s="1056"/>
      <c r="BBH149" s="1056"/>
      <c r="BBI149" s="1056"/>
      <c r="BBJ149" s="1056"/>
      <c r="BBK149" s="1056"/>
      <c r="BBL149" s="1056"/>
      <c r="BBM149" s="1056"/>
      <c r="BBN149" s="1056"/>
      <c r="BBO149" s="1056"/>
      <c r="BBP149" s="1056"/>
      <c r="BBQ149" s="1056"/>
      <c r="BBR149" s="1056"/>
      <c r="BBS149" s="1056"/>
      <c r="BBT149" s="1056"/>
      <c r="BBU149" s="1056"/>
      <c r="BBV149" s="1056"/>
      <c r="BBW149" s="1056"/>
      <c r="BBX149" s="1056"/>
      <c r="BBY149" s="1056"/>
      <c r="BBZ149" s="1056"/>
      <c r="BCA149" s="1056"/>
      <c r="BCB149" s="1056"/>
      <c r="BCC149" s="1056"/>
      <c r="BCD149" s="1056"/>
      <c r="BCE149" s="1056"/>
      <c r="BCF149" s="1056"/>
      <c r="BCG149" s="1056"/>
      <c r="BCH149" s="1056"/>
      <c r="BCI149" s="1056"/>
      <c r="BCJ149" s="1056"/>
      <c r="BCK149" s="1056"/>
      <c r="BCL149" s="1056"/>
      <c r="BCM149" s="1056"/>
      <c r="BCN149" s="1056"/>
      <c r="BCO149" s="1056"/>
      <c r="BCP149" s="1056"/>
      <c r="BCQ149" s="1056"/>
      <c r="BCR149" s="1056"/>
      <c r="BCS149" s="1056"/>
      <c r="BCT149" s="1056"/>
      <c r="BCU149" s="1056"/>
      <c r="BCV149" s="1056"/>
      <c r="BCW149" s="1056"/>
      <c r="BCX149" s="1056"/>
      <c r="BCY149" s="1056"/>
      <c r="BCZ149" s="1056"/>
      <c r="BDA149" s="1056"/>
      <c r="BDB149" s="1056"/>
      <c r="BDC149" s="1056"/>
      <c r="BDD149" s="1056"/>
      <c r="BDE149" s="1056"/>
      <c r="BDF149" s="1056"/>
      <c r="BDG149" s="1056"/>
      <c r="BDH149" s="1056"/>
      <c r="BDI149" s="1056"/>
      <c r="BDJ149" s="1056"/>
      <c r="BDK149" s="1056"/>
      <c r="BDL149" s="1056"/>
      <c r="BDM149" s="1056"/>
      <c r="BDN149" s="1056"/>
      <c r="BDO149" s="1056"/>
      <c r="BDP149" s="1056"/>
      <c r="BDQ149" s="1056"/>
      <c r="BDR149" s="1056"/>
      <c r="BDS149" s="1056"/>
      <c r="BDT149" s="1056"/>
      <c r="BDU149" s="1056"/>
      <c r="BDV149" s="1056"/>
      <c r="BDW149" s="1056"/>
      <c r="BDX149" s="1056"/>
      <c r="BDY149" s="1056"/>
      <c r="BDZ149" s="1056"/>
      <c r="BEA149" s="1056"/>
      <c r="BEB149" s="1056"/>
      <c r="BEC149" s="1056"/>
      <c r="BED149" s="1056"/>
      <c r="BEE149" s="1056"/>
      <c r="BEF149" s="1056"/>
      <c r="BEG149" s="1056"/>
      <c r="BEH149" s="1056"/>
      <c r="BEI149" s="1056"/>
      <c r="BEJ149" s="1056"/>
      <c r="BEK149" s="1056"/>
      <c r="BEL149" s="1056"/>
      <c r="BEM149" s="1056"/>
      <c r="BEN149" s="1056"/>
      <c r="BEO149" s="1056"/>
      <c r="BEP149" s="1056"/>
      <c r="BEQ149" s="1056"/>
      <c r="BER149" s="1056"/>
      <c r="BES149" s="1056"/>
      <c r="BET149" s="1056"/>
      <c r="BEU149" s="1056"/>
      <c r="BEV149" s="1056"/>
      <c r="BEW149" s="1056"/>
      <c r="BEX149" s="1056"/>
      <c r="BEY149" s="1056"/>
      <c r="BEZ149" s="1056"/>
      <c r="BFA149" s="1056"/>
      <c r="BFB149" s="1056"/>
      <c r="BFC149" s="1056"/>
      <c r="BFD149" s="1056"/>
      <c r="BFE149" s="1056"/>
      <c r="BFF149" s="1056"/>
      <c r="BFG149" s="1056"/>
      <c r="BFH149" s="1056"/>
      <c r="BFI149" s="1056"/>
      <c r="BFJ149" s="1056"/>
      <c r="BFK149" s="1056"/>
      <c r="BFL149" s="1056"/>
      <c r="BFM149" s="1056"/>
      <c r="BFN149" s="1056"/>
      <c r="BFO149" s="1056"/>
      <c r="BFP149" s="1056"/>
      <c r="BFQ149" s="1056"/>
      <c r="BFR149" s="1056"/>
      <c r="BFS149" s="1056"/>
      <c r="BFT149" s="1056"/>
      <c r="BFU149" s="1056"/>
      <c r="BFV149" s="1056"/>
      <c r="BFW149" s="1056"/>
      <c r="BFX149" s="1056"/>
      <c r="BFY149" s="1056"/>
      <c r="BFZ149" s="1056"/>
      <c r="BGA149" s="1056"/>
      <c r="BGB149" s="1056"/>
      <c r="BGC149" s="1056"/>
      <c r="BGD149" s="1056"/>
      <c r="BGE149" s="1056"/>
      <c r="BGF149" s="1056"/>
      <c r="BGG149" s="1056"/>
      <c r="BGH149" s="1056"/>
      <c r="BGI149" s="1056"/>
      <c r="BGJ149" s="1056"/>
      <c r="BGK149" s="1056"/>
      <c r="BGL149" s="1056"/>
      <c r="BGM149" s="1056"/>
      <c r="BGN149" s="1056"/>
      <c r="BGO149" s="1056"/>
      <c r="BGP149" s="1056"/>
      <c r="BGQ149" s="1056"/>
      <c r="BGR149" s="1056"/>
      <c r="BGS149" s="1056"/>
      <c r="BGT149" s="1056"/>
      <c r="BGU149" s="1056"/>
      <c r="BGV149" s="1056"/>
      <c r="BGW149" s="1056"/>
      <c r="BGX149" s="1056"/>
      <c r="BGY149" s="1056"/>
      <c r="BGZ149" s="1056"/>
      <c r="BHA149" s="1056"/>
      <c r="BHB149" s="1056"/>
      <c r="BHC149" s="1056"/>
      <c r="BHD149" s="1056"/>
      <c r="BHE149" s="1056"/>
      <c r="BHF149" s="1056"/>
      <c r="BHG149" s="1056"/>
      <c r="BHH149" s="1056"/>
      <c r="BHI149" s="1056"/>
      <c r="BHJ149" s="1056"/>
      <c r="BHK149" s="1056"/>
      <c r="BHL149" s="1056"/>
      <c r="BHM149" s="1056"/>
      <c r="BHN149" s="1056"/>
      <c r="BHO149" s="1056"/>
      <c r="BHP149" s="1056"/>
      <c r="BHQ149" s="1056"/>
      <c r="BHR149" s="1056"/>
      <c r="BHS149" s="1056"/>
      <c r="BHT149" s="1056"/>
      <c r="BHU149" s="1056"/>
      <c r="BHV149" s="1056"/>
      <c r="BHW149" s="1056"/>
      <c r="BHX149" s="1056"/>
      <c r="BHY149" s="1056"/>
      <c r="BHZ149" s="1056"/>
      <c r="BIA149" s="1056"/>
      <c r="BIB149" s="1056"/>
      <c r="BIC149" s="1056"/>
      <c r="BID149" s="1056"/>
      <c r="BIE149" s="1056"/>
      <c r="BIF149" s="1056"/>
      <c r="BIG149" s="1056"/>
      <c r="BIH149" s="1056"/>
      <c r="BII149" s="1056"/>
      <c r="BIJ149" s="1056"/>
      <c r="BIK149" s="1056"/>
      <c r="BIL149" s="1056"/>
      <c r="BIM149" s="1056"/>
      <c r="BIN149" s="1056"/>
      <c r="BIO149" s="1056"/>
      <c r="BIP149" s="1056"/>
      <c r="BIQ149" s="1056"/>
      <c r="BIR149" s="1056"/>
      <c r="BIS149" s="1056"/>
      <c r="BIT149" s="1056"/>
      <c r="BIU149" s="1056"/>
      <c r="BIV149" s="1056"/>
      <c r="BIW149" s="1056"/>
      <c r="BIX149" s="1056"/>
      <c r="BIY149" s="1056"/>
      <c r="BIZ149" s="1056"/>
      <c r="BJA149" s="1056"/>
      <c r="BJB149" s="1056"/>
      <c r="BJC149" s="1056"/>
      <c r="BJD149" s="1056"/>
      <c r="BJE149" s="1056"/>
      <c r="BJF149" s="1056"/>
      <c r="BJG149" s="1056"/>
      <c r="BJH149" s="1056"/>
      <c r="BJI149" s="1056"/>
      <c r="BJJ149" s="1056"/>
      <c r="BJK149" s="1056"/>
      <c r="BJL149" s="1056"/>
      <c r="BJM149" s="1056"/>
      <c r="BJN149" s="1056"/>
      <c r="BJO149" s="1056"/>
      <c r="BJP149" s="1056"/>
      <c r="BJQ149" s="1056"/>
      <c r="BJR149" s="1056"/>
      <c r="BJS149" s="1056"/>
      <c r="BJT149" s="1056"/>
      <c r="BJU149" s="1056"/>
      <c r="BJV149" s="1056"/>
      <c r="BJW149" s="1056"/>
      <c r="BJX149" s="1056"/>
      <c r="BJY149" s="1056"/>
      <c r="BJZ149" s="1056"/>
      <c r="BKA149" s="1056"/>
      <c r="BKB149" s="1056"/>
      <c r="BKC149" s="1056"/>
      <c r="BKD149" s="1056"/>
      <c r="BKE149" s="1056"/>
      <c r="BKF149" s="1056"/>
      <c r="BKG149" s="1056"/>
      <c r="BKH149" s="1056"/>
      <c r="BKI149" s="1056"/>
      <c r="BKJ149" s="1056"/>
      <c r="BKK149" s="1056"/>
      <c r="BKL149" s="1056"/>
      <c r="BKM149" s="1056"/>
      <c r="BKN149" s="1056"/>
      <c r="BKO149" s="1056"/>
      <c r="BKP149" s="1056"/>
      <c r="BKQ149" s="1056"/>
      <c r="BKR149" s="1056"/>
      <c r="BKS149" s="1056"/>
      <c r="BKT149" s="1056"/>
      <c r="BKU149" s="1056"/>
      <c r="BKV149" s="1056"/>
      <c r="BKW149" s="1056"/>
      <c r="BKX149" s="1056"/>
      <c r="BKY149" s="1056"/>
      <c r="BKZ149" s="1056"/>
      <c r="BLA149" s="1056"/>
      <c r="BLB149" s="1056"/>
      <c r="BLC149" s="1056"/>
      <c r="BLD149" s="1056"/>
      <c r="BLE149" s="1056"/>
      <c r="BLF149" s="1056"/>
      <c r="BLG149" s="1056"/>
      <c r="BLH149" s="1056"/>
      <c r="BLI149" s="1056"/>
      <c r="BLJ149" s="1056"/>
      <c r="BLK149" s="1056"/>
      <c r="BLL149" s="1056"/>
      <c r="BLM149" s="1056"/>
      <c r="BLN149" s="1056"/>
      <c r="BLO149" s="1056"/>
      <c r="BLP149" s="1056"/>
      <c r="BLQ149" s="1056"/>
      <c r="BLR149" s="1056"/>
      <c r="BLS149" s="1056"/>
      <c r="BLT149" s="1056"/>
      <c r="BLU149" s="1056"/>
      <c r="BLV149" s="1056"/>
      <c r="BLW149" s="1056"/>
      <c r="BLX149" s="1056"/>
      <c r="BLY149" s="1056"/>
      <c r="BLZ149" s="1056"/>
      <c r="BMA149" s="1056"/>
      <c r="BMB149" s="1056"/>
      <c r="BMC149" s="1056"/>
      <c r="BMD149" s="1056"/>
      <c r="BME149" s="1056"/>
      <c r="BMF149" s="1056"/>
      <c r="BMG149" s="1056"/>
      <c r="BMH149" s="1056"/>
      <c r="BMI149" s="1056"/>
      <c r="BMJ149" s="1056"/>
      <c r="BMK149" s="1056"/>
      <c r="BML149" s="1056"/>
      <c r="BMM149" s="1056"/>
      <c r="BMN149" s="1056"/>
      <c r="BMO149" s="1056"/>
      <c r="BMP149" s="1056"/>
      <c r="BMQ149" s="1056"/>
      <c r="BMR149" s="1056"/>
      <c r="BMS149" s="1056"/>
      <c r="BMT149" s="1056"/>
      <c r="BMU149" s="1056"/>
      <c r="BMV149" s="1056"/>
      <c r="BMW149" s="1056"/>
      <c r="BMX149" s="1056"/>
      <c r="BMY149" s="1056"/>
      <c r="BMZ149" s="1056"/>
      <c r="BNA149" s="1056"/>
      <c r="BNB149" s="1056"/>
      <c r="BNC149" s="1056"/>
      <c r="BND149" s="1056"/>
      <c r="BNE149" s="1056"/>
      <c r="BNF149" s="1056"/>
      <c r="BNG149" s="1056"/>
      <c r="BNH149" s="1056"/>
      <c r="BNI149" s="1056"/>
      <c r="BNJ149" s="1056"/>
      <c r="BNK149" s="1056"/>
      <c r="BNL149" s="1056"/>
      <c r="BNM149" s="1056"/>
      <c r="BNN149" s="1056"/>
      <c r="BNO149" s="1056"/>
      <c r="BNP149" s="1056"/>
      <c r="BNQ149" s="1056"/>
      <c r="BNR149" s="1056"/>
      <c r="BNS149" s="1056"/>
      <c r="BNT149" s="1056"/>
      <c r="BNU149" s="1056"/>
      <c r="BNV149" s="1056"/>
      <c r="BNW149" s="1056"/>
      <c r="BNX149" s="1056"/>
      <c r="BNY149" s="1056"/>
      <c r="BNZ149" s="1056"/>
      <c r="BOA149" s="1056"/>
      <c r="BOB149" s="1056"/>
      <c r="BOC149" s="1056"/>
      <c r="BOD149" s="1056"/>
      <c r="BOE149" s="1056"/>
      <c r="BOF149" s="1056"/>
      <c r="BOG149" s="1056"/>
      <c r="BOH149" s="1056"/>
      <c r="BOI149" s="1056"/>
      <c r="BOJ149" s="1056"/>
      <c r="BOK149" s="1056"/>
      <c r="BOL149" s="1056"/>
      <c r="BOM149" s="1056"/>
      <c r="BON149" s="1056"/>
      <c r="BOO149" s="1056"/>
      <c r="BOP149" s="1056"/>
      <c r="BOQ149" s="1056"/>
      <c r="BOR149" s="1056"/>
      <c r="BOS149" s="1056"/>
      <c r="BOT149" s="1056"/>
      <c r="BOU149" s="1056"/>
      <c r="BOV149" s="1056"/>
      <c r="BOW149" s="1056"/>
      <c r="BOX149" s="1056"/>
      <c r="BOY149" s="1056"/>
      <c r="BOZ149" s="1056"/>
      <c r="BPA149" s="1056"/>
      <c r="BPB149" s="1056"/>
      <c r="BPC149" s="1056"/>
      <c r="BPD149" s="1056"/>
      <c r="BPE149" s="1056"/>
      <c r="BPF149" s="1056"/>
      <c r="BPG149" s="1056"/>
      <c r="BPH149" s="1056"/>
      <c r="BPI149" s="1056"/>
      <c r="BPJ149" s="1056"/>
      <c r="BPK149" s="1056"/>
      <c r="BPL149" s="1056"/>
      <c r="BPM149" s="1056"/>
      <c r="BPN149" s="1056"/>
      <c r="BPO149" s="1056"/>
      <c r="BPP149" s="1056"/>
      <c r="BPQ149" s="1056"/>
      <c r="BPR149" s="1056"/>
      <c r="BPS149" s="1056"/>
      <c r="BPT149" s="1056"/>
      <c r="BPU149" s="1056"/>
      <c r="BPV149" s="1056"/>
      <c r="BPW149" s="1056"/>
      <c r="BPX149" s="1056"/>
      <c r="BPY149" s="1056"/>
      <c r="BPZ149" s="1056"/>
      <c r="BQA149" s="1056"/>
      <c r="BQB149" s="1056"/>
      <c r="BQC149" s="1056"/>
      <c r="BQD149" s="1056"/>
      <c r="BQE149" s="1056"/>
      <c r="BQF149" s="1056"/>
      <c r="BQG149" s="1056"/>
      <c r="BQH149" s="1056"/>
      <c r="BQI149" s="1056"/>
      <c r="BQJ149" s="1056"/>
      <c r="BQK149" s="1056"/>
      <c r="BQL149" s="1056"/>
      <c r="BQM149" s="1056"/>
      <c r="BQN149" s="1056"/>
      <c r="BQO149" s="1056"/>
      <c r="BQP149" s="1056"/>
      <c r="BQQ149" s="1056"/>
      <c r="BQR149" s="1056"/>
      <c r="BQS149" s="1056"/>
      <c r="BQT149" s="1056"/>
      <c r="BQU149" s="1056"/>
      <c r="BQV149" s="1056"/>
      <c r="BQW149" s="1056"/>
      <c r="BQX149" s="1056"/>
      <c r="BQY149" s="1056"/>
      <c r="BQZ149" s="1056"/>
      <c r="BRA149" s="1056"/>
      <c r="BRB149" s="1056"/>
      <c r="BRC149" s="1056"/>
      <c r="BRD149" s="1056"/>
      <c r="BRE149" s="1056"/>
      <c r="BRF149" s="1056"/>
      <c r="BRG149" s="1056"/>
      <c r="BRH149" s="1056"/>
      <c r="BRI149" s="1056"/>
      <c r="BRJ149" s="1056"/>
      <c r="BRK149" s="1056"/>
      <c r="BRL149" s="1056"/>
      <c r="BRM149" s="1056"/>
      <c r="BRN149" s="1056"/>
      <c r="BRO149" s="1056"/>
      <c r="BRP149" s="1056"/>
      <c r="BRQ149" s="1056"/>
      <c r="BRR149" s="1056"/>
      <c r="BRS149" s="1056"/>
      <c r="BRT149" s="1056"/>
      <c r="BRU149" s="1056"/>
      <c r="BRV149" s="1056"/>
      <c r="BRW149" s="1056"/>
      <c r="BRX149" s="1056"/>
      <c r="BRY149" s="1056"/>
      <c r="BRZ149" s="1056"/>
      <c r="BSA149" s="1056"/>
      <c r="BSB149" s="1056"/>
      <c r="BSC149" s="1056"/>
      <c r="BSD149" s="1056"/>
      <c r="BSE149" s="1056"/>
      <c r="BSF149" s="1056"/>
      <c r="BSG149" s="1056"/>
      <c r="BSH149" s="1056"/>
      <c r="BSI149" s="1056"/>
      <c r="BSJ149" s="1056"/>
      <c r="BSK149" s="1056"/>
      <c r="BSL149" s="1056"/>
      <c r="BSM149" s="1056"/>
      <c r="BSN149" s="1056"/>
      <c r="BSO149" s="1056"/>
      <c r="BSP149" s="1056"/>
      <c r="BSQ149" s="1056"/>
      <c r="BSR149" s="1056"/>
      <c r="BSS149" s="1056"/>
      <c r="BST149" s="1056"/>
      <c r="BSU149" s="1056"/>
      <c r="BSV149" s="1056"/>
      <c r="BSW149" s="1056"/>
      <c r="BSX149" s="1056"/>
      <c r="BSY149" s="1056"/>
      <c r="BSZ149" s="1056"/>
      <c r="BTA149" s="1056"/>
      <c r="BTB149" s="1056"/>
      <c r="BTC149" s="1056"/>
      <c r="BTD149" s="1056"/>
      <c r="BTE149" s="1056"/>
      <c r="BTF149" s="1056"/>
      <c r="BTG149" s="1056"/>
      <c r="BTH149" s="1056"/>
      <c r="BTI149" s="1056"/>
    </row>
    <row r="150" spans="1:1881" s="1060" customFormat="1" ht="40.5" hidden="1" customHeight="1" x14ac:dyDescent="0.3">
      <c r="A150" s="1059"/>
      <c r="B150" s="843" t="s">
        <v>155</v>
      </c>
      <c r="C150" s="843"/>
      <c r="D150" s="819"/>
      <c r="E150" s="819"/>
      <c r="F150" s="839"/>
      <c r="G150" s="840"/>
      <c r="H150" s="735"/>
      <c r="I150" s="1055"/>
      <c r="J150" s="1056"/>
      <c r="K150" s="1056"/>
      <c r="L150" s="1056"/>
      <c r="M150" s="1056"/>
      <c r="N150" s="1058"/>
      <c r="O150" s="1056"/>
      <c r="P150" s="1056"/>
      <c r="Q150" s="1056"/>
      <c r="R150" s="1056"/>
      <c r="S150" s="1056"/>
      <c r="T150" s="1056"/>
      <c r="U150" s="1056"/>
      <c r="V150" s="1056"/>
      <c r="W150" s="1056"/>
      <c r="X150" s="1056"/>
      <c r="Y150" s="1056"/>
      <c r="Z150" s="1059"/>
      <c r="AA150" s="1059"/>
      <c r="AB150" s="1059"/>
      <c r="AC150" s="1059"/>
      <c r="AD150" s="1059"/>
      <c r="AE150" s="1059"/>
      <c r="AF150" s="1059"/>
      <c r="AG150" s="1059"/>
      <c r="AH150" s="1059"/>
      <c r="AI150" s="1059"/>
      <c r="AJ150" s="1059"/>
      <c r="AK150" s="1059"/>
      <c r="AL150" s="1059"/>
      <c r="AM150" s="1059"/>
      <c r="AN150" s="1059"/>
      <c r="AO150" s="1059"/>
      <c r="AP150" s="1059"/>
      <c r="AQ150" s="1059"/>
      <c r="AR150" s="1059"/>
      <c r="AS150" s="1056"/>
      <c r="AT150" s="1056"/>
      <c r="AU150" s="1056"/>
      <c r="AV150" s="1056"/>
      <c r="AW150" s="1056"/>
      <c r="AX150" s="1056"/>
      <c r="AY150" s="1056"/>
      <c r="AZ150" s="1056"/>
      <c r="BA150" s="1056"/>
      <c r="BB150" s="1056"/>
      <c r="BC150" s="1056"/>
      <c r="BD150" s="1056"/>
      <c r="BE150" s="1056"/>
      <c r="BF150" s="1056"/>
      <c r="BG150" s="1056"/>
      <c r="BH150" s="1056"/>
      <c r="BI150" s="1056"/>
      <c r="BJ150" s="1056"/>
      <c r="BK150" s="1056"/>
      <c r="BL150" s="1056"/>
      <c r="BM150" s="1056"/>
      <c r="BN150" s="1056"/>
      <c r="BO150" s="1056"/>
      <c r="BP150" s="1056"/>
      <c r="BQ150" s="1056"/>
      <c r="BR150" s="1056"/>
      <c r="BS150" s="1056"/>
      <c r="BT150" s="1056"/>
      <c r="BU150" s="1056"/>
      <c r="BV150" s="1056"/>
      <c r="BW150" s="1056"/>
      <c r="BX150" s="1056"/>
      <c r="BY150" s="1056"/>
      <c r="BZ150" s="1056"/>
      <c r="CA150" s="1056"/>
      <c r="CB150" s="1056"/>
      <c r="CC150" s="1056"/>
      <c r="CD150" s="1056"/>
      <c r="CE150" s="1056"/>
      <c r="CF150" s="1056"/>
      <c r="CG150" s="1056"/>
      <c r="CH150" s="1056"/>
      <c r="CI150" s="1056"/>
      <c r="CJ150" s="1056"/>
      <c r="CK150" s="1056"/>
      <c r="CL150" s="1056"/>
      <c r="CM150" s="1056"/>
      <c r="CN150" s="1056"/>
      <c r="CO150" s="1056"/>
      <c r="CP150" s="1056"/>
      <c r="CQ150" s="1056"/>
      <c r="CR150" s="1056"/>
      <c r="CS150" s="1056"/>
      <c r="CT150" s="1056"/>
      <c r="CU150" s="1056"/>
      <c r="CV150" s="1056"/>
      <c r="CW150" s="1056"/>
      <c r="CX150" s="1056"/>
      <c r="CY150" s="1056"/>
      <c r="CZ150" s="1056"/>
      <c r="DA150" s="1056"/>
      <c r="DB150" s="1056"/>
      <c r="DC150" s="1056"/>
      <c r="DD150" s="1056"/>
      <c r="DE150" s="1056"/>
      <c r="DF150" s="1056"/>
      <c r="DG150" s="1056"/>
      <c r="DH150" s="1056"/>
      <c r="DI150" s="1056"/>
      <c r="DJ150" s="1056"/>
      <c r="DK150" s="1056"/>
      <c r="DL150" s="1056"/>
      <c r="DM150" s="1056"/>
      <c r="DN150" s="1056"/>
      <c r="DO150" s="1056"/>
      <c r="DP150" s="1056"/>
      <c r="DQ150" s="1056"/>
      <c r="DR150" s="1056"/>
      <c r="DS150" s="1056"/>
      <c r="DT150" s="1056"/>
      <c r="DU150" s="1056"/>
      <c r="DV150" s="1056"/>
      <c r="DW150" s="1056"/>
      <c r="DX150" s="1056"/>
      <c r="DY150" s="1056"/>
      <c r="DZ150" s="1056"/>
      <c r="EA150" s="1056"/>
      <c r="EB150" s="1056"/>
      <c r="EC150" s="1056"/>
      <c r="ED150" s="1056"/>
      <c r="EE150" s="1056"/>
      <c r="EF150" s="1056"/>
      <c r="EG150" s="1056"/>
      <c r="EH150" s="1056"/>
      <c r="EI150" s="1056"/>
      <c r="EJ150" s="1056"/>
      <c r="EK150" s="1056"/>
      <c r="EL150" s="1056"/>
      <c r="EM150" s="1056"/>
      <c r="EN150" s="1056"/>
      <c r="EO150" s="1056"/>
      <c r="EP150" s="1056"/>
      <c r="EQ150" s="1056"/>
      <c r="ER150" s="1056"/>
      <c r="ES150" s="1056"/>
      <c r="ET150" s="1056"/>
      <c r="EU150" s="1056"/>
      <c r="EV150" s="1056"/>
      <c r="EW150" s="1056"/>
      <c r="EX150" s="1056"/>
      <c r="EY150" s="1056"/>
      <c r="EZ150" s="1056"/>
      <c r="FA150" s="1056"/>
      <c r="FB150" s="1056"/>
      <c r="FC150" s="1056"/>
      <c r="FD150" s="1056"/>
      <c r="FE150" s="1056"/>
      <c r="FF150" s="1056"/>
      <c r="FG150" s="1056"/>
      <c r="FH150" s="1056"/>
      <c r="FI150" s="1056"/>
      <c r="FJ150" s="1056"/>
      <c r="FK150" s="1056"/>
      <c r="FL150" s="1056"/>
      <c r="FM150" s="1056"/>
      <c r="FN150" s="1056"/>
      <c r="FO150" s="1056"/>
      <c r="FP150" s="1056"/>
      <c r="FQ150" s="1056"/>
      <c r="FR150" s="1056"/>
      <c r="FS150" s="1056"/>
      <c r="FT150" s="1056"/>
      <c r="FU150" s="1056"/>
      <c r="FV150" s="1056"/>
      <c r="FW150" s="1056"/>
      <c r="FX150" s="1056"/>
      <c r="FY150" s="1056"/>
      <c r="FZ150" s="1056"/>
      <c r="GA150" s="1056"/>
      <c r="GB150" s="1056"/>
      <c r="GC150" s="1056"/>
      <c r="GD150" s="1056"/>
      <c r="GE150" s="1056"/>
      <c r="GF150" s="1056"/>
      <c r="GG150" s="1056"/>
      <c r="GH150" s="1056"/>
      <c r="GI150" s="1056"/>
      <c r="GJ150" s="1056"/>
      <c r="GK150" s="1056"/>
      <c r="GL150" s="1056"/>
      <c r="GM150" s="1056"/>
      <c r="GN150" s="1056"/>
      <c r="GO150" s="1056"/>
      <c r="GP150" s="1056"/>
      <c r="GQ150" s="1056"/>
      <c r="GR150" s="1056"/>
      <c r="GS150" s="1056"/>
      <c r="GT150" s="1056"/>
      <c r="GU150" s="1056"/>
      <c r="GV150" s="1056"/>
      <c r="GW150" s="1056"/>
      <c r="GX150" s="1056"/>
      <c r="GY150" s="1056"/>
      <c r="GZ150" s="1056"/>
      <c r="HA150" s="1056"/>
      <c r="HB150" s="1056"/>
      <c r="HC150" s="1056"/>
      <c r="HD150" s="1056"/>
      <c r="HE150" s="1056"/>
      <c r="HF150" s="1056"/>
      <c r="HG150" s="1056"/>
      <c r="HH150" s="1056"/>
      <c r="HI150" s="1056"/>
      <c r="HJ150" s="1056"/>
      <c r="HK150" s="1056"/>
      <c r="HL150" s="1056"/>
      <c r="HM150" s="1056"/>
      <c r="HN150" s="1056"/>
      <c r="HO150" s="1056"/>
      <c r="HP150" s="1056"/>
      <c r="HQ150" s="1056"/>
      <c r="HR150" s="1056"/>
      <c r="HS150" s="1056"/>
      <c r="HT150" s="1056"/>
      <c r="HU150" s="1056"/>
      <c r="HV150" s="1056"/>
      <c r="HW150" s="1056"/>
      <c r="HX150" s="1056"/>
      <c r="HY150" s="1056"/>
      <c r="HZ150" s="1056"/>
      <c r="IA150" s="1056"/>
      <c r="IB150" s="1056"/>
      <c r="IC150" s="1056"/>
      <c r="ID150" s="1056"/>
      <c r="IE150" s="1056"/>
      <c r="IF150" s="1056"/>
      <c r="IG150" s="1056"/>
      <c r="IH150" s="1056"/>
      <c r="II150" s="1056"/>
      <c r="IJ150" s="1056"/>
      <c r="IK150" s="1056"/>
      <c r="IL150" s="1056"/>
      <c r="IM150" s="1056"/>
      <c r="IN150" s="1056"/>
      <c r="IO150" s="1056"/>
      <c r="IP150" s="1056"/>
      <c r="IQ150" s="1056"/>
      <c r="IR150" s="1056"/>
      <c r="IS150" s="1056"/>
      <c r="IT150" s="1056"/>
      <c r="IU150" s="1056"/>
      <c r="IV150" s="1056"/>
      <c r="IW150" s="1056"/>
      <c r="IX150" s="1056"/>
      <c r="IY150" s="1056"/>
      <c r="IZ150" s="1056"/>
      <c r="JA150" s="1056"/>
      <c r="JB150" s="1056"/>
      <c r="JC150" s="1056"/>
      <c r="JD150" s="1056"/>
      <c r="JE150" s="1056"/>
      <c r="JF150" s="1056"/>
      <c r="JG150" s="1056"/>
      <c r="JH150" s="1056"/>
      <c r="JI150" s="1056"/>
      <c r="JJ150" s="1056"/>
      <c r="JK150" s="1056"/>
      <c r="JL150" s="1056"/>
      <c r="JM150" s="1056"/>
      <c r="JN150" s="1056"/>
      <c r="JO150" s="1056"/>
      <c r="JP150" s="1056"/>
      <c r="JQ150" s="1056"/>
      <c r="JR150" s="1056"/>
      <c r="JS150" s="1056"/>
      <c r="JT150" s="1056"/>
      <c r="JU150" s="1056"/>
      <c r="JV150" s="1056"/>
      <c r="JW150" s="1056"/>
      <c r="JX150" s="1056"/>
      <c r="JY150" s="1056"/>
      <c r="JZ150" s="1056"/>
      <c r="KA150" s="1056"/>
      <c r="KB150" s="1056"/>
      <c r="KC150" s="1056"/>
      <c r="KD150" s="1056"/>
      <c r="KE150" s="1056"/>
      <c r="KF150" s="1056"/>
      <c r="KG150" s="1056"/>
      <c r="KH150" s="1056"/>
      <c r="KI150" s="1056"/>
      <c r="KJ150" s="1056"/>
      <c r="KK150" s="1056"/>
      <c r="KL150" s="1056"/>
      <c r="KM150" s="1056"/>
      <c r="KN150" s="1056"/>
      <c r="KO150" s="1056"/>
      <c r="KP150" s="1056"/>
      <c r="KQ150" s="1056"/>
      <c r="KR150" s="1056"/>
      <c r="KS150" s="1056"/>
      <c r="KT150" s="1056"/>
      <c r="KU150" s="1056"/>
      <c r="KV150" s="1056"/>
      <c r="KW150" s="1056"/>
      <c r="KX150" s="1056"/>
      <c r="KY150" s="1056"/>
      <c r="KZ150" s="1056"/>
      <c r="LA150" s="1056"/>
      <c r="LB150" s="1056"/>
      <c r="LC150" s="1056"/>
      <c r="LD150" s="1056"/>
      <c r="LE150" s="1056"/>
      <c r="LF150" s="1056"/>
      <c r="LG150" s="1056"/>
      <c r="LH150" s="1056"/>
      <c r="LI150" s="1056"/>
      <c r="LJ150" s="1056"/>
      <c r="LK150" s="1056"/>
      <c r="LL150" s="1056"/>
      <c r="LM150" s="1056"/>
      <c r="LN150" s="1056"/>
      <c r="LO150" s="1056"/>
      <c r="LP150" s="1056"/>
      <c r="LQ150" s="1056"/>
      <c r="LR150" s="1056"/>
      <c r="LS150" s="1056"/>
      <c r="LT150" s="1056"/>
      <c r="LU150" s="1056"/>
      <c r="LV150" s="1056"/>
      <c r="LW150" s="1056"/>
      <c r="LX150" s="1056"/>
      <c r="LY150" s="1056"/>
      <c r="LZ150" s="1056"/>
      <c r="MA150" s="1056"/>
      <c r="MB150" s="1056"/>
      <c r="MC150" s="1056"/>
      <c r="MD150" s="1056"/>
      <c r="ME150" s="1056"/>
      <c r="MF150" s="1056"/>
      <c r="MG150" s="1056"/>
      <c r="MH150" s="1056"/>
      <c r="MI150" s="1056"/>
      <c r="MJ150" s="1056"/>
      <c r="MK150" s="1056"/>
      <c r="ML150" s="1056"/>
      <c r="MM150" s="1056"/>
      <c r="MN150" s="1056"/>
      <c r="MO150" s="1056"/>
      <c r="MP150" s="1056"/>
      <c r="MQ150" s="1056"/>
      <c r="MR150" s="1056"/>
      <c r="MS150" s="1056"/>
      <c r="MT150" s="1056"/>
      <c r="MU150" s="1056"/>
      <c r="MV150" s="1056"/>
      <c r="MW150" s="1056"/>
      <c r="MX150" s="1056"/>
      <c r="MY150" s="1056"/>
      <c r="MZ150" s="1056"/>
      <c r="NA150" s="1056"/>
      <c r="NB150" s="1056"/>
      <c r="NC150" s="1056"/>
      <c r="ND150" s="1056"/>
      <c r="NE150" s="1056"/>
      <c r="NF150" s="1056"/>
      <c r="NG150" s="1056"/>
      <c r="NH150" s="1056"/>
      <c r="NI150" s="1056"/>
      <c r="NJ150" s="1056"/>
      <c r="NK150" s="1056"/>
      <c r="NL150" s="1056"/>
      <c r="NM150" s="1056"/>
      <c r="NN150" s="1056"/>
      <c r="NO150" s="1056"/>
      <c r="NP150" s="1056"/>
      <c r="NQ150" s="1056"/>
      <c r="NR150" s="1056"/>
      <c r="NS150" s="1056"/>
      <c r="NT150" s="1056"/>
      <c r="NU150" s="1056"/>
      <c r="NV150" s="1056"/>
      <c r="NW150" s="1056"/>
      <c r="NX150" s="1056"/>
      <c r="NY150" s="1056"/>
      <c r="NZ150" s="1056"/>
      <c r="OA150" s="1056"/>
      <c r="OB150" s="1056"/>
      <c r="OC150" s="1056"/>
      <c r="OD150" s="1056"/>
      <c r="OE150" s="1056"/>
      <c r="OF150" s="1056"/>
      <c r="OG150" s="1056"/>
      <c r="OH150" s="1056"/>
      <c r="OI150" s="1056"/>
      <c r="OJ150" s="1056"/>
      <c r="OK150" s="1056"/>
      <c r="OL150" s="1056"/>
      <c r="OM150" s="1056"/>
      <c r="ON150" s="1056"/>
      <c r="OO150" s="1056"/>
      <c r="OP150" s="1056"/>
      <c r="OQ150" s="1056"/>
      <c r="OR150" s="1056"/>
      <c r="OS150" s="1056"/>
      <c r="OT150" s="1056"/>
      <c r="OU150" s="1056"/>
      <c r="OV150" s="1056"/>
      <c r="OW150" s="1056"/>
      <c r="OX150" s="1056"/>
      <c r="OY150" s="1056"/>
      <c r="OZ150" s="1056"/>
      <c r="PA150" s="1056"/>
      <c r="PB150" s="1056"/>
      <c r="PC150" s="1056"/>
      <c r="PD150" s="1056"/>
      <c r="PE150" s="1056"/>
      <c r="PF150" s="1056"/>
      <c r="PG150" s="1056"/>
      <c r="PH150" s="1056"/>
      <c r="PI150" s="1056"/>
      <c r="PJ150" s="1056"/>
      <c r="PK150" s="1056"/>
      <c r="PL150" s="1056"/>
      <c r="PM150" s="1056"/>
      <c r="PN150" s="1056"/>
      <c r="PO150" s="1056"/>
      <c r="PP150" s="1056"/>
      <c r="PQ150" s="1056"/>
      <c r="PR150" s="1056"/>
      <c r="PS150" s="1056"/>
      <c r="PT150" s="1056"/>
      <c r="PU150" s="1056"/>
      <c r="PV150" s="1056"/>
      <c r="PW150" s="1056"/>
      <c r="PX150" s="1056"/>
      <c r="PY150" s="1056"/>
      <c r="PZ150" s="1056"/>
      <c r="QA150" s="1056"/>
      <c r="QB150" s="1056"/>
      <c r="QC150" s="1056"/>
      <c r="QD150" s="1056"/>
      <c r="QE150" s="1056"/>
      <c r="QF150" s="1056"/>
      <c r="QG150" s="1056"/>
      <c r="QH150" s="1056"/>
      <c r="QI150" s="1056"/>
      <c r="QJ150" s="1056"/>
      <c r="QK150" s="1056"/>
      <c r="QL150" s="1056"/>
      <c r="QM150" s="1056"/>
      <c r="QN150" s="1056"/>
      <c r="QO150" s="1056"/>
      <c r="QP150" s="1056"/>
      <c r="QQ150" s="1056"/>
      <c r="QR150" s="1056"/>
      <c r="QS150" s="1056"/>
      <c r="QT150" s="1056"/>
      <c r="QU150" s="1056"/>
      <c r="QV150" s="1056"/>
      <c r="QW150" s="1056"/>
      <c r="QX150" s="1056"/>
      <c r="QY150" s="1056"/>
      <c r="QZ150" s="1056"/>
      <c r="RA150" s="1056"/>
      <c r="RB150" s="1056"/>
      <c r="RC150" s="1056"/>
      <c r="RD150" s="1056"/>
      <c r="RE150" s="1056"/>
      <c r="RF150" s="1056"/>
      <c r="RG150" s="1056"/>
      <c r="RH150" s="1056"/>
      <c r="RI150" s="1056"/>
      <c r="RJ150" s="1056"/>
      <c r="RK150" s="1056"/>
      <c r="RL150" s="1056"/>
      <c r="RM150" s="1056"/>
      <c r="RN150" s="1056"/>
      <c r="RO150" s="1056"/>
      <c r="RP150" s="1056"/>
      <c r="RQ150" s="1056"/>
      <c r="RR150" s="1056"/>
      <c r="RS150" s="1056"/>
      <c r="RT150" s="1056"/>
      <c r="RU150" s="1056"/>
      <c r="RV150" s="1056"/>
      <c r="RW150" s="1056"/>
      <c r="RX150" s="1056"/>
      <c r="RY150" s="1056"/>
      <c r="RZ150" s="1056"/>
      <c r="SA150" s="1056"/>
      <c r="SB150" s="1056"/>
      <c r="SC150" s="1056"/>
      <c r="SD150" s="1056"/>
      <c r="SE150" s="1056"/>
      <c r="SF150" s="1056"/>
      <c r="SG150" s="1056"/>
      <c r="SH150" s="1056"/>
      <c r="SI150" s="1056"/>
      <c r="SJ150" s="1056"/>
      <c r="SK150" s="1056"/>
      <c r="SL150" s="1056"/>
      <c r="SM150" s="1056"/>
      <c r="SN150" s="1056"/>
      <c r="SO150" s="1056"/>
      <c r="SP150" s="1056"/>
      <c r="SQ150" s="1056"/>
      <c r="SR150" s="1056"/>
      <c r="SS150" s="1056"/>
      <c r="ST150" s="1056"/>
      <c r="SU150" s="1056"/>
      <c r="SV150" s="1056"/>
      <c r="SW150" s="1056"/>
      <c r="SX150" s="1056"/>
      <c r="SY150" s="1056"/>
      <c r="SZ150" s="1056"/>
      <c r="TA150" s="1056"/>
      <c r="TB150" s="1056"/>
      <c r="TC150" s="1056"/>
      <c r="TD150" s="1056"/>
      <c r="TE150" s="1056"/>
      <c r="TF150" s="1056"/>
      <c r="TG150" s="1056"/>
      <c r="TH150" s="1056"/>
      <c r="TI150" s="1056"/>
      <c r="TJ150" s="1056"/>
      <c r="TK150" s="1056"/>
      <c r="TL150" s="1056"/>
      <c r="TM150" s="1056"/>
      <c r="TN150" s="1056"/>
      <c r="TO150" s="1056"/>
      <c r="TP150" s="1056"/>
      <c r="TQ150" s="1056"/>
      <c r="TR150" s="1056"/>
      <c r="TS150" s="1056"/>
      <c r="TT150" s="1056"/>
      <c r="TU150" s="1056"/>
      <c r="TV150" s="1056"/>
      <c r="TW150" s="1056"/>
      <c r="TX150" s="1056"/>
      <c r="TY150" s="1056"/>
      <c r="TZ150" s="1056"/>
      <c r="UA150" s="1056"/>
      <c r="UB150" s="1056"/>
      <c r="UC150" s="1056"/>
      <c r="UD150" s="1056"/>
      <c r="UE150" s="1056"/>
      <c r="UF150" s="1056"/>
      <c r="UG150" s="1056"/>
      <c r="UH150" s="1056"/>
      <c r="UI150" s="1056"/>
      <c r="UJ150" s="1056"/>
      <c r="UK150" s="1056"/>
      <c r="UL150" s="1056"/>
      <c r="UM150" s="1056"/>
      <c r="UN150" s="1056"/>
      <c r="UO150" s="1056"/>
      <c r="UP150" s="1056"/>
      <c r="UQ150" s="1056"/>
      <c r="UR150" s="1056"/>
      <c r="US150" s="1056"/>
      <c r="UT150" s="1056"/>
      <c r="UU150" s="1056"/>
      <c r="UV150" s="1056"/>
      <c r="UW150" s="1056"/>
      <c r="UX150" s="1056"/>
      <c r="UY150" s="1056"/>
      <c r="UZ150" s="1056"/>
      <c r="VA150" s="1056"/>
      <c r="VB150" s="1056"/>
      <c r="VC150" s="1056"/>
      <c r="VD150" s="1056"/>
      <c r="VE150" s="1056"/>
      <c r="VF150" s="1056"/>
      <c r="VG150" s="1056"/>
      <c r="VH150" s="1056"/>
      <c r="VI150" s="1056"/>
      <c r="VJ150" s="1056"/>
      <c r="VK150" s="1056"/>
      <c r="VL150" s="1056"/>
      <c r="VM150" s="1056"/>
      <c r="VN150" s="1056"/>
      <c r="VO150" s="1056"/>
      <c r="VP150" s="1056"/>
      <c r="VQ150" s="1056"/>
      <c r="VR150" s="1056"/>
      <c r="VS150" s="1056"/>
      <c r="VT150" s="1056"/>
      <c r="VU150" s="1056"/>
      <c r="VV150" s="1056"/>
      <c r="VW150" s="1056"/>
      <c r="VX150" s="1056"/>
      <c r="VY150" s="1056"/>
      <c r="VZ150" s="1056"/>
      <c r="WA150" s="1056"/>
      <c r="WB150" s="1056"/>
      <c r="WC150" s="1056"/>
      <c r="WD150" s="1056"/>
      <c r="WE150" s="1056"/>
      <c r="WF150" s="1056"/>
      <c r="WG150" s="1056"/>
      <c r="WH150" s="1056"/>
      <c r="WI150" s="1056"/>
      <c r="WJ150" s="1056"/>
      <c r="WK150" s="1056"/>
      <c r="WL150" s="1056"/>
      <c r="WM150" s="1056"/>
      <c r="WN150" s="1056"/>
      <c r="WO150" s="1056"/>
      <c r="WP150" s="1056"/>
      <c r="WQ150" s="1056"/>
      <c r="WR150" s="1056"/>
      <c r="WS150" s="1056"/>
      <c r="WT150" s="1056"/>
      <c r="WU150" s="1056"/>
      <c r="WV150" s="1056"/>
      <c r="WW150" s="1056"/>
      <c r="WX150" s="1056"/>
      <c r="WY150" s="1056"/>
      <c r="WZ150" s="1056"/>
      <c r="XA150" s="1056"/>
      <c r="XB150" s="1056"/>
      <c r="XC150" s="1056"/>
      <c r="XD150" s="1056"/>
      <c r="XE150" s="1056"/>
      <c r="XF150" s="1056"/>
      <c r="XG150" s="1056"/>
      <c r="XH150" s="1056"/>
      <c r="XI150" s="1056"/>
      <c r="XJ150" s="1056"/>
      <c r="XK150" s="1056"/>
      <c r="XL150" s="1056"/>
      <c r="XM150" s="1056"/>
      <c r="XN150" s="1056"/>
      <c r="XO150" s="1056"/>
      <c r="XP150" s="1056"/>
      <c r="XQ150" s="1056"/>
      <c r="XR150" s="1056"/>
      <c r="XS150" s="1056"/>
      <c r="XT150" s="1056"/>
      <c r="XU150" s="1056"/>
      <c r="XV150" s="1056"/>
      <c r="XW150" s="1056"/>
      <c r="XX150" s="1056"/>
      <c r="XY150" s="1056"/>
      <c r="XZ150" s="1056"/>
      <c r="YA150" s="1056"/>
      <c r="YB150" s="1056"/>
      <c r="YC150" s="1056"/>
      <c r="YD150" s="1056"/>
      <c r="YE150" s="1056"/>
      <c r="YF150" s="1056"/>
      <c r="YG150" s="1056"/>
      <c r="YH150" s="1056"/>
      <c r="YI150" s="1056"/>
      <c r="YJ150" s="1056"/>
      <c r="YK150" s="1056"/>
      <c r="YL150" s="1056"/>
      <c r="YM150" s="1056"/>
      <c r="YN150" s="1056"/>
      <c r="YO150" s="1056"/>
      <c r="YP150" s="1056"/>
      <c r="YQ150" s="1056"/>
      <c r="YR150" s="1056"/>
      <c r="YS150" s="1056"/>
      <c r="YT150" s="1056"/>
      <c r="YU150" s="1056"/>
      <c r="YV150" s="1056"/>
      <c r="YW150" s="1056"/>
      <c r="YX150" s="1056"/>
      <c r="YY150" s="1056"/>
      <c r="YZ150" s="1056"/>
      <c r="ZA150" s="1056"/>
      <c r="ZB150" s="1056"/>
      <c r="ZC150" s="1056"/>
      <c r="ZD150" s="1056"/>
      <c r="ZE150" s="1056"/>
      <c r="ZF150" s="1056"/>
      <c r="ZG150" s="1056"/>
      <c r="ZH150" s="1056"/>
      <c r="ZI150" s="1056"/>
      <c r="ZJ150" s="1056"/>
      <c r="ZK150" s="1056"/>
      <c r="ZL150" s="1056"/>
      <c r="ZM150" s="1056"/>
      <c r="ZN150" s="1056"/>
      <c r="ZO150" s="1056"/>
      <c r="ZP150" s="1056"/>
      <c r="ZQ150" s="1056"/>
      <c r="ZR150" s="1056"/>
      <c r="ZS150" s="1056"/>
      <c r="ZT150" s="1056"/>
      <c r="ZU150" s="1056"/>
      <c r="ZV150" s="1056"/>
      <c r="ZW150" s="1056"/>
      <c r="ZX150" s="1056"/>
      <c r="ZY150" s="1056"/>
      <c r="ZZ150" s="1056"/>
      <c r="AAA150" s="1056"/>
      <c r="AAB150" s="1056"/>
      <c r="AAC150" s="1056"/>
      <c r="AAD150" s="1056"/>
      <c r="AAE150" s="1056"/>
      <c r="AAF150" s="1056"/>
      <c r="AAG150" s="1056"/>
      <c r="AAH150" s="1056"/>
      <c r="AAI150" s="1056"/>
      <c r="AAJ150" s="1056"/>
      <c r="AAK150" s="1056"/>
      <c r="AAL150" s="1056"/>
      <c r="AAM150" s="1056"/>
      <c r="AAN150" s="1056"/>
      <c r="AAO150" s="1056"/>
      <c r="AAP150" s="1056"/>
      <c r="AAQ150" s="1056"/>
      <c r="AAR150" s="1056"/>
      <c r="AAS150" s="1056"/>
      <c r="AAT150" s="1056"/>
      <c r="AAU150" s="1056"/>
      <c r="AAV150" s="1056"/>
      <c r="AAW150" s="1056"/>
      <c r="AAX150" s="1056"/>
      <c r="AAY150" s="1056"/>
      <c r="AAZ150" s="1056"/>
      <c r="ABA150" s="1056"/>
      <c r="ABB150" s="1056"/>
      <c r="ABC150" s="1056"/>
      <c r="ABD150" s="1056"/>
      <c r="ABE150" s="1056"/>
      <c r="ABF150" s="1056"/>
      <c r="ABG150" s="1056"/>
      <c r="ABH150" s="1056"/>
      <c r="ABI150" s="1056"/>
      <c r="ABJ150" s="1056"/>
      <c r="ABK150" s="1056"/>
      <c r="ABL150" s="1056"/>
      <c r="ABM150" s="1056"/>
      <c r="ABN150" s="1056"/>
      <c r="ABO150" s="1056"/>
      <c r="ABP150" s="1056"/>
      <c r="ABQ150" s="1056"/>
      <c r="ABR150" s="1056"/>
      <c r="ABS150" s="1056"/>
      <c r="ABT150" s="1056"/>
      <c r="ABU150" s="1056"/>
      <c r="ABV150" s="1056"/>
      <c r="ABW150" s="1056"/>
      <c r="ABX150" s="1056"/>
      <c r="ABY150" s="1056"/>
      <c r="ABZ150" s="1056"/>
      <c r="ACA150" s="1056"/>
      <c r="ACB150" s="1056"/>
      <c r="ACC150" s="1056"/>
      <c r="ACD150" s="1056"/>
      <c r="ACE150" s="1056"/>
      <c r="ACF150" s="1056"/>
      <c r="ACG150" s="1056"/>
      <c r="ACH150" s="1056"/>
      <c r="ACI150" s="1056"/>
      <c r="ACJ150" s="1056"/>
      <c r="ACK150" s="1056"/>
      <c r="ACL150" s="1056"/>
      <c r="ACM150" s="1056"/>
      <c r="ACN150" s="1056"/>
      <c r="ACO150" s="1056"/>
      <c r="ACP150" s="1056"/>
      <c r="ACQ150" s="1056"/>
      <c r="ACR150" s="1056"/>
      <c r="ACS150" s="1056"/>
      <c r="ACT150" s="1056"/>
      <c r="ACU150" s="1056"/>
      <c r="ACV150" s="1056"/>
      <c r="ACW150" s="1056"/>
      <c r="ACX150" s="1056"/>
      <c r="ACY150" s="1056"/>
      <c r="ACZ150" s="1056"/>
      <c r="ADA150" s="1056"/>
      <c r="ADB150" s="1056"/>
      <c r="ADC150" s="1056"/>
      <c r="ADD150" s="1056"/>
      <c r="ADE150" s="1056"/>
      <c r="ADF150" s="1056"/>
      <c r="ADG150" s="1056"/>
      <c r="ADH150" s="1056"/>
      <c r="ADI150" s="1056"/>
      <c r="ADJ150" s="1056"/>
      <c r="ADK150" s="1056"/>
      <c r="ADL150" s="1056"/>
      <c r="ADM150" s="1056"/>
      <c r="ADN150" s="1056"/>
      <c r="ADO150" s="1056"/>
      <c r="ADP150" s="1056"/>
      <c r="ADQ150" s="1056"/>
      <c r="ADR150" s="1056"/>
      <c r="ADS150" s="1056"/>
      <c r="ADT150" s="1056"/>
      <c r="ADU150" s="1056"/>
      <c r="ADV150" s="1056"/>
      <c r="ADW150" s="1056"/>
      <c r="ADX150" s="1056"/>
      <c r="ADY150" s="1056"/>
      <c r="ADZ150" s="1056"/>
      <c r="AEA150" s="1056"/>
      <c r="AEB150" s="1056"/>
      <c r="AEC150" s="1056"/>
      <c r="AED150" s="1056"/>
      <c r="AEE150" s="1056"/>
      <c r="AEF150" s="1056"/>
      <c r="AEG150" s="1056"/>
      <c r="AEH150" s="1056"/>
      <c r="AEI150" s="1056"/>
      <c r="AEJ150" s="1056"/>
      <c r="AEK150" s="1056"/>
      <c r="AEL150" s="1056"/>
      <c r="AEM150" s="1056"/>
      <c r="AEN150" s="1056"/>
      <c r="AEO150" s="1056"/>
      <c r="AEP150" s="1056"/>
      <c r="AEQ150" s="1056"/>
      <c r="AER150" s="1056"/>
      <c r="AES150" s="1056"/>
      <c r="AET150" s="1056"/>
      <c r="AEU150" s="1056"/>
      <c r="AEV150" s="1056"/>
      <c r="AEW150" s="1056"/>
      <c r="AEX150" s="1056"/>
      <c r="AEY150" s="1056"/>
      <c r="AEZ150" s="1056"/>
      <c r="AFA150" s="1056"/>
      <c r="AFB150" s="1056"/>
      <c r="AFC150" s="1056"/>
      <c r="AFD150" s="1056"/>
      <c r="AFE150" s="1056"/>
      <c r="AFF150" s="1056"/>
      <c r="AFG150" s="1056"/>
      <c r="AFH150" s="1056"/>
      <c r="AFI150" s="1056"/>
      <c r="AFJ150" s="1056"/>
      <c r="AFK150" s="1056"/>
      <c r="AFL150" s="1056"/>
      <c r="AFM150" s="1056"/>
      <c r="AFN150" s="1056"/>
      <c r="AFO150" s="1056"/>
      <c r="AFP150" s="1056"/>
      <c r="AFQ150" s="1056"/>
      <c r="AFR150" s="1056"/>
      <c r="AFS150" s="1056"/>
      <c r="AFT150" s="1056"/>
      <c r="AFU150" s="1056"/>
      <c r="AFV150" s="1056"/>
      <c r="AFW150" s="1056"/>
      <c r="AFX150" s="1056"/>
      <c r="AFY150" s="1056"/>
      <c r="AFZ150" s="1056"/>
      <c r="AGA150" s="1056"/>
      <c r="AGB150" s="1056"/>
      <c r="AGC150" s="1056"/>
      <c r="AGD150" s="1056"/>
      <c r="AGE150" s="1056"/>
      <c r="AGF150" s="1056"/>
      <c r="AGG150" s="1056"/>
      <c r="AGH150" s="1056"/>
      <c r="AGI150" s="1056"/>
      <c r="AGJ150" s="1056"/>
      <c r="AGK150" s="1056"/>
      <c r="AGL150" s="1056"/>
      <c r="AGM150" s="1056"/>
      <c r="AGN150" s="1056"/>
      <c r="AGO150" s="1056"/>
      <c r="AGP150" s="1056"/>
      <c r="AGQ150" s="1056"/>
      <c r="AGR150" s="1056"/>
      <c r="AGS150" s="1056"/>
      <c r="AGT150" s="1056"/>
      <c r="AGU150" s="1056"/>
      <c r="AGV150" s="1056"/>
      <c r="AGW150" s="1056"/>
      <c r="AGX150" s="1056"/>
      <c r="AGY150" s="1056"/>
      <c r="AGZ150" s="1056"/>
      <c r="AHA150" s="1056"/>
      <c r="AHB150" s="1056"/>
      <c r="AHC150" s="1056"/>
      <c r="AHD150" s="1056"/>
      <c r="AHE150" s="1056"/>
      <c r="AHF150" s="1056"/>
      <c r="AHG150" s="1056"/>
      <c r="AHH150" s="1056"/>
      <c r="AHI150" s="1056"/>
      <c r="AHJ150" s="1056"/>
      <c r="AHK150" s="1056"/>
      <c r="AHL150" s="1056"/>
      <c r="AHM150" s="1056"/>
      <c r="AHN150" s="1056"/>
      <c r="AHO150" s="1056"/>
      <c r="AHP150" s="1056"/>
      <c r="AHQ150" s="1056"/>
      <c r="AHR150" s="1056"/>
      <c r="AHS150" s="1056"/>
      <c r="AHT150" s="1056"/>
      <c r="AHU150" s="1056"/>
      <c r="AHV150" s="1056"/>
      <c r="AHW150" s="1056"/>
      <c r="AHX150" s="1056"/>
      <c r="AHY150" s="1056"/>
      <c r="AHZ150" s="1056"/>
      <c r="AIA150" s="1056"/>
      <c r="AIB150" s="1056"/>
      <c r="AIC150" s="1056"/>
      <c r="AID150" s="1056"/>
      <c r="AIE150" s="1056"/>
      <c r="AIF150" s="1056"/>
      <c r="AIG150" s="1056"/>
      <c r="AIH150" s="1056"/>
      <c r="AII150" s="1056"/>
      <c r="AIJ150" s="1056"/>
      <c r="AIK150" s="1056"/>
      <c r="AIL150" s="1056"/>
      <c r="AIM150" s="1056"/>
      <c r="AIN150" s="1056"/>
      <c r="AIO150" s="1056"/>
      <c r="AIP150" s="1056"/>
      <c r="AIQ150" s="1056"/>
      <c r="AIR150" s="1056"/>
      <c r="AIS150" s="1056"/>
      <c r="AIT150" s="1056"/>
      <c r="AIU150" s="1056"/>
      <c r="AIV150" s="1056"/>
      <c r="AIW150" s="1056"/>
      <c r="AIX150" s="1056"/>
      <c r="AIY150" s="1056"/>
      <c r="AIZ150" s="1056"/>
      <c r="AJA150" s="1056"/>
      <c r="AJB150" s="1056"/>
      <c r="AJC150" s="1056"/>
      <c r="AJD150" s="1056"/>
      <c r="AJE150" s="1056"/>
      <c r="AJF150" s="1056"/>
      <c r="AJG150" s="1056"/>
      <c r="AJH150" s="1056"/>
      <c r="AJI150" s="1056"/>
      <c r="AJJ150" s="1056"/>
      <c r="AJK150" s="1056"/>
      <c r="AJL150" s="1056"/>
      <c r="AJM150" s="1056"/>
      <c r="AJN150" s="1056"/>
      <c r="AJO150" s="1056"/>
      <c r="AJP150" s="1056"/>
      <c r="AJQ150" s="1056"/>
      <c r="AJR150" s="1056"/>
      <c r="AJS150" s="1056"/>
      <c r="AJT150" s="1056"/>
      <c r="AJU150" s="1056"/>
      <c r="AJV150" s="1056"/>
      <c r="AJW150" s="1056"/>
      <c r="AJX150" s="1056"/>
      <c r="AJY150" s="1056"/>
      <c r="AJZ150" s="1056"/>
      <c r="AKA150" s="1056"/>
      <c r="AKB150" s="1056"/>
      <c r="AKC150" s="1056"/>
      <c r="AKD150" s="1056"/>
      <c r="AKE150" s="1056"/>
      <c r="AKF150" s="1056"/>
      <c r="AKG150" s="1056"/>
      <c r="AKH150" s="1056"/>
      <c r="AKI150" s="1056"/>
      <c r="AKJ150" s="1056"/>
      <c r="AKK150" s="1056"/>
      <c r="AKL150" s="1056"/>
      <c r="AKM150" s="1056"/>
      <c r="AKN150" s="1056"/>
      <c r="AKO150" s="1056"/>
      <c r="AKP150" s="1056"/>
      <c r="AKQ150" s="1056"/>
      <c r="AKR150" s="1056"/>
      <c r="AKS150" s="1056"/>
      <c r="AKT150" s="1056"/>
      <c r="AKU150" s="1056"/>
      <c r="AKV150" s="1056"/>
      <c r="AKW150" s="1056"/>
      <c r="AKX150" s="1056"/>
      <c r="AKY150" s="1056"/>
      <c r="AKZ150" s="1056"/>
      <c r="ALA150" s="1056"/>
      <c r="ALB150" s="1056"/>
      <c r="ALC150" s="1056"/>
      <c r="ALD150" s="1056"/>
      <c r="ALE150" s="1056"/>
      <c r="ALF150" s="1056"/>
      <c r="ALG150" s="1056"/>
      <c r="ALH150" s="1056"/>
      <c r="ALI150" s="1056"/>
      <c r="ALJ150" s="1056"/>
      <c r="ALK150" s="1056"/>
      <c r="ALL150" s="1056"/>
      <c r="ALM150" s="1056"/>
      <c r="ALN150" s="1056"/>
      <c r="ALO150" s="1056"/>
      <c r="ALP150" s="1056"/>
      <c r="ALQ150" s="1056"/>
      <c r="ALR150" s="1056"/>
      <c r="ALS150" s="1056"/>
      <c r="ALT150" s="1056"/>
      <c r="ALU150" s="1056"/>
      <c r="ALV150" s="1056"/>
      <c r="ALW150" s="1056"/>
      <c r="ALX150" s="1056"/>
      <c r="ALY150" s="1056"/>
      <c r="ALZ150" s="1056"/>
      <c r="AMA150" s="1056"/>
      <c r="AMB150" s="1056"/>
      <c r="AMC150" s="1056"/>
      <c r="AMD150" s="1056"/>
      <c r="AME150" s="1056"/>
      <c r="AMF150" s="1056"/>
      <c r="AMG150" s="1056"/>
      <c r="AMH150" s="1056"/>
      <c r="AMI150" s="1056"/>
      <c r="AMJ150" s="1056"/>
      <c r="AMK150" s="1056"/>
      <c r="AML150" s="1056"/>
      <c r="AMM150" s="1056"/>
      <c r="AMN150" s="1056"/>
      <c r="AMO150" s="1056"/>
      <c r="AMP150" s="1056"/>
      <c r="AMQ150" s="1056"/>
      <c r="AMR150" s="1056"/>
      <c r="AMS150" s="1056"/>
      <c r="AMT150" s="1056"/>
      <c r="AMU150" s="1056"/>
      <c r="AMV150" s="1056"/>
      <c r="AMW150" s="1056"/>
      <c r="AMX150" s="1056"/>
      <c r="AMY150" s="1056"/>
      <c r="AMZ150" s="1056"/>
      <c r="ANA150" s="1056"/>
      <c r="ANB150" s="1056"/>
      <c r="ANC150" s="1056"/>
      <c r="AND150" s="1056"/>
      <c r="ANE150" s="1056"/>
      <c r="ANF150" s="1056"/>
      <c r="ANG150" s="1056"/>
      <c r="ANH150" s="1056"/>
      <c r="ANI150" s="1056"/>
      <c r="ANJ150" s="1056"/>
      <c r="ANK150" s="1056"/>
      <c r="ANL150" s="1056"/>
      <c r="ANM150" s="1056"/>
      <c r="ANN150" s="1056"/>
      <c r="ANO150" s="1056"/>
      <c r="ANP150" s="1056"/>
      <c r="ANQ150" s="1056"/>
      <c r="ANR150" s="1056"/>
      <c r="ANS150" s="1056"/>
      <c r="ANT150" s="1056"/>
      <c r="ANU150" s="1056"/>
      <c r="ANV150" s="1056"/>
      <c r="ANW150" s="1056"/>
      <c r="ANX150" s="1056"/>
      <c r="ANY150" s="1056"/>
      <c r="ANZ150" s="1056"/>
      <c r="AOA150" s="1056"/>
      <c r="AOB150" s="1056"/>
      <c r="AOC150" s="1056"/>
      <c r="AOD150" s="1056"/>
      <c r="AOE150" s="1056"/>
      <c r="AOF150" s="1056"/>
      <c r="AOG150" s="1056"/>
      <c r="AOH150" s="1056"/>
      <c r="AOI150" s="1056"/>
      <c r="AOJ150" s="1056"/>
      <c r="AOK150" s="1056"/>
      <c r="AOL150" s="1056"/>
      <c r="AOM150" s="1056"/>
      <c r="AON150" s="1056"/>
      <c r="AOO150" s="1056"/>
      <c r="AOP150" s="1056"/>
      <c r="AOQ150" s="1056"/>
      <c r="AOR150" s="1056"/>
      <c r="AOS150" s="1056"/>
      <c r="AOT150" s="1056"/>
      <c r="AOU150" s="1056"/>
      <c r="AOV150" s="1056"/>
      <c r="AOW150" s="1056"/>
      <c r="AOX150" s="1056"/>
      <c r="AOY150" s="1056"/>
      <c r="AOZ150" s="1056"/>
      <c r="APA150" s="1056"/>
      <c r="APB150" s="1056"/>
      <c r="APC150" s="1056"/>
      <c r="APD150" s="1056"/>
      <c r="APE150" s="1056"/>
      <c r="APF150" s="1056"/>
      <c r="APG150" s="1056"/>
      <c r="APH150" s="1056"/>
      <c r="API150" s="1056"/>
      <c r="APJ150" s="1056"/>
      <c r="APK150" s="1056"/>
      <c r="APL150" s="1056"/>
      <c r="APM150" s="1056"/>
      <c r="APN150" s="1056"/>
      <c r="APO150" s="1056"/>
      <c r="APP150" s="1056"/>
      <c r="APQ150" s="1056"/>
      <c r="APR150" s="1056"/>
      <c r="APS150" s="1056"/>
      <c r="APT150" s="1056"/>
      <c r="APU150" s="1056"/>
      <c r="APV150" s="1056"/>
      <c r="APW150" s="1056"/>
      <c r="APX150" s="1056"/>
      <c r="APY150" s="1056"/>
      <c r="APZ150" s="1056"/>
      <c r="AQA150" s="1056"/>
      <c r="AQB150" s="1056"/>
      <c r="AQC150" s="1056"/>
      <c r="AQD150" s="1056"/>
      <c r="AQE150" s="1056"/>
      <c r="AQF150" s="1056"/>
      <c r="AQG150" s="1056"/>
      <c r="AQH150" s="1056"/>
      <c r="AQI150" s="1056"/>
      <c r="AQJ150" s="1056"/>
      <c r="AQK150" s="1056"/>
      <c r="AQL150" s="1056"/>
      <c r="AQM150" s="1056"/>
      <c r="AQN150" s="1056"/>
      <c r="AQO150" s="1056"/>
      <c r="AQP150" s="1056"/>
      <c r="AQQ150" s="1056"/>
      <c r="AQR150" s="1056"/>
      <c r="AQS150" s="1056"/>
      <c r="AQT150" s="1056"/>
      <c r="AQU150" s="1056"/>
      <c r="AQV150" s="1056"/>
      <c r="AQW150" s="1056"/>
      <c r="AQX150" s="1056"/>
      <c r="AQY150" s="1056"/>
      <c r="AQZ150" s="1056"/>
      <c r="ARA150" s="1056"/>
      <c r="ARB150" s="1056"/>
      <c r="ARC150" s="1056"/>
      <c r="ARD150" s="1056"/>
      <c r="ARE150" s="1056"/>
      <c r="ARF150" s="1056"/>
      <c r="ARG150" s="1056"/>
      <c r="ARH150" s="1056"/>
      <c r="ARI150" s="1056"/>
      <c r="ARJ150" s="1056"/>
      <c r="ARK150" s="1056"/>
      <c r="ARL150" s="1056"/>
      <c r="ARM150" s="1056"/>
      <c r="ARN150" s="1056"/>
      <c r="ARO150" s="1056"/>
      <c r="ARP150" s="1056"/>
      <c r="ARQ150" s="1056"/>
      <c r="ARR150" s="1056"/>
      <c r="ARS150" s="1056"/>
      <c r="ART150" s="1056"/>
      <c r="ARU150" s="1056"/>
      <c r="ARV150" s="1056"/>
      <c r="ARW150" s="1056"/>
      <c r="ARX150" s="1056"/>
      <c r="ARY150" s="1056"/>
      <c r="ARZ150" s="1056"/>
      <c r="ASA150" s="1056"/>
      <c r="ASB150" s="1056"/>
      <c r="ASC150" s="1056"/>
      <c r="ASD150" s="1056"/>
      <c r="ASE150" s="1056"/>
      <c r="ASF150" s="1056"/>
      <c r="ASG150" s="1056"/>
      <c r="ASH150" s="1056"/>
      <c r="ASI150" s="1056"/>
      <c r="ASJ150" s="1056"/>
      <c r="ASK150" s="1056"/>
      <c r="ASL150" s="1056"/>
      <c r="ASM150" s="1056"/>
      <c r="ASN150" s="1056"/>
      <c r="ASO150" s="1056"/>
      <c r="ASP150" s="1056"/>
      <c r="ASQ150" s="1056"/>
      <c r="ASR150" s="1056"/>
      <c r="ASS150" s="1056"/>
      <c r="AST150" s="1056"/>
      <c r="ASU150" s="1056"/>
      <c r="ASV150" s="1056"/>
      <c r="ASW150" s="1056"/>
      <c r="ASX150" s="1056"/>
      <c r="ASY150" s="1056"/>
      <c r="ASZ150" s="1056"/>
      <c r="ATA150" s="1056"/>
      <c r="ATB150" s="1056"/>
      <c r="ATC150" s="1056"/>
      <c r="ATD150" s="1056"/>
      <c r="ATE150" s="1056"/>
      <c r="ATF150" s="1056"/>
      <c r="ATG150" s="1056"/>
      <c r="ATH150" s="1056"/>
      <c r="ATI150" s="1056"/>
      <c r="ATJ150" s="1056"/>
      <c r="ATK150" s="1056"/>
      <c r="ATL150" s="1056"/>
      <c r="ATM150" s="1056"/>
      <c r="ATN150" s="1056"/>
      <c r="ATO150" s="1056"/>
      <c r="ATP150" s="1056"/>
      <c r="ATQ150" s="1056"/>
      <c r="ATR150" s="1056"/>
      <c r="ATS150" s="1056"/>
      <c r="ATT150" s="1056"/>
      <c r="ATU150" s="1056"/>
      <c r="ATV150" s="1056"/>
      <c r="ATW150" s="1056"/>
      <c r="ATX150" s="1056"/>
      <c r="ATY150" s="1056"/>
      <c r="ATZ150" s="1056"/>
      <c r="AUA150" s="1056"/>
      <c r="AUB150" s="1056"/>
      <c r="AUC150" s="1056"/>
      <c r="AUD150" s="1056"/>
      <c r="AUE150" s="1056"/>
      <c r="AUF150" s="1056"/>
      <c r="AUG150" s="1056"/>
      <c r="AUH150" s="1056"/>
      <c r="AUI150" s="1056"/>
      <c r="AUJ150" s="1056"/>
      <c r="AUK150" s="1056"/>
      <c r="AUL150" s="1056"/>
      <c r="AUM150" s="1056"/>
      <c r="AUN150" s="1056"/>
      <c r="AUO150" s="1056"/>
      <c r="AUP150" s="1056"/>
      <c r="AUQ150" s="1056"/>
      <c r="AUR150" s="1056"/>
      <c r="AUS150" s="1056"/>
      <c r="AUT150" s="1056"/>
      <c r="AUU150" s="1056"/>
      <c r="AUV150" s="1056"/>
      <c r="AUW150" s="1056"/>
      <c r="AUX150" s="1056"/>
      <c r="AUY150" s="1056"/>
      <c r="AUZ150" s="1056"/>
      <c r="AVA150" s="1056"/>
      <c r="AVB150" s="1056"/>
      <c r="AVC150" s="1056"/>
      <c r="AVD150" s="1056"/>
      <c r="AVE150" s="1056"/>
      <c r="AVF150" s="1056"/>
      <c r="AVG150" s="1056"/>
      <c r="AVH150" s="1056"/>
      <c r="AVI150" s="1056"/>
      <c r="AVJ150" s="1056"/>
      <c r="AVK150" s="1056"/>
      <c r="AVL150" s="1056"/>
      <c r="AVM150" s="1056"/>
      <c r="AVN150" s="1056"/>
      <c r="AVO150" s="1056"/>
      <c r="AVP150" s="1056"/>
      <c r="AVQ150" s="1056"/>
      <c r="AVR150" s="1056"/>
      <c r="AVS150" s="1056"/>
      <c r="AVT150" s="1056"/>
      <c r="AVU150" s="1056"/>
      <c r="AVV150" s="1056"/>
      <c r="AVW150" s="1056"/>
      <c r="AVX150" s="1056"/>
      <c r="AVY150" s="1056"/>
      <c r="AVZ150" s="1056"/>
      <c r="AWA150" s="1056"/>
      <c r="AWB150" s="1056"/>
      <c r="AWC150" s="1056"/>
      <c r="AWD150" s="1056"/>
      <c r="AWE150" s="1056"/>
      <c r="AWF150" s="1056"/>
      <c r="AWG150" s="1056"/>
      <c r="AWH150" s="1056"/>
      <c r="AWI150" s="1056"/>
      <c r="AWJ150" s="1056"/>
      <c r="AWK150" s="1056"/>
      <c r="AWL150" s="1056"/>
      <c r="AWM150" s="1056"/>
      <c r="AWN150" s="1056"/>
      <c r="AWO150" s="1056"/>
      <c r="AWP150" s="1056"/>
      <c r="AWQ150" s="1056"/>
      <c r="AWR150" s="1056"/>
      <c r="AWS150" s="1056"/>
      <c r="AWT150" s="1056"/>
      <c r="AWU150" s="1056"/>
      <c r="AWV150" s="1056"/>
      <c r="AWW150" s="1056"/>
      <c r="AWX150" s="1056"/>
      <c r="AWY150" s="1056"/>
      <c r="AWZ150" s="1056"/>
      <c r="AXA150" s="1056"/>
      <c r="AXB150" s="1056"/>
      <c r="AXC150" s="1056"/>
      <c r="AXD150" s="1056"/>
      <c r="AXE150" s="1056"/>
      <c r="AXF150" s="1056"/>
      <c r="AXG150" s="1056"/>
      <c r="AXH150" s="1056"/>
      <c r="AXI150" s="1056"/>
      <c r="AXJ150" s="1056"/>
      <c r="AXK150" s="1056"/>
      <c r="AXL150" s="1056"/>
      <c r="AXM150" s="1056"/>
      <c r="AXN150" s="1056"/>
      <c r="AXO150" s="1056"/>
      <c r="AXP150" s="1056"/>
      <c r="AXQ150" s="1056"/>
      <c r="AXR150" s="1056"/>
      <c r="AXS150" s="1056"/>
      <c r="AXT150" s="1056"/>
      <c r="AXU150" s="1056"/>
      <c r="AXV150" s="1056"/>
      <c r="AXW150" s="1056"/>
      <c r="AXX150" s="1056"/>
      <c r="AXY150" s="1056"/>
      <c r="AXZ150" s="1056"/>
      <c r="AYA150" s="1056"/>
      <c r="AYB150" s="1056"/>
      <c r="AYC150" s="1056"/>
      <c r="AYD150" s="1056"/>
      <c r="AYE150" s="1056"/>
      <c r="AYF150" s="1056"/>
      <c r="AYG150" s="1056"/>
      <c r="AYH150" s="1056"/>
      <c r="AYI150" s="1056"/>
      <c r="AYJ150" s="1056"/>
      <c r="AYK150" s="1056"/>
      <c r="AYL150" s="1056"/>
      <c r="AYM150" s="1056"/>
      <c r="AYN150" s="1056"/>
      <c r="AYO150" s="1056"/>
      <c r="AYP150" s="1056"/>
      <c r="AYQ150" s="1056"/>
      <c r="AYR150" s="1056"/>
      <c r="AYS150" s="1056"/>
      <c r="AYT150" s="1056"/>
      <c r="AYU150" s="1056"/>
      <c r="AYV150" s="1056"/>
      <c r="AYW150" s="1056"/>
      <c r="AYX150" s="1056"/>
      <c r="AYY150" s="1056"/>
      <c r="AYZ150" s="1056"/>
      <c r="AZA150" s="1056"/>
      <c r="AZB150" s="1056"/>
      <c r="AZC150" s="1056"/>
      <c r="AZD150" s="1056"/>
      <c r="AZE150" s="1056"/>
      <c r="AZF150" s="1056"/>
      <c r="AZG150" s="1056"/>
      <c r="AZH150" s="1056"/>
      <c r="AZI150" s="1056"/>
      <c r="AZJ150" s="1056"/>
      <c r="AZK150" s="1056"/>
      <c r="AZL150" s="1056"/>
      <c r="AZM150" s="1056"/>
      <c r="AZN150" s="1056"/>
      <c r="AZO150" s="1056"/>
      <c r="AZP150" s="1056"/>
      <c r="AZQ150" s="1056"/>
      <c r="AZR150" s="1056"/>
      <c r="AZS150" s="1056"/>
      <c r="AZT150" s="1056"/>
      <c r="AZU150" s="1056"/>
      <c r="AZV150" s="1056"/>
      <c r="AZW150" s="1056"/>
      <c r="AZX150" s="1056"/>
      <c r="AZY150" s="1056"/>
      <c r="AZZ150" s="1056"/>
      <c r="BAA150" s="1056"/>
      <c r="BAB150" s="1056"/>
      <c r="BAC150" s="1056"/>
      <c r="BAD150" s="1056"/>
      <c r="BAE150" s="1056"/>
      <c r="BAF150" s="1056"/>
      <c r="BAG150" s="1056"/>
      <c r="BAH150" s="1056"/>
      <c r="BAI150" s="1056"/>
      <c r="BAJ150" s="1056"/>
      <c r="BAK150" s="1056"/>
      <c r="BAL150" s="1056"/>
      <c r="BAM150" s="1056"/>
      <c r="BAN150" s="1056"/>
      <c r="BAO150" s="1056"/>
      <c r="BAP150" s="1056"/>
      <c r="BAQ150" s="1056"/>
      <c r="BAR150" s="1056"/>
      <c r="BAS150" s="1056"/>
      <c r="BAT150" s="1056"/>
      <c r="BAU150" s="1056"/>
      <c r="BAV150" s="1056"/>
      <c r="BAW150" s="1056"/>
      <c r="BAX150" s="1056"/>
      <c r="BAY150" s="1056"/>
      <c r="BAZ150" s="1056"/>
      <c r="BBA150" s="1056"/>
      <c r="BBB150" s="1056"/>
      <c r="BBC150" s="1056"/>
      <c r="BBD150" s="1056"/>
      <c r="BBE150" s="1056"/>
      <c r="BBF150" s="1056"/>
      <c r="BBG150" s="1056"/>
      <c r="BBH150" s="1056"/>
      <c r="BBI150" s="1056"/>
      <c r="BBJ150" s="1056"/>
      <c r="BBK150" s="1056"/>
      <c r="BBL150" s="1056"/>
      <c r="BBM150" s="1056"/>
      <c r="BBN150" s="1056"/>
      <c r="BBO150" s="1056"/>
      <c r="BBP150" s="1056"/>
      <c r="BBQ150" s="1056"/>
      <c r="BBR150" s="1056"/>
      <c r="BBS150" s="1056"/>
      <c r="BBT150" s="1056"/>
      <c r="BBU150" s="1056"/>
      <c r="BBV150" s="1056"/>
      <c r="BBW150" s="1056"/>
      <c r="BBX150" s="1056"/>
      <c r="BBY150" s="1056"/>
      <c r="BBZ150" s="1056"/>
      <c r="BCA150" s="1056"/>
      <c r="BCB150" s="1056"/>
      <c r="BCC150" s="1056"/>
      <c r="BCD150" s="1056"/>
      <c r="BCE150" s="1056"/>
      <c r="BCF150" s="1056"/>
      <c r="BCG150" s="1056"/>
      <c r="BCH150" s="1056"/>
      <c r="BCI150" s="1056"/>
      <c r="BCJ150" s="1056"/>
      <c r="BCK150" s="1056"/>
      <c r="BCL150" s="1056"/>
      <c r="BCM150" s="1056"/>
      <c r="BCN150" s="1056"/>
      <c r="BCO150" s="1056"/>
      <c r="BCP150" s="1056"/>
      <c r="BCQ150" s="1056"/>
      <c r="BCR150" s="1056"/>
      <c r="BCS150" s="1056"/>
      <c r="BCT150" s="1056"/>
      <c r="BCU150" s="1056"/>
      <c r="BCV150" s="1056"/>
      <c r="BCW150" s="1056"/>
      <c r="BCX150" s="1056"/>
      <c r="BCY150" s="1056"/>
      <c r="BCZ150" s="1056"/>
      <c r="BDA150" s="1056"/>
      <c r="BDB150" s="1056"/>
      <c r="BDC150" s="1056"/>
      <c r="BDD150" s="1056"/>
      <c r="BDE150" s="1056"/>
      <c r="BDF150" s="1056"/>
      <c r="BDG150" s="1056"/>
      <c r="BDH150" s="1056"/>
      <c r="BDI150" s="1056"/>
      <c r="BDJ150" s="1056"/>
      <c r="BDK150" s="1056"/>
      <c r="BDL150" s="1056"/>
      <c r="BDM150" s="1056"/>
      <c r="BDN150" s="1056"/>
      <c r="BDO150" s="1056"/>
      <c r="BDP150" s="1056"/>
      <c r="BDQ150" s="1056"/>
      <c r="BDR150" s="1056"/>
      <c r="BDS150" s="1056"/>
      <c r="BDT150" s="1056"/>
      <c r="BDU150" s="1056"/>
      <c r="BDV150" s="1056"/>
      <c r="BDW150" s="1056"/>
      <c r="BDX150" s="1056"/>
      <c r="BDY150" s="1056"/>
      <c r="BDZ150" s="1056"/>
      <c r="BEA150" s="1056"/>
      <c r="BEB150" s="1056"/>
      <c r="BEC150" s="1056"/>
      <c r="BED150" s="1056"/>
      <c r="BEE150" s="1056"/>
      <c r="BEF150" s="1056"/>
      <c r="BEG150" s="1056"/>
      <c r="BEH150" s="1056"/>
      <c r="BEI150" s="1056"/>
      <c r="BEJ150" s="1056"/>
      <c r="BEK150" s="1056"/>
      <c r="BEL150" s="1056"/>
      <c r="BEM150" s="1056"/>
      <c r="BEN150" s="1056"/>
      <c r="BEO150" s="1056"/>
      <c r="BEP150" s="1056"/>
      <c r="BEQ150" s="1056"/>
      <c r="BER150" s="1056"/>
      <c r="BES150" s="1056"/>
      <c r="BET150" s="1056"/>
      <c r="BEU150" s="1056"/>
      <c r="BEV150" s="1056"/>
      <c r="BEW150" s="1056"/>
      <c r="BEX150" s="1056"/>
      <c r="BEY150" s="1056"/>
      <c r="BEZ150" s="1056"/>
      <c r="BFA150" s="1056"/>
      <c r="BFB150" s="1056"/>
      <c r="BFC150" s="1056"/>
      <c r="BFD150" s="1056"/>
      <c r="BFE150" s="1056"/>
      <c r="BFF150" s="1056"/>
      <c r="BFG150" s="1056"/>
      <c r="BFH150" s="1056"/>
      <c r="BFI150" s="1056"/>
      <c r="BFJ150" s="1056"/>
      <c r="BFK150" s="1056"/>
      <c r="BFL150" s="1056"/>
      <c r="BFM150" s="1056"/>
      <c r="BFN150" s="1056"/>
      <c r="BFO150" s="1056"/>
      <c r="BFP150" s="1056"/>
      <c r="BFQ150" s="1056"/>
      <c r="BFR150" s="1056"/>
      <c r="BFS150" s="1056"/>
      <c r="BFT150" s="1056"/>
      <c r="BFU150" s="1056"/>
      <c r="BFV150" s="1056"/>
      <c r="BFW150" s="1056"/>
      <c r="BFX150" s="1056"/>
      <c r="BFY150" s="1056"/>
      <c r="BFZ150" s="1056"/>
      <c r="BGA150" s="1056"/>
      <c r="BGB150" s="1056"/>
      <c r="BGC150" s="1056"/>
      <c r="BGD150" s="1056"/>
      <c r="BGE150" s="1056"/>
      <c r="BGF150" s="1056"/>
      <c r="BGG150" s="1056"/>
      <c r="BGH150" s="1056"/>
      <c r="BGI150" s="1056"/>
      <c r="BGJ150" s="1056"/>
      <c r="BGK150" s="1056"/>
      <c r="BGL150" s="1056"/>
      <c r="BGM150" s="1056"/>
      <c r="BGN150" s="1056"/>
      <c r="BGO150" s="1056"/>
      <c r="BGP150" s="1056"/>
      <c r="BGQ150" s="1056"/>
      <c r="BGR150" s="1056"/>
      <c r="BGS150" s="1056"/>
      <c r="BGT150" s="1056"/>
      <c r="BGU150" s="1056"/>
      <c r="BGV150" s="1056"/>
      <c r="BGW150" s="1056"/>
      <c r="BGX150" s="1056"/>
      <c r="BGY150" s="1056"/>
      <c r="BGZ150" s="1056"/>
      <c r="BHA150" s="1056"/>
      <c r="BHB150" s="1056"/>
      <c r="BHC150" s="1056"/>
      <c r="BHD150" s="1056"/>
      <c r="BHE150" s="1056"/>
      <c r="BHF150" s="1056"/>
      <c r="BHG150" s="1056"/>
      <c r="BHH150" s="1056"/>
      <c r="BHI150" s="1056"/>
      <c r="BHJ150" s="1056"/>
      <c r="BHK150" s="1056"/>
      <c r="BHL150" s="1056"/>
      <c r="BHM150" s="1056"/>
      <c r="BHN150" s="1056"/>
      <c r="BHO150" s="1056"/>
      <c r="BHP150" s="1056"/>
      <c r="BHQ150" s="1056"/>
      <c r="BHR150" s="1056"/>
      <c r="BHS150" s="1056"/>
      <c r="BHT150" s="1056"/>
      <c r="BHU150" s="1056"/>
      <c r="BHV150" s="1056"/>
      <c r="BHW150" s="1056"/>
      <c r="BHX150" s="1056"/>
      <c r="BHY150" s="1056"/>
      <c r="BHZ150" s="1056"/>
      <c r="BIA150" s="1056"/>
      <c r="BIB150" s="1056"/>
      <c r="BIC150" s="1056"/>
      <c r="BID150" s="1056"/>
      <c r="BIE150" s="1056"/>
      <c r="BIF150" s="1056"/>
      <c r="BIG150" s="1056"/>
      <c r="BIH150" s="1056"/>
      <c r="BII150" s="1056"/>
      <c r="BIJ150" s="1056"/>
      <c r="BIK150" s="1056"/>
      <c r="BIL150" s="1056"/>
      <c r="BIM150" s="1056"/>
      <c r="BIN150" s="1056"/>
      <c r="BIO150" s="1056"/>
      <c r="BIP150" s="1056"/>
      <c r="BIQ150" s="1056"/>
      <c r="BIR150" s="1056"/>
      <c r="BIS150" s="1056"/>
      <c r="BIT150" s="1056"/>
      <c r="BIU150" s="1056"/>
      <c r="BIV150" s="1056"/>
      <c r="BIW150" s="1056"/>
      <c r="BIX150" s="1056"/>
      <c r="BIY150" s="1056"/>
      <c r="BIZ150" s="1056"/>
      <c r="BJA150" s="1056"/>
      <c r="BJB150" s="1056"/>
      <c r="BJC150" s="1056"/>
      <c r="BJD150" s="1056"/>
      <c r="BJE150" s="1056"/>
      <c r="BJF150" s="1056"/>
      <c r="BJG150" s="1056"/>
      <c r="BJH150" s="1056"/>
      <c r="BJI150" s="1056"/>
      <c r="BJJ150" s="1056"/>
      <c r="BJK150" s="1056"/>
      <c r="BJL150" s="1056"/>
      <c r="BJM150" s="1056"/>
      <c r="BJN150" s="1056"/>
      <c r="BJO150" s="1056"/>
      <c r="BJP150" s="1056"/>
      <c r="BJQ150" s="1056"/>
      <c r="BJR150" s="1056"/>
      <c r="BJS150" s="1056"/>
      <c r="BJT150" s="1056"/>
      <c r="BJU150" s="1056"/>
      <c r="BJV150" s="1056"/>
      <c r="BJW150" s="1056"/>
      <c r="BJX150" s="1056"/>
      <c r="BJY150" s="1056"/>
      <c r="BJZ150" s="1056"/>
      <c r="BKA150" s="1056"/>
      <c r="BKB150" s="1056"/>
      <c r="BKC150" s="1056"/>
      <c r="BKD150" s="1056"/>
      <c r="BKE150" s="1056"/>
      <c r="BKF150" s="1056"/>
      <c r="BKG150" s="1056"/>
      <c r="BKH150" s="1056"/>
      <c r="BKI150" s="1056"/>
      <c r="BKJ150" s="1056"/>
      <c r="BKK150" s="1056"/>
      <c r="BKL150" s="1056"/>
      <c r="BKM150" s="1056"/>
      <c r="BKN150" s="1056"/>
      <c r="BKO150" s="1056"/>
      <c r="BKP150" s="1056"/>
      <c r="BKQ150" s="1056"/>
      <c r="BKR150" s="1056"/>
      <c r="BKS150" s="1056"/>
      <c r="BKT150" s="1056"/>
      <c r="BKU150" s="1056"/>
      <c r="BKV150" s="1056"/>
      <c r="BKW150" s="1056"/>
      <c r="BKX150" s="1056"/>
      <c r="BKY150" s="1056"/>
      <c r="BKZ150" s="1056"/>
      <c r="BLA150" s="1056"/>
      <c r="BLB150" s="1056"/>
      <c r="BLC150" s="1056"/>
      <c r="BLD150" s="1056"/>
      <c r="BLE150" s="1056"/>
      <c r="BLF150" s="1056"/>
      <c r="BLG150" s="1056"/>
      <c r="BLH150" s="1056"/>
      <c r="BLI150" s="1056"/>
      <c r="BLJ150" s="1056"/>
      <c r="BLK150" s="1056"/>
      <c r="BLL150" s="1056"/>
      <c r="BLM150" s="1056"/>
      <c r="BLN150" s="1056"/>
      <c r="BLO150" s="1056"/>
      <c r="BLP150" s="1056"/>
      <c r="BLQ150" s="1056"/>
      <c r="BLR150" s="1056"/>
      <c r="BLS150" s="1056"/>
      <c r="BLT150" s="1056"/>
      <c r="BLU150" s="1056"/>
      <c r="BLV150" s="1056"/>
      <c r="BLW150" s="1056"/>
      <c r="BLX150" s="1056"/>
      <c r="BLY150" s="1056"/>
      <c r="BLZ150" s="1056"/>
      <c r="BMA150" s="1056"/>
      <c r="BMB150" s="1056"/>
      <c r="BMC150" s="1056"/>
      <c r="BMD150" s="1056"/>
      <c r="BME150" s="1056"/>
      <c r="BMF150" s="1056"/>
      <c r="BMG150" s="1056"/>
      <c r="BMH150" s="1056"/>
      <c r="BMI150" s="1056"/>
      <c r="BMJ150" s="1056"/>
      <c r="BMK150" s="1056"/>
      <c r="BML150" s="1056"/>
      <c r="BMM150" s="1056"/>
      <c r="BMN150" s="1056"/>
      <c r="BMO150" s="1056"/>
      <c r="BMP150" s="1056"/>
      <c r="BMQ150" s="1056"/>
      <c r="BMR150" s="1056"/>
      <c r="BMS150" s="1056"/>
      <c r="BMT150" s="1056"/>
      <c r="BMU150" s="1056"/>
      <c r="BMV150" s="1056"/>
      <c r="BMW150" s="1056"/>
      <c r="BMX150" s="1056"/>
      <c r="BMY150" s="1056"/>
      <c r="BMZ150" s="1056"/>
      <c r="BNA150" s="1056"/>
      <c r="BNB150" s="1056"/>
      <c r="BNC150" s="1056"/>
      <c r="BND150" s="1056"/>
      <c r="BNE150" s="1056"/>
      <c r="BNF150" s="1056"/>
      <c r="BNG150" s="1056"/>
      <c r="BNH150" s="1056"/>
      <c r="BNI150" s="1056"/>
      <c r="BNJ150" s="1056"/>
      <c r="BNK150" s="1056"/>
      <c r="BNL150" s="1056"/>
      <c r="BNM150" s="1056"/>
      <c r="BNN150" s="1056"/>
      <c r="BNO150" s="1056"/>
      <c r="BNP150" s="1056"/>
      <c r="BNQ150" s="1056"/>
      <c r="BNR150" s="1056"/>
      <c r="BNS150" s="1056"/>
      <c r="BNT150" s="1056"/>
      <c r="BNU150" s="1056"/>
      <c r="BNV150" s="1056"/>
      <c r="BNW150" s="1056"/>
      <c r="BNX150" s="1056"/>
      <c r="BNY150" s="1056"/>
      <c r="BNZ150" s="1056"/>
      <c r="BOA150" s="1056"/>
      <c r="BOB150" s="1056"/>
      <c r="BOC150" s="1056"/>
      <c r="BOD150" s="1056"/>
      <c r="BOE150" s="1056"/>
      <c r="BOF150" s="1056"/>
      <c r="BOG150" s="1056"/>
      <c r="BOH150" s="1056"/>
      <c r="BOI150" s="1056"/>
      <c r="BOJ150" s="1056"/>
      <c r="BOK150" s="1056"/>
      <c r="BOL150" s="1056"/>
      <c r="BOM150" s="1056"/>
      <c r="BON150" s="1056"/>
      <c r="BOO150" s="1056"/>
      <c r="BOP150" s="1056"/>
      <c r="BOQ150" s="1056"/>
      <c r="BOR150" s="1056"/>
      <c r="BOS150" s="1056"/>
      <c r="BOT150" s="1056"/>
      <c r="BOU150" s="1056"/>
      <c r="BOV150" s="1056"/>
      <c r="BOW150" s="1056"/>
      <c r="BOX150" s="1056"/>
      <c r="BOY150" s="1056"/>
      <c r="BOZ150" s="1056"/>
      <c r="BPA150" s="1056"/>
      <c r="BPB150" s="1056"/>
      <c r="BPC150" s="1056"/>
      <c r="BPD150" s="1056"/>
      <c r="BPE150" s="1056"/>
      <c r="BPF150" s="1056"/>
      <c r="BPG150" s="1056"/>
      <c r="BPH150" s="1056"/>
      <c r="BPI150" s="1056"/>
      <c r="BPJ150" s="1056"/>
      <c r="BPK150" s="1056"/>
      <c r="BPL150" s="1056"/>
      <c r="BPM150" s="1056"/>
      <c r="BPN150" s="1056"/>
      <c r="BPO150" s="1056"/>
      <c r="BPP150" s="1056"/>
      <c r="BPQ150" s="1056"/>
      <c r="BPR150" s="1056"/>
      <c r="BPS150" s="1056"/>
      <c r="BPT150" s="1056"/>
      <c r="BPU150" s="1056"/>
      <c r="BPV150" s="1056"/>
      <c r="BPW150" s="1056"/>
      <c r="BPX150" s="1056"/>
      <c r="BPY150" s="1056"/>
      <c r="BPZ150" s="1056"/>
      <c r="BQA150" s="1056"/>
      <c r="BQB150" s="1056"/>
      <c r="BQC150" s="1056"/>
      <c r="BQD150" s="1056"/>
      <c r="BQE150" s="1056"/>
      <c r="BQF150" s="1056"/>
      <c r="BQG150" s="1056"/>
      <c r="BQH150" s="1056"/>
      <c r="BQI150" s="1056"/>
      <c r="BQJ150" s="1056"/>
      <c r="BQK150" s="1056"/>
      <c r="BQL150" s="1056"/>
      <c r="BQM150" s="1056"/>
      <c r="BQN150" s="1056"/>
      <c r="BQO150" s="1056"/>
      <c r="BQP150" s="1056"/>
      <c r="BQQ150" s="1056"/>
      <c r="BQR150" s="1056"/>
      <c r="BQS150" s="1056"/>
      <c r="BQT150" s="1056"/>
      <c r="BQU150" s="1056"/>
      <c r="BQV150" s="1056"/>
      <c r="BQW150" s="1056"/>
      <c r="BQX150" s="1056"/>
      <c r="BQY150" s="1056"/>
      <c r="BQZ150" s="1056"/>
      <c r="BRA150" s="1056"/>
      <c r="BRB150" s="1056"/>
      <c r="BRC150" s="1056"/>
      <c r="BRD150" s="1056"/>
      <c r="BRE150" s="1056"/>
      <c r="BRF150" s="1056"/>
      <c r="BRG150" s="1056"/>
      <c r="BRH150" s="1056"/>
      <c r="BRI150" s="1056"/>
      <c r="BRJ150" s="1056"/>
      <c r="BRK150" s="1056"/>
      <c r="BRL150" s="1056"/>
      <c r="BRM150" s="1056"/>
      <c r="BRN150" s="1056"/>
      <c r="BRO150" s="1056"/>
      <c r="BRP150" s="1056"/>
      <c r="BRQ150" s="1056"/>
      <c r="BRR150" s="1056"/>
      <c r="BRS150" s="1056"/>
      <c r="BRT150" s="1056"/>
      <c r="BRU150" s="1056"/>
      <c r="BRV150" s="1056"/>
      <c r="BRW150" s="1056"/>
      <c r="BRX150" s="1056"/>
      <c r="BRY150" s="1056"/>
      <c r="BRZ150" s="1056"/>
      <c r="BSA150" s="1056"/>
      <c r="BSB150" s="1056"/>
      <c r="BSC150" s="1056"/>
      <c r="BSD150" s="1056"/>
      <c r="BSE150" s="1056"/>
      <c r="BSF150" s="1056"/>
      <c r="BSG150" s="1056"/>
      <c r="BSH150" s="1056"/>
      <c r="BSI150" s="1056"/>
      <c r="BSJ150" s="1056"/>
      <c r="BSK150" s="1056"/>
      <c r="BSL150" s="1056"/>
      <c r="BSM150" s="1056"/>
      <c r="BSN150" s="1056"/>
      <c r="BSO150" s="1056"/>
      <c r="BSP150" s="1056"/>
      <c r="BSQ150" s="1056"/>
      <c r="BSR150" s="1056"/>
      <c r="BSS150" s="1056"/>
      <c r="BST150" s="1056"/>
      <c r="BSU150" s="1056"/>
      <c r="BSV150" s="1056"/>
      <c r="BSW150" s="1056"/>
      <c r="BSX150" s="1056"/>
      <c r="BSY150" s="1056"/>
      <c r="BSZ150" s="1056"/>
      <c r="BTA150" s="1056"/>
      <c r="BTB150" s="1056"/>
      <c r="BTC150" s="1056"/>
      <c r="BTD150" s="1056"/>
      <c r="BTE150" s="1056"/>
      <c r="BTF150" s="1056"/>
      <c r="BTG150" s="1056"/>
      <c r="BTH150" s="1056"/>
      <c r="BTI150" s="1056"/>
    </row>
    <row r="151" spans="1:1881" s="1060" customFormat="1" ht="59.25" hidden="1" customHeight="1" x14ac:dyDescent="0.3">
      <c r="A151" s="1059">
        <v>90</v>
      </c>
      <c r="B151" s="808" t="s">
        <v>63</v>
      </c>
      <c r="C151" s="808" t="s">
        <v>1400</v>
      </c>
      <c r="D151" s="746" t="s">
        <v>1401</v>
      </c>
      <c r="E151" s="1053" t="e">
        <f>HLOOKUP($D$2,'2020 Data(H)'!$C$1:$AI$426,52,FALSE)</f>
        <v>#N/A</v>
      </c>
      <c r="F151" s="287">
        <v>0</v>
      </c>
      <c r="G151" s="722">
        <f>IF(F151&lt;0,"Note: Number is normally positive.",)</f>
        <v>0</v>
      </c>
      <c r="H151" s="1096"/>
      <c r="I151" s="1055"/>
      <c r="J151" s="1056"/>
      <c r="K151" s="1056"/>
      <c r="L151" s="1056"/>
      <c r="M151" s="1056"/>
      <c r="N151" s="1058"/>
      <c r="O151" s="1056"/>
      <c r="P151" s="1056"/>
      <c r="Q151" s="1056"/>
      <c r="R151" s="1056"/>
      <c r="S151" s="1056"/>
      <c r="T151" s="1056"/>
      <c r="U151" s="1056"/>
      <c r="V151" s="1056"/>
      <c r="W151" s="1056"/>
      <c r="X151" s="1056"/>
      <c r="Y151" s="1056"/>
      <c r="Z151" s="1059"/>
      <c r="AA151" s="1059"/>
      <c r="AB151" s="1059"/>
      <c r="AC151" s="1059"/>
      <c r="AD151" s="1059"/>
      <c r="AE151" s="1059"/>
      <c r="AF151" s="1059"/>
      <c r="AG151" s="1059"/>
      <c r="AH151" s="1059"/>
      <c r="AI151" s="1059"/>
      <c r="AJ151" s="1059"/>
      <c r="AK151" s="1059"/>
      <c r="AL151" s="1059"/>
      <c r="AM151" s="1059"/>
      <c r="AN151" s="1059"/>
      <c r="AO151" s="1059"/>
      <c r="AP151" s="1059"/>
      <c r="AQ151" s="1059"/>
      <c r="AR151" s="1059"/>
      <c r="AS151" s="1056"/>
      <c r="AT151" s="1056"/>
      <c r="AU151" s="1056"/>
      <c r="AV151" s="1056"/>
      <c r="AW151" s="1056"/>
      <c r="AX151" s="1056"/>
      <c r="AY151" s="1056"/>
      <c r="AZ151" s="1056"/>
      <c r="BA151" s="1056"/>
      <c r="BB151" s="1056"/>
      <c r="BC151" s="1056"/>
      <c r="BD151" s="1056"/>
      <c r="BE151" s="1056"/>
      <c r="BF151" s="1056"/>
      <c r="BG151" s="1056"/>
      <c r="BH151" s="1056"/>
      <c r="BI151" s="1056"/>
      <c r="BJ151" s="1056"/>
      <c r="BK151" s="1056"/>
      <c r="BL151" s="1056"/>
      <c r="BM151" s="1056"/>
      <c r="BN151" s="1056"/>
      <c r="BO151" s="1056"/>
      <c r="BP151" s="1056"/>
      <c r="BQ151" s="1056"/>
      <c r="BR151" s="1056"/>
      <c r="BS151" s="1056"/>
      <c r="BT151" s="1056"/>
      <c r="BU151" s="1056"/>
      <c r="BV151" s="1056"/>
      <c r="BW151" s="1056"/>
      <c r="BX151" s="1056"/>
      <c r="BY151" s="1056"/>
      <c r="BZ151" s="1056"/>
      <c r="CA151" s="1056"/>
      <c r="CB151" s="1056"/>
      <c r="CC151" s="1056"/>
      <c r="CD151" s="1056"/>
      <c r="CE151" s="1056"/>
      <c r="CF151" s="1056"/>
      <c r="CG151" s="1056"/>
      <c r="CH151" s="1056"/>
      <c r="CI151" s="1056"/>
      <c r="CJ151" s="1056"/>
      <c r="CK151" s="1056"/>
      <c r="CL151" s="1056"/>
      <c r="CM151" s="1056"/>
      <c r="CN151" s="1056"/>
      <c r="CO151" s="1056"/>
      <c r="CP151" s="1056"/>
      <c r="CQ151" s="1056"/>
      <c r="CR151" s="1056"/>
      <c r="CS151" s="1056"/>
      <c r="CT151" s="1056"/>
      <c r="CU151" s="1056"/>
      <c r="CV151" s="1056"/>
      <c r="CW151" s="1056"/>
      <c r="CX151" s="1056"/>
      <c r="CY151" s="1056"/>
      <c r="CZ151" s="1056"/>
      <c r="DA151" s="1056"/>
      <c r="DB151" s="1056"/>
      <c r="DC151" s="1056"/>
      <c r="DD151" s="1056"/>
      <c r="DE151" s="1056"/>
      <c r="DF151" s="1056"/>
      <c r="DG151" s="1056"/>
      <c r="DH151" s="1056"/>
      <c r="DI151" s="1056"/>
      <c r="DJ151" s="1056"/>
      <c r="DK151" s="1056"/>
      <c r="DL151" s="1056"/>
      <c r="DM151" s="1056"/>
      <c r="DN151" s="1056"/>
      <c r="DO151" s="1056"/>
      <c r="DP151" s="1056"/>
      <c r="DQ151" s="1056"/>
      <c r="DR151" s="1056"/>
      <c r="DS151" s="1056"/>
      <c r="DT151" s="1056"/>
      <c r="DU151" s="1056"/>
      <c r="DV151" s="1056"/>
      <c r="DW151" s="1056"/>
      <c r="DX151" s="1056"/>
      <c r="DY151" s="1056"/>
      <c r="DZ151" s="1056"/>
      <c r="EA151" s="1056"/>
      <c r="EB151" s="1056"/>
      <c r="EC151" s="1056"/>
      <c r="ED151" s="1056"/>
      <c r="EE151" s="1056"/>
      <c r="EF151" s="1056"/>
      <c r="EG151" s="1056"/>
      <c r="EH151" s="1056"/>
      <c r="EI151" s="1056"/>
      <c r="EJ151" s="1056"/>
      <c r="EK151" s="1056"/>
      <c r="EL151" s="1056"/>
      <c r="EM151" s="1056"/>
      <c r="EN151" s="1056"/>
      <c r="EO151" s="1056"/>
      <c r="EP151" s="1056"/>
      <c r="EQ151" s="1056"/>
      <c r="ER151" s="1056"/>
      <c r="ES151" s="1056"/>
      <c r="ET151" s="1056"/>
      <c r="EU151" s="1056"/>
      <c r="EV151" s="1056"/>
      <c r="EW151" s="1056"/>
      <c r="EX151" s="1056"/>
      <c r="EY151" s="1056"/>
      <c r="EZ151" s="1056"/>
      <c r="FA151" s="1056"/>
      <c r="FB151" s="1056"/>
      <c r="FC151" s="1056"/>
      <c r="FD151" s="1056"/>
      <c r="FE151" s="1056"/>
      <c r="FF151" s="1056"/>
      <c r="FG151" s="1056"/>
      <c r="FH151" s="1056"/>
      <c r="FI151" s="1056"/>
      <c r="FJ151" s="1056"/>
      <c r="FK151" s="1056"/>
      <c r="FL151" s="1056"/>
      <c r="FM151" s="1056"/>
      <c r="FN151" s="1056"/>
      <c r="FO151" s="1056"/>
      <c r="FP151" s="1056"/>
      <c r="FQ151" s="1056"/>
      <c r="FR151" s="1056"/>
      <c r="FS151" s="1056"/>
      <c r="FT151" s="1056"/>
      <c r="FU151" s="1056"/>
      <c r="FV151" s="1056"/>
      <c r="FW151" s="1056"/>
      <c r="FX151" s="1056"/>
      <c r="FY151" s="1056"/>
      <c r="FZ151" s="1056"/>
      <c r="GA151" s="1056"/>
      <c r="GB151" s="1056"/>
      <c r="GC151" s="1056"/>
      <c r="GD151" s="1056"/>
      <c r="GE151" s="1056"/>
      <c r="GF151" s="1056"/>
      <c r="GG151" s="1056"/>
      <c r="GH151" s="1056"/>
      <c r="GI151" s="1056"/>
      <c r="GJ151" s="1056"/>
      <c r="GK151" s="1056"/>
      <c r="GL151" s="1056"/>
      <c r="GM151" s="1056"/>
      <c r="GN151" s="1056"/>
      <c r="GO151" s="1056"/>
      <c r="GP151" s="1056"/>
      <c r="GQ151" s="1056"/>
      <c r="GR151" s="1056"/>
      <c r="GS151" s="1056"/>
      <c r="GT151" s="1056"/>
      <c r="GU151" s="1056"/>
      <c r="GV151" s="1056"/>
      <c r="GW151" s="1056"/>
      <c r="GX151" s="1056"/>
      <c r="GY151" s="1056"/>
      <c r="GZ151" s="1056"/>
      <c r="HA151" s="1056"/>
      <c r="HB151" s="1056"/>
      <c r="HC151" s="1056"/>
      <c r="HD151" s="1056"/>
      <c r="HE151" s="1056"/>
      <c r="HF151" s="1056"/>
      <c r="HG151" s="1056"/>
      <c r="HH151" s="1056"/>
      <c r="HI151" s="1056"/>
      <c r="HJ151" s="1056"/>
      <c r="HK151" s="1056"/>
      <c r="HL151" s="1056"/>
      <c r="HM151" s="1056"/>
      <c r="HN151" s="1056"/>
      <c r="HO151" s="1056"/>
      <c r="HP151" s="1056"/>
      <c r="HQ151" s="1056"/>
      <c r="HR151" s="1056"/>
      <c r="HS151" s="1056"/>
      <c r="HT151" s="1056"/>
      <c r="HU151" s="1056"/>
      <c r="HV151" s="1056"/>
      <c r="HW151" s="1056"/>
      <c r="HX151" s="1056"/>
      <c r="HY151" s="1056"/>
      <c r="HZ151" s="1056"/>
      <c r="IA151" s="1056"/>
      <c r="IB151" s="1056"/>
      <c r="IC151" s="1056"/>
      <c r="ID151" s="1056"/>
      <c r="IE151" s="1056"/>
      <c r="IF151" s="1056"/>
      <c r="IG151" s="1056"/>
      <c r="IH151" s="1056"/>
      <c r="II151" s="1056"/>
      <c r="IJ151" s="1056"/>
      <c r="IK151" s="1056"/>
      <c r="IL151" s="1056"/>
      <c r="IM151" s="1056"/>
      <c r="IN151" s="1056"/>
      <c r="IO151" s="1056"/>
      <c r="IP151" s="1056"/>
      <c r="IQ151" s="1056"/>
      <c r="IR151" s="1056"/>
      <c r="IS151" s="1056"/>
      <c r="IT151" s="1056"/>
      <c r="IU151" s="1056"/>
      <c r="IV151" s="1056"/>
      <c r="IW151" s="1056"/>
      <c r="IX151" s="1056"/>
      <c r="IY151" s="1056"/>
      <c r="IZ151" s="1056"/>
      <c r="JA151" s="1056"/>
      <c r="JB151" s="1056"/>
      <c r="JC151" s="1056"/>
      <c r="JD151" s="1056"/>
      <c r="JE151" s="1056"/>
      <c r="JF151" s="1056"/>
      <c r="JG151" s="1056"/>
      <c r="JH151" s="1056"/>
      <c r="JI151" s="1056"/>
      <c r="JJ151" s="1056"/>
      <c r="JK151" s="1056"/>
      <c r="JL151" s="1056"/>
      <c r="JM151" s="1056"/>
      <c r="JN151" s="1056"/>
      <c r="JO151" s="1056"/>
      <c r="JP151" s="1056"/>
      <c r="JQ151" s="1056"/>
      <c r="JR151" s="1056"/>
      <c r="JS151" s="1056"/>
      <c r="JT151" s="1056"/>
      <c r="JU151" s="1056"/>
      <c r="JV151" s="1056"/>
      <c r="JW151" s="1056"/>
      <c r="JX151" s="1056"/>
      <c r="JY151" s="1056"/>
      <c r="JZ151" s="1056"/>
      <c r="KA151" s="1056"/>
      <c r="KB151" s="1056"/>
      <c r="KC151" s="1056"/>
      <c r="KD151" s="1056"/>
      <c r="KE151" s="1056"/>
      <c r="KF151" s="1056"/>
      <c r="KG151" s="1056"/>
      <c r="KH151" s="1056"/>
      <c r="KI151" s="1056"/>
      <c r="KJ151" s="1056"/>
      <c r="KK151" s="1056"/>
      <c r="KL151" s="1056"/>
      <c r="KM151" s="1056"/>
      <c r="KN151" s="1056"/>
      <c r="KO151" s="1056"/>
      <c r="KP151" s="1056"/>
      <c r="KQ151" s="1056"/>
      <c r="KR151" s="1056"/>
      <c r="KS151" s="1056"/>
      <c r="KT151" s="1056"/>
      <c r="KU151" s="1056"/>
      <c r="KV151" s="1056"/>
      <c r="KW151" s="1056"/>
      <c r="KX151" s="1056"/>
      <c r="KY151" s="1056"/>
      <c r="KZ151" s="1056"/>
      <c r="LA151" s="1056"/>
      <c r="LB151" s="1056"/>
      <c r="LC151" s="1056"/>
      <c r="LD151" s="1056"/>
      <c r="LE151" s="1056"/>
      <c r="LF151" s="1056"/>
      <c r="LG151" s="1056"/>
      <c r="LH151" s="1056"/>
      <c r="LI151" s="1056"/>
      <c r="LJ151" s="1056"/>
      <c r="LK151" s="1056"/>
      <c r="LL151" s="1056"/>
      <c r="LM151" s="1056"/>
      <c r="LN151" s="1056"/>
      <c r="LO151" s="1056"/>
      <c r="LP151" s="1056"/>
      <c r="LQ151" s="1056"/>
      <c r="LR151" s="1056"/>
      <c r="LS151" s="1056"/>
      <c r="LT151" s="1056"/>
      <c r="LU151" s="1056"/>
      <c r="LV151" s="1056"/>
      <c r="LW151" s="1056"/>
      <c r="LX151" s="1056"/>
      <c r="LY151" s="1056"/>
      <c r="LZ151" s="1056"/>
      <c r="MA151" s="1056"/>
      <c r="MB151" s="1056"/>
      <c r="MC151" s="1056"/>
      <c r="MD151" s="1056"/>
      <c r="ME151" s="1056"/>
      <c r="MF151" s="1056"/>
      <c r="MG151" s="1056"/>
      <c r="MH151" s="1056"/>
      <c r="MI151" s="1056"/>
      <c r="MJ151" s="1056"/>
      <c r="MK151" s="1056"/>
      <c r="ML151" s="1056"/>
      <c r="MM151" s="1056"/>
      <c r="MN151" s="1056"/>
      <c r="MO151" s="1056"/>
      <c r="MP151" s="1056"/>
      <c r="MQ151" s="1056"/>
      <c r="MR151" s="1056"/>
      <c r="MS151" s="1056"/>
      <c r="MT151" s="1056"/>
      <c r="MU151" s="1056"/>
      <c r="MV151" s="1056"/>
      <c r="MW151" s="1056"/>
      <c r="MX151" s="1056"/>
      <c r="MY151" s="1056"/>
      <c r="MZ151" s="1056"/>
      <c r="NA151" s="1056"/>
      <c r="NB151" s="1056"/>
      <c r="NC151" s="1056"/>
      <c r="ND151" s="1056"/>
      <c r="NE151" s="1056"/>
      <c r="NF151" s="1056"/>
      <c r="NG151" s="1056"/>
      <c r="NH151" s="1056"/>
      <c r="NI151" s="1056"/>
      <c r="NJ151" s="1056"/>
      <c r="NK151" s="1056"/>
      <c r="NL151" s="1056"/>
      <c r="NM151" s="1056"/>
      <c r="NN151" s="1056"/>
      <c r="NO151" s="1056"/>
      <c r="NP151" s="1056"/>
      <c r="NQ151" s="1056"/>
      <c r="NR151" s="1056"/>
      <c r="NS151" s="1056"/>
      <c r="NT151" s="1056"/>
      <c r="NU151" s="1056"/>
      <c r="NV151" s="1056"/>
      <c r="NW151" s="1056"/>
      <c r="NX151" s="1056"/>
      <c r="NY151" s="1056"/>
      <c r="NZ151" s="1056"/>
      <c r="OA151" s="1056"/>
      <c r="OB151" s="1056"/>
      <c r="OC151" s="1056"/>
      <c r="OD151" s="1056"/>
      <c r="OE151" s="1056"/>
      <c r="OF151" s="1056"/>
      <c r="OG151" s="1056"/>
      <c r="OH151" s="1056"/>
      <c r="OI151" s="1056"/>
      <c r="OJ151" s="1056"/>
      <c r="OK151" s="1056"/>
      <c r="OL151" s="1056"/>
      <c r="OM151" s="1056"/>
      <c r="ON151" s="1056"/>
      <c r="OO151" s="1056"/>
      <c r="OP151" s="1056"/>
      <c r="OQ151" s="1056"/>
      <c r="OR151" s="1056"/>
      <c r="OS151" s="1056"/>
      <c r="OT151" s="1056"/>
      <c r="OU151" s="1056"/>
      <c r="OV151" s="1056"/>
      <c r="OW151" s="1056"/>
      <c r="OX151" s="1056"/>
      <c r="OY151" s="1056"/>
      <c r="OZ151" s="1056"/>
      <c r="PA151" s="1056"/>
      <c r="PB151" s="1056"/>
      <c r="PC151" s="1056"/>
      <c r="PD151" s="1056"/>
      <c r="PE151" s="1056"/>
      <c r="PF151" s="1056"/>
      <c r="PG151" s="1056"/>
      <c r="PH151" s="1056"/>
      <c r="PI151" s="1056"/>
      <c r="PJ151" s="1056"/>
      <c r="PK151" s="1056"/>
      <c r="PL151" s="1056"/>
      <c r="PM151" s="1056"/>
      <c r="PN151" s="1056"/>
      <c r="PO151" s="1056"/>
      <c r="PP151" s="1056"/>
      <c r="PQ151" s="1056"/>
      <c r="PR151" s="1056"/>
      <c r="PS151" s="1056"/>
      <c r="PT151" s="1056"/>
      <c r="PU151" s="1056"/>
      <c r="PV151" s="1056"/>
      <c r="PW151" s="1056"/>
      <c r="PX151" s="1056"/>
      <c r="PY151" s="1056"/>
      <c r="PZ151" s="1056"/>
      <c r="QA151" s="1056"/>
      <c r="QB151" s="1056"/>
      <c r="QC151" s="1056"/>
      <c r="QD151" s="1056"/>
      <c r="QE151" s="1056"/>
      <c r="QF151" s="1056"/>
      <c r="QG151" s="1056"/>
      <c r="QH151" s="1056"/>
      <c r="QI151" s="1056"/>
      <c r="QJ151" s="1056"/>
      <c r="QK151" s="1056"/>
      <c r="QL151" s="1056"/>
      <c r="QM151" s="1056"/>
      <c r="QN151" s="1056"/>
      <c r="QO151" s="1056"/>
      <c r="QP151" s="1056"/>
      <c r="QQ151" s="1056"/>
      <c r="QR151" s="1056"/>
      <c r="QS151" s="1056"/>
      <c r="QT151" s="1056"/>
      <c r="QU151" s="1056"/>
      <c r="QV151" s="1056"/>
      <c r="QW151" s="1056"/>
      <c r="QX151" s="1056"/>
      <c r="QY151" s="1056"/>
      <c r="QZ151" s="1056"/>
      <c r="RA151" s="1056"/>
      <c r="RB151" s="1056"/>
      <c r="RC151" s="1056"/>
      <c r="RD151" s="1056"/>
      <c r="RE151" s="1056"/>
      <c r="RF151" s="1056"/>
      <c r="RG151" s="1056"/>
      <c r="RH151" s="1056"/>
      <c r="RI151" s="1056"/>
      <c r="RJ151" s="1056"/>
      <c r="RK151" s="1056"/>
      <c r="RL151" s="1056"/>
      <c r="RM151" s="1056"/>
      <c r="RN151" s="1056"/>
      <c r="RO151" s="1056"/>
      <c r="RP151" s="1056"/>
      <c r="RQ151" s="1056"/>
      <c r="RR151" s="1056"/>
      <c r="RS151" s="1056"/>
      <c r="RT151" s="1056"/>
      <c r="RU151" s="1056"/>
      <c r="RV151" s="1056"/>
      <c r="RW151" s="1056"/>
      <c r="RX151" s="1056"/>
      <c r="RY151" s="1056"/>
      <c r="RZ151" s="1056"/>
      <c r="SA151" s="1056"/>
      <c r="SB151" s="1056"/>
      <c r="SC151" s="1056"/>
      <c r="SD151" s="1056"/>
      <c r="SE151" s="1056"/>
      <c r="SF151" s="1056"/>
      <c r="SG151" s="1056"/>
      <c r="SH151" s="1056"/>
      <c r="SI151" s="1056"/>
      <c r="SJ151" s="1056"/>
      <c r="SK151" s="1056"/>
      <c r="SL151" s="1056"/>
      <c r="SM151" s="1056"/>
      <c r="SN151" s="1056"/>
      <c r="SO151" s="1056"/>
      <c r="SP151" s="1056"/>
      <c r="SQ151" s="1056"/>
      <c r="SR151" s="1056"/>
      <c r="SS151" s="1056"/>
      <c r="ST151" s="1056"/>
      <c r="SU151" s="1056"/>
      <c r="SV151" s="1056"/>
      <c r="SW151" s="1056"/>
      <c r="SX151" s="1056"/>
      <c r="SY151" s="1056"/>
      <c r="SZ151" s="1056"/>
      <c r="TA151" s="1056"/>
      <c r="TB151" s="1056"/>
      <c r="TC151" s="1056"/>
      <c r="TD151" s="1056"/>
      <c r="TE151" s="1056"/>
      <c r="TF151" s="1056"/>
      <c r="TG151" s="1056"/>
      <c r="TH151" s="1056"/>
      <c r="TI151" s="1056"/>
      <c r="TJ151" s="1056"/>
      <c r="TK151" s="1056"/>
      <c r="TL151" s="1056"/>
      <c r="TM151" s="1056"/>
      <c r="TN151" s="1056"/>
      <c r="TO151" s="1056"/>
      <c r="TP151" s="1056"/>
      <c r="TQ151" s="1056"/>
      <c r="TR151" s="1056"/>
      <c r="TS151" s="1056"/>
      <c r="TT151" s="1056"/>
      <c r="TU151" s="1056"/>
      <c r="TV151" s="1056"/>
      <c r="TW151" s="1056"/>
      <c r="TX151" s="1056"/>
      <c r="TY151" s="1056"/>
      <c r="TZ151" s="1056"/>
      <c r="UA151" s="1056"/>
      <c r="UB151" s="1056"/>
      <c r="UC151" s="1056"/>
      <c r="UD151" s="1056"/>
      <c r="UE151" s="1056"/>
      <c r="UF151" s="1056"/>
      <c r="UG151" s="1056"/>
      <c r="UH151" s="1056"/>
      <c r="UI151" s="1056"/>
      <c r="UJ151" s="1056"/>
      <c r="UK151" s="1056"/>
      <c r="UL151" s="1056"/>
      <c r="UM151" s="1056"/>
      <c r="UN151" s="1056"/>
      <c r="UO151" s="1056"/>
      <c r="UP151" s="1056"/>
      <c r="UQ151" s="1056"/>
      <c r="UR151" s="1056"/>
      <c r="US151" s="1056"/>
      <c r="UT151" s="1056"/>
      <c r="UU151" s="1056"/>
      <c r="UV151" s="1056"/>
      <c r="UW151" s="1056"/>
      <c r="UX151" s="1056"/>
      <c r="UY151" s="1056"/>
      <c r="UZ151" s="1056"/>
      <c r="VA151" s="1056"/>
      <c r="VB151" s="1056"/>
      <c r="VC151" s="1056"/>
      <c r="VD151" s="1056"/>
      <c r="VE151" s="1056"/>
      <c r="VF151" s="1056"/>
      <c r="VG151" s="1056"/>
      <c r="VH151" s="1056"/>
      <c r="VI151" s="1056"/>
      <c r="VJ151" s="1056"/>
      <c r="VK151" s="1056"/>
      <c r="VL151" s="1056"/>
      <c r="VM151" s="1056"/>
      <c r="VN151" s="1056"/>
      <c r="VO151" s="1056"/>
      <c r="VP151" s="1056"/>
      <c r="VQ151" s="1056"/>
      <c r="VR151" s="1056"/>
      <c r="VS151" s="1056"/>
      <c r="VT151" s="1056"/>
      <c r="VU151" s="1056"/>
      <c r="VV151" s="1056"/>
      <c r="VW151" s="1056"/>
      <c r="VX151" s="1056"/>
      <c r="VY151" s="1056"/>
      <c r="VZ151" s="1056"/>
      <c r="WA151" s="1056"/>
      <c r="WB151" s="1056"/>
      <c r="WC151" s="1056"/>
      <c r="WD151" s="1056"/>
      <c r="WE151" s="1056"/>
      <c r="WF151" s="1056"/>
      <c r="WG151" s="1056"/>
      <c r="WH151" s="1056"/>
      <c r="WI151" s="1056"/>
      <c r="WJ151" s="1056"/>
      <c r="WK151" s="1056"/>
      <c r="WL151" s="1056"/>
      <c r="WM151" s="1056"/>
      <c r="WN151" s="1056"/>
      <c r="WO151" s="1056"/>
      <c r="WP151" s="1056"/>
      <c r="WQ151" s="1056"/>
      <c r="WR151" s="1056"/>
      <c r="WS151" s="1056"/>
      <c r="WT151" s="1056"/>
      <c r="WU151" s="1056"/>
      <c r="WV151" s="1056"/>
      <c r="WW151" s="1056"/>
      <c r="WX151" s="1056"/>
      <c r="WY151" s="1056"/>
      <c r="WZ151" s="1056"/>
      <c r="XA151" s="1056"/>
      <c r="XB151" s="1056"/>
      <c r="XC151" s="1056"/>
      <c r="XD151" s="1056"/>
      <c r="XE151" s="1056"/>
      <c r="XF151" s="1056"/>
      <c r="XG151" s="1056"/>
      <c r="XH151" s="1056"/>
      <c r="XI151" s="1056"/>
      <c r="XJ151" s="1056"/>
      <c r="XK151" s="1056"/>
      <c r="XL151" s="1056"/>
      <c r="XM151" s="1056"/>
      <c r="XN151" s="1056"/>
      <c r="XO151" s="1056"/>
      <c r="XP151" s="1056"/>
      <c r="XQ151" s="1056"/>
      <c r="XR151" s="1056"/>
      <c r="XS151" s="1056"/>
      <c r="XT151" s="1056"/>
      <c r="XU151" s="1056"/>
      <c r="XV151" s="1056"/>
      <c r="XW151" s="1056"/>
      <c r="XX151" s="1056"/>
      <c r="XY151" s="1056"/>
      <c r="XZ151" s="1056"/>
      <c r="YA151" s="1056"/>
      <c r="YB151" s="1056"/>
      <c r="YC151" s="1056"/>
      <c r="YD151" s="1056"/>
      <c r="YE151" s="1056"/>
      <c r="YF151" s="1056"/>
      <c r="YG151" s="1056"/>
      <c r="YH151" s="1056"/>
      <c r="YI151" s="1056"/>
      <c r="YJ151" s="1056"/>
      <c r="YK151" s="1056"/>
      <c r="YL151" s="1056"/>
      <c r="YM151" s="1056"/>
      <c r="YN151" s="1056"/>
      <c r="YO151" s="1056"/>
      <c r="YP151" s="1056"/>
      <c r="YQ151" s="1056"/>
      <c r="YR151" s="1056"/>
      <c r="YS151" s="1056"/>
      <c r="YT151" s="1056"/>
      <c r="YU151" s="1056"/>
      <c r="YV151" s="1056"/>
      <c r="YW151" s="1056"/>
      <c r="YX151" s="1056"/>
      <c r="YY151" s="1056"/>
      <c r="YZ151" s="1056"/>
      <c r="ZA151" s="1056"/>
      <c r="ZB151" s="1056"/>
      <c r="ZC151" s="1056"/>
      <c r="ZD151" s="1056"/>
      <c r="ZE151" s="1056"/>
      <c r="ZF151" s="1056"/>
      <c r="ZG151" s="1056"/>
      <c r="ZH151" s="1056"/>
      <c r="ZI151" s="1056"/>
      <c r="ZJ151" s="1056"/>
      <c r="ZK151" s="1056"/>
      <c r="ZL151" s="1056"/>
      <c r="ZM151" s="1056"/>
      <c r="ZN151" s="1056"/>
      <c r="ZO151" s="1056"/>
      <c r="ZP151" s="1056"/>
      <c r="ZQ151" s="1056"/>
      <c r="ZR151" s="1056"/>
      <c r="ZS151" s="1056"/>
      <c r="ZT151" s="1056"/>
      <c r="ZU151" s="1056"/>
      <c r="ZV151" s="1056"/>
      <c r="ZW151" s="1056"/>
      <c r="ZX151" s="1056"/>
      <c r="ZY151" s="1056"/>
      <c r="ZZ151" s="1056"/>
      <c r="AAA151" s="1056"/>
      <c r="AAB151" s="1056"/>
      <c r="AAC151" s="1056"/>
      <c r="AAD151" s="1056"/>
      <c r="AAE151" s="1056"/>
      <c r="AAF151" s="1056"/>
      <c r="AAG151" s="1056"/>
      <c r="AAH151" s="1056"/>
      <c r="AAI151" s="1056"/>
      <c r="AAJ151" s="1056"/>
      <c r="AAK151" s="1056"/>
      <c r="AAL151" s="1056"/>
      <c r="AAM151" s="1056"/>
      <c r="AAN151" s="1056"/>
      <c r="AAO151" s="1056"/>
      <c r="AAP151" s="1056"/>
      <c r="AAQ151" s="1056"/>
      <c r="AAR151" s="1056"/>
      <c r="AAS151" s="1056"/>
      <c r="AAT151" s="1056"/>
      <c r="AAU151" s="1056"/>
      <c r="AAV151" s="1056"/>
      <c r="AAW151" s="1056"/>
      <c r="AAX151" s="1056"/>
      <c r="AAY151" s="1056"/>
      <c r="AAZ151" s="1056"/>
      <c r="ABA151" s="1056"/>
      <c r="ABB151" s="1056"/>
      <c r="ABC151" s="1056"/>
      <c r="ABD151" s="1056"/>
      <c r="ABE151" s="1056"/>
      <c r="ABF151" s="1056"/>
      <c r="ABG151" s="1056"/>
      <c r="ABH151" s="1056"/>
      <c r="ABI151" s="1056"/>
      <c r="ABJ151" s="1056"/>
      <c r="ABK151" s="1056"/>
      <c r="ABL151" s="1056"/>
      <c r="ABM151" s="1056"/>
      <c r="ABN151" s="1056"/>
      <c r="ABO151" s="1056"/>
      <c r="ABP151" s="1056"/>
      <c r="ABQ151" s="1056"/>
      <c r="ABR151" s="1056"/>
      <c r="ABS151" s="1056"/>
      <c r="ABT151" s="1056"/>
      <c r="ABU151" s="1056"/>
      <c r="ABV151" s="1056"/>
      <c r="ABW151" s="1056"/>
      <c r="ABX151" s="1056"/>
      <c r="ABY151" s="1056"/>
      <c r="ABZ151" s="1056"/>
      <c r="ACA151" s="1056"/>
      <c r="ACB151" s="1056"/>
      <c r="ACC151" s="1056"/>
      <c r="ACD151" s="1056"/>
      <c r="ACE151" s="1056"/>
      <c r="ACF151" s="1056"/>
      <c r="ACG151" s="1056"/>
      <c r="ACH151" s="1056"/>
      <c r="ACI151" s="1056"/>
      <c r="ACJ151" s="1056"/>
      <c r="ACK151" s="1056"/>
      <c r="ACL151" s="1056"/>
      <c r="ACM151" s="1056"/>
      <c r="ACN151" s="1056"/>
      <c r="ACO151" s="1056"/>
      <c r="ACP151" s="1056"/>
      <c r="ACQ151" s="1056"/>
      <c r="ACR151" s="1056"/>
      <c r="ACS151" s="1056"/>
      <c r="ACT151" s="1056"/>
      <c r="ACU151" s="1056"/>
      <c r="ACV151" s="1056"/>
      <c r="ACW151" s="1056"/>
      <c r="ACX151" s="1056"/>
      <c r="ACY151" s="1056"/>
      <c r="ACZ151" s="1056"/>
      <c r="ADA151" s="1056"/>
      <c r="ADB151" s="1056"/>
      <c r="ADC151" s="1056"/>
      <c r="ADD151" s="1056"/>
      <c r="ADE151" s="1056"/>
      <c r="ADF151" s="1056"/>
      <c r="ADG151" s="1056"/>
      <c r="ADH151" s="1056"/>
      <c r="ADI151" s="1056"/>
      <c r="ADJ151" s="1056"/>
      <c r="ADK151" s="1056"/>
      <c r="ADL151" s="1056"/>
      <c r="ADM151" s="1056"/>
      <c r="ADN151" s="1056"/>
      <c r="ADO151" s="1056"/>
      <c r="ADP151" s="1056"/>
      <c r="ADQ151" s="1056"/>
      <c r="ADR151" s="1056"/>
      <c r="ADS151" s="1056"/>
      <c r="ADT151" s="1056"/>
      <c r="ADU151" s="1056"/>
      <c r="ADV151" s="1056"/>
      <c r="ADW151" s="1056"/>
      <c r="ADX151" s="1056"/>
      <c r="ADY151" s="1056"/>
      <c r="ADZ151" s="1056"/>
      <c r="AEA151" s="1056"/>
      <c r="AEB151" s="1056"/>
      <c r="AEC151" s="1056"/>
      <c r="AED151" s="1056"/>
      <c r="AEE151" s="1056"/>
      <c r="AEF151" s="1056"/>
      <c r="AEG151" s="1056"/>
      <c r="AEH151" s="1056"/>
      <c r="AEI151" s="1056"/>
      <c r="AEJ151" s="1056"/>
      <c r="AEK151" s="1056"/>
      <c r="AEL151" s="1056"/>
      <c r="AEM151" s="1056"/>
      <c r="AEN151" s="1056"/>
      <c r="AEO151" s="1056"/>
      <c r="AEP151" s="1056"/>
      <c r="AEQ151" s="1056"/>
      <c r="AER151" s="1056"/>
      <c r="AES151" s="1056"/>
      <c r="AET151" s="1056"/>
      <c r="AEU151" s="1056"/>
      <c r="AEV151" s="1056"/>
      <c r="AEW151" s="1056"/>
      <c r="AEX151" s="1056"/>
      <c r="AEY151" s="1056"/>
      <c r="AEZ151" s="1056"/>
      <c r="AFA151" s="1056"/>
      <c r="AFB151" s="1056"/>
      <c r="AFC151" s="1056"/>
      <c r="AFD151" s="1056"/>
      <c r="AFE151" s="1056"/>
      <c r="AFF151" s="1056"/>
      <c r="AFG151" s="1056"/>
      <c r="AFH151" s="1056"/>
      <c r="AFI151" s="1056"/>
      <c r="AFJ151" s="1056"/>
      <c r="AFK151" s="1056"/>
      <c r="AFL151" s="1056"/>
      <c r="AFM151" s="1056"/>
      <c r="AFN151" s="1056"/>
      <c r="AFO151" s="1056"/>
      <c r="AFP151" s="1056"/>
      <c r="AFQ151" s="1056"/>
      <c r="AFR151" s="1056"/>
      <c r="AFS151" s="1056"/>
      <c r="AFT151" s="1056"/>
      <c r="AFU151" s="1056"/>
      <c r="AFV151" s="1056"/>
      <c r="AFW151" s="1056"/>
      <c r="AFX151" s="1056"/>
      <c r="AFY151" s="1056"/>
      <c r="AFZ151" s="1056"/>
      <c r="AGA151" s="1056"/>
      <c r="AGB151" s="1056"/>
      <c r="AGC151" s="1056"/>
      <c r="AGD151" s="1056"/>
      <c r="AGE151" s="1056"/>
      <c r="AGF151" s="1056"/>
      <c r="AGG151" s="1056"/>
      <c r="AGH151" s="1056"/>
      <c r="AGI151" s="1056"/>
      <c r="AGJ151" s="1056"/>
      <c r="AGK151" s="1056"/>
      <c r="AGL151" s="1056"/>
      <c r="AGM151" s="1056"/>
      <c r="AGN151" s="1056"/>
      <c r="AGO151" s="1056"/>
      <c r="AGP151" s="1056"/>
      <c r="AGQ151" s="1056"/>
      <c r="AGR151" s="1056"/>
      <c r="AGS151" s="1056"/>
      <c r="AGT151" s="1056"/>
      <c r="AGU151" s="1056"/>
      <c r="AGV151" s="1056"/>
      <c r="AGW151" s="1056"/>
      <c r="AGX151" s="1056"/>
      <c r="AGY151" s="1056"/>
      <c r="AGZ151" s="1056"/>
      <c r="AHA151" s="1056"/>
      <c r="AHB151" s="1056"/>
      <c r="AHC151" s="1056"/>
      <c r="AHD151" s="1056"/>
      <c r="AHE151" s="1056"/>
      <c r="AHF151" s="1056"/>
      <c r="AHG151" s="1056"/>
      <c r="AHH151" s="1056"/>
      <c r="AHI151" s="1056"/>
      <c r="AHJ151" s="1056"/>
      <c r="AHK151" s="1056"/>
      <c r="AHL151" s="1056"/>
      <c r="AHM151" s="1056"/>
      <c r="AHN151" s="1056"/>
      <c r="AHO151" s="1056"/>
      <c r="AHP151" s="1056"/>
      <c r="AHQ151" s="1056"/>
      <c r="AHR151" s="1056"/>
      <c r="AHS151" s="1056"/>
      <c r="AHT151" s="1056"/>
      <c r="AHU151" s="1056"/>
      <c r="AHV151" s="1056"/>
      <c r="AHW151" s="1056"/>
      <c r="AHX151" s="1056"/>
      <c r="AHY151" s="1056"/>
      <c r="AHZ151" s="1056"/>
      <c r="AIA151" s="1056"/>
      <c r="AIB151" s="1056"/>
      <c r="AIC151" s="1056"/>
      <c r="AID151" s="1056"/>
      <c r="AIE151" s="1056"/>
      <c r="AIF151" s="1056"/>
      <c r="AIG151" s="1056"/>
      <c r="AIH151" s="1056"/>
      <c r="AII151" s="1056"/>
      <c r="AIJ151" s="1056"/>
      <c r="AIK151" s="1056"/>
      <c r="AIL151" s="1056"/>
      <c r="AIM151" s="1056"/>
      <c r="AIN151" s="1056"/>
      <c r="AIO151" s="1056"/>
      <c r="AIP151" s="1056"/>
      <c r="AIQ151" s="1056"/>
      <c r="AIR151" s="1056"/>
      <c r="AIS151" s="1056"/>
      <c r="AIT151" s="1056"/>
      <c r="AIU151" s="1056"/>
      <c r="AIV151" s="1056"/>
      <c r="AIW151" s="1056"/>
      <c r="AIX151" s="1056"/>
      <c r="AIY151" s="1056"/>
      <c r="AIZ151" s="1056"/>
      <c r="AJA151" s="1056"/>
      <c r="AJB151" s="1056"/>
      <c r="AJC151" s="1056"/>
      <c r="AJD151" s="1056"/>
      <c r="AJE151" s="1056"/>
      <c r="AJF151" s="1056"/>
      <c r="AJG151" s="1056"/>
      <c r="AJH151" s="1056"/>
      <c r="AJI151" s="1056"/>
      <c r="AJJ151" s="1056"/>
      <c r="AJK151" s="1056"/>
      <c r="AJL151" s="1056"/>
      <c r="AJM151" s="1056"/>
      <c r="AJN151" s="1056"/>
      <c r="AJO151" s="1056"/>
      <c r="AJP151" s="1056"/>
      <c r="AJQ151" s="1056"/>
      <c r="AJR151" s="1056"/>
      <c r="AJS151" s="1056"/>
      <c r="AJT151" s="1056"/>
      <c r="AJU151" s="1056"/>
      <c r="AJV151" s="1056"/>
      <c r="AJW151" s="1056"/>
      <c r="AJX151" s="1056"/>
      <c r="AJY151" s="1056"/>
      <c r="AJZ151" s="1056"/>
      <c r="AKA151" s="1056"/>
      <c r="AKB151" s="1056"/>
      <c r="AKC151" s="1056"/>
      <c r="AKD151" s="1056"/>
      <c r="AKE151" s="1056"/>
      <c r="AKF151" s="1056"/>
      <c r="AKG151" s="1056"/>
      <c r="AKH151" s="1056"/>
      <c r="AKI151" s="1056"/>
      <c r="AKJ151" s="1056"/>
      <c r="AKK151" s="1056"/>
      <c r="AKL151" s="1056"/>
      <c r="AKM151" s="1056"/>
      <c r="AKN151" s="1056"/>
      <c r="AKO151" s="1056"/>
      <c r="AKP151" s="1056"/>
      <c r="AKQ151" s="1056"/>
      <c r="AKR151" s="1056"/>
      <c r="AKS151" s="1056"/>
      <c r="AKT151" s="1056"/>
      <c r="AKU151" s="1056"/>
      <c r="AKV151" s="1056"/>
      <c r="AKW151" s="1056"/>
      <c r="AKX151" s="1056"/>
      <c r="AKY151" s="1056"/>
      <c r="AKZ151" s="1056"/>
      <c r="ALA151" s="1056"/>
      <c r="ALB151" s="1056"/>
      <c r="ALC151" s="1056"/>
      <c r="ALD151" s="1056"/>
      <c r="ALE151" s="1056"/>
      <c r="ALF151" s="1056"/>
      <c r="ALG151" s="1056"/>
      <c r="ALH151" s="1056"/>
      <c r="ALI151" s="1056"/>
      <c r="ALJ151" s="1056"/>
      <c r="ALK151" s="1056"/>
      <c r="ALL151" s="1056"/>
      <c r="ALM151" s="1056"/>
      <c r="ALN151" s="1056"/>
      <c r="ALO151" s="1056"/>
      <c r="ALP151" s="1056"/>
      <c r="ALQ151" s="1056"/>
      <c r="ALR151" s="1056"/>
      <c r="ALS151" s="1056"/>
      <c r="ALT151" s="1056"/>
      <c r="ALU151" s="1056"/>
      <c r="ALV151" s="1056"/>
      <c r="ALW151" s="1056"/>
      <c r="ALX151" s="1056"/>
      <c r="ALY151" s="1056"/>
      <c r="ALZ151" s="1056"/>
      <c r="AMA151" s="1056"/>
      <c r="AMB151" s="1056"/>
      <c r="AMC151" s="1056"/>
      <c r="AMD151" s="1056"/>
      <c r="AME151" s="1056"/>
      <c r="AMF151" s="1056"/>
      <c r="AMG151" s="1056"/>
      <c r="AMH151" s="1056"/>
      <c r="AMI151" s="1056"/>
      <c r="AMJ151" s="1056"/>
      <c r="AMK151" s="1056"/>
      <c r="AML151" s="1056"/>
      <c r="AMM151" s="1056"/>
      <c r="AMN151" s="1056"/>
      <c r="AMO151" s="1056"/>
      <c r="AMP151" s="1056"/>
      <c r="AMQ151" s="1056"/>
      <c r="AMR151" s="1056"/>
      <c r="AMS151" s="1056"/>
      <c r="AMT151" s="1056"/>
      <c r="AMU151" s="1056"/>
      <c r="AMV151" s="1056"/>
      <c r="AMW151" s="1056"/>
      <c r="AMX151" s="1056"/>
      <c r="AMY151" s="1056"/>
      <c r="AMZ151" s="1056"/>
      <c r="ANA151" s="1056"/>
      <c r="ANB151" s="1056"/>
      <c r="ANC151" s="1056"/>
      <c r="AND151" s="1056"/>
      <c r="ANE151" s="1056"/>
      <c r="ANF151" s="1056"/>
      <c r="ANG151" s="1056"/>
      <c r="ANH151" s="1056"/>
      <c r="ANI151" s="1056"/>
      <c r="ANJ151" s="1056"/>
      <c r="ANK151" s="1056"/>
      <c r="ANL151" s="1056"/>
      <c r="ANM151" s="1056"/>
      <c r="ANN151" s="1056"/>
      <c r="ANO151" s="1056"/>
      <c r="ANP151" s="1056"/>
      <c r="ANQ151" s="1056"/>
      <c r="ANR151" s="1056"/>
      <c r="ANS151" s="1056"/>
      <c r="ANT151" s="1056"/>
      <c r="ANU151" s="1056"/>
      <c r="ANV151" s="1056"/>
      <c r="ANW151" s="1056"/>
      <c r="ANX151" s="1056"/>
      <c r="ANY151" s="1056"/>
      <c r="ANZ151" s="1056"/>
      <c r="AOA151" s="1056"/>
      <c r="AOB151" s="1056"/>
      <c r="AOC151" s="1056"/>
      <c r="AOD151" s="1056"/>
      <c r="AOE151" s="1056"/>
      <c r="AOF151" s="1056"/>
      <c r="AOG151" s="1056"/>
      <c r="AOH151" s="1056"/>
      <c r="AOI151" s="1056"/>
      <c r="AOJ151" s="1056"/>
      <c r="AOK151" s="1056"/>
      <c r="AOL151" s="1056"/>
      <c r="AOM151" s="1056"/>
      <c r="AON151" s="1056"/>
      <c r="AOO151" s="1056"/>
      <c r="AOP151" s="1056"/>
      <c r="AOQ151" s="1056"/>
      <c r="AOR151" s="1056"/>
      <c r="AOS151" s="1056"/>
      <c r="AOT151" s="1056"/>
      <c r="AOU151" s="1056"/>
      <c r="AOV151" s="1056"/>
      <c r="AOW151" s="1056"/>
      <c r="AOX151" s="1056"/>
      <c r="AOY151" s="1056"/>
      <c r="AOZ151" s="1056"/>
      <c r="APA151" s="1056"/>
      <c r="APB151" s="1056"/>
      <c r="APC151" s="1056"/>
      <c r="APD151" s="1056"/>
      <c r="APE151" s="1056"/>
      <c r="APF151" s="1056"/>
      <c r="APG151" s="1056"/>
      <c r="APH151" s="1056"/>
      <c r="API151" s="1056"/>
      <c r="APJ151" s="1056"/>
      <c r="APK151" s="1056"/>
      <c r="APL151" s="1056"/>
      <c r="APM151" s="1056"/>
      <c r="APN151" s="1056"/>
      <c r="APO151" s="1056"/>
      <c r="APP151" s="1056"/>
      <c r="APQ151" s="1056"/>
      <c r="APR151" s="1056"/>
      <c r="APS151" s="1056"/>
      <c r="APT151" s="1056"/>
      <c r="APU151" s="1056"/>
      <c r="APV151" s="1056"/>
      <c r="APW151" s="1056"/>
      <c r="APX151" s="1056"/>
      <c r="APY151" s="1056"/>
      <c r="APZ151" s="1056"/>
      <c r="AQA151" s="1056"/>
      <c r="AQB151" s="1056"/>
      <c r="AQC151" s="1056"/>
      <c r="AQD151" s="1056"/>
      <c r="AQE151" s="1056"/>
      <c r="AQF151" s="1056"/>
      <c r="AQG151" s="1056"/>
      <c r="AQH151" s="1056"/>
      <c r="AQI151" s="1056"/>
      <c r="AQJ151" s="1056"/>
      <c r="AQK151" s="1056"/>
      <c r="AQL151" s="1056"/>
      <c r="AQM151" s="1056"/>
      <c r="AQN151" s="1056"/>
      <c r="AQO151" s="1056"/>
      <c r="AQP151" s="1056"/>
      <c r="AQQ151" s="1056"/>
      <c r="AQR151" s="1056"/>
      <c r="AQS151" s="1056"/>
      <c r="AQT151" s="1056"/>
      <c r="AQU151" s="1056"/>
      <c r="AQV151" s="1056"/>
      <c r="AQW151" s="1056"/>
      <c r="AQX151" s="1056"/>
      <c r="AQY151" s="1056"/>
      <c r="AQZ151" s="1056"/>
      <c r="ARA151" s="1056"/>
      <c r="ARB151" s="1056"/>
      <c r="ARC151" s="1056"/>
      <c r="ARD151" s="1056"/>
      <c r="ARE151" s="1056"/>
      <c r="ARF151" s="1056"/>
      <c r="ARG151" s="1056"/>
      <c r="ARH151" s="1056"/>
      <c r="ARI151" s="1056"/>
      <c r="ARJ151" s="1056"/>
      <c r="ARK151" s="1056"/>
      <c r="ARL151" s="1056"/>
      <c r="ARM151" s="1056"/>
      <c r="ARN151" s="1056"/>
      <c r="ARO151" s="1056"/>
      <c r="ARP151" s="1056"/>
      <c r="ARQ151" s="1056"/>
      <c r="ARR151" s="1056"/>
      <c r="ARS151" s="1056"/>
      <c r="ART151" s="1056"/>
      <c r="ARU151" s="1056"/>
      <c r="ARV151" s="1056"/>
      <c r="ARW151" s="1056"/>
      <c r="ARX151" s="1056"/>
      <c r="ARY151" s="1056"/>
      <c r="ARZ151" s="1056"/>
      <c r="ASA151" s="1056"/>
      <c r="ASB151" s="1056"/>
      <c r="ASC151" s="1056"/>
      <c r="ASD151" s="1056"/>
      <c r="ASE151" s="1056"/>
      <c r="ASF151" s="1056"/>
      <c r="ASG151" s="1056"/>
      <c r="ASH151" s="1056"/>
      <c r="ASI151" s="1056"/>
      <c r="ASJ151" s="1056"/>
      <c r="ASK151" s="1056"/>
      <c r="ASL151" s="1056"/>
      <c r="ASM151" s="1056"/>
      <c r="ASN151" s="1056"/>
      <c r="ASO151" s="1056"/>
      <c r="ASP151" s="1056"/>
      <c r="ASQ151" s="1056"/>
      <c r="ASR151" s="1056"/>
      <c r="ASS151" s="1056"/>
      <c r="AST151" s="1056"/>
      <c r="ASU151" s="1056"/>
      <c r="ASV151" s="1056"/>
      <c r="ASW151" s="1056"/>
      <c r="ASX151" s="1056"/>
      <c r="ASY151" s="1056"/>
      <c r="ASZ151" s="1056"/>
      <c r="ATA151" s="1056"/>
      <c r="ATB151" s="1056"/>
      <c r="ATC151" s="1056"/>
      <c r="ATD151" s="1056"/>
      <c r="ATE151" s="1056"/>
      <c r="ATF151" s="1056"/>
      <c r="ATG151" s="1056"/>
      <c r="ATH151" s="1056"/>
      <c r="ATI151" s="1056"/>
      <c r="ATJ151" s="1056"/>
      <c r="ATK151" s="1056"/>
      <c r="ATL151" s="1056"/>
      <c r="ATM151" s="1056"/>
      <c r="ATN151" s="1056"/>
      <c r="ATO151" s="1056"/>
      <c r="ATP151" s="1056"/>
      <c r="ATQ151" s="1056"/>
      <c r="ATR151" s="1056"/>
      <c r="ATS151" s="1056"/>
      <c r="ATT151" s="1056"/>
      <c r="ATU151" s="1056"/>
      <c r="ATV151" s="1056"/>
      <c r="ATW151" s="1056"/>
      <c r="ATX151" s="1056"/>
      <c r="ATY151" s="1056"/>
      <c r="ATZ151" s="1056"/>
      <c r="AUA151" s="1056"/>
      <c r="AUB151" s="1056"/>
      <c r="AUC151" s="1056"/>
      <c r="AUD151" s="1056"/>
      <c r="AUE151" s="1056"/>
      <c r="AUF151" s="1056"/>
      <c r="AUG151" s="1056"/>
      <c r="AUH151" s="1056"/>
      <c r="AUI151" s="1056"/>
      <c r="AUJ151" s="1056"/>
      <c r="AUK151" s="1056"/>
      <c r="AUL151" s="1056"/>
      <c r="AUM151" s="1056"/>
      <c r="AUN151" s="1056"/>
      <c r="AUO151" s="1056"/>
      <c r="AUP151" s="1056"/>
      <c r="AUQ151" s="1056"/>
      <c r="AUR151" s="1056"/>
      <c r="AUS151" s="1056"/>
      <c r="AUT151" s="1056"/>
      <c r="AUU151" s="1056"/>
      <c r="AUV151" s="1056"/>
      <c r="AUW151" s="1056"/>
      <c r="AUX151" s="1056"/>
      <c r="AUY151" s="1056"/>
      <c r="AUZ151" s="1056"/>
      <c r="AVA151" s="1056"/>
      <c r="AVB151" s="1056"/>
      <c r="AVC151" s="1056"/>
      <c r="AVD151" s="1056"/>
      <c r="AVE151" s="1056"/>
      <c r="AVF151" s="1056"/>
      <c r="AVG151" s="1056"/>
      <c r="AVH151" s="1056"/>
      <c r="AVI151" s="1056"/>
      <c r="AVJ151" s="1056"/>
      <c r="AVK151" s="1056"/>
      <c r="AVL151" s="1056"/>
      <c r="AVM151" s="1056"/>
      <c r="AVN151" s="1056"/>
      <c r="AVO151" s="1056"/>
      <c r="AVP151" s="1056"/>
      <c r="AVQ151" s="1056"/>
      <c r="AVR151" s="1056"/>
      <c r="AVS151" s="1056"/>
      <c r="AVT151" s="1056"/>
      <c r="AVU151" s="1056"/>
      <c r="AVV151" s="1056"/>
      <c r="AVW151" s="1056"/>
      <c r="AVX151" s="1056"/>
      <c r="AVY151" s="1056"/>
      <c r="AVZ151" s="1056"/>
      <c r="AWA151" s="1056"/>
      <c r="AWB151" s="1056"/>
      <c r="AWC151" s="1056"/>
      <c r="AWD151" s="1056"/>
      <c r="AWE151" s="1056"/>
      <c r="AWF151" s="1056"/>
      <c r="AWG151" s="1056"/>
      <c r="AWH151" s="1056"/>
      <c r="AWI151" s="1056"/>
      <c r="AWJ151" s="1056"/>
      <c r="AWK151" s="1056"/>
      <c r="AWL151" s="1056"/>
      <c r="AWM151" s="1056"/>
      <c r="AWN151" s="1056"/>
      <c r="AWO151" s="1056"/>
      <c r="AWP151" s="1056"/>
      <c r="AWQ151" s="1056"/>
      <c r="AWR151" s="1056"/>
      <c r="AWS151" s="1056"/>
      <c r="AWT151" s="1056"/>
      <c r="AWU151" s="1056"/>
      <c r="AWV151" s="1056"/>
      <c r="AWW151" s="1056"/>
      <c r="AWX151" s="1056"/>
      <c r="AWY151" s="1056"/>
      <c r="AWZ151" s="1056"/>
      <c r="AXA151" s="1056"/>
      <c r="AXB151" s="1056"/>
      <c r="AXC151" s="1056"/>
      <c r="AXD151" s="1056"/>
      <c r="AXE151" s="1056"/>
      <c r="AXF151" s="1056"/>
      <c r="AXG151" s="1056"/>
      <c r="AXH151" s="1056"/>
      <c r="AXI151" s="1056"/>
      <c r="AXJ151" s="1056"/>
      <c r="AXK151" s="1056"/>
      <c r="AXL151" s="1056"/>
      <c r="AXM151" s="1056"/>
      <c r="AXN151" s="1056"/>
      <c r="AXO151" s="1056"/>
      <c r="AXP151" s="1056"/>
      <c r="AXQ151" s="1056"/>
      <c r="AXR151" s="1056"/>
      <c r="AXS151" s="1056"/>
      <c r="AXT151" s="1056"/>
      <c r="AXU151" s="1056"/>
      <c r="AXV151" s="1056"/>
      <c r="AXW151" s="1056"/>
      <c r="AXX151" s="1056"/>
      <c r="AXY151" s="1056"/>
      <c r="AXZ151" s="1056"/>
      <c r="AYA151" s="1056"/>
      <c r="AYB151" s="1056"/>
      <c r="AYC151" s="1056"/>
      <c r="AYD151" s="1056"/>
      <c r="AYE151" s="1056"/>
      <c r="AYF151" s="1056"/>
      <c r="AYG151" s="1056"/>
      <c r="AYH151" s="1056"/>
      <c r="AYI151" s="1056"/>
      <c r="AYJ151" s="1056"/>
      <c r="AYK151" s="1056"/>
      <c r="AYL151" s="1056"/>
      <c r="AYM151" s="1056"/>
      <c r="AYN151" s="1056"/>
      <c r="AYO151" s="1056"/>
      <c r="AYP151" s="1056"/>
      <c r="AYQ151" s="1056"/>
      <c r="AYR151" s="1056"/>
      <c r="AYS151" s="1056"/>
      <c r="AYT151" s="1056"/>
      <c r="AYU151" s="1056"/>
      <c r="AYV151" s="1056"/>
      <c r="AYW151" s="1056"/>
      <c r="AYX151" s="1056"/>
      <c r="AYY151" s="1056"/>
      <c r="AYZ151" s="1056"/>
      <c r="AZA151" s="1056"/>
      <c r="AZB151" s="1056"/>
      <c r="AZC151" s="1056"/>
      <c r="AZD151" s="1056"/>
      <c r="AZE151" s="1056"/>
      <c r="AZF151" s="1056"/>
      <c r="AZG151" s="1056"/>
      <c r="AZH151" s="1056"/>
      <c r="AZI151" s="1056"/>
      <c r="AZJ151" s="1056"/>
      <c r="AZK151" s="1056"/>
      <c r="AZL151" s="1056"/>
      <c r="AZM151" s="1056"/>
      <c r="AZN151" s="1056"/>
      <c r="AZO151" s="1056"/>
      <c r="AZP151" s="1056"/>
      <c r="AZQ151" s="1056"/>
      <c r="AZR151" s="1056"/>
      <c r="AZS151" s="1056"/>
      <c r="AZT151" s="1056"/>
      <c r="AZU151" s="1056"/>
      <c r="AZV151" s="1056"/>
      <c r="AZW151" s="1056"/>
      <c r="AZX151" s="1056"/>
      <c r="AZY151" s="1056"/>
      <c r="AZZ151" s="1056"/>
      <c r="BAA151" s="1056"/>
      <c r="BAB151" s="1056"/>
      <c r="BAC151" s="1056"/>
      <c r="BAD151" s="1056"/>
      <c r="BAE151" s="1056"/>
      <c r="BAF151" s="1056"/>
      <c r="BAG151" s="1056"/>
      <c r="BAH151" s="1056"/>
      <c r="BAI151" s="1056"/>
      <c r="BAJ151" s="1056"/>
      <c r="BAK151" s="1056"/>
      <c r="BAL151" s="1056"/>
      <c r="BAM151" s="1056"/>
      <c r="BAN151" s="1056"/>
      <c r="BAO151" s="1056"/>
      <c r="BAP151" s="1056"/>
      <c r="BAQ151" s="1056"/>
      <c r="BAR151" s="1056"/>
      <c r="BAS151" s="1056"/>
      <c r="BAT151" s="1056"/>
      <c r="BAU151" s="1056"/>
      <c r="BAV151" s="1056"/>
      <c r="BAW151" s="1056"/>
      <c r="BAX151" s="1056"/>
      <c r="BAY151" s="1056"/>
      <c r="BAZ151" s="1056"/>
      <c r="BBA151" s="1056"/>
      <c r="BBB151" s="1056"/>
      <c r="BBC151" s="1056"/>
      <c r="BBD151" s="1056"/>
      <c r="BBE151" s="1056"/>
      <c r="BBF151" s="1056"/>
      <c r="BBG151" s="1056"/>
      <c r="BBH151" s="1056"/>
      <c r="BBI151" s="1056"/>
      <c r="BBJ151" s="1056"/>
      <c r="BBK151" s="1056"/>
      <c r="BBL151" s="1056"/>
      <c r="BBM151" s="1056"/>
      <c r="BBN151" s="1056"/>
      <c r="BBO151" s="1056"/>
      <c r="BBP151" s="1056"/>
      <c r="BBQ151" s="1056"/>
      <c r="BBR151" s="1056"/>
      <c r="BBS151" s="1056"/>
      <c r="BBT151" s="1056"/>
      <c r="BBU151" s="1056"/>
      <c r="BBV151" s="1056"/>
      <c r="BBW151" s="1056"/>
      <c r="BBX151" s="1056"/>
      <c r="BBY151" s="1056"/>
      <c r="BBZ151" s="1056"/>
      <c r="BCA151" s="1056"/>
      <c r="BCB151" s="1056"/>
      <c r="BCC151" s="1056"/>
      <c r="BCD151" s="1056"/>
      <c r="BCE151" s="1056"/>
      <c r="BCF151" s="1056"/>
      <c r="BCG151" s="1056"/>
      <c r="BCH151" s="1056"/>
      <c r="BCI151" s="1056"/>
      <c r="BCJ151" s="1056"/>
      <c r="BCK151" s="1056"/>
      <c r="BCL151" s="1056"/>
      <c r="BCM151" s="1056"/>
      <c r="BCN151" s="1056"/>
      <c r="BCO151" s="1056"/>
      <c r="BCP151" s="1056"/>
      <c r="BCQ151" s="1056"/>
      <c r="BCR151" s="1056"/>
      <c r="BCS151" s="1056"/>
      <c r="BCT151" s="1056"/>
      <c r="BCU151" s="1056"/>
      <c r="BCV151" s="1056"/>
      <c r="BCW151" s="1056"/>
      <c r="BCX151" s="1056"/>
      <c r="BCY151" s="1056"/>
      <c r="BCZ151" s="1056"/>
      <c r="BDA151" s="1056"/>
      <c r="BDB151" s="1056"/>
      <c r="BDC151" s="1056"/>
      <c r="BDD151" s="1056"/>
      <c r="BDE151" s="1056"/>
      <c r="BDF151" s="1056"/>
      <c r="BDG151" s="1056"/>
      <c r="BDH151" s="1056"/>
      <c r="BDI151" s="1056"/>
      <c r="BDJ151" s="1056"/>
      <c r="BDK151" s="1056"/>
      <c r="BDL151" s="1056"/>
      <c r="BDM151" s="1056"/>
      <c r="BDN151" s="1056"/>
      <c r="BDO151" s="1056"/>
      <c r="BDP151" s="1056"/>
      <c r="BDQ151" s="1056"/>
      <c r="BDR151" s="1056"/>
      <c r="BDS151" s="1056"/>
      <c r="BDT151" s="1056"/>
      <c r="BDU151" s="1056"/>
      <c r="BDV151" s="1056"/>
      <c r="BDW151" s="1056"/>
      <c r="BDX151" s="1056"/>
      <c r="BDY151" s="1056"/>
      <c r="BDZ151" s="1056"/>
      <c r="BEA151" s="1056"/>
      <c r="BEB151" s="1056"/>
      <c r="BEC151" s="1056"/>
      <c r="BED151" s="1056"/>
      <c r="BEE151" s="1056"/>
      <c r="BEF151" s="1056"/>
      <c r="BEG151" s="1056"/>
      <c r="BEH151" s="1056"/>
      <c r="BEI151" s="1056"/>
      <c r="BEJ151" s="1056"/>
      <c r="BEK151" s="1056"/>
      <c r="BEL151" s="1056"/>
      <c r="BEM151" s="1056"/>
      <c r="BEN151" s="1056"/>
      <c r="BEO151" s="1056"/>
      <c r="BEP151" s="1056"/>
      <c r="BEQ151" s="1056"/>
      <c r="BER151" s="1056"/>
      <c r="BES151" s="1056"/>
      <c r="BET151" s="1056"/>
      <c r="BEU151" s="1056"/>
      <c r="BEV151" s="1056"/>
      <c r="BEW151" s="1056"/>
      <c r="BEX151" s="1056"/>
      <c r="BEY151" s="1056"/>
      <c r="BEZ151" s="1056"/>
      <c r="BFA151" s="1056"/>
      <c r="BFB151" s="1056"/>
      <c r="BFC151" s="1056"/>
      <c r="BFD151" s="1056"/>
      <c r="BFE151" s="1056"/>
      <c r="BFF151" s="1056"/>
      <c r="BFG151" s="1056"/>
      <c r="BFH151" s="1056"/>
      <c r="BFI151" s="1056"/>
      <c r="BFJ151" s="1056"/>
      <c r="BFK151" s="1056"/>
      <c r="BFL151" s="1056"/>
      <c r="BFM151" s="1056"/>
      <c r="BFN151" s="1056"/>
      <c r="BFO151" s="1056"/>
      <c r="BFP151" s="1056"/>
      <c r="BFQ151" s="1056"/>
      <c r="BFR151" s="1056"/>
      <c r="BFS151" s="1056"/>
      <c r="BFT151" s="1056"/>
      <c r="BFU151" s="1056"/>
      <c r="BFV151" s="1056"/>
      <c r="BFW151" s="1056"/>
      <c r="BFX151" s="1056"/>
      <c r="BFY151" s="1056"/>
      <c r="BFZ151" s="1056"/>
      <c r="BGA151" s="1056"/>
      <c r="BGB151" s="1056"/>
      <c r="BGC151" s="1056"/>
      <c r="BGD151" s="1056"/>
      <c r="BGE151" s="1056"/>
      <c r="BGF151" s="1056"/>
      <c r="BGG151" s="1056"/>
      <c r="BGH151" s="1056"/>
      <c r="BGI151" s="1056"/>
      <c r="BGJ151" s="1056"/>
      <c r="BGK151" s="1056"/>
      <c r="BGL151" s="1056"/>
      <c r="BGM151" s="1056"/>
      <c r="BGN151" s="1056"/>
      <c r="BGO151" s="1056"/>
      <c r="BGP151" s="1056"/>
      <c r="BGQ151" s="1056"/>
      <c r="BGR151" s="1056"/>
      <c r="BGS151" s="1056"/>
      <c r="BGT151" s="1056"/>
      <c r="BGU151" s="1056"/>
      <c r="BGV151" s="1056"/>
      <c r="BGW151" s="1056"/>
      <c r="BGX151" s="1056"/>
      <c r="BGY151" s="1056"/>
      <c r="BGZ151" s="1056"/>
      <c r="BHA151" s="1056"/>
      <c r="BHB151" s="1056"/>
      <c r="BHC151" s="1056"/>
      <c r="BHD151" s="1056"/>
      <c r="BHE151" s="1056"/>
      <c r="BHF151" s="1056"/>
      <c r="BHG151" s="1056"/>
      <c r="BHH151" s="1056"/>
      <c r="BHI151" s="1056"/>
      <c r="BHJ151" s="1056"/>
      <c r="BHK151" s="1056"/>
      <c r="BHL151" s="1056"/>
      <c r="BHM151" s="1056"/>
      <c r="BHN151" s="1056"/>
      <c r="BHO151" s="1056"/>
      <c r="BHP151" s="1056"/>
      <c r="BHQ151" s="1056"/>
      <c r="BHR151" s="1056"/>
      <c r="BHS151" s="1056"/>
      <c r="BHT151" s="1056"/>
      <c r="BHU151" s="1056"/>
      <c r="BHV151" s="1056"/>
      <c r="BHW151" s="1056"/>
      <c r="BHX151" s="1056"/>
      <c r="BHY151" s="1056"/>
      <c r="BHZ151" s="1056"/>
      <c r="BIA151" s="1056"/>
      <c r="BIB151" s="1056"/>
      <c r="BIC151" s="1056"/>
      <c r="BID151" s="1056"/>
      <c r="BIE151" s="1056"/>
      <c r="BIF151" s="1056"/>
      <c r="BIG151" s="1056"/>
      <c r="BIH151" s="1056"/>
      <c r="BII151" s="1056"/>
      <c r="BIJ151" s="1056"/>
      <c r="BIK151" s="1056"/>
      <c r="BIL151" s="1056"/>
      <c r="BIM151" s="1056"/>
      <c r="BIN151" s="1056"/>
      <c r="BIO151" s="1056"/>
      <c r="BIP151" s="1056"/>
      <c r="BIQ151" s="1056"/>
      <c r="BIR151" s="1056"/>
      <c r="BIS151" s="1056"/>
      <c r="BIT151" s="1056"/>
      <c r="BIU151" s="1056"/>
      <c r="BIV151" s="1056"/>
      <c r="BIW151" s="1056"/>
      <c r="BIX151" s="1056"/>
      <c r="BIY151" s="1056"/>
      <c r="BIZ151" s="1056"/>
      <c r="BJA151" s="1056"/>
      <c r="BJB151" s="1056"/>
      <c r="BJC151" s="1056"/>
      <c r="BJD151" s="1056"/>
      <c r="BJE151" s="1056"/>
      <c r="BJF151" s="1056"/>
      <c r="BJG151" s="1056"/>
      <c r="BJH151" s="1056"/>
      <c r="BJI151" s="1056"/>
      <c r="BJJ151" s="1056"/>
      <c r="BJK151" s="1056"/>
      <c r="BJL151" s="1056"/>
      <c r="BJM151" s="1056"/>
      <c r="BJN151" s="1056"/>
      <c r="BJO151" s="1056"/>
      <c r="BJP151" s="1056"/>
      <c r="BJQ151" s="1056"/>
      <c r="BJR151" s="1056"/>
      <c r="BJS151" s="1056"/>
      <c r="BJT151" s="1056"/>
      <c r="BJU151" s="1056"/>
      <c r="BJV151" s="1056"/>
      <c r="BJW151" s="1056"/>
      <c r="BJX151" s="1056"/>
      <c r="BJY151" s="1056"/>
      <c r="BJZ151" s="1056"/>
      <c r="BKA151" s="1056"/>
      <c r="BKB151" s="1056"/>
      <c r="BKC151" s="1056"/>
      <c r="BKD151" s="1056"/>
      <c r="BKE151" s="1056"/>
      <c r="BKF151" s="1056"/>
      <c r="BKG151" s="1056"/>
      <c r="BKH151" s="1056"/>
      <c r="BKI151" s="1056"/>
      <c r="BKJ151" s="1056"/>
      <c r="BKK151" s="1056"/>
      <c r="BKL151" s="1056"/>
      <c r="BKM151" s="1056"/>
      <c r="BKN151" s="1056"/>
      <c r="BKO151" s="1056"/>
      <c r="BKP151" s="1056"/>
      <c r="BKQ151" s="1056"/>
      <c r="BKR151" s="1056"/>
      <c r="BKS151" s="1056"/>
      <c r="BKT151" s="1056"/>
      <c r="BKU151" s="1056"/>
      <c r="BKV151" s="1056"/>
      <c r="BKW151" s="1056"/>
      <c r="BKX151" s="1056"/>
      <c r="BKY151" s="1056"/>
      <c r="BKZ151" s="1056"/>
      <c r="BLA151" s="1056"/>
      <c r="BLB151" s="1056"/>
      <c r="BLC151" s="1056"/>
      <c r="BLD151" s="1056"/>
      <c r="BLE151" s="1056"/>
      <c r="BLF151" s="1056"/>
      <c r="BLG151" s="1056"/>
      <c r="BLH151" s="1056"/>
      <c r="BLI151" s="1056"/>
      <c r="BLJ151" s="1056"/>
      <c r="BLK151" s="1056"/>
      <c r="BLL151" s="1056"/>
      <c r="BLM151" s="1056"/>
      <c r="BLN151" s="1056"/>
      <c r="BLO151" s="1056"/>
      <c r="BLP151" s="1056"/>
      <c r="BLQ151" s="1056"/>
      <c r="BLR151" s="1056"/>
      <c r="BLS151" s="1056"/>
      <c r="BLT151" s="1056"/>
      <c r="BLU151" s="1056"/>
      <c r="BLV151" s="1056"/>
      <c r="BLW151" s="1056"/>
      <c r="BLX151" s="1056"/>
      <c r="BLY151" s="1056"/>
      <c r="BLZ151" s="1056"/>
      <c r="BMA151" s="1056"/>
      <c r="BMB151" s="1056"/>
      <c r="BMC151" s="1056"/>
      <c r="BMD151" s="1056"/>
      <c r="BME151" s="1056"/>
      <c r="BMF151" s="1056"/>
      <c r="BMG151" s="1056"/>
      <c r="BMH151" s="1056"/>
      <c r="BMI151" s="1056"/>
      <c r="BMJ151" s="1056"/>
      <c r="BMK151" s="1056"/>
      <c r="BML151" s="1056"/>
      <c r="BMM151" s="1056"/>
      <c r="BMN151" s="1056"/>
      <c r="BMO151" s="1056"/>
      <c r="BMP151" s="1056"/>
      <c r="BMQ151" s="1056"/>
      <c r="BMR151" s="1056"/>
      <c r="BMS151" s="1056"/>
      <c r="BMT151" s="1056"/>
      <c r="BMU151" s="1056"/>
      <c r="BMV151" s="1056"/>
      <c r="BMW151" s="1056"/>
      <c r="BMX151" s="1056"/>
      <c r="BMY151" s="1056"/>
      <c r="BMZ151" s="1056"/>
      <c r="BNA151" s="1056"/>
      <c r="BNB151" s="1056"/>
      <c r="BNC151" s="1056"/>
      <c r="BND151" s="1056"/>
      <c r="BNE151" s="1056"/>
      <c r="BNF151" s="1056"/>
      <c r="BNG151" s="1056"/>
      <c r="BNH151" s="1056"/>
      <c r="BNI151" s="1056"/>
      <c r="BNJ151" s="1056"/>
      <c r="BNK151" s="1056"/>
      <c r="BNL151" s="1056"/>
      <c r="BNM151" s="1056"/>
      <c r="BNN151" s="1056"/>
      <c r="BNO151" s="1056"/>
      <c r="BNP151" s="1056"/>
      <c r="BNQ151" s="1056"/>
      <c r="BNR151" s="1056"/>
      <c r="BNS151" s="1056"/>
      <c r="BNT151" s="1056"/>
      <c r="BNU151" s="1056"/>
      <c r="BNV151" s="1056"/>
      <c r="BNW151" s="1056"/>
      <c r="BNX151" s="1056"/>
      <c r="BNY151" s="1056"/>
      <c r="BNZ151" s="1056"/>
      <c r="BOA151" s="1056"/>
      <c r="BOB151" s="1056"/>
      <c r="BOC151" s="1056"/>
      <c r="BOD151" s="1056"/>
      <c r="BOE151" s="1056"/>
      <c r="BOF151" s="1056"/>
      <c r="BOG151" s="1056"/>
      <c r="BOH151" s="1056"/>
      <c r="BOI151" s="1056"/>
      <c r="BOJ151" s="1056"/>
      <c r="BOK151" s="1056"/>
      <c r="BOL151" s="1056"/>
      <c r="BOM151" s="1056"/>
      <c r="BON151" s="1056"/>
      <c r="BOO151" s="1056"/>
      <c r="BOP151" s="1056"/>
      <c r="BOQ151" s="1056"/>
      <c r="BOR151" s="1056"/>
      <c r="BOS151" s="1056"/>
      <c r="BOT151" s="1056"/>
      <c r="BOU151" s="1056"/>
      <c r="BOV151" s="1056"/>
      <c r="BOW151" s="1056"/>
      <c r="BOX151" s="1056"/>
      <c r="BOY151" s="1056"/>
      <c r="BOZ151" s="1056"/>
      <c r="BPA151" s="1056"/>
      <c r="BPB151" s="1056"/>
      <c r="BPC151" s="1056"/>
      <c r="BPD151" s="1056"/>
      <c r="BPE151" s="1056"/>
      <c r="BPF151" s="1056"/>
      <c r="BPG151" s="1056"/>
      <c r="BPH151" s="1056"/>
      <c r="BPI151" s="1056"/>
      <c r="BPJ151" s="1056"/>
      <c r="BPK151" s="1056"/>
      <c r="BPL151" s="1056"/>
      <c r="BPM151" s="1056"/>
      <c r="BPN151" s="1056"/>
      <c r="BPO151" s="1056"/>
      <c r="BPP151" s="1056"/>
      <c r="BPQ151" s="1056"/>
      <c r="BPR151" s="1056"/>
      <c r="BPS151" s="1056"/>
      <c r="BPT151" s="1056"/>
      <c r="BPU151" s="1056"/>
      <c r="BPV151" s="1056"/>
      <c r="BPW151" s="1056"/>
      <c r="BPX151" s="1056"/>
      <c r="BPY151" s="1056"/>
      <c r="BPZ151" s="1056"/>
      <c r="BQA151" s="1056"/>
      <c r="BQB151" s="1056"/>
      <c r="BQC151" s="1056"/>
      <c r="BQD151" s="1056"/>
      <c r="BQE151" s="1056"/>
      <c r="BQF151" s="1056"/>
      <c r="BQG151" s="1056"/>
      <c r="BQH151" s="1056"/>
      <c r="BQI151" s="1056"/>
      <c r="BQJ151" s="1056"/>
      <c r="BQK151" s="1056"/>
      <c r="BQL151" s="1056"/>
      <c r="BQM151" s="1056"/>
      <c r="BQN151" s="1056"/>
      <c r="BQO151" s="1056"/>
      <c r="BQP151" s="1056"/>
      <c r="BQQ151" s="1056"/>
      <c r="BQR151" s="1056"/>
      <c r="BQS151" s="1056"/>
      <c r="BQT151" s="1056"/>
      <c r="BQU151" s="1056"/>
      <c r="BQV151" s="1056"/>
      <c r="BQW151" s="1056"/>
      <c r="BQX151" s="1056"/>
      <c r="BQY151" s="1056"/>
      <c r="BQZ151" s="1056"/>
      <c r="BRA151" s="1056"/>
      <c r="BRB151" s="1056"/>
      <c r="BRC151" s="1056"/>
      <c r="BRD151" s="1056"/>
      <c r="BRE151" s="1056"/>
      <c r="BRF151" s="1056"/>
      <c r="BRG151" s="1056"/>
      <c r="BRH151" s="1056"/>
      <c r="BRI151" s="1056"/>
      <c r="BRJ151" s="1056"/>
      <c r="BRK151" s="1056"/>
      <c r="BRL151" s="1056"/>
      <c r="BRM151" s="1056"/>
      <c r="BRN151" s="1056"/>
      <c r="BRO151" s="1056"/>
      <c r="BRP151" s="1056"/>
      <c r="BRQ151" s="1056"/>
      <c r="BRR151" s="1056"/>
      <c r="BRS151" s="1056"/>
      <c r="BRT151" s="1056"/>
      <c r="BRU151" s="1056"/>
      <c r="BRV151" s="1056"/>
      <c r="BRW151" s="1056"/>
      <c r="BRX151" s="1056"/>
      <c r="BRY151" s="1056"/>
      <c r="BRZ151" s="1056"/>
      <c r="BSA151" s="1056"/>
      <c r="BSB151" s="1056"/>
      <c r="BSC151" s="1056"/>
      <c r="BSD151" s="1056"/>
      <c r="BSE151" s="1056"/>
      <c r="BSF151" s="1056"/>
      <c r="BSG151" s="1056"/>
      <c r="BSH151" s="1056"/>
      <c r="BSI151" s="1056"/>
      <c r="BSJ151" s="1056"/>
      <c r="BSK151" s="1056"/>
      <c r="BSL151" s="1056"/>
      <c r="BSM151" s="1056"/>
      <c r="BSN151" s="1056"/>
      <c r="BSO151" s="1056"/>
      <c r="BSP151" s="1056"/>
      <c r="BSQ151" s="1056"/>
      <c r="BSR151" s="1056"/>
      <c r="BSS151" s="1056"/>
      <c r="BST151" s="1056"/>
      <c r="BSU151" s="1056"/>
      <c r="BSV151" s="1056"/>
      <c r="BSW151" s="1056"/>
      <c r="BSX151" s="1056"/>
      <c r="BSY151" s="1056"/>
      <c r="BSZ151" s="1056"/>
      <c r="BTA151" s="1056"/>
      <c r="BTB151" s="1056"/>
      <c r="BTC151" s="1056"/>
      <c r="BTD151" s="1056"/>
      <c r="BTE151" s="1056"/>
      <c r="BTF151" s="1056"/>
      <c r="BTG151" s="1056"/>
      <c r="BTH151" s="1056"/>
      <c r="BTI151" s="1056"/>
    </row>
    <row r="152" spans="1:1881" s="1060" customFormat="1" ht="75" hidden="1" customHeight="1" x14ac:dyDescent="0.3">
      <c r="A152" s="1059">
        <v>91</v>
      </c>
      <c r="B152" s="808" t="s">
        <v>58</v>
      </c>
      <c r="C152" s="808" t="s">
        <v>1400</v>
      </c>
      <c r="D152" s="746" t="s">
        <v>1402</v>
      </c>
      <c r="E152" s="1053" t="e">
        <f>HLOOKUP($D$2,'2020 Data(H)'!$C$1:$AI$426,53,FALSE)</f>
        <v>#N/A</v>
      </c>
      <c r="F152" s="287">
        <v>0</v>
      </c>
      <c r="G152" s="722">
        <f>IF(F152&lt;0,"Note: Number is normally positive.",)</f>
        <v>0</v>
      </c>
      <c r="H152" s="764"/>
      <c r="I152" s="1055"/>
      <c r="J152" s="1056"/>
      <c r="K152" s="1056"/>
      <c r="L152" s="1056"/>
      <c r="M152" s="1056"/>
      <c r="N152" s="1058"/>
      <c r="O152" s="1056"/>
      <c r="P152" s="1056"/>
      <c r="Q152" s="1056"/>
      <c r="R152" s="1056"/>
      <c r="S152" s="1056"/>
      <c r="T152" s="1056"/>
      <c r="U152" s="1056"/>
      <c r="V152" s="1056"/>
      <c r="W152" s="1056"/>
      <c r="X152" s="1056"/>
      <c r="Y152" s="1056"/>
      <c r="Z152" s="1059"/>
      <c r="AA152" s="1059"/>
      <c r="AB152" s="1059"/>
      <c r="AC152" s="1059"/>
      <c r="AD152" s="1059"/>
      <c r="AE152" s="1059"/>
      <c r="AF152" s="1059"/>
      <c r="AG152" s="1059"/>
      <c r="AH152" s="1059"/>
      <c r="AI152" s="1059"/>
      <c r="AJ152" s="1059"/>
      <c r="AK152" s="1059"/>
      <c r="AL152" s="1059"/>
      <c r="AM152" s="1059"/>
      <c r="AN152" s="1059"/>
      <c r="AO152" s="1059"/>
      <c r="AP152" s="1059"/>
      <c r="AQ152" s="1059"/>
      <c r="AR152" s="1059"/>
      <c r="AS152" s="1056"/>
      <c r="AT152" s="1056"/>
      <c r="AU152" s="1056"/>
      <c r="AV152" s="1056"/>
      <c r="AW152" s="1056"/>
      <c r="AX152" s="1056"/>
      <c r="AY152" s="1056"/>
      <c r="AZ152" s="1056"/>
      <c r="BA152" s="1056"/>
      <c r="BB152" s="1056"/>
      <c r="BC152" s="1056"/>
      <c r="BD152" s="1056"/>
      <c r="BE152" s="1056"/>
      <c r="BF152" s="1056"/>
      <c r="BG152" s="1056"/>
      <c r="BH152" s="1056"/>
      <c r="BI152" s="1056"/>
      <c r="BJ152" s="1056"/>
      <c r="BK152" s="1056"/>
      <c r="BL152" s="1056"/>
      <c r="BM152" s="1056"/>
      <c r="BN152" s="1056"/>
      <c r="BO152" s="1056"/>
      <c r="BP152" s="1056"/>
      <c r="BQ152" s="1056"/>
      <c r="BR152" s="1056"/>
      <c r="BS152" s="1056"/>
      <c r="BT152" s="1056"/>
      <c r="BU152" s="1056"/>
      <c r="BV152" s="1056"/>
      <c r="BW152" s="1056"/>
      <c r="BX152" s="1056"/>
      <c r="BY152" s="1056"/>
      <c r="BZ152" s="1056"/>
      <c r="CA152" s="1056"/>
      <c r="CB152" s="1056"/>
      <c r="CC152" s="1056"/>
      <c r="CD152" s="1056"/>
      <c r="CE152" s="1056"/>
      <c r="CF152" s="1056"/>
      <c r="CG152" s="1056"/>
      <c r="CH152" s="1056"/>
      <c r="CI152" s="1056"/>
      <c r="CJ152" s="1056"/>
      <c r="CK152" s="1056"/>
      <c r="CL152" s="1056"/>
      <c r="CM152" s="1056"/>
      <c r="CN152" s="1056"/>
      <c r="CO152" s="1056"/>
      <c r="CP152" s="1056"/>
      <c r="CQ152" s="1056"/>
      <c r="CR152" s="1056"/>
      <c r="CS152" s="1056"/>
      <c r="CT152" s="1056"/>
      <c r="CU152" s="1056"/>
      <c r="CV152" s="1056"/>
      <c r="CW152" s="1056"/>
      <c r="CX152" s="1056"/>
      <c r="CY152" s="1056"/>
      <c r="CZ152" s="1056"/>
      <c r="DA152" s="1056"/>
      <c r="DB152" s="1056"/>
      <c r="DC152" s="1056"/>
      <c r="DD152" s="1056"/>
      <c r="DE152" s="1056"/>
      <c r="DF152" s="1056"/>
      <c r="DG152" s="1056"/>
      <c r="DH152" s="1056"/>
      <c r="DI152" s="1056"/>
      <c r="DJ152" s="1056"/>
      <c r="DK152" s="1056"/>
      <c r="DL152" s="1056"/>
      <c r="DM152" s="1056"/>
      <c r="DN152" s="1056"/>
      <c r="DO152" s="1056"/>
      <c r="DP152" s="1056"/>
      <c r="DQ152" s="1056"/>
      <c r="DR152" s="1056"/>
      <c r="DS152" s="1056"/>
      <c r="DT152" s="1056"/>
      <c r="DU152" s="1056"/>
      <c r="DV152" s="1056"/>
      <c r="DW152" s="1056"/>
      <c r="DX152" s="1056"/>
      <c r="DY152" s="1056"/>
      <c r="DZ152" s="1056"/>
      <c r="EA152" s="1056"/>
      <c r="EB152" s="1056"/>
      <c r="EC152" s="1056"/>
      <c r="ED152" s="1056"/>
      <c r="EE152" s="1056"/>
      <c r="EF152" s="1056"/>
      <c r="EG152" s="1056"/>
      <c r="EH152" s="1056"/>
      <c r="EI152" s="1056"/>
      <c r="EJ152" s="1056"/>
      <c r="EK152" s="1056"/>
      <c r="EL152" s="1056"/>
      <c r="EM152" s="1056"/>
      <c r="EN152" s="1056"/>
      <c r="EO152" s="1056"/>
      <c r="EP152" s="1056"/>
      <c r="EQ152" s="1056"/>
      <c r="ER152" s="1056"/>
      <c r="ES152" s="1056"/>
      <c r="ET152" s="1056"/>
      <c r="EU152" s="1056"/>
      <c r="EV152" s="1056"/>
      <c r="EW152" s="1056"/>
      <c r="EX152" s="1056"/>
      <c r="EY152" s="1056"/>
      <c r="EZ152" s="1056"/>
      <c r="FA152" s="1056"/>
      <c r="FB152" s="1056"/>
      <c r="FC152" s="1056"/>
      <c r="FD152" s="1056"/>
      <c r="FE152" s="1056"/>
      <c r="FF152" s="1056"/>
      <c r="FG152" s="1056"/>
      <c r="FH152" s="1056"/>
      <c r="FI152" s="1056"/>
      <c r="FJ152" s="1056"/>
      <c r="FK152" s="1056"/>
      <c r="FL152" s="1056"/>
      <c r="FM152" s="1056"/>
      <c r="FN152" s="1056"/>
      <c r="FO152" s="1056"/>
      <c r="FP152" s="1056"/>
      <c r="FQ152" s="1056"/>
      <c r="FR152" s="1056"/>
      <c r="FS152" s="1056"/>
      <c r="FT152" s="1056"/>
      <c r="FU152" s="1056"/>
      <c r="FV152" s="1056"/>
      <c r="FW152" s="1056"/>
      <c r="FX152" s="1056"/>
      <c r="FY152" s="1056"/>
      <c r="FZ152" s="1056"/>
      <c r="GA152" s="1056"/>
      <c r="GB152" s="1056"/>
      <c r="GC152" s="1056"/>
      <c r="GD152" s="1056"/>
      <c r="GE152" s="1056"/>
      <c r="GF152" s="1056"/>
      <c r="GG152" s="1056"/>
      <c r="GH152" s="1056"/>
      <c r="GI152" s="1056"/>
      <c r="GJ152" s="1056"/>
      <c r="GK152" s="1056"/>
      <c r="GL152" s="1056"/>
      <c r="GM152" s="1056"/>
      <c r="GN152" s="1056"/>
      <c r="GO152" s="1056"/>
      <c r="GP152" s="1056"/>
      <c r="GQ152" s="1056"/>
      <c r="GR152" s="1056"/>
      <c r="GS152" s="1056"/>
      <c r="GT152" s="1056"/>
      <c r="GU152" s="1056"/>
      <c r="GV152" s="1056"/>
      <c r="GW152" s="1056"/>
      <c r="GX152" s="1056"/>
      <c r="GY152" s="1056"/>
      <c r="GZ152" s="1056"/>
      <c r="HA152" s="1056"/>
      <c r="HB152" s="1056"/>
      <c r="HC152" s="1056"/>
      <c r="HD152" s="1056"/>
      <c r="HE152" s="1056"/>
      <c r="HF152" s="1056"/>
      <c r="HG152" s="1056"/>
      <c r="HH152" s="1056"/>
      <c r="HI152" s="1056"/>
      <c r="HJ152" s="1056"/>
      <c r="HK152" s="1056"/>
      <c r="HL152" s="1056"/>
      <c r="HM152" s="1056"/>
      <c r="HN152" s="1056"/>
      <c r="HO152" s="1056"/>
      <c r="HP152" s="1056"/>
      <c r="HQ152" s="1056"/>
      <c r="HR152" s="1056"/>
      <c r="HS152" s="1056"/>
      <c r="HT152" s="1056"/>
      <c r="HU152" s="1056"/>
      <c r="HV152" s="1056"/>
      <c r="HW152" s="1056"/>
      <c r="HX152" s="1056"/>
      <c r="HY152" s="1056"/>
      <c r="HZ152" s="1056"/>
      <c r="IA152" s="1056"/>
      <c r="IB152" s="1056"/>
      <c r="IC152" s="1056"/>
      <c r="ID152" s="1056"/>
      <c r="IE152" s="1056"/>
      <c r="IF152" s="1056"/>
      <c r="IG152" s="1056"/>
      <c r="IH152" s="1056"/>
      <c r="II152" s="1056"/>
      <c r="IJ152" s="1056"/>
      <c r="IK152" s="1056"/>
      <c r="IL152" s="1056"/>
      <c r="IM152" s="1056"/>
      <c r="IN152" s="1056"/>
      <c r="IO152" s="1056"/>
      <c r="IP152" s="1056"/>
      <c r="IQ152" s="1056"/>
      <c r="IR152" s="1056"/>
      <c r="IS152" s="1056"/>
      <c r="IT152" s="1056"/>
      <c r="IU152" s="1056"/>
      <c r="IV152" s="1056"/>
      <c r="IW152" s="1056"/>
      <c r="IX152" s="1056"/>
      <c r="IY152" s="1056"/>
      <c r="IZ152" s="1056"/>
      <c r="JA152" s="1056"/>
      <c r="JB152" s="1056"/>
      <c r="JC152" s="1056"/>
      <c r="JD152" s="1056"/>
      <c r="JE152" s="1056"/>
      <c r="JF152" s="1056"/>
      <c r="JG152" s="1056"/>
      <c r="JH152" s="1056"/>
      <c r="JI152" s="1056"/>
      <c r="JJ152" s="1056"/>
      <c r="JK152" s="1056"/>
      <c r="JL152" s="1056"/>
      <c r="JM152" s="1056"/>
      <c r="JN152" s="1056"/>
      <c r="JO152" s="1056"/>
      <c r="JP152" s="1056"/>
      <c r="JQ152" s="1056"/>
      <c r="JR152" s="1056"/>
      <c r="JS152" s="1056"/>
      <c r="JT152" s="1056"/>
      <c r="JU152" s="1056"/>
      <c r="JV152" s="1056"/>
      <c r="JW152" s="1056"/>
      <c r="JX152" s="1056"/>
      <c r="JY152" s="1056"/>
      <c r="JZ152" s="1056"/>
      <c r="KA152" s="1056"/>
      <c r="KB152" s="1056"/>
      <c r="KC152" s="1056"/>
      <c r="KD152" s="1056"/>
      <c r="KE152" s="1056"/>
      <c r="KF152" s="1056"/>
      <c r="KG152" s="1056"/>
      <c r="KH152" s="1056"/>
      <c r="KI152" s="1056"/>
      <c r="KJ152" s="1056"/>
      <c r="KK152" s="1056"/>
      <c r="KL152" s="1056"/>
      <c r="KM152" s="1056"/>
      <c r="KN152" s="1056"/>
      <c r="KO152" s="1056"/>
      <c r="KP152" s="1056"/>
      <c r="KQ152" s="1056"/>
      <c r="KR152" s="1056"/>
      <c r="KS152" s="1056"/>
      <c r="KT152" s="1056"/>
      <c r="KU152" s="1056"/>
      <c r="KV152" s="1056"/>
      <c r="KW152" s="1056"/>
      <c r="KX152" s="1056"/>
      <c r="KY152" s="1056"/>
      <c r="KZ152" s="1056"/>
      <c r="LA152" s="1056"/>
      <c r="LB152" s="1056"/>
      <c r="LC152" s="1056"/>
      <c r="LD152" s="1056"/>
      <c r="LE152" s="1056"/>
      <c r="LF152" s="1056"/>
      <c r="LG152" s="1056"/>
      <c r="LH152" s="1056"/>
      <c r="LI152" s="1056"/>
      <c r="LJ152" s="1056"/>
      <c r="LK152" s="1056"/>
      <c r="LL152" s="1056"/>
      <c r="LM152" s="1056"/>
      <c r="LN152" s="1056"/>
      <c r="LO152" s="1056"/>
      <c r="LP152" s="1056"/>
      <c r="LQ152" s="1056"/>
      <c r="LR152" s="1056"/>
      <c r="LS152" s="1056"/>
      <c r="LT152" s="1056"/>
      <c r="LU152" s="1056"/>
      <c r="LV152" s="1056"/>
      <c r="LW152" s="1056"/>
      <c r="LX152" s="1056"/>
      <c r="LY152" s="1056"/>
      <c r="LZ152" s="1056"/>
      <c r="MA152" s="1056"/>
      <c r="MB152" s="1056"/>
      <c r="MC152" s="1056"/>
      <c r="MD152" s="1056"/>
      <c r="ME152" s="1056"/>
      <c r="MF152" s="1056"/>
      <c r="MG152" s="1056"/>
      <c r="MH152" s="1056"/>
      <c r="MI152" s="1056"/>
      <c r="MJ152" s="1056"/>
      <c r="MK152" s="1056"/>
      <c r="ML152" s="1056"/>
      <c r="MM152" s="1056"/>
      <c r="MN152" s="1056"/>
      <c r="MO152" s="1056"/>
      <c r="MP152" s="1056"/>
      <c r="MQ152" s="1056"/>
      <c r="MR152" s="1056"/>
      <c r="MS152" s="1056"/>
      <c r="MT152" s="1056"/>
      <c r="MU152" s="1056"/>
      <c r="MV152" s="1056"/>
      <c r="MW152" s="1056"/>
      <c r="MX152" s="1056"/>
      <c r="MY152" s="1056"/>
      <c r="MZ152" s="1056"/>
      <c r="NA152" s="1056"/>
      <c r="NB152" s="1056"/>
      <c r="NC152" s="1056"/>
      <c r="ND152" s="1056"/>
      <c r="NE152" s="1056"/>
      <c r="NF152" s="1056"/>
      <c r="NG152" s="1056"/>
      <c r="NH152" s="1056"/>
      <c r="NI152" s="1056"/>
      <c r="NJ152" s="1056"/>
      <c r="NK152" s="1056"/>
      <c r="NL152" s="1056"/>
      <c r="NM152" s="1056"/>
      <c r="NN152" s="1056"/>
      <c r="NO152" s="1056"/>
      <c r="NP152" s="1056"/>
      <c r="NQ152" s="1056"/>
      <c r="NR152" s="1056"/>
      <c r="NS152" s="1056"/>
      <c r="NT152" s="1056"/>
      <c r="NU152" s="1056"/>
      <c r="NV152" s="1056"/>
      <c r="NW152" s="1056"/>
      <c r="NX152" s="1056"/>
      <c r="NY152" s="1056"/>
      <c r="NZ152" s="1056"/>
      <c r="OA152" s="1056"/>
      <c r="OB152" s="1056"/>
      <c r="OC152" s="1056"/>
      <c r="OD152" s="1056"/>
      <c r="OE152" s="1056"/>
      <c r="OF152" s="1056"/>
      <c r="OG152" s="1056"/>
      <c r="OH152" s="1056"/>
      <c r="OI152" s="1056"/>
      <c r="OJ152" s="1056"/>
      <c r="OK152" s="1056"/>
      <c r="OL152" s="1056"/>
      <c r="OM152" s="1056"/>
      <c r="ON152" s="1056"/>
      <c r="OO152" s="1056"/>
      <c r="OP152" s="1056"/>
      <c r="OQ152" s="1056"/>
      <c r="OR152" s="1056"/>
      <c r="OS152" s="1056"/>
      <c r="OT152" s="1056"/>
      <c r="OU152" s="1056"/>
      <c r="OV152" s="1056"/>
      <c r="OW152" s="1056"/>
      <c r="OX152" s="1056"/>
      <c r="OY152" s="1056"/>
      <c r="OZ152" s="1056"/>
      <c r="PA152" s="1056"/>
      <c r="PB152" s="1056"/>
      <c r="PC152" s="1056"/>
      <c r="PD152" s="1056"/>
      <c r="PE152" s="1056"/>
      <c r="PF152" s="1056"/>
      <c r="PG152" s="1056"/>
      <c r="PH152" s="1056"/>
      <c r="PI152" s="1056"/>
      <c r="PJ152" s="1056"/>
      <c r="PK152" s="1056"/>
      <c r="PL152" s="1056"/>
      <c r="PM152" s="1056"/>
      <c r="PN152" s="1056"/>
      <c r="PO152" s="1056"/>
      <c r="PP152" s="1056"/>
      <c r="PQ152" s="1056"/>
      <c r="PR152" s="1056"/>
      <c r="PS152" s="1056"/>
      <c r="PT152" s="1056"/>
      <c r="PU152" s="1056"/>
      <c r="PV152" s="1056"/>
      <c r="PW152" s="1056"/>
      <c r="PX152" s="1056"/>
      <c r="PY152" s="1056"/>
      <c r="PZ152" s="1056"/>
      <c r="QA152" s="1056"/>
      <c r="QB152" s="1056"/>
      <c r="QC152" s="1056"/>
      <c r="QD152" s="1056"/>
      <c r="QE152" s="1056"/>
      <c r="QF152" s="1056"/>
      <c r="QG152" s="1056"/>
      <c r="QH152" s="1056"/>
      <c r="QI152" s="1056"/>
      <c r="QJ152" s="1056"/>
      <c r="QK152" s="1056"/>
      <c r="QL152" s="1056"/>
      <c r="QM152" s="1056"/>
      <c r="QN152" s="1056"/>
      <c r="QO152" s="1056"/>
      <c r="QP152" s="1056"/>
      <c r="QQ152" s="1056"/>
      <c r="QR152" s="1056"/>
      <c r="QS152" s="1056"/>
      <c r="QT152" s="1056"/>
      <c r="QU152" s="1056"/>
      <c r="QV152" s="1056"/>
      <c r="QW152" s="1056"/>
      <c r="QX152" s="1056"/>
      <c r="QY152" s="1056"/>
      <c r="QZ152" s="1056"/>
      <c r="RA152" s="1056"/>
      <c r="RB152" s="1056"/>
      <c r="RC152" s="1056"/>
      <c r="RD152" s="1056"/>
      <c r="RE152" s="1056"/>
      <c r="RF152" s="1056"/>
      <c r="RG152" s="1056"/>
      <c r="RH152" s="1056"/>
      <c r="RI152" s="1056"/>
      <c r="RJ152" s="1056"/>
      <c r="RK152" s="1056"/>
      <c r="RL152" s="1056"/>
      <c r="RM152" s="1056"/>
      <c r="RN152" s="1056"/>
      <c r="RO152" s="1056"/>
      <c r="RP152" s="1056"/>
      <c r="RQ152" s="1056"/>
      <c r="RR152" s="1056"/>
      <c r="RS152" s="1056"/>
      <c r="RT152" s="1056"/>
      <c r="RU152" s="1056"/>
      <c r="RV152" s="1056"/>
      <c r="RW152" s="1056"/>
      <c r="RX152" s="1056"/>
      <c r="RY152" s="1056"/>
      <c r="RZ152" s="1056"/>
      <c r="SA152" s="1056"/>
      <c r="SB152" s="1056"/>
      <c r="SC152" s="1056"/>
      <c r="SD152" s="1056"/>
      <c r="SE152" s="1056"/>
      <c r="SF152" s="1056"/>
      <c r="SG152" s="1056"/>
      <c r="SH152" s="1056"/>
      <c r="SI152" s="1056"/>
      <c r="SJ152" s="1056"/>
      <c r="SK152" s="1056"/>
      <c r="SL152" s="1056"/>
      <c r="SM152" s="1056"/>
      <c r="SN152" s="1056"/>
      <c r="SO152" s="1056"/>
      <c r="SP152" s="1056"/>
      <c r="SQ152" s="1056"/>
      <c r="SR152" s="1056"/>
      <c r="SS152" s="1056"/>
      <c r="ST152" s="1056"/>
      <c r="SU152" s="1056"/>
      <c r="SV152" s="1056"/>
      <c r="SW152" s="1056"/>
      <c r="SX152" s="1056"/>
      <c r="SY152" s="1056"/>
      <c r="SZ152" s="1056"/>
      <c r="TA152" s="1056"/>
      <c r="TB152" s="1056"/>
      <c r="TC152" s="1056"/>
      <c r="TD152" s="1056"/>
      <c r="TE152" s="1056"/>
      <c r="TF152" s="1056"/>
      <c r="TG152" s="1056"/>
      <c r="TH152" s="1056"/>
      <c r="TI152" s="1056"/>
      <c r="TJ152" s="1056"/>
      <c r="TK152" s="1056"/>
      <c r="TL152" s="1056"/>
      <c r="TM152" s="1056"/>
      <c r="TN152" s="1056"/>
      <c r="TO152" s="1056"/>
      <c r="TP152" s="1056"/>
      <c r="TQ152" s="1056"/>
      <c r="TR152" s="1056"/>
      <c r="TS152" s="1056"/>
      <c r="TT152" s="1056"/>
      <c r="TU152" s="1056"/>
      <c r="TV152" s="1056"/>
      <c r="TW152" s="1056"/>
      <c r="TX152" s="1056"/>
      <c r="TY152" s="1056"/>
      <c r="TZ152" s="1056"/>
      <c r="UA152" s="1056"/>
      <c r="UB152" s="1056"/>
      <c r="UC152" s="1056"/>
      <c r="UD152" s="1056"/>
      <c r="UE152" s="1056"/>
      <c r="UF152" s="1056"/>
      <c r="UG152" s="1056"/>
      <c r="UH152" s="1056"/>
      <c r="UI152" s="1056"/>
      <c r="UJ152" s="1056"/>
      <c r="UK152" s="1056"/>
      <c r="UL152" s="1056"/>
      <c r="UM152" s="1056"/>
      <c r="UN152" s="1056"/>
      <c r="UO152" s="1056"/>
      <c r="UP152" s="1056"/>
      <c r="UQ152" s="1056"/>
      <c r="UR152" s="1056"/>
      <c r="US152" s="1056"/>
      <c r="UT152" s="1056"/>
      <c r="UU152" s="1056"/>
      <c r="UV152" s="1056"/>
      <c r="UW152" s="1056"/>
      <c r="UX152" s="1056"/>
      <c r="UY152" s="1056"/>
      <c r="UZ152" s="1056"/>
      <c r="VA152" s="1056"/>
      <c r="VB152" s="1056"/>
      <c r="VC152" s="1056"/>
      <c r="VD152" s="1056"/>
      <c r="VE152" s="1056"/>
      <c r="VF152" s="1056"/>
      <c r="VG152" s="1056"/>
      <c r="VH152" s="1056"/>
      <c r="VI152" s="1056"/>
      <c r="VJ152" s="1056"/>
      <c r="VK152" s="1056"/>
      <c r="VL152" s="1056"/>
      <c r="VM152" s="1056"/>
      <c r="VN152" s="1056"/>
      <c r="VO152" s="1056"/>
      <c r="VP152" s="1056"/>
      <c r="VQ152" s="1056"/>
      <c r="VR152" s="1056"/>
      <c r="VS152" s="1056"/>
      <c r="VT152" s="1056"/>
      <c r="VU152" s="1056"/>
      <c r="VV152" s="1056"/>
      <c r="VW152" s="1056"/>
      <c r="VX152" s="1056"/>
      <c r="VY152" s="1056"/>
      <c r="VZ152" s="1056"/>
      <c r="WA152" s="1056"/>
      <c r="WB152" s="1056"/>
      <c r="WC152" s="1056"/>
      <c r="WD152" s="1056"/>
      <c r="WE152" s="1056"/>
      <c r="WF152" s="1056"/>
      <c r="WG152" s="1056"/>
      <c r="WH152" s="1056"/>
      <c r="WI152" s="1056"/>
      <c r="WJ152" s="1056"/>
      <c r="WK152" s="1056"/>
      <c r="WL152" s="1056"/>
      <c r="WM152" s="1056"/>
      <c r="WN152" s="1056"/>
      <c r="WO152" s="1056"/>
      <c r="WP152" s="1056"/>
      <c r="WQ152" s="1056"/>
      <c r="WR152" s="1056"/>
      <c r="WS152" s="1056"/>
      <c r="WT152" s="1056"/>
      <c r="WU152" s="1056"/>
      <c r="WV152" s="1056"/>
      <c r="WW152" s="1056"/>
      <c r="WX152" s="1056"/>
      <c r="WY152" s="1056"/>
      <c r="WZ152" s="1056"/>
      <c r="XA152" s="1056"/>
      <c r="XB152" s="1056"/>
      <c r="XC152" s="1056"/>
      <c r="XD152" s="1056"/>
      <c r="XE152" s="1056"/>
      <c r="XF152" s="1056"/>
      <c r="XG152" s="1056"/>
      <c r="XH152" s="1056"/>
      <c r="XI152" s="1056"/>
      <c r="XJ152" s="1056"/>
      <c r="XK152" s="1056"/>
      <c r="XL152" s="1056"/>
      <c r="XM152" s="1056"/>
      <c r="XN152" s="1056"/>
      <c r="XO152" s="1056"/>
      <c r="XP152" s="1056"/>
      <c r="XQ152" s="1056"/>
      <c r="XR152" s="1056"/>
      <c r="XS152" s="1056"/>
      <c r="XT152" s="1056"/>
      <c r="XU152" s="1056"/>
      <c r="XV152" s="1056"/>
      <c r="XW152" s="1056"/>
      <c r="XX152" s="1056"/>
      <c r="XY152" s="1056"/>
      <c r="XZ152" s="1056"/>
      <c r="YA152" s="1056"/>
      <c r="YB152" s="1056"/>
      <c r="YC152" s="1056"/>
      <c r="YD152" s="1056"/>
      <c r="YE152" s="1056"/>
      <c r="YF152" s="1056"/>
      <c r="YG152" s="1056"/>
      <c r="YH152" s="1056"/>
      <c r="YI152" s="1056"/>
      <c r="YJ152" s="1056"/>
      <c r="YK152" s="1056"/>
      <c r="YL152" s="1056"/>
      <c r="YM152" s="1056"/>
      <c r="YN152" s="1056"/>
      <c r="YO152" s="1056"/>
      <c r="YP152" s="1056"/>
      <c r="YQ152" s="1056"/>
      <c r="YR152" s="1056"/>
      <c r="YS152" s="1056"/>
      <c r="YT152" s="1056"/>
      <c r="YU152" s="1056"/>
      <c r="YV152" s="1056"/>
      <c r="YW152" s="1056"/>
      <c r="YX152" s="1056"/>
      <c r="YY152" s="1056"/>
      <c r="YZ152" s="1056"/>
      <c r="ZA152" s="1056"/>
      <c r="ZB152" s="1056"/>
      <c r="ZC152" s="1056"/>
      <c r="ZD152" s="1056"/>
      <c r="ZE152" s="1056"/>
      <c r="ZF152" s="1056"/>
      <c r="ZG152" s="1056"/>
      <c r="ZH152" s="1056"/>
      <c r="ZI152" s="1056"/>
      <c r="ZJ152" s="1056"/>
      <c r="ZK152" s="1056"/>
      <c r="ZL152" s="1056"/>
      <c r="ZM152" s="1056"/>
      <c r="ZN152" s="1056"/>
      <c r="ZO152" s="1056"/>
      <c r="ZP152" s="1056"/>
      <c r="ZQ152" s="1056"/>
      <c r="ZR152" s="1056"/>
      <c r="ZS152" s="1056"/>
      <c r="ZT152" s="1056"/>
      <c r="ZU152" s="1056"/>
      <c r="ZV152" s="1056"/>
      <c r="ZW152" s="1056"/>
      <c r="ZX152" s="1056"/>
      <c r="ZY152" s="1056"/>
      <c r="ZZ152" s="1056"/>
      <c r="AAA152" s="1056"/>
      <c r="AAB152" s="1056"/>
      <c r="AAC152" s="1056"/>
      <c r="AAD152" s="1056"/>
      <c r="AAE152" s="1056"/>
      <c r="AAF152" s="1056"/>
      <c r="AAG152" s="1056"/>
      <c r="AAH152" s="1056"/>
      <c r="AAI152" s="1056"/>
      <c r="AAJ152" s="1056"/>
      <c r="AAK152" s="1056"/>
      <c r="AAL152" s="1056"/>
      <c r="AAM152" s="1056"/>
      <c r="AAN152" s="1056"/>
      <c r="AAO152" s="1056"/>
      <c r="AAP152" s="1056"/>
      <c r="AAQ152" s="1056"/>
      <c r="AAR152" s="1056"/>
      <c r="AAS152" s="1056"/>
      <c r="AAT152" s="1056"/>
      <c r="AAU152" s="1056"/>
      <c r="AAV152" s="1056"/>
      <c r="AAW152" s="1056"/>
      <c r="AAX152" s="1056"/>
      <c r="AAY152" s="1056"/>
      <c r="AAZ152" s="1056"/>
      <c r="ABA152" s="1056"/>
      <c r="ABB152" s="1056"/>
      <c r="ABC152" s="1056"/>
      <c r="ABD152" s="1056"/>
      <c r="ABE152" s="1056"/>
      <c r="ABF152" s="1056"/>
      <c r="ABG152" s="1056"/>
      <c r="ABH152" s="1056"/>
      <c r="ABI152" s="1056"/>
      <c r="ABJ152" s="1056"/>
      <c r="ABK152" s="1056"/>
      <c r="ABL152" s="1056"/>
      <c r="ABM152" s="1056"/>
      <c r="ABN152" s="1056"/>
      <c r="ABO152" s="1056"/>
      <c r="ABP152" s="1056"/>
      <c r="ABQ152" s="1056"/>
      <c r="ABR152" s="1056"/>
      <c r="ABS152" s="1056"/>
      <c r="ABT152" s="1056"/>
      <c r="ABU152" s="1056"/>
      <c r="ABV152" s="1056"/>
      <c r="ABW152" s="1056"/>
      <c r="ABX152" s="1056"/>
      <c r="ABY152" s="1056"/>
      <c r="ABZ152" s="1056"/>
      <c r="ACA152" s="1056"/>
      <c r="ACB152" s="1056"/>
      <c r="ACC152" s="1056"/>
      <c r="ACD152" s="1056"/>
      <c r="ACE152" s="1056"/>
      <c r="ACF152" s="1056"/>
      <c r="ACG152" s="1056"/>
      <c r="ACH152" s="1056"/>
      <c r="ACI152" s="1056"/>
      <c r="ACJ152" s="1056"/>
      <c r="ACK152" s="1056"/>
      <c r="ACL152" s="1056"/>
      <c r="ACM152" s="1056"/>
      <c r="ACN152" s="1056"/>
      <c r="ACO152" s="1056"/>
      <c r="ACP152" s="1056"/>
      <c r="ACQ152" s="1056"/>
      <c r="ACR152" s="1056"/>
      <c r="ACS152" s="1056"/>
      <c r="ACT152" s="1056"/>
      <c r="ACU152" s="1056"/>
      <c r="ACV152" s="1056"/>
      <c r="ACW152" s="1056"/>
      <c r="ACX152" s="1056"/>
      <c r="ACY152" s="1056"/>
      <c r="ACZ152" s="1056"/>
      <c r="ADA152" s="1056"/>
      <c r="ADB152" s="1056"/>
      <c r="ADC152" s="1056"/>
      <c r="ADD152" s="1056"/>
      <c r="ADE152" s="1056"/>
      <c r="ADF152" s="1056"/>
      <c r="ADG152" s="1056"/>
      <c r="ADH152" s="1056"/>
      <c r="ADI152" s="1056"/>
      <c r="ADJ152" s="1056"/>
      <c r="ADK152" s="1056"/>
      <c r="ADL152" s="1056"/>
      <c r="ADM152" s="1056"/>
      <c r="ADN152" s="1056"/>
      <c r="ADO152" s="1056"/>
      <c r="ADP152" s="1056"/>
      <c r="ADQ152" s="1056"/>
      <c r="ADR152" s="1056"/>
      <c r="ADS152" s="1056"/>
      <c r="ADT152" s="1056"/>
      <c r="ADU152" s="1056"/>
      <c r="ADV152" s="1056"/>
      <c r="ADW152" s="1056"/>
      <c r="ADX152" s="1056"/>
      <c r="ADY152" s="1056"/>
      <c r="ADZ152" s="1056"/>
      <c r="AEA152" s="1056"/>
      <c r="AEB152" s="1056"/>
      <c r="AEC152" s="1056"/>
      <c r="AED152" s="1056"/>
      <c r="AEE152" s="1056"/>
      <c r="AEF152" s="1056"/>
      <c r="AEG152" s="1056"/>
      <c r="AEH152" s="1056"/>
      <c r="AEI152" s="1056"/>
      <c r="AEJ152" s="1056"/>
      <c r="AEK152" s="1056"/>
      <c r="AEL152" s="1056"/>
      <c r="AEM152" s="1056"/>
      <c r="AEN152" s="1056"/>
      <c r="AEO152" s="1056"/>
      <c r="AEP152" s="1056"/>
      <c r="AEQ152" s="1056"/>
      <c r="AER152" s="1056"/>
      <c r="AES152" s="1056"/>
      <c r="AET152" s="1056"/>
      <c r="AEU152" s="1056"/>
      <c r="AEV152" s="1056"/>
      <c r="AEW152" s="1056"/>
      <c r="AEX152" s="1056"/>
      <c r="AEY152" s="1056"/>
      <c r="AEZ152" s="1056"/>
      <c r="AFA152" s="1056"/>
      <c r="AFB152" s="1056"/>
      <c r="AFC152" s="1056"/>
      <c r="AFD152" s="1056"/>
      <c r="AFE152" s="1056"/>
      <c r="AFF152" s="1056"/>
      <c r="AFG152" s="1056"/>
      <c r="AFH152" s="1056"/>
      <c r="AFI152" s="1056"/>
      <c r="AFJ152" s="1056"/>
      <c r="AFK152" s="1056"/>
      <c r="AFL152" s="1056"/>
      <c r="AFM152" s="1056"/>
      <c r="AFN152" s="1056"/>
      <c r="AFO152" s="1056"/>
      <c r="AFP152" s="1056"/>
      <c r="AFQ152" s="1056"/>
      <c r="AFR152" s="1056"/>
      <c r="AFS152" s="1056"/>
      <c r="AFT152" s="1056"/>
      <c r="AFU152" s="1056"/>
      <c r="AFV152" s="1056"/>
      <c r="AFW152" s="1056"/>
      <c r="AFX152" s="1056"/>
      <c r="AFY152" s="1056"/>
      <c r="AFZ152" s="1056"/>
      <c r="AGA152" s="1056"/>
      <c r="AGB152" s="1056"/>
      <c r="AGC152" s="1056"/>
      <c r="AGD152" s="1056"/>
      <c r="AGE152" s="1056"/>
      <c r="AGF152" s="1056"/>
      <c r="AGG152" s="1056"/>
      <c r="AGH152" s="1056"/>
      <c r="AGI152" s="1056"/>
      <c r="AGJ152" s="1056"/>
      <c r="AGK152" s="1056"/>
      <c r="AGL152" s="1056"/>
      <c r="AGM152" s="1056"/>
      <c r="AGN152" s="1056"/>
      <c r="AGO152" s="1056"/>
      <c r="AGP152" s="1056"/>
      <c r="AGQ152" s="1056"/>
      <c r="AGR152" s="1056"/>
      <c r="AGS152" s="1056"/>
      <c r="AGT152" s="1056"/>
      <c r="AGU152" s="1056"/>
      <c r="AGV152" s="1056"/>
      <c r="AGW152" s="1056"/>
      <c r="AGX152" s="1056"/>
      <c r="AGY152" s="1056"/>
      <c r="AGZ152" s="1056"/>
      <c r="AHA152" s="1056"/>
      <c r="AHB152" s="1056"/>
      <c r="AHC152" s="1056"/>
      <c r="AHD152" s="1056"/>
      <c r="AHE152" s="1056"/>
      <c r="AHF152" s="1056"/>
      <c r="AHG152" s="1056"/>
      <c r="AHH152" s="1056"/>
      <c r="AHI152" s="1056"/>
      <c r="AHJ152" s="1056"/>
      <c r="AHK152" s="1056"/>
      <c r="AHL152" s="1056"/>
      <c r="AHM152" s="1056"/>
      <c r="AHN152" s="1056"/>
      <c r="AHO152" s="1056"/>
      <c r="AHP152" s="1056"/>
      <c r="AHQ152" s="1056"/>
      <c r="AHR152" s="1056"/>
      <c r="AHS152" s="1056"/>
      <c r="AHT152" s="1056"/>
      <c r="AHU152" s="1056"/>
      <c r="AHV152" s="1056"/>
      <c r="AHW152" s="1056"/>
      <c r="AHX152" s="1056"/>
      <c r="AHY152" s="1056"/>
      <c r="AHZ152" s="1056"/>
      <c r="AIA152" s="1056"/>
      <c r="AIB152" s="1056"/>
      <c r="AIC152" s="1056"/>
      <c r="AID152" s="1056"/>
      <c r="AIE152" s="1056"/>
      <c r="AIF152" s="1056"/>
      <c r="AIG152" s="1056"/>
      <c r="AIH152" s="1056"/>
      <c r="AII152" s="1056"/>
      <c r="AIJ152" s="1056"/>
      <c r="AIK152" s="1056"/>
      <c r="AIL152" s="1056"/>
      <c r="AIM152" s="1056"/>
      <c r="AIN152" s="1056"/>
      <c r="AIO152" s="1056"/>
      <c r="AIP152" s="1056"/>
      <c r="AIQ152" s="1056"/>
      <c r="AIR152" s="1056"/>
      <c r="AIS152" s="1056"/>
      <c r="AIT152" s="1056"/>
      <c r="AIU152" s="1056"/>
      <c r="AIV152" s="1056"/>
      <c r="AIW152" s="1056"/>
      <c r="AIX152" s="1056"/>
      <c r="AIY152" s="1056"/>
      <c r="AIZ152" s="1056"/>
      <c r="AJA152" s="1056"/>
      <c r="AJB152" s="1056"/>
      <c r="AJC152" s="1056"/>
      <c r="AJD152" s="1056"/>
      <c r="AJE152" s="1056"/>
      <c r="AJF152" s="1056"/>
      <c r="AJG152" s="1056"/>
      <c r="AJH152" s="1056"/>
      <c r="AJI152" s="1056"/>
      <c r="AJJ152" s="1056"/>
      <c r="AJK152" s="1056"/>
      <c r="AJL152" s="1056"/>
      <c r="AJM152" s="1056"/>
      <c r="AJN152" s="1056"/>
      <c r="AJO152" s="1056"/>
      <c r="AJP152" s="1056"/>
      <c r="AJQ152" s="1056"/>
      <c r="AJR152" s="1056"/>
      <c r="AJS152" s="1056"/>
      <c r="AJT152" s="1056"/>
      <c r="AJU152" s="1056"/>
      <c r="AJV152" s="1056"/>
      <c r="AJW152" s="1056"/>
      <c r="AJX152" s="1056"/>
      <c r="AJY152" s="1056"/>
      <c r="AJZ152" s="1056"/>
      <c r="AKA152" s="1056"/>
      <c r="AKB152" s="1056"/>
      <c r="AKC152" s="1056"/>
      <c r="AKD152" s="1056"/>
      <c r="AKE152" s="1056"/>
      <c r="AKF152" s="1056"/>
      <c r="AKG152" s="1056"/>
      <c r="AKH152" s="1056"/>
      <c r="AKI152" s="1056"/>
      <c r="AKJ152" s="1056"/>
      <c r="AKK152" s="1056"/>
      <c r="AKL152" s="1056"/>
      <c r="AKM152" s="1056"/>
      <c r="AKN152" s="1056"/>
      <c r="AKO152" s="1056"/>
      <c r="AKP152" s="1056"/>
      <c r="AKQ152" s="1056"/>
      <c r="AKR152" s="1056"/>
      <c r="AKS152" s="1056"/>
      <c r="AKT152" s="1056"/>
      <c r="AKU152" s="1056"/>
      <c r="AKV152" s="1056"/>
      <c r="AKW152" s="1056"/>
      <c r="AKX152" s="1056"/>
      <c r="AKY152" s="1056"/>
      <c r="AKZ152" s="1056"/>
      <c r="ALA152" s="1056"/>
      <c r="ALB152" s="1056"/>
      <c r="ALC152" s="1056"/>
      <c r="ALD152" s="1056"/>
      <c r="ALE152" s="1056"/>
      <c r="ALF152" s="1056"/>
      <c r="ALG152" s="1056"/>
      <c r="ALH152" s="1056"/>
      <c r="ALI152" s="1056"/>
      <c r="ALJ152" s="1056"/>
      <c r="ALK152" s="1056"/>
      <c r="ALL152" s="1056"/>
      <c r="ALM152" s="1056"/>
      <c r="ALN152" s="1056"/>
      <c r="ALO152" s="1056"/>
      <c r="ALP152" s="1056"/>
      <c r="ALQ152" s="1056"/>
      <c r="ALR152" s="1056"/>
      <c r="ALS152" s="1056"/>
      <c r="ALT152" s="1056"/>
      <c r="ALU152" s="1056"/>
      <c r="ALV152" s="1056"/>
      <c r="ALW152" s="1056"/>
      <c r="ALX152" s="1056"/>
      <c r="ALY152" s="1056"/>
      <c r="ALZ152" s="1056"/>
      <c r="AMA152" s="1056"/>
      <c r="AMB152" s="1056"/>
      <c r="AMC152" s="1056"/>
      <c r="AMD152" s="1056"/>
      <c r="AME152" s="1056"/>
      <c r="AMF152" s="1056"/>
      <c r="AMG152" s="1056"/>
      <c r="AMH152" s="1056"/>
      <c r="AMI152" s="1056"/>
      <c r="AMJ152" s="1056"/>
      <c r="AMK152" s="1056"/>
      <c r="AML152" s="1056"/>
      <c r="AMM152" s="1056"/>
      <c r="AMN152" s="1056"/>
      <c r="AMO152" s="1056"/>
      <c r="AMP152" s="1056"/>
      <c r="AMQ152" s="1056"/>
      <c r="AMR152" s="1056"/>
      <c r="AMS152" s="1056"/>
      <c r="AMT152" s="1056"/>
      <c r="AMU152" s="1056"/>
      <c r="AMV152" s="1056"/>
      <c r="AMW152" s="1056"/>
      <c r="AMX152" s="1056"/>
      <c r="AMY152" s="1056"/>
      <c r="AMZ152" s="1056"/>
      <c r="ANA152" s="1056"/>
      <c r="ANB152" s="1056"/>
      <c r="ANC152" s="1056"/>
      <c r="AND152" s="1056"/>
      <c r="ANE152" s="1056"/>
      <c r="ANF152" s="1056"/>
      <c r="ANG152" s="1056"/>
      <c r="ANH152" s="1056"/>
      <c r="ANI152" s="1056"/>
      <c r="ANJ152" s="1056"/>
      <c r="ANK152" s="1056"/>
      <c r="ANL152" s="1056"/>
      <c r="ANM152" s="1056"/>
      <c r="ANN152" s="1056"/>
      <c r="ANO152" s="1056"/>
      <c r="ANP152" s="1056"/>
      <c r="ANQ152" s="1056"/>
      <c r="ANR152" s="1056"/>
      <c r="ANS152" s="1056"/>
      <c r="ANT152" s="1056"/>
      <c r="ANU152" s="1056"/>
      <c r="ANV152" s="1056"/>
      <c r="ANW152" s="1056"/>
      <c r="ANX152" s="1056"/>
      <c r="ANY152" s="1056"/>
      <c r="ANZ152" s="1056"/>
      <c r="AOA152" s="1056"/>
      <c r="AOB152" s="1056"/>
      <c r="AOC152" s="1056"/>
      <c r="AOD152" s="1056"/>
      <c r="AOE152" s="1056"/>
      <c r="AOF152" s="1056"/>
      <c r="AOG152" s="1056"/>
      <c r="AOH152" s="1056"/>
      <c r="AOI152" s="1056"/>
      <c r="AOJ152" s="1056"/>
      <c r="AOK152" s="1056"/>
      <c r="AOL152" s="1056"/>
      <c r="AOM152" s="1056"/>
      <c r="AON152" s="1056"/>
      <c r="AOO152" s="1056"/>
      <c r="AOP152" s="1056"/>
      <c r="AOQ152" s="1056"/>
      <c r="AOR152" s="1056"/>
      <c r="AOS152" s="1056"/>
      <c r="AOT152" s="1056"/>
      <c r="AOU152" s="1056"/>
      <c r="AOV152" s="1056"/>
      <c r="AOW152" s="1056"/>
      <c r="AOX152" s="1056"/>
      <c r="AOY152" s="1056"/>
      <c r="AOZ152" s="1056"/>
      <c r="APA152" s="1056"/>
      <c r="APB152" s="1056"/>
      <c r="APC152" s="1056"/>
      <c r="APD152" s="1056"/>
      <c r="APE152" s="1056"/>
      <c r="APF152" s="1056"/>
      <c r="APG152" s="1056"/>
      <c r="APH152" s="1056"/>
      <c r="API152" s="1056"/>
      <c r="APJ152" s="1056"/>
      <c r="APK152" s="1056"/>
      <c r="APL152" s="1056"/>
      <c r="APM152" s="1056"/>
      <c r="APN152" s="1056"/>
      <c r="APO152" s="1056"/>
      <c r="APP152" s="1056"/>
      <c r="APQ152" s="1056"/>
      <c r="APR152" s="1056"/>
      <c r="APS152" s="1056"/>
      <c r="APT152" s="1056"/>
      <c r="APU152" s="1056"/>
      <c r="APV152" s="1056"/>
      <c r="APW152" s="1056"/>
      <c r="APX152" s="1056"/>
      <c r="APY152" s="1056"/>
      <c r="APZ152" s="1056"/>
      <c r="AQA152" s="1056"/>
      <c r="AQB152" s="1056"/>
      <c r="AQC152" s="1056"/>
      <c r="AQD152" s="1056"/>
      <c r="AQE152" s="1056"/>
      <c r="AQF152" s="1056"/>
      <c r="AQG152" s="1056"/>
      <c r="AQH152" s="1056"/>
      <c r="AQI152" s="1056"/>
      <c r="AQJ152" s="1056"/>
      <c r="AQK152" s="1056"/>
      <c r="AQL152" s="1056"/>
      <c r="AQM152" s="1056"/>
      <c r="AQN152" s="1056"/>
      <c r="AQO152" s="1056"/>
      <c r="AQP152" s="1056"/>
      <c r="AQQ152" s="1056"/>
      <c r="AQR152" s="1056"/>
      <c r="AQS152" s="1056"/>
      <c r="AQT152" s="1056"/>
      <c r="AQU152" s="1056"/>
      <c r="AQV152" s="1056"/>
      <c r="AQW152" s="1056"/>
      <c r="AQX152" s="1056"/>
      <c r="AQY152" s="1056"/>
      <c r="AQZ152" s="1056"/>
      <c r="ARA152" s="1056"/>
      <c r="ARB152" s="1056"/>
      <c r="ARC152" s="1056"/>
      <c r="ARD152" s="1056"/>
      <c r="ARE152" s="1056"/>
      <c r="ARF152" s="1056"/>
      <c r="ARG152" s="1056"/>
      <c r="ARH152" s="1056"/>
      <c r="ARI152" s="1056"/>
      <c r="ARJ152" s="1056"/>
      <c r="ARK152" s="1056"/>
      <c r="ARL152" s="1056"/>
      <c r="ARM152" s="1056"/>
      <c r="ARN152" s="1056"/>
      <c r="ARO152" s="1056"/>
      <c r="ARP152" s="1056"/>
      <c r="ARQ152" s="1056"/>
      <c r="ARR152" s="1056"/>
      <c r="ARS152" s="1056"/>
      <c r="ART152" s="1056"/>
      <c r="ARU152" s="1056"/>
      <c r="ARV152" s="1056"/>
      <c r="ARW152" s="1056"/>
      <c r="ARX152" s="1056"/>
      <c r="ARY152" s="1056"/>
      <c r="ARZ152" s="1056"/>
      <c r="ASA152" s="1056"/>
      <c r="ASB152" s="1056"/>
      <c r="ASC152" s="1056"/>
      <c r="ASD152" s="1056"/>
      <c r="ASE152" s="1056"/>
      <c r="ASF152" s="1056"/>
      <c r="ASG152" s="1056"/>
      <c r="ASH152" s="1056"/>
      <c r="ASI152" s="1056"/>
      <c r="ASJ152" s="1056"/>
      <c r="ASK152" s="1056"/>
      <c r="ASL152" s="1056"/>
      <c r="ASM152" s="1056"/>
      <c r="ASN152" s="1056"/>
      <c r="ASO152" s="1056"/>
      <c r="ASP152" s="1056"/>
      <c r="ASQ152" s="1056"/>
      <c r="ASR152" s="1056"/>
      <c r="ASS152" s="1056"/>
      <c r="AST152" s="1056"/>
      <c r="ASU152" s="1056"/>
      <c r="ASV152" s="1056"/>
      <c r="ASW152" s="1056"/>
      <c r="ASX152" s="1056"/>
      <c r="ASY152" s="1056"/>
      <c r="ASZ152" s="1056"/>
      <c r="ATA152" s="1056"/>
      <c r="ATB152" s="1056"/>
      <c r="ATC152" s="1056"/>
      <c r="ATD152" s="1056"/>
      <c r="ATE152" s="1056"/>
      <c r="ATF152" s="1056"/>
      <c r="ATG152" s="1056"/>
      <c r="ATH152" s="1056"/>
      <c r="ATI152" s="1056"/>
      <c r="ATJ152" s="1056"/>
      <c r="ATK152" s="1056"/>
      <c r="ATL152" s="1056"/>
      <c r="ATM152" s="1056"/>
      <c r="ATN152" s="1056"/>
      <c r="ATO152" s="1056"/>
      <c r="ATP152" s="1056"/>
      <c r="ATQ152" s="1056"/>
      <c r="ATR152" s="1056"/>
      <c r="ATS152" s="1056"/>
      <c r="ATT152" s="1056"/>
      <c r="ATU152" s="1056"/>
      <c r="ATV152" s="1056"/>
      <c r="ATW152" s="1056"/>
      <c r="ATX152" s="1056"/>
      <c r="ATY152" s="1056"/>
      <c r="ATZ152" s="1056"/>
      <c r="AUA152" s="1056"/>
      <c r="AUB152" s="1056"/>
      <c r="AUC152" s="1056"/>
      <c r="AUD152" s="1056"/>
      <c r="AUE152" s="1056"/>
      <c r="AUF152" s="1056"/>
      <c r="AUG152" s="1056"/>
      <c r="AUH152" s="1056"/>
      <c r="AUI152" s="1056"/>
      <c r="AUJ152" s="1056"/>
      <c r="AUK152" s="1056"/>
      <c r="AUL152" s="1056"/>
      <c r="AUM152" s="1056"/>
      <c r="AUN152" s="1056"/>
      <c r="AUO152" s="1056"/>
      <c r="AUP152" s="1056"/>
      <c r="AUQ152" s="1056"/>
      <c r="AUR152" s="1056"/>
      <c r="AUS152" s="1056"/>
      <c r="AUT152" s="1056"/>
      <c r="AUU152" s="1056"/>
      <c r="AUV152" s="1056"/>
      <c r="AUW152" s="1056"/>
      <c r="AUX152" s="1056"/>
      <c r="AUY152" s="1056"/>
      <c r="AUZ152" s="1056"/>
      <c r="AVA152" s="1056"/>
      <c r="AVB152" s="1056"/>
      <c r="AVC152" s="1056"/>
      <c r="AVD152" s="1056"/>
      <c r="AVE152" s="1056"/>
      <c r="AVF152" s="1056"/>
      <c r="AVG152" s="1056"/>
      <c r="AVH152" s="1056"/>
      <c r="AVI152" s="1056"/>
      <c r="AVJ152" s="1056"/>
      <c r="AVK152" s="1056"/>
      <c r="AVL152" s="1056"/>
      <c r="AVM152" s="1056"/>
      <c r="AVN152" s="1056"/>
      <c r="AVO152" s="1056"/>
      <c r="AVP152" s="1056"/>
      <c r="AVQ152" s="1056"/>
      <c r="AVR152" s="1056"/>
      <c r="AVS152" s="1056"/>
      <c r="AVT152" s="1056"/>
      <c r="AVU152" s="1056"/>
      <c r="AVV152" s="1056"/>
      <c r="AVW152" s="1056"/>
      <c r="AVX152" s="1056"/>
      <c r="AVY152" s="1056"/>
      <c r="AVZ152" s="1056"/>
      <c r="AWA152" s="1056"/>
      <c r="AWB152" s="1056"/>
      <c r="AWC152" s="1056"/>
      <c r="AWD152" s="1056"/>
      <c r="AWE152" s="1056"/>
      <c r="AWF152" s="1056"/>
      <c r="AWG152" s="1056"/>
      <c r="AWH152" s="1056"/>
      <c r="AWI152" s="1056"/>
      <c r="AWJ152" s="1056"/>
      <c r="AWK152" s="1056"/>
      <c r="AWL152" s="1056"/>
      <c r="AWM152" s="1056"/>
      <c r="AWN152" s="1056"/>
      <c r="AWO152" s="1056"/>
      <c r="AWP152" s="1056"/>
      <c r="AWQ152" s="1056"/>
      <c r="AWR152" s="1056"/>
      <c r="AWS152" s="1056"/>
      <c r="AWT152" s="1056"/>
      <c r="AWU152" s="1056"/>
      <c r="AWV152" s="1056"/>
      <c r="AWW152" s="1056"/>
      <c r="AWX152" s="1056"/>
      <c r="AWY152" s="1056"/>
      <c r="AWZ152" s="1056"/>
      <c r="AXA152" s="1056"/>
      <c r="AXB152" s="1056"/>
      <c r="AXC152" s="1056"/>
      <c r="AXD152" s="1056"/>
      <c r="AXE152" s="1056"/>
      <c r="AXF152" s="1056"/>
      <c r="AXG152" s="1056"/>
      <c r="AXH152" s="1056"/>
      <c r="AXI152" s="1056"/>
      <c r="AXJ152" s="1056"/>
      <c r="AXK152" s="1056"/>
      <c r="AXL152" s="1056"/>
      <c r="AXM152" s="1056"/>
      <c r="AXN152" s="1056"/>
      <c r="AXO152" s="1056"/>
      <c r="AXP152" s="1056"/>
      <c r="AXQ152" s="1056"/>
      <c r="AXR152" s="1056"/>
      <c r="AXS152" s="1056"/>
      <c r="AXT152" s="1056"/>
      <c r="AXU152" s="1056"/>
      <c r="AXV152" s="1056"/>
      <c r="AXW152" s="1056"/>
      <c r="AXX152" s="1056"/>
      <c r="AXY152" s="1056"/>
      <c r="AXZ152" s="1056"/>
      <c r="AYA152" s="1056"/>
      <c r="AYB152" s="1056"/>
      <c r="AYC152" s="1056"/>
      <c r="AYD152" s="1056"/>
      <c r="AYE152" s="1056"/>
      <c r="AYF152" s="1056"/>
      <c r="AYG152" s="1056"/>
      <c r="AYH152" s="1056"/>
      <c r="AYI152" s="1056"/>
      <c r="AYJ152" s="1056"/>
      <c r="AYK152" s="1056"/>
      <c r="AYL152" s="1056"/>
      <c r="AYM152" s="1056"/>
      <c r="AYN152" s="1056"/>
      <c r="AYO152" s="1056"/>
      <c r="AYP152" s="1056"/>
      <c r="AYQ152" s="1056"/>
      <c r="AYR152" s="1056"/>
      <c r="AYS152" s="1056"/>
      <c r="AYT152" s="1056"/>
      <c r="AYU152" s="1056"/>
      <c r="AYV152" s="1056"/>
      <c r="AYW152" s="1056"/>
      <c r="AYX152" s="1056"/>
      <c r="AYY152" s="1056"/>
      <c r="AYZ152" s="1056"/>
      <c r="AZA152" s="1056"/>
      <c r="AZB152" s="1056"/>
      <c r="AZC152" s="1056"/>
      <c r="AZD152" s="1056"/>
      <c r="AZE152" s="1056"/>
      <c r="AZF152" s="1056"/>
      <c r="AZG152" s="1056"/>
      <c r="AZH152" s="1056"/>
      <c r="AZI152" s="1056"/>
      <c r="AZJ152" s="1056"/>
      <c r="AZK152" s="1056"/>
      <c r="AZL152" s="1056"/>
      <c r="AZM152" s="1056"/>
      <c r="AZN152" s="1056"/>
      <c r="AZO152" s="1056"/>
      <c r="AZP152" s="1056"/>
      <c r="AZQ152" s="1056"/>
      <c r="AZR152" s="1056"/>
      <c r="AZS152" s="1056"/>
      <c r="AZT152" s="1056"/>
      <c r="AZU152" s="1056"/>
      <c r="AZV152" s="1056"/>
      <c r="AZW152" s="1056"/>
      <c r="AZX152" s="1056"/>
      <c r="AZY152" s="1056"/>
      <c r="AZZ152" s="1056"/>
      <c r="BAA152" s="1056"/>
      <c r="BAB152" s="1056"/>
      <c r="BAC152" s="1056"/>
      <c r="BAD152" s="1056"/>
      <c r="BAE152" s="1056"/>
      <c r="BAF152" s="1056"/>
      <c r="BAG152" s="1056"/>
      <c r="BAH152" s="1056"/>
      <c r="BAI152" s="1056"/>
      <c r="BAJ152" s="1056"/>
      <c r="BAK152" s="1056"/>
      <c r="BAL152" s="1056"/>
      <c r="BAM152" s="1056"/>
      <c r="BAN152" s="1056"/>
      <c r="BAO152" s="1056"/>
      <c r="BAP152" s="1056"/>
      <c r="BAQ152" s="1056"/>
      <c r="BAR152" s="1056"/>
      <c r="BAS152" s="1056"/>
      <c r="BAT152" s="1056"/>
      <c r="BAU152" s="1056"/>
      <c r="BAV152" s="1056"/>
      <c r="BAW152" s="1056"/>
      <c r="BAX152" s="1056"/>
      <c r="BAY152" s="1056"/>
      <c r="BAZ152" s="1056"/>
      <c r="BBA152" s="1056"/>
      <c r="BBB152" s="1056"/>
      <c r="BBC152" s="1056"/>
      <c r="BBD152" s="1056"/>
      <c r="BBE152" s="1056"/>
      <c r="BBF152" s="1056"/>
      <c r="BBG152" s="1056"/>
      <c r="BBH152" s="1056"/>
      <c r="BBI152" s="1056"/>
      <c r="BBJ152" s="1056"/>
      <c r="BBK152" s="1056"/>
      <c r="BBL152" s="1056"/>
      <c r="BBM152" s="1056"/>
      <c r="BBN152" s="1056"/>
      <c r="BBO152" s="1056"/>
      <c r="BBP152" s="1056"/>
      <c r="BBQ152" s="1056"/>
      <c r="BBR152" s="1056"/>
      <c r="BBS152" s="1056"/>
      <c r="BBT152" s="1056"/>
      <c r="BBU152" s="1056"/>
      <c r="BBV152" s="1056"/>
      <c r="BBW152" s="1056"/>
      <c r="BBX152" s="1056"/>
      <c r="BBY152" s="1056"/>
      <c r="BBZ152" s="1056"/>
      <c r="BCA152" s="1056"/>
      <c r="BCB152" s="1056"/>
      <c r="BCC152" s="1056"/>
      <c r="BCD152" s="1056"/>
      <c r="BCE152" s="1056"/>
      <c r="BCF152" s="1056"/>
      <c r="BCG152" s="1056"/>
      <c r="BCH152" s="1056"/>
      <c r="BCI152" s="1056"/>
      <c r="BCJ152" s="1056"/>
      <c r="BCK152" s="1056"/>
      <c r="BCL152" s="1056"/>
      <c r="BCM152" s="1056"/>
      <c r="BCN152" s="1056"/>
      <c r="BCO152" s="1056"/>
      <c r="BCP152" s="1056"/>
      <c r="BCQ152" s="1056"/>
      <c r="BCR152" s="1056"/>
      <c r="BCS152" s="1056"/>
      <c r="BCT152" s="1056"/>
      <c r="BCU152" s="1056"/>
      <c r="BCV152" s="1056"/>
      <c r="BCW152" s="1056"/>
      <c r="BCX152" s="1056"/>
      <c r="BCY152" s="1056"/>
      <c r="BCZ152" s="1056"/>
      <c r="BDA152" s="1056"/>
      <c r="BDB152" s="1056"/>
      <c r="BDC152" s="1056"/>
      <c r="BDD152" s="1056"/>
      <c r="BDE152" s="1056"/>
      <c r="BDF152" s="1056"/>
      <c r="BDG152" s="1056"/>
      <c r="BDH152" s="1056"/>
      <c r="BDI152" s="1056"/>
      <c r="BDJ152" s="1056"/>
      <c r="BDK152" s="1056"/>
      <c r="BDL152" s="1056"/>
      <c r="BDM152" s="1056"/>
      <c r="BDN152" s="1056"/>
      <c r="BDO152" s="1056"/>
      <c r="BDP152" s="1056"/>
      <c r="BDQ152" s="1056"/>
      <c r="BDR152" s="1056"/>
      <c r="BDS152" s="1056"/>
      <c r="BDT152" s="1056"/>
      <c r="BDU152" s="1056"/>
      <c r="BDV152" s="1056"/>
      <c r="BDW152" s="1056"/>
      <c r="BDX152" s="1056"/>
      <c r="BDY152" s="1056"/>
      <c r="BDZ152" s="1056"/>
      <c r="BEA152" s="1056"/>
      <c r="BEB152" s="1056"/>
      <c r="BEC152" s="1056"/>
      <c r="BED152" s="1056"/>
      <c r="BEE152" s="1056"/>
      <c r="BEF152" s="1056"/>
      <c r="BEG152" s="1056"/>
      <c r="BEH152" s="1056"/>
      <c r="BEI152" s="1056"/>
      <c r="BEJ152" s="1056"/>
      <c r="BEK152" s="1056"/>
      <c r="BEL152" s="1056"/>
      <c r="BEM152" s="1056"/>
      <c r="BEN152" s="1056"/>
      <c r="BEO152" s="1056"/>
      <c r="BEP152" s="1056"/>
      <c r="BEQ152" s="1056"/>
      <c r="BER152" s="1056"/>
      <c r="BES152" s="1056"/>
      <c r="BET152" s="1056"/>
      <c r="BEU152" s="1056"/>
      <c r="BEV152" s="1056"/>
      <c r="BEW152" s="1056"/>
      <c r="BEX152" s="1056"/>
      <c r="BEY152" s="1056"/>
      <c r="BEZ152" s="1056"/>
      <c r="BFA152" s="1056"/>
      <c r="BFB152" s="1056"/>
      <c r="BFC152" s="1056"/>
      <c r="BFD152" s="1056"/>
      <c r="BFE152" s="1056"/>
      <c r="BFF152" s="1056"/>
      <c r="BFG152" s="1056"/>
      <c r="BFH152" s="1056"/>
      <c r="BFI152" s="1056"/>
      <c r="BFJ152" s="1056"/>
      <c r="BFK152" s="1056"/>
      <c r="BFL152" s="1056"/>
      <c r="BFM152" s="1056"/>
      <c r="BFN152" s="1056"/>
      <c r="BFO152" s="1056"/>
      <c r="BFP152" s="1056"/>
      <c r="BFQ152" s="1056"/>
      <c r="BFR152" s="1056"/>
      <c r="BFS152" s="1056"/>
      <c r="BFT152" s="1056"/>
      <c r="BFU152" s="1056"/>
      <c r="BFV152" s="1056"/>
      <c r="BFW152" s="1056"/>
      <c r="BFX152" s="1056"/>
      <c r="BFY152" s="1056"/>
      <c r="BFZ152" s="1056"/>
      <c r="BGA152" s="1056"/>
      <c r="BGB152" s="1056"/>
      <c r="BGC152" s="1056"/>
      <c r="BGD152" s="1056"/>
      <c r="BGE152" s="1056"/>
      <c r="BGF152" s="1056"/>
      <c r="BGG152" s="1056"/>
      <c r="BGH152" s="1056"/>
      <c r="BGI152" s="1056"/>
      <c r="BGJ152" s="1056"/>
      <c r="BGK152" s="1056"/>
      <c r="BGL152" s="1056"/>
      <c r="BGM152" s="1056"/>
      <c r="BGN152" s="1056"/>
      <c r="BGO152" s="1056"/>
      <c r="BGP152" s="1056"/>
      <c r="BGQ152" s="1056"/>
      <c r="BGR152" s="1056"/>
      <c r="BGS152" s="1056"/>
      <c r="BGT152" s="1056"/>
      <c r="BGU152" s="1056"/>
      <c r="BGV152" s="1056"/>
      <c r="BGW152" s="1056"/>
      <c r="BGX152" s="1056"/>
      <c r="BGY152" s="1056"/>
      <c r="BGZ152" s="1056"/>
      <c r="BHA152" s="1056"/>
      <c r="BHB152" s="1056"/>
      <c r="BHC152" s="1056"/>
      <c r="BHD152" s="1056"/>
      <c r="BHE152" s="1056"/>
      <c r="BHF152" s="1056"/>
      <c r="BHG152" s="1056"/>
      <c r="BHH152" s="1056"/>
      <c r="BHI152" s="1056"/>
      <c r="BHJ152" s="1056"/>
      <c r="BHK152" s="1056"/>
      <c r="BHL152" s="1056"/>
      <c r="BHM152" s="1056"/>
      <c r="BHN152" s="1056"/>
      <c r="BHO152" s="1056"/>
      <c r="BHP152" s="1056"/>
      <c r="BHQ152" s="1056"/>
      <c r="BHR152" s="1056"/>
      <c r="BHS152" s="1056"/>
      <c r="BHT152" s="1056"/>
      <c r="BHU152" s="1056"/>
      <c r="BHV152" s="1056"/>
      <c r="BHW152" s="1056"/>
      <c r="BHX152" s="1056"/>
      <c r="BHY152" s="1056"/>
      <c r="BHZ152" s="1056"/>
      <c r="BIA152" s="1056"/>
      <c r="BIB152" s="1056"/>
      <c r="BIC152" s="1056"/>
      <c r="BID152" s="1056"/>
      <c r="BIE152" s="1056"/>
      <c r="BIF152" s="1056"/>
      <c r="BIG152" s="1056"/>
      <c r="BIH152" s="1056"/>
      <c r="BII152" s="1056"/>
      <c r="BIJ152" s="1056"/>
      <c r="BIK152" s="1056"/>
      <c r="BIL152" s="1056"/>
      <c r="BIM152" s="1056"/>
      <c r="BIN152" s="1056"/>
      <c r="BIO152" s="1056"/>
      <c r="BIP152" s="1056"/>
      <c r="BIQ152" s="1056"/>
      <c r="BIR152" s="1056"/>
      <c r="BIS152" s="1056"/>
      <c r="BIT152" s="1056"/>
      <c r="BIU152" s="1056"/>
      <c r="BIV152" s="1056"/>
      <c r="BIW152" s="1056"/>
      <c r="BIX152" s="1056"/>
      <c r="BIY152" s="1056"/>
      <c r="BIZ152" s="1056"/>
      <c r="BJA152" s="1056"/>
      <c r="BJB152" s="1056"/>
      <c r="BJC152" s="1056"/>
      <c r="BJD152" s="1056"/>
      <c r="BJE152" s="1056"/>
      <c r="BJF152" s="1056"/>
      <c r="BJG152" s="1056"/>
      <c r="BJH152" s="1056"/>
      <c r="BJI152" s="1056"/>
      <c r="BJJ152" s="1056"/>
      <c r="BJK152" s="1056"/>
      <c r="BJL152" s="1056"/>
      <c r="BJM152" s="1056"/>
      <c r="BJN152" s="1056"/>
      <c r="BJO152" s="1056"/>
      <c r="BJP152" s="1056"/>
      <c r="BJQ152" s="1056"/>
      <c r="BJR152" s="1056"/>
      <c r="BJS152" s="1056"/>
      <c r="BJT152" s="1056"/>
      <c r="BJU152" s="1056"/>
      <c r="BJV152" s="1056"/>
      <c r="BJW152" s="1056"/>
      <c r="BJX152" s="1056"/>
      <c r="BJY152" s="1056"/>
      <c r="BJZ152" s="1056"/>
      <c r="BKA152" s="1056"/>
      <c r="BKB152" s="1056"/>
      <c r="BKC152" s="1056"/>
      <c r="BKD152" s="1056"/>
      <c r="BKE152" s="1056"/>
      <c r="BKF152" s="1056"/>
      <c r="BKG152" s="1056"/>
      <c r="BKH152" s="1056"/>
      <c r="BKI152" s="1056"/>
      <c r="BKJ152" s="1056"/>
      <c r="BKK152" s="1056"/>
      <c r="BKL152" s="1056"/>
      <c r="BKM152" s="1056"/>
      <c r="BKN152" s="1056"/>
      <c r="BKO152" s="1056"/>
      <c r="BKP152" s="1056"/>
      <c r="BKQ152" s="1056"/>
      <c r="BKR152" s="1056"/>
      <c r="BKS152" s="1056"/>
      <c r="BKT152" s="1056"/>
      <c r="BKU152" s="1056"/>
      <c r="BKV152" s="1056"/>
      <c r="BKW152" s="1056"/>
      <c r="BKX152" s="1056"/>
      <c r="BKY152" s="1056"/>
      <c r="BKZ152" s="1056"/>
      <c r="BLA152" s="1056"/>
      <c r="BLB152" s="1056"/>
      <c r="BLC152" s="1056"/>
      <c r="BLD152" s="1056"/>
      <c r="BLE152" s="1056"/>
      <c r="BLF152" s="1056"/>
      <c r="BLG152" s="1056"/>
      <c r="BLH152" s="1056"/>
      <c r="BLI152" s="1056"/>
      <c r="BLJ152" s="1056"/>
      <c r="BLK152" s="1056"/>
      <c r="BLL152" s="1056"/>
      <c r="BLM152" s="1056"/>
      <c r="BLN152" s="1056"/>
      <c r="BLO152" s="1056"/>
      <c r="BLP152" s="1056"/>
      <c r="BLQ152" s="1056"/>
      <c r="BLR152" s="1056"/>
      <c r="BLS152" s="1056"/>
      <c r="BLT152" s="1056"/>
      <c r="BLU152" s="1056"/>
      <c r="BLV152" s="1056"/>
      <c r="BLW152" s="1056"/>
      <c r="BLX152" s="1056"/>
      <c r="BLY152" s="1056"/>
      <c r="BLZ152" s="1056"/>
      <c r="BMA152" s="1056"/>
      <c r="BMB152" s="1056"/>
      <c r="BMC152" s="1056"/>
      <c r="BMD152" s="1056"/>
      <c r="BME152" s="1056"/>
      <c r="BMF152" s="1056"/>
      <c r="BMG152" s="1056"/>
      <c r="BMH152" s="1056"/>
      <c r="BMI152" s="1056"/>
      <c r="BMJ152" s="1056"/>
      <c r="BMK152" s="1056"/>
      <c r="BML152" s="1056"/>
      <c r="BMM152" s="1056"/>
      <c r="BMN152" s="1056"/>
      <c r="BMO152" s="1056"/>
      <c r="BMP152" s="1056"/>
      <c r="BMQ152" s="1056"/>
      <c r="BMR152" s="1056"/>
      <c r="BMS152" s="1056"/>
      <c r="BMT152" s="1056"/>
      <c r="BMU152" s="1056"/>
      <c r="BMV152" s="1056"/>
      <c r="BMW152" s="1056"/>
      <c r="BMX152" s="1056"/>
      <c r="BMY152" s="1056"/>
      <c r="BMZ152" s="1056"/>
      <c r="BNA152" s="1056"/>
      <c r="BNB152" s="1056"/>
      <c r="BNC152" s="1056"/>
      <c r="BND152" s="1056"/>
      <c r="BNE152" s="1056"/>
      <c r="BNF152" s="1056"/>
      <c r="BNG152" s="1056"/>
      <c r="BNH152" s="1056"/>
      <c r="BNI152" s="1056"/>
      <c r="BNJ152" s="1056"/>
      <c r="BNK152" s="1056"/>
      <c r="BNL152" s="1056"/>
      <c r="BNM152" s="1056"/>
      <c r="BNN152" s="1056"/>
      <c r="BNO152" s="1056"/>
      <c r="BNP152" s="1056"/>
      <c r="BNQ152" s="1056"/>
      <c r="BNR152" s="1056"/>
      <c r="BNS152" s="1056"/>
      <c r="BNT152" s="1056"/>
      <c r="BNU152" s="1056"/>
      <c r="BNV152" s="1056"/>
      <c r="BNW152" s="1056"/>
      <c r="BNX152" s="1056"/>
      <c r="BNY152" s="1056"/>
      <c r="BNZ152" s="1056"/>
      <c r="BOA152" s="1056"/>
      <c r="BOB152" s="1056"/>
      <c r="BOC152" s="1056"/>
      <c r="BOD152" s="1056"/>
      <c r="BOE152" s="1056"/>
      <c r="BOF152" s="1056"/>
      <c r="BOG152" s="1056"/>
      <c r="BOH152" s="1056"/>
      <c r="BOI152" s="1056"/>
      <c r="BOJ152" s="1056"/>
      <c r="BOK152" s="1056"/>
      <c r="BOL152" s="1056"/>
      <c r="BOM152" s="1056"/>
      <c r="BON152" s="1056"/>
      <c r="BOO152" s="1056"/>
      <c r="BOP152" s="1056"/>
      <c r="BOQ152" s="1056"/>
      <c r="BOR152" s="1056"/>
      <c r="BOS152" s="1056"/>
      <c r="BOT152" s="1056"/>
      <c r="BOU152" s="1056"/>
      <c r="BOV152" s="1056"/>
      <c r="BOW152" s="1056"/>
      <c r="BOX152" s="1056"/>
      <c r="BOY152" s="1056"/>
      <c r="BOZ152" s="1056"/>
      <c r="BPA152" s="1056"/>
      <c r="BPB152" s="1056"/>
      <c r="BPC152" s="1056"/>
      <c r="BPD152" s="1056"/>
      <c r="BPE152" s="1056"/>
      <c r="BPF152" s="1056"/>
      <c r="BPG152" s="1056"/>
      <c r="BPH152" s="1056"/>
      <c r="BPI152" s="1056"/>
      <c r="BPJ152" s="1056"/>
      <c r="BPK152" s="1056"/>
      <c r="BPL152" s="1056"/>
      <c r="BPM152" s="1056"/>
      <c r="BPN152" s="1056"/>
      <c r="BPO152" s="1056"/>
      <c r="BPP152" s="1056"/>
      <c r="BPQ152" s="1056"/>
      <c r="BPR152" s="1056"/>
      <c r="BPS152" s="1056"/>
      <c r="BPT152" s="1056"/>
      <c r="BPU152" s="1056"/>
      <c r="BPV152" s="1056"/>
      <c r="BPW152" s="1056"/>
      <c r="BPX152" s="1056"/>
      <c r="BPY152" s="1056"/>
      <c r="BPZ152" s="1056"/>
      <c r="BQA152" s="1056"/>
      <c r="BQB152" s="1056"/>
      <c r="BQC152" s="1056"/>
      <c r="BQD152" s="1056"/>
      <c r="BQE152" s="1056"/>
      <c r="BQF152" s="1056"/>
      <c r="BQG152" s="1056"/>
      <c r="BQH152" s="1056"/>
      <c r="BQI152" s="1056"/>
      <c r="BQJ152" s="1056"/>
      <c r="BQK152" s="1056"/>
      <c r="BQL152" s="1056"/>
      <c r="BQM152" s="1056"/>
      <c r="BQN152" s="1056"/>
      <c r="BQO152" s="1056"/>
      <c r="BQP152" s="1056"/>
      <c r="BQQ152" s="1056"/>
      <c r="BQR152" s="1056"/>
      <c r="BQS152" s="1056"/>
      <c r="BQT152" s="1056"/>
      <c r="BQU152" s="1056"/>
      <c r="BQV152" s="1056"/>
      <c r="BQW152" s="1056"/>
      <c r="BQX152" s="1056"/>
      <c r="BQY152" s="1056"/>
      <c r="BQZ152" s="1056"/>
      <c r="BRA152" s="1056"/>
      <c r="BRB152" s="1056"/>
      <c r="BRC152" s="1056"/>
      <c r="BRD152" s="1056"/>
      <c r="BRE152" s="1056"/>
      <c r="BRF152" s="1056"/>
      <c r="BRG152" s="1056"/>
      <c r="BRH152" s="1056"/>
      <c r="BRI152" s="1056"/>
      <c r="BRJ152" s="1056"/>
      <c r="BRK152" s="1056"/>
      <c r="BRL152" s="1056"/>
      <c r="BRM152" s="1056"/>
      <c r="BRN152" s="1056"/>
      <c r="BRO152" s="1056"/>
      <c r="BRP152" s="1056"/>
      <c r="BRQ152" s="1056"/>
      <c r="BRR152" s="1056"/>
      <c r="BRS152" s="1056"/>
      <c r="BRT152" s="1056"/>
      <c r="BRU152" s="1056"/>
      <c r="BRV152" s="1056"/>
      <c r="BRW152" s="1056"/>
      <c r="BRX152" s="1056"/>
      <c r="BRY152" s="1056"/>
      <c r="BRZ152" s="1056"/>
      <c r="BSA152" s="1056"/>
      <c r="BSB152" s="1056"/>
      <c r="BSC152" s="1056"/>
      <c r="BSD152" s="1056"/>
      <c r="BSE152" s="1056"/>
      <c r="BSF152" s="1056"/>
      <c r="BSG152" s="1056"/>
      <c r="BSH152" s="1056"/>
      <c r="BSI152" s="1056"/>
      <c r="BSJ152" s="1056"/>
      <c r="BSK152" s="1056"/>
      <c r="BSL152" s="1056"/>
      <c r="BSM152" s="1056"/>
      <c r="BSN152" s="1056"/>
      <c r="BSO152" s="1056"/>
      <c r="BSP152" s="1056"/>
      <c r="BSQ152" s="1056"/>
      <c r="BSR152" s="1056"/>
      <c r="BSS152" s="1056"/>
      <c r="BST152" s="1056"/>
      <c r="BSU152" s="1056"/>
      <c r="BSV152" s="1056"/>
      <c r="BSW152" s="1056"/>
      <c r="BSX152" s="1056"/>
      <c r="BSY152" s="1056"/>
      <c r="BSZ152" s="1056"/>
      <c r="BTA152" s="1056"/>
      <c r="BTB152" s="1056"/>
      <c r="BTC152" s="1056"/>
      <c r="BTD152" s="1056"/>
      <c r="BTE152" s="1056"/>
      <c r="BTF152" s="1056"/>
      <c r="BTG152" s="1056"/>
      <c r="BTH152" s="1056"/>
      <c r="BTI152" s="1056"/>
    </row>
    <row r="153" spans="1:1881" s="1060" customFormat="1" ht="66.75" hidden="1" customHeight="1" x14ac:dyDescent="0.3">
      <c r="A153" s="1059">
        <v>581</v>
      </c>
      <c r="B153" s="735" t="s">
        <v>333</v>
      </c>
      <c r="C153" s="735" t="s">
        <v>1400</v>
      </c>
      <c r="D153" s="1082" t="s">
        <v>1403</v>
      </c>
      <c r="E153" s="1053" t="e">
        <f>HLOOKUP($D$2,'2020 Data(H)'!$C$1:$AI$426,231,FALSE)</f>
        <v>#N/A</v>
      </c>
      <c r="F153" s="287">
        <v>0</v>
      </c>
      <c r="G153" s="722"/>
      <c r="H153" s="764"/>
      <c r="I153" s="1055"/>
      <c r="J153" s="1056"/>
      <c r="K153" s="1056"/>
      <c r="L153" s="1056"/>
      <c r="M153" s="1056"/>
      <c r="N153" s="1058"/>
      <c r="O153" s="1056"/>
      <c r="P153" s="1056"/>
      <c r="Q153" s="1056"/>
      <c r="R153" s="1056"/>
      <c r="S153" s="1056"/>
      <c r="T153" s="1056"/>
      <c r="U153" s="1056"/>
      <c r="V153" s="1056"/>
      <c r="W153" s="1056"/>
      <c r="X153" s="1056"/>
      <c r="Y153" s="1056"/>
      <c r="Z153" s="1059"/>
      <c r="AA153" s="1059"/>
      <c r="AB153" s="1059"/>
      <c r="AC153" s="1059"/>
      <c r="AD153" s="1059"/>
      <c r="AE153" s="1059"/>
      <c r="AF153" s="1059"/>
      <c r="AG153" s="1059"/>
      <c r="AH153" s="1059"/>
      <c r="AI153" s="1059"/>
      <c r="AJ153" s="1059"/>
      <c r="AK153" s="1059"/>
      <c r="AL153" s="1059"/>
      <c r="AM153" s="1059"/>
      <c r="AN153" s="1059"/>
      <c r="AO153" s="1059"/>
      <c r="AP153" s="1059"/>
      <c r="AQ153" s="1059"/>
      <c r="AR153" s="1059"/>
      <c r="AS153" s="1056"/>
      <c r="AT153" s="1056"/>
      <c r="AU153" s="1056"/>
      <c r="AV153" s="1056"/>
      <c r="AW153" s="1056"/>
      <c r="AX153" s="1056"/>
      <c r="AY153" s="1056"/>
      <c r="AZ153" s="1056"/>
      <c r="BA153" s="1056"/>
      <c r="BB153" s="1056"/>
      <c r="BC153" s="1056"/>
      <c r="BD153" s="1056"/>
      <c r="BE153" s="1056"/>
      <c r="BF153" s="1056"/>
      <c r="BG153" s="1056"/>
      <c r="BH153" s="1056"/>
      <c r="BI153" s="1056"/>
      <c r="BJ153" s="1056"/>
      <c r="BK153" s="1056"/>
      <c r="BL153" s="1056"/>
      <c r="BM153" s="1056"/>
      <c r="BN153" s="1056"/>
      <c r="BO153" s="1056"/>
      <c r="BP153" s="1056"/>
      <c r="BQ153" s="1056"/>
      <c r="BR153" s="1056"/>
      <c r="BS153" s="1056"/>
      <c r="BT153" s="1056"/>
      <c r="BU153" s="1056"/>
      <c r="BV153" s="1056"/>
      <c r="BW153" s="1056"/>
      <c r="BX153" s="1056"/>
      <c r="BY153" s="1056"/>
      <c r="BZ153" s="1056"/>
      <c r="CA153" s="1056"/>
      <c r="CB153" s="1056"/>
      <c r="CC153" s="1056"/>
      <c r="CD153" s="1056"/>
      <c r="CE153" s="1056"/>
      <c r="CF153" s="1056"/>
      <c r="CG153" s="1056"/>
      <c r="CH153" s="1056"/>
      <c r="CI153" s="1056"/>
      <c r="CJ153" s="1056"/>
      <c r="CK153" s="1056"/>
      <c r="CL153" s="1056"/>
      <c r="CM153" s="1056"/>
      <c r="CN153" s="1056"/>
      <c r="CO153" s="1056"/>
      <c r="CP153" s="1056"/>
      <c r="CQ153" s="1056"/>
      <c r="CR153" s="1056"/>
      <c r="CS153" s="1056"/>
      <c r="CT153" s="1056"/>
      <c r="CU153" s="1056"/>
      <c r="CV153" s="1056"/>
      <c r="CW153" s="1056"/>
      <c r="CX153" s="1056"/>
      <c r="CY153" s="1056"/>
      <c r="CZ153" s="1056"/>
      <c r="DA153" s="1056"/>
      <c r="DB153" s="1056"/>
      <c r="DC153" s="1056"/>
      <c r="DD153" s="1056"/>
      <c r="DE153" s="1056"/>
      <c r="DF153" s="1056"/>
      <c r="DG153" s="1056"/>
      <c r="DH153" s="1056"/>
      <c r="DI153" s="1056"/>
      <c r="DJ153" s="1056"/>
      <c r="DK153" s="1056"/>
      <c r="DL153" s="1056"/>
      <c r="DM153" s="1056"/>
      <c r="DN153" s="1056"/>
      <c r="DO153" s="1056"/>
      <c r="DP153" s="1056"/>
      <c r="DQ153" s="1056"/>
      <c r="DR153" s="1056"/>
      <c r="DS153" s="1056"/>
      <c r="DT153" s="1056"/>
      <c r="DU153" s="1056"/>
      <c r="DV153" s="1056"/>
      <c r="DW153" s="1056"/>
      <c r="DX153" s="1056"/>
      <c r="DY153" s="1056"/>
      <c r="DZ153" s="1056"/>
      <c r="EA153" s="1056"/>
      <c r="EB153" s="1056"/>
      <c r="EC153" s="1056"/>
      <c r="ED153" s="1056"/>
      <c r="EE153" s="1056"/>
      <c r="EF153" s="1056"/>
      <c r="EG153" s="1056"/>
      <c r="EH153" s="1056"/>
      <c r="EI153" s="1056"/>
      <c r="EJ153" s="1056"/>
      <c r="EK153" s="1056"/>
      <c r="EL153" s="1056"/>
      <c r="EM153" s="1056"/>
      <c r="EN153" s="1056"/>
      <c r="EO153" s="1056"/>
      <c r="EP153" s="1056"/>
      <c r="EQ153" s="1056"/>
      <c r="ER153" s="1056"/>
      <c r="ES153" s="1056"/>
      <c r="ET153" s="1056"/>
      <c r="EU153" s="1056"/>
      <c r="EV153" s="1056"/>
      <c r="EW153" s="1056"/>
      <c r="EX153" s="1056"/>
      <c r="EY153" s="1056"/>
      <c r="EZ153" s="1056"/>
      <c r="FA153" s="1056"/>
      <c r="FB153" s="1056"/>
      <c r="FC153" s="1056"/>
      <c r="FD153" s="1056"/>
      <c r="FE153" s="1056"/>
      <c r="FF153" s="1056"/>
      <c r="FG153" s="1056"/>
      <c r="FH153" s="1056"/>
      <c r="FI153" s="1056"/>
      <c r="FJ153" s="1056"/>
      <c r="FK153" s="1056"/>
      <c r="FL153" s="1056"/>
      <c r="FM153" s="1056"/>
      <c r="FN153" s="1056"/>
      <c r="FO153" s="1056"/>
      <c r="FP153" s="1056"/>
      <c r="FQ153" s="1056"/>
      <c r="FR153" s="1056"/>
      <c r="FS153" s="1056"/>
      <c r="FT153" s="1056"/>
      <c r="FU153" s="1056"/>
      <c r="FV153" s="1056"/>
      <c r="FW153" s="1056"/>
      <c r="FX153" s="1056"/>
      <c r="FY153" s="1056"/>
      <c r="FZ153" s="1056"/>
      <c r="GA153" s="1056"/>
      <c r="GB153" s="1056"/>
      <c r="GC153" s="1056"/>
      <c r="GD153" s="1056"/>
      <c r="GE153" s="1056"/>
      <c r="GF153" s="1056"/>
      <c r="GG153" s="1056"/>
      <c r="GH153" s="1056"/>
      <c r="GI153" s="1056"/>
      <c r="GJ153" s="1056"/>
      <c r="GK153" s="1056"/>
      <c r="GL153" s="1056"/>
      <c r="GM153" s="1056"/>
      <c r="GN153" s="1056"/>
      <c r="GO153" s="1056"/>
      <c r="GP153" s="1056"/>
      <c r="GQ153" s="1056"/>
      <c r="GR153" s="1056"/>
      <c r="GS153" s="1056"/>
      <c r="GT153" s="1056"/>
      <c r="GU153" s="1056"/>
      <c r="GV153" s="1056"/>
      <c r="GW153" s="1056"/>
      <c r="GX153" s="1056"/>
      <c r="GY153" s="1056"/>
      <c r="GZ153" s="1056"/>
      <c r="HA153" s="1056"/>
      <c r="HB153" s="1056"/>
      <c r="HC153" s="1056"/>
      <c r="HD153" s="1056"/>
      <c r="HE153" s="1056"/>
      <c r="HF153" s="1056"/>
      <c r="HG153" s="1056"/>
      <c r="HH153" s="1056"/>
      <c r="HI153" s="1056"/>
      <c r="HJ153" s="1056"/>
      <c r="HK153" s="1056"/>
      <c r="HL153" s="1056"/>
      <c r="HM153" s="1056"/>
      <c r="HN153" s="1056"/>
      <c r="HO153" s="1056"/>
      <c r="HP153" s="1056"/>
      <c r="HQ153" s="1056"/>
      <c r="HR153" s="1056"/>
      <c r="HS153" s="1056"/>
      <c r="HT153" s="1056"/>
      <c r="HU153" s="1056"/>
      <c r="HV153" s="1056"/>
      <c r="HW153" s="1056"/>
      <c r="HX153" s="1056"/>
      <c r="HY153" s="1056"/>
      <c r="HZ153" s="1056"/>
      <c r="IA153" s="1056"/>
      <c r="IB153" s="1056"/>
      <c r="IC153" s="1056"/>
      <c r="ID153" s="1056"/>
      <c r="IE153" s="1056"/>
      <c r="IF153" s="1056"/>
      <c r="IG153" s="1056"/>
      <c r="IH153" s="1056"/>
      <c r="II153" s="1056"/>
      <c r="IJ153" s="1056"/>
      <c r="IK153" s="1056"/>
      <c r="IL153" s="1056"/>
      <c r="IM153" s="1056"/>
      <c r="IN153" s="1056"/>
      <c r="IO153" s="1056"/>
      <c r="IP153" s="1056"/>
      <c r="IQ153" s="1056"/>
      <c r="IR153" s="1056"/>
      <c r="IS153" s="1056"/>
      <c r="IT153" s="1056"/>
      <c r="IU153" s="1056"/>
      <c r="IV153" s="1056"/>
      <c r="IW153" s="1056"/>
      <c r="IX153" s="1056"/>
      <c r="IY153" s="1056"/>
      <c r="IZ153" s="1056"/>
      <c r="JA153" s="1056"/>
      <c r="JB153" s="1056"/>
      <c r="JC153" s="1056"/>
      <c r="JD153" s="1056"/>
      <c r="JE153" s="1056"/>
      <c r="JF153" s="1056"/>
      <c r="JG153" s="1056"/>
      <c r="JH153" s="1056"/>
      <c r="JI153" s="1056"/>
      <c r="JJ153" s="1056"/>
      <c r="JK153" s="1056"/>
      <c r="JL153" s="1056"/>
      <c r="JM153" s="1056"/>
      <c r="JN153" s="1056"/>
      <c r="JO153" s="1056"/>
      <c r="JP153" s="1056"/>
      <c r="JQ153" s="1056"/>
      <c r="JR153" s="1056"/>
      <c r="JS153" s="1056"/>
      <c r="JT153" s="1056"/>
      <c r="JU153" s="1056"/>
      <c r="JV153" s="1056"/>
      <c r="JW153" s="1056"/>
      <c r="JX153" s="1056"/>
      <c r="JY153" s="1056"/>
      <c r="JZ153" s="1056"/>
      <c r="KA153" s="1056"/>
      <c r="KB153" s="1056"/>
      <c r="KC153" s="1056"/>
      <c r="KD153" s="1056"/>
      <c r="KE153" s="1056"/>
      <c r="KF153" s="1056"/>
      <c r="KG153" s="1056"/>
      <c r="KH153" s="1056"/>
      <c r="KI153" s="1056"/>
      <c r="KJ153" s="1056"/>
      <c r="KK153" s="1056"/>
      <c r="KL153" s="1056"/>
      <c r="KM153" s="1056"/>
      <c r="KN153" s="1056"/>
      <c r="KO153" s="1056"/>
      <c r="KP153" s="1056"/>
      <c r="KQ153" s="1056"/>
      <c r="KR153" s="1056"/>
      <c r="KS153" s="1056"/>
      <c r="KT153" s="1056"/>
      <c r="KU153" s="1056"/>
      <c r="KV153" s="1056"/>
      <c r="KW153" s="1056"/>
      <c r="KX153" s="1056"/>
      <c r="KY153" s="1056"/>
      <c r="KZ153" s="1056"/>
      <c r="LA153" s="1056"/>
      <c r="LB153" s="1056"/>
      <c r="LC153" s="1056"/>
      <c r="LD153" s="1056"/>
      <c r="LE153" s="1056"/>
      <c r="LF153" s="1056"/>
      <c r="LG153" s="1056"/>
      <c r="LH153" s="1056"/>
      <c r="LI153" s="1056"/>
      <c r="LJ153" s="1056"/>
      <c r="LK153" s="1056"/>
      <c r="LL153" s="1056"/>
      <c r="LM153" s="1056"/>
      <c r="LN153" s="1056"/>
      <c r="LO153" s="1056"/>
      <c r="LP153" s="1056"/>
      <c r="LQ153" s="1056"/>
      <c r="LR153" s="1056"/>
      <c r="LS153" s="1056"/>
      <c r="LT153" s="1056"/>
      <c r="LU153" s="1056"/>
      <c r="LV153" s="1056"/>
      <c r="LW153" s="1056"/>
      <c r="LX153" s="1056"/>
      <c r="LY153" s="1056"/>
      <c r="LZ153" s="1056"/>
      <c r="MA153" s="1056"/>
      <c r="MB153" s="1056"/>
      <c r="MC153" s="1056"/>
      <c r="MD153" s="1056"/>
      <c r="ME153" s="1056"/>
      <c r="MF153" s="1056"/>
      <c r="MG153" s="1056"/>
      <c r="MH153" s="1056"/>
      <c r="MI153" s="1056"/>
      <c r="MJ153" s="1056"/>
      <c r="MK153" s="1056"/>
      <c r="ML153" s="1056"/>
      <c r="MM153" s="1056"/>
      <c r="MN153" s="1056"/>
      <c r="MO153" s="1056"/>
      <c r="MP153" s="1056"/>
      <c r="MQ153" s="1056"/>
      <c r="MR153" s="1056"/>
      <c r="MS153" s="1056"/>
      <c r="MT153" s="1056"/>
      <c r="MU153" s="1056"/>
      <c r="MV153" s="1056"/>
      <c r="MW153" s="1056"/>
      <c r="MX153" s="1056"/>
      <c r="MY153" s="1056"/>
      <c r="MZ153" s="1056"/>
      <c r="NA153" s="1056"/>
      <c r="NB153" s="1056"/>
      <c r="NC153" s="1056"/>
      <c r="ND153" s="1056"/>
      <c r="NE153" s="1056"/>
      <c r="NF153" s="1056"/>
      <c r="NG153" s="1056"/>
      <c r="NH153" s="1056"/>
      <c r="NI153" s="1056"/>
      <c r="NJ153" s="1056"/>
      <c r="NK153" s="1056"/>
      <c r="NL153" s="1056"/>
      <c r="NM153" s="1056"/>
      <c r="NN153" s="1056"/>
      <c r="NO153" s="1056"/>
      <c r="NP153" s="1056"/>
      <c r="NQ153" s="1056"/>
      <c r="NR153" s="1056"/>
      <c r="NS153" s="1056"/>
      <c r="NT153" s="1056"/>
      <c r="NU153" s="1056"/>
      <c r="NV153" s="1056"/>
      <c r="NW153" s="1056"/>
      <c r="NX153" s="1056"/>
      <c r="NY153" s="1056"/>
      <c r="NZ153" s="1056"/>
      <c r="OA153" s="1056"/>
      <c r="OB153" s="1056"/>
      <c r="OC153" s="1056"/>
      <c r="OD153" s="1056"/>
      <c r="OE153" s="1056"/>
      <c r="OF153" s="1056"/>
      <c r="OG153" s="1056"/>
      <c r="OH153" s="1056"/>
      <c r="OI153" s="1056"/>
      <c r="OJ153" s="1056"/>
      <c r="OK153" s="1056"/>
      <c r="OL153" s="1056"/>
      <c r="OM153" s="1056"/>
      <c r="ON153" s="1056"/>
      <c r="OO153" s="1056"/>
      <c r="OP153" s="1056"/>
      <c r="OQ153" s="1056"/>
      <c r="OR153" s="1056"/>
      <c r="OS153" s="1056"/>
      <c r="OT153" s="1056"/>
      <c r="OU153" s="1056"/>
      <c r="OV153" s="1056"/>
      <c r="OW153" s="1056"/>
      <c r="OX153" s="1056"/>
      <c r="OY153" s="1056"/>
      <c r="OZ153" s="1056"/>
      <c r="PA153" s="1056"/>
      <c r="PB153" s="1056"/>
      <c r="PC153" s="1056"/>
      <c r="PD153" s="1056"/>
      <c r="PE153" s="1056"/>
      <c r="PF153" s="1056"/>
      <c r="PG153" s="1056"/>
      <c r="PH153" s="1056"/>
      <c r="PI153" s="1056"/>
      <c r="PJ153" s="1056"/>
      <c r="PK153" s="1056"/>
      <c r="PL153" s="1056"/>
      <c r="PM153" s="1056"/>
      <c r="PN153" s="1056"/>
      <c r="PO153" s="1056"/>
      <c r="PP153" s="1056"/>
      <c r="PQ153" s="1056"/>
      <c r="PR153" s="1056"/>
      <c r="PS153" s="1056"/>
      <c r="PT153" s="1056"/>
      <c r="PU153" s="1056"/>
      <c r="PV153" s="1056"/>
      <c r="PW153" s="1056"/>
      <c r="PX153" s="1056"/>
      <c r="PY153" s="1056"/>
      <c r="PZ153" s="1056"/>
      <c r="QA153" s="1056"/>
      <c r="QB153" s="1056"/>
      <c r="QC153" s="1056"/>
      <c r="QD153" s="1056"/>
      <c r="QE153" s="1056"/>
      <c r="QF153" s="1056"/>
      <c r="QG153" s="1056"/>
      <c r="QH153" s="1056"/>
      <c r="QI153" s="1056"/>
      <c r="QJ153" s="1056"/>
      <c r="QK153" s="1056"/>
      <c r="QL153" s="1056"/>
      <c r="QM153" s="1056"/>
      <c r="QN153" s="1056"/>
      <c r="QO153" s="1056"/>
      <c r="QP153" s="1056"/>
      <c r="QQ153" s="1056"/>
      <c r="QR153" s="1056"/>
      <c r="QS153" s="1056"/>
      <c r="QT153" s="1056"/>
      <c r="QU153" s="1056"/>
      <c r="QV153" s="1056"/>
      <c r="QW153" s="1056"/>
      <c r="QX153" s="1056"/>
      <c r="QY153" s="1056"/>
      <c r="QZ153" s="1056"/>
      <c r="RA153" s="1056"/>
      <c r="RB153" s="1056"/>
      <c r="RC153" s="1056"/>
      <c r="RD153" s="1056"/>
      <c r="RE153" s="1056"/>
      <c r="RF153" s="1056"/>
      <c r="RG153" s="1056"/>
      <c r="RH153" s="1056"/>
      <c r="RI153" s="1056"/>
      <c r="RJ153" s="1056"/>
      <c r="RK153" s="1056"/>
      <c r="RL153" s="1056"/>
      <c r="RM153" s="1056"/>
      <c r="RN153" s="1056"/>
      <c r="RO153" s="1056"/>
      <c r="RP153" s="1056"/>
      <c r="RQ153" s="1056"/>
      <c r="RR153" s="1056"/>
      <c r="RS153" s="1056"/>
      <c r="RT153" s="1056"/>
      <c r="RU153" s="1056"/>
      <c r="RV153" s="1056"/>
      <c r="RW153" s="1056"/>
      <c r="RX153" s="1056"/>
      <c r="RY153" s="1056"/>
      <c r="RZ153" s="1056"/>
      <c r="SA153" s="1056"/>
      <c r="SB153" s="1056"/>
      <c r="SC153" s="1056"/>
      <c r="SD153" s="1056"/>
      <c r="SE153" s="1056"/>
      <c r="SF153" s="1056"/>
      <c r="SG153" s="1056"/>
      <c r="SH153" s="1056"/>
      <c r="SI153" s="1056"/>
      <c r="SJ153" s="1056"/>
      <c r="SK153" s="1056"/>
      <c r="SL153" s="1056"/>
      <c r="SM153" s="1056"/>
      <c r="SN153" s="1056"/>
      <c r="SO153" s="1056"/>
      <c r="SP153" s="1056"/>
      <c r="SQ153" s="1056"/>
      <c r="SR153" s="1056"/>
      <c r="SS153" s="1056"/>
      <c r="ST153" s="1056"/>
      <c r="SU153" s="1056"/>
      <c r="SV153" s="1056"/>
      <c r="SW153" s="1056"/>
      <c r="SX153" s="1056"/>
      <c r="SY153" s="1056"/>
      <c r="SZ153" s="1056"/>
      <c r="TA153" s="1056"/>
      <c r="TB153" s="1056"/>
      <c r="TC153" s="1056"/>
      <c r="TD153" s="1056"/>
      <c r="TE153" s="1056"/>
      <c r="TF153" s="1056"/>
      <c r="TG153" s="1056"/>
      <c r="TH153" s="1056"/>
      <c r="TI153" s="1056"/>
      <c r="TJ153" s="1056"/>
      <c r="TK153" s="1056"/>
      <c r="TL153" s="1056"/>
      <c r="TM153" s="1056"/>
      <c r="TN153" s="1056"/>
      <c r="TO153" s="1056"/>
      <c r="TP153" s="1056"/>
      <c r="TQ153" s="1056"/>
      <c r="TR153" s="1056"/>
      <c r="TS153" s="1056"/>
      <c r="TT153" s="1056"/>
      <c r="TU153" s="1056"/>
      <c r="TV153" s="1056"/>
      <c r="TW153" s="1056"/>
      <c r="TX153" s="1056"/>
      <c r="TY153" s="1056"/>
      <c r="TZ153" s="1056"/>
      <c r="UA153" s="1056"/>
      <c r="UB153" s="1056"/>
      <c r="UC153" s="1056"/>
      <c r="UD153" s="1056"/>
      <c r="UE153" s="1056"/>
      <c r="UF153" s="1056"/>
      <c r="UG153" s="1056"/>
      <c r="UH153" s="1056"/>
      <c r="UI153" s="1056"/>
      <c r="UJ153" s="1056"/>
      <c r="UK153" s="1056"/>
      <c r="UL153" s="1056"/>
      <c r="UM153" s="1056"/>
      <c r="UN153" s="1056"/>
      <c r="UO153" s="1056"/>
      <c r="UP153" s="1056"/>
      <c r="UQ153" s="1056"/>
      <c r="UR153" s="1056"/>
      <c r="US153" s="1056"/>
      <c r="UT153" s="1056"/>
      <c r="UU153" s="1056"/>
      <c r="UV153" s="1056"/>
      <c r="UW153" s="1056"/>
      <c r="UX153" s="1056"/>
      <c r="UY153" s="1056"/>
      <c r="UZ153" s="1056"/>
      <c r="VA153" s="1056"/>
      <c r="VB153" s="1056"/>
      <c r="VC153" s="1056"/>
      <c r="VD153" s="1056"/>
      <c r="VE153" s="1056"/>
      <c r="VF153" s="1056"/>
      <c r="VG153" s="1056"/>
      <c r="VH153" s="1056"/>
      <c r="VI153" s="1056"/>
      <c r="VJ153" s="1056"/>
      <c r="VK153" s="1056"/>
      <c r="VL153" s="1056"/>
      <c r="VM153" s="1056"/>
      <c r="VN153" s="1056"/>
      <c r="VO153" s="1056"/>
      <c r="VP153" s="1056"/>
      <c r="VQ153" s="1056"/>
      <c r="VR153" s="1056"/>
      <c r="VS153" s="1056"/>
      <c r="VT153" s="1056"/>
      <c r="VU153" s="1056"/>
      <c r="VV153" s="1056"/>
      <c r="VW153" s="1056"/>
      <c r="VX153" s="1056"/>
      <c r="VY153" s="1056"/>
      <c r="VZ153" s="1056"/>
      <c r="WA153" s="1056"/>
      <c r="WB153" s="1056"/>
      <c r="WC153" s="1056"/>
      <c r="WD153" s="1056"/>
      <c r="WE153" s="1056"/>
      <c r="WF153" s="1056"/>
      <c r="WG153" s="1056"/>
      <c r="WH153" s="1056"/>
      <c r="WI153" s="1056"/>
      <c r="WJ153" s="1056"/>
      <c r="WK153" s="1056"/>
      <c r="WL153" s="1056"/>
      <c r="WM153" s="1056"/>
      <c r="WN153" s="1056"/>
      <c r="WO153" s="1056"/>
      <c r="WP153" s="1056"/>
      <c r="WQ153" s="1056"/>
      <c r="WR153" s="1056"/>
      <c r="WS153" s="1056"/>
      <c r="WT153" s="1056"/>
      <c r="WU153" s="1056"/>
      <c r="WV153" s="1056"/>
      <c r="WW153" s="1056"/>
      <c r="WX153" s="1056"/>
      <c r="WY153" s="1056"/>
      <c r="WZ153" s="1056"/>
      <c r="XA153" s="1056"/>
      <c r="XB153" s="1056"/>
      <c r="XC153" s="1056"/>
      <c r="XD153" s="1056"/>
      <c r="XE153" s="1056"/>
      <c r="XF153" s="1056"/>
      <c r="XG153" s="1056"/>
      <c r="XH153" s="1056"/>
      <c r="XI153" s="1056"/>
      <c r="XJ153" s="1056"/>
      <c r="XK153" s="1056"/>
      <c r="XL153" s="1056"/>
      <c r="XM153" s="1056"/>
      <c r="XN153" s="1056"/>
      <c r="XO153" s="1056"/>
      <c r="XP153" s="1056"/>
      <c r="XQ153" s="1056"/>
      <c r="XR153" s="1056"/>
      <c r="XS153" s="1056"/>
      <c r="XT153" s="1056"/>
      <c r="XU153" s="1056"/>
      <c r="XV153" s="1056"/>
      <c r="XW153" s="1056"/>
      <c r="XX153" s="1056"/>
      <c r="XY153" s="1056"/>
      <c r="XZ153" s="1056"/>
      <c r="YA153" s="1056"/>
      <c r="YB153" s="1056"/>
      <c r="YC153" s="1056"/>
      <c r="YD153" s="1056"/>
      <c r="YE153" s="1056"/>
      <c r="YF153" s="1056"/>
      <c r="YG153" s="1056"/>
      <c r="YH153" s="1056"/>
      <c r="YI153" s="1056"/>
      <c r="YJ153" s="1056"/>
      <c r="YK153" s="1056"/>
      <c r="YL153" s="1056"/>
      <c r="YM153" s="1056"/>
      <c r="YN153" s="1056"/>
      <c r="YO153" s="1056"/>
      <c r="YP153" s="1056"/>
      <c r="YQ153" s="1056"/>
      <c r="YR153" s="1056"/>
      <c r="YS153" s="1056"/>
      <c r="YT153" s="1056"/>
      <c r="YU153" s="1056"/>
      <c r="YV153" s="1056"/>
      <c r="YW153" s="1056"/>
      <c r="YX153" s="1056"/>
      <c r="YY153" s="1056"/>
      <c r="YZ153" s="1056"/>
      <c r="ZA153" s="1056"/>
      <c r="ZB153" s="1056"/>
      <c r="ZC153" s="1056"/>
      <c r="ZD153" s="1056"/>
      <c r="ZE153" s="1056"/>
      <c r="ZF153" s="1056"/>
      <c r="ZG153" s="1056"/>
      <c r="ZH153" s="1056"/>
      <c r="ZI153" s="1056"/>
      <c r="ZJ153" s="1056"/>
      <c r="ZK153" s="1056"/>
      <c r="ZL153" s="1056"/>
      <c r="ZM153" s="1056"/>
      <c r="ZN153" s="1056"/>
      <c r="ZO153" s="1056"/>
      <c r="ZP153" s="1056"/>
      <c r="ZQ153" s="1056"/>
      <c r="ZR153" s="1056"/>
      <c r="ZS153" s="1056"/>
      <c r="ZT153" s="1056"/>
      <c r="ZU153" s="1056"/>
      <c r="ZV153" s="1056"/>
      <c r="ZW153" s="1056"/>
      <c r="ZX153" s="1056"/>
      <c r="ZY153" s="1056"/>
      <c r="ZZ153" s="1056"/>
      <c r="AAA153" s="1056"/>
      <c r="AAB153" s="1056"/>
      <c r="AAC153" s="1056"/>
      <c r="AAD153" s="1056"/>
      <c r="AAE153" s="1056"/>
      <c r="AAF153" s="1056"/>
      <c r="AAG153" s="1056"/>
      <c r="AAH153" s="1056"/>
      <c r="AAI153" s="1056"/>
      <c r="AAJ153" s="1056"/>
      <c r="AAK153" s="1056"/>
      <c r="AAL153" s="1056"/>
      <c r="AAM153" s="1056"/>
      <c r="AAN153" s="1056"/>
      <c r="AAO153" s="1056"/>
      <c r="AAP153" s="1056"/>
      <c r="AAQ153" s="1056"/>
      <c r="AAR153" s="1056"/>
      <c r="AAS153" s="1056"/>
      <c r="AAT153" s="1056"/>
      <c r="AAU153" s="1056"/>
      <c r="AAV153" s="1056"/>
      <c r="AAW153" s="1056"/>
      <c r="AAX153" s="1056"/>
      <c r="AAY153" s="1056"/>
      <c r="AAZ153" s="1056"/>
      <c r="ABA153" s="1056"/>
      <c r="ABB153" s="1056"/>
      <c r="ABC153" s="1056"/>
      <c r="ABD153" s="1056"/>
      <c r="ABE153" s="1056"/>
      <c r="ABF153" s="1056"/>
      <c r="ABG153" s="1056"/>
      <c r="ABH153" s="1056"/>
      <c r="ABI153" s="1056"/>
      <c r="ABJ153" s="1056"/>
      <c r="ABK153" s="1056"/>
      <c r="ABL153" s="1056"/>
      <c r="ABM153" s="1056"/>
      <c r="ABN153" s="1056"/>
      <c r="ABO153" s="1056"/>
      <c r="ABP153" s="1056"/>
      <c r="ABQ153" s="1056"/>
      <c r="ABR153" s="1056"/>
      <c r="ABS153" s="1056"/>
      <c r="ABT153" s="1056"/>
      <c r="ABU153" s="1056"/>
      <c r="ABV153" s="1056"/>
      <c r="ABW153" s="1056"/>
      <c r="ABX153" s="1056"/>
      <c r="ABY153" s="1056"/>
      <c r="ABZ153" s="1056"/>
      <c r="ACA153" s="1056"/>
      <c r="ACB153" s="1056"/>
      <c r="ACC153" s="1056"/>
      <c r="ACD153" s="1056"/>
      <c r="ACE153" s="1056"/>
      <c r="ACF153" s="1056"/>
      <c r="ACG153" s="1056"/>
      <c r="ACH153" s="1056"/>
      <c r="ACI153" s="1056"/>
      <c r="ACJ153" s="1056"/>
      <c r="ACK153" s="1056"/>
      <c r="ACL153" s="1056"/>
      <c r="ACM153" s="1056"/>
      <c r="ACN153" s="1056"/>
      <c r="ACO153" s="1056"/>
      <c r="ACP153" s="1056"/>
      <c r="ACQ153" s="1056"/>
      <c r="ACR153" s="1056"/>
      <c r="ACS153" s="1056"/>
      <c r="ACT153" s="1056"/>
      <c r="ACU153" s="1056"/>
      <c r="ACV153" s="1056"/>
      <c r="ACW153" s="1056"/>
      <c r="ACX153" s="1056"/>
      <c r="ACY153" s="1056"/>
      <c r="ACZ153" s="1056"/>
      <c r="ADA153" s="1056"/>
      <c r="ADB153" s="1056"/>
      <c r="ADC153" s="1056"/>
      <c r="ADD153" s="1056"/>
      <c r="ADE153" s="1056"/>
      <c r="ADF153" s="1056"/>
      <c r="ADG153" s="1056"/>
      <c r="ADH153" s="1056"/>
      <c r="ADI153" s="1056"/>
      <c r="ADJ153" s="1056"/>
      <c r="ADK153" s="1056"/>
      <c r="ADL153" s="1056"/>
      <c r="ADM153" s="1056"/>
      <c r="ADN153" s="1056"/>
      <c r="ADO153" s="1056"/>
      <c r="ADP153" s="1056"/>
      <c r="ADQ153" s="1056"/>
      <c r="ADR153" s="1056"/>
      <c r="ADS153" s="1056"/>
      <c r="ADT153" s="1056"/>
      <c r="ADU153" s="1056"/>
      <c r="ADV153" s="1056"/>
      <c r="ADW153" s="1056"/>
      <c r="ADX153" s="1056"/>
      <c r="ADY153" s="1056"/>
      <c r="ADZ153" s="1056"/>
      <c r="AEA153" s="1056"/>
      <c r="AEB153" s="1056"/>
      <c r="AEC153" s="1056"/>
      <c r="AED153" s="1056"/>
      <c r="AEE153" s="1056"/>
      <c r="AEF153" s="1056"/>
      <c r="AEG153" s="1056"/>
      <c r="AEH153" s="1056"/>
      <c r="AEI153" s="1056"/>
      <c r="AEJ153" s="1056"/>
      <c r="AEK153" s="1056"/>
      <c r="AEL153" s="1056"/>
      <c r="AEM153" s="1056"/>
      <c r="AEN153" s="1056"/>
      <c r="AEO153" s="1056"/>
      <c r="AEP153" s="1056"/>
      <c r="AEQ153" s="1056"/>
      <c r="AER153" s="1056"/>
      <c r="AES153" s="1056"/>
      <c r="AET153" s="1056"/>
      <c r="AEU153" s="1056"/>
      <c r="AEV153" s="1056"/>
      <c r="AEW153" s="1056"/>
      <c r="AEX153" s="1056"/>
      <c r="AEY153" s="1056"/>
      <c r="AEZ153" s="1056"/>
      <c r="AFA153" s="1056"/>
      <c r="AFB153" s="1056"/>
      <c r="AFC153" s="1056"/>
      <c r="AFD153" s="1056"/>
      <c r="AFE153" s="1056"/>
      <c r="AFF153" s="1056"/>
      <c r="AFG153" s="1056"/>
      <c r="AFH153" s="1056"/>
      <c r="AFI153" s="1056"/>
      <c r="AFJ153" s="1056"/>
      <c r="AFK153" s="1056"/>
      <c r="AFL153" s="1056"/>
      <c r="AFM153" s="1056"/>
      <c r="AFN153" s="1056"/>
      <c r="AFO153" s="1056"/>
      <c r="AFP153" s="1056"/>
      <c r="AFQ153" s="1056"/>
      <c r="AFR153" s="1056"/>
      <c r="AFS153" s="1056"/>
      <c r="AFT153" s="1056"/>
      <c r="AFU153" s="1056"/>
      <c r="AFV153" s="1056"/>
      <c r="AFW153" s="1056"/>
      <c r="AFX153" s="1056"/>
      <c r="AFY153" s="1056"/>
      <c r="AFZ153" s="1056"/>
      <c r="AGA153" s="1056"/>
      <c r="AGB153" s="1056"/>
      <c r="AGC153" s="1056"/>
      <c r="AGD153" s="1056"/>
      <c r="AGE153" s="1056"/>
      <c r="AGF153" s="1056"/>
      <c r="AGG153" s="1056"/>
      <c r="AGH153" s="1056"/>
      <c r="AGI153" s="1056"/>
      <c r="AGJ153" s="1056"/>
      <c r="AGK153" s="1056"/>
      <c r="AGL153" s="1056"/>
      <c r="AGM153" s="1056"/>
      <c r="AGN153" s="1056"/>
      <c r="AGO153" s="1056"/>
      <c r="AGP153" s="1056"/>
      <c r="AGQ153" s="1056"/>
      <c r="AGR153" s="1056"/>
      <c r="AGS153" s="1056"/>
      <c r="AGT153" s="1056"/>
      <c r="AGU153" s="1056"/>
      <c r="AGV153" s="1056"/>
      <c r="AGW153" s="1056"/>
      <c r="AGX153" s="1056"/>
      <c r="AGY153" s="1056"/>
      <c r="AGZ153" s="1056"/>
      <c r="AHA153" s="1056"/>
      <c r="AHB153" s="1056"/>
      <c r="AHC153" s="1056"/>
      <c r="AHD153" s="1056"/>
      <c r="AHE153" s="1056"/>
      <c r="AHF153" s="1056"/>
      <c r="AHG153" s="1056"/>
      <c r="AHH153" s="1056"/>
      <c r="AHI153" s="1056"/>
      <c r="AHJ153" s="1056"/>
      <c r="AHK153" s="1056"/>
      <c r="AHL153" s="1056"/>
      <c r="AHM153" s="1056"/>
      <c r="AHN153" s="1056"/>
      <c r="AHO153" s="1056"/>
      <c r="AHP153" s="1056"/>
      <c r="AHQ153" s="1056"/>
      <c r="AHR153" s="1056"/>
      <c r="AHS153" s="1056"/>
      <c r="AHT153" s="1056"/>
      <c r="AHU153" s="1056"/>
      <c r="AHV153" s="1056"/>
      <c r="AHW153" s="1056"/>
      <c r="AHX153" s="1056"/>
      <c r="AHY153" s="1056"/>
      <c r="AHZ153" s="1056"/>
      <c r="AIA153" s="1056"/>
      <c r="AIB153" s="1056"/>
      <c r="AIC153" s="1056"/>
      <c r="AID153" s="1056"/>
      <c r="AIE153" s="1056"/>
      <c r="AIF153" s="1056"/>
      <c r="AIG153" s="1056"/>
      <c r="AIH153" s="1056"/>
      <c r="AII153" s="1056"/>
      <c r="AIJ153" s="1056"/>
      <c r="AIK153" s="1056"/>
      <c r="AIL153" s="1056"/>
      <c r="AIM153" s="1056"/>
      <c r="AIN153" s="1056"/>
      <c r="AIO153" s="1056"/>
      <c r="AIP153" s="1056"/>
      <c r="AIQ153" s="1056"/>
      <c r="AIR153" s="1056"/>
      <c r="AIS153" s="1056"/>
      <c r="AIT153" s="1056"/>
      <c r="AIU153" s="1056"/>
      <c r="AIV153" s="1056"/>
      <c r="AIW153" s="1056"/>
      <c r="AIX153" s="1056"/>
      <c r="AIY153" s="1056"/>
      <c r="AIZ153" s="1056"/>
      <c r="AJA153" s="1056"/>
      <c r="AJB153" s="1056"/>
      <c r="AJC153" s="1056"/>
      <c r="AJD153" s="1056"/>
      <c r="AJE153" s="1056"/>
      <c r="AJF153" s="1056"/>
      <c r="AJG153" s="1056"/>
      <c r="AJH153" s="1056"/>
      <c r="AJI153" s="1056"/>
      <c r="AJJ153" s="1056"/>
      <c r="AJK153" s="1056"/>
      <c r="AJL153" s="1056"/>
      <c r="AJM153" s="1056"/>
      <c r="AJN153" s="1056"/>
      <c r="AJO153" s="1056"/>
      <c r="AJP153" s="1056"/>
      <c r="AJQ153" s="1056"/>
      <c r="AJR153" s="1056"/>
      <c r="AJS153" s="1056"/>
      <c r="AJT153" s="1056"/>
      <c r="AJU153" s="1056"/>
      <c r="AJV153" s="1056"/>
      <c r="AJW153" s="1056"/>
      <c r="AJX153" s="1056"/>
      <c r="AJY153" s="1056"/>
      <c r="AJZ153" s="1056"/>
      <c r="AKA153" s="1056"/>
      <c r="AKB153" s="1056"/>
      <c r="AKC153" s="1056"/>
      <c r="AKD153" s="1056"/>
      <c r="AKE153" s="1056"/>
      <c r="AKF153" s="1056"/>
      <c r="AKG153" s="1056"/>
      <c r="AKH153" s="1056"/>
      <c r="AKI153" s="1056"/>
      <c r="AKJ153" s="1056"/>
      <c r="AKK153" s="1056"/>
      <c r="AKL153" s="1056"/>
      <c r="AKM153" s="1056"/>
      <c r="AKN153" s="1056"/>
      <c r="AKO153" s="1056"/>
      <c r="AKP153" s="1056"/>
      <c r="AKQ153" s="1056"/>
      <c r="AKR153" s="1056"/>
      <c r="AKS153" s="1056"/>
      <c r="AKT153" s="1056"/>
      <c r="AKU153" s="1056"/>
      <c r="AKV153" s="1056"/>
      <c r="AKW153" s="1056"/>
      <c r="AKX153" s="1056"/>
      <c r="AKY153" s="1056"/>
      <c r="AKZ153" s="1056"/>
      <c r="ALA153" s="1056"/>
      <c r="ALB153" s="1056"/>
      <c r="ALC153" s="1056"/>
      <c r="ALD153" s="1056"/>
      <c r="ALE153" s="1056"/>
      <c r="ALF153" s="1056"/>
      <c r="ALG153" s="1056"/>
      <c r="ALH153" s="1056"/>
      <c r="ALI153" s="1056"/>
      <c r="ALJ153" s="1056"/>
      <c r="ALK153" s="1056"/>
      <c r="ALL153" s="1056"/>
      <c r="ALM153" s="1056"/>
      <c r="ALN153" s="1056"/>
      <c r="ALO153" s="1056"/>
      <c r="ALP153" s="1056"/>
      <c r="ALQ153" s="1056"/>
      <c r="ALR153" s="1056"/>
      <c r="ALS153" s="1056"/>
      <c r="ALT153" s="1056"/>
      <c r="ALU153" s="1056"/>
      <c r="ALV153" s="1056"/>
      <c r="ALW153" s="1056"/>
      <c r="ALX153" s="1056"/>
      <c r="ALY153" s="1056"/>
      <c r="ALZ153" s="1056"/>
      <c r="AMA153" s="1056"/>
      <c r="AMB153" s="1056"/>
      <c r="AMC153" s="1056"/>
      <c r="AMD153" s="1056"/>
      <c r="AME153" s="1056"/>
      <c r="AMF153" s="1056"/>
      <c r="AMG153" s="1056"/>
      <c r="AMH153" s="1056"/>
      <c r="AMI153" s="1056"/>
      <c r="AMJ153" s="1056"/>
      <c r="AMK153" s="1056"/>
      <c r="AML153" s="1056"/>
      <c r="AMM153" s="1056"/>
      <c r="AMN153" s="1056"/>
      <c r="AMO153" s="1056"/>
      <c r="AMP153" s="1056"/>
      <c r="AMQ153" s="1056"/>
      <c r="AMR153" s="1056"/>
      <c r="AMS153" s="1056"/>
      <c r="AMT153" s="1056"/>
      <c r="AMU153" s="1056"/>
      <c r="AMV153" s="1056"/>
      <c r="AMW153" s="1056"/>
      <c r="AMX153" s="1056"/>
      <c r="AMY153" s="1056"/>
      <c r="AMZ153" s="1056"/>
      <c r="ANA153" s="1056"/>
      <c r="ANB153" s="1056"/>
      <c r="ANC153" s="1056"/>
      <c r="AND153" s="1056"/>
      <c r="ANE153" s="1056"/>
      <c r="ANF153" s="1056"/>
      <c r="ANG153" s="1056"/>
      <c r="ANH153" s="1056"/>
      <c r="ANI153" s="1056"/>
      <c r="ANJ153" s="1056"/>
      <c r="ANK153" s="1056"/>
      <c r="ANL153" s="1056"/>
      <c r="ANM153" s="1056"/>
      <c r="ANN153" s="1056"/>
      <c r="ANO153" s="1056"/>
      <c r="ANP153" s="1056"/>
      <c r="ANQ153" s="1056"/>
      <c r="ANR153" s="1056"/>
      <c r="ANS153" s="1056"/>
      <c r="ANT153" s="1056"/>
      <c r="ANU153" s="1056"/>
      <c r="ANV153" s="1056"/>
      <c r="ANW153" s="1056"/>
      <c r="ANX153" s="1056"/>
      <c r="ANY153" s="1056"/>
      <c r="ANZ153" s="1056"/>
      <c r="AOA153" s="1056"/>
      <c r="AOB153" s="1056"/>
      <c r="AOC153" s="1056"/>
      <c r="AOD153" s="1056"/>
      <c r="AOE153" s="1056"/>
      <c r="AOF153" s="1056"/>
      <c r="AOG153" s="1056"/>
      <c r="AOH153" s="1056"/>
      <c r="AOI153" s="1056"/>
      <c r="AOJ153" s="1056"/>
      <c r="AOK153" s="1056"/>
      <c r="AOL153" s="1056"/>
      <c r="AOM153" s="1056"/>
      <c r="AON153" s="1056"/>
      <c r="AOO153" s="1056"/>
      <c r="AOP153" s="1056"/>
      <c r="AOQ153" s="1056"/>
      <c r="AOR153" s="1056"/>
      <c r="AOS153" s="1056"/>
      <c r="AOT153" s="1056"/>
      <c r="AOU153" s="1056"/>
      <c r="AOV153" s="1056"/>
      <c r="AOW153" s="1056"/>
      <c r="AOX153" s="1056"/>
      <c r="AOY153" s="1056"/>
      <c r="AOZ153" s="1056"/>
      <c r="APA153" s="1056"/>
      <c r="APB153" s="1056"/>
      <c r="APC153" s="1056"/>
      <c r="APD153" s="1056"/>
      <c r="APE153" s="1056"/>
      <c r="APF153" s="1056"/>
      <c r="APG153" s="1056"/>
      <c r="APH153" s="1056"/>
      <c r="API153" s="1056"/>
      <c r="APJ153" s="1056"/>
      <c r="APK153" s="1056"/>
      <c r="APL153" s="1056"/>
      <c r="APM153" s="1056"/>
      <c r="APN153" s="1056"/>
      <c r="APO153" s="1056"/>
      <c r="APP153" s="1056"/>
      <c r="APQ153" s="1056"/>
      <c r="APR153" s="1056"/>
      <c r="APS153" s="1056"/>
      <c r="APT153" s="1056"/>
      <c r="APU153" s="1056"/>
      <c r="APV153" s="1056"/>
      <c r="APW153" s="1056"/>
      <c r="APX153" s="1056"/>
      <c r="APY153" s="1056"/>
      <c r="APZ153" s="1056"/>
      <c r="AQA153" s="1056"/>
      <c r="AQB153" s="1056"/>
      <c r="AQC153" s="1056"/>
      <c r="AQD153" s="1056"/>
      <c r="AQE153" s="1056"/>
      <c r="AQF153" s="1056"/>
      <c r="AQG153" s="1056"/>
      <c r="AQH153" s="1056"/>
      <c r="AQI153" s="1056"/>
      <c r="AQJ153" s="1056"/>
      <c r="AQK153" s="1056"/>
      <c r="AQL153" s="1056"/>
      <c r="AQM153" s="1056"/>
      <c r="AQN153" s="1056"/>
      <c r="AQO153" s="1056"/>
      <c r="AQP153" s="1056"/>
      <c r="AQQ153" s="1056"/>
      <c r="AQR153" s="1056"/>
      <c r="AQS153" s="1056"/>
      <c r="AQT153" s="1056"/>
      <c r="AQU153" s="1056"/>
      <c r="AQV153" s="1056"/>
      <c r="AQW153" s="1056"/>
      <c r="AQX153" s="1056"/>
      <c r="AQY153" s="1056"/>
      <c r="AQZ153" s="1056"/>
      <c r="ARA153" s="1056"/>
      <c r="ARB153" s="1056"/>
      <c r="ARC153" s="1056"/>
      <c r="ARD153" s="1056"/>
      <c r="ARE153" s="1056"/>
      <c r="ARF153" s="1056"/>
      <c r="ARG153" s="1056"/>
      <c r="ARH153" s="1056"/>
      <c r="ARI153" s="1056"/>
      <c r="ARJ153" s="1056"/>
      <c r="ARK153" s="1056"/>
      <c r="ARL153" s="1056"/>
      <c r="ARM153" s="1056"/>
      <c r="ARN153" s="1056"/>
      <c r="ARO153" s="1056"/>
      <c r="ARP153" s="1056"/>
      <c r="ARQ153" s="1056"/>
      <c r="ARR153" s="1056"/>
      <c r="ARS153" s="1056"/>
      <c r="ART153" s="1056"/>
      <c r="ARU153" s="1056"/>
      <c r="ARV153" s="1056"/>
      <c r="ARW153" s="1056"/>
      <c r="ARX153" s="1056"/>
      <c r="ARY153" s="1056"/>
      <c r="ARZ153" s="1056"/>
      <c r="ASA153" s="1056"/>
      <c r="ASB153" s="1056"/>
      <c r="ASC153" s="1056"/>
      <c r="ASD153" s="1056"/>
      <c r="ASE153" s="1056"/>
      <c r="ASF153" s="1056"/>
      <c r="ASG153" s="1056"/>
      <c r="ASH153" s="1056"/>
      <c r="ASI153" s="1056"/>
      <c r="ASJ153" s="1056"/>
      <c r="ASK153" s="1056"/>
      <c r="ASL153" s="1056"/>
      <c r="ASM153" s="1056"/>
      <c r="ASN153" s="1056"/>
      <c r="ASO153" s="1056"/>
      <c r="ASP153" s="1056"/>
      <c r="ASQ153" s="1056"/>
      <c r="ASR153" s="1056"/>
      <c r="ASS153" s="1056"/>
      <c r="AST153" s="1056"/>
      <c r="ASU153" s="1056"/>
      <c r="ASV153" s="1056"/>
      <c r="ASW153" s="1056"/>
      <c r="ASX153" s="1056"/>
      <c r="ASY153" s="1056"/>
      <c r="ASZ153" s="1056"/>
      <c r="ATA153" s="1056"/>
      <c r="ATB153" s="1056"/>
      <c r="ATC153" s="1056"/>
      <c r="ATD153" s="1056"/>
      <c r="ATE153" s="1056"/>
      <c r="ATF153" s="1056"/>
      <c r="ATG153" s="1056"/>
      <c r="ATH153" s="1056"/>
      <c r="ATI153" s="1056"/>
      <c r="ATJ153" s="1056"/>
      <c r="ATK153" s="1056"/>
      <c r="ATL153" s="1056"/>
      <c r="ATM153" s="1056"/>
      <c r="ATN153" s="1056"/>
      <c r="ATO153" s="1056"/>
      <c r="ATP153" s="1056"/>
      <c r="ATQ153" s="1056"/>
      <c r="ATR153" s="1056"/>
      <c r="ATS153" s="1056"/>
      <c r="ATT153" s="1056"/>
      <c r="ATU153" s="1056"/>
      <c r="ATV153" s="1056"/>
      <c r="ATW153" s="1056"/>
      <c r="ATX153" s="1056"/>
      <c r="ATY153" s="1056"/>
      <c r="ATZ153" s="1056"/>
      <c r="AUA153" s="1056"/>
      <c r="AUB153" s="1056"/>
      <c r="AUC153" s="1056"/>
      <c r="AUD153" s="1056"/>
      <c r="AUE153" s="1056"/>
      <c r="AUF153" s="1056"/>
      <c r="AUG153" s="1056"/>
      <c r="AUH153" s="1056"/>
      <c r="AUI153" s="1056"/>
      <c r="AUJ153" s="1056"/>
      <c r="AUK153" s="1056"/>
      <c r="AUL153" s="1056"/>
      <c r="AUM153" s="1056"/>
      <c r="AUN153" s="1056"/>
      <c r="AUO153" s="1056"/>
      <c r="AUP153" s="1056"/>
      <c r="AUQ153" s="1056"/>
      <c r="AUR153" s="1056"/>
      <c r="AUS153" s="1056"/>
      <c r="AUT153" s="1056"/>
      <c r="AUU153" s="1056"/>
      <c r="AUV153" s="1056"/>
      <c r="AUW153" s="1056"/>
      <c r="AUX153" s="1056"/>
      <c r="AUY153" s="1056"/>
      <c r="AUZ153" s="1056"/>
      <c r="AVA153" s="1056"/>
      <c r="AVB153" s="1056"/>
      <c r="AVC153" s="1056"/>
      <c r="AVD153" s="1056"/>
      <c r="AVE153" s="1056"/>
      <c r="AVF153" s="1056"/>
      <c r="AVG153" s="1056"/>
      <c r="AVH153" s="1056"/>
      <c r="AVI153" s="1056"/>
      <c r="AVJ153" s="1056"/>
      <c r="AVK153" s="1056"/>
      <c r="AVL153" s="1056"/>
      <c r="AVM153" s="1056"/>
      <c r="AVN153" s="1056"/>
      <c r="AVO153" s="1056"/>
      <c r="AVP153" s="1056"/>
      <c r="AVQ153" s="1056"/>
      <c r="AVR153" s="1056"/>
      <c r="AVS153" s="1056"/>
      <c r="AVT153" s="1056"/>
      <c r="AVU153" s="1056"/>
      <c r="AVV153" s="1056"/>
      <c r="AVW153" s="1056"/>
      <c r="AVX153" s="1056"/>
      <c r="AVY153" s="1056"/>
      <c r="AVZ153" s="1056"/>
      <c r="AWA153" s="1056"/>
      <c r="AWB153" s="1056"/>
      <c r="AWC153" s="1056"/>
      <c r="AWD153" s="1056"/>
      <c r="AWE153" s="1056"/>
      <c r="AWF153" s="1056"/>
      <c r="AWG153" s="1056"/>
      <c r="AWH153" s="1056"/>
      <c r="AWI153" s="1056"/>
      <c r="AWJ153" s="1056"/>
      <c r="AWK153" s="1056"/>
      <c r="AWL153" s="1056"/>
      <c r="AWM153" s="1056"/>
      <c r="AWN153" s="1056"/>
      <c r="AWO153" s="1056"/>
      <c r="AWP153" s="1056"/>
      <c r="AWQ153" s="1056"/>
      <c r="AWR153" s="1056"/>
      <c r="AWS153" s="1056"/>
      <c r="AWT153" s="1056"/>
      <c r="AWU153" s="1056"/>
      <c r="AWV153" s="1056"/>
      <c r="AWW153" s="1056"/>
      <c r="AWX153" s="1056"/>
      <c r="AWY153" s="1056"/>
      <c r="AWZ153" s="1056"/>
      <c r="AXA153" s="1056"/>
      <c r="AXB153" s="1056"/>
      <c r="AXC153" s="1056"/>
      <c r="AXD153" s="1056"/>
      <c r="AXE153" s="1056"/>
      <c r="AXF153" s="1056"/>
      <c r="AXG153" s="1056"/>
      <c r="AXH153" s="1056"/>
      <c r="AXI153" s="1056"/>
      <c r="AXJ153" s="1056"/>
      <c r="AXK153" s="1056"/>
      <c r="AXL153" s="1056"/>
      <c r="AXM153" s="1056"/>
      <c r="AXN153" s="1056"/>
      <c r="AXO153" s="1056"/>
      <c r="AXP153" s="1056"/>
      <c r="AXQ153" s="1056"/>
      <c r="AXR153" s="1056"/>
      <c r="AXS153" s="1056"/>
      <c r="AXT153" s="1056"/>
      <c r="AXU153" s="1056"/>
      <c r="AXV153" s="1056"/>
      <c r="AXW153" s="1056"/>
      <c r="AXX153" s="1056"/>
      <c r="AXY153" s="1056"/>
      <c r="AXZ153" s="1056"/>
      <c r="AYA153" s="1056"/>
      <c r="AYB153" s="1056"/>
      <c r="AYC153" s="1056"/>
      <c r="AYD153" s="1056"/>
      <c r="AYE153" s="1056"/>
      <c r="AYF153" s="1056"/>
      <c r="AYG153" s="1056"/>
      <c r="AYH153" s="1056"/>
      <c r="AYI153" s="1056"/>
      <c r="AYJ153" s="1056"/>
      <c r="AYK153" s="1056"/>
      <c r="AYL153" s="1056"/>
      <c r="AYM153" s="1056"/>
      <c r="AYN153" s="1056"/>
      <c r="AYO153" s="1056"/>
      <c r="AYP153" s="1056"/>
      <c r="AYQ153" s="1056"/>
      <c r="AYR153" s="1056"/>
      <c r="AYS153" s="1056"/>
      <c r="AYT153" s="1056"/>
      <c r="AYU153" s="1056"/>
      <c r="AYV153" s="1056"/>
      <c r="AYW153" s="1056"/>
      <c r="AYX153" s="1056"/>
      <c r="AYY153" s="1056"/>
      <c r="AYZ153" s="1056"/>
      <c r="AZA153" s="1056"/>
      <c r="AZB153" s="1056"/>
      <c r="AZC153" s="1056"/>
      <c r="AZD153" s="1056"/>
      <c r="AZE153" s="1056"/>
      <c r="AZF153" s="1056"/>
      <c r="AZG153" s="1056"/>
      <c r="AZH153" s="1056"/>
      <c r="AZI153" s="1056"/>
      <c r="AZJ153" s="1056"/>
      <c r="AZK153" s="1056"/>
      <c r="AZL153" s="1056"/>
      <c r="AZM153" s="1056"/>
      <c r="AZN153" s="1056"/>
      <c r="AZO153" s="1056"/>
      <c r="AZP153" s="1056"/>
      <c r="AZQ153" s="1056"/>
      <c r="AZR153" s="1056"/>
      <c r="AZS153" s="1056"/>
      <c r="AZT153" s="1056"/>
      <c r="AZU153" s="1056"/>
      <c r="AZV153" s="1056"/>
      <c r="AZW153" s="1056"/>
      <c r="AZX153" s="1056"/>
      <c r="AZY153" s="1056"/>
      <c r="AZZ153" s="1056"/>
      <c r="BAA153" s="1056"/>
      <c r="BAB153" s="1056"/>
      <c r="BAC153" s="1056"/>
      <c r="BAD153" s="1056"/>
      <c r="BAE153" s="1056"/>
      <c r="BAF153" s="1056"/>
      <c r="BAG153" s="1056"/>
      <c r="BAH153" s="1056"/>
      <c r="BAI153" s="1056"/>
      <c r="BAJ153" s="1056"/>
      <c r="BAK153" s="1056"/>
      <c r="BAL153" s="1056"/>
      <c r="BAM153" s="1056"/>
      <c r="BAN153" s="1056"/>
      <c r="BAO153" s="1056"/>
      <c r="BAP153" s="1056"/>
      <c r="BAQ153" s="1056"/>
      <c r="BAR153" s="1056"/>
      <c r="BAS153" s="1056"/>
      <c r="BAT153" s="1056"/>
      <c r="BAU153" s="1056"/>
      <c r="BAV153" s="1056"/>
      <c r="BAW153" s="1056"/>
      <c r="BAX153" s="1056"/>
      <c r="BAY153" s="1056"/>
      <c r="BAZ153" s="1056"/>
      <c r="BBA153" s="1056"/>
      <c r="BBB153" s="1056"/>
      <c r="BBC153" s="1056"/>
      <c r="BBD153" s="1056"/>
      <c r="BBE153" s="1056"/>
      <c r="BBF153" s="1056"/>
      <c r="BBG153" s="1056"/>
      <c r="BBH153" s="1056"/>
      <c r="BBI153" s="1056"/>
      <c r="BBJ153" s="1056"/>
      <c r="BBK153" s="1056"/>
      <c r="BBL153" s="1056"/>
      <c r="BBM153" s="1056"/>
      <c r="BBN153" s="1056"/>
      <c r="BBO153" s="1056"/>
      <c r="BBP153" s="1056"/>
      <c r="BBQ153" s="1056"/>
      <c r="BBR153" s="1056"/>
      <c r="BBS153" s="1056"/>
      <c r="BBT153" s="1056"/>
      <c r="BBU153" s="1056"/>
      <c r="BBV153" s="1056"/>
      <c r="BBW153" s="1056"/>
      <c r="BBX153" s="1056"/>
      <c r="BBY153" s="1056"/>
      <c r="BBZ153" s="1056"/>
      <c r="BCA153" s="1056"/>
      <c r="BCB153" s="1056"/>
      <c r="BCC153" s="1056"/>
      <c r="BCD153" s="1056"/>
      <c r="BCE153" s="1056"/>
      <c r="BCF153" s="1056"/>
      <c r="BCG153" s="1056"/>
      <c r="BCH153" s="1056"/>
      <c r="BCI153" s="1056"/>
      <c r="BCJ153" s="1056"/>
      <c r="BCK153" s="1056"/>
      <c r="BCL153" s="1056"/>
      <c r="BCM153" s="1056"/>
      <c r="BCN153" s="1056"/>
      <c r="BCO153" s="1056"/>
      <c r="BCP153" s="1056"/>
      <c r="BCQ153" s="1056"/>
      <c r="BCR153" s="1056"/>
      <c r="BCS153" s="1056"/>
      <c r="BCT153" s="1056"/>
      <c r="BCU153" s="1056"/>
      <c r="BCV153" s="1056"/>
      <c r="BCW153" s="1056"/>
      <c r="BCX153" s="1056"/>
      <c r="BCY153" s="1056"/>
      <c r="BCZ153" s="1056"/>
      <c r="BDA153" s="1056"/>
      <c r="BDB153" s="1056"/>
      <c r="BDC153" s="1056"/>
      <c r="BDD153" s="1056"/>
      <c r="BDE153" s="1056"/>
      <c r="BDF153" s="1056"/>
      <c r="BDG153" s="1056"/>
      <c r="BDH153" s="1056"/>
      <c r="BDI153" s="1056"/>
      <c r="BDJ153" s="1056"/>
      <c r="BDK153" s="1056"/>
      <c r="BDL153" s="1056"/>
      <c r="BDM153" s="1056"/>
      <c r="BDN153" s="1056"/>
      <c r="BDO153" s="1056"/>
      <c r="BDP153" s="1056"/>
      <c r="BDQ153" s="1056"/>
      <c r="BDR153" s="1056"/>
      <c r="BDS153" s="1056"/>
      <c r="BDT153" s="1056"/>
      <c r="BDU153" s="1056"/>
      <c r="BDV153" s="1056"/>
      <c r="BDW153" s="1056"/>
      <c r="BDX153" s="1056"/>
      <c r="BDY153" s="1056"/>
      <c r="BDZ153" s="1056"/>
      <c r="BEA153" s="1056"/>
      <c r="BEB153" s="1056"/>
      <c r="BEC153" s="1056"/>
      <c r="BED153" s="1056"/>
      <c r="BEE153" s="1056"/>
      <c r="BEF153" s="1056"/>
      <c r="BEG153" s="1056"/>
      <c r="BEH153" s="1056"/>
      <c r="BEI153" s="1056"/>
      <c r="BEJ153" s="1056"/>
      <c r="BEK153" s="1056"/>
      <c r="BEL153" s="1056"/>
      <c r="BEM153" s="1056"/>
      <c r="BEN153" s="1056"/>
      <c r="BEO153" s="1056"/>
      <c r="BEP153" s="1056"/>
      <c r="BEQ153" s="1056"/>
      <c r="BER153" s="1056"/>
      <c r="BES153" s="1056"/>
      <c r="BET153" s="1056"/>
      <c r="BEU153" s="1056"/>
      <c r="BEV153" s="1056"/>
      <c r="BEW153" s="1056"/>
      <c r="BEX153" s="1056"/>
      <c r="BEY153" s="1056"/>
      <c r="BEZ153" s="1056"/>
      <c r="BFA153" s="1056"/>
      <c r="BFB153" s="1056"/>
      <c r="BFC153" s="1056"/>
      <c r="BFD153" s="1056"/>
      <c r="BFE153" s="1056"/>
      <c r="BFF153" s="1056"/>
      <c r="BFG153" s="1056"/>
      <c r="BFH153" s="1056"/>
      <c r="BFI153" s="1056"/>
      <c r="BFJ153" s="1056"/>
      <c r="BFK153" s="1056"/>
      <c r="BFL153" s="1056"/>
      <c r="BFM153" s="1056"/>
      <c r="BFN153" s="1056"/>
      <c r="BFO153" s="1056"/>
      <c r="BFP153" s="1056"/>
      <c r="BFQ153" s="1056"/>
      <c r="BFR153" s="1056"/>
      <c r="BFS153" s="1056"/>
      <c r="BFT153" s="1056"/>
      <c r="BFU153" s="1056"/>
      <c r="BFV153" s="1056"/>
      <c r="BFW153" s="1056"/>
      <c r="BFX153" s="1056"/>
      <c r="BFY153" s="1056"/>
      <c r="BFZ153" s="1056"/>
      <c r="BGA153" s="1056"/>
      <c r="BGB153" s="1056"/>
      <c r="BGC153" s="1056"/>
      <c r="BGD153" s="1056"/>
      <c r="BGE153" s="1056"/>
      <c r="BGF153" s="1056"/>
      <c r="BGG153" s="1056"/>
      <c r="BGH153" s="1056"/>
      <c r="BGI153" s="1056"/>
      <c r="BGJ153" s="1056"/>
      <c r="BGK153" s="1056"/>
      <c r="BGL153" s="1056"/>
      <c r="BGM153" s="1056"/>
      <c r="BGN153" s="1056"/>
      <c r="BGO153" s="1056"/>
      <c r="BGP153" s="1056"/>
      <c r="BGQ153" s="1056"/>
      <c r="BGR153" s="1056"/>
      <c r="BGS153" s="1056"/>
      <c r="BGT153" s="1056"/>
      <c r="BGU153" s="1056"/>
      <c r="BGV153" s="1056"/>
      <c r="BGW153" s="1056"/>
      <c r="BGX153" s="1056"/>
      <c r="BGY153" s="1056"/>
      <c r="BGZ153" s="1056"/>
      <c r="BHA153" s="1056"/>
      <c r="BHB153" s="1056"/>
      <c r="BHC153" s="1056"/>
      <c r="BHD153" s="1056"/>
      <c r="BHE153" s="1056"/>
      <c r="BHF153" s="1056"/>
      <c r="BHG153" s="1056"/>
      <c r="BHH153" s="1056"/>
      <c r="BHI153" s="1056"/>
      <c r="BHJ153" s="1056"/>
      <c r="BHK153" s="1056"/>
      <c r="BHL153" s="1056"/>
      <c r="BHM153" s="1056"/>
      <c r="BHN153" s="1056"/>
      <c r="BHO153" s="1056"/>
      <c r="BHP153" s="1056"/>
      <c r="BHQ153" s="1056"/>
      <c r="BHR153" s="1056"/>
      <c r="BHS153" s="1056"/>
      <c r="BHT153" s="1056"/>
      <c r="BHU153" s="1056"/>
      <c r="BHV153" s="1056"/>
      <c r="BHW153" s="1056"/>
      <c r="BHX153" s="1056"/>
      <c r="BHY153" s="1056"/>
      <c r="BHZ153" s="1056"/>
      <c r="BIA153" s="1056"/>
      <c r="BIB153" s="1056"/>
      <c r="BIC153" s="1056"/>
      <c r="BID153" s="1056"/>
      <c r="BIE153" s="1056"/>
      <c r="BIF153" s="1056"/>
      <c r="BIG153" s="1056"/>
      <c r="BIH153" s="1056"/>
      <c r="BII153" s="1056"/>
      <c r="BIJ153" s="1056"/>
      <c r="BIK153" s="1056"/>
      <c r="BIL153" s="1056"/>
      <c r="BIM153" s="1056"/>
      <c r="BIN153" s="1056"/>
      <c r="BIO153" s="1056"/>
      <c r="BIP153" s="1056"/>
      <c r="BIQ153" s="1056"/>
      <c r="BIR153" s="1056"/>
      <c r="BIS153" s="1056"/>
      <c r="BIT153" s="1056"/>
      <c r="BIU153" s="1056"/>
      <c r="BIV153" s="1056"/>
      <c r="BIW153" s="1056"/>
      <c r="BIX153" s="1056"/>
      <c r="BIY153" s="1056"/>
      <c r="BIZ153" s="1056"/>
      <c r="BJA153" s="1056"/>
      <c r="BJB153" s="1056"/>
      <c r="BJC153" s="1056"/>
      <c r="BJD153" s="1056"/>
      <c r="BJE153" s="1056"/>
      <c r="BJF153" s="1056"/>
      <c r="BJG153" s="1056"/>
      <c r="BJH153" s="1056"/>
      <c r="BJI153" s="1056"/>
      <c r="BJJ153" s="1056"/>
      <c r="BJK153" s="1056"/>
      <c r="BJL153" s="1056"/>
      <c r="BJM153" s="1056"/>
      <c r="BJN153" s="1056"/>
      <c r="BJO153" s="1056"/>
      <c r="BJP153" s="1056"/>
      <c r="BJQ153" s="1056"/>
      <c r="BJR153" s="1056"/>
      <c r="BJS153" s="1056"/>
      <c r="BJT153" s="1056"/>
      <c r="BJU153" s="1056"/>
      <c r="BJV153" s="1056"/>
      <c r="BJW153" s="1056"/>
      <c r="BJX153" s="1056"/>
      <c r="BJY153" s="1056"/>
      <c r="BJZ153" s="1056"/>
      <c r="BKA153" s="1056"/>
      <c r="BKB153" s="1056"/>
      <c r="BKC153" s="1056"/>
      <c r="BKD153" s="1056"/>
      <c r="BKE153" s="1056"/>
      <c r="BKF153" s="1056"/>
      <c r="BKG153" s="1056"/>
      <c r="BKH153" s="1056"/>
      <c r="BKI153" s="1056"/>
      <c r="BKJ153" s="1056"/>
      <c r="BKK153" s="1056"/>
      <c r="BKL153" s="1056"/>
      <c r="BKM153" s="1056"/>
      <c r="BKN153" s="1056"/>
      <c r="BKO153" s="1056"/>
      <c r="BKP153" s="1056"/>
      <c r="BKQ153" s="1056"/>
      <c r="BKR153" s="1056"/>
      <c r="BKS153" s="1056"/>
      <c r="BKT153" s="1056"/>
      <c r="BKU153" s="1056"/>
      <c r="BKV153" s="1056"/>
      <c r="BKW153" s="1056"/>
      <c r="BKX153" s="1056"/>
      <c r="BKY153" s="1056"/>
      <c r="BKZ153" s="1056"/>
      <c r="BLA153" s="1056"/>
      <c r="BLB153" s="1056"/>
      <c r="BLC153" s="1056"/>
      <c r="BLD153" s="1056"/>
      <c r="BLE153" s="1056"/>
      <c r="BLF153" s="1056"/>
      <c r="BLG153" s="1056"/>
      <c r="BLH153" s="1056"/>
      <c r="BLI153" s="1056"/>
      <c r="BLJ153" s="1056"/>
      <c r="BLK153" s="1056"/>
      <c r="BLL153" s="1056"/>
      <c r="BLM153" s="1056"/>
      <c r="BLN153" s="1056"/>
      <c r="BLO153" s="1056"/>
      <c r="BLP153" s="1056"/>
      <c r="BLQ153" s="1056"/>
      <c r="BLR153" s="1056"/>
      <c r="BLS153" s="1056"/>
      <c r="BLT153" s="1056"/>
      <c r="BLU153" s="1056"/>
      <c r="BLV153" s="1056"/>
      <c r="BLW153" s="1056"/>
      <c r="BLX153" s="1056"/>
      <c r="BLY153" s="1056"/>
      <c r="BLZ153" s="1056"/>
      <c r="BMA153" s="1056"/>
      <c r="BMB153" s="1056"/>
      <c r="BMC153" s="1056"/>
      <c r="BMD153" s="1056"/>
      <c r="BME153" s="1056"/>
      <c r="BMF153" s="1056"/>
      <c r="BMG153" s="1056"/>
      <c r="BMH153" s="1056"/>
      <c r="BMI153" s="1056"/>
      <c r="BMJ153" s="1056"/>
      <c r="BMK153" s="1056"/>
      <c r="BML153" s="1056"/>
      <c r="BMM153" s="1056"/>
      <c r="BMN153" s="1056"/>
      <c r="BMO153" s="1056"/>
      <c r="BMP153" s="1056"/>
      <c r="BMQ153" s="1056"/>
      <c r="BMR153" s="1056"/>
      <c r="BMS153" s="1056"/>
      <c r="BMT153" s="1056"/>
      <c r="BMU153" s="1056"/>
      <c r="BMV153" s="1056"/>
      <c r="BMW153" s="1056"/>
      <c r="BMX153" s="1056"/>
      <c r="BMY153" s="1056"/>
      <c r="BMZ153" s="1056"/>
      <c r="BNA153" s="1056"/>
      <c r="BNB153" s="1056"/>
      <c r="BNC153" s="1056"/>
      <c r="BND153" s="1056"/>
      <c r="BNE153" s="1056"/>
      <c r="BNF153" s="1056"/>
      <c r="BNG153" s="1056"/>
      <c r="BNH153" s="1056"/>
      <c r="BNI153" s="1056"/>
      <c r="BNJ153" s="1056"/>
      <c r="BNK153" s="1056"/>
      <c r="BNL153" s="1056"/>
      <c r="BNM153" s="1056"/>
      <c r="BNN153" s="1056"/>
      <c r="BNO153" s="1056"/>
      <c r="BNP153" s="1056"/>
      <c r="BNQ153" s="1056"/>
      <c r="BNR153" s="1056"/>
      <c r="BNS153" s="1056"/>
      <c r="BNT153" s="1056"/>
      <c r="BNU153" s="1056"/>
      <c r="BNV153" s="1056"/>
      <c r="BNW153" s="1056"/>
      <c r="BNX153" s="1056"/>
      <c r="BNY153" s="1056"/>
      <c r="BNZ153" s="1056"/>
      <c r="BOA153" s="1056"/>
      <c r="BOB153" s="1056"/>
      <c r="BOC153" s="1056"/>
      <c r="BOD153" s="1056"/>
      <c r="BOE153" s="1056"/>
      <c r="BOF153" s="1056"/>
      <c r="BOG153" s="1056"/>
      <c r="BOH153" s="1056"/>
      <c r="BOI153" s="1056"/>
      <c r="BOJ153" s="1056"/>
      <c r="BOK153" s="1056"/>
      <c r="BOL153" s="1056"/>
      <c r="BOM153" s="1056"/>
      <c r="BON153" s="1056"/>
      <c r="BOO153" s="1056"/>
      <c r="BOP153" s="1056"/>
      <c r="BOQ153" s="1056"/>
      <c r="BOR153" s="1056"/>
      <c r="BOS153" s="1056"/>
      <c r="BOT153" s="1056"/>
      <c r="BOU153" s="1056"/>
      <c r="BOV153" s="1056"/>
      <c r="BOW153" s="1056"/>
      <c r="BOX153" s="1056"/>
      <c r="BOY153" s="1056"/>
      <c r="BOZ153" s="1056"/>
      <c r="BPA153" s="1056"/>
      <c r="BPB153" s="1056"/>
      <c r="BPC153" s="1056"/>
      <c r="BPD153" s="1056"/>
      <c r="BPE153" s="1056"/>
      <c r="BPF153" s="1056"/>
      <c r="BPG153" s="1056"/>
      <c r="BPH153" s="1056"/>
      <c r="BPI153" s="1056"/>
      <c r="BPJ153" s="1056"/>
      <c r="BPK153" s="1056"/>
      <c r="BPL153" s="1056"/>
      <c r="BPM153" s="1056"/>
      <c r="BPN153" s="1056"/>
      <c r="BPO153" s="1056"/>
      <c r="BPP153" s="1056"/>
      <c r="BPQ153" s="1056"/>
      <c r="BPR153" s="1056"/>
      <c r="BPS153" s="1056"/>
      <c r="BPT153" s="1056"/>
      <c r="BPU153" s="1056"/>
      <c r="BPV153" s="1056"/>
      <c r="BPW153" s="1056"/>
      <c r="BPX153" s="1056"/>
      <c r="BPY153" s="1056"/>
      <c r="BPZ153" s="1056"/>
      <c r="BQA153" s="1056"/>
      <c r="BQB153" s="1056"/>
      <c r="BQC153" s="1056"/>
      <c r="BQD153" s="1056"/>
      <c r="BQE153" s="1056"/>
      <c r="BQF153" s="1056"/>
      <c r="BQG153" s="1056"/>
      <c r="BQH153" s="1056"/>
      <c r="BQI153" s="1056"/>
      <c r="BQJ153" s="1056"/>
      <c r="BQK153" s="1056"/>
      <c r="BQL153" s="1056"/>
      <c r="BQM153" s="1056"/>
      <c r="BQN153" s="1056"/>
      <c r="BQO153" s="1056"/>
      <c r="BQP153" s="1056"/>
      <c r="BQQ153" s="1056"/>
      <c r="BQR153" s="1056"/>
      <c r="BQS153" s="1056"/>
      <c r="BQT153" s="1056"/>
      <c r="BQU153" s="1056"/>
      <c r="BQV153" s="1056"/>
      <c r="BQW153" s="1056"/>
      <c r="BQX153" s="1056"/>
      <c r="BQY153" s="1056"/>
      <c r="BQZ153" s="1056"/>
      <c r="BRA153" s="1056"/>
      <c r="BRB153" s="1056"/>
      <c r="BRC153" s="1056"/>
      <c r="BRD153" s="1056"/>
      <c r="BRE153" s="1056"/>
      <c r="BRF153" s="1056"/>
      <c r="BRG153" s="1056"/>
      <c r="BRH153" s="1056"/>
      <c r="BRI153" s="1056"/>
      <c r="BRJ153" s="1056"/>
      <c r="BRK153" s="1056"/>
      <c r="BRL153" s="1056"/>
      <c r="BRM153" s="1056"/>
      <c r="BRN153" s="1056"/>
      <c r="BRO153" s="1056"/>
      <c r="BRP153" s="1056"/>
      <c r="BRQ153" s="1056"/>
      <c r="BRR153" s="1056"/>
      <c r="BRS153" s="1056"/>
      <c r="BRT153" s="1056"/>
      <c r="BRU153" s="1056"/>
      <c r="BRV153" s="1056"/>
      <c r="BRW153" s="1056"/>
      <c r="BRX153" s="1056"/>
      <c r="BRY153" s="1056"/>
      <c r="BRZ153" s="1056"/>
      <c r="BSA153" s="1056"/>
      <c r="BSB153" s="1056"/>
      <c r="BSC153" s="1056"/>
      <c r="BSD153" s="1056"/>
      <c r="BSE153" s="1056"/>
      <c r="BSF153" s="1056"/>
      <c r="BSG153" s="1056"/>
      <c r="BSH153" s="1056"/>
      <c r="BSI153" s="1056"/>
      <c r="BSJ153" s="1056"/>
      <c r="BSK153" s="1056"/>
      <c r="BSL153" s="1056"/>
      <c r="BSM153" s="1056"/>
      <c r="BSN153" s="1056"/>
      <c r="BSO153" s="1056"/>
      <c r="BSP153" s="1056"/>
      <c r="BSQ153" s="1056"/>
      <c r="BSR153" s="1056"/>
      <c r="BSS153" s="1056"/>
      <c r="BST153" s="1056"/>
      <c r="BSU153" s="1056"/>
      <c r="BSV153" s="1056"/>
      <c r="BSW153" s="1056"/>
      <c r="BSX153" s="1056"/>
      <c r="BSY153" s="1056"/>
      <c r="BSZ153" s="1056"/>
      <c r="BTA153" s="1056"/>
      <c r="BTB153" s="1056"/>
      <c r="BTC153" s="1056"/>
      <c r="BTD153" s="1056"/>
      <c r="BTE153" s="1056"/>
      <c r="BTF153" s="1056"/>
      <c r="BTG153" s="1056"/>
      <c r="BTH153" s="1056"/>
      <c r="BTI153" s="1056"/>
    </row>
    <row r="154" spans="1:1881" s="1060" customFormat="1" ht="67.5" hidden="1" customHeight="1" x14ac:dyDescent="0.3">
      <c r="A154" s="1059">
        <v>511</v>
      </c>
      <c r="B154" s="808" t="s">
        <v>58</v>
      </c>
      <c r="C154" s="808" t="s">
        <v>1400</v>
      </c>
      <c r="D154" s="1097" t="s">
        <v>156</v>
      </c>
      <c r="E154" s="1053" t="e">
        <f>HLOOKUP($D$2,'2020 Data(H)'!$C$1:$AI$426,161,FALSE)</f>
        <v>#N/A</v>
      </c>
      <c r="F154" s="287">
        <v>0</v>
      </c>
      <c r="G154" s="722">
        <f>IF(F154&lt;0,"Note: Number is normally positive.",)</f>
        <v>0</v>
      </c>
      <c r="H154" s="764"/>
      <c r="I154" s="1055"/>
      <c r="J154" s="1056"/>
      <c r="K154" s="1056"/>
      <c r="L154" s="1056"/>
      <c r="M154" s="1056"/>
      <c r="N154" s="1058"/>
      <c r="O154" s="1056"/>
      <c r="P154" s="1056"/>
      <c r="Q154" s="1056"/>
      <c r="R154" s="1056"/>
      <c r="S154" s="1056"/>
      <c r="T154" s="1056"/>
      <c r="U154" s="1056"/>
      <c r="V154" s="1056"/>
      <c r="W154" s="1056"/>
      <c r="X154" s="1056"/>
      <c r="Y154" s="1056"/>
      <c r="Z154" s="1059"/>
      <c r="AA154" s="1059"/>
      <c r="AB154" s="1059"/>
      <c r="AC154" s="1059"/>
      <c r="AD154" s="1059"/>
      <c r="AE154" s="1059"/>
      <c r="AF154" s="1059"/>
      <c r="AG154" s="1059"/>
      <c r="AH154" s="1059"/>
      <c r="AI154" s="1059"/>
      <c r="AJ154" s="1059"/>
      <c r="AK154" s="1059"/>
      <c r="AL154" s="1059"/>
      <c r="AM154" s="1059"/>
      <c r="AN154" s="1059"/>
      <c r="AO154" s="1059"/>
      <c r="AP154" s="1059"/>
      <c r="AQ154" s="1059"/>
      <c r="AR154" s="1059"/>
      <c r="AS154" s="1056"/>
      <c r="AT154" s="1056"/>
      <c r="AU154" s="1056"/>
      <c r="AV154" s="1056"/>
      <c r="AW154" s="1056"/>
      <c r="AX154" s="1056"/>
      <c r="AY154" s="1056"/>
      <c r="AZ154" s="1056"/>
      <c r="BA154" s="1056"/>
      <c r="BB154" s="1056"/>
      <c r="BC154" s="1056"/>
      <c r="BD154" s="1056"/>
      <c r="BE154" s="1056"/>
      <c r="BF154" s="1056"/>
      <c r="BG154" s="1056"/>
      <c r="BH154" s="1056"/>
      <c r="BI154" s="1056"/>
      <c r="BJ154" s="1056"/>
      <c r="BK154" s="1056"/>
      <c r="BL154" s="1056"/>
      <c r="BM154" s="1056"/>
      <c r="BN154" s="1056"/>
      <c r="BO154" s="1056"/>
      <c r="BP154" s="1056"/>
      <c r="BQ154" s="1056"/>
      <c r="BR154" s="1056"/>
      <c r="BS154" s="1056"/>
      <c r="BT154" s="1056"/>
      <c r="BU154" s="1056"/>
      <c r="BV154" s="1056"/>
      <c r="BW154" s="1056"/>
      <c r="BX154" s="1056"/>
      <c r="BY154" s="1056"/>
      <c r="BZ154" s="1056"/>
      <c r="CA154" s="1056"/>
      <c r="CB154" s="1056"/>
      <c r="CC154" s="1056"/>
      <c r="CD154" s="1056"/>
      <c r="CE154" s="1056"/>
      <c r="CF154" s="1056"/>
      <c r="CG154" s="1056"/>
      <c r="CH154" s="1056"/>
      <c r="CI154" s="1056"/>
      <c r="CJ154" s="1056"/>
      <c r="CK154" s="1056"/>
      <c r="CL154" s="1056"/>
      <c r="CM154" s="1056"/>
      <c r="CN154" s="1056"/>
      <c r="CO154" s="1056"/>
      <c r="CP154" s="1056"/>
      <c r="CQ154" s="1056"/>
      <c r="CR154" s="1056"/>
      <c r="CS154" s="1056"/>
      <c r="CT154" s="1056"/>
      <c r="CU154" s="1056"/>
      <c r="CV154" s="1056"/>
      <c r="CW154" s="1056"/>
      <c r="CX154" s="1056"/>
      <c r="CY154" s="1056"/>
      <c r="CZ154" s="1056"/>
      <c r="DA154" s="1056"/>
      <c r="DB154" s="1056"/>
      <c r="DC154" s="1056"/>
      <c r="DD154" s="1056"/>
      <c r="DE154" s="1056"/>
      <c r="DF154" s="1056"/>
      <c r="DG154" s="1056"/>
      <c r="DH154" s="1056"/>
      <c r="DI154" s="1056"/>
      <c r="DJ154" s="1056"/>
      <c r="DK154" s="1056"/>
      <c r="DL154" s="1056"/>
      <c r="DM154" s="1056"/>
      <c r="DN154" s="1056"/>
      <c r="DO154" s="1056"/>
      <c r="DP154" s="1056"/>
      <c r="DQ154" s="1056"/>
      <c r="DR154" s="1056"/>
      <c r="DS154" s="1056"/>
      <c r="DT154" s="1056"/>
      <c r="DU154" s="1056"/>
      <c r="DV154" s="1056"/>
      <c r="DW154" s="1056"/>
      <c r="DX154" s="1056"/>
      <c r="DY154" s="1056"/>
      <c r="DZ154" s="1056"/>
      <c r="EA154" s="1056"/>
      <c r="EB154" s="1056"/>
      <c r="EC154" s="1056"/>
      <c r="ED154" s="1056"/>
      <c r="EE154" s="1056"/>
      <c r="EF154" s="1056"/>
      <c r="EG154" s="1056"/>
      <c r="EH154" s="1056"/>
      <c r="EI154" s="1056"/>
      <c r="EJ154" s="1056"/>
      <c r="EK154" s="1056"/>
      <c r="EL154" s="1056"/>
      <c r="EM154" s="1056"/>
      <c r="EN154" s="1056"/>
      <c r="EO154" s="1056"/>
      <c r="EP154" s="1056"/>
      <c r="EQ154" s="1056"/>
      <c r="ER154" s="1056"/>
      <c r="ES154" s="1056"/>
      <c r="ET154" s="1056"/>
      <c r="EU154" s="1056"/>
      <c r="EV154" s="1056"/>
      <c r="EW154" s="1056"/>
      <c r="EX154" s="1056"/>
      <c r="EY154" s="1056"/>
      <c r="EZ154" s="1056"/>
      <c r="FA154" s="1056"/>
      <c r="FB154" s="1056"/>
      <c r="FC154" s="1056"/>
      <c r="FD154" s="1056"/>
      <c r="FE154" s="1056"/>
      <c r="FF154" s="1056"/>
      <c r="FG154" s="1056"/>
      <c r="FH154" s="1056"/>
      <c r="FI154" s="1056"/>
      <c r="FJ154" s="1056"/>
      <c r="FK154" s="1056"/>
      <c r="FL154" s="1056"/>
      <c r="FM154" s="1056"/>
      <c r="FN154" s="1056"/>
      <c r="FO154" s="1056"/>
      <c r="FP154" s="1056"/>
      <c r="FQ154" s="1056"/>
      <c r="FR154" s="1056"/>
      <c r="FS154" s="1056"/>
      <c r="FT154" s="1056"/>
      <c r="FU154" s="1056"/>
      <c r="FV154" s="1056"/>
      <c r="FW154" s="1056"/>
      <c r="FX154" s="1056"/>
      <c r="FY154" s="1056"/>
      <c r="FZ154" s="1056"/>
      <c r="GA154" s="1056"/>
      <c r="GB154" s="1056"/>
      <c r="GC154" s="1056"/>
      <c r="GD154" s="1056"/>
      <c r="GE154" s="1056"/>
      <c r="GF154" s="1056"/>
      <c r="GG154" s="1056"/>
      <c r="GH154" s="1056"/>
      <c r="GI154" s="1056"/>
      <c r="GJ154" s="1056"/>
      <c r="GK154" s="1056"/>
      <c r="GL154" s="1056"/>
      <c r="GM154" s="1056"/>
      <c r="GN154" s="1056"/>
      <c r="GO154" s="1056"/>
      <c r="GP154" s="1056"/>
      <c r="GQ154" s="1056"/>
      <c r="GR154" s="1056"/>
      <c r="GS154" s="1056"/>
      <c r="GT154" s="1056"/>
      <c r="GU154" s="1056"/>
      <c r="GV154" s="1056"/>
      <c r="GW154" s="1056"/>
      <c r="GX154" s="1056"/>
      <c r="GY154" s="1056"/>
      <c r="GZ154" s="1056"/>
      <c r="HA154" s="1056"/>
      <c r="HB154" s="1056"/>
      <c r="HC154" s="1056"/>
      <c r="HD154" s="1056"/>
      <c r="HE154" s="1056"/>
      <c r="HF154" s="1056"/>
      <c r="HG154" s="1056"/>
      <c r="HH154" s="1056"/>
      <c r="HI154" s="1056"/>
      <c r="HJ154" s="1056"/>
      <c r="HK154" s="1056"/>
      <c r="HL154" s="1056"/>
      <c r="HM154" s="1056"/>
      <c r="HN154" s="1056"/>
      <c r="HO154" s="1056"/>
      <c r="HP154" s="1056"/>
      <c r="HQ154" s="1056"/>
      <c r="HR154" s="1056"/>
      <c r="HS154" s="1056"/>
      <c r="HT154" s="1056"/>
      <c r="HU154" s="1056"/>
      <c r="HV154" s="1056"/>
      <c r="HW154" s="1056"/>
      <c r="HX154" s="1056"/>
      <c r="HY154" s="1056"/>
      <c r="HZ154" s="1056"/>
      <c r="IA154" s="1056"/>
      <c r="IB154" s="1056"/>
      <c r="IC154" s="1056"/>
      <c r="ID154" s="1056"/>
      <c r="IE154" s="1056"/>
      <c r="IF154" s="1056"/>
      <c r="IG154" s="1056"/>
      <c r="IH154" s="1056"/>
      <c r="II154" s="1056"/>
      <c r="IJ154" s="1056"/>
      <c r="IK154" s="1056"/>
      <c r="IL154" s="1056"/>
      <c r="IM154" s="1056"/>
      <c r="IN154" s="1056"/>
      <c r="IO154" s="1056"/>
      <c r="IP154" s="1056"/>
      <c r="IQ154" s="1056"/>
      <c r="IR154" s="1056"/>
      <c r="IS154" s="1056"/>
      <c r="IT154" s="1056"/>
      <c r="IU154" s="1056"/>
      <c r="IV154" s="1056"/>
      <c r="IW154" s="1056"/>
      <c r="IX154" s="1056"/>
      <c r="IY154" s="1056"/>
      <c r="IZ154" s="1056"/>
      <c r="JA154" s="1056"/>
      <c r="JB154" s="1056"/>
      <c r="JC154" s="1056"/>
      <c r="JD154" s="1056"/>
      <c r="JE154" s="1056"/>
      <c r="JF154" s="1056"/>
      <c r="JG154" s="1056"/>
      <c r="JH154" s="1056"/>
      <c r="JI154" s="1056"/>
      <c r="JJ154" s="1056"/>
      <c r="JK154" s="1056"/>
      <c r="JL154" s="1056"/>
      <c r="JM154" s="1056"/>
      <c r="JN154" s="1056"/>
      <c r="JO154" s="1056"/>
      <c r="JP154" s="1056"/>
      <c r="JQ154" s="1056"/>
      <c r="JR154" s="1056"/>
      <c r="JS154" s="1056"/>
      <c r="JT154" s="1056"/>
      <c r="JU154" s="1056"/>
      <c r="JV154" s="1056"/>
      <c r="JW154" s="1056"/>
      <c r="JX154" s="1056"/>
      <c r="JY154" s="1056"/>
      <c r="JZ154" s="1056"/>
      <c r="KA154" s="1056"/>
      <c r="KB154" s="1056"/>
      <c r="KC154" s="1056"/>
      <c r="KD154" s="1056"/>
      <c r="KE154" s="1056"/>
      <c r="KF154" s="1056"/>
      <c r="KG154" s="1056"/>
      <c r="KH154" s="1056"/>
      <c r="KI154" s="1056"/>
      <c r="KJ154" s="1056"/>
      <c r="KK154" s="1056"/>
      <c r="KL154" s="1056"/>
      <c r="KM154" s="1056"/>
      <c r="KN154" s="1056"/>
      <c r="KO154" s="1056"/>
      <c r="KP154" s="1056"/>
      <c r="KQ154" s="1056"/>
      <c r="KR154" s="1056"/>
      <c r="KS154" s="1056"/>
      <c r="KT154" s="1056"/>
      <c r="KU154" s="1056"/>
      <c r="KV154" s="1056"/>
      <c r="KW154" s="1056"/>
      <c r="KX154" s="1056"/>
      <c r="KY154" s="1056"/>
      <c r="KZ154" s="1056"/>
      <c r="LA154" s="1056"/>
      <c r="LB154" s="1056"/>
      <c r="LC154" s="1056"/>
      <c r="LD154" s="1056"/>
      <c r="LE154" s="1056"/>
      <c r="LF154" s="1056"/>
      <c r="LG154" s="1056"/>
      <c r="LH154" s="1056"/>
      <c r="LI154" s="1056"/>
      <c r="LJ154" s="1056"/>
      <c r="LK154" s="1056"/>
      <c r="LL154" s="1056"/>
      <c r="LM154" s="1056"/>
      <c r="LN154" s="1056"/>
      <c r="LO154" s="1056"/>
      <c r="LP154" s="1056"/>
      <c r="LQ154" s="1056"/>
      <c r="LR154" s="1056"/>
      <c r="LS154" s="1056"/>
      <c r="LT154" s="1056"/>
      <c r="LU154" s="1056"/>
      <c r="LV154" s="1056"/>
      <c r="LW154" s="1056"/>
      <c r="LX154" s="1056"/>
      <c r="LY154" s="1056"/>
      <c r="LZ154" s="1056"/>
      <c r="MA154" s="1056"/>
      <c r="MB154" s="1056"/>
      <c r="MC154" s="1056"/>
      <c r="MD154" s="1056"/>
      <c r="ME154" s="1056"/>
      <c r="MF154" s="1056"/>
      <c r="MG154" s="1056"/>
      <c r="MH154" s="1056"/>
      <c r="MI154" s="1056"/>
      <c r="MJ154" s="1056"/>
      <c r="MK154" s="1056"/>
      <c r="ML154" s="1056"/>
      <c r="MM154" s="1056"/>
      <c r="MN154" s="1056"/>
      <c r="MO154" s="1056"/>
      <c r="MP154" s="1056"/>
      <c r="MQ154" s="1056"/>
      <c r="MR154" s="1056"/>
      <c r="MS154" s="1056"/>
      <c r="MT154" s="1056"/>
      <c r="MU154" s="1056"/>
      <c r="MV154" s="1056"/>
      <c r="MW154" s="1056"/>
      <c r="MX154" s="1056"/>
      <c r="MY154" s="1056"/>
      <c r="MZ154" s="1056"/>
      <c r="NA154" s="1056"/>
      <c r="NB154" s="1056"/>
      <c r="NC154" s="1056"/>
      <c r="ND154" s="1056"/>
      <c r="NE154" s="1056"/>
      <c r="NF154" s="1056"/>
      <c r="NG154" s="1056"/>
      <c r="NH154" s="1056"/>
      <c r="NI154" s="1056"/>
      <c r="NJ154" s="1056"/>
      <c r="NK154" s="1056"/>
      <c r="NL154" s="1056"/>
      <c r="NM154" s="1056"/>
      <c r="NN154" s="1056"/>
      <c r="NO154" s="1056"/>
      <c r="NP154" s="1056"/>
      <c r="NQ154" s="1056"/>
      <c r="NR154" s="1056"/>
      <c r="NS154" s="1056"/>
      <c r="NT154" s="1056"/>
      <c r="NU154" s="1056"/>
      <c r="NV154" s="1056"/>
      <c r="NW154" s="1056"/>
      <c r="NX154" s="1056"/>
      <c r="NY154" s="1056"/>
      <c r="NZ154" s="1056"/>
      <c r="OA154" s="1056"/>
      <c r="OB154" s="1056"/>
      <c r="OC154" s="1056"/>
      <c r="OD154" s="1056"/>
      <c r="OE154" s="1056"/>
      <c r="OF154" s="1056"/>
      <c r="OG154" s="1056"/>
      <c r="OH154" s="1056"/>
      <c r="OI154" s="1056"/>
      <c r="OJ154" s="1056"/>
      <c r="OK154" s="1056"/>
      <c r="OL154" s="1056"/>
      <c r="OM154" s="1056"/>
      <c r="ON154" s="1056"/>
      <c r="OO154" s="1056"/>
      <c r="OP154" s="1056"/>
      <c r="OQ154" s="1056"/>
      <c r="OR154" s="1056"/>
      <c r="OS154" s="1056"/>
      <c r="OT154" s="1056"/>
      <c r="OU154" s="1056"/>
      <c r="OV154" s="1056"/>
      <c r="OW154" s="1056"/>
      <c r="OX154" s="1056"/>
      <c r="OY154" s="1056"/>
      <c r="OZ154" s="1056"/>
      <c r="PA154" s="1056"/>
      <c r="PB154" s="1056"/>
      <c r="PC154" s="1056"/>
      <c r="PD154" s="1056"/>
      <c r="PE154" s="1056"/>
      <c r="PF154" s="1056"/>
      <c r="PG154" s="1056"/>
      <c r="PH154" s="1056"/>
      <c r="PI154" s="1056"/>
      <c r="PJ154" s="1056"/>
      <c r="PK154" s="1056"/>
      <c r="PL154" s="1056"/>
      <c r="PM154" s="1056"/>
      <c r="PN154" s="1056"/>
      <c r="PO154" s="1056"/>
      <c r="PP154" s="1056"/>
      <c r="PQ154" s="1056"/>
      <c r="PR154" s="1056"/>
      <c r="PS154" s="1056"/>
      <c r="PT154" s="1056"/>
      <c r="PU154" s="1056"/>
      <c r="PV154" s="1056"/>
      <c r="PW154" s="1056"/>
      <c r="PX154" s="1056"/>
      <c r="PY154" s="1056"/>
      <c r="PZ154" s="1056"/>
      <c r="QA154" s="1056"/>
      <c r="QB154" s="1056"/>
      <c r="QC154" s="1056"/>
      <c r="QD154" s="1056"/>
      <c r="QE154" s="1056"/>
      <c r="QF154" s="1056"/>
      <c r="QG154" s="1056"/>
      <c r="QH154" s="1056"/>
      <c r="QI154" s="1056"/>
      <c r="QJ154" s="1056"/>
      <c r="QK154" s="1056"/>
      <c r="QL154" s="1056"/>
      <c r="QM154" s="1056"/>
      <c r="QN154" s="1056"/>
      <c r="QO154" s="1056"/>
      <c r="QP154" s="1056"/>
      <c r="QQ154" s="1056"/>
      <c r="QR154" s="1056"/>
      <c r="QS154" s="1056"/>
      <c r="QT154" s="1056"/>
      <c r="QU154" s="1056"/>
      <c r="QV154" s="1056"/>
      <c r="QW154" s="1056"/>
      <c r="QX154" s="1056"/>
      <c r="QY154" s="1056"/>
      <c r="QZ154" s="1056"/>
      <c r="RA154" s="1056"/>
      <c r="RB154" s="1056"/>
      <c r="RC154" s="1056"/>
      <c r="RD154" s="1056"/>
      <c r="RE154" s="1056"/>
      <c r="RF154" s="1056"/>
      <c r="RG154" s="1056"/>
      <c r="RH154" s="1056"/>
      <c r="RI154" s="1056"/>
      <c r="RJ154" s="1056"/>
      <c r="RK154" s="1056"/>
      <c r="RL154" s="1056"/>
      <c r="RM154" s="1056"/>
      <c r="RN154" s="1056"/>
      <c r="RO154" s="1056"/>
      <c r="RP154" s="1056"/>
      <c r="RQ154" s="1056"/>
      <c r="RR154" s="1056"/>
      <c r="RS154" s="1056"/>
      <c r="RT154" s="1056"/>
      <c r="RU154" s="1056"/>
      <c r="RV154" s="1056"/>
      <c r="RW154" s="1056"/>
      <c r="RX154" s="1056"/>
      <c r="RY154" s="1056"/>
      <c r="RZ154" s="1056"/>
      <c r="SA154" s="1056"/>
      <c r="SB154" s="1056"/>
      <c r="SC154" s="1056"/>
      <c r="SD154" s="1056"/>
      <c r="SE154" s="1056"/>
      <c r="SF154" s="1056"/>
      <c r="SG154" s="1056"/>
      <c r="SH154" s="1056"/>
      <c r="SI154" s="1056"/>
      <c r="SJ154" s="1056"/>
      <c r="SK154" s="1056"/>
      <c r="SL154" s="1056"/>
      <c r="SM154" s="1056"/>
      <c r="SN154" s="1056"/>
      <c r="SO154" s="1056"/>
      <c r="SP154" s="1056"/>
      <c r="SQ154" s="1056"/>
      <c r="SR154" s="1056"/>
      <c r="SS154" s="1056"/>
      <c r="ST154" s="1056"/>
      <c r="SU154" s="1056"/>
      <c r="SV154" s="1056"/>
      <c r="SW154" s="1056"/>
      <c r="SX154" s="1056"/>
      <c r="SY154" s="1056"/>
      <c r="SZ154" s="1056"/>
      <c r="TA154" s="1056"/>
      <c r="TB154" s="1056"/>
      <c r="TC154" s="1056"/>
      <c r="TD154" s="1056"/>
      <c r="TE154" s="1056"/>
      <c r="TF154" s="1056"/>
      <c r="TG154" s="1056"/>
      <c r="TH154" s="1056"/>
      <c r="TI154" s="1056"/>
      <c r="TJ154" s="1056"/>
      <c r="TK154" s="1056"/>
      <c r="TL154" s="1056"/>
      <c r="TM154" s="1056"/>
      <c r="TN154" s="1056"/>
      <c r="TO154" s="1056"/>
      <c r="TP154" s="1056"/>
      <c r="TQ154" s="1056"/>
      <c r="TR154" s="1056"/>
      <c r="TS154" s="1056"/>
      <c r="TT154" s="1056"/>
      <c r="TU154" s="1056"/>
      <c r="TV154" s="1056"/>
      <c r="TW154" s="1056"/>
      <c r="TX154" s="1056"/>
      <c r="TY154" s="1056"/>
      <c r="TZ154" s="1056"/>
      <c r="UA154" s="1056"/>
      <c r="UB154" s="1056"/>
      <c r="UC154" s="1056"/>
      <c r="UD154" s="1056"/>
      <c r="UE154" s="1056"/>
      <c r="UF154" s="1056"/>
      <c r="UG154" s="1056"/>
      <c r="UH154" s="1056"/>
      <c r="UI154" s="1056"/>
      <c r="UJ154" s="1056"/>
      <c r="UK154" s="1056"/>
      <c r="UL154" s="1056"/>
      <c r="UM154" s="1056"/>
      <c r="UN154" s="1056"/>
      <c r="UO154" s="1056"/>
      <c r="UP154" s="1056"/>
      <c r="UQ154" s="1056"/>
      <c r="UR154" s="1056"/>
      <c r="US154" s="1056"/>
      <c r="UT154" s="1056"/>
      <c r="UU154" s="1056"/>
      <c r="UV154" s="1056"/>
      <c r="UW154" s="1056"/>
      <c r="UX154" s="1056"/>
      <c r="UY154" s="1056"/>
      <c r="UZ154" s="1056"/>
      <c r="VA154" s="1056"/>
      <c r="VB154" s="1056"/>
      <c r="VC154" s="1056"/>
      <c r="VD154" s="1056"/>
      <c r="VE154" s="1056"/>
      <c r="VF154" s="1056"/>
      <c r="VG154" s="1056"/>
      <c r="VH154" s="1056"/>
      <c r="VI154" s="1056"/>
      <c r="VJ154" s="1056"/>
      <c r="VK154" s="1056"/>
      <c r="VL154" s="1056"/>
      <c r="VM154" s="1056"/>
      <c r="VN154" s="1056"/>
      <c r="VO154" s="1056"/>
      <c r="VP154" s="1056"/>
      <c r="VQ154" s="1056"/>
      <c r="VR154" s="1056"/>
      <c r="VS154" s="1056"/>
      <c r="VT154" s="1056"/>
      <c r="VU154" s="1056"/>
      <c r="VV154" s="1056"/>
      <c r="VW154" s="1056"/>
      <c r="VX154" s="1056"/>
      <c r="VY154" s="1056"/>
      <c r="VZ154" s="1056"/>
      <c r="WA154" s="1056"/>
      <c r="WB154" s="1056"/>
      <c r="WC154" s="1056"/>
      <c r="WD154" s="1056"/>
      <c r="WE154" s="1056"/>
      <c r="WF154" s="1056"/>
      <c r="WG154" s="1056"/>
      <c r="WH154" s="1056"/>
      <c r="WI154" s="1056"/>
      <c r="WJ154" s="1056"/>
      <c r="WK154" s="1056"/>
      <c r="WL154" s="1056"/>
      <c r="WM154" s="1056"/>
      <c r="WN154" s="1056"/>
      <c r="WO154" s="1056"/>
      <c r="WP154" s="1056"/>
      <c r="WQ154" s="1056"/>
      <c r="WR154" s="1056"/>
      <c r="WS154" s="1056"/>
      <c r="WT154" s="1056"/>
      <c r="WU154" s="1056"/>
      <c r="WV154" s="1056"/>
      <c r="WW154" s="1056"/>
      <c r="WX154" s="1056"/>
      <c r="WY154" s="1056"/>
      <c r="WZ154" s="1056"/>
      <c r="XA154" s="1056"/>
      <c r="XB154" s="1056"/>
      <c r="XC154" s="1056"/>
      <c r="XD154" s="1056"/>
      <c r="XE154" s="1056"/>
      <c r="XF154" s="1056"/>
      <c r="XG154" s="1056"/>
      <c r="XH154" s="1056"/>
      <c r="XI154" s="1056"/>
      <c r="XJ154" s="1056"/>
      <c r="XK154" s="1056"/>
      <c r="XL154" s="1056"/>
      <c r="XM154" s="1056"/>
      <c r="XN154" s="1056"/>
      <c r="XO154" s="1056"/>
      <c r="XP154" s="1056"/>
      <c r="XQ154" s="1056"/>
      <c r="XR154" s="1056"/>
      <c r="XS154" s="1056"/>
      <c r="XT154" s="1056"/>
      <c r="XU154" s="1056"/>
      <c r="XV154" s="1056"/>
      <c r="XW154" s="1056"/>
      <c r="XX154" s="1056"/>
      <c r="XY154" s="1056"/>
      <c r="XZ154" s="1056"/>
      <c r="YA154" s="1056"/>
      <c r="YB154" s="1056"/>
      <c r="YC154" s="1056"/>
      <c r="YD154" s="1056"/>
      <c r="YE154" s="1056"/>
      <c r="YF154" s="1056"/>
      <c r="YG154" s="1056"/>
      <c r="YH154" s="1056"/>
      <c r="YI154" s="1056"/>
      <c r="YJ154" s="1056"/>
      <c r="YK154" s="1056"/>
      <c r="YL154" s="1056"/>
      <c r="YM154" s="1056"/>
      <c r="YN154" s="1056"/>
      <c r="YO154" s="1056"/>
      <c r="YP154" s="1056"/>
      <c r="YQ154" s="1056"/>
      <c r="YR154" s="1056"/>
      <c r="YS154" s="1056"/>
      <c r="YT154" s="1056"/>
      <c r="YU154" s="1056"/>
      <c r="YV154" s="1056"/>
      <c r="YW154" s="1056"/>
      <c r="YX154" s="1056"/>
      <c r="YY154" s="1056"/>
      <c r="YZ154" s="1056"/>
      <c r="ZA154" s="1056"/>
      <c r="ZB154" s="1056"/>
      <c r="ZC154" s="1056"/>
      <c r="ZD154" s="1056"/>
      <c r="ZE154" s="1056"/>
      <c r="ZF154" s="1056"/>
      <c r="ZG154" s="1056"/>
      <c r="ZH154" s="1056"/>
      <c r="ZI154" s="1056"/>
      <c r="ZJ154" s="1056"/>
      <c r="ZK154" s="1056"/>
      <c r="ZL154" s="1056"/>
      <c r="ZM154" s="1056"/>
      <c r="ZN154" s="1056"/>
      <c r="ZO154" s="1056"/>
      <c r="ZP154" s="1056"/>
      <c r="ZQ154" s="1056"/>
      <c r="ZR154" s="1056"/>
      <c r="ZS154" s="1056"/>
      <c r="ZT154" s="1056"/>
      <c r="ZU154" s="1056"/>
      <c r="ZV154" s="1056"/>
      <c r="ZW154" s="1056"/>
      <c r="ZX154" s="1056"/>
      <c r="ZY154" s="1056"/>
      <c r="ZZ154" s="1056"/>
      <c r="AAA154" s="1056"/>
      <c r="AAB154" s="1056"/>
      <c r="AAC154" s="1056"/>
      <c r="AAD154" s="1056"/>
      <c r="AAE154" s="1056"/>
      <c r="AAF154" s="1056"/>
      <c r="AAG154" s="1056"/>
      <c r="AAH154" s="1056"/>
      <c r="AAI154" s="1056"/>
      <c r="AAJ154" s="1056"/>
      <c r="AAK154" s="1056"/>
      <c r="AAL154" s="1056"/>
      <c r="AAM154" s="1056"/>
      <c r="AAN154" s="1056"/>
      <c r="AAO154" s="1056"/>
      <c r="AAP154" s="1056"/>
      <c r="AAQ154" s="1056"/>
      <c r="AAR154" s="1056"/>
      <c r="AAS154" s="1056"/>
      <c r="AAT154" s="1056"/>
      <c r="AAU154" s="1056"/>
      <c r="AAV154" s="1056"/>
      <c r="AAW154" s="1056"/>
      <c r="AAX154" s="1056"/>
      <c r="AAY154" s="1056"/>
      <c r="AAZ154" s="1056"/>
      <c r="ABA154" s="1056"/>
      <c r="ABB154" s="1056"/>
      <c r="ABC154" s="1056"/>
      <c r="ABD154" s="1056"/>
      <c r="ABE154" s="1056"/>
      <c r="ABF154" s="1056"/>
      <c r="ABG154" s="1056"/>
      <c r="ABH154" s="1056"/>
      <c r="ABI154" s="1056"/>
      <c r="ABJ154" s="1056"/>
      <c r="ABK154" s="1056"/>
      <c r="ABL154" s="1056"/>
      <c r="ABM154" s="1056"/>
      <c r="ABN154" s="1056"/>
      <c r="ABO154" s="1056"/>
      <c r="ABP154" s="1056"/>
      <c r="ABQ154" s="1056"/>
      <c r="ABR154" s="1056"/>
      <c r="ABS154" s="1056"/>
      <c r="ABT154" s="1056"/>
      <c r="ABU154" s="1056"/>
      <c r="ABV154" s="1056"/>
      <c r="ABW154" s="1056"/>
      <c r="ABX154" s="1056"/>
      <c r="ABY154" s="1056"/>
      <c r="ABZ154" s="1056"/>
      <c r="ACA154" s="1056"/>
      <c r="ACB154" s="1056"/>
      <c r="ACC154" s="1056"/>
      <c r="ACD154" s="1056"/>
      <c r="ACE154" s="1056"/>
      <c r="ACF154" s="1056"/>
      <c r="ACG154" s="1056"/>
      <c r="ACH154" s="1056"/>
      <c r="ACI154" s="1056"/>
      <c r="ACJ154" s="1056"/>
      <c r="ACK154" s="1056"/>
      <c r="ACL154" s="1056"/>
      <c r="ACM154" s="1056"/>
      <c r="ACN154" s="1056"/>
      <c r="ACO154" s="1056"/>
      <c r="ACP154" s="1056"/>
      <c r="ACQ154" s="1056"/>
      <c r="ACR154" s="1056"/>
      <c r="ACS154" s="1056"/>
      <c r="ACT154" s="1056"/>
      <c r="ACU154" s="1056"/>
      <c r="ACV154" s="1056"/>
      <c r="ACW154" s="1056"/>
      <c r="ACX154" s="1056"/>
      <c r="ACY154" s="1056"/>
      <c r="ACZ154" s="1056"/>
      <c r="ADA154" s="1056"/>
      <c r="ADB154" s="1056"/>
      <c r="ADC154" s="1056"/>
      <c r="ADD154" s="1056"/>
      <c r="ADE154" s="1056"/>
      <c r="ADF154" s="1056"/>
      <c r="ADG154" s="1056"/>
      <c r="ADH154" s="1056"/>
      <c r="ADI154" s="1056"/>
      <c r="ADJ154" s="1056"/>
      <c r="ADK154" s="1056"/>
      <c r="ADL154" s="1056"/>
      <c r="ADM154" s="1056"/>
      <c r="ADN154" s="1056"/>
      <c r="ADO154" s="1056"/>
      <c r="ADP154" s="1056"/>
      <c r="ADQ154" s="1056"/>
      <c r="ADR154" s="1056"/>
      <c r="ADS154" s="1056"/>
      <c r="ADT154" s="1056"/>
      <c r="ADU154" s="1056"/>
      <c r="ADV154" s="1056"/>
      <c r="ADW154" s="1056"/>
      <c r="ADX154" s="1056"/>
      <c r="ADY154" s="1056"/>
      <c r="ADZ154" s="1056"/>
      <c r="AEA154" s="1056"/>
      <c r="AEB154" s="1056"/>
      <c r="AEC154" s="1056"/>
      <c r="AED154" s="1056"/>
      <c r="AEE154" s="1056"/>
      <c r="AEF154" s="1056"/>
      <c r="AEG154" s="1056"/>
      <c r="AEH154" s="1056"/>
      <c r="AEI154" s="1056"/>
      <c r="AEJ154" s="1056"/>
      <c r="AEK154" s="1056"/>
      <c r="AEL154" s="1056"/>
      <c r="AEM154" s="1056"/>
      <c r="AEN154" s="1056"/>
      <c r="AEO154" s="1056"/>
      <c r="AEP154" s="1056"/>
      <c r="AEQ154" s="1056"/>
      <c r="AER154" s="1056"/>
      <c r="AES154" s="1056"/>
      <c r="AET154" s="1056"/>
      <c r="AEU154" s="1056"/>
      <c r="AEV154" s="1056"/>
      <c r="AEW154" s="1056"/>
      <c r="AEX154" s="1056"/>
      <c r="AEY154" s="1056"/>
      <c r="AEZ154" s="1056"/>
      <c r="AFA154" s="1056"/>
      <c r="AFB154" s="1056"/>
      <c r="AFC154" s="1056"/>
      <c r="AFD154" s="1056"/>
      <c r="AFE154" s="1056"/>
      <c r="AFF154" s="1056"/>
      <c r="AFG154" s="1056"/>
      <c r="AFH154" s="1056"/>
      <c r="AFI154" s="1056"/>
      <c r="AFJ154" s="1056"/>
      <c r="AFK154" s="1056"/>
      <c r="AFL154" s="1056"/>
      <c r="AFM154" s="1056"/>
      <c r="AFN154" s="1056"/>
      <c r="AFO154" s="1056"/>
      <c r="AFP154" s="1056"/>
      <c r="AFQ154" s="1056"/>
      <c r="AFR154" s="1056"/>
      <c r="AFS154" s="1056"/>
      <c r="AFT154" s="1056"/>
      <c r="AFU154" s="1056"/>
      <c r="AFV154" s="1056"/>
      <c r="AFW154" s="1056"/>
      <c r="AFX154" s="1056"/>
      <c r="AFY154" s="1056"/>
      <c r="AFZ154" s="1056"/>
      <c r="AGA154" s="1056"/>
      <c r="AGB154" s="1056"/>
      <c r="AGC154" s="1056"/>
      <c r="AGD154" s="1056"/>
      <c r="AGE154" s="1056"/>
      <c r="AGF154" s="1056"/>
      <c r="AGG154" s="1056"/>
      <c r="AGH154" s="1056"/>
      <c r="AGI154" s="1056"/>
      <c r="AGJ154" s="1056"/>
      <c r="AGK154" s="1056"/>
      <c r="AGL154" s="1056"/>
      <c r="AGM154" s="1056"/>
      <c r="AGN154" s="1056"/>
      <c r="AGO154" s="1056"/>
      <c r="AGP154" s="1056"/>
      <c r="AGQ154" s="1056"/>
      <c r="AGR154" s="1056"/>
      <c r="AGS154" s="1056"/>
      <c r="AGT154" s="1056"/>
      <c r="AGU154" s="1056"/>
      <c r="AGV154" s="1056"/>
      <c r="AGW154" s="1056"/>
      <c r="AGX154" s="1056"/>
      <c r="AGY154" s="1056"/>
      <c r="AGZ154" s="1056"/>
      <c r="AHA154" s="1056"/>
      <c r="AHB154" s="1056"/>
      <c r="AHC154" s="1056"/>
      <c r="AHD154" s="1056"/>
      <c r="AHE154" s="1056"/>
      <c r="AHF154" s="1056"/>
      <c r="AHG154" s="1056"/>
      <c r="AHH154" s="1056"/>
      <c r="AHI154" s="1056"/>
      <c r="AHJ154" s="1056"/>
      <c r="AHK154" s="1056"/>
      <c r="AHL154" s="1056"/>
      <c r="AHM154" s="1056"/>
      <c r="AHN154" s="1056"/>
      <c r="AHO154" s="1056"/>
      <c r="AHP154" s="1056"/>
      <c r="AHQ154" s="1056"/>
      <c r="AHR154" s="1056"/>
      <c r="AHS154" s="1056"/>
      <c r="AHT154" s="1056"/>
      <c r="AHU154" s="1056"/>
      <c r="AHV154" s="1056"/>
      <c r="AHW154" s="1056"/>
      <c r="AHX154" s="1056"/>
      <c r="AHY154" s="1056"/>
      <c r="AHZ154" s="1056"/>
      <c r="AIA154" s="1056"/>
      <c r="AIB154" s="1056"/>
      <c r="AIC154" s="1056"/>
      <c r="AID154" s="1056"/>
      <c r="AIE154" s="1056"/>
      <c r="AIF154" s="1056"/>
      <c r="AIG154" s="1056"/>
      <c r="AIH154" s="1056"/>
      <c r="AII154" s="1056"/>
      <c r="AIJ154" s="1056"/>
      <c r="AIK154" s="1056"/>
      <c r="AIL154" s="1056"/>
      <c r="AIM154" s="1056"/>
      <c r="AIN154" s="1056"/>
      <c r="AIO154" s="1056"/>
      <c r="AIP154" s="1056"/>
      <c r="AIQ154" s="1056"/>
      <c r="AIR154" s="1056"/>
      <c r="AIS154" s="1056"/>
      <c r="AIT154" s="1056"/>
      <c r="AIU154" s="1056"/>
      <c r="AIV154" s="1056"/>
      <c r="AIW154" s="1056"/>
      <c r="AIX154" s="1056"/>
      <c r="AIY154" s="1056"/>
      <c r="AIZ154" s="1056"/>
      <c r="AJA154" s="1056"/>
      <c r="AJB154" s="1056"/>
      <c r="AJC154" s="1056"/>
      <c r="AJD154" s="1056"/>
      <c r="AJE154" s="1056"/>
      <c r="AJF154" s="1056"/>
      <c r="AJG154" s="1056"/>
      <c r="AJH154" s="1056"/>
      <c r="AJI154" s="1056"/>
      <c r="AJJ154" s="1056"/>
      <c r="AJK154" s="1056"/>
      <c r="AJL154" s="1056"/>
      <c r="AJM154" s="1056"/>
      <c r="AJN154" s="1056"/>
      <c r="AJO154" s="1056"/>
      <c r="AJP154" s="1056"/>
      <c r="AJQ154" s="1056"/>
      <c r="AJR154" s="1056"/>
      <c r="AJS154" s="1056"/>
      <c r="AJT154" s="1056"/>
      <c r="AJU154" s="1056"/>
      <c r="AJV154" s="1056"/>
      <c r="AJW154" s="1056"/>
      <c r="AJX154" s="1056"/>
      <c r="AJY154" s="1056"/>
      <c r="AJZ154" s="1056"/>
      <c r="AKA154" s="1056"/>
      <c r="AKB154" s="1056"/>
      <c r="AKC154" s="1056"/>
      <c r="AKD154" s="1056"/>
      <c r="AKE154" s="1056"/>
      <c r="AKF154" s="1056"/>
      <c r="AKG154" s="1056"/>
      <c r="AKH154" s="1056"/>
      <c r="AKI154" s="1056"/>
      <c r="AKJ154" s="1056"/>
      <c r="AKK154" s="1056"/>
      <c r="AKL154" s="1056"/>
      <c r="AKM154" s="1056"/>
      <c r="AKN154" s="1056"/>
      <c r="AKO154" s="1056"/>
      <c r="AKP154" s="1056"/>
      <c r="AKQ154" s="1056"/>
      <c r="AKR154" s="1056"/>
      <c r="AKS154" s="1056"/>
      <c r="AKT154" s="1056"/>
      <c r="AKU154" s="1056"/>
      <c r="AKV154" s="1056"/>
      <c r="AKW154" s="1056"/>
      <c r="AKX154" s="1056"/>
      <c r="AKY154" s="1056"/>
      <c r="AKZ154" s="1056"/>
      <c r="ALA154" s="1056"/>
      <c r="ALB154" s="1056"/>
      <c r="ALC154" s="1056"/>
      <c r="ALD154" s="1056"/>
      <c r="ALE154" s="1056"/>
      <c r="ALF154" s="1056"/>
      <c r="ALG154" s="1056"/>
      <c r="ALH154" s="1056"/>
      <c r="ALI154" s="1056"/>
      <c r="ALJ154" s="1056"/>
      <c r="ALK154" s="1056"/>
      <c r="ALL154" s="1056"/>
      <c r="ALM154" s="1056"/>
      <c r="ALN154" s="1056"/>
      <c r="ALO154" s="1056"/>
      <c r="ALP154" s="1056"/>
      <c r="ALQ154" s="1056"/>
      <c r="ALR154" s="1056"/>
      <c r="ALS154" s="1056"/>
      <c r="ALT154" s="1056"/>
      <c r="ALU154" s="1056"/>
      <c r="ALV154" s="1056"/>
      <c r="ALW154" s="1056"/>
      <c r="ALX154" s="1056"/>
      <c r="ALY154" s="1056"/>
      <c r="ALZ154" s="1056"/>
      <c r="AMA154" s="1056"/>
      <c r="AMB154" s="1056"/>
      <c r="AMC154" s="1056"/>
      <c r="AMD154" s="1056"/>
      <c r="AME154" s="1056"/>
      <c r="AMF154" s="1056"/>
      <c r="AMG154" s="1056"/>
      <c r="AMH154" s="1056"/>
      <c r="AMI154" s="1056"/>
      <c r="AMJ154" s="1056"/>
      <c r="AMK154" s="1056"/>
      <c r="AML154" s="1056"/>
      <c r="AMM154" s="1056"/>
      <c r="AMN154" s="1056"/>
      <c r="AMO154" s="1056"/>
      <c r="AMP154" s="1056"/>
      <c r="AMQ154" s="1056"/>
      <c r="AMR154" s="1056"/>
      <c r="AMS154" s="1056"/>
      <c r="AMT154" s="1056"/>
      <c r="AMU154" s="1056"/>
      <c r="AMV154" s="1056"/>
      <c r="AMW154" s="1056"/>
      <c r="AMX154" s="1056"/>
      <c r="AMY154" s="1056"/>
      <c r="AMZ154" s="1056"/>
      <c r="ANA154" s="1056"/>
      <c r="ANB154" s="1056"/>
      <c r="ANC154" s="1056"/>
      <c r="AND154" s="1056"/>
      <c r="ANE154" s="1056"/>
      <c r="ANF154" s="1056"/>
      <c r="ANG154" s="1056"/>
      <c r="ANH154" s="1056"/>
      <c r="ANI154" s="1056"/>
      <c r="ANJ154" s="1056"/>
      <c r="ANK154" s="1056"/>
      <c r="ANL154" s="1056"/>
      <c r="ANM154" s="1056"/>
      <c r="ANN154" s="1056"/>
      <c r="ANO154" s="1056"/>
      <c r="ANP154" s="1056"/>
      <c r="ANQ154" s="1056"/>
      <c r="ANR154" s="1056"/>
      <c r="ANS154" s="1056"/>
      <c r="ANT154" s="1056"/>
      <c r="ANU154" s="1056"/>
      <c r="ANV154" s="1056"/>
      <c r="ANW154" s="1056"/>
      <c r="ANX154" s="1056"/>
      <c r="ANY154" s="1056"/>
      <c r="ANZ154" s="1056"/>
      <c r="AOA154" s="1056"/>
      <c r="AOB154" s="1056"/>
      <c r="AOC154" s="1056"/>
      <c r="AOD154" s="1056"/>
      <c r="AOE154" s="1056"/>
      <c r="AOF154" s="1056"/>
      <c r="AOG154" s="1056"/>
      <c r="AOH154" s="1056"/>
      <c r="AOI154" s="1056"/>
      <c r="AOJ154" s="1056"/>
      <c r="AOK154" s="1056"/>
      <c r="AOL154" s="1056"/>
      <c r="AOM154" s="1056"/>
      <c r="AON154" s="1056"/>
      <c r="AOO154" s="1056"/>
      <c r="AOP154" s="1056"/>
      <c r="AOQ154" s="1056"/>
      <c r="AOR154" s="1056"/>
      <c r="AOS154" s="1056"/>
      <c r="AOT154" s="1056"/>
      <c r="AOU154" s="1056"/>
      <c r="AOV154" s="1056"/>
      <c r="AOW154" s="1056"/>
      <c r="AOX154" s="1056"/>
      <c r="AOY154" s="1056"/>
      <c r="AOZ154" s="1056"/>
      <c r="APA154" s="1056"/>
      <c r="APB154" s="1056"/>
      <c r="APC154" s="1056"/>
      <c r="APD154" s="1056"/>
      <c r="APE154" s="1056"/>
      <c r="APF154" s="1056"/>
      <c r="APG154" s="1056"/>
      <c r="APH154" s="1056"/>
      <c r="API154" s="1056"/>
      <c r="APJ154" s="1056"/>
      <c r="APK154" s="1056"/>
      <c r="APL154" s="1056"/>
      <c r="APM154" s="1056"/>
      <c r="APN154" s="1056"/>
      <c r="APO154" s="1056"/>
      <c r="APP154" s="1056"/>
      <c r="APQ154" s="1056"/>
      <c r="APR154" s="1056"/>
      <c r="APS154" s="1056"/>
      <c r="APT154" s="1056"/>
      <c r="APU154" s="1056"/>
      <c r="APV154" s="1056"/>
      <c r="APW154" s="1056"/>
      <c r="APX154" s="1056"/>
      <c r="APY154" s="1056"/>
      <c r="APZ154" s="1056"/>
      <c r="AQA154" s="1056"/>
      <c r="AQB154" s="1056"/>
      <c r="AQC154" s="1056"/>
      <c r="AQD154" s="1056"/>
      <c r="AQE154" s="1056"/>
      <c r="AQF154" s="1056"/>
      <c r="AQG154" s="1056"/>
      <c r="AQH154" s="1056"/>
      <c r="AQI154" s="1056"/>
      <c r="AQJ154" s="1056"/>
      <c r="AQK154" s="1056"/>
      <c r="AQL154" s="1056"/>
      <c r="AQM154" s="1056"/>
      <c r="AQN154" s="1056"/>
      <c r="AQO154" s="1056"/>
      <c r="AQP154" s="1056"/>
      <c r="AQQ154" s="1056"/>
      <c r="AQR154" s="1056"/>
      <c r="AQS154" s="1056"/>
      <c r="AQT154" s="1056"/>
      <c r="AQU154" s="1056"/>
      <c r="AQV154" s="1056"/>
      <c r="AQW154" s="1056"/>
      <c r="AQX154" s="1056"/>
      <c r="AQY154" s="1056"/>
      <c r="AQZ154" s="1056"/>
      <c r="ARA154" s="1056"/>
      <c r="ARB154" s="1056"/>
      <c r="ARC154" s="1056"/>
      <c r="ARD154" s="1056"/>
      <c r="ARE154" s="1056"/>
      <c r="ARF154" s="1056"/>
      <c r="ARG154" s="1056"/>
      <c r="ARH154" s="1056"/>
      <c r="ARI154" s="1056"/>
      <c r="ARJ154" s="1056"/>
      <c r="ARK154" s="1056"/>
      <c r="ARL154" s="1056"/>
      <c r="ARM154" s="1056"/>
      <c r="ARN154" s="1056"/>
      <c r="ARO154" s="1056"/>
      <c r="ARP154" s="1056"/>
      <c r="ARQ154" s="1056"/>
      <c r="ARR154" s="1056"/>
      <c r="ARS154" s="1056"/>
      <c r="ART154" s="1056"/>
      <c r="ARU154" s="1056"/>
      <c r="ARV154" s="1056"/>
      <c r="ARW154" s="1056"/>
      <c r="ARX154" s="1056"/>
      <c r="ARY154" s="1056"/>
      <c r="ARZ154" s="1056"/>
      <c r="ASA154" s="1056"/>
      <c r="ASB154" s="1056"/>
      <c r="ASC154" s="1056"/>
      <c r="ASD154" s="1056"/>
      <c r="ASE154" s="1056"/>
      <c r="ASF154" s="1056"/>
      <c r="ASG154" s="1056"/>
      <c r="ASH154" s="1056"/>
      <c r="ASI154" s="1056"/>
      <c r="ASJ154" s="1056"/>
      <c r="ASK154" s="1056"/>
      <c r="ASL154" s="1056"/>
      <c r="ASM154" s="1056"/>
      <c r="ASN154" s="1056"/>
      <c r="ASO154" s="1056"/>
      <c r="ASP154" s="1056"/>
      <c r="ASQ154" s="1056"/>
      <c r="ASR154" s="1056"/>
      <c r="ASS154" s="1056"/>
      <c r="AST154" s="1056"/>
      <c r="ASU154" s="1056"/>
      <c r="ASV154" s="1056"/>
      <c r="ASW154" s="1056"/>
      <c r="ASX154" s="1056"/>
      <c r="ASY154" s="1056"/>
      <c r="ASZ154" s="1056"/>
      <c r="ATA154" s="1056"/>
      <c r="ATB154" s="1056"/>
      <c r="ATC154" s="1056"/>
      <c r="ATD154" s="1056"/>
      <c r="ATE154" s="1056"/>
      <c r="ATF154" s="1056"/>
      <c r="ATG154" s="1056"/>
      <c r="ATH154" s="1056"/>
      <c r="ATI154" s="1056"/>
      <c r="ATJ154" s="1056"/>
      <c r="ATK154" s="1056"/>
      <c r="ATL154" s="1056"/>
      <c r="ATM154" s="1056"/>
      <c r="ATN154" s="1056"/>
      <c r="ATO154" s="1056"/>
      <c r="ATP154" s="1056"/>
      <c r="ATQ154" s="1056"/>
      <c r="ATR154" s="1056"/>
      <c r="ATS154" s="1056"/>
      <c r="ATT154" s="1056"/>
      <c r="ATU154" s="1056"/>
      <c r="ATV154" s="1056"/>
      <c r="ATW154" s="1056"/>
      <c r="ATX154" s="1056"/>
      <c r="ATY154" s="1056"/>
      <c r="ATZ154" s="1056"/>
      <c r="AUA154" s="1056"/>
      <c r="AUB154" s="1056"/>
      <c r="AUC154" s="1056"/>
      <c r="AUD154" s="1056"/>
      <c r="AUE154" s="1056"/>
      <c r="AUF154" s="1056"/>
      <c r="AUG154" s="1056"/>
      <c r="AUH154" s="1056"/>
      <c r="AUI154" s="1056"/>
      <c r="AUJ154" s="1056"/>
      <c r="AUK154" s="1056"/>
      <c r="AUL154" s="1056"/>
      <c r="AUM154" s="1056"/>
      <c r="AUN154" s="1056"/>
      <c r="AUO154" s="1056"/>
      <c r="AUP154" s="1056"/>
      <c r="AUQ154" s="1056"/>
      <c r="AUR154" s="1056"/>
      <c r="AUS154" s="1056"/>
      <c r="AUT154" s="1056"/>
      <c r="AUU154" s="1056"/>
      <c r="AUV154" s="1056"/>
      <c r="AUW154" s="1056"/>
      <c r="AUX154" s="1056"/>
      <c r="AUY154" s="1056"/>
      <c r="AUZ154" s="1056"/>
      <c r="AVA154" s="1056"/>
      <c r="AVB154" s="1056"/>
      <c r="AVC154" s="1056"/>
      <c r="AVD154" s="1056"/>
      <c r="AVE154" s="1056"/>
      <c r="AVF154" s="1056"/>
      <c r="AVG154" s="1056"/>
      <c r="AVH154" s="1056"/>
      <c r="AVI154" s="1056"/>
      <c r="AVJ154" s="1056"/>
      <c r="AVK154" s="1056"/>
      <c r="AVL154" s="1056"/>
      <c r="AVM154" s="1056"/>
      <c r="AVN154" s="1056"/>
      <c r="AVO154" s="1056"/>
      <c r="AVP154" s="1056"/>
      <c r="AVQ154" s="1056"/>
      <c r="AVR154" s="1056"/>
      <c r="AVS154" s="1056"/>
      <c r="AVT154" s="1056"/>
      <c r="AVU154" s="1056"/>
      <c r="AVV154" s="1056"/>
      <c r="AVW154" s="1056"/>
      <c r="AVX154" s="1056"/>
      <c r="AVY154" s="1056"/>
      <c r="AVZ154" s="1056"/>
      <c r="AWA154" s="1056"/>
      <c r="AWB154" s="1056"/>
      <c r="AWC154" s="1056"/>
      <c r="AWD154" s="1056"/>
      <c r="AWE154" s="1056"/>
      <c r="AWF154" s="1056"/>
      <c r="AWG154" s="1056"/>
      <c r="AWH154" s="1056"/>
      <c r="AWI154" s="1056"/>
      <c r="AWJ154" s="1056"/>
      <c r="AWK154" s="1056"/>
      <c r="AWL154" s="1056"/>
      <c r="AWM154" s="1056"/>
      <c r="AWN154" s="1056"/>
      <c r="AWO154" s="1056"/>
      <c r="AWP154" s="1056"/>
      <c r="AWQ154" s="1056"/>
      <c r="AWR154" s="1056"/>
      <c r="AWS154" s="1056"/>
      <c r="AWT154" s="1056"/>
      <c r="AWU154" s="1056"/>
      <c r="AWV154" s="1056"/>
      <c r="AWW154" s="1056"/>
      <c r="AWX154" s="1056"/>
      <c r="AWY154" s="1056"/>
      <c r="AWZ154" s="1056"/>
      <c r="AXA154" s="1056"/>
      <c r="AXB154" s="1056"/>
      <c r="AXC154" s="1056"/>
      <c r="AXD154" s="1056"/>
      <c r="AXE154" s="1056"/>
      <c r="AXF154" s="1056"/>
      <c r="AXG154" s="1056"/>
      <c r="AXH154" s="1056"/>
      <c r="AXI154" s="1056"/>
      <c r="AXJ154" s="1056"/>
      <c r="AXK154" s="1056"/>
      <c r="AXL154" s="1056"/>
      <c r="AXM154" s="1056"/>
      <c r="AXN154" s="1056"/>
      <c r="AXO154" s="1056"/>
      <c r="AXP154" s="1056"/>
      <c r="AXQ154" s="1056"/>
      <c r="AXR154" s="1056"/>
      <c r="AXS154" s="1056"/>
      <c r="AXT154" s="1056"/>
      <c r="AXU154" s="1056"/>
      <c r="AXV154" s="1056"/>
      <c r="AXW154" s="1056"/>
      <c r="AXX154" s="1056"/>
      <c r="AXY154" s="1056"/>
      <c r="AXZ154" s="1056"/>
      <c r="AYA154" s="1056"/>
      <c r="AYB154" s="1056"/>
      <c r="AYC154" s="1056"/>
      <c r="AYD154" s="1056"/>
      <c r="AYE154" s="1056"/>
      <c r="AYF154" s="1056"/>
      <c r="AYG154" s="1056"/>
      <c r="AYH154" s="1056"/>
      <c r="AYI154" s="1056"/>
      <c r="AYJ154" s="1056"/>
      <c r="AYK154" s="1056"/>
      <c r="AYL154" s="1056"/>
      <c r="AYM154" s="1056"/>
      <c r="AYN154" s="1056"/>
      <c r="AYO154" s="1056"/>
      <c r="AYP154" s="1056"/>
      <c r="AYQ154" s="1056"/>
      <c r="AYR154" s="1056"/>
      <c r="AYS154" s="1056"/>
      <c r="AYT154" s="1056"/>
      <c r="AYU154" s="1056"/>
      <c r="AYV154" s="1056"/>
      <c r="AYW154" s="1056"/>
      <c r="AYX154" s="1056"/>
      <c r="AYY154" s="1056"/>
      <c r="AYZ154" s="1056"/>
      <c r="AZA154" s="1056"/>
      <c r="AZB154" s="1056"/>
      <c r="AZC154" s="1056"/>
      <c r="AZD154" s="1056"/>
      <c r="AZE154" s="1056"/>
      <c r="AZF154" s="1056"/>
      <c r="AZG154" s="1056"/>
      <c r="AZH154" s="1056"/>
      <c r="AZI154" s="1056"/>
      <c r="AZJ154" s="1056"/>
      <c r="AZK154" s="1056"/>
      <c r="AZL154" s="1056"/>
      <c r="AZM154" s="1056"/>
      <c r="AZN154" s="1056"/>
      <c r="AZO154" s="1056"/>
      <c r="AZP154" s="1056"/>
      <c r="AZQ154" s="1056"/>
      <c r="AZR154" s="1056"/>
      <c r="AZS154" s="1056"/>
      <c r="AZT154" s="1056"/>
      <c r="AZU154" s="1056"/>
      <c r="AZV154" s="1056"/>
      <c r="AZW154" s="1056"/>
      <c r="AZX154" s="1056"/>
      <c r="AZY154" s="1056"/>
      <c r="AZZ154" s="1056"/>
      <c r="BAA154" s="1056"/>
      <c r="BAB154" s="1056"/>
      <c r="BAC154" s="1056"/>
      <c r="BAD154" s="1056"/>
      <c r="BAE154" s="1056"/>
      <c r="BAF154" s="1056"/>
      <c r="BAG154" s="1056"/>
      <c r="BAH154" s="1056"/>
      <c r="BAI154" s="1056"/>
      <c r="BAJ154" s="1056"/>
      <c r="BAK154" s="1056"/>
      <c r="BAL154" s="1056"/>
      <c r="BAM154" s="1056"/>
      <c r="BAN154" s="1056"/>
      <c r="BAO154" s="1056"/>
      <c r="BAP154" s="1056"/>
      <c r="BAQ154" s="1056"/>
      <c r="BAR154" s="1056"/>
      <c r="BAS154" s="1056"/>
      <c r="BAT154" s="1056"/>
      <c r="BAU154" s="1056"/>
      <c r="BAV154" s="1056"/>
      <c r="BAW154" s="1056"/>
      <c r="BAX154" s="1056"/>
      <c r="BAY154" s="1056"/>
      <c r="BAZ154" s="1056"/>
      <c r="BBA154" s="1056"/>
      <c r="BBB154" s="1056"/>
      <c r="BBC154" s="1056"/>
      <c r="BBD154" s="1056"/>
      <c r="BBE154" s="1056"/>
      <c r="BBF154" s="1056"/>
      <c r="BBG154" s="1056"/>
      <c r="BBH154" s="1056"/>
      <c r="BBI154" s="1056"/>
      <c r="BBJ154" s="1056"/>
      <c r="BBK154" s="1056"/>
      <c r="BBL154" s="1056"/>
      <c r="BBM154" s="1056"/>
      <c r="BBN154" s="1056"/>
      <c r="BBO154" s="1056"/>
      <c r="BBP154" s="1056"/>
      <c r="BBQ154" s="1056"/>
      <c r="BBR154" s="1056"/>
      <c r="BBS154" s="1056"/>
      <c r="BBT154" s="1056"/>
      <c r="BBU154" s="1056"/>
      <c r="BBV154" s="1056"/>
      <c r="BBW154" s="1056"/>
      <c r="BBX154" s="1056"/>
      <c r="BBY154" s="1056"/>
      <c r="BBZ154" s="1056"/>
      <c r="BCA154" s="1056"/>
      <c r="BCB154" s="1056"/>
      <c r="BCC154" s="1056"/>
      <c r="BCD154" s="1056"/>
      <c r="BCE154" s="1056"/>
      <c r="BCF154" s="1056"/>
      <c r="BCG154" s="1056"/>
      <c r="BCH154" s="1056"/>
      <c r="BCI154" s="1056"/>
      <c r="BCJ154" s="1056"/>
      <c r="BCK154" s="1056"/>
      <c r="BCL154" s="1056"/>
      <c r="BCM154" s="1056"/>
      <c r="BCN154" s="1056"/>
      <c r="BCO154" s="1056"/>
      <c r="BCP154" s="1056"/>
      <c r="BCQ154" s="1056"/>
      <c r="BCR154" s="1056"/>
      <c r="BCS154" s="1056"/>
      <c r="BCT154" s="1056"/>
      <c r="BCU154" s="1056"/>
      <c r="BCV154" s="1056"/>
      <c r="BCW154" s="1056"/>
      <c r="BCX154" s="1056"/>
      <c r="BCY154" s="1056"/>
      <c r="BCZ154" s="1056"/>
      <c r="BDA154" s="1056"/>
      <c r="BDB154" s="1056"/>
      <c r="BDC154" s="1056"/>
      <c r="BDD154" s="1056"/>
      <c r="BDE154" s="1056"/>
      <c r="BDF154" s="1056"/>
      <c r="BDG154" s="1056"/>
      <c r="BDH154" s="1056"/>
      <c r="BDI154" s="1056"/>
      <c r="BDJ154" s="1056"/>
      <c r="BDK154" s="1056"/>
      <c r="BDL154" s="1056"/>
      <c r="BDM154" s="1056"/>
      <c r="BDN154" s="1056"/>
      <c r="BDO154" s="1056"/>
      <c r="BDP154" s="1056"/>
      <c r="BDQ154" s="1056"/>
      <c r="BDR154" s="1056"/>
      <c r="BDS154" s="1056"/>
      <c r="BDT154" s="1056"/>
      <c r="BDU154" s="1056"/>
      <c r="BDV154" s="1056"/>
      <c r="BDW154" s="1056"/>
      <c r="BDX154" s="1056"/>
      <c r="BDY154" s="1056"/>
      <c r="BDZ154" s="1056"/>
      <c r="BEA154" s="1056"/>
      <c r="BEB154" s="1056"/>
      <c r="BEC154" s="1056"/>
      <c r="BED154" s="1056"/>
      <c r="BEE154" s="1056"/>
      <c r="BEF154" s="1056"/>
      <c r="BEG154" s="1056"/>
      <c r="BEH154" s="1056"/>
      <c r="BEI154" s="1056"/>
      <c r="BEJ154" s="1056"/>
      <c r="BEK154" s="1056"/>
      <c r="BEL154" s="1056"/>
      <c r="BEM154" s="1056"/>
      <c r="BEN154" s="1056"/>
      <c r="BEO154" s="1056"/>
      <c r="BEP154" s="1056"/>
      <c r="BEQ154" s="1056"/>
      <c r="BER154" s="1056"/>
      <c r="BES154" s="1056"/>
      <c r="BET154" s="1056"/>
      <c r="BEU154" s="1056"/>
      <c r="BEV154" s="1056"/>
      <c r="BEW154" s="1056"/>
      <c r="BEX154" s="1056"/>
      <c r="BEY154" s="1056"/>
      <c r="BEZ154" s="1056"/>
      <c r="BFA154" s="1056"/>
      <c r="BFB154" s="1056"/>
      <c r="BFC154" s="1056"/>
      <c r="BFD154" s="1056"/>
      <c r="BFE154" s="1056"/>
      <c r="BFF154" s="1056"/>
      <c r="BFG154" s="1056"/>
      <c r="BFH154" s="1056"/>
      <c r="BFI154" s="1056"/>
      <c r="BFJ154" s="1056"/>
      <c r="BFK154" s="1056"/>
      <c r="BFL154" s="1056"/>
      <c r="BFM154" s="1056"/>
      <c r="BFN154" s="1056"/>
      <c r="BFO154" s="1056"/>
      <c r="BFP154" s="1056"/>
      <c r="BFQ154" s="1056"/>
      <c r="BFR154" s="1056"/>
      <c r="BFS154" s="1056"/>
      <c r="BFT154" s="1056"/>
      <c r="BFU154" s="1056"/>
      <c r="BFV154" s="1056"/>
      <c r="BFW154" s="1056"/>
      <c r="BFX154" s="1056"/>
      <c r="BFY154" s="1056"/>
      <c r="BFZ154" s="1056"/>
      <c r="BGA154" s="1056"/>
      <c r="BGB154" s="1056"/>
      <c r="BGC154" s="1056"/>
      <c r="BGD154" s="1056"/>
      <c r="BGE154" s="1056"/>
      <c r="BGF154" s="1056"/>
      <c r="BGG154" s="1056"/>
      <c r="BGH154" s="1056"/>
      <c r="BGI154" s="1056"/>
      <c r="BGJ154" s="1056"/>
      <c r="BGK154" s="1056"/>
      <c r="BGL154" s="1056"/>
      <c r="BGM154" s="1056"/>
      <c r="BGN154" s="1056"/>
      <c r="BGO154" s="1056"/>
      <c r="BGP154" s="1056"/>
      <c r="BGQ154" s="1056"/>
      <c r="BGR154" s="1056"/>
      <c r="BGS154" s="1056"/>
      <c r="BGT154" s="1056"/>
      <c r="BGU154" s="1056"/>
      <c r="BGV154" s="1056"/>
      <c r="BGW154" s="1056"/>
      <c r="BGX154" s="1056"/>
      <c r="BGY154" s="1056"/>
      <c r="BGZ154" s="1056"/>
      <c r="BHA154" s="1056"/>
      <c r="BHB154" s="1056"/>
      <c r="BHC154" s="1056"/>
      <c r="BHD154" s="1056"/>
      <c r="BHE154" s="1056"/>
      <c r="BHF154" s="1056"/>
      <c r="BHG154" s="1056"/>
      <c r="BHH154" s="1056"/>
      <c r="BHI154" s="1056"/>
      <c r="BHJ154" s="1056"/>
      <c r="BHK154" s="1056"/>
      <c r="BHL154" s="1056"/>
      <c r="BHM154" s="1056"/>
      <c r="BHN154" s="1056"/>
      <c r="BHO154" s="1056"/>
      <c r="BHP154" s="1056"/>
      <c r="BHQ154" s="1056"/>
      <c r="BHR154" s="1056"/>
      <c r="BHS154" s="1056"/>
      <c r="BHT154" s="1056"/>
      <c r="BHU154" s="1056"/>
      <c r="BHV154" s="1056"/>
      <c r="BHW154" s="1056"/>
      <c r="BHX154" s="1056"/>
      <c r="BHY154" s="1056"/>
      <c r="BHZ154" s="1056"/>
      <c r="BIA154" s="1056"/>
      <c r="BIB154" s="1056"/>
      <c r="BIC154" s="1056"/>
      <c r="BID154" s="1056"/>
      <c r="BIE154" s="1056"/>
      <c r="BIF154" s="1056"/>
      <c r="BIG154" s="1056"/>
      <c r="BIH154" s="1056"/>
      <c r="BII154" s="1056"/>
      <c r="BIJ154" s="1056"/>
      <c r="BIK154" s="1056"/>
      <c r="BIL154" s="1056"/>
      <c r="BIM154" s="1056"/>
      <c r="BIN154" s="1056"/>
      <c r="BIO154" s="1056"/>
      <c r="BIP154" s="1056"/>
      <c r="BIQ154" s="1056"/>
      <c r="BIR154" s="1056"/>
      <c r="BIS154" s="1056"/>
      <c r="BIT154" s="1056"/>
      <c r="BIU154" s="1056"/>
      <c r="BIV154" s="1056"/>
      <c r="BIW154" s="1056"/>
      <c r="BIX154" s="1056"/>
      <c r="BIY154" s="1056"/>
      <c r="BIZ154" s="1056"/>
      <c r="BJA154" s="1056"/>
      <c r="BJB154" s="1056"/>
      <c r="BJC154" s="1056"/>
      <c r="BJD154" s="1056"/>
      <c r="BJE154" s="1056"/>
      <c r="BJF154" s="1056"/>
      <c r="BJG154" s="1056"/>
      <c r="BJH154" s="1056"/>
      <c r="BJI154" s="1056"/>
      <c r="BJJ154" s="1056"/>
      <c r="BJK154" s="1056"/>
      <c r="BJL154" s="1056"/>
      <c r="BJM154" s="1056"/>
      <c r="BJN154" s="1056"/>
      <c r="BJO154" s="1056"/>
      <c r="BJP154" s="1056"/>
      <c r="BJQ154" s="1056"/>
      <c r="BJR154" s="1056"/>
      <c r="BJS154" s="1056"/>
      <c r="BJT154" s="1056"/>
      <c r="BJU154" s="1056"/>
      <c r="BJV154" s="1056"/>
      <c r="BJW154" s="1056"/>
      <c r="BJX154" s="1056"/>
      <c r="BJY154" s="1056"/>
      <c r="BJZ154" s="1056"/>
      <c r="BKA154" s="1056"/>
      <c r="BKB154" s="1056"/>
      <c r="BKC154" s="1056"/>
      <c r="BKD154" s="1056"/>
      <c r="BKE154" s="1056"/>
      <c r="BKF154" s="1056"/>
      <c r="BKG154" s="1056"/>
      <c r="BKH154" s="1056"/>
      <c r="BKI154" s="1056"/>
      <c r="BKJ154" s="1056"/>
      <c r="BKK154" s="1056"/>
      <c r="BKL154" s="1056"/>
      <c r="BKM154" s="1056"/>
      <c r="BKN154" s="1056"/>
      <c r="BKO154" s="1056"/>
      <c r="BKP154" s="1056"/>
      <c r="BKQ154" s="1056"/>
      <c r="BKR154" s="1056"/>
      <c r="BKS154" s="1056"/>
      <c r="BKT154" s="1056"/>
      <c r="BKU154" s="1056"/>
      <c r="BKV154" s="1056"/>
      <c r="BKW154" s="1056"/>
      <c r="BKX154" s="1056"/>
      <c r="BKY154" s="1056"/>
      <c r="BKZ154" s="1056"/>
      <c r="BLA154" s="1056"/>
      <c r="BLB154" s="1056"/>
      <c r="BLC154" s="1056"/>
      <c r="BLD154" s="1056"/>
      <c r="BLE154" s="1056"/>
      <c r="BLF154" s="1056"/>
      <c r="BLG154" s="1056"/>
      <c r="BLH154" s="1056"/>
      <c r="BLI154" s="1056"/>
      <c r="BLJ154" s="1056"/>
      <c r="BLK154" s="1056"/>
      <c r="BLL154" s="1056"/>
      <c r="BLM154" s="1056"/>
      <c r="BLN154" s="1056"/>
      <c r="BLO154" s="1056"/>
      <c r="BLP154" s="1056"/>
      <c r="BLQ154" s="1056"/>
      <c r="BLR154" s="1056"/>
      <c r="BLS154" s="1056"/>
      <c r="BLT154" s="1056"/>
      <c r="BLU154" s="1056"/>
      <c r="BLV154" s="1056"/>
      <c r="BLW154" s="1056"/>
      <c r="BLX154" s="1056"/>
      <c r="BLY154" s="1056"/>
      <c r="BLZ154" s="1056"/>
      <c r="BMA154" s="1056"/>
      <c r="BMB154" s="1056"/>
      <c r="BMC154" s="1056"/>
      <c r="BMD154" s="1056"/>
      <c r="BME154" s="1056"/>
      <c r="BMF154" s="1056"/>
      <c r="BMG154" s="1056"/>
      <c r="BMH154" s="1056"/>
      <c r="BMI154" s="1056"/>
      <c r="BMJ154" s="1056"/>
      <c r="BMK154" s="1056"/>
      <c r="BML154" s="1056"/>
      <c r="BMM154" s="1056"/>
      <c r="BMN154" s="1056"/>
      <c r="BMO154" s="1056"/>
      <c r="BMP154" s="1056"/>
      <c r="BMQ154" s="1056"/>
      <c r="BMR154" s="1056"/>
      <c r="BMS154" s="1056"/>
      <c r="BMT154" s="1056"/>
      <c r="BMU154" s="1056"/>
      <c r="BMV154" s="1056"/>
      <c r="BMW154" s="1056"/>
      <c r="BMX154" s="1056"/>
      <c r="BMY154" s="1056"/>
      <c r="BMZ154" s="1056"/>
      <c r="BNA154" s="1056"/>
      <c r="BNB154" s="1056"/>
      <c r="BNC154" s="1056"/>
      <c r="BND154" s="1056"/>
      <c r="BNE154" s="1056"/>
      <c r="BNF154" s="1056"/>
      <c r="BNG154" s="1056"/>
      <c r="BNH154" s="1056"/>
      <c r="BNI154" s="1056"/>
      <c r="BNJ154" s="1056"/>
      <c r="BNK154" s="1056"/>
      <c r="BNL154" s="1056"/>
      <c r="BNM154" s="1056"/>
      <c r="BNN154" s="1056"/>
      <c r="BNO154" s="1056"/>
      <c r="BNP154" s="1056"/>
      <c r="BNQ154" s="1056"/>
      <c r="BNR154" s="1056"/>
      <c r="BNS154" s="1056"/>
      <c r="BNT154" s="1056"/>
      <c r="BNU154" s="1056"/>
      <c r="BNV154" s="1056"/>
      <c r="BNW154" s="1056"/>
      <c r="BNX154" s="1056"/>
      <c r="BNY154" s="1056"/>
      <c r="BNZ154" s="1056"/>
      <c r="BOA154" s="1056"/>
      <c r="BOB154" s="1056"/>
      <c r="BOC154" s="1056"/>
      <c r="BOD154" s="1056"/>
      <c r="BOE154" s="1056"/>
      <c r="BOF154" s="1056"/>
      <c r="BOG154" s="1056"/>
      <c r="BOH154" s="1056"/>
      <c r="BOI154" s="1056"/>
      <c r="BOJ154" s="1056"/>
      <c r="BOK154" s="1056"/>
      <c r="BOL154" s="1056"/>
      <c r="BOM154" s="1056"/>
      <c r="BON154" s="1056"/>
      <c r="BOO154" s="1056"/>
      <c r="BOP154" s="1056"/>
      <c r="BOQ154" s="1056"/>
      <c r="BOR154" s="1056"/>
      <c r="BOS154" s="1056"/>
      <c r="BOT154" s="1056"/>
      <c r="BOU154" s="1056"/>
      <c r="BOV154" s="1056"/>
      <c r="BOW154" s="1056"/>
      <c r="BOX154" s="1056"/>
      <c r="BOY154" s="1056"/>
      <c r="BOZ154" s="1056"/>
      <c r="BPA154" s="1056"/>
      <c r="BPB154" s="1056"/>
      <c r="BPC154" s="1056"/>
      <c r="BPD154" s="1056"/>
      <c r="BPE154" s="1056"/>
      <c r="BPF154" s="1056"/>
      <c r="BPG154" s="1056"/>
      <c r="BPH154" s="1056"/>
      <c r="BPI154" s="1056"/>
      <c r="BPJ154" s="1056"/>
      <c r="BPK154" s="1056"/>
      <c r="BPL154" s="1056"/>
      <c r="BPM154" s="1056"/>
      <c r="BPN154" s="1056"/>
      <c r="BPO154" s="1056"/>
      <c r="BPP154" s="1056"/>
      <c r="BPQ154" s="1056"/>
      <c r="BPR154" s="1056"/>
      <c r="BPS154" s="1056"/>
      <c r="BPT154" s="1056"/>
      <c r="BPU154" s="1056"/>
      <c r="BPV154" s="1056"/>
      <c r="BPW154" s="1056"/>
      <c r="BPX154" s="1056"/>
      <c r="BPY154" s="1056"/>
      <c r="BPZ154" s="1056"/>
      <c r="BQA154" s="1056"/>
      <c r="BQB154" s="1056"/>
      <c r="BQC154" s="1056"/>
      <c r="BQD154" s="1056"/>
      <c r="BQE154" s="1056"/>
      <c r="BQF154" s="1056"/>
      <c r="BQG154" s="1056"/>
      <c r="BQH154" s="1056"/>
      <c r="BQI154" s="1056"/>
      <c r="BQJ154" s="1056"/>
      <c r="BQK154" s="1056"/>
      <c r="BQL154" s="1056"/>
      <c r="BQM154" s="1056"/>
      <c r="BQN154" s="1056"/>
      <c r="BQO154" s="1056"/>
      <c r="BQP154" s="1056"/>
      <c r="BQQ154" s="1056"/>
      <c r="BQR154" s="1056"/>
      <c r="BQS154" s="1056"/>
      <c r="BQT154" s="1056"/>
      <c r="BQU154" s="1056"/>
      <c r="BQV154" s="1056"/>
      <c r="BQW154" s="1056"/>
      <c r="BQX154" s="1056"/>
      <c r="BQY154" s="1056"/>
      <c r="BQZ154" s="1056"/>
      <c r="BRA154" s="1056"/>
      <c r="BRB154" s="1056"/>
      <c r="BRC154" s="1056"/>
      <c r="BRD154" s="1056"/>
      <c r="BRE154" s="1056"/>
      <c r="BRF154" s="1056"/>
      <c r="BRG154" s="1056"/>
      <c r="BRH154" s="1056"/>
      <c r="BRI154" s="1056"/>
      <c r="BRJ154" s="1056"/>
      <c r="BRK154" s="1056"/>
      <c r="BRL154" s="1056"/>
      <c r="BRM154" s="1056"/>
      <c r="BRN154" s="1056"/>
      <c r="BRO154" s="1056"/>
      <c r="BRP154" s="1056"/>
      <c r="BRQ154" s="1056"/>
      <c r="BRR154" s="1056"/>
      <c r="BRS154" s="1056"/>
      <c r="BRT154" s="1056"/>
      <c r="BRU154" s="1056"/>
      <c r="BRV154" s="1056"/>
      <c r="BRW154" s="1056"/>
      <c r="BRX154" s="1056"/>
      <c r="BRY154" s="1056"/>
      <c r="BRZ154" s="1056"/>
      <c r="BSA154" s="1056"/>
      <c r="BSB154" s="1056"/>
      <c r="BSC154" s="1056"/>
      <c r="BSD154" s="1056"/>
      <c r="BSE154" s="1056"/>
      <c r="BSF154" s="1056"/>
      <c r="BSG154" s="1056"/>
      <c r="BSH154" s="1056"/>
      <c r="BSI154" s="1056"/>
      <c r="BSJ154" s="1056"/>
      <c r="BSK154" s="1056"/>
      <c r="BSL154" s="1056"/>
      <c r="BSM154" s="1056"/>
      <c r="BSN154" s="1056"/>
      <c r="BSO154" s="1056"/>
      <c r="BSP154" s="1056"/>
      <c r="BSQ154" s="1056"/>
      <c r="BSR154" s="1056"/>
      <c r="BSS154" s="1056"/>
      <c r="BST154" s="1056"/>
      <c r="BSU154" s="1056"/>
      <c r="BSV154" s="1056"/>
      <c r="BSW154" s="1056"/>
      <c r="BSX154" s="1056"/>
      <c r="BSY154" s="1056"/>
      <c r="BSZ154" s="1056"/>
      <c r="BTA154" s="1056"/>
      <c r="BTB154" s="1056"/>
      <c r="BTC154" s="1056"/>
      <c r="BTD154" s="1056"/>
      <c r="BTE154" s="1056"/>
      <c r="BTF154" s="1056"/>
      <c r="BTG154" s="1056"/>
      <c r="BTH154" s="1056"/>
      <c r="BTI154" s="1056"/>
    </row>
    <row r="155" spans="1:1881" s="1060" customFormat="1" ht="72" hidden="1" customHeight="1" x14ac:dyDescent="0.3">
      <c r="A155" s="333">
        <v>657</v>
      </c>
      <c r="B155" s="1085" t="s">
        <v>58</v>
      </c>
      <c r="C155" s="1085" t="s">
        <v>1400</v>
      </c>
      <c r="D155" s="1086" t="s">
        <v>1404</v>
      </c>
      <c r="E155" s="1053" t="e">
        <f>HLOOKUP($D$2,'2020 Data(H)'!$C$1:$AI$426,310,FALSE)</f>
        <v>#N/A</v>
      </c>
      <c r="F155" s="287">
        <v>0</v>
      </c>
      <c r="G155" s="740">
        <f>IF((F151+F152+F154)&gt;F155,"Error: Please review components of current assets above.  Account numbers (90+91+511)&gt;657",)</f>
        <v>0</v>
      </c>
      <c r="H155" s="764"/>
      <c r="I155" s="1055"/>
      <c r="J155" s="1056"/>
      <c r="K155" s="1056"/>
      <c r="L155" s="1056"/>
      <c r="M155" s="1056"/>
      <c r="N155" s="1058"/>
      <c r="O155" s="1056"/>
      <c r="P155" s="1056"/>
      <c r="Q155" s="1056"/>
      <c r="R155" s="1056"/>
      <c r="S155" s="1056"/>
      <c r="T155" s="1056"/>
      <c r="U155" s="1056"/>
      <c r="V155" s="1056"/>
      <c r="W155" s="1056"/>
      <c r="X155" s="1056"/>
      <c r="Y155" s="1056"/>
      <c r="Z155" s="333"/>
      <c r="AA155" s="333"/>
      <c r="AB155" s="333"/>
      <c r="AC155" s="333"/>
      <c r="AD155" s="333"/>
      <c r="AE155" s="333"/>
      <c r="AF155" s="333"/>
      <c r="AG155" s="333"/>
      <c r="AH155" s="333"/>
      <c r="AI155" s="333"/>
      <c r="AJ155" s="333"/>
      <c r="AK155" s="333"/>
      <c r="AL155" s="333"/>
      <c r="AM155" s="333"/>
      <c r="AN155" s="333"/>
      <c r="AO155" s="333"/>
      <c r="AP155" s="333"/>
      <c r="AQ155" s="333"/>
      <c r="AR155" s="333"/>
      <c r="AS155" s="1056"/>
      <c r="AT155" s="1056"/>
      <c r="AU155" s="1056"/>
      <c r="AV155" s="1056"/>
      <c r="AW155" s="1056"/>
      <c r="AX155" s="1056"/>
      <c r="AY155" s="1056"/>
      <c r="AZ155" s="1056"/>
      <c r="BA155" s="1056"/>
      <c r="BB155" s="1056"/>
      <c r="BC155" s="1056"/>
      <c r="BD155" s="1056"/>
      <c r="BE155" s="1056"/>
      <c r="BF155" s="1056"/>
      <c r="BG155" s="1056"/>
      <c r="BH155" s="1056"/>
      <c r="BI155" s="1056"/>
      <c r="BJ155" s="1056"/>
      <c r="BK155" s="1056"/>
      <c r="BL155" s="1056"/>
      <c r="BM155" s="1056"/>
      <c r="BN155" s="1056"/>
      <c r="BO155" s="1056"/>
      <c r="BP155" s="1056"/>
      <c r="BQ155" s="1056"/>
      <c r="BR155" s="1056"/>
      <c r="BS155" s="1056"/>
      <c r="BT155" s="1056"/>
      <c r="BU155" s="1056"/>
      <c r="BV155" s="1056"/>
      <c r="BW155" s="1056"/>
      <c r="BX155" s="1056"/>
      <c r="BY155" s="1056"/>
      <c r="BZ155" s="1056"/>
      <c r="CA155" s="1056"/>
      <c r="CB155" s="1056"/>
      <c r="CC155" s="1056"/>
      <c r="CD155" s="1056"/>
      <c r="CE155" s="1056"/>
      <c r="CF155" s="1056"/>
      <c r="CG155" s="1056"/>
      <c r="CH155" s="1056"/>
      <c r="CI155" s="1056"/>
      <c r="CJ155" s="1056"/>
      <c r="CK155" s="1056"/>
      <c r="CL155" s="1056"/>
      <c r="CM155" s="1056"/>
      <c r="CN155" s="1056"/>
      <c r="CO155" s="1056"/>
      <c r="CP155" s="1056"/>
      <c r="CQ155" s="1056"/>
      <c r="CR155" s="1056"/>
      <c r="CS155" s="1056"/>
      <c r="CT155" s="1056"/>
      <c r="CU155" s="1056"/>
      <c r="CV155" s="1056"/>
      <c r="CW155" s="1056"/>
      <c r="CX155" s="1056"/>
      <c r="CY155" s="1056"/>
      <c r="CZ155" s="1056"/>
      <c r="DA155" s="1056"/>
      <c r="DB155" s="1056"/>
      <c r="DC155" s="1056"/>
      <c r="DD155" s="1056"/>
      <c r="DE155" s="1056"/>
      <c r="DF155" s="1056"/>
      <c r="DG155" s="1056"/>
      <c r="DH155" s="1056"/>
      <c r="DI155" s="1056"/>
      <c r="DJ155" s="1056"/>
      <c r="DK155" s="1056"/>
      <c r="DL155" s="1056"/>
      <c r="DM155" s="1056"/>
      <c r="DN155" s="1056"/>
      <c r="DO155" s="1056"/>
      <c r="DP155" s="1056"/>
      <c r="DQ155" s="1056"/>
      <c r="DR155" s="1056"/>
      <c r="DS155" s="1056"/>
      <c r="DT155" s="1056"/>
      <c r="DU155" s="1056"/>
      <c r="DV155" s="1056"/>
      <c r="DW155" s="1056"/>
      <c r="DX155" s="1056"/>
      <c r="DY155" s="1056"/>
      <c r="DZ155" s="1056"/>
      <c r="EA155" s="1056"/>
      <c r="EB155" s="1056"/>
      <c r="EC155" s="1056"/>
      <c r="ED155" s="1056"/>
      <c r="EE155" s="1056"/>
      <c r="EF155" s="1056"/>
      <c r="EG155" s="1056"/>
      <c r="EH155" s="1056"/>
      <c r="EI155" s="1056"/>
      <c r="EJ155" s="1056"/>
      <c r="EK155" s="1056"/>
      <c r="EL155" s="1056"/>
      <c r="EM155" s="1056"/>
      <c r="EN155" s="1056"/>
      <c r="EO155" s="1056"/>
      <c r="EP155" s="1056"/>
      <c r="EQ155" s="1056"/>
      <c r="ER155" s="1056"/>
      <c r="ES155" s="1056"/>
      <c r="ET155" s="1056"/>
      <c r="EU155" s="1056"/>
      <c r="EV155" s="1056"/>
      <c r="EW155" s="1056"/>
      <c r="EX155" s="1056"/>
      <c r="EY155" s="1056"/>
      <c r="EZ155" s="1056"/>
      <c r="FA155" s="1056"/>
      <c r="FB155" s="1056"/>
      <c r="FC155" s="1056"/>
      <c r="FD155" s="1056"/>
      <c r="FE155" s="1056"/>
      <c r="FF155" s="1056"/>
      <c r="FG155" s="1056"/>
      <c r="FH155" s="1056"/>
      <c r="FI155" s="1056"/>
      <c r="FJ155" s="1056"/>
      <c r="FK155" s="1056"/>
      <c r="FL155" s="1056"/>
      <c r="FM155" s="1056"/>
      <c r="FN155" s="1056"/>
      <c r="FO155" s="1056"/>
      <c r="FP155" s="1056"/>
      <c r="FQ155" s="1056"/>
      <c r="FR155" s="1056"/>
      <c r="FS155" s="1056"/>
      <c r="FT155" s="1056"/>
      <c r="FU155" s="1056"/>
      <c r="FV155" s="1056"/>
      <c r="FW155" s="1056"/>
      <c r="FX155" s="1056"/>
      <c r="FY155" s="1056"/>
      <c r="FZ155" s="1056"/>
      <c r="GA155" s="1056"/>
      <c r="GB155" s="1056"/>
      <c r="GC155" s="1056"/>
      <c r="GD155" s="1056"/>
      <c r="GE155" s="1056"/>
      <c r="GF155" s="1056"/>
      <c r="GG155" s="1056"/>
      <c r="GH155" s="1056"/>
      <c r="GI155" s="1056"/>
      <c r="GJ155" s="1056"/>
      <c r="GK155" s="1056"/>
      <c r="GL155" s="1056"/>
      <c r="GM155" s="1056"/>
      <c r="GN155" s="1056"/>
      <c r="GO155" s="1056"/>
      <c r="GP155" s="1056"/>
      <c r="GQ155" s="1056"/>
      <c r="GR155" s="1056"/>
      <c r="GS155" s="1056"/>
      <c r="GT155" s="1056"/>
      <c r="GU155" s="1056"/>
      <c r="GV155" s="1056"/>
      <c r="GW155" s="1056"/>
      <c r="GX155" s="1056"/>
      <c r="GY155" s="1056"/>
      <c r="GZ155" s="1056"/>
      <c r="HA155" s="1056"/>
      <c r="HB155" s="1056"/>
      <c r="HC155" s="1056"/>
      <c r="HD155" s="1056"/>
      <c r="HE155" s="1056"/>
      <c r="HF155" s="1056"/>
      <c r="HG155" s="1056"/>
      <c r="HH155" s="1056"/>
      <c r="HI155" s="1056"/>
      <c r="HJ155" s="1056"/>
      <c r="HK155" s="1056"/>
      <c r="HL155" s="1056"/>
      <c r="HM155" s="1056"/>
      <c r="HN155" s="1056"/>
      <c r="HO155" s="1056"/>
      <c r="HP155" s="1056"/>
      <c r="HQ155" s="1056"/>
      <c r="HR155" s="1056"/>
      <c r="HS155" s="1056"/>
      <c r="HT155" s="1056"/>
      <c r="HU155" s="1056"/>
      <c r="HV155" s="1056"/>
      <c r="HW155" s="1056"/>
      <c r="HX155" s="1056"/>
      <c r="HY155" s="1056"/>
      <c r="HZ155" s="1056"/>
      <c r="IA155" s="1056"/>
      <c r="IB155" s="1056"/>
      <c r="IC155" s="1056"/>
      <c r="ID155" s="1056"/>
      <c r="IE155" s="1056"/>
      <c r="IF155" s="1056"/>
      <c r="IG155" s="1056"/>
      <c r="IH155" s="1056"/>
      <c r="II155" s="1056"/>
      <c r="IJ155" s="1056"/>
      <c r="IK155" s="1056"/>
      <c r="IL155" s="1056"/>
      <c r="IM155" s="1056"/>
      <c r="IN155" s="1056"/>
      <c r="IO155" s="1056"/>
      <c r="IP155" s="1056"/>
      <c r="IQ155" s="1056"/>
      <c r="IR155" s="1056"/>
      <c r="IS155" s="1056"/>
      <c r="IT155" s="1056"/>
      <c r="IU155" s="1056"/>
      <c r="IV155" s="1056"/>
      <c r="IW155" s="1056"/>
      <c r="IX155" s="1056"/>
      <c r="IY155" s="1056"/>
      <c r="IZ155" s="1056"/>
      <c r="JA155" s="1056"/>
      <c r="JB155" s="1056"/>
      <c r="JC155" s="1056"/>
      <c r="JD155" s="1056"/>
      <c r="JE155" s="1056"/>
      <c r="JF155" s="1056"/>
      <c r="JG155" s="1056"/>
      <c r="JH155" s="1056"/>
      <c r="JI155" s="1056"/>
      <c r="JJ155" s="1056"/>
      <c r="JK155" s="1056"/>
      <c r="JL155" s="1056"/>
      <c r="JM155" s="1056"/>
      <c r="JN155" s="1056"/>
      <c r="JO155" s="1056"/>
      <c r="JP155" s="1056"/>
      <c r="JQ155" s="1056"/>
      <c r="JR155" s="1056"/>
      <c r="JS155" s="1056"/>
      <c r="JT155" s="1056"/>
      <c r="JU155" s="1056"/>
      <c r="JV155" s="1056"/>
      <c r="JW155" s="1056"/>
      <c r="JX155" s="1056"/>
      <c r="JY155" s="1056"/>
      <c r="JZ155" s="1056"/>
      <c r="KA155" s="1056"/>
      <c r="KB155" s="1056"/>
      <c r="KC155" s="1056"/>
      <c r="KD155" s="1056"/>
      <c r="KE155" s="1056"/>
      <c r="KF155" s="1056"/>
      <c r="KG155" s="1056"/>
      <c r="KH155" s="1056"/>
      <c r="KI155" s="1056"/>
      <c r="KJ155" s="1056"/>
      <c r="KK155" s="1056"/>
      <c r="KL155" s="1056"/>
      <c r="KM155" s="1056"/>
      <c r="KN155" s="1056"/>
      <c r="KO155" s="1056"/>
      <c r="KP155" s="1056"/>
      <c r="KQ155" s="1056"/>
      <c r="KR155" s="1056"/>
      <c r="KS155" s="1056"/>
      <c r="KT155" s="1056"/>
      <c r="KU155" s="1056"/>
      <c r="KV155" s="1056"/>
      <c r="KW155" s="1056"/>
      <c r="KX155" s="1056"/>
      <c r="KY155" s="1056"/>
      <c r="KZ155" s="1056"/>
      <c r="LA155" s="1056"/>
      <c r="LB155" s="1056"/>
      <c r="LC155" s="1056"/>
      <c r="LD155" s="1056"/>
      <c r="LE155" s="1056"/>
      <c r="LF155" s="1056"/>
      <c r="LG155" s="1056"/>
      <c r="LH155" s="1056"/>
      <c r="LI155" s="1056"/>
      <c r="LJ155" s="1056"/>
      <c r="LK155" s="1056"/>
      <c r="LL155" s="1056"/>
      <c r="LM155" s="1056"/>
      <c r="LN155" s="1056"/>
      <c r="LO155" s="1056"/>
      <c r="LP155" s="1056"/>
      <c r="LQ155" s="1056"/>
      <c r="LR155" s="1056"/>
      <c r="LS155" s="1056"/>
      <c r="LT155" s="1056"/>
      <c r="LU155" s="1056"/>
      <c r="LV155" s="1056"/>
      <c r="LW155" s="1056"/>
      <c r="LX155" s="1056"/>
      <c r="LY155" s="1056"/>
      <c r="LZ155" s="1056"/>
      <c r="MA155" s="1056"/>
      <c r="MB155" s="1056"/>
      <c r="MC155" s="1056"/>
      <c r="MD155" s="1056"/>
      <c r="ME155" s="1056"/>
      <c r="MF155" s="1056"/>
      <c r="MG155" s="1056"/>
      <c r="MH155" s="1056"/>
      <c r="MI155" s="1056"/>
      <c r="MJ155" s="1056"/>
      <c r="MK155" s="1056"/>
      <c r="ML155" s="1056"/>
      <c r="MM155" s="1056"/>
      <c r="MN155" s="1056"/>
      <c r="MO155" s="1056"/>
      <c r="MP155" s="1056"/>
      <c r="MQ155" s="1056"/>
      <c r="MR155" s="1056"/>
      <c r="MS155" s="1056"/>
      <c r="MT155" s="1056"/>
      <c r="MU155" s="1056"/>
      <c r="MV155" s="1056"/>
      <c r="MW155" s="1056"/>
      <c r="MX155" s="1056"/>
      <c r="MY155" s="1056"/>
      <c r="MZ155" s="1056"/>
      <c r="NA155" s="1056"/>
      <c r="NB155" s="1056"/>
      <c r="NC155" s="1056"/>
      <c r="ND155" s="1056"/>
      <c r="NE155" s="1056"/>
      <c r="NF155" s="1056"/>
      <c r="NG155" s="1056"/>
      <c r="NH155" s="1056"/>
      <c r="NI155" s="1056"/>
      <c r="NJ155" s="1056"/>
      <c r="NK155" s="1056"/>
      <c r="NL155" s="1056"/>
      <c r="NM155" s="1056"/>
      <c r="NN155" s="1056"/>
      <c r="NO155" s="1056"/>
      <c r="NP155" s="1056"/>
      <c r="NQ155" s="1056"/>
      <c r="NR155" s="1056"/>
      <c r="NS155" s="1056"/>
      <c r="NT155" s="1056"/>
      <c r="NU155" s="1056"/>
      <c r="NV155" s="1056"/>
      <c r="NW155" s="1056"/>
      <c r="NX155" s="1056"/>
      <c r="NY155" s="1056"/>
      <c r="NZ155" s="1056"/>
      <c r="OA155" s="1056"/>
      <c r="OB155" s="1056"/>
      <c r="OC155" s="1056"/>
      <c r="OD155" s="1056"/>
      <c r="OE155" s="1056"/>
      <c r="OF155" s="1056"/>
      <c r="OG155" s="1056"/>
      <c r="OH155" s="1056"/>
      <c r="OI155" s="1056"/>
      <c r="OJ155" s="1056"/>
      <c r="OK155" s="1056"/>
      <c r="OL155" s="1056"/>
      <c r="OM155" s="1056"/>
      <c r="ON155" s="1056"/>
      <c r="OO155" s="1056"/>
      <c r="OP155" s="1056"/>
      <c r="OQ155" s="1056"/>
      <c r="OR155" s="1056"/>
      <c r="OS155" s="1056"/>
      <c r="OT155" s="1056"/>
      <c r="OU155" s="1056"/>
      <c r="OV155" s="1056"/>
      <c r="OW155" s="1056"/>
      <c r="OX155" s="1056"/>
      <c r="OY155" s="1056"/>
      <c r="OZ155" s="1056"/>
      <c r="PA155" s="1056"/>
      <c r="PB155" s="1056"/>
      <c r="PC155" s="1056"/>
      <c r="PD155" s="1056"/>
      <c r="PE155" s="1056"/>
      <c r="PF155" s="1056"/>
      <c r="PG155" s="1056"/>
      <c r="PH155" s="1056"/>
      <c r="PI155" s="1056"/>
      <c r="PJ155" s="1056"/>
      <c r="PK155" s="1056"/>
      <c r="PL155" s="1056"/>
      <c r="PM155" s="1056"/>
      <c r="PN155" s="1056"/>
      <c r="PO155" s="1056"/>
      <c r="PP155" s="1056"/>
      <c r="PQ155" s="1056"/>
      <c r="PR155" s="1056"/>
      <c r="PS155" s="1056"/>
      <c r="PT155" s="1056"/>
      <c r="PU155" s="1056"/>
      <c r="PV155" s="1056"/>
      <c r="PW155" s="1056"/>
      <c r="PX155" s="1056"/>
      <c r="PY155" s="1056"/>
      <c r="PZ155" s="1056"/>
      <c r="QA155" s="1056"/>
      <c r="QB155" s="1056"/>
      <c r="QC155" s="1056"/>
      <c r="QD155" s="1056"/>
      <c r="QE155" s="1056"/>
      <c r="QF155" s="1056"/>
      <c r="QG155" s="1056"/>
      <c r="QH155" s="1056"/>
      <c r="QI155" s="1056"/>
      <c r="QJ155" s="1056"/>
      <c r="QK155" s="1056"/>
      <c r="QL155" s="1056"/>
      <c r="QM155" s="1056"/>
      <c r="QN155" s="1056"/>
      <c r="QO155" s="1056"/>
      <c r="QP155" s="1056"/>
      <c r="QQ155" s="1056"/>
      <c r="QR155" s="1056"/>
      <c r="QS155" s="1056"/>
      <c r="QT155" s="1056"/>
      <c r="QU155" s="1056"/>
      <c r="QV155" s="1056"/>
      <c r="QW155" s="1056"/>
      <c r="QX155" s="1056"/>
      <c r="QY155" s="1056"/>
      <c r="QZ155" s="1056"/>
      <c r="RA155" s="1056"/>
      <c r="RB155" s="1056"/>
      <c r="RC155" s="1056"/>
      <c r="RD155" s="1056"/>
      <c r="RE155" s="1056"/>
      <c r="RF155" s="1056"/>
      <c r="RG155" s="1056"/>
      <c r="RH155" s="1056"/>
      <c r="RI155" s="1056"/>
      <c r="RJ155" s="1056"/>
      <c r="RK155" s="1056"/>
      <c r="RL155" s="1056"/>
      <c r="RM155" s="1056"/>
      <c r="RN155" s="1056"/>
      <c r="RO155" s="1056"/>
      <c r="RP155" s="1056"/>
      <c r="RQ155" s="1056"/>
      <c r="RR155" s="1056"/>
      <c r="RS155" s="1056"/>
      <c r="RT155" s="1056"/>
      <c r="RU155" s="1056"/>
      <c r="RV155" s="1056"/>
      <c r="RW155" s="1056"/>
      <c r="RX155" s="1056"/>
      <c r="RY155" s="1056"/>
      <c r="RZ155" s="1056"/>
      <c r="SA155" s="1056"/>
      <c r="SB155" s="1056"/>
      <c r="SC155" s="1056"/>
      <c r="SD155" s="1056"/>
      <c r="SE155" s="1056"/>
      <c r="SF155" s="1056"/>
      <c r="SG155" s="1056"/>
      <c r="SH155" s="1056"/>
      <c r="SI155" s="1056"/>
      <c r="SJ155" s="1056"/>
      <c r="SK155" s="1056"/>
      <c r="SL155" s="1056"/>
      <c r="SM155" s="1056"/>
      <c r="SN155" s="1056"/>
      <c r="SO155" s="1056"/>
      <c r="SP155" s="1056"/>
      <c r="SQ155" s="1056"/>
      <c r="SR155" s="1056"/>
      <c r="SS155" s="1056"/>
      <c r="ST155" s="1056"/>
      <c r="SU155" s="1056"/>
      <c r="SV155" s="1056"/>
      <c r="SW155" s="1056"/>
      <c r="SX155" s="1056"/>
      <c r="SY155" s="1056"/>
      <c r="SZ155" s="1056"/>
      <c r="TA155" s="1056"/>
      <c r="TB155" s="1056"/>
      <c r="TC155" s="1056"/>
      <c r="TD155" s="1056"/>
      <c r="TE155" s="1056"/>
      <c r="TF155" s="1056"/>
      <c r="TG155" s="1056"/>
      <c r="TH155" s="1056"/>
      <c r="TI155" s="1056"/>
      <c r="TJ155" s="1056"/>
      <c r="TK155" s="1056"/>
      <c r="TL155" s="1056"/>
      <c r="TM155" s="1056"/>
      <c r="TN155" s="1056"/>
      <c r="TO155" s="1056"/>
      <c r="TP155" s="1056"/>
      <c r="TQ155" s="1056"/>
      <c r="TR155" s="1056"/>
      <c r="TS155" s="1056"/>
      <c r="TT155" s="1056"/>
      <c r="TU155" s="1056"/>
      <c r="TV155" s="1056"/>
      <c r="TW155" s="1056"/>
      <c r="TX155" s="1056"/>
      <c r="TY155" s="1056"/>
      <c r="TZ155" s="1056"/>
      <c r="UA155" s="1056"/>
      <c r="UB155" s="1056"/>
      <c r="UC155" s="1056"/>
      <c r="UD155" s="1056"/>
      <c r="UE155" s="1056"/>
      <c r="UF155" s="1056"/>
      <c r="UG155" s="1056"/>
      <c r="UH155" s="1056"/>
      <c r="UI155" s="1056"/>
      <c r="UJ155" s="1056"/>
      <c r="UK155" s="1056"/>
      <c r="UL155" s="1056"/>
      <c r="UM155" s="1056"/>
      <c r="UN155" s="1056"/>
      <c r="UO155" s="1056"/>
      <c r="UP155" s="1056"/>
      <c r="UQ155" s="1056"/>
      <c r="UR155" s="1056"/>
      <c r="US155" s="1056"/>
      <c r="UT155" s="1056"/>
      <c r="UU155" s="1056"/>
      <c r="UV155" s="1056"/>
      <c r="UW155" s="1056"/>
      <c r="UX155" s="1056"/>
      <c r="UY155" s="1056"/>
      <c r="UZ155" s="1056"/>
      <c r="VA155" s="1056"/>
      <c r="VB155" s="1056"/>
      <c r="VC155" s="1056"/>
      <c r="VD155" s="1056"/>
      <c r="VE155" s="1056"/>
      <c r="VF155" s="1056"/>
      <c r="VG155" s="1056"/>
      <c r="VH155" s="1056"/>
      <c r="VI155" s="1056"/>
      <c r="VJ155" s="1056"/>
      <c r="VK155" s="1056"/>
      <c r="VL155" s="1056"/>
      <c r="VM155" s="1056"/>
      <c r="VN155" s="1056"/>
      <c r="VO155" s="1056"/>
      <c r="VP155" s="1056"/>
      <c r="VQ155" s="1056"/>
      <c r="VR155" s="1056"/>
      <c r="VS155" s="1056"/>
      <c r="VT155" s="1056"/>
      <c r="VU155" s="1056"/>
      <c r="VV155" s="1056"/>
      <c r="VW155" s="1056"/>
      <c r="VX155" s="1056"/>
      <c r="VY155" s="1056"/>
      <c r="VZ155" s="1056"/>
      <c r="WA155" s="1056"/>
      <c r="WB155" s="1056"/>
      <c r="WC155" s="1056"/>
      <c r="WD155" s="1056"/>
      <c r="WE155" s="1056"/>
      <c r="WF155" s="1056"/>
      <c r="WG155" s="1056"/>
      <c r="WH155" s="1056"/>
      <c r="WI155" s="1056"/>
      <c r="WJ155" s="1056"/>
      <c r="WK155" s="1056"/>
      <c r="WL155" s="1056"/>
      <c r="WM155" s="1056"/>
      <c r="WN155" s="1056"/>
      <c r="WO155" s="1056"/>
      <c r="WP155" s="1056"/>
      <c r="WQ155" s="1056"/>
      <c r="WR155" s="1056"/>
      <c r="WS155" s="1056"/>
      <c r="WT155" s="1056"/>
      <c r="WU155" s="1056"/>
      <c r="WV155" s="1056"/>
      <c r="WW155" s="1056"/>
      <c r="WX155" s="1056"/>
      <c r="WY155" s="1056"/>
      <c r="WZ155" s="1056"/>
      <c r="XA155" s="1056"/>
      <c r="XB155" s="1056"/>
      <c r="XC155" s="1056"/>
      <c r="XD155" s="1056"/>
      <c r="XE155" s="1056"/>
      <c r="XF155" s="1056"/>
      <c r="XG155" s="1056"/>
      <c r="XH155" s="1056"/>
      <c r="XI155" s="1056"/>
      <c r="XJ155" s="1056"/>
      <c r="XK155" s="1056"/>
      <c r="XL155" s="1056"/>
      <c r="XM155" s="1056"/>
      <c r="XN155" s="1056"/>
      <c r="XO155" s="1056"/>
      <c r="XP155" s="1056"/>
      <c r="XQ155" s="1056"/>
      <c r="XR155" s="1056"/>
      <c r="XS155" s="1056"/>
      <c r="XT155" s="1056"/>
      <c r="XU155" s="1056"/>
      <c r="XV155" s="1056"/>
      <c r="XW155" s="1056"/>
      <c r="XX155" s="1056"/>
      <c r="XY155" s="1056"/>
      <c r="XZ155" s="1056"/>
      <c r="YA155" s="1056"/>
      <c r="YB155" s="1056"/>
      <c r="YC155" s="1056"/>
      <c r="YD155" s="1056"/>
      <c r="YE155" s="1056"/>
      <c r="YF155" s="1056"/>
      <c r="YG155" s="1056"/>
      <c r="YH155" s="1056"/>
      <c r="YI155" s="1056"/>
      <c r="YJ155" s="1056"/>
      <c r="YK155" s="1056"/>
      <c r="YL155" s="1056"/>
      <c r="YM155" s="1056"/>
      <c r="YN155" s="1056"/>
      <c r="YO155" s="1056"/>
      <c r="YP155" s="1056"/>
      <c r="YQ155" s="1056"/>
      <c r="YR155" s="1056"/>
      <c r="YS155" s="1056"/>
      <c r="YT155" s="1056"/>
      <c r="YU155" s="1056"/>
      <c r="YV155" s="1056"/>
      <c r="YW155" s="1056"/>
      <c r="YX155" s="1056"/>
      <c r="YY155" s="1056"/>
      <c r="YZ155" s="1056"/>
      <c r="ZA155" s="1056"/>
      <c r="ZB155" s="1056"/>
      <c r="ZC155" s="1056"/>
      <c r="ZD155" s="1056"/>
      <c r="ZE155" s="1056"/>
      <c r="ZF155" s="1056"/>
      <c r="ZG155" s="1056"/>
      <c r="ZH155" s="1056"/>
      <c r="ZI155" s="1056"/>
      <c r="ZJ155" s="1056"/>
      <c r="ZK155" s="1056"/>
      <c r="ZL155" s="1056"/>
      <c r="ZM155" s="1056"/>
      <c r="ZN155" s="1056"/>
      <c r="ZO155" s="1056"/>
      <c r="ZP155" s="1056"/>
      <c r="ZQ155" s="1056"/>
      <c r="ZR155" s="1056"/>
      <c r="ZS155" s="1056"/>
      <c r="ZT155" s="1056"/>
      <c r="ZU155" s="1056"/>
      <c r="ZV155" s="1056"/>
      <c r="ZW155" s="1056"/>
      <c r="ZX155" s="1056"/>
      <c r="ZY155" s="1056"/>
      <c r="ZZ155" s="1056"/>
      <c r="AAA155" s="1056"/>
      <c r="AAB155" s="1056"/>
      <c r="AAC155" s="1056"/>
      <c r="AAD155" s="1056"/>
      <c r="AAE155" s="1056"/>
      <c r="AAF155" s="1056"/>
      <c r="AAG155" s="1056"/>
      <c r="AAH155" s="1056"/>
      <c r="AAI155" s="1056"/>
      <c r="AAJ155" s="1056"/>
      <c r="AAK155" s="1056"/>
      <c r="AAL155" s="1056"/>
      <c r="AAM155" s="1056"/>
      <c r="AAN155" s="1056"/>
      <c r="AAO155" s="1056"/>
      <c r="AAP155" s="1056"/>
      <c r="AAQ155" s="1056"/>
      <c r="AAR155" s="1056"/>
      <c r="AAS155" s="1056"/>
      <c r="AAT155" s="1056"/>
      <c r="AAU155" s="1056"/>
      <c r="AAV155" s="1056"/>
      <c r="AAW155" s="1056"/>
      <c r="AAX155" s="1056"/>
      <c r="AAY155" s="1056"/>
      <c r="AAZ155" s="1056"/>
      <c r="ABA155" s="1056"/>
      <c r="ABB155" s="1056"/>
      <c r="ABC155" s="1056"/>
      <c r="ABD155" s="1056"/>
      <c r="ABE155" s="1056"/>
      <c r="ABF155" s="1056"/>
      <c r="ABG155" s="1056"/>
      <c r="ABH155" s="1056"/>
      <c r="ABI155" s="1056"/>
      <c r="ABJ155" s="1056"/>
      <c r="ABK155" s="1056"/>
      <c r="ABL155" s="1056"/>
      <c r="ABM155" s="1056"/>
      <c r="ABN155" s="1056"/>
      <c r="ABO155" s="1056"/>
      <c r="ABP155" s="1056"/>
      <c r="ABQ155" s="1056"/>
      <c r="ABR155" s="1056"/>
      <c r="ABS155" s="1056"/>
      <c r="ABT155" s="1056"/>
      <c r="ABU155" s="1056"/>
      <c r="ABV155" s="1056"/>
      <c r="ABW155" s="1056"/>
      <c r="ABX155" s="1056"/>
      <c r="ABY155" s="1056"/>
      <c r="ABZ155" s="1056"/>
      <c r="ACA155" s="1056"/>
      <c r="ACB155" s="1056"/>
      <c r="ACC155" s="1056"/>
      <c r="ACD155" s="1056"/>
      <c r="ACE155" s="1056"/>
      <c r="ACF155" s="1056"/>
      <c r="ACG155" s="1056"/>
      <c r="ACH155" s="1056"/>
      <c r="ACI155" s="1056"/>
      <c r="ACJ155" s="1056"/>
      <c r="ACK155" s="1056"/>
      <c r="ACL155" s="1056"/>
      <c r="ACM155" s="1056"/>
      <c r="ACN155" s="1056"/>
      <c r="ACO155" s="1056"/>
      <c r="ACP155" s="1056"/>
      <c r="ACQ155" s="1056"/>
      <c r="ACR155" s="1056"/>
      <c r="ACS155" s="1056"/>
      <c r="ACT155" s="1056"/>
      <c r="ACU155" s="1056"/>
      <c r="ACV155" s="1056"/>
      <c r="ACW155" s="1056"/>
      <c r="ACX155" s="1056"/>
      <c r="ACY155" s="1056"/>
      <c r="ACZ155" s="1056"/>
      <c r="ADA155" s="1056"/>
      <c r="ADB155" s="1056"/>
      <c r="ADC155" s="1056"/>
      <c r="ADD155" s="1056"/>
      <c r="ADE155" s="1056"/>
      <c r="ADF155" s="1056"/>
      <c r="ADG155" s="1056"/>
      <c r="ADH155" s="1056"/>
      <c r="ADI155" s="1056"/>
      <c r="ADJ155" s="1056"/>
      <c r="ADK155" s="1056"/>
      <c r="ADL155" s="1056"/>
      <c r="ADM155" s="1056"/>
      <c r="ADN155" s="1056"/>
      <c r="ADO155" s="1056"/>
      <c r="ADP155" s="1056"/>
      <c r="ADQ155" s="1056"/>
      <c r="ADR155" s="1056"/>
      <c r="ADS155" s="1056"/>
      <c r="ADT155" s="1056"/>
      <c r="ADU155" s="1056"/>
      <c r="ADV155" s="1056"/>
      <c r="ADW155" s="1056"/>
      <c r="ADX155" s="1056"/>
      <c r="ADY155" s="1056"/>
      <c r="ADZ155" s="1056"/>
      <c r="AEA155" s="1056"/>
      <c r="AEB155" s="1056"/>
      <c r="AEC155" s="1056"/>
      <c r="AED155" s="1056"/>
      <c r="AEE155" s="1056"/>
      <c r="AEF155" s="1056"/>
      <c r="AEG155" s="1056"/>
      <c r="AEH155" s="1056"/>
      <c r="AEI155" s="1056"/>
      <c r="AEJ155" s="1056"/>
      <c r="AEK155" s="1056"/>
      <c r="AEL155" s="1056"/>
      <c r="AEM155" s="1056"/>
      <c r="AEN155" s="1056"/>
      <c r="AEO155" s="1056"/>
      <c r="AEP155" s="1056"/>
      <c r="AEQ155" s="1056"/>
      <c r="AER155" s="1056"/>
      <c r="AES155" s="1056"/>
      <c r="AET155" s="1056"/>
      <c r="AEU155" s="1056"/>
      <c r="AEV155" s="1056"/>
      <c r="AEW155" s="1056"/>
      <c r="AEX155" s="1056"/>
      <c r="AEY155" s="1056"/>
      <c r="AEZ155" s="1056"/>
      <c r="AFA155" s="1056"/>
      <c r="AFB155" s="1056"/>
      <c r="AFC155" s="1056"/>
      <c r="AFD155" s="1056"/>
      <c r="AFE155" s="1056"/>
      <c r="AFF155" s="1056"/>
      <c r="AFG155" s="1056"/>
      <c r="AFH155" s="1056"/>
      <c r="AFI155" s="1056"/>
      <c r="AFJ155" s="1056"/>
      <c r="AFK155" s="1056"/>
      <c r="AFL155" s="1056"/>
      <c r="AFM155" s="1056"/>
      <c r="AFN155" s="1056"/>
      <c r="AFO155" s="1056"/>
      <c r="AFP155" s="1056"/>
      <c r="AFQ155" s="1056"/>
      <c r="AFR155" s="1056"/>
      <c r="AFS155" s="1056"/>
      <c r="AFT155" s="1056"/>
      <c r="AFU155" s="1056"/>
      <c r="AFV155" s="1056"/>
      <c r="AFW155" s="1056"/>
      <c r="AFX155" s="1056"/>
      <c r="AFY155" s="1056"/>
      <c r="AFZ155" s="1056"/>
      <c r="AGA155" s="1056"/>
      <c r="AGB155" s="1056"/>
      <c r="AGC155" s="1056"/>
      <c r="AGD155" s="1056"/>
      <c r="AGE155" s="1056"/>
      <c r="AGF155" s="1056"/>
      <c r="AGG155" s="1056"/>
      <c r="AGH155" s="1056"/>
      <c r="AGI155" s="1056"/>
      <c r="AGJ155" s="1056"/>
      <c r="AGK155" s="1056"/>
      <c r="AGL155" s="1056"/>
      <c r="AGM155" s="1056"/>
      <c r="AGN155" s="1056"/>
      <c r="AGO155" s="1056"/>
      <c r="AGP155" s="1056"/>
      <c r="AGQ155" s="1056"/>
      <c r="AGR155" s="1056"/>
      <c r="AGS155" s="1056"/>
      <c r="AGT155" s="1056"/>
      <c r="AGU155" s="1056"/>
      <c r="AGV155" s="1056"/>
      <c r="AGW155" s="1056"/>
      <c r="AGX155" s="1056"/>
      <c r="AGY155" s="1056"/>
      <c r="AGZ155" s="1056"/>
      <c r="AHA155" s="1056"/>
      <c r="AHB155" s="1056"/>
      <c r="AHC155" s="1056"/>
      <c r="AHD155" s="1056"/>
      <c r="AHE155" s="1056"/>
      <c r="AHF155" s="1056"/>
      <c r="AHG155" s="1056"/>
      <c r="AHH155" s="1056"/>
      <c r="AHI155" s="1056"/>
      <c r="AHJ155" s="1056"/>
      <c r="AHK155" s="1056"/>
      <c r="AHL155" s="1056"/>
      <c r="AHM155" s="1056"/>
      <c r="AHN155" s="1056"/>
      <c r="AHO155" s="1056"/>
      <c r="AHP155" s="1056"/>
      <c r="AHQ155" s="1056"/>
      <c r="AHR155" s="1056"/>
      <c r="AHS155" s="1056"/>
      <c r="AHT155" s="1056"/>
      <c r="AHU155" s="1056"/>
      <c r="AHV155" s="1056"/>
      <c r="AHW155" s="1056"/>
      <c r="AHX155" s="1056"/>
      <c r="AHY155" s="1056"/>
      <c r="AHZ155" s="1056"/>
      <c r="AIA155" s="1056"/>
      <c r="AIB155" s="1056"/>
      <c r="AIC155" s="1056"/>
      <c r="AID155" s="1056"/>
      <c r="AIE155" s="1056"/>
      <c r="AIF155" s="1056"/>
      <c r="AIG155" s="1056"/>
      <c r="AIH155" s="1056"/>
      <c r="AII155" s="1056"/>
      <c r="AIJ155" s="1056"/>
      <c r="AIK155" s="1056"/>
      <c r="AIL155" s="1056"/>
      <c r="AIM155" s="1056"/>
      <c r="AIN155" s="1056"/>
      <c r="AIO155" s="1056"/>
      <c r="AIP155" s="1056"/>
      <c r="AIQ155" s="1056"/>
      <c r="AIR155" s="1056"/>
      <c r="AIS155" s="1056"/>
      <c r="AIT155" s="1056"/>
      <c r="AIU155" s="1056"/>
      <c r="AIV155" s="1056"/>
      <c r="AIW155" s="1056"/>
      <c r="AIX155" s="1056"/>
      <c r="AIY155" s="1056"/>
      <c r="AIZ155" s="1056"/>
      <c r="AJA155" s="1056"/>
      <c r="AJB155" s="1056"/>
      <c r="AJC155" s="1056"/>
      <c r="AJD155" s="1056"/>
      <c r="AJE155" s="1056"/>
      <c r="AJF155" s="1056"/>
      <c r="AJG155" s="1056"/>
      <c r="AJH155" s="1056"/>
      <c r="AJI155" s="1056"/>
      <c r="AJJ155" s="1056"/>
      <c r="AJK155" s="1056"/>
      <c r="AJL155" s="1056"/>
      <c r="AJM155" s="1056"/>
      <c r="AJN155" s="1056"/>
      <c r="AJO155" s="1056"/>
      <c r="AJP155" s="1056"/>
      <c r="AJQ155" s="1056"/>
      <c r="AJR155" s="1056"/>
      <c r="AJS155" s="1056"/>
      <c r="AJT155" s="1056"/>
      <c r="AJU155" s="1056"/>
      <c r="AJV155" s="1056"/>
      <c r="AJW155" s="1056"/>
      <c r="AJX155" s="1056"/>
      <c r="AJY155" s="1056"/>
      <c r="AJZ155" s="1056"/>
      <c r="AKA155" s="1056"/>
      <c r="AKB155" s="1056"/>
      <c r="AKC155" s="1056"/>
      <c r="AKD155" s="1056"/>
      <c r="AKE155" s="1056"/>
      <c r="AKF155" s="1056"/>
      <c r="AKG155" s="1056"/>
      <c r="AKH155" s="1056"/>
      <c r="AKI155" s="1056"/>
      <c r="AKJ155" s="1056"/>
      <c r="AKK155" s="1056"/>
      <c r="AKL155" s="1056"/>
      <c r="AKM155" s="1056"/>
      <c r="AKN155" s="1056"/>
      <c r="AKO155" s="1056"/>
      <c r="AKP155" s="1056"/>
      <c r="AKQ155" s="1056"/>
      <c r="AKR155" s="1056"/>
      <c r="AKS155" s="1056"/>
      <c r="AKT155" s="1056"/>
      <c r="AKU155" s="1056"/>
      <c r="AKV155" s="1056"/>
      <c r="AKW155" s="1056"/>
      <c r="AKX155" s="1056"/>
      <c r="AKY155" s="1056"/>
      <c r="AKZ155" s="1056"/>
      <c r="ALA155" s="1056"/>
      <c r="ALB155" s="1056"/>
      <c r="ALC155" s="1056"/>
      <c r="ALD155" s="1056"/>
      <c r="ALE155" s="1056"/>
      <c r="ALF155" s="1056"/>
      <c r="ALG155" s="1056"/>
      <c r="ALH155" s="1056"/>
      <c r="ALI155" s="1056"/>
      <c r="ALJ155" s="1056"/>
      <c r="ALK155" s="1056"/>
      <c r="ALL155" s="1056"/>
      <c r="ALM155" s="1056"/>
      <c r="ALN155" s="1056"/>
      <c r="ALO155" s="1056"/>
      <c r="ALP155" s="1056"/>
      <c r="ALQ155" s="1056"/>
      <c r="ALR155" s="1056"/>
      <c r="ALS155" s="1056"/>
      <c r="ALT155" s="1056"/>
      <c r="ALU155" s="1056"/>
      <c r="ALV155" s="1056"/>
      <c r="ALW155" s="1056"/>
      <c r="ALX155" s="1056"/>
      <c r="ALY155" s="1056"/>
      <c r="ALZ155" s="1056"/>
      <c r="AMA155" s="1056"/>
      <c r="AMB155" s="1056"/>
      <c r="AMC155" s="1056"/>
      <c r="AMD155" s="1056"/>
      <c r="AME155" s="1056"/>
      <c r="AMF155" s="1056"/>
      <c r="AMG155" s="1056"/>
      <c r="AMH155" s="1056"/>
      <c r="AMI155" s="1056"/>
      <c r="AMJ155" s="1056"/>
      <c r="AMK155" s="1056"/>
      <c r="AML155" s="1056"/>
      <c r="AMM155" s="1056"/>
      <c r="AMN155" s="1056"/>
      <c r="AMO155" s="1056"/>
      <c r="AMP155" s="1056"/>
      <c r="AMQ155" s="1056"/>
      <c r="AMR155" s="1056"/>
      <c r="AMS155" s="1056"/>
      <c r="AMT155" s="1056"/>
      <c r="AMU155" s="1056"/>
      <c r="AMV155" s="1056"/>
      <c r="AMW155" s="1056"/>
      <c r="AMX155" s="1056"/>
      <c r="AMY155" s="1056"/>
      <c r="AMZ155" s="1056"/>
      <c r="ANA155" s="1056"/>
      <c r="ANB155" s="1056"/>
      <c r="ANC155" s="1056"/>
      <c r="AND155" s="1056"/>
      <c r="ANE155" s="1056"/>
      <c r="ANF155" s="1056"/>
      <c r="ANG155" s="1056"/>
      <c r="ANH155" s="1056"/>
      <c r="ANI155" s="1056"/>
      <c r="ANJ155" s="1056"/>
      <c r="ANK155" s="1056"/>
      <c r="ANL155" s="1056"/>
      <c r="ANM155" s="1056"/>
      <c r="ANN155" s="1056"/>
      <c r="ANO155" s="1056"/>
      <c r="ANP155" s="1056"/>
      <c r="ANQ155" s="1056"/>
      <c r="ANR155" s="1056"/>
      <c r="ANS155" s="1056"/>
      <c r="ANT155" s="1056"/>
      <c r="ANU155" s="1056"/>
      <c r="ANV155" s="1056"/>
      <c r="ANW155" s="1056"/>
      <c r="ANX155" s="1056"/>
      <c r="ANY155" s="1056"/>
      <c r="ANZ155" s="1056"/>
      <c r="AOA155" s="1056"/>
      <c r="AOB155" s="1056"/>
      <c r="AOC155" s="1056"/>
      <c r="AOD155" s="1056"/>
      <c r="AOE155" s="1056"/>
      <c r="AOF155" s="1056"/>
      <c r="AOG155" s="1056"/>
      <c r="AOH155" s="1056"/>
      <c r="AOI155" s="1056"/>
      <c r="AOJ155" s="1056"/>
      <c r="AOK155" s="1056"/>
      <c r="AOL155" s="1056"/>
      <c r="AOM155" s="1056"/>
      <c r="AON155" s="1056"/>
      <c r="AOO155" s="1056"/>
      <c r="AOP155" s="1056"/>
      <c r="AOQ155" s="1056"/>
      <c r="AOR155" s="1056"/>
      <c r="AOS155" s="1056"/>
      <c r="AOT155" s="1056"/>
      <c r="AOU155" s="1056"/>
      <c r="AOV155" s="1056"/>
      <c r="AOW155" s="1056"/>
      <c r="AOX155" s="1056"/>
      <c r="AOY155" s="1056"/>
      <c r="AOZ155" s="1056"/>
      <c r="APA155" s="1056"/>
      <c r="APB155" s="1056"/>
      <c r="APC155" s="1056"/>
      <c r="APD155" s="1056"/>
      <c r="APE155" s="1056"/>
      <c r="APF155" s="1056"/>
      <c r="APG155" s="1056"/>
      <c r="APH155" s="1056"/>
      <c r="API155" s="1056"/>
      <c r="APJ155" s="1056"/>
      <c r="APK155" s="1056"/>
      <c r="APL155" s="1056"/>
      <c r="APM155" s="1056"/>
      <c r="APN155" s="1056"/>
      <c r="APO155" s="1056"/>
      <c r="APP155" s="1056"/>
      <c r="APQ155" s="1056"/>
      <c r="APR155" s="1056"/>
      <c r="APS155" s="1056"/>
      <c r="APT155" s="1056"/>
      <c r="APU155" s="1056"/>
      <c r="APV155" s="1056"/>
      <c r="APW155" s="1056"/>
      <c r="APX155" s="1056"/>
      <c r="APY155" s="1056"/>
      <c r="APZ155" s="1056"/>
      <c r="AQA155" s="1056"/>
      <c r="AQB155" s="1056"/>
      <c r="AQC155" s="1056"/>
      <c r="AQD155" s="1056"/>
      <c r="AQE155" s="1056"/>
      <c r="AQF155" s="1056"/>
      <c r="AQG155" s="1056"/>
      <c r="AQH155" s="1056"/>
      <c r="AQI155" s="1056"/>
      <c r="AQJ155" s="1056"/>
      <c r="AQK155" s="1056"/>
      <c r="AQL155" s="1056"/>
      <c r="AQM155" s="1056"/>
      <c r="AQN155" s="1056"/>
      <c r="AQO155" s="1056"/>
      <c r="AQP155" s="1056"/>
      <c r="AQQ155" s="1056"/>
      <c r="AQR155" s="1056"/>
      <c r="AQS155" s="1056"/>
      <c r="AQT155" s="1056"/>
      <c r="AQU155" s="1056"/>
      <c r="AQV155" s="1056"/>
      <c r="AQW155" s="1056"/>
      <c r="AQX155" s="1056"/>
      <c r="AQY155" s="1056"/>
      <c r="AQZ155" s="1056"/>
      <c r="ARA155" s="1056"/>
      <c r="ARB155" s="1056"/>
      <c r="ARC155" s="1056"/>
      <c r="ARD155" s="1056"/>
      <c r="ARE155" s="1056"/>
      <c r="ARF155" s="1056"/>
      <c r="ARG155" s="1056"/>
      <c r="ARH155" s="1056"/>
      <c r="ARI155" s="1056"/>
      <c r="ARJ155" s="1056"/>
      <c r="ARK155" s="1056"/>
      <c r="ARL155" s="1056"/>
      <c r="ARM155" s="1056"/>
      <c r="ARN155" s="1056"/>
      <c r="ARO155" s="1056"/>
      <c r="ARP155" s="1056"/>
      <c r="ARQ155" s="1056"/>
      <c r="ARR155" s="1056"/>
      <c r="ARS155" s="1056"/>
      <c r="ART155" s="1056"/>
      <c r="ARU155" s="1056"/>
      <c r="ARV155" s="1056"/>
      <c r="ARW155" s="1056"/>
      <c r="ARX155" s="1056"/>
      <c r="ARY155" s="1056"/>
      <c r="ARZ155" s="1056"/>
      <c r="ASA155" s="1056"/>
      <c r="ASB155" s="1056"/>
      <c r="ASC155" s="1056"/>
      <c r="ASD155" s="1056"/>
      <c r="ASE155" s="1056"/>
      <c r="ASF155" s="1056"/>
      <c r="ASG155" s="1056"/>
      <c r="ASH155" s="1056"/>
      <c r="ASI155" s="1056"/>
      <c r="ASJ155" s="1056"/>
      <c r="ASK155" s="1056"/>
      <c r="ASL155" s="1056"/>
      <c r="ASM155" s="1056"/>
      <c r="ASN155" s="1056"/>
      <c r="ASO155" s="1056"/>
      <c r="ASP155" s="1056"/>
      <c r="ASQ155" s="1056"/>
      <c r="ASR155" s="1056"/>
      <c r="ASS155" s="1056"/>
      <c r="AST155" s="1056"/>
      <c r="ASU155" s="1056"/>
      <c r="ASV155" s="1056"/>
      <c r="ASW155" s="1056"/>
      <c r="ASX155" s="1056"/>
      <c r="ASY155" s="1056"/>
      <c r="ASZ155" s="1056"/>
      <c r="ATA155" s="1056"/>
      <c r="ATB155" s="1056"/>
      <c r="ATC155" s="1056"/>
      <c r="ATD155" s="1056"/>
      <c r="ATE155" s="1056"/>
      <c r="ATF155" s="1056"/>
      <c r="ATG155" s="1056"/>
      <c r="ATH155" s="1056"/>
      <c r="ATI155" s="1056"/>
      <c r="ATJ155" s="1056"/>
      <c r="ATK155" s="1056"/>
      <c r="ATL155" s="1056"/>
      <c r="ATM155" s="1056"/>
      <c r="ATN155" s="1056"/>
      <c r="ATO155" s="1056"/>
      <c r="ATP155" s="1056"/>
      <c r="ATQ155" s="1056"/>
      <c r="ATR155" s="1056"/>
      <c r="ATS155" s="1056"/>
      <c r="ATT155" s="1056"/>
      <c r="ATU155" s="1056"/>
      <c r="ATV155" s="1056"/>
      <c r="ATW155" s="1056"/>
      <c r="ATX155" s="1056"/>
      <c r="ATY155" s="1056"/>
      <c r="ATZ155" s="1056"/>
      <c r="AUA155" s="1056"/>
      <c r="AUB155" s="1056"/>
      <c r="AUC155" s="1056"/>
      <c r="AUD155" s="1056"/>
      <c r="AUE155" s="1056"/>
      <c r="AUF155" s="1056"/>
      <c r="AUG155" s="1056"/>
      <c r="AUH155" s="1056"/>
      <c r="AUI155" s="1056"/>
      <c r="AUJ155" s="1056"/>
      <c r="AUK155" s="1056"/>
      <c r="AUL155" s="1056"/>
      <c r="AUM155" s="1056"/>
      <c r="AUN155" s="1056"/>
      <c r="AUO155" s="1056"/>
      <c r="AUP155" s="1056"/>
      <c r="AUQ155" s="1056"/>
      <c r="AUR155" s="1056"/>
      <c r="AUS155" s="1056"/>
      <c r="AUT155" s="1056"/>
      <c r="AUU155" s="1056"/>
      <c r="AUV155" s="1056"/>
      <c r="AUW155" s="1056"/>
      <c r="AUX155" s="1056"/>
      <c r="AUY155" s="1056"/>
      <c r="AUZ155" s="1056"/>
      <c r="AVA155" s="1056"/>
      <c r="AVB155" s="1056"/>
      <c r="AVC155" s="1056"/>
      <c r="AVD155" s="1056"/>
      <c r="AVE155" s="1056"/>
      <c r="AVF155" s="1056"/>
      <c r="AVG155" s="1056"/>
      <c r="AVH155" s="1056"/>
      <c r="AVI155" s="1056"/>
      <c r="AVJ155" s="1056"/>
      <c r="AVK155" s="1056"/>
      <c r="AVL155" s="1056"/>
      <c r="AVM155" s="1056"/>
      <c r="AVN155" s="1056"/>
      <c r="AVO155" s="1056"/>
      <c r="AVP155" s="1056"/>
      <c r="AVQ155" s="1056"/>
      <c r="AVR155" s="1056"/>
      <c r="AVS155" s="1056"/>
      <c r="AVT155" s="1056"/>
      <c r="AVU155" s="1056"/>
      <c r="AVV155" s="1056"/>
      <c r="AVW155" s="1056"/>
      <c r="AVX155" s="1056"/>
      <c r="AVY155" s="1056"/>
      <c r="AVZ155" s="1056"/>
      <c r="AWA155" s="1056"/>
      <c r="AWB155" s="1056"/>
      <c r="AWC155" s="1056"/>
      <c r="AWD155" s="1056"/>
      <c r="AWE155" s="1056"/>
      <c r="AWF155" s="1056"/>
      <c r="AWG155" s="1056"/>
      <c r="AWH155" s="1056"/>
      <c r="AWI155" s="1056"/>
      <c r="AWJ155" s="1056"/>
      <c r="AWK155" s="1056"/>
      <c r="AWL155" s="1056"/>
      <c r="AWM155" s="1056"/>
      <c r="AWN155" s="1056"/>
      <c r="AWO155" s="1056"/>
      <c r="AWP155" s="1056"/>
      <c r="AWQ155" s="1056"/>
      <c r="AWR155" s="1056"/>
      <c r="AWS155" s="1056"/>
      <c r="AWT155" s="1056"/>
      <c r="AWU155" s="1056"/>
      <c r="AWV155" s="1056"/>
      <c r="AWW155" s="1056"/>
      <c r="AWX155" s="1056"/>
      <c r="AWY155" s="1056"/>
      <c r="AWZ155" s="1056"/>
      <c r="AXA155" s="1056"/>
      <c r="AXB155" s="1056"/>
      <c r="AXC155" s="1056"/>
      <c r="AXD155" s="1056"/>
      <c r="AXE155" s="1056"/>
      <c r="AXF155" s="1056"/>
      <c r="AXG155" s="1056"/>
      <c r="AXH155" s="1056"/>
      <c r="AXI155" s="1056"/>
      <c r="AXJ155" s="1056"/>
      <c r="AXK155" s="1056"/>
      <c r="AXL155" s="1056"/>
      <c r="AXM155" s="1056"/>
      <c r="AXN155" s="1056"/>
      <c r="AXO155" s="1056"/>
      <c r="AXP155" s="1056"/>
      <c r="AXQ155" s="1056"/>
      <c r="AXR155" s="1056"/>
      <c r="AXS155" s="1056"/>
      <c r="AXT155" s="1056"/>
      <c r="AXU155" s="1056"/>
      <c r="AXV155" s="1056"/>
      <c r="AXW155" s="1056"/>
      <c r="AXX155" s="1056"/>
      <c r="AXY155" s="1056"/>
      <c r="AXZ155" s="1056"/>
      <c r="AYA155" s="1056"/>
      <c r="AYB155" s="1056"/>
      <c r="AYC155" s="1056"/>
      <c r="AYD155" s="1056"/>
      <c r="AYE155" s="1056"/>
      <c r="AYF155" s="1056"/>
      <c r="AYG155" s="1056"/>
      <c r="AYH155" s="1056"/>
      <c r="AYI155" s="1056"/>
      <c r="AYJ155" s="1056"/>
      <c r="AYK155" s="1056"/>
      <c r="AYL155" s="1056"/>
      <c r="AYM155" s="1056"/>
      <c r="AYN155" s="1056"/>
      <c r="AYO155" s="1056"/>
      <c r="AYP155" s="1056"/>
      <c r="AYQ155" s="1056"/>
      <c r="AYR155" s="1056"/>
      <c r="AYS155" s="1056"/>
      <c r="AYT155" s="1056"/>
      <c r="AYU155" s="1056"/>
      <c r="AYV155" s="1056"/>
      <c r="AYW155" s="1056"/>
      <c r="AYX155" s="1056"/>
      <c r="AYY155" s="1056"/>
      <c r="AYZ155" s="1056"/>
      <c r="AZA155" s="1056"/>
      <c r="AZB155" s="1056"/>
      <c r="AZC155" s="1056"/>
      <c r="AZD155" s="1056"/>
      <c r="AZE155" s="1056"/>
      <c r="AZF155" s="1056"/>
      <c r="AZG155" s="1056"/>
      <c r="AZH155" s="1056"/>
      <c r="AZI155" s="1056"/>
      <c r="AZJ155" s="1056"/>
      <c r="AZK155" s="1056"/>
      <c r="AZL155" s="1056"/>
      <c r="AZM155" s="1056"/>
      <c r="AZN155" s="1056"/>
      <c r="AZO155" s="1056"/>
      <c r="AZP155" s="1056"/>
      <c r="AZQ155" s="1056"/>
      <c r="AZR155" s="1056"/>
      <c r="AZS155" s="1056"/>
      <c r="AZT155" s="1056"/>
      <c r="AZU155" s="1056"/>
      <c r="AZV155" s="1056"/>
      <c r="AZW155" s="1056"/>
      <c r="AZX155" s="1056"/>
      <c r="AZY155" s="1056"/>
      <c r="AZZ155" s="1056"/>
      <c r="BAA155" s="1056"/>
      <c r="BAB155" s="1056"/>
      <c r="BAC155" s="1056"/>
      <c r="BAD155" s="1056"/>
      <c r="BAE155" s="1056"/>
      <c r="BAF155" s="1056"/>
      <c r="BAG155" s="1056"/>
      <c r="BAH155" s="1056"/>
      <c r="BAI155" s="1056"/>
      <c r="BAJ155" s="1056"/>
      <c r="BAK155" s="1056"/>
      <c r="BAL155" s="1056"/>
      <c r="BAM155" s="1056"/>
      <c r="BAN155" s="1056"/>
      <c r="BAO155" s="1056"/>
      <c r="BAP155" s="1056"/>
      <c r="BAQ155" s="1056"/>
      <c r="BAR155" s="1056"/>
      <c r="BAS155" s="1056"/>
      <c r="BAT155" s="1056"/>
      <c r="BAU155" s="1056"/>
      <c r="BAV155" s="1056"/>
      <c r="BAW155" s="1056"/>
      <c r="BAX155" s="1056"/>
      <c r="BAY155" s="1056"/>
      <c r="BAZ155" s="1056"/>
      <c r="BBA155" s="1056"/>
      <c r="BBB155" s="1056"/>
      <c r="BBC155" s="1056"/>
      <c r="BBD155" s="1056"/>
      <c r="BBE155" s="1056"/>
      <c r="BBF155" s="1056"/>
      <c r="BBG155" s="1056"/>
      <c r="BBH155" s="1056"/>
      <c r="BBI155" s="1056"/>
      <c r="BBJ155" s="1056"/>
      <c r="BBK155" s="1056"/>
      <c r="BBL155" s="1056"/>
      <c r="BBM155" s="1056"/>
      <c r="BBN155" s="1056"/>
      <c r="BBO155" s="1056"/>
      <c r="BBP155" s="1056"/>
      <c r="BBQ155" s="1056"/>
      <c r="BBR155" s="1056"/>
      <c r="BBS155" s="1056"/>
      <c r="BBT155" s="1056"/>
      <c r="BBU155" s="1056"/>
      <c r="BBV155" s="1056"/>
      <c r="BBW155" s="1056"/>
      <c r="BBX155" s="1056"/>
      <c r="BBY155" s="1056"/>
      <c r="BBZ155" s="1056"/>
      <c r="BCA155" s="1056"/>
      <c r="BCB155" s="1056"/>
      <c r="BCC155" s="1056"/>
      <c r="BCD155" s="1056"/>
      <c r="BCE155" s="1056"/>
      <c r="BCF155" s="1056"/>
      <c r="BCG155" s="1056"/>
      <c r="BCH155" s="1056"/>
      <c r="BCI155" s="1056"/>
      <c r="BCJ155" s="1056"/>
      <c r="BCK155" s="1056"/>
      <c r="BCL155" s="1056"/>
      <c r="BCM155" s="1056"/>
      <c r="BCN155" s="1056"/>
      <c r="BCO155" s="1056"/>
      <c r="BCP155" s="1056"/>
      <c r="BCQ155" s="1056"/>
      <c r="BCR155" s="1056"/>
      <c r="BCS155" s="1056"/>
      <c r="BCT155" s="1056"/>
      <c r="BCU155" s="1056"/>
      <c r="BCV155" s="1056"/>
      <c r="BCW155" s="1056"/>
      <c r="BCX155" s="1056"/>
      <c r="BCY155" s="1056"/>
      <c r="BCZ155" s="1056"/>
      <c r="BDA155" s="1056"/>
      <c r="BDB155" s="1056"/>
      <c r="BDC155" s="1056"/>
      <c r="BDD155" s="1056"/>
      <c r="BDE155" s="1056"/>
      <c r="BDF155" s="1056"/>
      <c r="BDG155" s="1056"/>
      <c r="BDH155" s="1056"/>
      <c r="BDI155" s="1056"/>
      <c r="BDJ155" s="1056"/>
      <c r="BDK155" s="1056"/>
      <c r="BDL155" s="1056"/>
      <c r="BDM155" s="1056"/>
      <c r="BDN155" s="1056"/>
      <c r="BDO155" s="1056"/>
      <c r="BDP155" s="1056"/>
      <c r="BDQ155" s="1056"/>
      <c r="BDR155" s="1056"/>
      <c r="BDS155" s="1056"/>
      <c r="BDT155" s="1056"/>
      <c r="BDU155" s="1056"/>
      <c r="BDV155" s="1056"/>
      <c r="BDW155" s="1056"/>
      <c r="BDX155" s="1056"/>
      <c r="BDY155" s="1056"/>
      <c r="BDZ155" s="1056"/>
      <c r="BEA155" s="1056"/>
      <c r="BEB155" s="1056"/>
      <c r="BEC155" s="1056"/>
      <c r="BED155" s="1056"/>
      <c r="BEE155" s="1056"/>
      <c r="BEF155" s="1056"/>
      <c r="BEG155" s="1056"/>
      <c r="BEH155" s="1056"/>
      <c r="BEI155" s="1056"/>
      <c r="BEJ155" s="1056"/>
      <c r="BEK155" s="1056"/>
      <c r="BEL155" s="1056"/>
      <c r="BEM155" s="1056"/>
      <c r="BEN155" s="1056"/>
      <c r="BEO155" s="1056"/>
      <c r="BEP155" s="1056"/>
      <c r="BEQ155" s="1056"/>
      <c r="BER155" s="1056"/>
      <c r="BES155" s="1056"/>
      <c r="BET155" s="1056"/>
      <c r="BEU155" s="1056"/>
      <c r="BEV155" s="1056"/>
      <c r="BEW155" s="1056"/>
      <c r="BEX155" s="1056"/>
      <c r="BEY155" s="1056"/>
      <c r="BEZ155" s="1056"/>
      <c r="BFA155" s="1056"/>
      <c r="BFB155" s="1056"/>
      <c r="BFC155" s="1056"/>
      <c r="BFD155" s="1056"/>
      <c r="BFE155" s="1056"/>
      <c r="BFF155" s="1056"/>
      <c r="BFG155" s="1056"/>
      <c r="BFH155" s="1056"/>
      <c r="BFI155" s="1056"/>
      <c r="BFJ155" s="1056"/>
      <c r="BFK155" s="1056"/>
      <c r="BFL155" s="1056"/>
      <c r="BFM155" s="1056"/>
      <c r="BFN155" s="1056"/>
      <c r="BFO155" s="1056"/>
      <c r="BFP155" s="1056"/>
      <c r="BFQ155" s="1056"/>
      <c r="BFR155" s="1056"/>
      <c r="BFS155" s="1056"/>
      <c r="BFT155" s="1056"/>
      <c r="BFU155" s="1056"/>
      <c r="BFV155" s="1056"/>
      <c r="BFW155" s="1056"/>
      <c r="BFX155" s="1056"/>
      <c r="BFY155" s="1056"/>
      <c r="BFZ155" s="1056"/>
      <c r="BGA155" s="1056"/>
      <c r="BGB155" s="1056"/>
      <c r="BGC155" s="1056"/>
      <c r="BGD155" s="1056"/>
      <c r="BGE155" s="1056"/>
      <c r="BGF155" s="1056"/>
      <c r="BGG155" s="1056"/>
      <c r="BGH155" s="1056"/>
      <c r="BGI155" s="1056"/>
      <c r="BGJ155" s="1056"/>
      <c r="BGK155" s="1056"/>
      <c r="BGL155" s="1056"/>
      <c r="BGM155" s="1056"/>
      <c r="BGN155" s="1056"/>
      <c r="BGO155" s="1056"/>
      <c r="BGP155" s="1056"/>
      <c r="BGQ155" s="1056"/>
      <c r="BGR155" s="1056"/>
      <c r="BGS155" s="1056"/>
      <c r="BGT155" s="1056"/>
      <c r="BGU155" s="1056"/>
      <c r="BGV155" s="1056"/>
      <c r="BGW155" s="1056"/>
      <c r="BGX155" s="1056"/>
      <c r="BGY155" s="1056"/>
      <c r="BGZ155" s="1056"/>
      <c r="BHA155" s="1056"/>
      <c r="BHB155" s="1056"/>
      <c r="BHC155" s="1056"/>
      <c r="BHD155" s="1056"/>
      <c r="BHE155" s="1056"/>
      <c r="BHF155" s="1056"/>
      <c r="BHG155" s="1056"/>
      <c r="BHH155" s="1056"/>
      <c r="BHI155" s="1056"/>
      <c r="BHJ155" s="1056"/>
      <c r="BHK155" s="1056"/>
      <c r="BHL155" s="1056"/>
      <c r="BHM155" s="1056"/>
      <c r="BHN155" s="1056"/>
      <c r="BHO155" s="1056"/>
      <c r="BHP155" s="1056"/>
      <c r="BHQ155" s="1056"/>
      <c r="BHR155" s="1056"/>
      <c r="BHS155" s="1056"/>
      <c r="BHT155" s="1056"/>
      <c r="BHU155" s="1056"/>
      <c r="BHV155" s="1056"/>
      <c r="BHW155" s="1056"/>
      <c r="BHX155" s="1056"/>
      <c r="BHY155" s="1056"/>
      <c r="BHZ155" s="1056"/>
      <c r="BIA155" s="1056"/>
      <c r="BIB155" s="1056"/>
      <c r="BIC155" s="1056"/>
      <c r="BID155" s="1056"/>
      <c r="BIE155" s="1056"/>
      <c r="BIF155" s="1056"/>
      <c r="BIG155" s="1056"/>
      <c r="BIH155" s="1056"/>
      <c r="BII155" s="1056"/>
      <c r="BIJ155" s="1056"/>
      <c r="BIK155" s="1056"/>
      <c r="BIL155" s="1056"/>
      <c r="BIM155" s="1056"/>
      <c r="BIN155" s="1056"/>
      <c r="BIO155" s="1056"/>
      <c r="BIP155" s="1056"/>
      <c r="BIQ155" s="1056"/>
      <c r="BIR155" s="1056"/>
      <c r="BIS155" s="1056"/>
      <c r="BIT155" s="1056"/>
      <c r="BIU155" s="1056"/>
      <c r="BIV155" s="1056"/>
      <c r="BIW155" s="1056"/>
      <c r="BIX155" s="1056"/>
      <c r="BIY155" s="1056"/>
      <c r="BIZ155" s="1056"/>
      <c r="BJA155" s="1056"/>
      <c r="BJB155" s="1056"/>
      <c r="BJC155" s="1056"/>
      <c r="BJD155" s="1056"/>
      <c r="BJE155" s="1056"/>
      <c r="BJF155" s="1056"/>
      <c r="BJG155" s="1056"/>
      <c r="BJH155" s="1056"/>
      <c r="BJI155" s="1056"/>
      <c r="BJJ155" s="1056"/>
      <c r="BJK155" s="1056"/>
      <c r="BJL155" s="1056"/>
      <c r="BJM155" s="1056"/>
      <c r="BJN155" s="1056"/>
      <c r="BJO155" s="1056"/>
      <c r="BJP155" s="1056"/>
      <c r="BJQ155" s="1056"/>
      <c r="BJR155" s="1056"/>
      <c r="BJS155" s="1056"/>
      <c r="BJT155" s="1056"/>
      <c r="BJU155" s="1056"/>
      <c r="BJV155" s="1056"/>
      <c r="BJW155" s="1056"/>
      <c r="BJX155" s="1056"/>
      <c r="BJY155" s="1056"/>
      <c r="BJZ155" s="1056"/>
      <c r="BKA155" s="1056"/>
      <c r="BKB155" s="1056"/>
      <c r="BKC155" s="1056"/>
      <c r="BKD155" s="1056"/>
      <c r="BKE155" s="1056"/>
      <c r="BKF155" s="1056"/>
      <c r="BKG155" s="1056"/>
      <c r="BKH155" s="1056"/>
      <c r="BKI155" s="1056"/>
      <c r="BKJ155" s="1056"/>
      <c r="BKK155" s="1056"/>
      <c r="BKL155" s="1056"/>
      <c r="BKM155" s="1056"/>
      <c r="BKN155" s="1056"/>
      <c r="BKO155" s="1056"/>
      <c r="BKP155" s="1056"/>
      <c r="BKQ155" s="1056"/>
      <c r="BKR155" s="1056"/>
      <c r="BKS155" s="1056"/>
      <c r="BKT155" s="1056"/>
      <c r="BKU155" s="1056"/>
      <c r="BKV155" s="1056"/>
      <c r="BKW155" s="1056"/>
      <c r="BKX155" s="1056"/>
      <c r="BKY155" s="1056"/>
      <c r="BKZ155" s="1056"/>
      <c r="BLA155" s="1056"/>
      <c r="BLB155" s="1056"/>
      <c r="BLC155" s="1056"/>
      <c r="BLD155" s="1056"/>
      <c r="BLE155" s="1056"/>
      <c r="BLF155" s="1056"/>
      <c r="BLG155" s="1056"/>
      <c r="BLH155" s="1056"/>
      <c r="BLI155" s="1056"/>
      <c r="BLJ155" s="1056"/>
      <c r="BLK155" s="1056"/>
      <c r="BLL155" s="1056"/>
      <c r="BLM155" s="1056"/>
      <c r="BLN155" s="1056"/>
      <c r="BLO155" s="1056"/>
      <c r="BLP155" s="1056"/>
      <c r="BLQ155" s="1056"/>
      <c r="BLR155" s="1056"/>
      <c r="BLS155" s="1056"/>
      <c r="BLT155" s="1056"/>
      <c r="BLU155" s="1056"/>
      <c r="BLV155" s="1056"/>
      <c r="BLW155" s="1056"/>
      <c r="BLX155" s="1056"/>
      <c r="BLY155" s="1056"/>
      <c r="BLZ155" s="1056"/>
      <c r="BMA155" s="1056"/>
      <c r="BMB155" s="1056"/>
      <c r="BMC155" s="1056"/>
      <c r="BMD155" s="1056"/>
      <c r="BME155" s="1056"/>
      <c r="BMF155" s="1056"/>
      <c r="BMG155" s="1056"/>
      <c r="BMH155" s="1056"/>
      <c r="BMI155" s="1056"/>
      <c r="BMJ155" s="1056"/>
      <c r="BMK155" s="1056"/>
      <c r="BML155" s="1056"/>
      <c r="BMM155" s="1056"/>
      <c r="BMN155" s="1056"/>
      <c r="BMO155" s="1056"/>
      <c r="BMP155" s="1056"/>
      <c r="BMQ155" s="1056"/>
      <c r="BMR155" s="1056"/>
      <c r="BMS155" s="1056"/>
      <c r="BMT155" s="1056"/>
      <c r="BMU155" s="1056"/>
      <c r="BMV155" s="1056"/>
      <c r="BMW155" s="1056"/>
      <c r="BMX155" s="1056"/>
      <c r="BMY155" s="1056"/>
      <c r="BMZ155" s="1056"/>
      <c r="BNA155" s="1056"/>
      <c r="BNB155" s="1056"/>
      <c r="BNC155" s="1056"/>
      <c r="BND155" s="1056"/>
      <c r="BNE155" s="1056"/>
      <c r="BNF155" s="1056"/>
      <c r="BNG155" s="1056"/>
      <c r="BNH155" s="1056"/>
      <c r="BNI155" s="1056"/>
      <c r="BNJ155" s="1056"/>
      <c r="BNK155" s="1056"/>
      <c r="BNL155" s="1056"/>
      <c r="BNM155" s="1056"/>
      <c r="BNN155" s="1056"/>
      <c r="BNO155" s="1056"/>
      <c r="BNP155" s="1056"/>
      <c r="BNQ155" s="1056"/>
      <c r="BNR155" s="1056"/>
      <c r="BNS155" s="1056"/>
      <c r="BNT155" s="1056"/>
      <c r="BNU155" s="1056"/>
      <c r="BNV155" s="1056"/>
      <c r="BNW155" s="1056"/>
      <c r="BNX155" s="1056"/>
      <c r="BNY155" s="1056"/>
      <c r="BNZ155" s="1056"/>
      <c r="BOA155" s="1056"/>
      <c r="BOB155" s="1056"/>
      <c r="BOC155" s="1056"/>
      <c r="BOD155" s="1056"/>
      <c r="BOE155" s="1056"/>
      <c r="BOF155" s="1056"/>
      <c r="BOG155" s="1056"/>
      <c r="BOH155" s="1056"/>
      <c r="BOI155" s="1056"/>
      <c r="BOJ155" s="1056"/>
      <c r="BOK155" s="1056"/>
      <c r="BOL155" s="1056"/>
      <c r="BOM155" s="1056"/>
      <c r="BON155" s="1056"/>
      <c r="BOO155" s="1056"/>
      <c r="BOP155" s="1056"/>
      <c r="BOQ155" s="1056"/>
      <c r="BOR155" s="1056"/>
      <c r="BOS155" s="1056"/>
      <c r="BOT155" s="1056"/>
      <c r="BOU155" s="1056"/>
      <c r="BOV155" s="1056"/>
      <c r="BOW155" s="1056"/>
      <c r="BOX155" s="1056"/>
      <c r="BOY155" s="1056"/>
      <c r="BOZ155" s="1056"/>
      <c r="BPA155" s="1056"/>
      <c r="BPB155" s="1056"/>
      <c r="BPC155" s="1056"/>
      <c r="BPD155" s="1056"/>
      <c r="BPE155" s="1056"/>
      <c r="BPF155" s="1056"/>
      <c r="BPG155" s="1056"/>
      <c r="BPH155" s="1056"/>
      <c r="BPI155" s="1056"/>
      <c r="BPJ155" s="1056"/>
      <c r="BPK155" s="1056"/>
      <c r="BPL155" s="1056"/>
      <c r="BPM155" s="1056"/>
      <c r="BPN155" s="1056"/>
      <c r="BPO155" s="1056"/>
      <c r="BPP155" s="1056"/>
      <c r="BPQ155" s="1056"/>
      <c r="BPR155" s="1056"/>
      <c r="BPS155" s="1056"/>
      <c r="BPT155" s="1056"/>
      <c r="BPU155" s="1056"/>
      <c r="BPV155" s="1056"/>
      <c r="BPW155" s="1056"/>
      <c r="BPX155" s="1056"/>
      <c r="BPY155" s="1056"/>
      <c r="BPZ155" s="1056"/>
      <c r="BQA155" s="1056"/>
      <c r="BQB155" s="1056"/>
      <c r="BQC155" s="1056"/>
      <c r="BQD155" s="1056"/>
      <c r="BQE155" s="1056"/>
      <c r="BQF155" s="1056"/>
      <c r="BQG155" s="1056"/>
      <c r="BQH155" s="1056"/>
      <c r="BQI155" s="1056"/>
      <c r="BQJ155" s="1056"/>
      <c r="BQK155" s="1056"/>
      <c r="BQL155" s="1056"/>
      <c r="BQM155" s="1056"/>
      <c r="BQN155" s="1056"/>
      <c r="BQO155" s="1056"/>
      <c r="BQP155" s="1056"/>
      <c r="BQQ155" s="1056"/>
      <c r="BQR155" s="1056"/>
      <c r="BQS155" s="1056"/>
      <c r="BQT155" s="1056"/>
      <c r="BQU155" s="1056"/>
      <c r="BQV155" s="1056"/>
      <c r="BQW155" s="1056"/>
      <c r="BQX155" s="1056"/>
      <c r="BQY155" s="1056"/>
      <c r="BQZ155" s="1056"/>
      <c r="BRA155" s="1056"/>
      <c r="BRB155" s="1056"/>
      <c r="BRC155" s="1056"/>
      <c r="BRD155" s="1056"/>
      <c r="BRE155" s="1056"/>
      <c r="BRF155" s="1056"/>
      <c r="BRG155" s="1056"/>
      <c r="BRH155" s="1056"/>
      <c r="BRI155" s="1056"/>
      <c r="BRJ155" s="1056"/>
      <c r="BRK155" s="1056"/>
      <c r="BRL155" s="1056"/>
      <c r="BRM155" s="1056"/>
      <c r="BRN155" s="1056"/>
      <c r="BRO155" s="1056"/>
      <c r="BRP155" s="1056"/>
      <c r="BRQ155" s="1056"/>
      <c r="BRR155" s="1056"/>
      <c r="BRS155" s="1056"/>
      <c r="BRT155" s="1056"/>
      <c r="BRU155" s="1056"/>
      <c r="BRV155" s="1056"/>
      <c r="BRW155" s="1056"/>
      <c r="BRX155" s="1056"/>
      <c r="BRY155" s="1056"/>
      <c r="BRZ155" s="1056"/>
      <c r="BSA155" s="1056"/>
      <c r="BSB155" s="1056"/>
      <c r="BSC155" s="1056"/>
      <c r="BSD155" s="1056"/>
      <c r="BSE155" s="1056"/>
      <c r="BSF155" s="1056"/>
      <c r="BSG155" s="1056"/>
      <c r="BSH155" s="1056"/>
      <c r="BSI155" s="1056"/>
      <c r="BSJ155" s="1056"/>
      <c r="BSK155" s="1056"/>
      <c r="BSL155" s="1056"/>
      <c r="BSM155" s="1056"/>
      <c r="BSN155" s="1056"/>
      <c r="BSO155" s="1056"/>
      <c r="BSP155" s="1056"/>
      <c r="BSQ155" s="1056"/>
      <c r="BSR155" s="1056"/>
      <c r="BSS155" s="1056"/>
      <c r="BST155" s="1056"/>
      <c r="BSU155" s="1056"/>
      <c r="BSV155" s="1056"/>
      <c r="BSW155" s="1056"/>
      <c r="BSX155" s="1056"/>
      <c r="BSY155" s="1056"/>
      <c r="BSZ155" s="1056"/>
      <c r="BTA155" s="1056"/>
      <c r="BTB155" s="1056"/>
      <c r="BTC155" s="1056"/>
      <c r="BTD155" s="1056"/>
      <c r="BTE155" s="1056"/>
      <c r="BTF155" s="1056"/>
      <c r="BTG155" s="1056"/>
      <c r="BTH155" s="1056"/>
      <c r="BTI155" s="1056"/>
    </row>
    <row r="156" spans="1:1881" s="1060" customFormat="1" ht="70.5" hidden="1" customHeight="1" x14ac:dyDescent="0.3">
      <c r="A156" s="333">
        <v>658</v>
      </c>
      <c r="B156" s="1085" t="s">
        <v>58</v>
      </c>
      <c r="C156" s="1085" t="s">
        <v>1400</v>
      </c>
      <c r="D156" s="1087" t="s">
        <v>535</v>
      </c>
      <c r="E156" s="1053" t="e">
        <f>HLOOKUP($D$2,'2020 Data(H)'!$C$1:$AI$426,311,FALSE)</f>
        <v>#N/A</v>
      </c>
      <c r="F156" s="287">
        <v>0</v>
      </c>
      <c r="G156" s="722"/>
      <c r="H156" s="764"/>
      <c r="I156" s="1055"/>
      <c r="J156" s="1056"/>
      <c r="K156" s="1056"/>
      <c r="L156" s="1056"/>
      <c r="M156" s="1056"/>
      <c r="N156" s="1058"/>
      <c r="O156" s="1056"/>
      <c r="P156" s="1056"/>
      <c r="Q156" s="1056"/>
      <c r="R156" s="1056"/>
      <c r="S156" s="1056"/>
      <c r="T156" s="1056"/>
      <c r="U156" s="1056"/>
      <c r="V156" s="1056"/>
      <c r="W156" s="1056"/>
      <c r="X156" s="1056"/>
      <c r="Y156" s="1056"/>
      <c r="Z156" s="333"/>
      <c r="AA156" s="333"/>
      <c r="AB156" s="333"/>
      <c r="AC156" s="333"/>
      <c r="AD156" s="333"/>
      <c r="AE156" s="333"/>
      <c r="AF156" s="333"/>
      <c r="AG156" s="333"/>
      <c r="AH156" s="333"/>
      <c r="AI156" s="333"/>
      <c r="AJ156" s="333"/>
      <c r="AK156" s="333"/>
      <c r="AL156" s="333"/>
      <c r="AM156" s="333"/>
      <c r="AN156" s="333"/>
      <c r="AO156" s="333"/>
      <c r="AP156" s="333"/>
      <c r="AQ156" s="333"/>
      <c r="AR156" s="333"/>
      <c r="AS156" s="1056"/>
      <c r="AT156" s="1056"/>
      <c r="AU156" s="1056"/>
      <c r="AV156" s="1056"/>
      <c r="AW156" s="1056"/>
      <c r="AX156" s="1056"/>
      <c r="AY156" s="1056"/>
      <c r="AZ156" s="1056"/>
      <c r="BA156" s="1056"/>
      <c r="BB156" s="1056"/>
      <c r="BC156" s="1056"/>
      <c r="BD156" s="1056"/>
      <c r="BE156" s="1056"/>
      <c r="BF156" s="1056"/>
      <c r="BG156" s="1056"/>
      <c r="BH156" s="1056"/>
      <c r="BI156" s="1056"/>
      <c r="BJ156" s="1056"/>
      <c r="BK156" s="1056"/>
      <c r="BL156" s="1056"/>
      <c r="BM156" s="1056"/>
      <c r="BN156" s="1056"/>
      <c r="BO156" s="1056"/>
      <c r="BP156" s="1056"/>
      <c r="BQ156" s="1056"/>
      <c r="BR156" s="1056"/>
      <c r="BS156" s="1056"/>
      <c r="BT156" s="1056"/>
      <c r="BU156" s="1056"/>
      <c r="BV156" s="1056"/>
      <c r="BW156" s="1056"/>
      <c r="BX156" s="1056"/>
      <c r="BY156" s="1056"/>
      <c r="BZ156" s="1056"/>
      <c r="CA156" s="1056"/>
      <c r="CB156" s="1056"/>
      <c r="CC156" s="1056"/>
      <c r="CD156" s="1056"/>
      <c r="CE156" s="1056"/>
      <c r="CF156" s="1056"/>
      <c r="CG156" s="1056"/>
      <c r="CH156" s="1056"/>
      <c r="CI156" s="1056"/>
      <c r="CJ156" s="1056"/>
      <c r="CK156" s="1056"/>
      <c r="CL156" s="1056"/>
      <c r="CM156" s="1056"/>
      <c r="CN156" s="1056"/>
      <c r="CO156" s="1056"/>
      <c r="CP156" s="1056"/>
      <c r="CQ156" s="1056"/>
      <c r="CR156" s="1056"/>
      <c r="CS156" s="1056"/>
      <c r="CT156" s="1056"/>
      <c r="CU156" s="1056"/>
      <c r="CV156" s="1056"/>
      <c r="CW156" s="1056"/>
      <c r="CX156" s="1056"/>
      <c r="CY156" s="1056"/>
      <c r="CZ156" s="1056"/>
      <c r="DA156" s="1056"/>
      <c r="DB156" s="1056"/>
      <c r="DC156" s="1056"/>
      <c r="DD156" s="1056"/>
      <c r="DE156" s="1056"/>
      <c r="DF156" s="1056"/>
      <c r="DG156" s="1056"/>
      <c r="DH156" s="1056"/>
      <c r="DI156" s="1056"/>
      <c r="DJ156" s="1056"/>
      <c r="DK156" s="1056"/>
      <c r="DL156" s="1056"/>
      <c r="DM156" s="1056"/>
      <c r="DN156" s="1056"/>
      <c r="DO156" s="1056"/>
      <c r="DP156" s="1056"/>
      <c r="DQ156" s="1056"/>
      <c r="DR156" s="1056"/>
      <c r="DS156" s="1056"/>
      <c r="DT156" s="1056"/>
      <c r="DU156" s="1056"/>
      <c r="DV156" s="1056"/>
      <c r="DW156" s="1056"/>
      <c r="DX156" s="1056"/>
      <c r="DY156" s="1056"/>
      <c r="DZ156" s="1056"/>
      <c r="EA156" s="1056"/>
      <c r="EB156" s="1056"/>
      <c r="EC156" s="1056"/>
      <c r="ED156" s="1056"/>
      <c r="EE156" s="1056"/>
      <c r="EF156" s="1056"/>
      <c r="EG156" s="1056"/>
      <c r="EH156" s="1056"/>
      <c r="EI156" s="1056"/>
      <c r="EJ156" s="1056"/>
      <c r="EK156" s="1056"/>
      <c r="EL156" s="1056"/>
      <c r="EM156" s="1056"/>
      <c r="EN156" s="1056"/>
      <c r="EO156" s="1056"/>
      <c r="EP156" s="1056"/>
      <c r="EQ156" s="1056"/>
      <c r="ER156" s="1056"/>
      <c r="ES156" s="1056"/>
      <c r="ET156" s="1056"/>
      <c r="EU156" s="1056"/>
      <c r="EV156" s="1056"/>
      <c r="EW156" s="1056"/>
      <c r="EX156" s="1056"/>
      <c r="EY156" s="1056"/>
      <c r="EZ156" s="1056"/>
      <c r="FA156" s="1056"/>
      <c r="FB156" s="1056"/>
      <c r="FC156" s="1056"/>
      <c r="FD156" s="1056"/>
      <c r="FE156" s="1056"/>
      <c r="FF156" s="1056"/>
      <c r="FG156" s="1056"/>
      <c r="FH156" s="1056"/>
      <c r="FI156" s="1056"/>
      <c r="FJ156" s="1056"/>
      <c r="FK156" s="1056"/>
      <c r="FL156" s="1056"/>
      <c r="FM156" s="1056"/>
      <c r="FN156" s="1056"/>
      <c r="FO156" s="1056"/>
      <c r="FP156" s="1056"/>
      <c r="FQ156" s="1056"/>
      <c r="FR156" s="1056"/>
      <c r="FS156" s="1056"/>
      <c r="FT156" s="1056"/>
      <c r="FU156" s="1056"/>
      <c r="FV156" s="1056"/>
      <c r="FW156" s="1056"/>
      <c r="FX156" s="1056"/>
      <c r="FY156" s="1056"/>
      <c r="FZ156" s="1056"/>
      <c r="GA156" s="1056"/>
      <c r="GB156" s="1056"/>
      <c r="GC156" s="1056"/>
      <c r="GD156" s="1056"/>
      <c r="GE156" s="1056"/>
      <c r="GF156" s="1056"/>
      <c r="GG156" s="1056"/>
      <c r="GH156" s="1056"/>
      <c r="GI156" s="1056"/>
      <c r="GJ156" s="1056"/>
      <c r="GK156" s="1056"/>
      <c r="GL156" s="1056"/>
      <c r="GM156" s="1056"/>
      <c r="GN156" s="1056"/>
      <c r="GO156" s="1056"/>
      <c r="GP156" s="1056"/>
      <c r="GQ156" s="1056"/>
      <c r="GR156" s="1056"/>
      <c r="GS156" s="1056"/>
      <c r="GT156" s="1056"/>
      <c r="GU156" s="1056"/>
      <c r="GV156" s="1056"/>
      <c r="GW156" s="1056"/>
      <c r="GX156" s="1056"/>
      <c r="GY156" s="1056"/>
      <c r="GZ156" s="1056"/>
      <c r="HA156" s="1056"/>
      <c r="HB156" s="1056"/>
      <c r="HC156" s="1056"/>
      <c r="HD156" s="1056"/>
      <c r="HE156" s="1056"/>
      <c r="HF156" s="1056"/>
      <c r="HG156" s="1056"/>
      <c r="HH156" s="1056"/>
      <c r="HI156" s="1056"/>
      <c r="HJ156" s="1056"/>
      <c r="HK156" s="1056"/>
      <c r="HL156" s="1056"/>
      <c r="HM156" s="1056"/>
      <c r="HN156" s="1056"/>
      <c r="HO156" s="1056"/>
      <c r="HP156" s="1056"/>
      <c r="HQ156" s="1056"/>
      <c r="HR156" s="1056"/>
      <c r="HS156" s="1056"/>
      <c r="HT156" s="1056"/>
      <c r="HU156" s="1056"/>
      <c r="HV156" s="1056"/>
      <c r="HW156" s="1056"/>
      <c r="HX156" s="1056"/>
      <c r="HY156" s="1056"/>
      <c r="HZ156" s="1056"/>
      <c r="IA156" s="1056"/>
      <c r="IB156" s="1056"/>
      <c r="IC156" s="1056"/>
      <c r="ID156" s="1056"/>
      <c r="IE156" s="1056"/>
      <c r="IF156" s="1056"/>
      <c r="IG156" s="1056"/>
      <c r="IH156" s="1056"/>
      <c r="II156" s="1056"/>
      <c r="IJ156" s="1056"/>
      <c r="IK156" s="1056"/>
      <c r="IL156" s="1056"/>
      <c r="IM156" s="1056"/>
      <c r="IN156" s="1056"/>
      <c r="IO156" s="1056"/>
      <c r="IP156" s="1056"/>
      <c r="IQ156" s="1056"/>
      <c r="IR156" s="1056"/>
      <c r="IS156" s="1056"/>
      <c r="IT156" s="1056"/>
      <c r="IU156" s="1056"/>
      <c r="IV156" s="1056"/>
      <c r="IW156" s="1056"/>
      <c r="IX156" s="1056"/>
      <c r="IY156" s="1056"/>
      <c r="IZ156" s="1056"/>
      <c r="JA156" s="1056"/>
      <c r="JB156" s="1056"/>
      <c r="JC156" s="1056"/>
      <c r="JD156" s="1056"/>
      <c r="JE156" s="1056"/>
      <c r="JF156" s="1056"/>
      <c r="JG156" s="1056"/>
      <c r="JH156" s="1056"/>
      <c r="JI156" s="1056"/>
      <c r="JJ156" s="1056"/>
      <c r="JK156" s="1056"/>
      <c r="JL156" s="1056"/>
      <c r="JM156" s="1056"/>
      <c r="JN156" s="1056"/>
      <c r="JO156" s="1056"/>
      <c r="JP156" s="1056"/>
      <c r="JQ156" s="1056"/>
      <c r="JR156" s="1056"/>
      <c r="JS156" s="1056"/>
      <c r="JT156" s="1056"/>
      <c r="JU156" s="1056"/>
      <c r="JV156" s="1056"/>
      <c r="JW156" s="1056"/>
      <c r="JX156" s="1056"/>
      <c r="JY156" s="1056"/>
      <c r="JZ156" s="1056"/>
      <c r="KA156" s="1056"/>
      <c r="KB156" s="1056"/>
      <c r="KC156" s="1056"/>
      <c r="KD156" s="1056"/>
      <c r="KE156" s="1056"/>
      <c r="KF156" s="1056"/>
      <c r="KG156" s="1056"/>
      <c r="KH156" s="1056"/>
      <c r="KI156" s="1056"/>
      <c r="KJ156" s="1056"/>
      <c r="KK156" s="1056"/>
      <c r="KL156" s="1056"/>
      <c r="KM156" s="1056"/>
      <c r="KN156" s="1056"/>
      <c r="KO156" s="1056"/>
      <c r="KP156" s="1056"/>
      <c r="KQ156" s="1056"/>
      <c r="KR156" s="1056"/>
      <c r="KS156" s="1056"/>
      <c r="KT156" s="1056"/>
      <c r="KU156" s="1056"/>
      <c r="KV156" s="1056"/>
      <c r="KW156" s="1056"/>
      <c r="KX156" s="1056"/>
      <c r="KY156" s="1056"/>
      <c r="KZ156" s="1056"/>
      <c r="LA156" s="1056"/>
      <c r="LB156" s="1056"/>
      <c r="LC156" s="1056"/>
      <c r="LD156" s="1056"/>
      <c r="LE156" s="1056"/>
      <c r="LF156" s="1056"/>
      <c r="LG156" s="1056"/>
      <c r="LH156" s="1056"/>
      <c r="LI156" s="1056"/>
      <c r="LJ156" s="1056"/>
      <c r="LK156" s="1056"/>
      <c r="LL156" s="1056"/>
      <c r="LM156" s="1056"/>
      <c r="LN156" s="1056"/>
      <c r="LO156" s="1056"/>
      <c r="LP156" s="1056"/>
      <c r="LQ156" s="1056"/>
      <c r="LR156" s="1056"/>
      <c r="LS156" s="1056"/>
      <c r="LT156" s="1056"/>
      <c r="LU156" s="1056"/>
      <c r="LV156" s="1056"/>
      <c r="LW156" s="1056"/>
      <c r="LX156" s="1056"/>
      <c r="LY156" s="1056"/>
      <c r="LZ156" s="1056"/>
      <c r="MA156" s="1056"/>
      <c r="MB156" s="1056"/>
      <c r="MC156" s="1056"/>
      <c r="MD156" s="1056"/>
      <c r="ME156" s="1056"/>
      <c r="MF156" s="1056"/>
      <c r="MG156" s="1056"/>
      <c r="MH156" s="1056"/>
      <c r="MI156" s="1056"/>
      <c r="MJ156" s="1056"/>
      <c r="MK156" s="1056"/>
      <c r="ML156" s="1056"/>
      <c r="MM156" s="1056"/>
      <c r="MN156" s="1056"/>
      <c r="MO156" s="1056"/>
      <c r="MP156" s="1056"/>
      <c r="MQ156" s="1056"/>
      <c r="MR156" s="1056"/>
      <c r="MS156" s="1056"/>
      <c r="MT156" s="1056"/>
      <c r="MU156" s="1056"/>
      <c r="MV156" s="1056"/>
      <c r="MW156" s="1056"/>
      <c r="MX156" s="1056"/>
      <c r="MY156" s="1056"/>
      <c r="MZ156" s="1056"/>
      <c r="NA156" s="1056"/>
      <c r="NB156" s="1056"/>
      <c r="NC156" s="1056"/>
      <c r="ND156" s="1056"/>
      <c r="NE156" s="1056"/>
      <c r="NF156" s="1056"/>
      <c r="NG156" s="1056"/>
      <c r="NH156" s="1056"/>
      <c r="NI156" s="1056"/>
      <c r="NJ156" s="1056"/>
      <c r="NK156" s="1056"/>
      <c r="NL156" s="1056"/>
      <c r="NM156" s="1056"/>
      <c r="NN156" s="1056"/>
      <c r="NO156" s="1056"/>
      <c r="NP156" s="1056"/>
      <c r="NQ156" s="1056"/>
      <c r="NR156" s="1056"/>
      <c r="NS156" s="1056"/>
      <c r="NT156" s="1056"/>
      <c r="NU156" s="1056"/>
      <c r="NV156" s="1056"/>
      <c r="NW156" s="1056"/>
      <c r="NX156" s="1056"/>
      <c r="NY156" s="1056"/>
      <c r="NZ156" s="1056"/>
      <c r="OA156" s="1056"/>
      <c r="OB156" s="1056"/>
      <c r="OC156" s="1056"/>
      <c r="OD156" s="1056"/>
      <c r="OE156" s="1056"/>
      <c r="OF156" s="1056"/>
      <c r="OG156" s="1056"/>
      <c r="OH156" s="1056"/>
      <c r="OI156" s="1056"/>
      <c r="OJ156" s="1056"/>
      <c r="OK156" s="1056"/>
      <c r="OL156" s="1056"/>
      <c r="OM156" s="1056"/>
      <c r="ON156" s="1056"/>
      <c r="OO156" s="1056"/>
      <c r="OP156" s="1056"/>
      <c r="OQ156" s="1056"/>
      <c r="OR156" s="1056"/>
      <c r="OS156" s="1056"/>
      <c r="OT156" s="1056"/>
      <c r="OU156" s="1056"/>
      <c r="OV156" s="1056"/>
      <c r="OW156" s="1056"/>
      <c r="OX156" s="1056"/>
      <c r="OY156" s="1056"/>
      <c r="OZ156" s="1056"/>
      <c r="PA156" s="1056"/>
      <c r="PB156" s="1056"/>
      <c r="PC156" s="1056"/>
      <c r="PD156" s="1056"/>
      <c r="PE156" s="1056"/>
      <c r="PF156" s="1056"/>
      <c r="PG156" s="1056"/>
      <c r="PH156" s="1056"/>
      <c r="PI156" s="1056"/>
      <c r="PJ156" s="1056"/>
      <c r="PK156" s="1056"/>
      <c r="PL156" s="1056"/>
      <c r="PM156" s="1056"/>
      <c r="PN156" s="1056"/>
      <c r="PO156" s="1056"/>
      <c r="PP156" s="1056"/>
      <c r="PQ156" s="1056"/>
      <c r="PR156" s="1056"/>
      <c r="PS156" s="1056"/>
      <c r="PT156" s="1056"/>
      <c r="PU156" s="1056"/>
      <c r="PV156" s="1056"/>
      <c r="PW156" s="1056"/>
      <c r="PX156" s="1056"/>
      <c r="PY156" s="1056"/>
      <c r="PZ156" s="1056"/>
      <c r="QA156" s="1056"/>
      <c r="QB156" s="1056"/>
      <c r="QC156" s="1056"/>
      <c r="QD156" s="1056"/>
      <c r="QE156" s="1056"/>
      <c r="QF156" s="1056"/>
      <c r="QG156" s="1056"/>
      <c r="QH156" s="1056"/>
      <c r="QI156" s="1056"/>
      <c r="QJ156" s="1056"/>
      <c r="QK156" s="1056"/>
      <c r="QL156" s="1056"/>
      <c r="QM156" s="1056"/>
      <c r="QN156" s="1056"/>
      <c r="QO156" s="1056"/>
      <c r="QP156" s="1056"/>
      <c r="QQ156" s="1056"/>
      <c r="QR156" s="1056"/>
      <c r="QS156" s="1056"/>
      <c r="QT156" s="1056"/>
      <c r="QU156" s="1056"/>
      <c r="QV156" s="1056"/>
      <c r="QW156" s="1056"/>
      <c r="QX156" s="1056"/>
      <c r="QY156" s="1056"/>
      <c r="QZ156" s="1056"/>
      <c r="RA156" s="1056"/>
      <c r="RB156" s="1056"/>
      <c r="RC156" s="1056"/>
      <c r="RD156" s="1056"/>
      <c r="RE156" s="1056"/>
      <c r="RF156" s="1056"/>
      <c r="RG156" s="1056"/>
      <c r="RH156" s="1056"/>
      <c r="RI156" s="1056"/>
      <c r="RJ156" s="1056"/>
      <c r="RK156" s="1056"/>
      <c r="RL156" s="1056"/>
      <c r="RM156" s="1056"/>
      <c r="RN156" s="1056"/>
      <c r="RO156" s="1056"/>
      <c r="RP156" s="1056"/>
      <c r="RQ156" s="1056"/>
      <c r="RR156" s="1056"/>
      <c r="RS156" s="1056"/>
      <c r="RT156" s="1056"/>
      <c r="RU156" s="1056"/>
      <c r="RV156" s="1056"/>
      <c r="RW156" s="1056"/>
      <c r="RX156" s="1056"/>
      <c r="RY156" s="1056"/>
      <c r="RZ156" s="1056"/>
      <c r="SA156" s="1056"/>
      <c r="SB156" s="1056"/>
      <c r="SC156" s="1056"/>
      <c r="SD156" s="1056"/>
      <c r="SE156" s="1056"/>
      <c r="SF156" s="1056"/>
      <c r="SG156" s="1056"/>
      <c r="SH156" s="1056"/>
      <c r="SI156" s="1056"/>
      <c r="SJ156" s="1056"/>
      <c r="SK156" s="1056"/>
      <c r="SL156" s="1056"/>
      <c r="SM156" s="1056"/>
      <c r="SN156" s="1056"/>
      <c r="SO156" s="1056"/>
      <c r="SP156" s="1056"/>
      <c r="SQ156" s="1056"/>
      <c r="SR156" s="1056"/>
      <c r="SS156" s="1056"/>
      <c r="ST156" s="1056"/>
      <c r="SU156" s="1056"/>
      <c r="SV156" s="1056"/>
      <c r="SW156" s="1056"/>
      <c r="SX156" s="1056"/>
      <c r="SY156" s="1056"/>
      <c r="SZ156" s="1056"/>
      <c r="TA156" s="1056"/>
      <c r="TB156" s="1056"/>
      <c r="TC156" s="1056"/>
      <c r="TD156" s="1056"/>
      <c r="TE156" s="1056"/>
      <c r="TF156" s="1056"/>
      <c r="TG156" s="1056"/>
      <c r="TH156" s="1056"/>
      <c r="TI156" s="1056"/>
      <c r="TJ156" s="1056"/>
      <c r="TK156" s="1056"/>
      <c r="TL156" s="1056"/>
      <c r="TM156" s="1056"/>
      <c r="TN156" s="1056"/>
      <c r="TO156" s="1056"/>
      <c r="TP156" s="1056"/>
      <c r="TQ156" s="1056"/>
      <c r="TR156" s="1056"/>
      <c r="TS156" s="1056"/>
      <c r="TT156" s="1056"/>
      <c r="TU156" s="1056"/>
      <c r="TV156" s="1056"/>
      <c r="TW156" s="1056"/>
      <c r="TX156" s="1056"/>
      <c r="TY156" s="1056"/>
      <c r="TZ156" s="1056"/>
      <c r="UA156" s="1056"/>
      <c r="UB156" s="1056"/>
      <c r="UC156" s="1056"/>
      <c r="UD156" s="1056"/>
      <c r="UE156" s="1056"/>
      <c r="UF156" s="1056"/>
      <c r="UG156" s="1056"/>
      <c r="UH156" s="1056"/>
      <c r="UI156" s="1056"/>
      <c r="UJ156" s="1056"/>
      <c r="UK156" s="1056"/>
      <c r="UL156" s="1056"/>
      <c r="UM156" s="1056"/>
      <c r="UN156" s="1056"/>
      <c r="UO156" s="1056"/>
      <c r="UP156" s="1056"/>
      <c r="UQ156" s="1056"/>
      <c r="UR156" s="1056"/>
      <c r="US156" s="1056"/>
      <c r="UT156" s="1056"/>
      <c r="UU156" s="1056"/>
      <c r="UV156" s="1056"/>
      <c r="UW156" s="1056"/>
      <c r="UX156" s="1056"/>
      <c r="UY156" s="1056"/>
      <c r="UZ156" s="1056"/>
      <c r="VA156" s="1056"/>
      <c r="VB156" s="1056"/>
      <c r="VC156" s="1056"/>
      <c r="VD156" s="1056"/>
      <c r="VE156" s="1056"/>
      <c r="VF156" s="1056"/>
      <c r="VG156" s="1056"/>
      <c r="VH156" s="1056"/>
      <c r="VI156" s="1056"/>
      <c r="VJ156" s="1056"/>
      <c r="VK156" s="1056"/>
      <c r="VL156" s="1056"/>
      <c r="VM156" s="1056"/>
      <c r="VN156" s="1056"/>
      <c r="VO156" s="1056"/>
      <c r="VP156" s="1056"/>
      <c r="VQ156" s="1056"/>
      <c r="VR156" s="1056"/>
      <c r="VS156" s="1056"/>
      <c r="VT156" s="1056"/>
      <c r="VU156" s="1056"/>
      <c r="VV156" s="1056"/>
      <c r="VW156" s="1056"/>
      <c r="VX156" s="1056"/>
      <c r="VY156" s="1056"/>
      <c r="VZ156" s="1056"/>
      <c r="WA156" s="1056"/>
      <c r="WB156" s="1056"/>
      <c r="WC156" s="1056"/>
      <c r="WD156" s="1056"/>
      <c r="WE156" s="1056"/>
      <c r="WF156" s="1056"/>
      <c r="WG156" s="1056"/>
      <c r="WH156" s="1056"/>
      <c r="WI156" s="1056"/>
      <c r="WJ156" s="1056"/>
      <c r="WK156" s="1056"/>
      <c r="WL156" s="1056"/>
      <c r="WM156" s="1056"/>
      <c r="WN156" s="1056"/>
      <c r="WO156" s="1056"/>
      <c r="WP156" s="1056"/>
      <c r="WQ156" s="1056"/>
      <c r="WR156" s="1056"/>
      <c r="WS156" s="1056"/>
      <c r="WT156" s="1056"/>
      <c r="WU156" s="1056"/>
      <c r="WV156" s="1056"/>
      <c r="WW156" s="1056"/>
      <c r="WX156" s="1056"/>
      <c r="WY156" s="1056"/>
      <c r="WZ156" s="1056"/>
      <c r="XA156" s="1056"/>
      <c r="XB156" s="1056"/>
      <c r="XC156" s="1056"/>
      <c r="XD156" s="1056"/>
      <c r="XE156" s="1056"/>
      <c r="XF156" s="1056"/>
      <c r="XG156" s="1056"/>
      <c r="XH156" s="1056"/>
      <c r="XI156" s="1056"/>
      <c r="XJ156" s="1056"/>
      <c r="XK156" s="1056"/>
      <c r="XL156" s="1056"/>
      <c r="XM156" s="1056"/>
      <c r="XN156" s="1056"/>
      <c r="XO156" s="1056"/>
      <c r="XP156" s="1056"/>
      <c r="XQ156" s="1056"/>
      <c r="XR156" s="1056"/>
      <c r="XS156" s="1056"/>
      <c r="XT156" s="1056"/>
      <c r="XU156" s="1056"/>
      <c r="XV156" s="1056"/>
      <c r="XW156" s="1056"/>
      <c r="XX156" s="1056"/>
      <c r="XY156" s="1056"/>
      <c r="XZ156" s="1056"/>
      <c r="YA156" s="1056"/>
      <c r="YB156" s="1056"/>
      <c r="YC156" s="1056"/>
      <c r="YD156" s="1056"/>
      <c r="YE156" s="1056"/>
      <c r="YF156" s="1056"/>
      <c r="YG156" s="1056"/>
      <c r="YH156" s="1056"/>
      <c r="YI156" s="1056"/>
      <c r="YJ156" s="1056"/>
      <c r="YK156" s="1056"/>
      <c r="YL156" s="1056"/>
      <c r="YM156" s="1056"/>
      <c r="YN156" s="1056"/>
      <c r="YO156" s="1056"/>
      <c r="YP156" s="1056"/>
      <c r="YQ156" s="1056"/>
      <c r="YR156" s="1056"/>
      <c r="YS156" s="1056"/>
      <c r="YT156" s="1056"/>
      <c r="YU156" s="1056"/>
      <c r="YV156" s="1056"/>
      <c r="YW156" s="1056"/>
      <c r="YX156" s="1056"/>
      <c r="YY156" s="1056"/>
      <c r="YZ156" s="1056"/>
      <c r="ZA156" s="1056"/>
      <c r="ZB156" s="1056"/>
      <c r="ZC156" s="1056"/>
      <c r="ZD156" s="1056"/>
      <c r="ZE156" s="1056"/>
      <c r="ZF156" s="1056"/>
      <c r="ZG156" s="1056"/>
      <c r="ZH156" s="1056"/>
      <c r="ZI156" s="1056"/>
      <c r="ZJ156" s="1056"/>
      <c r="ZK156" s="1056"/>
      <c r="ZL156" s="1056"/>
      <c r="ZM156" s="1056"/>
      <c r="ZN156" s="1056"/>
      <c r="ZO156" s="1056"/>
      <c r="ZP156" s="1056"/>
      <c r="ZQ156" s="1056"/>
      <c r="ZR156" s="1056"/>
      <c r="ZS156" s="1056"/>
      <c r="ZT156" s="1056"/>
      <c r="ZU156" s="1056"/>
      <c r="ZV156" s="1056"/>
      <c r="ZW156" s="1056"/>
      <c r="ZX156" s="1056"/>
      <c r="ZY156" s="1056"/>
      <c r="ZZ156" s="1056"/>
      <c r="AAA156" s="1056"/>
      <c r="AAB156" s="1056"/>
      <c r="AAC156" s="1056"/>
      <c r="AAD156" s="1056"/>
      <c r="AAE156" s="1056"/>
      <c r="AAF156" s="1056"/>
      <c r="AAG156" s="1056"/>
      <c r="AAH156" s="1056"/>
      <c r="AAI156" s="1056"/>
      <c r="AAJ156" s="1056"/>
      <c r="AAK156" s="1056"/>
      <c r="AAL156" s="1056"/>
      <c r="AAM156" s="1056"/>
      <c r="AAN156" s="1056"/>
      <c r="AAO156" s="1056"/>
      <c r="AAP156" s="1056"/>
      <c r="AAQ156" s="1056"/>
      <c r="AAR156" s="1056"/>
      <c r="AAS156" s="1056"/>
      <c r="AAT156" s="1056"/>
      <c r="AAU156" s="1056"/>
      <c r="AAV156" s="1056"/>
      <c r="AAW156" s="1056"/>
      <c r="AAX156" s="1056"/>
      <c r="AAY156" s="1056"/>
      <c r="AAZ156" s="1056"/>
      <c r="ABA156" s="1056"/>
      <c r="ABB156" s="1056"/>
      <c r="ABC156" s="1056"/>
      <c r="ABD156" s="1056"/>
      <c r="ABE156" s="1056"/>
      <c r="ABF156" s="1056"/>
      <c r="ABG156" s="1056"/>
      <c r="ABH156" s="1056"/>
      <c r="ABI156" s="1056"/>
      <c r="ABJ156" s="1056"/>
      <c r="ABK156" s="1056"/>
      <c r="ABL156" s="1056"/>
      <c r="ABM156" s="1056"/>
      <c r="ABN156" s="1056"/>
      <c r="ABO156" s="1056"/>
      <c r="ABP156" s="1056"/>
      <c r="ABQ156" s="1056"/>
      <c r="ABR156" s="1056"/>
      <c r="ABS156" s="1056"/>
      <c r="ABT156" s="1056"/>
      <c r="ABU156" s="1056"/>
      <c r="ABV156" s="1056"/>
      <c r="ABW156" s="1056"/>
      <c r="ABX156" s="1056"/>
      <c r="ABY156" s="1056"/>
      <c r="ABZ156" s="1056"/>
      <c r="ACA156" s="1056"/>
      <c r="ACB156" s="1056"/>
      <c r="ACC156" s="1056"/>
      <c r="ACD156" s="1056"/>
      <c r="ACE156" s="1056"/>
      <c r="ACF156" s="1056"/>
      <c r="ACG156" s="1056"/>
      <c r="ACH156" s="1056"/>
      <c r="ACI156" s="1056"/>
      <c r="ACJ156" s="1056"/>
      <c r="ACK156" s="1056"/>
      <c r="ACL156" s="1056"/>
      <c r="ACM156" s="1056"/>
      <c r="ACN156" s="1056"/>
      <c r="ACO156" s="1056"/>
      <c r="ACP156" s="1056"/>
      <c r="ACQ156" s="1056"/>
      <c r="ACR156" s="1056"/>
      <c r="ACS156" s="1056"/>
      <c r="ACT156" s="1056"/>
      <c r="ACU156" s="1056"/>
      <c r="ACV156" s="1056"/>
      <c r="ACW156" s="1056"/>
      <c r="ACX156" s="1056"/>
      <c r="ACY156" s="1056"/>
      <c r="ACZ156" s="1056"/>
      <c r="ADA156" s="1056"/>
      <c r="ADB156" s="1056"/>
      <c r="ADC156" s="1056"/>
      <c r="ADD156" s="1056"/>
      <c r="ADE156" s="1056"/>
      <c r="ADF156" s="1056"/>
      <c r="ADG156" s="1056"/>
      <c r="ADH156" s="1056"/>
      <c r="ADI156" s="1056"/>
      <c r="ADJ156" s="1056"/>
      <c r="ADK156" s="1056"/>
      <c r="ADL156" s="1056"/>
      <c r="ADM156" s="1056"/>
      <c r="ADN156" s="1056"/>
      <c r="ADO156" s="1056"/>
      <c r="ADP156" s="1056"/>
      <c r="ADQ156" s="1056"/>
      <c r="ADR156" s="1056"/>
      <c r="ADS156" s="1056"/>
      <c r="ADT156" s="1056"/>
      <c r="ADU156" s="1056"/>
      <c r="ADV156" s="1056"/>
      <c r="ADW156" s="1056"/>
      <c r="ADX156" s="1056"/>
      <c r="ADY156" s="1056"/>
      <c r="ADZ156" s="1056"/>
      <c r="AEA156" s="1056"/>
      <c r="AEB156" s="1056"/>
      <c r="AEC156" s="1056"/>
      <c r="AED156" s="1056"/>
      <c r="AEE156" s="1056"/>
      <c r="AEF156" s="1056"/>
      <c r="AEG156" s="1056"/>
      <c r="AEH156" s="1056"/>
      <c r="AEI156" s="1056"/>
      <c r="AEJ156" s="1056"/>
      <c r="AEK156" s="1056"/>
      <c r="AEL156" s="1056"/>
      <c r="AEM156" s="1056"/>
      <c r="AEN156" s="1056"/>
      <c r="AEO156" s="1056"/>
      <c r="AEP156" s="1056"/>
      <c r="AEQ156" s="1056"/>
      <c r="AER156" s="1056"/>
      <c r="AES156" s="1056"/>
      <c r="AET156" s="1056"/>
      <c r="AEU156" s="1056"/>
      <c r="AEV156" s="1056"/>
      <c r="AEW156" s="1056"/>
      <c r="AEX156" s="1056"/>
      <c r="AEY156" s="1056"/>
      <c r="AEZ156" s="1056"/>
      <c r="AFA156" s="1056"/>
      <c r="AFB156" s="1056"/>
      <c r="AFC156" s="1056"/>
      <c r="AFD156" s="1056"/>
      <c r="AFE156" s="1056"/>
      <c r="AFF156" s="1056"/>
      <c r="AFG156" s="1056"/>
      <c r="AFH156" s="1056"/>
      <c r="AFI156" s="1056"/>
      <c r="AFJ156" s="1056"/>
      <c r="AFK156" s="1056"/>
      <c r="AFL156" s="1056"/>
      <c r="AFM156" s="1056"/>
      <c r="AFN156" s="1056"/>
      <c r="AFO156" s="1056"/>
      <c r="AFP156" s="1056"/>
      <c r="AFQ156" s="1056"/>
      <c r="AFR156" s="1056"/>
      <c r="AFS156" s="1056"/>
      <c r="AFT156" s="1056"/>
      <c r="AFU156" s="1056"/>
      <c r="AFV156" s="1056"/>
      <c r="AFW156" s="1056"/>
      <c r="AFX156" s="1056"/>
      <c r="AFY156" s="1056"/>
      <c r="AFZ156" s="1056"/>
      <c r="AGA156" s="1056"/>
      <c r="AGB156" s="1056"/>
      <c r="AGC156" s="1056"/>
      <c r="AGD156" s="1056"/>
      <c r="AGE156" s="1056"/>
      <c r="AGF156" s="1056"/>
      <c r="AGG156" s="1056"/>
      <c r="AGH156" s="1056"/>
      <c r="AGI156" s="1056"/>
      <c r="AGJ156" s="1056"/>
      <c r="AGK156" s="1056"/>
      <c r="AGL156" s="1056"/>
      <c r="AGM156" s="1056"/>
      <c r="AGN156" s="1056"/>
      <c r="AGO156" s="1056"/>
      <c r="AGP156" s="1056"/>
      <c r="AGQ156" s="1056"/>
      <c r="AGR156" s="1056"/>
      <c r="AGS156" s="1056"/>
      <c r="AGT156" s="1056"/>
      <c r="AGU156" s="1056"/>
      <c r="AGV156" s="1056"/>
      <c r="AGW156" s="1056"/>
      <c r="AGX156" s="1056"/>
      <c r="AGY156" s="1056"/>
      <c r="AGZ156" s="1056"/>
      <c r="AHA156" s="1056"/>
      <c r="AHB156" s="1056"/>
      <c r="AHC156" s="1056"/>
      <c r="AHD156" s="1056"/>
      <c r="AHE156" s="1056"/>
      <c r="AHF156" s="1056"/>
      <c r="AHG156" s="1056"/>
      <c r="AHH156" s="1056"/>
      <c r="AHI156" s="1056"/>
      <c r="AHJ156" s="1056"/>
      <c r="AHK156" s="1056"/>
      <c r="AHL156" s="1056"/>
      <c r="AHM156" s="1056"/>
      <c r="AHN156" s="1056"/>
      <c r="AHO156" s="1056"/>
      <c r="AHP156" s="1056"/>
      <c r="AHQ156" s="1056"/>
      <c r="AHR156" s="1056"/>
      <c r="AHS156" s="1056"/>
      <c r="AHT156" s="1056"/>
      <c r="AHU156" s="1056"/>
      <c r="AHV156" s="1056"/>
      <c r="AHW156" s="1056"/>
      <c r="AHX156" s="1056"/>
      <c r="AHY156" s="1056"/>
      <c r="AHZ156" s="1056"/>
      <c r="AIA156" s="1056"/>
      <c r="AIB156" s="1056"/>
      <c r="AIC156" s="1056"/>
      <c r="AID156" s="1056"/>
      <c r="AIE156" s="1056"/>
      <c r="AIF156" s="1056"/>
      <c r="AIG156" s="1056"/>
      <c r="AIH156" s="1056"/>
      <c r="AII156" s="1056"/>
      <c r="AIJ156" s="1056"/>
      <c r="AIK156" s="1056"/>
      <c r="AIL156" s="1056"/>
      <c r="AIM156" s="1056"/>
      <c r="AIN156" s="1056"/>
      <c r="AIO156" s="1056"/>
      <c r="AIP156" s="1056"/>
      <c r="AIQ156" s="1056"/>
      <c r="AIR156" s="1056"/>
      <c r="AIS156" s="1056"/>
      <c r="AIT156" s="1056"/>
      <c r="AIU156" s="1056"/>
      <c r="AIV156" s="1056"/>
      <c r="AIW156" s="1056"/>
      <c r="AIX156" s="1056"/>
      <c r="AIY156" s="1056"/>
      <c r="AIZ156" s="1056"/>
      <c r="AJA156" s="1056"/>
      <c r="AJB156" s="1056"/>
      <c r="AJC156" s="1056"/>
      <c r="AJD156" s="1056"/>
      <c r="AJE156" s="1056"/>
      <c r="AJF156" s="1056"/>
      <c r="AJG156" s="1056"/>
      <c r="AJH156" s="1056"/>
      <c r="AJI156" s="1056"/>
      <c r="AJJ156" s="1056"/>
      <c r="AJK156" s="1056"/>
      <c r="AJL156" s="1056"/>
      <c r="AJM156" s="1056"/>
      <c r="AJN156" s="1056"/>
      <c r="AJO156" s="1056"/>
      <c r="AJP156" s="1056"/>
      <c r="AJQ156" s="1056"/>
      <c r="AJR156" s="1056"/>
      <c r="AJS156" s="1056"/>
      <c r="AJT156" s="1056"/>
      <c r="AJU156" s="1056"/>
      <c r="AJV156" s="1056"/>
      <c r="AJW156" s="1056"/>
      <c r="AJX156" s="1056"/>
      <c r="AJY156" s="1056"/>
      <c r="AJZ156" s="1056"/>
      <c r="AKA156" s="1056"/>
      <c r="AKB156" s="1056"/>
      <c r="AKC156" s="1056"/>
      <c r="AKD156" s="1056"/>
      <c r="AKE156" s="1056"/>
      <c r="AKF156" s="1056"/>
      <c r="AKG156" s="1056"/>
      <c r="AKH156" s="1056"/>
      <c r="AKI156" s="1056"/>
      <c r="AKJ156" s="1056"/>
      <c r="AKK156" s="1056"/>
      <c r="AKL156" s="1056"/>
      <c r="AKM156" s="1056"/>
      <c r="AKN156" s="1056"/>
      <c r="AKO156" s="1056"/>
      <c r="AKP156" s="1056"/>
      <c r="AKQ156" s="1056"/>
      <c r="AKR156" s="1056"/>
      <c r="AKS156" s="1056"/>
      <c r="AKT156" s="1056"/>
      <c r="AKU156" s="1056"/>
      <c r="AKV156" s="1056"/>
      <c r="AKW156" s="1056"/>
      <c r="AKX156" s="1056"/>
      <c r="AKY156" s="1056"/>
      <c r="AKZ156" s="1056"/>
      <c r="ALA156" s="1056"/>
      <c r="ALB156" s="1056"/>
      <c r="ALC156" s="1056"/>
      <c r="ALD156" s="1056"/>
      <c r="ALE156" s="1056"/>
      <c r="ALF156" s="1056"/>
      <c r="ALG156" s="1056"/>
      <c r="ALH156" s="1056"/>
      <c r="ALI156" s="1056"/>
      <c r="ALJ156" s="1056"/>
      <c r="ALK156" s="1056"/>
      <c r="ALL156" s="1056"/>
      <c r="ALM156" s="1056"/>
      <c r="ALN156" s="1056"/>
      <c r="ALO156" s="1056"/>
      <c r="ALP156" s="1056"/>
      <c r="ALQ156" s="1056"/>
      <c r="ALR156" s="1056"/>
      <c r="ALS156" s="1056"/>
      <c r="ALT156" s="1056"/>
      <c r="ALU156" s="1056"/>
      <c r="ALV156" s="1056"/>
      <c r="ALW156" s="1056"/>
      <c r="ALX156" s="1056"/>
      <c r="ALY156" s="1056"/>
      <c r="ALZ156" s="1056"/>
      <c r="AMA156" s="1056"/>
      <c r="AMB156" s="1056"/>
      <c r="AMC156" s="1056"/>
      <c r="AMD156" s="1056"/>
      <c r="AME156" s="1056"/>
      <c r="AMF156" s="1056"/>
      <c r="AMG156" s="1056"/>
      <c r="AMH156" s="1056"/>
      <c r="AMI156" s="1056"/>
      <c r="AMJ156" s="1056"/>
      <c r="AMK156" s="1056"/>
      <c r="AML156" s="1056"/>
      <c r="AMM156" s="1056"/>
      <c r="AMN156" s="1056"/>
      <c r="AMO156" s="1056"/>
      <c r="AMP156" s="1056"/>
      <c r="AMQ156" s="1056"/>
      <c r="AMR156" s="1056"/>
      <c r="AMS156" s="1056"/>
      <c r="AMT156" s="1056"/>
      <c r="AMU156" s="1056"/>
      <c r="AMV156" s="1056"/>
      <c r="AMW156" s="1056"/>
      <c r="AMX156" s="1056"/>
      <c r="AMY156" s="1056"/>
      <c r="AMZ156" s="1056"/>
      <c r="ANA156" s="1056"/>
      <c r="ANB156" s="1056"/>
      <c r="ANC156" s="1056"/>
      <c r="AND156" s="1056"/>
      <c r="ANE156" s="1056"/>
      <c r="ANF156" s="1056"/>
      <c r="ANG156" s="1056"/>
      <c r="ANH156" s="1056"/>
      <c r="ANI156" s="1056"/>
      <c r="ANJ156" s="1056"/>
      <c r="ANK156" s="1056"/>
      <c r="ANL156" s="1056"/>
      <c r="ANM156" s="1056"/>
      <c r="ANN156" s="1056"/>
      <c r="ANO156" s="1056"/>
      <c r="ANP156" s="1056"/>
      <c r="ANQ156" s="1056"/>
      <c r="ANR156" s="1056"/>
      <c r="ANS156" s="1056"/>
      <c r="ANT156" s="1056"/>
      <c r="ANU156" s="1056"/>
      <c r="ANV156" s="1056"/>
      <c r="ANW156" s="1056"/>
      <c r="ANX156" s="1056"/>
      <c r="ANY156" s="1056"/>
      <c r="ANZ156" s="1056"/>
      <c r="AOA156" s="1056"/>
      <c r="AOB156" s="1056"/>
      <c r="AOC156" s="1056"/>
      <c r="AOD156" s="1056"/>
      <c r="AOE156" s="1056"/>
      <c r="AOF156" s="1056"/>
      <c r="AOG156" s="1056"/>
      <c r="AOH156" s="1056"/>
      <c r="AOI156" s="1056"/>
      <c r="AOJ156" s="1056"/>
      <c r="AOK156" s="1056"/>
      <c r="AOL156" s="1056"/>
      <c r="AOM156" s="1056"/>
      <c r="AON156" s="1056"/>
      <c r="AOO156" s="1056"/>
      <c r="AOP156" s="1056"/>
      <c r="AOQ156" s="1056"/>
      <c r="AOR156" s="1056"/>
      <c r="AOS156" s="1056"/>
      <c r="AOT156" s="1056"/>
      <c r="AOU156" s="1056"/>
      <c r="AOV156" s="1056"/>
      <c r="AOW156" s="1056"/>
      <c r="AOX156" s="1056"/>
      <c r="AOY156" s="1056"/>
      <c r="AOZ156" s="1056"/>
      <c r="APA156" s="1056"/>
      <c r="APB156" s="1056"/>
      <c r="APC156" s="1056"/>
      <c r="APD156" s="1056"/>
      <c r="APE156" s="1056"/>
      <c r="APF156" s="1056"/>
      <c r="APG156" s="1056"/>
      <c r="APH156" s="1056"/>
      <c r="API156" s="1056"/>
      <c r="APJ156" s="1056"/>
      <c r="APK156" s="1056"/>
      <c r="APL156" s="1056"/>
      <c r="APM156" s="1056"/>
      <c r="APN156" s="1056"/>
      <c r="APO156" s="1056"/>
      <c r="APP156" s="1056"/>
      <c r="APQ156" s="1056"/>
      <c r="APR156" s="1056"/>
      <c r="APS156" s="1056"/>
      <c r="APT156" s="1056"/>
      <c r="APU156" s="1056"/>
      <c r="APV156" s="1056"/>
      <c r="APW156" s="1056"/>
      <c r="APX156" s="1056"/>
      <c r="APY156" s="1056"/>
      <c r="APZ156" s="1056"/>
      <c r="AQA156" s="1056"/>
      <c r="AQB156" s="1056"/>
      <c r="AQC156" s="1056"/>
      <c r="AQD156" s="1056"/>
      <c r="AQE156" s="1056"/>
      <c r="AQF156" s="1056"/>
      <c r="AQG156" s="1056"/>
      <c r="AQH156" s="1056"/>
      <c r="AQI156" s="1056"/>
      <c r="AQJ156" s="1056"/>
      <c r="AQK156" s="1056"/>
      <c r="AQL156" s="1056"/>
      <c r="AQM156" s="1056"/>
      <c r="AQN156" s="1056"/>
      <c r="AQO156" s="1056"/>
      <c r="AQP156" s="1056"/>
      <c r="AQQ156" s="1056"/>
      <c r="AQR156" s="1056"/>
      <c r="AQS156" s="1056"/>
      <c r="AQT156" s="1056"/>
      <c r="AQU156" s="1056"/>
      <c r="AQV156" s="1056"/>
      <c r="AQW156" s="1056"/>
      <c r="AQX156" s="1056"/>
      <c r="AQY156" s="1056"/>
      <c r="AQZ156" s="1056"/>
      <c r="ARA156" s="1056"/>
      <c r="ARB156" s="1056"/>
      <c r="ARC156" s="1056"/>
      <c r="ARD156" s="1056"/>
      <c r="ARE156" s="1056"/>
      <c r="ARF156" s="1056"/>
      <c r="ARG156" s="1056"/>
      <c r="ARH156" s="1056"/>
      <c r="ARI156" s="1056"/>
      <c r="ARJ156" s="1056"/>
      <c r="ARK156" s="1056"/>
      <c r="ARL156" s="1056"/>
      <c r="ARM156" s="1056"/>
      <c r="ARN156" s="1056"/>
      <c r="ARO156" s="1056"/>
      <c r="ARP156" s="1056"/>
      <c r="ARQ156" s="1056"/>
      <c r="ARR156" s="1056"/>
      <c r="ARS156" s="1056"/>
      <c r="ART156" s="1056"/>
      <c r="ARU156" s="1056"/>
      <c r="ARV156" s="1056"/>
      <c r="ARW156" s="1056"/>
      <c r="ARX156" s="1056"/>
      <c r="ARY156" s="1056"/>
      <c r="ARZ156" s="1056"/>
      <c r="ASA156" s="1056"/>
      <c r="ASB156" s="1056"/>
      <c r="ASC156" s="1056"/>
      <c r="ASD156" s="1056"/>
      <c r="ASE156" s="1056"/>
      <c r="ASF156" s="1056"/>
      <c r="ASG156" s="1056"/>
      <c r="ASH156" s="1056"/>
      <c r="ASI156" s="1056"/>
      <c r="ASJ156" s="1056"/>
      <c r="ASK156" s="1056"/>
      <c r="ASL156" s="1056"/>
      <c r="ASM156" s="1056"/>
      <c r="ASN156" s="1056"/>
      <c r="ASO156" s="1056"/>
      <c r="ASP156" s="1056"/>
      <c r="ASQ156" s="1056"/>
      <c r="ASR156" s="1056"/>
      <c r="ASS156" s="1056"/>
      <c r="AST156" s="1056"/>
      <c r="ASU156" s="1056"/>
      <c r="ASV156" s="1056"/>
      <c r="ASW156" s="1056"/>
      <c r="ASX156" s="1056"/>
      <c r="ASY156" s="1056"/>
      <c r="ASZ156" s="1056"/>
      <c r="ATA156" s="1056"/>
      <c r="ATB156" s="1056"/>
      <c r="ATC156" s="1056"/>
      <c r="ATD156" s="1056"/>
      <c r="ATE156" s="1056"/>
      <c r="ATF156" s="1056"/>
      <c r="ATG156" s="1056"/>
      <c r="ATH156" s="1056"/>
      <c r="ATI156" s="1056"/>
      <c r="ATJ156" s="1056"/>
      <c r="ATK156" s="1056"/>
      <c r="ATL156" s="1056"/>
      <c r="ATM156" s="1056"/>
      <c r="ATN156" s="1056"/>
      <c r="ATO156" s="1056"/>
      <c r="ATP156" s="1056"/>
      <c r="ATQ156" s="1056"/>
      <c r="ATR156" s="1056"/>
      <c r="ATS156" s="1056"/>
      <c r="ATT156" s="1056"/>
      <c r="ATU156" s="1056"/>
      <c r="ATV156" s="1056"/>
      <c r="ATW156" s="1056"/>
      <c r="ATX156" s="1056"/>
      <c r="ATY156" s="1056"/>
      <c r="ATZ156" s="1056"/>
      <c r="AUA156" s="1056"/>
      <c r="AUB156" s="1056"/>
      <c r="AUC156" s="1056"/>
      <c r="AUD156" s="1056"/>
      <c r="AUE156" s="1056"/>
      <c r="AUF156" s="1056"/>
      <c r="AUG156" s="1056"/>
      <c r="AUH156" s="1056"/>
      <c r="AUI156" s="1056"/>
      <c r="AUJ156" s="1056"/>
      <c r="AUK156" s="1056"/>
      <c r="AUL156" s="1056"/>
      <c r="AUM156" s="1056"/>
      <c r="AUN156" s="1056"/>
      <c r="AUO156" s="1056"/>
      <c r="AUP156" s="1056"/>
      <c r="AUQ156" s="1056"/>
      <c r="AUR156" s="1056"/>
      <c r="AUS156" s="1056"/>
      <c r="AUT156" s="1056"/>
      <c r="AUU156" s="1056"/>
      <c r="AUV156" s="1056"/>
      <c r="AUW156" s="1056"/>
      <c r="AUX156" s="1056"/>
      <c r="AUY156" s="1056"/>
      <c r="AUZ156" s="1056"/>
      <c r="AVA156" s="1056"/>
      <c r="AVB156" s="1056"/>
      <c r="AVC156" s="1056"/>
      <c r="AVD156" s="1056"/>
      <c r="AVE156" s="1056"/>
      <c r="AVF156" s="1056"/>
      <c r="AVG156" s="1056"/>
      <c r="AVH156" s="1056"/>
      <c r="AVI156" s="1056"/>
      <c r="AVJ156" s="1056"/>
      <c r="AVK156" s="1056"/>
      <c r="AVL156" s="1056"/>
      <c r="AVM156" s="1056"/>
      <c r="AVN156" s="1056"/>
      <c r="AVO156" s="1056"/>
      <c r="AVP156" s="1056"/>
      <c r="AVQ156" s="1056"/>
      <c r="AVR156" s="1056"/>
      <c r="AVS156" s="1056"/>
      <c r="AVT156" s="1056"/>
      <c r="AVU156" s="1056"/>
      <c r="AVV156" s="1056"/>
      <c r="AVW156" s="1056"/>
      <c r="AVX156" s="1056"/>
      <c r="AVY156" s="1056"/>
      <c r="AVZ156" s="1056"/>
      <c r="AWA156" s="1056"/>
      <c r="AWB156" s="1056"/>
      <c r="AWC156" s="1056"/>
      <c r="AWD156" s="1056"/>
      <c r="AWE156" s="1056"/>
      <c r="AWF156" s="1056"/>
      <c r="AWG156" s="1056"/>
      <c r="AWH156" s="1056"/>
      <c r="AWI156" s="1056"/>
      <c r="AWJ156" s="1056"/>
      <c r="AWK156" s="1056"/>
      <c r="AWL156" s="1056"/>
      <c r="AWM156" s="1056"/>
      <c r="AWN156" s="1056"/>
      <c r="AWO156" s="1056"/>
      <c r="AWP156" s="1056"/>
      <c r="AWQ156" s="1056"/>
      <c r="AWR156" s="1056"/>
      <c r="AWS156" s="1056"/>
      <c r="AWT156" s="1056"/>
      <c r="AWU156" s="1056"/>
      <c r="AWV156" s="1056"/>
      <c r="AWW156" s="1056"/>
      <c r="AWX156" s="1056"/>
      <c r="AWY156" s="1056"/>
      <c r="AWZ156" s="1056"/>
      <c r="AXA156" s="1056"/>
      <c r="AXB156" s="1056"/>
      <c r="AXC156" s="1056"/>
      <c r="AXD156" s="1056"/>
      <c r="AXE156" s="1056"/>
      <c r="AXF156" s="1056"/>
      <c r="AXG156" s="1056"/>
      <c r="AXH156" s="1056"/>
      <c r="AXI156" s="1056"/>
      <c r="AXJ156" s="1056"/>
      <c r="AXK156" s="1056"/>
      <c r="AXL156" s="1056"/>
      <c r="AXM156" s="1056"/>
      <c r="AXN156" s="1056"/>
      <c r="AXO156" s="1056"/>
      <c r="AXP156" s="1056"/>
      <c r="AXQ156" s="1056"/>
      <c r="AXR156" s="1056"/>
      <c r="AXS156" s="1056"/>
      <c r="AXT156" s="1056"/>
      <c r="AXU156" s="1056"/>
      <c r="AXV156" s="1056"/>
      <c r="AXW156" s="1056"/>
      <c r="AXX156" s="1056"/>
      <c r="AXY156" s="1056"/>
      <c r="AXZ156" s="1056"/>
      <c r="AYA156" s="1056"/>
      <c r="AYB156" s="1056"/>
      <c r="AYC156" s="1056"/>
      <c r="AYD156" s="1056"/>
      <c r="AYE156" s="1056"/>
      <c r="AYF156" s="1056"/>
      <c r="AYG156" s="1056"/>
      <c r="AYH156" s="1056"/>
      <c r="AYI156" s="1056"/>
      <c r="AYJ156" s="1056"/>
      <c r="AYK156" s="1056"/>
      <c r="AYL156" s="1056"/>
      <c r="AYM156" s="1056"/>
      <c r="AYN156" s="1056"/>
      <c r="AYO156" s="1056"/>
      <c r="AYP156" s="1056"/>
      <c r="AYQ156" s="1056"/>
      <c r="AYR156" s="1056"/>
      <c r="AYS156" s="1056"/>
      <c r="AYT156" s="1056"/>
      <c r="AYU156" s="1056"/>
      <c r="AYV156" s="1056"/>
      <c r="AYW156" s="1056"/>
      <c r="AYX156" s="1056"/>
      <c r="AYY156" s="1056"/>
      <c r="AYZ156" s="1056"/>
      <c r="AZA156" s="1056"/>
      <c r="AZB156" s="1056"/>
      <c r="AZC156" s="1056"/>
      <c r="AZD156" s="1056"/>
      <c r="AZE156" s="1056"/>
      <c r="AZF156" s="1056"/>
      <c r="AZG156" s="1056"/>
      <c r="AZH156" s="1056"/>
      <c r="AZI156" s="1056"/>
      <c r="AZJ156" s="1056"/>
      <c r="AZK156" s="1056"/>
      <c r="AZL156" s="1056"/>
      <c r="AZM156" s="1056"/>
      <c r="AZN156" s="1056"/>
      <c r="AZO156" s="1056"/>
      <c r="AZP156" s="1056"/>
      <c r="AZQ156" s="1056"/>
      <c r="AZR156" s="1056"/>
      <c r="AZS156" s="1056"/>
      <c r="AZT156" s="1056"/>
      <c r="AZU156" s="1056"/>
      <c r="AZV156" s="1056"/>
      <c r="AZW156" s="1056"/>
      <c r="AZX156" s="1056"/>
      <c r="AZY156" s="1056"/>
      <c r="AZZ156" s="1056"/>
      <c r="BAA156" s="1056"/>
      <c r="BAB156" s="1056"/>
      <c r="BAC156" s="1056"/>
      <c r="BAD156" s="1056"/>
      <c r="BAE156" s="1056"/>
      <c r="BAF156" s="1056"/>
      <c r="BAG156" s="1056"/>
      <c r="BAH156" s="1056"/>
      <c r="BAI156" s="1056"/>
      <c r="BAJ156" s="1056"/>
      <c r="BAK156" s="1056"/>
      <c r="BAL156" s="1056"/>
      <c r="BAM156" s="1056"/>
      <c r="BAN156" s="1056"/>
      <c r="BAO156" s="1056"/>
      <c r="BAP156" s="1056"/>
      <c r="BAQ156" s="1056"/>
      <c r="BAR156" s="1056"/>
      <c r="BAS156" s="1056"/>
      <c r="BAT156" s="1056"/>
      <c r="BAU156" s="1056"/>
      <c r="BAV156" s="1056"/>
      <c r="BAW156" s="1056"/>
      <c r="BAX156" s="1056"/>
      <c r="BAY156" s="1056"/>
      <c r="BAZ156" s="1056"/>
      <c r="BBA156" s="1056"/>
      <c r="BBB156" s="1056"/>
      <c r="BBC156" s="1056"/>
      <c r="BBD156" s="1056"/>
      <c r="BBE156" s="1056"/>
      <c r="BBF156" s="1056"/>
      <c r="BBG156" s="1056"/>
      <c r="BBH156" s="1056"/>
      <c r="BBI156" s="1056"/>
      <c r="BBJ156" s="1056"/>
      <c r="BBK156" s="1056"/>
      <c r="BBL156" s="1056"/>
      <c r="BBM156" s="1056"/>
      <c r="BBN156" s="1056"/>
      <c r="BBO156" s="1056"/>
      <c r="BBP156" s="1056"/>
      <c r="BBQ156" s="1056"/>
      <c r="BBR156" s="1056"/>
      <c r="BBS156" s="1056"/>
      <c r="BBT156" s="1056"/>
      <c r="BBU156" s="1056"/>
      <c r="BBV156" s="1056"/>
      <c r="BBW156" s="1056"/>
      <c r="BBX156" s="1056"/>
      <c r="BBY156" s="1056"/>
      <c r="BBZ156" s="1056"/>
      <c r="BCA156" s="1056"/>
      <c r="BCB156" s="1056"/>
      <c r="BCC156" s="1056"/>
      <c r="BCD156" s="1056"/>
      <c r="BCE156" s="1056"/>
      <c r="BCF156" s="1056"/>
      <c r="BCG156" s="1056"/>
      <c r="BCH156" s="1056"/>
      <c r="BCI156" s="1056"/>
      <c r="BCJ156" s="1056"/>
      <c r="BCK156" s="1056"/>
      <c r="BCL156" s="1056"/>
      <c r="BCM156" s="1056"/>
      <c r="BCN156" s="1056"/>
      <c r="BCO156" s="1056"/>
      <c r="BCP156" s="1056"/>
      <c r="BCQ156" s="1056"/>
      <c r="BCR156" s="1056"/>
      <c r="BCS156" s="1056"/>
      <c r="BCT156" s="1056"/>
      <c r="BCU156" s="1056"/>
      <c r="BCV156" s="1056"/>
      <c r="BCW156" s="1056"/>
      <c r="BCX156" s="1056"/>
      <c r="BCY156" s="1056"/>
      <c r="BCZ156" s="1056"/>
      <c r="BDA156" s="1056"/>
      <c r="BDB156" s="1056"/>
      <c r="BDC156" s="1056"/>
      <c r="BDD156" s="1056"/>
      <c r="BDE156" s="1056"/>
      <c r="BDF156" s="1056"/>
      <c r="BDG156" s="1056"/>
      <c r="BDH156" s="1056"/>
      <c r="BDI156" s="1056"/>
      <c r="BDJ156" s="1056"/>
      <c r="BDK156" s="1056"/>
      <c r="BDL156" s="1056"/>
      <c r="BDM156" s="1056"/>
      <c r="BDN156" s="1056"/>
      <c r="BDO156" s="1056"/>
      <c r="BDP156" s="1056"/>
      <c r="BDQ156" s="1056"/>
      <c r="BDR156" s="1056"/>
      <c r="BDS156" s="1056"/>
      <c r="BDT156" s="1056"/>
      <c r="BDU156" s="1056"/>
      <c r="BDV156" s="1056"/>
      <c r="BDW156" s="1056"/>
      <c r="BDX156" s="1056"/>
      <c r="BDY156" s="1056"/>
      <c r="BDZ156" s="1056"/>
      <c r="BEA156" s="1056"/>
      <c r="BEB156" s="1056"/>
      <c r="BEC156" s="1056"/>
      <c r="BED156" s="1056"/>
      <c r="BEE156" s="1056"/>
      <c r="BEF156" s="1056"/>
      <c r="BEG156" s="1056"/>
      <c r="BEH156" s="1056"/>
      <c r="BEI156" s="1056"/>
      <c r="BEJ156" s="1056"/>
      <c r="BEK156" s="1056"/>
      <c r="BEL156" s="1056"/>
      <c r="BEM156" s="1056"/>
      <c r="BEN156" s="1056"/>
      <c r="BEO156" s="1056"/>
      <c r="BEP156" s="1056"/>
      <c r="BEQ156" s="1056"/>
      <c r="BER156" s="1056"/>
      <c r="BES156" s="1056"/>
      <c r="BET156" s="1056"/>
      <c r="BEU156" s="1056"/>
      <c r="BEV156" s="1056"/>
      <c r="BEW156" s="1056"/>
      <c r="BEX156" s="1056"/>
      <c r="BEY156" s="1056"/>
      <c r="BEZ156" s="1056"/>
      <c r="BFA156" s="1056"/>
      <c r="BFB156" s="1056"/>
      <c r="BFC156" s="1056"/>
      <c r="BFD156" s="1056"/>
      <c r="BFE156" s="1056"/>
      <c r="BFF156" s="1056"/>
      <c r="BFG156" s="1056"/>
      <c r="BFH156" s="1056"/>
      <c r="BFI156" s="1056"/>
      <c r="BFJ156" s="1056"/>
      <c r="BFK156" s="1056"/>
      <c r="BFL156" s="1056"/>
      <c r="BFM156" s="1056"/>
      <c r="BFN156" s="1056"/>
      <c r="BFO156" s="1056"/>
      <c r="BFP156" s="1056"/>
      <c r="BFQ156" s="1056"/>
      <c r="BFR156" s="1056"/>
      <c r="BFS156" s="1056"/>
      <c r="BFT156" s="1056"/>
      <c r="BFU156" s="1056"/>
      <c r="BFV156" s="1056"/>
      <c r="BFW156" s="1056"/>
      <c r="BFX156" s="1056"/>
      <c r="BFY156" s="1056"/>
      <c r="BFZ156" s="1056"/>
      <c r="BGA156" s="1056"/>
      <c r="BGB156" s="1056"/>
      <c r="BGC156" s="1056"/>
      <c r="BGD156" s="1056"/>
      <c r="BGE156" s="1056"/>
      <c r="BGF156" s="1056"/>
      <c r="BGG156" s="1056"/>
      <c r="BGH156" s="1056"/>
      <c r="BGI156" s="1056"/>
      <c r="BGJ156" s="1056"/>
      <c r="BGK156" s="1056"/>
      <c r="BGL156" s="1056"/>
      <c r="BGM156" s="1056"/>
      <c r="BGN156" s="1056"/>
      <c r="BGO156" s="1056"/>
      <c r="BGP156" s="1056"/>
      <c r="BGQ156" s="1056"/>
      <c r="BGR156" s="1056"/>
      <c r="BGS156" s="1056"/>
      <c r="BGT156" s="1056"/>
      <c r="BGU156" s="1056"/>
      <c r="BGV156" s="1056"/>
      <c r="BGW156" s="1056"/>
      <c r="BGX156" s="1056"/>
      <c r="BGY156" s="1056"/>
      <c r="BGZ156" s="1056"/>
      <c r="BHA156" s="1056"/>
      <c r="BHB156" s="1056"/>
      <c r="BHC156" s="1056"/>
      <c r="BHD156" s="1056"/>
      <c r="BHE156" s="1056"/>
      <c r="BHF156" s="1056"/>
      <c r="BHG156" s="1056"/>
      <c r="BHH156" s="1056"/>
      <c r="BHI156" s="1056"/>
      <c r="BHJ156" s="1056"/>
      <c r="BHK156" s="1056"/>
      <c r="BHL156" s="1056"/>
      <c r="BHM156" s="1056"/>
      <c r="BHN156" s="1056"/>
      <c r="BHO156" s="1056"/>
      <c r="BHP156" s="1056"/>
      <c r="BHQ156" s="1056"/>
      <c r="BHR156" s="1056"/>
      <c r="BHS156" s="1056"/>
      <c r="BHT156" s="1056"/>
      <c r="BHU156" s="1056"/>
      <c r="BHV156" s="1056"/>
      <c r="BHW156" s="1056"/>
      <c r="BHX156" s="1056"/>
      <c r="BHY156" s="1056"/>
      <c r="BHZ156" s="1056"/>
      <c r="BIA156" s="1056"/>
      <c r="BIB156" s="1056"/>
      <c r="BIC156" s="1056"/>
      <c r="BID156" s="1056"/>
      <c r="BIE156" s="1056"/>
      <c r="BIF156" s="1056"/>
      <c r="BIG156" s="1056"/>
      <c r="BIH156" s="1056"/>
      <c r="BII156" s="1056"/>
      <c r="BIJ156" s="1056"/>
      <c r="BIK156" s="1056"/>
      <c r="BIL156" s="1056"/>
      <c r="BIM156" s="1056"/>
      <c r="BIN156" s="1056"/>
      <c r="BIO156" s="1056"/>
      <c r="BIP156" s="1056"/>
      <c r="BIQ156" s="1056"/>
      <c r="BIR156" s="1056"/>
      <c r="BIS156" s="1056"/>
      <c r="BIT156" s="1056"/>
      <c r="BIU156" s="1056"/>
      <c r="BIV156" s="1056"/>
      <c r="BIW156" s="1056"/>
      <c r="BIX156" s="1056"/>
      <c r="BIY156" s="1056"/>
      <c r="BIZ156" s="1056"/>
      <c r="BJA156" s="1056"/>
      <c r="BJB156" s="1056"/>
      <c r="BJC156" s="1056"/>
      <c r="BJD156" s="1056"/>
      <c r="BJE156" s="1056"/>
      <c r="BJF156" s="1056"/>
      <c r="BJG156" s="1056"/>
      <c r="BJH156" s="1056"/>
      <c r="BJI156" s="1056"/>
      <c r="BJJ156" s="1056"/>
      <c r="BJK156" s="1056"/>
      <c r="BJL156" s="1056"/>
      <c r="BJM156" s="1056"/>
      <c r="BJN156" s="1056"/>
      <c r="BJO156" s="1056"/>
      <c r="BJP156" s="1056"/>
      <c r="BJQ156" s="1056"/>
      <c r="BJR156" s="1056"/>
      <c r="BJS156" s="1056"/>
      <c r="BJT156" s="1056"/>
      <c r="BJU156" s="1056"/>
      <c r="BJV156" s="1056"/>
      <c r="BJW156" s="1056"/>
      <c r="BJX156" s="1056"/>
      <c r="BJY156" s="1056"/>
      <c r="BJZ156" s="1056"/>
      <c r="BKA156" s="1056"/>
      <c r="BKB156" s="1056"/>
      <c r="BKC156" s="1056"/>
      <c r="BKD156" s="1056"/>
      <c r="BKE156" s="1056"/>
      <c r="BKF156" s="1056"/>
      <c r="BKG156" s="1056"/>
      <c r="BKH156" s="1056"/>
      <c r="BKI156" s="1056"/>
      <c r="BKJ156" s="1056"/>
      <c r="BKK156" s="1056"/>
      <c r="BKL156" s="1056"/>
      <c r="BKM156" s="1056"/>
      <c r="BKN156" s="1056"/>
      <c r="BKO156" s="1056"/>
      <c r="BKP156" s="1056"/>
      <c r="BKQ156" s="1056"/>
      <c r="BKR156" s="1056"/>
      <c r="BKS156" s="1056"/>
      <c r="BKT156" s="1056"/>
      <c r="BKU156" s="1056"/>
      <c r="BKV156" s="1056"/>
      <c r="BKW156" s="1056"/>
      <c r="BKX156" s="1056"/>
      <c r="BKY156" s="1056"/>
      <c r="BKZ156" s="1056"/>
      <c r="BLA156" s="1056"/>
      <c r="BLB156" s="1056"/>
      <c r="BLC156" s="1056"/>
      <c r="BLD156" s="1056"/>
      <c r="BLE156" s="1056"/>
      <c r="BLF156" s="1056"/>
      <c r="BLG156" s="1056"/>
      <c r="BLH156" s="1056"/>
      <c r="BLI156" s="1056"/>
      <c r="BLJ156" s="1056"/>
      <c r="BLK156" s="1056"/>
      <c r="BLL156" s="1056"/>
      <c r="BLM156" s="1056"/>
      <c r="BLN156" s="1056"/>
      <c r="BLO156" s="1056"/>
      <c r="BLP156" s="1056"/>
      <c r="BLQ156" s="1056"/>
      <c r="BLR156" s="1056"/>
      <c r="BLS156" s="1056"/>
      <c r="BLT156" s="1056"/>
      <c r="BLU156" s="1056"/>
      <c r="BLV156" s="1056"/>
      <c r="BLW156" s="1056"/>
      <c r="BLX156" s="1056"/>
      <c r="BLY156" s="1056"/>
      <c r="BLZ156" s="1056"/>
      <c r="BMA156" s="1056"/>
      <c r="BMB156" s="1056"/>
      <c r="BMC156" s="1056"/>
      <c r="BMD156" s="1056"/>
      <c r="BME156" s="1056"/>
      <c r="BMF156" s="1056"/>
      <c r="BMG156" s="1056"/>
      <c r="BMH156" s="1056"/>
      <c r="BMI156" s="1056"/>
      <c r="BMJ156" s="1056"/>
      <c r="BMK156" s="1056"/>
      <c r="BML156" s="1056"/>
      <c r="BMM156" s="1056"/>
      <c r="BMN156" s="1056"/>
      <c r="BMO156" s="1056"/>
      <c r="BMP156" s="1056"/>
      <c r="BMQ156" s="1056"/>
      <c r="BMR156" s="1056"/>
      <c r="BMS156" s="1056"/>
      <c r="BMT156" s="1056"/>
      <c r="BMU156" s="1056"/>
      <c r="BMV156" s="1056"/>
      <c r="BMW156" s="1056"/>
      <c r="BMX156" s="1056"/>
      <c r="BMY156" s="1056"/>
      <c r="BMZ156" s="1056"/>
      <c r="BNA156" s="1056"/>
      <c r="BNB156" s="1056"/>
      <c r="BNC156" s="1056"/>
      <c r="BND156" s="1056"/>
      <c r="BNE156" s="1056"/>
      <c r="BNF156" s="1056"/>
      <c r="BNG156" s="1056"/>
      <c r="BNH156" s="1056"/>
      <c r="BNI156" s="1056"/>
      <c r="BNJ156" s="1056"/>
      <c r="BNK156" s="1056"/>
      <c r="BNL156" s="1056"/>
      <c r="BNM156" s="1056"/>
      <c r="BNN156" s="1056"/>
      <c r="BNO156" s="1056"/>
      <c r="BNP156" s="1056"/>
      <c r="BNQ156" s="1056"/>
      <c r="BNR156" s="1056"/>
      <c r="BNS156" s="1056"/>
      <c r="BNT156" s="1056"/>
      <c r="BNU156" s="1056"/>
      <c r="BNV156" s="1056"/>
      <c r="BNW156" s="1056"/>
      <c r="BNX156" s="1056"/>
      <c r="BNY156" s="1056"/>
      <c r="BNZ156" s="1056"/>
      <c r="BOA156" s="1056"/>
      <c r="BOB156" s="1056"/>
      <c r="BOC156" s="1056"/>
      <c r="BOD156" s="1056"/>
      <c r="BOE156" s="1056"/>
      <c r="BOF156" s="1056"/>
      <c r="BOG156" s="1056"/>
      <c r="BOH156" s="1056"/>
      <c r="BOI156" s="1056"/>
      <c r="BOJ156" s="1056"/>
      <c r="BOK156" s="1056"/>
      <c r="BOL156" s="1056"/>
      <c r="BOM156" s="1056"/>
      <c r="BON156" s="1056"/>
      <c r="BOO156" s="1056"/>
      <c r="BOP156" s="1056"/>
      <c r="BOQ156" s="1056"/>
      <c r="BOR156" s="1056"/>
      <c r="BOS156" s="1056"/>
      <c r="BOT156" s="1056"/>
      <c r="BOU156" s="1056"/>
      <c r="BOV156" s="1056"/>
      <c r="BOW156" s="1056"/>
      <c r="BOX156" s="1056"/>
      <c r="BOY156" s="1056"/>
      <c r="BOZ156" s="1056"/>
      <c r="BPA156" s="1056"/>
      <c r="BPB156" s="1056"/>
      <c r="BPC156" s="1056"/>
      <c r="BPD156" s="1056"/>
      <c r="BPE156" s="1056"/>
      <c r="BPF156" s="1056"/>
      <c r="BPG156" s="1056"/>
      <c r="BPH156" s="1056"/>
      <c r="BPI156" s="1056"/>
      <c r="BPJ156" s="1056"/>
      <c r="BPK156" s="1056"/>
      <c r="BPL156" s="1056"/>
      <c r="BPM156" s="1056"/>
      <c r="BPN156" s="1056"/>
      <c r="BPO156" s="1056"/>
      <c r="BPP156" s="1056"/>
      <c r="BPQ156" s="1056"/>
      <c r="BPR156" s="1056"/>
      <c r="BPS156" s="1056"/>
      <c r="BPT156" s="1056"/>
      <c r="BPU156" s="1056"/>
      <c r="BPV156" s="1056"/>
      <c r="BPW156" s="1056"/>
      <c r="BPX156" s="1056"/>
      <c r="BPY156" s="1056"/>
      <c r="BPZ156" s="1056"/>
      <c r="BQA156" s="1056"/>
      <c r="BQB156" s="1056"/>
      <c r="BQC156" s="1056"/>
      <c r="BQD156" s="1056"/>
      <c r="BQE156" s="1056"/>
      <c r="BQF156" s="1056"/>
      <c r="BQG156" s="1056"/>
      <c r="BQH156" s="1056"/>
      <c r="BQI156" s="1056"/>
      <c r="BQJ156" s="1056"/>
      <c r="BQK156" s="1056"/>
      <c r="BQL156" s="1056"/>
      <c r="BQM156" s="1056"/>
      <c r="BQN156" s="1056"/>
      <c r="BQO156" s="1056"/>
      <c r="BQP156" s="1056"/>
      <c r="BQQ156" s="1056"/>
      <c r="BQR156" s="1056"/>
      <c r="BQS156" s="1056"/>
      <c r="BQT156" s="1056"/>
      <c r="BQU156" s="1056"/>
      <c r="BQV156" s="1056"/>
      <c r="BQW156" s="1056"/>
      <c r="BQX156" s="1056"/>
      <c r="BQY156" s="1056"/>
      <c r="BQZ156" s="1056"/>
      <c r="BRA156" s="1056"/>
      <c r="BRB156" s="1056"/>
      <c r="BRC156" s="1056"/>
      <c r="BRD156" s="1056"/>
      <c r="BRE156" s="1056"/>
      <c r="BRF156" s="1056"/>
      <c r="BRG156" s="1056"/>
      <c r="BRH156" s="1056"/>
      <c r="BRI156" s="1056"/>
      <c r="BRJ156" s="1056"/>
      <c r="BRK156" s="1056"/>
      <c r="BRL156" s="1056"/>
      <c r="BRM156" s="1056"/>
      <c r="BRN156" s="1056"/>
      <c r="BRO156" s="1056"/>
      <c r="BRP156" s="1056"/>
      <c r="BRQ156" s="1056"/>
      <c r="BRR156" s="1056"/>
      <c r="BRS156" s="1056"/>
      <c r="BRT156" s="1056"/>
      <c r="BRU156" s="1056"/>
      <c r="BRV156" s="1056"/>
      <c r="BRW156" s="1056"/>
      <c r="BRX156" s="1056"/>
      <c r="BRY156" s="1056"/>
      <c r="BRZ156" s="1056"/>
      <c r="BSA156" s="1056"/>
      <c r="BSB156" s="1056"/>
      <c r="BSC156" s="1056"/>
      <c r="BSD156" s="1056"/>
      <c r="BSE156" s="1056"/>
      <c r="BSF156" s="1056"/>
      <c r="BSG156" s="1056"/>
      <c r="BSH156" s="1056"/>
      <c r="BSI156" s="1056"/>
      <c r="BSJ156" s="1056"/>
      <c r="BSK156" s="1056"/>
      <c r="BSL156" s="1056"/>
      <c r="BSM156" s="1056"/>
      <c r="BSN156" s="1056"/>
      <c r="BSO156" s="1056"/>
      <c r="BSP156" s="1056"/>
      <c r="BSQ156" s="1056"/>
      <c r="BSR156" s="1056"/>
      <c r="BSS156" s="1056"/>
      <c r="BST156" s="1056"/>
      <c r="BSU156" s="1056"/>
      <c r="BSV156" s="1056"/>
      <c r="BSW156" s="1056"/>
      <c r="BSX156" s="1056"/>
      <c r="BSY156" s="1056"/>
      <c r="BSZ156" s="1056"/>
      <c r="BTA156" s="1056"/>
      <c r="BTB156" s="1056"/>
      <c r="BTC156" s="1056"/>
      <c r="BTD156" s="1056"/>
      <c r="BTE156" s="1056"/>
      <c r="BTF156" s="1056"/>
      <c r="BTG156" s="1056"/>
      <c r="BTH156" s="1056"/>
      <c r="BTI156" s="1056"/>
    </row>
    <row r="157" spans="1:1881" s="1060" customFormat="1" ht="50.25" hidden="1" customHeight="1" x14ac:dyDescent="0.3">
      <c r="A157" s="1059">
        <v>382</v>
      </c>
      <c r="B157" s="808" t="s">
        <v>60</v>
      </c>
      <c r="C157" s="808" t="s">
        <v>1400</v>
      </c>
      <c r="D157" s="1088" t="s">
        <v>130</v>
      </c>
      <c r="E157" s="1053" t="e">
        <f>HLOOKUP($D$2,'2020 Data(H)'!$C$1:$AI$426,141,FALSE)</f>
        <v>#N/A</v>
      </c>
      <c r="F157" s="287">
        <v>0</v>
      </c>
      <c r="G157" s="740">
        <f>IF(F155&gt;F157,"Error: Please review components of current assets above. Account numbers 657&gt;382",)</f>
        <v>0</v>
      </c>
      <c r="H157" s="764"/>
      <c r="I157" s="1055"/>
      <c r="J157" s="1056"/>
      <c r="K157" s="1056"/>
      <c r="L157" s="1056"/>
      <c r="M157" s="1056"/>
      <c r="N157" s="1058"/>
      <c r="O157" s="1056"/>
      <c r="P157" s="1056"/>
      <c r="Q157" s="1056"/>
      <c r="R157" s="1056"/>
      <c r="S157" s="1056"/>
      <c r="T157" s="1056"/>
      <c r="U157" s="1056"/>
      <c r="V157" s="1056"/>
      <c r="W157" s="1056"/>
      <c r="X157" s="1056"/>
      <c r="Y157" s="1056"/>
      <c r="Z157" s="1059"/>
      <c r="AA157" s="1059"/>
      <c r="AB157" s="1059"/>
      <c r="AC157" s="1059"/>
      <c r="AD157" s="1059"/>
      <c r="AE157" s="1059"/>
      <c r="AF157" s="1059"/>
      <c r="AG157" s="1059"/>
      <c r="AH157" s="1059"/>
      <c r="AI157" s="1059"/>
      <c r="AJ157" s="1059"/>
      <c r="AK157" s="1059"/>
      <c r="AL157" s="1059"/>
      <c r="AM157" s="1059"/>
      <c r="AN157" s="1059"/>
      <c r="AO157" s="1059"/>
      <c r="AP157" s="1059"/>
      <c r="AQ157" s="1059"/>
      <c r="AR157" s="1059"/>
      <c r="AS157" s="1056"/>
      <c r="AT157" s="1056"/>
      <c r="AU157" s="1056"/>
      <c r="AV157" s="1056"/>
      <c r="AW157" s="1056"/>
      <c r="AX157" s="1056"/>
      <c r="AY157" s="1056"/>
      <c r="AZ157" s="1056"/>
      <c r="BA157" s="1056"/>
      <c r="BB157" s="1056"/>
      <c r="BC157" s="1056"/>
      <c r="BD157" s="1056"/>
      <c r="BE157" s="1056"/>
      <c r="BF157" s="1056"/>
      <c r="BG157" s="1056"/>
      <c r="BH157" s="1056"/>
      <c r="BI157" s="1056"/>
      <c r="BJ157" s="1056"/>
      <c r="BK157" s="1056"/>
      <c r="BL157" s="1056"/>
      <c r="BM157" s="1056"/>
      <c r="BN157" s="1056"/>
      <c r="BO157" s="1056"/>
      <c r="BP157" s="1056"/>
      <c r="BQ157" s="1056"/>
      <c r="BR157" s="1056"/>
      <c r="BS157" s="1056"/>
      <c r="BT157" s="1056"/>
      <c r="BU157" s="1056"/>
      <c r="BV157" s="1056"/>
      <c r="BW157" s="1056"/>
      <c r="BX157" s="1056"/>
      <c r="BY157" s="1056"/>
      <c r="BZ157" s="1056"/>
      <c r="CA157" s="1056"/>
      <c r="CB157" s="1056"/>
      <c r="CC157" s="1056"/>
      <c r="CD157" s="1056"/>
      <c r="CE157" s="1056"/>
      <c r="CF157" s="1056"/>
      <c r="CG157" s="1056"/>
      <c r="CH157" s="1056"/>
      <c r="CI157" s="1056"/>
      <c r="CJ157" s="1056"/>
      <c r="CK157" s="1056"/>
      <c r="CL157" s="1056"/>
      <c r="CM157" s="1056"/>
      <c r="CN157" s="1056"/>
      <c r="CO157" s="1056"/>
      <c r="CP157" s="1056"/>
      <c r="CQ157" s="1056"/>
      <c r="CR157" s="1056"/>
      <c r="CS157" s="1056"/>
      <c r="CT157" s="1056"/>
      <c r="CU157" s="1056"/>
      <c r="CV157" s="1056"/>
      <c r="CW157" s="1056"/>
      <c r="CX157" s="1056"/>
      <c r="CY157" s="1056"/>
      <c r="CZ157" s="1056"/>
      <c r="DA157" s="1056"/>
      <c r="DB157" s="1056"/>
      <c r="DC157" s="1056"/>
      <c r="DD157" s="1056"/>
      <c r="DE157" s="1056"/>
      <c r="DF157" s="1056"/>
      <c r="DG157" s="1056"/>
      <c r="DH157" s="1056"/>
      <c r="DI157" s="1056"/>
      <c r="DJ157" s="1056"/>
      <c r="DK157" s="1056"/>
      <c r="DL157" s="1056"/>
      <c r="DM157" s="1056"/>
      <c r="DN157" s="1056"/>
      <c r="DO157" s="1056"/>
      <c r="DP157" s="1056"/>
      <c r="DQ157" s="1056"/>
      <c r="DR157" s="1056"/>
      <c r="DS157" s="1056"/>
      <c r="DT157" s="1056"/>
      <c r="DU157" s="1056"/>
      <c r="DV157" s="1056"/>
      <c r="DW157" s="1056"/>
      <c r="DX157" s="1056"/>
      <c r="DY157" s="1056"/>
      <c r="DZ157" s="1056"/>
      <c r="EA157" s="1056"/>
      <c r="EB157" s="1056"/>
      <c r="EC157" s="1056"/>
      <c r="ED157" s="1056"/>
      <c r="EE157" s="1056"/>
      <c r="EF157" s="1056"/>
      <c r="EG157" s="1056"/>
      <c r="EH157" s="1056"/>
      <c r="EI157" s="1056"/>
      <c r="EJ157" s="1056"/>
      <c r="EK157" s="1056"/>
      <c r="EL157" s="1056"/>
      <c r="EM157" s="1056"/>
      <c r="EN157" s="1056"/>
      <c r="EO157" s="1056"/>
      <c r="EP157" s="1056"/>
      <c r="EQ157" s="1056"/>
      <c r="ER157" s="1056"/>
      <c r="ES157" s="1056"/>
      <c r="ET157" s="1056"/>
      <c r="EU157" s="1056"/>
      <c r="EV157" s="1056"/>
      <c r="EW157" s="1056"/>
      <c r="EX157" s="1056"/>
      <c r="EY157" s="1056"/>
      <c r="EZ157" s="1056"/>
      <c r="FA157" s="1056"/>
      <c r="FB157" s="1056"/>
      <c r="FC157" s="1056"/>
      <c r="FD157" s="1056"/>
      <c r="FE157" s="1056"/>
      <c r="FF157" s="1056"/>
      <c r="FG157" s="1056"/>
      <c r="FH157" s="1056"/>
      <c r="FI157" s="1056"/>
      <c r="FJ157" s="1056"/>
      <c r="FK157" s="1056"/>
      <c r="FL157" s="1056"/>
      <c r="FM157" s="1056"/>
      <c r="FN157" s="1056"/>
      <c r="FO157" s="1056"/>
      <c r="FP157" s="1056"/>
      <c r="FQ157" s="1056"/>
      <c r="FR157" s="1056"/>
      <c r="FS157" s="1056"/>
      <c r="FT157" s="1056"/>
      <c r="FU157" s="1056"/>
      <c r="FV157" s="1056"/>
      <c r="FW157" s="1056"/>
      <c r="FX157" s="1056"/>
      <c r="FY157" s="1056"/>
      <c r="FZ157" s="1056"/>
      <c r="GA157" s="1056"/>
      <c r="GB157" s="1056"/>
      <c r="GC157" s="1056"/>
      <c r="GD157" s="1056"/>
      <c r="GE157" s="1056"/>
      <c r="GF157" s="1056"/>
      <c r="GG157" s="1056"/>
      <c r="GH157" s="1056"/>
      <c r="GI157" s="1056"/>
      <c r="GJ157" s="1056"/>
      <c r="GK157" s="1056"/>
      <c r="GL157" s="1056"/>
      <c r="GM157" s="1056"/>
      <c r="GN157" s="1056"/>
      <c r="GO157" s="1056"/>
      <c r="GP157" s="1056"/>
      <c r="GQ157" s="1056"/>
      <c r="GR157" s="1056"/>
      <c r="GS157" s="1056"/>
      <c r="GT157" s="1056"/>
      <c r="GU157" s="1056"/>
      <c r="GV157" s="1056"/>
      <c r="GW157" s="1056"/>
      <c r="GX157" s="1056"/>
      <c r="GY157" s="1056"/>
      <c r="GZ157" s="1056"/>
      <c r="HA157" s="1056"/>
      <c r="HB157" s="1056"/>
      <c r="HC157" s="1056"/>
      <c r="HD157" s="1056"/>
      <c r="HE157" s="1056"/>
      <c r="HF157" s="1056"/>
      <c r="HG157" s="1056"/>
      <c r="HH157" s="1056"/>
      <c r="HI157" s="1056"/>
      <c r="HJ157" s="1056"/>
      <c r="HK157" s="1056"/>
      <c r="HL157" s="1056"/>
      <c r="HM157" s="1056"/>
      <c r="HN157" s="1056"/>
      <c r="HO157" s="1056"/>
      <c r="HP157" s="1056"/>
      <c r="HQ157" s="1056"/>
      <c r="HR157" s="1056"/>
      <c r="HS157" s="1056"/>
      <c r="HT157" s="1056"/>
      <c r="HU157" s="1056"/>
      <c r="HV157" s="1056"/>
      <c r="HW157" s="1056"/>
      <c r="HX157" s="1056"/>
      <c r="HY157" s="1056"/>
      <c r="HZ157" s="1056"/>
      <c r="IA157" s="1056"/>
      <c r="IB157" s="1056"/>
      <c r="IC157" s="1056"/>
      <c r="ID157" s="1056"/>
      <c r="IE157" s="1056"/>
      <c r="IF157" s="1056"/>
      <c r="IG157" s="1056"/>
      <c r="IH157" s="1056"/>
      <c r="II157" s="1056"/>
      <c r="IJ157" s="1056"/>
      <c r="IK157" s="1056"/>
      <c r="IL157" s="1056"/>
      <c r="IM157" s="1056"/>
      <c r="IN157" s="1056"/>
      <c r="IO157" s="1056"/>
      <c r="IP157" s="1056"/>
      <c r="IQ157" s="1056"/>
      <c r="IR157" s="1056"/>
      <c r="IS157" s="1056"/>
      <c r="IT157" s="1056"/>
      <c r="IU157" s="1056"/>
      <c r="IV157" s="1056"/>
      <c r="IW157" s="1056"/>
      <c r="IX157" s="1056"/>
      <c r="IY157" s="1056"/>
      <c r="IZ157" s="1056"/>
      <c r="JA157" s="1056"/>
      <c r="JB157" s="1056"/>
      <c r="JC157" s="1056"/>
      <c r="JD157" s="1056"/>
      <c r="JE157" s="1056"/>
      <c r="JF157" s="1056"/>
      <c r="JG157" s="1056"/>
      <c r="JH157" s="1056"/>
      <c r="JI157" s="1056"/>
      <c r="JJ157" s="1056"/>
      <c r="JK157" s="1056"/>
      <c r="JL157" s="1056"/>
      <c r="JM157" s="1056"/>
      <c r="JN157" s="1056"/>
      <c r="JO157" s="1056"/>
      <c r="JP157" s="1056"/>
      <c r="JQ157" s="1056"/>
      <c r="JR157" s="1056"/>
      <c r="JS157" s="1056"/>
      <c r="JT157" s="1056"/>
      <c r="JU157" s="1056"/>
      <c r="JV157" s="1056"/>
      <c r="JW157" s="1056"/>
      <c r="JX157" s="1056"/>
      <c r="JY157" s="1056"/>
      <c r="JZ157" s="1056"/>
      <c r="KA157" s="1056"/>
      <c r="KB157" s="1056"/>
      <c r="KC157" s="1056"/>
      <c r="KD157" s="1056"/>
      <c r="KE157" s="1056"/>
      <c r="KF157" s="1056"/>
      <c r="KG157" s="1056"/>
      <c r="KH157" s="1056"/>
      <c r="KI157" s="1056"/>
      <c r="KJ157" s="1056"/>
      <c r="KK157" s="1056"/>
      <c r="KL157" s="1056"/>
      <c r="KM157" s="1056"/>
      <c r="KN157" s="1056"/>
      <c r="KO157" s="1056"/>
      <c r="KP157" s="1056"/>
      <c r="KQ157" s="1056"/>
      <c r="KR157" s="1056"/>
      <c r="KS157" s="1056"/>
      <c r="KT157" s="1056"/>
      <c r="KU157" s="1056"/>
      <c r="KV157" s="1056"/>
      <c r="KW157" s="1056"/>
      <c r="KX157" s="1056"/>
      <c r="KY157" s="1056"/>
      <c r="KZ157" s="1056"/>
      <c r="LA157" s="1056"/>
      <c r="LB157" s="1056"/>
      <c r="LC157" s="1056"/>
      <c r="LD157" s="1056"/>
      <c r="LE157" s="1056"/>
      <c r="LF157" s="1056"/>
      <c r="LG157" s="1056"/>
      <c r="LH157" s="1056"/>
      <c r="LI157" s="1056"/>
      <c r="LJ157" s="1056"/>
      <c r="LK157" s="1056"/>
      <c r="LL157" s="1056"/>
      <c r="LM157" s="1056"/>
      <c r="LN157" s="1056"/>
      <c r="LO157" s="1056"/>
      <c r="LP157" s="1056"/>
      <c r="LQ157" s="1056"/>
      <c r="LR157" s="1056"/>
      <c r="LS157" s="1056"/>
      <c r="LT157" s="1056"/>
      <c r="LU157" s="1056"/>
      <c r="LV157" s="1056"/>
      <c r="LW157" s="1056"/>
      <c r="LX157" s="1056"/>
      <c r="LY157" s="1056"/>
      <c r="LZ157" s="1056"/>
      <c r="MA157" s="1056"/>
      <c r="MB157" s="1056"/>
      <c r="MC157" s="1056"/>
      <c r="MD157" s="1056"/>
      <c r="ME157" s="1056"/>
      <c r="MF157" s="1056"/>
      <c r="MG157" s="1056"/>
      <c r="MH157" s="1056"/>
      <c r="MI157" s="1056"/>
      <c r="MJ157" s="1056"/>
      <c r="MK157" s="1056"/>
      <c r="ML157" s="1056"/>
      <c r="MM157" s="1056"/>
      <c r="MN157" s="1056"/>
      <c r="MO157" s="1056"/>
      <c r="MP157" s="1056"/>
      <c r="MQ157" s="1056"/>
      <c r="MR157" s="1056"/>
      <c r="MS157" s="1056"/>
      <c r="MT157" s="1056"/>
      <c r="MU157" s="1056"/>
      <c r="MV157" s="1056"/>
      <c r="MW157" s="1056"/>
      <c r="MX157" s="1056"/>
      <c r="MY157" s="1056"/>
      <c r="MZ157" s="1056"/>
      <c r="NA157" s="1056"/>
      <c r="NB157" s="1056"/>
      <c r="NC157" s="1056"/>
      <c r="ND157" s="1056"/>
      <c r="NE157" s="1056"/>
      <c r="NF157" s="1056"/>
      <c r="NG157" s="1056"/>
      <c r="NH157" s="1056"/>
      <c r="NI157" s="1056"/>
      <c r="NJ157" s="1056"/>
      <c r="NK157" s="1056"/>
      <c r="NL157" s="1056"/>
      <c r="NM157" s="1056"/>
      <c r="NN157" s="1056"/>
      <c r="NO157" s="1056"/>
      <c r="NP157" s="1056"/>
      <c r="NQ157" s="1056"/>
      <c r="NR157" s="1056"/>
      <c r="NS157" s="1056"/>
      <c r="NT157" s="1056"/>
      <c r="NU157" s="1056"/>
      <c r="NV157" s="1056"/>
      <c r="NW157" s="1056"/>
      <c r="NX157" s="1056"/>
      <c r="NY157" s="1056"/>
      <c r="NZ157" s="1056"/>
      <c r="OA157" s="1056"/>
      <c r="OB157" s="1056"/>
      <c r="OC157" s="1056"/>
      <c r="OD157" s="1056"/>
      <c r="OE157" s="1056"/>
      <c r="OF157" s="1056"/>
      <c r="OG157" s="1056"/>
      <c r="OH157" s="1056"/>
      <c r="OI157" s="1056"/>
      <c r="OJ157" s="1056"/>
      <c r="OK157" s="1056"/>
      <c r="OL157" s="1056"/>
      <c r="OM157" s="1056"/>
      <c r="ON157" s="1056"/>
      <c r="OO157" s="1056"/>
      <c r="OP157" s="1056"/>
      <c r="OQ157" s="1056"/>
      <c r="OR157" s="1056"/>
      <c r="OS157" s="1056"/>
      <c r="OT157" s="1056"/>
      <c r="OU157" s="1056"/>
      <c r="OV157" s="1056"/>
      <c r="OW157" s="1056"/>
      <c r="OX157" s="1056"/>
      <c r="OY157" s="1056"/>
      <c r="OZ157" s="1056"/>
      <c r="PA157" s="1056"/>
      <c r="PB157" s="1056"/>
      <c r="PC157" s="1056"/>
      <c r="PD157" s="1056"/>
      <c r="PE157" s="1056"/>
      <c r="PF157" s="1056"/>
      <c r="PG157" s="1056"/>
      <c r="PH157" s="1056"/>
      <c r="PI157" s="1056"/>
      <c r="PJ157" s="1056"/>
      <c r="PK157" s="1056"/>
      <c r="PL157" s="1056"/>
      <c r="PM157" s="1056"/>
      <c r="PN157" s="1056"/>
      <c r="PO157" s="1056"/>
      <c r="PP157" s="1056"/>
      <c r="PQ157" s="1056"/>
      <c r="PR157" s="1056"/>
      <c r="PS157" s="1056"/>
      <c r="PT157" s="1056"/>
      <c r="PU157" s="1056"/>
      <c r="PV157" s="1056"/>
      <c r="PW157" s="1056"/>
      <c r="PX157" s="1056"/>
      <c r="PY157" s="1056"/>
      <c r="PZ157" s="1056"/>
      <c r="QA157" s="1056"/>
      <c r="QB157" s="1056"/>
      <c r="QC157" s="1056"/>
      <c r="QD157" s="1056"/>
      <c r="QE157" s="1056"/>
      <c r="QF157" s="1056"/>
      <c r="QG157" s="1056"/>
      <c r="QH157" s="1056"/>
      <c r="QI157" s="1056"/>
      <c r="QJ157" s="1056"/>
      <c r="QK157" s="1056"/>
      <c r="QL157" s="1056"/>
      <c r="QM157" s="1056"/>
      <c r="QN157" s="1056"/>
      <c r="QO157" s="1056"/>
      <c r="QP157" s="1056"/>
      <c r="QQ157" s="1056"/>
      <c r="QR157" s="1056"/>
      <c r="QS157" s="1056"/>
      <c r="QT157" s="1056"/>
      <c r="QU157" s="1056"/>
      <c r="QV157" s="1056"/>
      <c r="QW157" s="1056"/>
      <c r="QX157" s="1056"/>
      <c r="QY157" s="1056"/>
      <c r="QZ157" s="1056"/>
      <c r="RA157" s="1056"/>
      <c r="RB157" s="1056"/>
      <c r="RC157" s="1056"/>
      <c r="RD157" s="1056"/>
      <c r="RE157" s="1056"/>
      <c r="RF157" s="1056"/>
      <c r="RG157" s="1056"/>
      <c r="RH157" s="1056"/>
      <c r="RI157" s="1056"/>
      <c r="RJ157" s="1056"/>
      <c r="RK157" s="1056"/>
      <c r="RL157" s="1056"/>
      <c r="RM157" s="1056"/>
      <c r="RN157" s="1056"/>
      <c r="RO157" s="1056"/>
      <c r="RP157" s="1056"/>
      <c r="RQ157" s="1056"/>
      <c r="RR157" s="1056"/>
      <c r="RS157" s="1056"/>
      <c r="RT157" s="1056"/>
      <c r="RU157" s="1056"/>
      <c r="RV157" s="1056"/>
      <c r="RW157" s="1056"/>
      <c r="RX157" s="1056"/>
      <c r="RY157" s="1056"/>
      <c r="RZ157" s="1056"/>
      <c r="SA157" s="1056"/>
      <c r="SB157" s="1056"/>
      <c r="SC157" s="1056"/>
      <c r="SD157" s="1056"/>
      <c r="SE157" s="1056"/>
      <c r="SF157" s="1056"/>
      <c r="SG157" s="1056"/>
      <c r="SH157" s="1056"/>
      <c r="SI157" s="1056"/>
      <c r="SJ157" s="1056"/>
      <c r="SK157" s="1056"/>
      <c r="SL157" s="1056"/>
      <c r="SM157" s="1056"/>
      <c r="SN157" s="1056"/>
      <c r="SO157" s="1056"/>
      <c r="SP157" s="1056"/>
      <c r="SQ157" s="1056"/>
      <c r="SR157" s="1056"/>
      <c r="SS157" s="1056"/>
      <c r="ST157" s="1056"/>
      <c r="SU157" s="1056"/>
      <c r="SV157" s="1056"/>
      <c r="SW157" s="1056"/>
      <c r="SX157" s="1056"/>
      <c r="SY157" s="1056"/>
      <c r="SZ157" s="1056"/>
      <c r="TA157" s="1056"/>
      <c r="TB157" s="1056"/>
      <c r="TC157" s="1056"/>
      <c r="TD157" s="1056"/>
      <c r="TE157" s="1056"/>
      <c r="TF157" s="1056"/>
      <c r="TG157" s="1056"/>
      <c r="TH157" s="1056"/>
      <c r="TI157" s="1056"/>
      <c r="TJ157" s="1056"/>
      <c r="TK157" s="1056"/>
      <c r="TL157" s="1056"/>
      <c r="TM157" s="1056"/>
      <c r="TN157" s="1056"/>
      <c r="TO157" s="1056"/>
      <c r="TP157" s="1056"/>
      <c r="TQ157" s="1056"/>
      <c r="TR157" s="1056"/>
      <c r="TS157" s="1056"/>
      <c r="TT157" s="1056"/>
      <c r="TU157" s="1056"/>
      <c r="TV157" s="1056"/>
      <c r="TW157" s="1056"/>
      <c r="TX157" s="1056"/>
      <c r="TY157" s="1056"/>
      <c r="TZ157" s="1056"/>
      <c r="UA157" s="1056"/>
      <c r="UB157" s="1056"/>
      <c r="UC157" s="1056"/>
      <c r="UD157" s="1056"/>
      <c r="UE157" s="1056"/>
      <c r="UF157" s="1056"/>
      <c r="UG157" s="1056"/>
      <c r="UH157" s="1056"/>
      <c r="UI157" s="1056"/>
      <c r="UJ157" s="1056"/>
      <c r="UK157" s="1056"/>
      <c r="UL157" s="1056"/>
      <c r="UM157" s="1056"/>
      <c r="UN157" s="1056"/>
      <c r="UO157" s="1056"/>
      <c r="UP157" s="1056"/>
      <c r="UQ157" s="1056"/>
      <c r="UR157" s="1056"/>
      <c r="US157" s="1056"/>
      <c r="UT157" s="1056"/>
      <c r="UU157" s="1056"/>
      <c r="UV157" s="1056"/>
      <c r="UW157" s="1056"/>
      <c r="UX157" s="1056"/>
      <c r="UY157" s="1056"/>
      <c r="UZ157" s="1056"/>
      <c r="VA157" s="1056"/>
      <c r="VB157" s="1056"/>
      <c r="VC157" s="1056"/>
      <c r="VD157" s="1056"/>
      <c r="VE157" s="1056"/>
      <c r="VF157" s="1056"/>
      <c r="VG157" s="1056"/>
      <c r="VH157" s="1056"/>
      <c r="VI157" s="1056"/>
      <c r="VJ157" s="1056"/>
      <c r="VK157" s="1056"/>
      <c r="VL157" s="1056"/>
      <c r="VM157" s="1056"/>
      <c r="VN157" s="1056"/>
      <c r="VO157" s="1056"/>
      <c r="VP157" s="1056"/>
      <c r="VQ157" s="1056"/>
      <c r="VR157" s="1056"/>
      <c r="VS157" s="1056"/>
      <c r="VT157" s="1056"/>
      <c r="VU157" s="1056"/>
      <c r="VV157" s="1056"/>
      <c r="VW157" s="1056"/>
      <c r="VX157" s="1056"/>
      <c r="VY157" s="1056"/>
      <c r="VZ157" s="1056"/>
      <c r="WA157" s="1056"/>
      <c r="WB157" s="1056"/>
      <c r="WC157" s="1056"/>
      <c r="WD157" s="1056"/>
      <c r="WE157" s="1056"/>
      <c r="WF157" s="1056"/>
      <c r="WG157" s="1056"/>
      <c r="WH157" s="1056"/>
      <c r="WI157" s="1056"/>
      <c r="WJ157" s="1056"/>
      <c r="WK157" s="1056"/>
      <c r="WL157" s="1056"/>
      <c r="WM157" s="1056"/>
      <c r="WN157" s="1056"/>
      <c r="WO157" s="1056"/>
      <c r="WP157" s="1056"/>
      <c r="WQ157" s="1056"/>
      <c r="WR157" s="1056"/>
      <c r="WS157" s="1056"/>
      <c r="WT157" s="1056"/>
      <c r="WU157" s="1056"/>
      <c r="WV157" s="1056"/>
      <c r="WW157" s="1056"/>
      <c r="WX157" s="1056"/>
      <c r="WY157" s="1056"/>
      <c r="WZ157" s="1056"/>
      <c r="XA157" s="1056"/>
      <c r="XB157" s="1056"/>
      <c r="XC157" s="1056"/>
      <c r="XD157" s="1056"/>
      <c r="XE157" s="1056"/>
      <c r="XF157" s="1056"/>
      <c r="XG157" s="1056"/>
      <c r="XH157" s="1056"/>
      <c r="XI157" s="1056"/>
      <c r="XJ157" s="1056"/>
      <c r="XK157" s="1056"/>
      <c r="XL157" s="1056"/>
      <c r="XM157" s="1056"/>
      <c r="XN157" s="1056"/>
      <c r="XO157" s="1056"/>
      <c r="XP157" s="1056"/>
      <c r="XQ157" s="1056"/>
      <c r="XR157" s="1056"/>
      <c r="XS157" s="1056"/>
      <c r="XT157" s="1056"/>
      <c r="XU157" s="1056"/>
      <c r="XV157" s="1056"/>
      <c r="XW157" s="1056"/>
      <c r="XX157" s="1056"/>
      <c r="XY157" s="1056"/>
      <c r="XZ157" s="1056"/>
      <c r="YA157" s="1056"/>
      <c r="YB157" s="1056"/>
      <c r="YC157" s="1056"/>
      <c r="YD157" s="1056"/>
      <c r="YE157" s="1056"/>
      <c r="YF157" s="1056"/>
      <c r="YG157" s="1056"/>
      <c r="YH157" s="1056"/>
      <c r="YI157" s="1056"/>
      <c r="YJ157" s="1056"/>
      <c r="YK157" s="1056"/>
      <c r="YL157" s="1056"/>
      <c r="YM157" s="1056"/>
      <c r="YN157" s="1056"/>
      <c r="YO157" s="1056"/>
      <c r="YP157" s="1056"/>
      <c r="YQ157" s="1056"/>
      <c r="YR157" s="1056"/>
      <c r="YS157" s="1056"/>
      <c r="YT157" s="1056"/>
      <c r="YU157" s="1056"/>
      <c r="YV157" s="1056"/>
      <c r="YW157" s="1056"/>
      <c r="YX157" s="1056"/>
      <c r="YY157" s="1056"/>
      <c r="YZ157" s="1056"/>
      <c r="ZA157" s="1056"/>
      <c r="ZB157" s="1056"/>
      <c r="ZC157" s="1056"/>
      <c r="ZD157" s="1056"/>
      <c r="ZE157" s="1056"/>
      <c r="ZF157" s="1056"/>
      <c r="ZG157" s="1056"/>
      <c r="ZH157" s="1056"/>
      <c r="ZI157" s="1056"/>
      <c r="ZJ157" s="1056"/>
      <c r="ZK157" s="1056"/>
      <c r="ZL157" s="1056"/>
      <c r="ZM157" s="1056"/>
      <c r="ZN157" s="1056"/>
      <c r="ZO157" s="1056"/>
      <c r="ZP157" s="1056"/>
      <c r="ZQ157" s="1056"/>
      <c r="ZR157" s="1056"/>
      <c r="ZS157" s="1056"/>
      <c r="ZT157" s="1056"/>
      <c r="ZU157" s="1056"/>
      <c r="ZV157" s="1056"/>
      <c r="ZW157" s="1056"/>
      <c r="ZX157" s="1056"/>
      <c r="ZY157" s="1056"/>
      <c r="ZZ157" s="1056"/>
      <c r="AAA157" s="1056"/>
      <c r="AAB157" s="1056"/>
      <c r="AAC157" s="1056"/>
      <c r="AAD157" s="1056"/>
      <c r="AAE157" s="1056"/>
      <c r="AAF157" s="1056"/>
      <c r="AAG157" s="1056"/>
      <c r="AAH157" s="1056"/>
      <c r="AAI157" s="1056"/>
      <c r="AAJ157" s="1056"/>
      <c r="AAK157" s="1056"/>
      <c r="AAL157" s="1056"/>
      <c r="AAM157" s="1056"/>
      <c r="AAN157" s="1056"/>
      <c r="AAO157" s="1056"/>
      <c r="AAP157" s="1056"/>
      <c r="AAQ157" s="1056"/>
      <c r="AAR157" s="1056"/>
      <c r="AAS157" s="1056"/>
      <c r="AAT157" s="1056"/>
      <c r="AAU157" s="1056"/>
      <c r="AAV157" s="1056"/>
      <c r="AAW157" s="1056"/>
      <c r="AAX157" s="1056"/>
      <c r="AAY157" s="1056"/>
      <c r="AAZ157" s="1056"/>
      <c r="ABA157" s="1056"/>
      <c r="ABB157" s="1056"/>
      <c r="ABC157" s="1056"/>
      <c r="ABD157" s="1056"/>
      <c r="ABE157" s="1056"/>
      <c r="ABF157" s="1056"/>
      <c r="ABG157" s="1056"/>
      <c r="ABH157" s="1056"/>
      <c r="ABI157" s="1056"/>
      <c r="ABJ157" s="1056"/>
      <c r="ABK157" s="1056"/>
      <c r="ABL157" s="1056"/>
      <c r="ABM157" s="1056"/>
      <c r="ABN157" s="1056"/>
      <c r="ABO157" s="1056"/>
      <c r="ABP157" s="1056"/>
      <c r="ABQ157" s="1056"/>
      <c r="ABR157" s="1056"/>
      <c r="ABS157" s="1056"/>
      <c r="ABT157" s="1056"/>
      <c r="ABU157" s="1056"/>
      <c r="ABV157" s="1056"/>
      <c r="ABW157" s="1056"/>
      <c r="ABX157" s="1056"/>
      <c r="ABY157" s="1056"/>
      <c r="ABZ157" s="1056"/>
      <c r="ACA157" s="1056"/>
      <c r="ACB157" s="1056"/>
      <c r="ACC157" s="1056"/>
      <c r="ACD157" s="1056"/>
      <c r="ACE157" s="1056"/>
      <c r="ACF157" s="1056"/>
      <c r="ACG157" s="1056"/>
      <c r="ACH157" s="1056"/>
      <c r="ACI157" s="1056"/>
      <c r="ACJ157" s="1056"/>
      <c r="ACK157" s="1056"/>
      <c r="ACL157" s="1056"/>
      <c r="ACM157" s="1056"/>
      <c r="ACN157" s="1056"/>
      <c r="ACO157" s="1056"/>
      <c r="ACP157" s="1056"/>
      <c r="ACQ157" s="1056"/>
      <c r="ACR157" s="1056"/>
      <c r="ACS157" s="1056"/>
      <c r="ACT157" s="1056"/>
      <c r="ACU157" s="1056"/>
      <c r="ACV157" s="1056"/>
      <c r="ACW157" s="1056"/>
      <c r="ACX157" s="1056"/>
      <c r="ACY157" s="1056"/>
      <c r="ACZ157" s="1056"/>
      <c r="ADA157" s="1056"/>
      <c r="ADB157" s="1056"/>
      <c r="ADC157" s="1056"/>
      <c r="ADD157" s="1056"/>
      <c r="ADE157" s="1056"/>
      <c r="ADF157" s="1056"/>
      <c r="ADG157" s="1056"/>
      <c r="ADH157" s="1056"/>
      <c r="ADI157" s="1056"/>
      <c r="ADJ157" s="1056"/>
      <c r="ADK157" s="1056"/>
      <c r="ADL157" s="1056"/>
      <c r="ADM157" s="1056"/>
      <c r="ADN157" s="1056"/>
      <c r="ADO157" s="1056"/>
      <c r="ADP157" s="1056"/>
      <c r="ADQ157" s="1056"/>
      <c r="ADR157" s="1056"/>
      <c r="ADS157" s="1056"/>
      <c r="ADT157" s="1056"/>
      <c r="ADU157" s="1056"/>
      <c r="ADV157" s="1056"/>
      <c r="ADW157" s="1056"/>
      <c r="ADX157" s="1056"/>
      <c r="ADY157" s="1056"/>
      <c r="ADZ157" s="1056"/>
      <c r="AEA157" s="1056"/>
      <c r="AEB157" s="1056"/>
      <c r="AEC157" s="1056"/>
      <c r="AED157" s="1056"/>
      <c r="AEE157" s="1056"/>
      <c r="AEF157" s="1056"/>
      <c r="AEG157" s="1056"/>
      <c r="AEH157" s="1056"/>
      <c r="AEI157" s="1056"/>
      <c r="AEJ157" s="1056"/>
      <c r="AEK157" s="1056"/>
      <c r="AEL157" s="1056"/>
      <c r="AEM157" s="1056"/>
      <c r="AEN157" s="1056"/>
      <c r="AEO157" s="1056"/>
      <c r="AEP157" s="1056"/>
      <c r="AEQ157" s="1056"/>
      <c r="AER157" s="1056"/>
      <c r="AES157" s="1056"/>
      <c r="AET157" s="1056"/>
      <c r="AEU157" s="1056"/>
      <c r="AEV157" s="1056"/>
      <c r="AEW157" s="1056"/>
      <c r="AEX157" s="1056"/>
      <c r="AEY157" s="1056"/>
      <c r="AEZ157" s="1056"/>
      <c r="AFA157" s="1056"/>
      <c r="AFB157" s="1056"/>
      <c r="AFC157" s="1056"/>
      <c r="AFD157" s="1056"/>
      <c r="AFE157" s="1056"/>
      <c r="AFF157" s="1056"/>
      <c r="AFG157" s="1056"/>
      <c r="AFH157" s="1056"/>
      <c r="AFI157" s="1056"/>
      <c r="AFJ157" s="1056"/>
      <c r="AFK157" s="1056"/>
      <c r="AFL157" s="1056"/>
      <c r="AFM157" s="1056"/>
      <c r="AFN157" s="1056"/>
      <c r="AFO157" s="1056"/>
      <c r="AFP157" s="1056"/>
      <c r="AFQ157" s="1056"/>
      <c r="AFR157" s="1056"/>
      <c r="AFS157" s="1056"/>
      <c r="AFT157" s="1056"/>
      <c r="AFU157" s="1056"/>
      <c r="AFV157" s="1056"/>
      <c r="AFW157" s="1056"/>
      <c r="AFX157" s="1056"/>
      <c r="AFY157" s="1056"/>
      <c r="AFZ157" s="1056"/>
      <c r="AGA157" s="1056"/>
      <c r="AGB157" s="1056"/>
      <c r="AGC157" s="1056"/>
      <c r="AGD157" s="1056"/>
      <c r="AGE157" s="1056"/>
      <c r="AGF157" s="1056"/>
      <c r="AGG157" s="1056"/>
      <c r="AGH157" s="1056"/>
      <c r="AGI157" s="1056"/>
      <c r="AGJ157" s="1056"/>
      <c r="AGK157" s="1056"/>
      <c r="AGL157" s="1056"/>
      <c r="AGM157" s="1056"/>
      <c r="AGN157" s="1056"/>
      <c r="AGO157" s="1056"/>
      <c r="AGP157" s="1056"/>
      <c r="AGQ157" s="1056"/>
      <c r="AGR157" s="1056"/>
      <c r="AGS157" s="1056"/>
      <c r="AGT157" s="1056"/>
      <c r="AGU157" s="1056"/>
      <c r="AGV157" s="1056"/>
      <c r="AGW157" s="1056"/>
      <c r="AGX157" s="1056"/>
      <c r="AGY157" s="1056"/>
      <c r="AGZ157" s="1056"/>
      <c r="AHA157" s="1056"/>
      <c r="AHB157" s="1056"/>
      <c r="AHC157" s="1056"/>
      <c r="AHD157" s="1056"/>
      <c r="AHE157" s="1056"/>
      <c r="AHF157" s="1056"/>
      <c r="AHG157" s="1056"/>
      <c r="AHH157" s="1056"/>
      <c r="AHI157" s="1056"/>
      <c r="AHJ157" s="1056"/>
      <c r="AHK157" s="1056"/>
      <c r="AHL157" s="1056"/>
      <c r="AHM157" s="1056"/>
      <c r="AHN157" s="1056"/>
      <c r="AHO157" s="1056"/>
      <c r="AHP157" s="1056"/>
      <c r="AHQ157" s="1056"/>
      <c r="AHR157" s="1056"/>
      <c r="AHS157" s="1056"/>
      <c r="AHT157" s="1056"/>
      <c r="AHU157" s="1056"/>
      <c r="AHV157" s="1056"/>
      <c r="AHW157" s="1056"/>
      <c r="AHX157" s="1056"/>
      <c r="AHY157" s="1056"/>
      <c r="AHZ157" s="1056"/>
      <c r="AIA157" s="1056"/>
      <c r="AIB157" s="1056"/>
      <c r="AIC157" s="1056"/>
      <c r="AID157" s="1056"/>
      <c r="AIE157" s="1056"/>
      <c r="AIF157" s="1056"/>
      <c r="AIG157" s="1056"/>
      <c r="AIH157" s="1056"/>
      <c r="AII157" s="1056"/>
      <c r="AIJ157" s="1056"/>
      <c r="AIK157" s="1056"/>
      <c r="AIL157" s="1056"/>
      <c r="AIM157" s="1056"/>
      <c r="AIN157" s="1056"/>
      <c r="AIO157" s="1056"/>
      <c r="AIP157" s="1056"/>
      <c r="AIQ157" s="1056"/>
      <c r="AIR157" s="1056"/>
      <c r="AIS157" s="1056"/>
      <c r="AIT157" s="1056"/>
      <c r="AIU157" s="1056"/>
      <c r="AIV157" s="1056"/>
      <c r="AIW157" s="1056"/>
      <c r="AIX157" s="1056"/>
      <c r="AIY157" s="1056"/>
      <c r="AIZ157" s="1056"/>
      <c r="AJA157" s="1056"/>
      <c r="AJB157" s="1056"/>
      <c r="AJC157" s="1056"/>
      <c r="AJD157" s="1056"/>
      <c r="AJE157" s="1056"/>
      <c r="AJF157" s="1056"/>
      <c r="AJG157" s="1056"/>
      <c r="AJH157" s="1056"/>
      <c r="AJI157" s="1056"/>
      <c r="AJJ157" s="1056"/>
      <c r="AJK157" s="1056"/>
      <c r="AJL157" s="1056"/>
      <c r="AJM157" s="1056"/>
      <c r="AJN157" s="1056"/>
      <c r="AJO157" s="1056"/>
      <c r="AJP157" s="1056"/>
      <c r="AJQ157" s="1056"/>
      <c r="AJR157" s="1056"/>
      <c r="AJS157" s="1056"/>
      <c r="AJT157" s="1056"/>
      <c r="AJU157" s="1056"/>
      <c r="AJV157" s="1056"/>
      <c r="AJW157" s="1056"/>
      <c r="AJX157" s="1056"/>
      <c r="AJY157" s="1056"/>
      <c r="AJZ157" s="1056"/>
      <c r="AKA157" s="1056"/>
      <c r="AKB157" s="1056"/>
      <c r="AKC157" s="1056"/>
      <c r="AKD157" s="1056"/>
      <c r="AKE157" s="1056"/>
      <c r="AKF157" s="1056"/>
      <c r="AKG157" s="1056"/>
      <c r="AKH157" s="1056"/>
      <c r="AKI157" s="1056"/>
      <c r="AKJ157" s="1056"/>
      <c r="AKK157" s="1056"/>
      <c r="AKL157" s="1056"/>
      <c r="AKM157" s="1056"/>
      <c r="AKN157" s="1056"/>
      <c r="AKO157" s="1056"/>
      <c r="AKP157" s="1056"/>
      <c r="AKQ157" s="1056"/>
      <c r="AKR157" s="1056"/>
      <c r="AKS157" s="1056"/>
      <c r="AKT157" s="1056"/>
      <c r="AKU157" s="1056"/>
      <c r="AKV157" s="1056"/>
      <c r="AKW157" s="1056"/>
      <c r="AKX157" s="1056"/>
      <c r="AKY157" s="1056"/>
      <c r="AKZ157" s="1056"/>
      <c r="ALA157" s="1056"/>
      <c r="ALB157" s="1056"/>
      <c r="ALC157" s="1056"/>
      <c r="ALD157" s="1056"/>
      <c r="ALE157" s="1056"/>
      <c r="ALF157" s="1056"/>
      <c r="ALG157" s="1056"/>
      <c r="ALH157" s="1056"/>
      <c r="ALI157" s="1056"/>
      <c r="ALJ157" s="1056"/>
      <c r="ALK157" s="1056"/>
      <c r="ALL157" s="1056"/>
      <c r="ALM157" s="1056"/>
      <c r="ALN157" s="1056"/>
      <c r="ALO157" s="1056"/>
      <c r="ALP157" s="1056"/>
      <c r="ALQ157" s="1056"/>
      <c r="ALR157" s="1056"/>
      <c r="ALS157" s="1056"/>
      <c r="ALT157" s="1056"/>
      <c r="ALU157" s="1056"/>
      <c r="ALV157" s="1056"/>
      <c r="ALW157" s="1056"/>
      <c r="ALX157" s="1056"/>
      <c r="ALY157" s="1056"/>
      <c r="ALZ157" s="1056"/>
      <c r="AMA157" s="1056"/>
      <c r="AMB157" s="1056"/>
      <c r="AMC157" s="1056"/>
      <c r="AMD157" s="1056"/>
      <c r="AME157" s="1056"/>
      <c r="AMF157" s="1056"/>
      <c r="AMG157" s="1056"/>
      <c r="AMH157" s="1056"/>
      <c r="AMI157" s="1056"/>
      <c r="AMJ157" s="1056"/>
      <c r="AMK157" s="1056"/>
      <c r="AML157" s="1056"/>
      <c r="AMM157" s="1056"/>
      <c r="AMN157" s="1056"/>
      <c r="AMO157" s="1056"/>
      <c r="AMP157" s="1056"/>
      <c r="AMQ157" s="1056"/>
      <c r="AMR157" s="1056"/>
      <c r="AMS157" s="1056"/>
      <c r="AMT157" s="1056"/>
      <c r="AMU157" s="1056"/>
      <c r="AMV157" s="1056"/>
      <c r="AMW157" s="1056"/>
      <c r="AMX157" s="1056"/>
      <c r="AMY157" s="1056"/>
      <c r="AMZ157" s="1056"/>
      <c r="ANA157" s="1056"/>
      <c r="ANB157" s="1056"/>
      <c r="ANC157" s="1056"/>
      <c r="AND157" s="1056"/>
      <c r="ANE157" s="1056"/>
      <c r="ANF157" s="1056"/>
      <c r="ANG157" s="1056"/>
      <c r="ANH157" s="1056"/>
      <c r="ANI157" s="1056"/>
      <c r="ANJ157" s="1056"/>
      <c r="ANK157" s="1056"/>
      <c r="ANL157" s="1056"/>
      <c r="ANM157" s="1056"/>
      <c r="ANN157" s="1056"/>
      <c r="ANO157" s="1056"/>
      <c r="ANP157" s="1056"/>
      <c r="ANQ157" s="1056"/>
      <c r="ANR157" s="1056"/>
      <c r="ANS157" s="1056"/>
      <c r="ANT157" s="1056"/>
      <c r="ANU157" s="1056"/>
      <c r="ANV157" s="1056"/>
      <c r="ANW157" s="1056"/>
      <c r="ANX157" s="1056"/>
      <c r="ANY157" s="1056"/>
      <c r="ANZ157" s="1056"/>
      <c r="AOA157" s="1056"/>
      <c r="AOB157" s="1056"/>
      <c r="AOC157" s="1056"/>
      <c r="AOD157" s="1056"/>
      <c r="AOE157" s="1056"/>
      <c r="AOF157" s="1056"/>
      <c r="AOG157" s="1056"/>
      <c r="AOH157" s="1056"/>
      <c r="AOI157" s="1056"/>
      <c r="AOJ157" s="1056"/>
      <c r="AOK157" s="1056"/>
      <c r="AOL157" s="1056"/>
      <c r="AOM157" s="1056"/>
      <c r="AON157" s="1056"/>
      <c r="AOO157" s="1056"/>
      <c r="AOP157" s="1056"/>
      <c r="AOQ157" s="1056"/>
      <c r="AOR157" s="1056"/>
      <c r="AOS157" s="1056"/>
      <c r="AOT157" s="1056"/>
      <c r="AOU157" s="1056"/>
      <c r="AOV157" s="1056"/>
      <c r="AOW157" s="1056"/>
      <c r="AOX157" s="1056"/>
      <c r="AOY157" s="1056"/>
      <c r="AOZ157" s="1056"/>
      <c r="APA157" s="1056"/>
      <c r="APB157" s="1056"/>
      <c r="APC157" s="1056"/>
      <c r="APD157" s="1056"/>
      <c r="APE157" s="1056"/>
      <c r="APF157" s="1056"/>
      <c r="APG157" s="1056"/>
      <c r="APH157" s="1056"/>
      <c r="API157" s="1056"/>
      <c r="APJ157" s="1056"/>
      <c r="APK157" s="1056"/>
      <c r="APL157" s="1056"/>
      <c r="APM157" s="1056"/>
      <c r="APN157" s="1056"/>
      <c r="APO157" s="1056"/>
      <c r="APP157" s="1056"/>
      <c r="APQ157" s="1056"/>
      <c r="APR157" s="1056"/>
      <c r="APS157" s="1056"/>
      <c r="APT157" s="1056"/>
      <c r="APU157" s="1056"/>
      <c r="APV157" s="1056"/>
      <c r="APW157" s="1056"/>
      <c r="APX157" s="1056"/>
      <c r="APY157" s="1056"/>
      <c r="APZ157" s="1056"/>
      <c r="AQA157" s="1056"/>
      <c r="AQB157" s="1056"/>
      <c r="AQC157" s="1056"/>
      <c r="AQD157" s="1056"/>
      <c r="AQE157" s="1056"/>
      <c r="AQF157" s="1056"/>
      <c r="AQG157" s="1056"/>
      <c r="AQH157" s="1056"/>
      <c r="AQI157" s="1056"/>
      <c r="AQJ157" s="1056"/>
      <c r="AQK157" s="1056"/>
      <c r="AQL157" s="1056"/>
      <c r="AQM157" s="1056"/>
      <c r="AQN157" s="1056"/>
      <c r="AQO157" s="1056"/>
      <c r="AQP157" s="1056"/>
      <c r="AQQ157" s="1056"/>
      <c r="AQR157" s="1056"/>
      <c r="AQS157" s="1056"/>
      <c r="AQT157" s="1056"/>
      <c r="AQU157" s="1056"/>
      <c r="AQV157" s="1056"/>
      <c r="AQW157" s="1056"/>
      <c r="AQX157" s="1056"/>
      <c r="AQY157" s="1056"/>
      <c r="AQZ157" s="1056"/>
      <c r="ARA157" s="1056"/>
      <c r="ARB157" s="1056"/>
      <c r="ARC157" s="1056"/>
      <c r="ARD157" s="1056"/>
      <c r="ARE157" s="1056"/>
      <c r="ARF157" s="1056"/>
      <c r="ARG157" s="1056"/>
      <c r="ARH157" s="1056"/>
      <c r="ARI157" s="1056"/>
      <c r="ARJ157" s="1056"/>
      <c r="ARK157" s="1056"/>
      <c r="ARL157" s="1056"/>
      <c r="ARM157" s="1056"/>
      <c r="ARN157" s="1056"/>
      <c r="ARO157" s="1056"/>
      <c r="ARP157" s="1056"/>
      <c r="ARQ157" s="1056"/>
      <c r="ARR157" s="1056"/>
      <c r="ARS157" s="1056"/>
      <c r="ART157" s="1056"/>
      <c r="ARU157" s="1056"/>
      <c r="ARV157" s="1056"/>
      <c r="ARW157" s="1056"/>
      <c r="ARX157" s="1056"/>
      <c r="ARY157" s="1056"/>
      <c r="ARZ157" s="1056"/>
      <c r="ASA157" s="1056"/>
      <c r="ASB157" s="1056"/>
      <c r="ASC157" s="1056"/>
      <c r="ASD157" s="1056"/>
      <c r="ASE157" s="1056"/>
      <c r="ASF157" s="1056"/>
      <c r="ASG157" s="1056"/>
      <c r="ASH157" s="1056"/>
      <c r="ASI157" s="1056"/>
      <c r="ASJ157" s="1056"/>
      <c r="ASK157" s="1056"/>
      <c r="ASL157" s="1056"/>
      <c r="ASM157" s="1056"/>
      <c r="ASN157" s="1056"/>
      <c r="ASO157" s="1056"/>
      <c r="ASP157" s="1056"/>
      <c r="ASQ157" s="1056"/>
      <c r="ASR157" s="1056"/>
      <c r="ASS157" s="1056"/>
      <c r="AST157" s="1056"/>
      <c r="ASU157" s="1056"/>
      <c r="ASV157" s="1056"/>
      <c r="ASW157" s="1056"/>
      <c r="ASX157" s="1056"/>
      <c r="ASY157" s="1056"/>
      <c r="ASZ157" s="1056"/>
      <c r="ATA157" s="1056"/>
      <c r="ATB157" s="1056"/>
      <c r="ATC157" s="1056"/>
      <c r="ATD157" s="1056"/>
      <c r="ATE157" s="1056"/>
      <c r="ATF157" s="1056"/>
      <c r="ATG157" s="1056"/>
      <c r="ATH157" s="1056"/>
      <c r="ATI157" s="1056"/>
      <c r="ATJ157" s="1056"/>
      <c r="ATK157" s="1056"/>
      <c r="ATL157" s="1056"/>
      <c r="ATM157" s="1056"/>
      <c r="ATN157" s="1056"/>
      <c r="ATO157" s="1056"/>
      <c r="ATP157" s="1056"/>
      <c r="ATQ157" s="1056"/>
      <c r="ATR157" s="1056"/>
      <c r="ATS157" s="1056"/>
      <c r="ATT157" s="1056"/>
      <c r="ATU157" s="1056"/>
      <c r="ATV157" s="1056"/>
      <c r="ATW157" s="1056"/>
      <c r="ATX157" s="1056"/>
      <c r="ATY157" s="1056"/>
      <c r="ATZ157" s="1056"/>
      <c r="AUA157" s="1056"/>
      <c r="AUB157" s="1056"/>
      <c r="AUC157" s="1056"/>
      <c r="AUD157" s="1056"/>
      <c r="AUE157" s="1056"/>
      <c r="AUF157" s="1056"/>
      <c r="AUG157" s="1056"/>
      <c r="AUH157" s="1056"/>
      <c r="AUI157" s="1056"/>
      <c r="AUJ157" s="1056"/>
      <c r="AUK157" s="1056"/>
      <c r="AUL157" s="1056"/>
      <c r="AUM157" s="1056"/>
      <c r="AUN157" s="1056"/>
      <c r="AUO157" s="1056"/>
      <c r="AUP157" s="1056"/>
      <c r="AUQ157" s="1056"/>
      <c r="AUR157" s="1056"/>
      <c r="AUS157" s="1056"/>
      <c r="AUT157" s="1056"/>
      <c r="AUU157" s="1056"/>
      <c r="AUV157" s="1056"/>
      <c r="AUW157" s="1056"/>
      <c r="AUX157" s="1056"/>
      <c r="AUY157" s="1056"/>
      <c r="AUZ157" s="1056"/>
      <c r="AVA157" s="1056"/>
      <c r="AVB157" s="1056"/>
      <c r="AVC157" s="1056"/>
      <c r="AVD157" s="1056"/>
      <c r="AVE157" s="1056"/>
      <c r="AVF157" s="1056"/>
      <c r="AVG157" s="1056"/>
      <c r="AVH157" s="1056"/>
      <c r="AVI157" s="1056"/>
      <c r="AVJ157" s="1056"/>
      <c r="AVK157" s="1056"/>
      <c r="AVL157" s="1056"/>
      <c r="AVM157" s="1056"/>
      <c r="AVN157" s="1056"/>
      <c r="AVO157" s="1056"/>
      <c r="AVP157" s="1056"/>
      <c r="AVQ157" s="1056"/>
      <c r="AVR157" s="1056"/>
      <c r="AVS157" s="1056"/>
      <c r="AVT157" s="1056"/>
      <c r="AVU157" s="1056"/>
      <c r="AVV157" s="1056"/>
      <c r="AVW157" s="1056"/>
      <c r="AVX157" s="1056"/>
      <c r="AVY157" s="1056"/>
      <c r="AVZ157" s="1056"/>
      <c r="AWA157" s="1056"/>
      <c r="AWB157" s="1056"/>
      <c r="AWC157" s="1056"/>
      <c r="AWD157" s="1056"/>
      <c r="AWE157" s="1056"/>
      <c r="AWF157" s="1056"/>
      <c r="AWG157" s="1056"/>
      <c r="AWH157" s="1056"/>
      <c r="AWI157" s="1056"/>
      <c r="AWJ157" s="1056"/>
      <c r="AWK157" s="1056"/>
      <c r="AWL157" s="1056"/>
      <c r="AWM157" s="1056"/>
      <c r="AWN157" s="1056"/>
      <c r="AWO157" s="1056"/>
      <c r="AWP157" s="1056"/>
      <c r="AWQ157" s="1056"/>
      <c r="AWR157" s="1056"/>
      <c r="AWS157" s="1056"/>
      <c r="AWT157" s="1056"/>
      <c r="AWU157" s="1056"/>
      <c r="AWV157" s="1056"/>
      <c r="AWW157" s="1056"/>
      <c r="AWX157" s="1056"/>
      <c r="AWY157" s="1056"/>
      <c r="AWZ157" s="1056"/>
      <c r="AXA157" s="1056"/>
      <c r="AXB157" s="1056"/>
      <c r="AXC157" s="1056"/>
      <c r="AXD157" s="1056"/>
      <c r="AXE157" s="1056"/>
      <c r="AXF157" s="1056"/>
      <c r="AXG157" s="1056"/>
      <c r="AXH157" s="1056"/>
      <c r="AXI157" s="1056"/>
      <c r="AXJ157" s="1056"/>
      <c r="AXK157" s="1056"/>
      <c r="AXL157" s="1056"/>
      <c r="AXM157" s="1056"/>
      <c r="AXN157" s="1056"/>
      <c r="AXO157" s="1056"/>
      <c r="AXP157" s="1056"/>
      <c r="AXQ157" s="1056"/>
      <c r="AXR157" s="1056"/>
      <c r="AXS157" s="1056"/>
      <c r="AXT157" s="1056"/>
      <c r="AXU157" s="1056"/>
      <c r="AXV157" s="1056"/>
      <c r="AXW157" s="1056"/>
      <c r="AXX157" s="1056"/>
      <c r="AXY157" s="1056"/>
      <c r="AXZ157" s="1056"/>
      <c r="AYA157" s="1056"/>
      <c r="AYB157" s="1056"/>
      <c r="AYC157" s="1056"/>
      <c r="AYD157" s="1056"/>
      <c r="AYE157" s="1056"/>
      <c r="AYF157" s="1056"/>
      <c r="AYG157" s="1056"/>
      <c r="AYH157" s="1056"/>
      <c r="AYI157" s="1056"/>
      <c r="AYJ157" s="1056"/>
      <c r="AYK157" s="1056"/>
      <c r="AYL157" s="1056"/>
      <c r="AYM157" s="1056"/>
      <c r="AYN157" s="1056"/>
      <c r="AYO157" s="1056"/>
      <c r="AYP157" s="1056"/>
      <c r="AYQ157" s="1056"/>
      <c r="AYR157" s="1056"/>
      <c r="AYS157" s="1056"/>
      <c r="AYT157" s="1056"/>
      <c r="AYU157" s="1056"/>
      <c r="AYV157" s="1056"/>
      <c r="AYW157" s="1056"/>
      <c r="AYX157" s="1056"/>
      <c r="AYY157" s="1056"/>
      <c r="AYZ157" s="1056"/>
      <c r="AZA157" s="1056"/>
      <c r="AZB157" s="1056"/>
      <c r="AZC157" s="1056"/>
      <c r="AZD157" s="1056"/>
      <c r="AZE157" s="1056"/>
      <c r="AZF157" s="1056"/>
      <c r="AZG157" s="1056"/>
      <c r="AZH157" s="1056"/>
      <c r="AZI157" s="1056"/>
      <c r="AZJ157" s="1056"/>
      <c r="AZK157" s="1056"/>
      <c r="AZL157" s="1056"/>
      <c r="AZM157" s="1056"/>
      <c r="AZN157" s="1056"/>
      <c r="AZO157" s="1056"/>
      <c r="AZP157" s="1056"/>
      <c r="AZQ157" s="1056"/>
      <c r="AZR157" s="1056"/>
      <c r="AZS157" s="1056"/>
      <c r="AZT157" s="1056"/>
      <c r="AZU157" s="1056"/>
      <c r="AZV157" s="1056"/>
      <c r="AZW157" s="1056"/>
      <c r="AZX157" s="1056"/>
      <c r="AZY157" s="1056"/>
      <c r="AZZ157" s="1056"/>
      <c r="BAA157" s="1056"/>
      <c r="BAB157" s="1056"/>
      <c r="BAC157" s="1056"/>
      <c r="BAD157" s="1056"/>
      <c r="BAE157" s="1056"/>
      <c r="BAF157" s="1056"/>
      <c r="BAG157" s="1056"/>
      <c r="BAH157" s="1056"/>
      <c r="BAI157" s="1056"/>
      <c r="BAJ157" s="1056"/>
      <c r="BAK157" s="1056"/>
      <c r="BAL157" s="1056"/>
      <c r="BAM157" s="1056"/>
      <c r="BAN157" s="1056"/>
      <c r="BAO157" s="1056"/>
      <c r="BAP157" s="1056"/>
      <c r="BAQ157" s="1056"/>
      <c r="BAR157" s="1056"/>
      <c r="BAS157" s="1056"/>
      <c r="BAT157" s="1056"/>
      <c r="BAU157" s="1056"/>
      <c r="BAV157" s="1056"/>
      <c r="BAW157" s="1056"/>
      <c r="BAX157" s="1056"/>
      <c r="BAY157" s="1056"/>
      <c r="BAZ157" s="1056"/>
      <c r="BBA157" s="1056"/>
      <c r="BBB157" s="1056"/>
      <c r="BBC157" s="1056"/>
      <c r="BBD157" s="1056"/>
      <c r="BBE157" s="1056"/>
      <c r="BBF157" s="1056"/>
      <c r="BBG157" s="1056"/>
      <c r="BBH157" s="1056"/>
      <c r="BBI157" s="1056"/>
      <c r="BBJ157" s="1056"/>
      <c r="BBK157" s="1056"/>
      <c r="BBL157" s="1056"/>
      <c r="BBM157" s="1056"/>
      <c r="BBN157" s="1056"/>
      <c r="BBO157" s="1056"/>
      <c r="BBP157" s="1056"/>
      <c r="BBQ157" s="1056"/>
      <c r="BBR157" s="1056"/>
      <c r="BBS157" s="1056"/>
      <c r="BBT157" s="1056"/>
      <c r="BBU157" s="1056"/>
      <c r="BBV157" s="1056"/>
      <c r="BBW157" s="1056"/>
      <c r="BBX157" s="1056"/>
      <c r="BBY157" s="1056"/>
      <c r="BBZ157" s="1056"/>
      <c r="BCA157" s="1056"/>
      <c r="BCB157" s="1056"/>
      <c r="BCC157" s="1056"/>
      <c r="BCD157" s="1056"/>
      <c r="BCE157" s="1056"/>
      <c r="BCF157" s="1056"/>
      <c r="BCG157" s="1056"/>
      <c r="BCH157" s="1056"/>
      <c r="BCI157" s="1056"/>
      <c r="BCJ157" s="1056"/>
      <c r="BCK157" s="1056"/>
      <c r="BCL157" s="1056"/>
      <c r="BCM157" s="1056"/>
      <c r="BCN157" s="1056"/>
      <c r="BCO157" s="1056"/>
      <c r="BCP157" s="1056"/>
      <c r="BCQ157" s="1056"/>
      <c r="BCR157" s="1056"/>
      <c r="BCS157" s="1056"/>
      <c r="BCT157" s="1056"/>
      <c r="BCU157" s="1056"/>
      <c r="BCV157" s="1056"/>
      <c r="BCW157" s="1056"/>
      <c r="BCX157" s="1056"/>
      <c r="BCY157" s="1056"/>
      <c r="BCZ157" s="1056"/>
      <c r="BDA157" s="1056"/>
      <c r="BDB157" s="1056"/>
      <c r="BDC157" s="1056"/>
      <c r="BDD157" s="1056"/>
      <c r="BDE157" s="1056"/>
      <c r="BDF157" s="1056"/>
      <c r="BDG157" s="1056"/>
      <c r="BDH157" s="1056"/>
      <c r="BDI157" s="1056"/>
      <c r="BDJ157" s="1056"/>
      <c r="BDK157" s="1056"/>
      <c r="BDL157" s="1056"/>
      <c r="BDM157" s="1056"/>
      <c r="BDN157" s="1056"/>
      <c r="BDO157" s="1056"/>
      <c r="BDP157" s="1056"/>
      <c r="BDQ157" s="1056"/>
      <c r="BDR157" s="1056"/>
      <c r="BDS157" s="1056"/>
      <c r="BDT157" s="1056"/>
      <c r="BDU157" s="1056"/>
      <c r="BDV157" s="1056"/>
      <c r="BDW157" s="1056"/>
      <c r="BDX157" s="1056"/>
      <c r="BDY157" s="1056"/>
      <c r="BDZ157" s="1056"/>
      <c r="BEA157" s="1056"/>
      <c r="BEB157" s="1056"/>
      <c r="BEC157" s="1056"/>
      <c r="BED157" s="1056"/>
      <c r="BEE157" s="1056"/>
      <c r="BEF157" s="1056"/>
      <c r="BEG157" s="1056"/>
      <c r="BEH157" s="1056"/>
      <c r="BEI157" s="1056"/>
      <c r="BEJ157" s="1056"/>
      <c r="BEK157" s="1056"/>
      <c r="BEL157" s="1056"/>
      <c r="BEM157" s="1056"/>
      <c r="BEN157" s="1056"/>
      <c r="BEO157" s="1056"/>
      <c r="BEP157" s="1056"/>
      <c r="BEQ157" s="1056"/>
      <c r="BER157" s="1056"/>
      <c r="BES157" s="1056"/>
      <c r="BET157" s="1056"/>
      <c r="BEU157" s="1056"/>
      <c r="BEV157" s="1056"/>
      <c r="BEW157" s="1056"/>
      <c r="BEX157" s="1056"/>
      <c r="BEY157" s="1056"/>
      <c r="BEZ157" s="1056"/>
      <c r="BFA157" s="1056"/>
      <c r="BFB157" s="1056"/>
      <c r="BFC157" s="1056"/>
      <c r="BFD157" s="1056"/>
      <c r="BFE157" s="1056"/>
      <c r="BFF157" s="1056"/>
      <c r="BFG157" s="1056"/>
      <c r="BFH157" s="1056"/>
      <c r="BFI157" s="1056"/>
      <c r="BFJ157" s="1056"/>
      <c r="BFK157" s="1056"/>
      <c r="BFL157" s="1056"/>
      <c r="BFM157" s="1056"/>
      <c r="BFN157" s="1056"/>
      <c r="BFO157" s="1056"/>
      <c r="BFP157" s="1056"/>
      <c r="BFQ157" s="1056"/>
      <c r="BFR157" s="1056"/>
      <c r="BFS157" s="1056"/>
      <c r="BFT157" s="1056"/>
      <c r="BFU157" s="1056"/>
      <c r="BFV157" s="1056"/>
      <c r="BFW157" s="1056"/>
      <c r="BFX157" s="1056"/>
      <c r="BFY157" s="1056"/>
      <c r="BFZ157" s="1056"/>
      <c r="BGA157" s="1056"/>
      <c r="BGB157" s="1056"/>
      <c r="BGC157" s="1056"/>
      <c r="BGD157" s="1056"/>
      <c r="BGE157" s="1056"/>
      <c r="BGF157" s="1056"/>
      <c r="BGG157" s="1056"/>
      <c r="BGH157" s="1056"/>
      <c r="BGI157" s="1056"/>
      <c r="BGJ157" s="1056"/>
      <c r="BGK157" s="1056"/>
      <c r="BGL157" s="1056"/>
      <c r="BGM157" s="1056"/>
      <c r="BGN157" s="1056"/>
      <c r="BGO157" s="1056"/>
      <c r="BGP157" s="1056"/>
      <c r="BGQ157" s="1056"/>
      <c r="BGR157" s="1056"/>
      <c r="BGS157" s="1056"/>
      <c r="BGT157" s="1056"/>
      <c r="BGU157" s="1056"/>
      <c r="BGV157" s="1056"/>
      <c r="BGW157" s="1056"/>
      <c r="BGX157" s="1056"/>
      <c r="BGY157" s="1056"/>
      <c r="BGZ157" s="1056"/>
      <c r="BHA157" s="1056"/>
      <c r="BHB157" s="1056"/>
      <c r="BHC157" s="1056"/>
      <c r="BHD157" s="1056"/>
      <c r="BHE157" s="1056"/>
      <c r="BHF157" s="1056"/>
      <c r="BHG157" s="1056"/>
      <c r="BHH157" s="1056"/>
      <c r="BHI157" s="1056"/>
      <c r="BHJ157" s="1056"/>
      <c r="BHK157" s="1056"/>
      <c r="BHL157" s="1056"/>
      <c r="BHM157" s="1056"/>
      <c r="BHN157" s="1056"/>
      <c r="BHO157" s="1056"/>
      <c r="BHP157" s="1056"/>
      <c r="BHQ157" s="1056"/>
      <c r="BHR157" s="1056"/>
      <c r="BHS157" s="1056"/>
      <c r="BHT157" s="1056"/>
      <c r="BHU157" s="1056"/>
      <c r="BHV157" s="1056"/>
      <c r="BHW157" s="1056"/>
      <c r="BHX157" s="1056"/>
      <c r="BHY157" s="1056"/>
      <c r="BHZ157" s="1056"/>
      <c r="BIA157" s="1056"/>
      <c r="BIB157" s="1056"/>
      <c r="BIC157" s="1056"/>
      <c r="BID157" s="1056"/>
      <c r="BIE157" s="1056"/>
      <c r="BIF157" s="1056"/>
      <c r="BIG157" s="1056"/>
      <c r="BIH157" s="1056"/>
      <c r="BII157" s="1056"/>
      <c r="BIJ157" s="1056"/>
      <c r="BIK157" s="1056"/>
      <c r="BIL157" s="1056"/>
      <c r="BIM157" s="1056"/>
      <c r="BIN157" s="1056"/>
      <c r="BIO157" s="1056"/>
      <c r="BIP157" s="1056"/>
      <c r="BIQ157" s="1056"/>
      <c r="BIR157" s="1056"/>
      <c r="BIS157" s="1056"/>
      <c r="BIT157" s="1056"/>
      <c r="BIU157" s="1056"/>
      <c r="BIV157" s="1056"/>
      <c r="BIW157" s="1056"/>
      <c r="BIX157" s="1056"/>
      <c r="BIY157" s="1056"/>
      <c r="BIZ157" s="1056"/>
      <c r="BJA157" s="1056"/>
      <c r="BJB157" s="1056"/>
      <c r="BJC157" s="1056"/>
      <c r="BJD157" s="1056"/>
      <c r="BJE157" s="1056"/>
      <c r="BJF157" s="1056"/>
      <c r="BJG157" s="1056"/>
      <c r="BJH157" s="1056"/>
      <c r="BJI157" s="1056"/>
      <c r="BJJ157" s="1056"/>
      <c r="BJK157" s="1056"/>
      <c r="BJL157" s="1056"/>
      <c r="BJM157" s="1056"/>
      <c r="BJN157" s="1056"/>
      <c r="BJO157" s="1056"/>
      <c r="BJP157" s="1056"/>
      <c r="BJQ157" s="1056"/>
      <c r="BJR157" s="1056"/>
      <c r="BJS157" s="1056"/>
      <c r="BJT157" s="1056"/>
      <c r="BJU157" s="1056"/>
      <c r="BJV157" s="1056"/>
      <c r="BJW157" s="1056"/>
      <c r="BJX157" s="1056"/>
      <c r="BJY157" s="1056"/>
      <c r="BJZ157" s="1056"/>
      <c r="BKA157" s="1056"/>
      <c r="BKB157" s="1056"/>
      <c r="BKC157" s="1056"/>
      <c r="BKD157" s="1056"/>
      <c r="BKE157" s="1056"/>
      <c r="BKF157" s="1056"/>
      <c r="BKG157" s="1056"/>
      <c r="BKH157" s="1056"/>
      <c r="BKI157" s="1056"/>
      <c r="BKJ157" s="1056"/>
      <c r="BKK157" s="1056"/>
      <c r="BKL157" s="1056"/>
      <c r="BKM157" s="1056"/>
      <c r="BKN157" s="1056"/>
      <c r="BKO157" s="1056"/>
      <c r="BKP157" s="1056"/>
      <c r="BKQ157" s="1056"/>
      <c r="BKR157" s="1056"/>
      <c r="BKS157" s="1056"/>
      <c r="BKT157" s="1056"/>
      <c r="BKU157" s="1056"/>
      <c r="BKV157" s="1056"/>
      <c r="BKW157" s="1056"/>
      <c r="BKX157" s="1056"/>
      <c r="BKY157" s="1056"/>
      <c r="BKZ157" s="1056"/>
      <c r="BLA157" s="1056"/>
      <c r="BLB157" s="1056"/>
      <c r="BLC157" s="1056"/>
      <c r="BLD157" s="1056"/>
      <c r="BLE157" s="1056"/>
      <c r="BLF157" s="1056"/>
      <c r="BLG157" s="1056"/>
      <c r="BLH157" s="1056"/>
      <c r="BLI157" s="1056"/>
      <c r="BLJ157" s="1056"/>
      <c r="BLK157" s="1056"/>
      <c r="BLL157" s="1056"/>
      <c r="BLM157" s="1056"/>
      <c r="BLN157" s="1056"/>
      <c r="BLO157" s="1056"/>
      <c r="BLP157" s="1056"/>
      <c r="BLQ157" s="1056"/>
      <c r="BLR157" s="1056"/>
      <c r="BLS157" s="1056"/>
      <c r="BLT157" s="1056"/>
      <c r="BLU157" s="1056"/>
      <c r="BLV157" s="1056"/>
      <c r="BLW157" s="1056"/>
      <c r="BLX157" s="1056"/>
      <c r="BLY157" s="1056"/>
      <c r="BLZ157" s="1056"/>
      <c r="BMA157" s="1056"/>
      <c r="BMB157" s="1056"/>
      <c r="BMC157" s="1056"/>
      <c r="BMD157" s="1056"/>
      <c r="BME157" s="1056"/>
      <c r="BMF157" s="1056"/>
      <c r="BMG157" s="1056"/>
      <c r="BMH157" s="1056"/>
      <c r="BMI157" s="1056"/>
      <c r="BMJ157" s="1056"/>
      <c r="BMK157" s="1056"/>
      <c r="BML157" s="1056"/>
      <c r="BMM157" s="1056"/>
      <c r="BMN157" s="1056"/>
      <c r="BMO157" s="1056"/>
      <c r="BMP157" s="1056"/>
      <c r="BMQ157" s="1056"/>
      <c r="BMR157" s="1056"/>
      <c r="BMS157" s="1056"/>
      <c r="BMT157" s="1056"/>
      <c r="BMU157" s="1056"/>
      <c r="BMV157" s="1056"/>
      <c r="BMW157" s="1056"/>
      <c r="BMX157" s="1056"/>
      <c r="BMY157" s="1056"/>
      <c r="BMZ157" s="1056"/>
      <c r="BNA157" s="1056"/>
      <c r="BNB157" s="1056"/>
      <c r="BNC157" s="1056"/>
      <c r="BND157" s="1056"/>
      <c r="BNE157" s="1056"/>
      <c r="BNF157" s="1056"/>
      <c r="BNG157" s="1056"/>
      <c r="BNH157" s="1056"/>
      <c r="BNI157" s="1056"/>
      <c r="BNJ157" s="1056"/>
      <c r="BNK157" s="1056"/>
      <c r="BNL157" s="1056"/>
      <c r="BNM157" s="1056"/>
      <c r="BNN157" s="1056"/>
      <c r="BNO157" s="1056"/>
      <c r="BNP157" s="1056"/>
      <c r="BNQ157" s="1056"/>
      <c r="BNR157" s="1056"/>
      <c r="BNS157" s="1056"/>
      <c r="BNT157" s="1056"/>
      <c r="BNU157" s="1056"/>
      <c r="BNV157" s="1056"/>
      <c r="BNW157" s="1056"/>
      <c r="BNX157" s="1056"/>
      <c r="BNY157" s="1056"/>
      <c r="BNZ157" s="1056"/>
      <c r="BOA157" s="1056"/>
      <c r="BOB157" s="1056"/>
      <c r="BOC157" s="1056"/>
      <c r="BOD157" s="1056"/>
      <c r="BOE157" s="1056"/>
      <c r="BOF157" s="1056"/>
      <c r="BOG157" s="1056"/>
      <c r="BOH157" s="1056"/>
      <c r="BOI157" s="1056"/>
      <c r="BOJ157" s="1056"/>
      <c r="BOK157" s="1056"/>
      <c r="BOL157" s="1056"/>
      <c r="BOM157" s="1056"/>
      <c r="BON157" s="1056"/>
      <c r="BOO157" s="1056"/>
      <c r="BOP157" s="1056"/>
      <c r="BOQ157" s="1056"/>
      <c r="BOR157" s="1056"/>
      <c r="BOS157" s="1056"/>
      <c r="BOT157" s="1056"/>
      <c r="BOU157" s="1056"/>
      <c r="BOV157" s="1056"/>
      <c r="BOW157" s="1056"/>
      <c r="BOX157" s="1056"/>
      <c r="BOY157" s="1056"/>
      <c r="BOZ157" s="1056"/>
      <c r="BPA157" s="1056"/>
      <c r="BPB157" s="1056"/>
      <c r="BPC157" s="1056"/>
      <c r="BPD157" s="1056"/>
      <c r="BPE157" s="1056"/>
      <c r="BPF157" s="1056"/>
      <c r="BPG157" s="1056"/>
      <c r="BPH157" s="1056"/>
      <c r="BPI157" s="1056"/>
      <c r="BPJ157" s="1056"/>
      <c r="BPK157" s="1056"/>
      <c r="BPL157" s="1056"/>
      <c r="BPM157" s="1056"/>
      <c r="BPN157" s="1056"/>
      <c r="BPO157" s="1056"/>
      <c r="BPP157" s="1056"/>
      <c r="BPQ157" s="1056"/>
      <c r="BPR157" s="1056"/>
      <c r="BPS157" s="1056"/>
      <c r="BPT157" s="1056"/>
      <c r="BPU157" s="1056"/>
      <c r="BPV157" s="1056"/>
      <c r="BPW157" s="1056"/>
      <c r="BPX157" s="1056"/>
      <c r="BPY157" s="1056"/>
      <c r="BPZ157" s="1056"/>
      <c r="BQA157" s="1056"/>
      <c r="BQB157" s="1056"/>
      <c r="BQC157" s="1056"/>
      <c r="BQD157" s="1056"/>
      <c r="BQE157" s="1056"/>
      <c r="BQF157" s="1056"/>
      <c r="BQG157" s="1056"/>
      <c r="BQH157" s="1056"/>
      <c r="BQI157" s="1056"/>
      <c r="BQJ157" s="1056"/>
      <c r="BQK157" s="1056"/>
      <c r="BQL157" s="1056"/>
      <c r="BQM157" s="1056"/>
      <c r="BQN157" s="1056"/>
      <c r="BQO157" s="1056"/>
      <c r="BQP157" s="1056"/>
      <c r="BQQ157" s="1056"/>
      <c r="BQR157" s="1056"/>
      <c r="BQS157" s="1056"/>
      <c r="BQT157" s="1056"/>
      <c r="BQU157" s="1056"/>
      <c r="BQV157" s="1056"/>
      <c r="BQW157" s="1056"/>
      <c r="BQX157" s="1056"/>
      <c r="BQY157" s="1056"/>
      <c r="BQZ157" s="1056"/>
      <c r="BRA157" s="1056"/>
      <c r="BRB157" s="1056"/>
      <c r="BRC157" s="1056"/>
      <c r="BRD157" s="1056"/>
      <c r="BRE157" s="1056"/>
      <c r="BRF157" s="1056"/>
      <c r="BRG157" s="1056"/>
      <c r="BRH157" s="1056"/>
      <c r="BRI157" s="1056"/>
      <c r="BRJ157" s="1056"/>
      <c r="BRK157" s="1056"/>
      <c r="BRL157" s="1056"/>
      <c r="BRM157" s="1056"/>
      <c r="BRN157" s="1056"/>
      <c r="BRO157" s="1056"/>
      <c r="BRP157" s="1056"/>
      <c r="BRQ157" s="1056"/>
      <c r="BRR157" s="1056"/>
      <c r="BRS157" s="1056"/>
      <c r="BRT157" s="1056"/>
      <c r="BRU157" s="1056"/>
      <c r="BRV157" s="1056"/>
      <c r="BRW157" s="1056"/>
      <c r="BRX157" s="1056"/>
      <c r="BRY157" s="1056"/>
      <c r="BRZ157" s="1056"/>
      <c r="BSA157" s="1056"/>
      <c r="BSB157" s="1056"/>
      <c r="BSC157" s="1056"/>
      <c r="BSD157" s="1056"/>
      <c r="BSE157" s="1056"/>
      <c r="BSF157" s="1056"/>
      <c r="BSG157" s="1056"/>
      <c r="BSH157" s="1056"/>
      <c r="BSI157" s="1056"/>
      <c r="BSJ157" s="1056"/>
      <c r="BSK157" s="1056"/>
      <c r="BSL157" s="1056"/>
      <c r="BSM157" s="1056"/>
      <c r="BSN157" s="1056"/>
      <c r="BSO157" s="1056"/>
      <c r="BSP157" s="1056"/>
      <c r="BSQ157" s="1056"/>
      <c r="BSR157" s="1056"/>
      <c r="BSS157" s="1056"/>
      <c r="BST157" s="1056"/>
      <c r="BSU157" s="1056"/>
      <c r="BSV157" s="1056"/>
      <c r="BSW157" s="1056"/>
      <c r="BSX157" s="1056"/>
      <c r="BSY157" s="1056"/>
      <c r="BSZ157" s="1056"/>
      <c r="BTA157" s="1056"/>
      <c r="BTB157" s="1056"/>
      <c r="BTC157" s="1056"/>
      <c r="BTD157" s="1056"/>
      <c r="BTE157" s="1056"/>
      <c r="BTF157" s="1056"/>
      <c r="BTG157" s="1056"/>
      <c r="BTH157" s="1056"/>
      <c r="BTI157" s="1056"/>
    </row>
    <row r="158" spans="1:1881" s="1060" customFormat="1" ht="57.75" hidden="1" customHeight="1" x14ac:dyDescent="0.3">
      <c r="A158" s="1059">
        <v>360</v>
      </c>
      <c r="B158" s="808" t="s">
        <v>56</v>
      </c>
      <c r="C158" s="808" t="s">
        <v>1400</v>
      </c>
      <c r="D158" s="1095" t="s">
        <v>157</v>
      </c>
      <c r="E158" s="1053" t="e">
        <f>HLOOKUP($D$2,'2020 Data(H)'!$C$1:$AI$426,121,FALSE)</f>
        <v>#N/A</v>
      </c>
      <c r="F158" s="287">
        <v>0</v>
      </c>
      <c r="G158" s="722"/>
      <c r="H158" s="764"/>
      <c r="I158" s="1055"/>
      <c r="J158" s="1056"/>
      <c r="K158" s="1056"/>
      <c r="L158" s="1056"/>
      <c r="M158" s="1056"/>
      <c r="N158" s="1058"/>
      <c r="O158" s="1056"/>
      <c r="P158" s="1056"/>
      <c r="Q158" s="1056"/>
      <c r="R158" s="1056"/>
      <c r="S158" s="1056"/>
      <c r="T158" s="1056"/>
      <c r="U158" s="1056"/>
      <c r="V158" s="1056"/>
      <c r="W158" s="1056"/>
      <c r="X158" s="1056"/>
      <c r="Y158" s="1056"/>
      <c r="Z158" s="1059"/>
      <c r="AA158" s="1059"/>
      <c r="AB158" s="1059"/>
      <c r="AC158" s="1059"/>
      <c r="AD158" s="1059"/>
      <c r="AE158" s="1059"/>
      <c r="AF158" s="1059"/>
      <c r="AG158" s="1059"/>
      <c r="AH158" s="1059"/>
      <c r="AI158" s="1059"/>
      <c r="AJ158" s="1059"/>
      <c r="AK158" s="1059"/>
      <c r="AL158" s="1059"/>
      <c r="AM158" s="1059"/>
      <c r="AN158" s="1059"/>
      <c r="AO158" s="1059"/>
      <c r="AP158" s="1059"/>
      <c r="AQ158" s="1059"/>
      <c r="AR158" s="1059"/>
      <c r="AS158" s="1056"/>
      <c r="AT158" s="1056"/>
      <c r="AU158" s="1056"/>
      <c r="AV158" s="1056"/>
      <c r="AW158" s="1056"/>
      <c r="AX158" s="1056"/>
      <c r="AY158" s="1056"/>
      <c r="AZ158" s="1056"/>
      <c r="BA158" s="1056"/>
      <c r="BB158" s="1056"/>
      <c r="BC158" s="1056"/>
      <c r="BD158" s="1056"/>
      <c r="BE158" s="1056"/>
      <c r="BF158" s="1056"/>
      <c r="BG158" s="1056"/>
      <c r="BH158" s="1056"/>
      <c r="BI158" s="1056"/>
      <c r="BJ158" s="1056"/>
      <c r="BK158" s="1056"/>
      <c r="BL158" s="1056"/>
      <c r="BM158" s="1056"/>
      <c r="BN158" s="1056"/>
      <c r="BO158" s="1056"/>
      <c r="BP158" s="1056"/>
      <c r="BQ158" s="1056"/>
      <c r="BR158" s="1056"/>
      <c r="BS158" s="1056"/>
      <c r="BT158" s="1056"/>
      <c r="BU158" s="1056"/>
      <c r="BV158" s="1056"/>
      <c r="BW158" s="1056"/>
      <c r="BX158" s="1056"/>
      <c r="BY158" s="1056"/>
      <c r="BZ158" s="1056"/>
      <c r="CA158" s="1056"/>
      <c r="CB158" s="1056"/>
      <c r="CC158" s="1056"/>
      <c r="CD158" s="1056"/>
      <c r="CE158" s="1056"/>
      <c r="CF158" s="1056"/>
      <c r="CG158" s="1056"/>
      <c r="CH158" s="1056"/>
      <c r="CI158" s="1056"/>
      <c r="CJ158" s="1056"/>
      <c r="CK158" s="1056"/>
      <c r="CL158" s="1056"/>
      <c r="CM158" s="1056"/>
      <c r="CN158" s="1056"/>
      <c r="CO158" s="1056"/>
      <c r="CP158" s="1056"/>
      <c r="CQ158" s="1056"/>
      <c r="CR158" s="1056"/>
      <c r="CS158" s="1056"/>
      <c r="CT158" s="1056"/>
      <c r="CU158" s="1056"/>
      <c r="CV158" s="1056"/>
      <c r="CW158" s="1056"/>
      <c r="CX158" s="1056"/>
      <c r="CY158" s="1056"/>
      <c r="CZ158" s="1056"/>
      <c r="DA158" s="1056"/>
      <c r="DB158" s="1056"/>
      <c r="DC158" s="1056"/>
      <c r="DD158" s="1056"/>
      <c r="DE158" s="1056"/>
      <c r="DF158" s="1056"/>
      <c r="DG158" s="1056"/>
      <c r="DH158" s="1056"/>
      <c r="DI158" s="1056"/>
      <c r="DJ158" s="1056"/>
      <c r="DK158" s="1056"/>
      <c r="DL158" s="1056"/>
      <c r="DM158" s="1056"/>
      <c r="DN158" s="1056"/>
      <c r="DO158" s="1056"/>
      <c r="DP158" s="1056"/>
      <c r="DQ158" s="1056"/>
      <c r="DR158" s="1056"/>
      <c r="DS158" s="1056"/>
      <c r="DT158" s="1056"/>
      <c r="DU158" s="1056"/>
      <c r="DV158" s="1056"/>
      <c r="DW158" s="1056"/>
      <c r="DX158" s="1056"/>
      <c r="DY158" s="1056"/>
      <c r="DZ158" s="1056"/>
      <c r="EA158" s="1056"/>
      <c r="EB158" s="1056"/>
      <c r="EC158" s="1056"/>
      <c r="ED158" s="1056"/>
      <c r="EE158" s="1056"/>
      <c r="EF158" s="1056"/>
      <c r="EG158" s="1056"/>
      <c r="EH158" s="1056"/>
      <c r="EI158" s="1056"/>
      <c r="EJ158" s="1056"/>
      <c r="EK158" s="1056"/>
      <c r="EL158" s="1056"/>
      <c r="EM158" s="1056"/>
      <c r="EN158" s="1056"/>
      <c r="EO158" s="1056"/>
      <c r="EP158" s="1056"/>
      <c r="EQ158" s="1056"/>
      <c r="ER158" s="1056"/>
      <c r="ES158" s="1056"/>
      <c r="ET158" s="1056"/>
      <c r="EU158" s="1056"/>
      <c r="EV158" s="1056"/>
      <c r="EW158" s="1056"/>
      <c r="EX158" s="1056"/>
      <c r="EY158" s="1056"/>
      <c r="EZ158" s="1056"/>
      <c r="FA158" s="1056"/>
      <c r="FB158" s="1056"/>
      <c r="FC158" s="1056"/>
      <c r="FD158" s="1056"/>
      <c r="FE158" s="1056"/>
      <c r="FF158" s="1056"/>
      <c r="FG158" s="1056"/>
      <c r="FH158" s="1056"/>
      <c r="FI158" s="1056"/>
      <c r="FJ158" s="1056"/>
      <c r="FK158" s="1056"/>
      <c r="FL158" s="1056"/>
      <c r="FM158" s="1056"/>
      <c r="FN158" s="1056"/>
      <c r="FO158" s="1056"/>
      <c r="FP158" s="1056"/>
      <c r="FQ158" s="1056"/>
      <c r="FR158" s="1056"/>
      <c r="FS158" s="1056"/>
      <c r="FT158" s="1056"/>
      <c r="FU158" s="1056"/>
      <c r="FV158" s="1056"/>
      <c r="FW158" s="1056"/>
      <c r="FX158" s="1056"/>
      <c r="FY158" s="1056"/>
      <c r="FZ158" s="1056"/>
      <c r="GA158" s="1056"/>
      <c r="GB158" s="1056"/>
      <c r="GC158" s="1056"/>
      <c r="GD158" s="1056"/>
      <c r="GE158" s="1056"/>
      <c r="GF158" s="1056"/>
      <c r="GG158" s="1056"/>
      <c r="GH158" s="1056"/>
      <c r="GI158" s="1056"/>
      <c r="GJ158" s="1056"/>
      <c r="GK158" s="1056"/>
      <c r="GL158" s="1056"/>
      <c r="GM158" s="1056"/>
      <c r="GN158" s="1056"/>
      <c r="GO158" s="1056"/>
      <c r="GP158" s="1056"/>
      <c r="GQ158" s="1056"/>
      <c r="GR158" s="1056"/>
      <c r="GS158" s="1056"/>
      <c r="GT158" s="1056"/>
      <c r="GU158" s="1056"/>
      <c r="GV158" s="1056"/>
      <c r="GW158" s="1056"/>
      <c r="GX158" s="1056"/>
      <c r="GY158" s="1056"/>
      <c r="GZ158" s="1056"/>
      <c r="HA158" s="1056"/>
      <c r="HB158" s="1056"/>
      <c r="HC158" s="1056"/>
      <c r="HD158" s="1056"/>
      <c r="HE158" s="1056"/>
      <c r="HF158" s="1056"/>
      <c r="HG158" s="1056"/>
      <c r="HH158" s="1056"/>
      <c r="HI158" s="1056"/>
      <c r="HJ158" s="1056"/>
      <c r="HK158" s="1056"/>
      <c r="HL158" s="1056"/>
      <c r="HM158" s="1056"/>
      <c r="HN158" s="1056"/>
      <c r="HO158" s="1056"/>
      <c r="HP158" s="1056"/>
      <c r="HQ158" s="1056"/>
      <c r="HR158" s="1056"/>
      <c r="HS158" s="1056"/>
      <c r="HT158" s="1056"/>
      <c r="HU158" s="1056"/>
      <c r="HV158" s="1056"/>
      <c r="HW158" s="1056"/>
      <c r="HX158" s="1056"/>
      <c r="HY158" s="1056"/>
      <c r="HZ158" s="1056"/>
      <c r="IA158" s="1056"/>
      <c r="IB158" s="1056"/>
      <c r="IC158" s="1056"/>
      <c r="ID158" s="1056"/>
      <c r="IE158" s="1056"/>
      <c r="IF158" s="1056"/>
      <c r="IG158" s="1056"/>
      <c r="IH158" s="1056"/>
      <c r="II158" s="1056"/>
      <c r="IJ158" s="1056"/>
      <c r="IK158" s="1056"/>
      <c r="IL158" s="1056"/>
      <c r="IM158" s="1056"/>
      <c r="IN158" s="1056"/>
      <c r="IO158" s="1056"/>
      <c r="IP158" s="1056"/>
      <c r="IQ158" s="1056"/>
      <c r="IR158" s="1056"/>
      <c r="IS158" s="1056"/>
      <c r="IT158" s="1056"/>
      <c r="IU158" s="1056"/>
      <c r="IV158" s="1056"/>
      <c r="IW158" s="1056"/>
      <c r="IX158" s="1056"/>
      <c r="IY158" s="1056"/>
      <c r="IZ158" s="1056"/>
      <c r="JA158" s="1056"/>
      <c r="JB158" s="1056"/>
      <c r="JC158" s="1056"/>
      <c r="JD158" s="1056"/>
      <c r="JE158" s="1056"/>
      <c r="JF158" s="1056"/>
      <c r="JG158" s="1056"/>
      <c r="JH158" s="1056"/>
      <c r="JI158" s="1056"/>
      <c r="JJ158" s="1056"/>
      <c r="JK158" s="1056"/>
      <c r="JL158" s="1056"/>
      <c r="JM158" s="1056"/>
      <c r="JN158" s="1056"/>
      <c r="JO158" s="1056"/>
      <c r="JP158" s="1056"/>
      <c r="JQ158" s="1056"/>
      <c r="JR158" s="1056"/>
      <c r="JS158" s="1056"/>
      <c r="JT158" s="1056"/>
      <c r="JU158" s="1056"/>
      <c r="JV158" s="1056"/>
      <c r="JW158" s="1056"/>
      <c r="JX158" s="1056"/>
      <c r="JY158" s="1056"/>
      <c r="JZ158" s="1056"/>
      <c r="KA158" s="1056"/>
      <c r="KB158" s="1056"/>
      <c r="KC158" s="1056"/>
      <c r="KD158" s="1056"/>
      <c r="KE158" s="1056"/>
      <c r="KF158" s="1056"/>
      <c r="KG158" s="1056"/>
      <c r="KH158" s="1056"/>
      <c r="KI158" s="1056"/>
      <c r="KJ158" s="1056"/>
      <c r="KK158" s="1056"/>
      <c r="KL158" s="1056"/>
      <c r="KM158" s="1056"/>
      <c r="KN158" s="1056"/>
      <c r="KO158" s="1056"/>
      <c r="KP158" s="1056"/>
      <c r="KQ158" s="1056"/>
      <c r="KR158" s="1056"/>
      <c r="KS158" s="1056"/>
      <c r="KT158" s="1056"/>
      <c r="KU158" s="1056"/>
      <c r="KV158" s="1056"/>
      <c r="KW158" s="1056"/>
      <c r="KX158" s="1056"/>
      <c r="KY158" s="1056"/>
      <c r="KZ158" s="1056"/>
      <c r="LA158" s="1056"/>
      <c r="LB158" s="1056"/>
      <c r="LC158" s="1056"/>
      <c r="LD158" s="1056"/>
      <c r="LE158" s="1056"/>
      <c r="LF158" s="1056"/>
      <c r="LG158" s="1056"/>
      <c r="LH158" s="1056"/>
      <c r="LI158" s="1056"/>
      <c r="LJ158" s="1056"/>
      <c r="LK158" s="1056"/>
      <c r="LL158" s="1056"/>
      <c r="LM158" s="1056"/>
      <c r="LN158" s="1056"/>
      <c r="LO158" s="1056"/>
      <c r="LP158" s="1056"/>
      <c r="LQ158" s="1056"/>
      <c r="LR158" s="1056"/>
      <c r="LS158" s="1056"/>
      <c r="LT158" s="1056"/>
      <c r="LU158" s="1056"/>
      <c r="LV158" s="1056"/>
      <c r="LW158" s="1056"/>
      <c r="LX158" s="1056"/>
      <c r="LY158" s="1056"/>
      <c r="LZ158" s="1056"/>
      <c r="MA158" s="1056"/>
      <c r="MB158" s="1056"/>
      <c r="MC158" s="1056"/>
      <c r="MD158" s="1056"/>
      <c r="ME158" s="1056"/>
      <c r="MF158" s="1056"/>
      <c r="MG158" s="1056"/>
      <c r="MH158" s="1056"/>
      <c r="MI158" s="1056"/>
      <c r="MJ158" s="1056"/>
      <c r="MK158" s="1056"/>
      <c r="ML158" s="1056"/>
      <c r="MM158" s="1056"/>
      <c r="MN158" s="1056"/>
      <c r="MO158" s="1056"/>
      <c r="MP158" s="1056"/>
      <c r="MQ158" s="1056"/>
      <c r="MR158" s="1056"/>
      <c r="MS158" s="1056"/>
      <c r="MT158" s="1056"/>
      <c r="MU158" s="1056"/>
      <c r="MV158" s="1056"/>
      <c r="MW158" s="1056"/>
      <c r="MX158" s="1056"/>
      <c r="MY158" s="1056"/>
      <c r="MZ158" s="1056"/>
      <c r="NA158" s="1056"/>
      <c r="NB158" s="1056"/>
      <c r="NC158" s="1056"/>
      <c r="ND158" s="1056"/>
      <c r="NE158" s="1056"/>
      <c r="NF158" s="1056"/>
      <c r="NG158" s="1056"/>
      <c r="NH158" s="1056"/>
      <c r="NI158" s="1056"/>
      <c r="NJ158" s="1056"/>
      <c r="NK158" s="1056"/>
      <c r="NL158" s="1056"/>
      <c r="NM158" s="1056"/>
      <c r="NN158" s="1056"/>
      <c r="NO158" s="1056"/>
      <c r="NP158" s="1056"/>
      <c r="NQ158" s="1056"/>
      <c r="NR158" s="1056"/>
      <c r="NS158" s="1056"/>
      <c r="NT158" s="1056"/>
      <c r="NU158" s="1056"/>
      <c r="NV158" s="1056"/>
      <c r="NW158" s="1056"/>
      <c r="NX158" s="1056"/>
      <c r="NY158" s="1056"/>
      <c r="NZ158" s="1056"/>
      <c r="OA158" s="1056"/>
      <c r="OB158" s="1056"/>
      <c r="OC158" s="1056"/>
      <c r="OD158" s="1056"/>
      <c r="OE158" s="1056"/>
      <c r="OF158" s="1056"/>
      <c r="OG158" s="1056"/>
      <c r="OH158" s="1056"/>
      <c r="OI158" s="1056"/>
      <c r="OJ158" s="1056"/>
      <c r="OK158" s="1056"/>
      <c r="OL158" s="1056"/>
      <c r="OM158" s="1056"/>
      <c r="ON158" s="1056"/>
      <c r="OO158" s="1056"/>
      <c r="OP158" s="1056"/>
      <c r="OQ158" s="1056"/>
      <c r="OR158" s="1056"/>
      <c r="OS158" s="1056"/>
      <c r="OT158" s="1056"/>
      <c r="OU158" s="1056"/>
      <c r="OV158" s="1056"/>
      <c r="OW158" s="1056"/>
      <c r="OX158" s="1056"/>
      <c r="OY158" s="1056"/>
      <c r="OZ158" s="1056"/>
      <c r="PA158" s="1056"/>
      <c r="PB158" s="1056"/>
      <c r="PC158" s="1056"/>
      <c r="PD158" s="1056"/>
      <c r="PE158" s="1056"/>
      <c r="PF158" s="1056"/>
      <c r="PG158" s="1056"/>
      <c r="PH158" s="1056"/>
      <c r="PI158" s="1056"/>
      <c r="PJ158" s="1056"/>
      <c r="PK158" s="1056"/>
      <c r="PL158" s="1056"/>
      <c r="PM158" s="1056"/>
      <c r="PN158" s="1056"/>
      <c r="PO158" s="1056"/>
      <c r="PP158" s="1056"/>
      <c r="PQ158" s="1056"/>
      <c r="PR158" s="1056"/>
      <c r="PS158" s="1056"/>
      <c r="PT158" s="1056"/>
      <c r="PU158" s="1056"/>
      <c r="PV158" s="1056"/>
      <c r="PW158" s="1056"/>
      <c r="PX158" s="1056"/>
      <c r="PY158" s="1056"/>
      <c r="PZ158" s="1056"/>
      <c r="QA158" s="1056"/>
      <c r="QB158" s="1056"/>
      <c r="QC158" s="1056"/>
      <c r="QD158" s="1056"/>
      <c r="QE158" s="1056"/>
      <c r="QF158" s="1056"/>
      <c r="QG158" s="1056"/>
      <c r="QH158" s="1056"/>
      <c r="QI158" s="1056"/>
      <c r="QJ158" s="1056"/>
      <c r="QK158" s="1056"/>
      <c r="QL158" s="1056"/>
      <c r="QM158" s="1056"/>
      <c r="QN158" s="1056"/>
      <c r="QO158" s="1056"/>
      <c r="QP158" s="1056"/>
      <c r="QQ158" s="1056"/>
      <c r="QR158" s="1056"/>
      <c r="QS158" s="1056"/>
      <c r="QT158" s="1056"/>
      <c r="QU158" s="1056"/>
      <c r="QV158" s="1056"/>
      <c r="QW158" s="1056"/>
      <c r="QX158" s="1056"/>
      <c r="QY158" s="1056"/>
      <c r="QZ158" s="1056"/>
      <c r="RA158" s="1056"/>
      <c r="RB158" s="1056"/>
      <c r="RC158" s="1056"/>
      <c r="RD158" s="1056"/>
      <c r="RE158" s="1056"/>
      <c r="RF158" s="1056"/>
      <c r="RG158" s="1056"/>
      <c r="RH158" s="1056"/>
      <c r="RI158" s="1056"/>
      <c r="RJ158" s="1056"/>
      <c r="RK158" s="1056"/>
      <c r="RL158" s="1056"/>
      <c r="RM158" s="1056"/>
      <c r="RN158" s="1056"/>
      <c r="RO158" s="1056"/>
      <c r="RP158" s="1056"/>
      <c r="RQ158" s="1056"/>
      <c r="RR158" s="1056"/>
      <c r="RS158" s="1056"/>
      <c r="RT158" s="1056"/>
      <c r="RU158" s="1056"/>
      <c r="RV158" s="1056"/>
      <c r="RW158" s="1056"/>
      <c r="RX158" s="1056"/>
      <c r="RY158" s="1056"/>
      <c r="RZ158" s="1056"/>
      <c r="SA158" s="1056"/>
      <c r="SB158" s="1056"/>
      <c r="SC158" s="1056"/>
      <c r="SD158" s="1056"/>
      <c r="SE158" s="1056"/>
      <c r="SF158" s="1056"/>
      <c r="SG158" s="1056"/>
      <c r="SH158" s="1056"/>
      <c r="SI158" s="1056"/>
      <c r="SJ158" s="1056"/>
      <c r="SK158" s="1056"/>
      <c r="SL158" s="1056"/>
      <c r="SM158" s="1056"/>
      <c r="SN158" s="1056"/>
      <c r="SO158" s="1056"/>
      <c r="SP158" s="1056"/>
      <c r="SQ158" s="1056"/>
      <c r="SR158" s="1056"/>
      <c r="SS158" s="1056"/>
      <c r="ST158" s="1056"/>
      <c r="SU158" s="1056"/>
      <c r="SV158" s="1056"/>
      <c r="SW158" s="1056"/>
      <c r="SX158" s="1056"/>
      <c r="SY158" s="1056"/>
      <c r="SZ158" s="1056"/>
      <c r="TA158" s="1056"/>
      <c r="TB158" s="1056"/>
      <c r="TC158" s="1056"/>
      <c r="TD158" s="1056"/>
      <c r="TE158" s="1056"/>
      <c r="TF158" s="1056"/>
      <c r="TG158" s="1056"/>
      <c r="TH158" s="1056"/>
      <c r="TI158" s="1056"/>
      <c r="TJ158" s="1056"/>
      <c r="TK158" s="1056"/>
      <c r="TL158" s="1056"/>
      <c r="TM158" s="1056"/>
      <c r="TN158" s="1056"/>
      <c r="TO158" s="1056"/>
      <c r="TP158" s="1056"/>
      <c r="TQ158" s="1056"/>
      <c r="TR158" s="1056"/>
      <c r="TS158" s="1056"/>
      <c r="TT158" s="1056"/>
      <c r="TU158" s="1056"/>
      <c r="TV158" s="1056"/>
      <c r="TW158" s="1056"/>
      <c r="TX158" s="1056"/>
      <c r="TY158" s="1056"/>
      <c r="TZ158" s="1056"/>
      <c r="UA158" s="1056"/>
      <c r="UB158" s="1056"/>
      <c r="UC158" s="1056"/>
      <c r="UD158" s="1056"/>
      <c r="UE158" s="1056"/>
      <c r="UF158" s="1056"/>
      <c r="UG158" s="1056"/>
      <c r="UH158" s="1056"/>
      <c r="UI158" s="1056"/>
      <c r="UJ158" s="1056"/>
      <c r="UK158" s="1056"/>
      <c r="UL158" s="1056"/>
      <c r="UM158" s="1056"/>
      <c r="UN158" s="1056"/>
      <c r="UO158" s="1056"/>
      <c r="UP158" s="1056"/>
      <c r="UQ158" s="1056"/>
      <c r="UR158" s="1056"/>
      <c r="US158" s="1056"/>
      <c r="UT158" s="1056"/>
      <c r="UU158" s="1056"/>
      <c r="UV158" s="1056"/>
      <c r="UW158" s="1056"/>
      <c r="UX158" s="1056"/>
      <c r="UY158" s="1056"/>
      <c r="UZ158" s="1056"/>
      <c r="VA158" s="1056"/>
      <c r="VB158" s="1056"/>
      <c r="VC158" s="1056"/>
      <c r="VD158" s="1056"/>
      <c r="VE158" s="1056"/>
      <c r="VF158" s="1056"/>
      <c r="VG158" s="1056"/>
      <c r="VH158" s="1056"/>
      <c r="VI158" s="1056"/>
      <c r="VJ158" s="1056"/>
      <c r="VK158" s="1056"/>
      <c r="VL158" s="1056"/>
      <c r="VM158" s="1056"/>
      <c r="VN158" s="1056"/>
      <c r="VO158" s="1056"/>
      <c r="VP158" s="1056"/>
      <c r="VQ158" s="1056"/>
      <c r="VR158" s="1056"/>
      <c r="VS158" s="1056"/>
      <c r="VT158" s="1056"/>
      <c r="VU158" s="1056"/>
      <c r="VV158" s="1056"/>
      <c r="VW158" s="1056"/>
      <c r="VX158" s="1056"/>
      <c r="VY158" s="1056"/>
      <c r="VZ158" s="1056"/>
      <c r="WA158" s="1056"/>
      <c r="WB158" s="1056"/>
      <c r="WC158" s="1056"/>
      <c r="WD158" s="1056"/>
      <c r="WE158" s="1056"/>
      <c r="WF158" s="1056"/>
      <c r="WG158" s="1056"/>
      <c r="WH158" s="1056"/>
      <c r="WI158" s="1056"/>
      <c r="WJ158" s="1056"/>
      <c r="WK158" s="1056"/>
      <c r="WL158" s="1056"/>
      <c r="WM158" s="1056"/>
      <c r="WN158" s="1056"/>
      <c r="WO158" s="1056"/>
      <c r="WP158" s="1056"/>
      <c r="WQ158" s="1056"/>
      <c r="WR158" s="1056"/>
      <c r="WS158" s="1056"/>
      <c r="WT158" s="1056"/>
      <c r="WU158" s="1056"/>
      <c r="WV158" s="1056"/>
      <c r="WW158" s="1056"/>
      <c r="WX158" s="1056"/>
      <c r="WY158" s="1056"/>
      <c r="WZ158" s="1056"/>
      <c r="XA158" s="1056"/>
      <c r="XB158" s="1056"/>
      <c r="XC158" s="1056"/>
      <c r="XD158" s="1056"/>
      <c r="XE158" s="1056"/>
      <c r="XF158" s="1056"/>
      <c r="XG158" s="1056"/>
      <c r="XH158" s="1056"/>
      <c r="XI158" s="1056"/>
      <c r="XJ158" s="1056"/>
      <c r="XK158" s="1056"/>
      <c r="XL158" s="1056"/>
      <c r="XM158" s="1056"/>
      <c r="XN158" s="1056"/>
      <c r="XO158" s="1056"/>
      <c r="XP158" s="1056"/>
      <c r="XQ158" s="1056"/>
      <c r="XR158" s="1056"/>
      <c r="XS158" s="1056"/>
      <c r="XT158" s="1056"/>
      <c r="XU158" s="1056"/>
      <c r="XV158" s="1056"/>
      <c r="XW158" s="1056"/>
      <c r="XX158" s="1056"/>
      <c r="XY158" s="1056"/>
      <c r="XZ158" s="1056"/>
      <c r="YA158" s="1056"/>
      <c r="YB158" s="1056"/>
      <c r="YC158" s="1056"/>
      <c r="YD158" s="1056"/>
      <c r="YE158" s="1056"/>
      <c r="YF158" s="1056"/>
      <c r="YG158" s="1056"/>
      <c r="YH158" s="1056"/>
      <c r="YI158" s="1056"/>
      <c r="YJ158" s="1056"/>
      <c r="YK158" s="1056"/>
      <c r="YL158" s="1056"/>
      <c r="YM158" s="1056"/>
      <c r="YN158" s="1056"/>
      <c r="YO158" s="1056"/>
      <c r="YP158" s="1056"/>
      <c r="YQ158" s="1056"/>
      <c r="YR158" s="1056"/>
      <c r="YS158" s="1056"/>
      <c r="YT158" s="1056"/>
      <c r="YU158" s="1056"/>
      <c r="YV158" s="1056"/>
      <c r="YW158" s="1056"/>
      <c r="YX158" s="1056"/>
      <c r="YY158" s="1056"/>
      <c r="YZ158" s="1056"/>
      <c r="ZA158" s="1056"/>
      <c r="ZB158" s="1056"/>
      <c r="ZC158" s="1056"/>
      <c r="ZD158" s="1056"/>
      <c r="ZE158" s="1056"/>
      <c r="ZF158" s="1056"/>
      <c r="ZG158" s="1056"/>
      <c r="ZH158" s="1056"/>
      <c r="ZI158" s="1056"/>
      <c r="ZJ158" s="1056"/>
      <c r="ZK158" s="1056"/>
      <c r="ZL158" s="1056"/>
      <c r="ZM158" s="1056"/>
      <c r="ZN158" s="1056"/>
      <c r="ZO158" s="1056"/>
      <c r="ZP158" s="1056"/>
      <c r="ZQ158" s="1056"/>
      <c r="ZR158" s="1056"/>
      <c r="ZS158" s="1056"/>
      <c r="ZT158" s="1056"/>
      <c r="ZU158" s="1056"/>
      <c r="ZV158" s="1056"/>
      <c r="ZW158" s="1056"/>
      <c r="ZX158" s="1056"/>
      <c r="ZY158" s="1056"/>
      <c r="ZZ158" s="1056"/>
      <c r="AAA158" s="1056"/>
      <c r="AAB158" s="1056"/>
      <c r="AAC158" s="1056"/>
      <c r="AAD158" s="1056"/>
      <c r="AAE158" s="1056"/>
      <c r="AAF158" s="1056"/>
      <c r="AAG158" s="1056"/>
      <c r="AAH158" s="1056"/>
      <c r="AAI158" s="1056"/>
      <c r="AAJ158" s="1056"/>
      <c r="AAK158" s="1056"/>
      <c r="AAL158" s="1056"/>
      <c r="AAM158" s="1056"/>
      <c r="AAN158" s="1056"/>
      <c r="AAO158" s="1056"/>
      <c r="AAP158" s="1056"/>
      <c r="AAQ158" s="1056"/>
      <c r="AAR158" s="1056"/>
      <c r="AAS158" s="1056"/>
      <c r="AAT158" s="1056"/>
      <c r="AAU158" s="1056"/>
      <c r="AAV158" s="1056"/>
      <c r="AAW158" s="1056"/>
      <c r="AAX158" s="1056"/>
      <c r="AAY158" s="1056"/>
      <c r="AAZ158" s="1056"/>
      <c r="ABA158" s="1056"/>
      <c r="ABB158" s="1056"/>
      <c r="ABC158" s="1056"/>
      <c r="ABD158" s="1056"/>
      <c r="ABE158" s="1056"/>
      <c r="ABF158" s="1056"/>
      <c r="ABG158" s="1056"/>
      <c r="ABH158" s="1056"/>
      <c r="ABI158" s="1056"/>
      <c r="ABJ158" s="1056"/>
      <c r="ABK158" s="1056"/>
      <c r="ABL158" s="1056"/>
      <c r="ABM158" s="1056"/>
      <c r="ABN158" s="1056"/>
      <c r="ABO158" s="1056"/>
      <c r="ABP158" s="1056"/>
      <c r="ABQ158" s="1056"/>
      <c r="ABR158" s="1056"/>
      <c r="ABS158" s="1056"/>
      <c r="ABT158" s="1056"/>
      <c r="ABU158" s="1056"/>
      <c r="ABV158" s="1056"/>
      <c r="ABW158" s="1056"/>
      <c r="ABX158" s="1056"/>
      <c r="ABY158" s="1056"/>
      <c r="ABZ158" s="1056"/>
      <c r="ACA158" s="1056"/>
      <c r="ACB158" s="1056"/>
      <c r="ACC158" s="1056"/>
      <c r="ACD158" s="1056"/>
      <c r="ACE158" s="1056"/>
      <c r="ACF158" s="1056"/>
      <c r="ACG158" s="1056"/>
      <c r="ACH158" s="1056"/>
      <c r="ACI158" s="1056"/>
      <c r="ACJ158" s="1056"/>
      <c r="ACK158" s="1056"/>
      <c r="ACL158" s="1056"/>
      <c r="ACM158" s="1056"/>
      <c r="ACN158" s="1056"/>
      <c r="ACO158" s="1056"/>
      <c r="ACP158" s="1056"/>
      <c r="ACQ158" s="1056"/>
      <c r="ACR158" s="1056"/>
      <c r="ACS158" s="1056"/>
      <c r="ACT158" s="1056"/>
      <c r="ACU158" s="1056"/>
      <c r="ACV158" s="1056"/>
      <c r="ACW158" s="1056"/>
      <c r="ACX158" s="1056"/>
      <c r="ACY158" s="1056"/>
      <c r="ACZ158" s="1056"/>
      <c r="ADA158" s="1056"/>
      <c r="ADB158" s="1056"/>
      <c r="ADC158" s="1056"/>
      <c r="ADD158" s="1056"/>
      <c r="ADE158" s="1056"/>
      <c r="ADF158" s="1056"/>
      <c r="ADG158" s="1056"/>
      <c r="ADH158" s="1056"/>
      <c r="ADI158" s="1056"/>
      <c r="ADJ158" s="1056"/>
      <c r="ADK158" s="1056"/>
      <c r="ADL158" s="1056"/>
      <c r="ADM158" s="1056"/>
      <c r="ADN158" s="1056"/>
      <c r="ADO158" s="1056"/>
      <c r="ADP158" s="1056"/>
      <c r="ADQ158" s="1056"/>
      <c r="ADR158" s="1056"/>
      <c r="ADS158" s="1056"/>
      <c r="ADT158" s="1056"/>
      <c r="ADU158" s="1056"/>
      <c r="ADV158" s="1056"/>
      <c r="ADW158" s="1056"/>
      <c r="ADX158" s="1056"/>
      <c r="ADY158" s="1056"/>
      <c r="ADZ158" s="1056"/>
      <c r="AEA158" s="1056"/>
      <c r="AEB158" s="1056"/>
      <c r="AEC158" s="1056"/>
      <c r="AED158" s="1056"/>
      <c r="AEE158" s="1056"/>
      <c r="AEF158" s="1056"/>
      <c r="AEG158" s="1056"/>
      <c r="AEH158" s="1056"/>
      <c r="AEI158" s="1056"/>
      <c r="AEJ158" s="1056"/>
      <c r="AEK158" s="1056"/>
      <c r="AEL158" s="1056"/>
      <c r="AEM158" s="1056"/>
      <c r="AEN158" s="1056"/>
      <c r="AEO158" s="1056"/>
      <c r="AEP158" s="1056"/>
      <c r="AEQ158" s="1056"/>
      <c r="AER158" s="1056"/>
      <c r="AES158" s="1056"/>
      <c r="AET158" s="1056"/>
      <c r="AEU158" s="1056"/>
      <c r="AEV158" s="1056"/>
      <c r="AEW158" s="1056"/>
      <c r="AEX158" s="1056"/>
      <c r="AEY158" s="1056"/>
      <c r="AEZ158" s="1056"/>
      <c r="AFA158" s="1056"/>
      <c r="AFB158" s="1056"/>
      <c r="AFC158" s="1056"/>
      <c r="AFD158" s="1056"/>
      <c r="AFE158" s="1056"/>
      <c r="AFF158" s="1056"/>
      <c r="AFG158" s="1056"/>
      <c r="AFH158" s="1056"/>
      <c r="AFI158" s="1056"/>
      <c r="AFJ158" s="1056"/>
      <c r="AFK158" s="1056"/>
      <c r="AFL158" s="1056"/>
      <c r="AFM158" s="1056"/>
      <c r="AFN158" s="1056"/>
      <c r="AFO158" s="1056"/>
      <c r="AFP158" s="1056"/>
      <c r="AFQ158" s="1056"/>
      <c r="AFR158" s="1056"/>
      <c r="AFS158" s="1056"/>
      <c r="AFT158" s="1056"/>
      <c r="AFU158" s="1056"/>
      <c r="AFV158" s="1056"/>
      <c r="AFW158" s="1056"/>
      <c r="AFX158" s="1056"/>
      <c r="AFY158" s="1056"/>
      <c r="AFZ158" s="1056"/>
      <c r="AGA158" s="1056"/>
      <c r="AGB158" s="1056"/>
      <c r="AGC158" s="1056"/>
      <c r="AGD158" s="1056"/>
      <c r="AGE158" s="1056"/>
      <c r="AGF158" s="1056"/>
      <c r="AGG158" s="1056"/>
      <c r="AGH158" s="1056"/>
      <c r="AGI158" s="1056"/>
      <c r="AGJ158" s="1056"/>
      <c r="AGK158" s="1056"/>
      <c r="AGL158" s="1056"/>
      <c r="AGM158" s="1056"/>
      <c r="AGN158" s="1056"/>
      <c r="AGO158" s="1056"/>
      <c r="AGP158" s="1056"/>
      <c r="AGQ158" s="1056"/>
      <c r="AGR158" s="1056"/>
      <c r="AGS158" s="1056"/>
      <c r="AGT158" s="1056"/>
      <c r="AGU158" s="1056"/>
      <c r="AGV158" s="1056"/>
      <c r="AGW158" s="1056"/>
      <c r="AGX158" s="1056"/>
      <c r="AGY158" s="1056"/>
      <c r="AGZ158" s="1056"/>
      <c r="AHA158" s="1056"/>
      <c r="AHB158" s="1056"/>
      <c r="AHC158" s="1056"/>
      <c r="AHD158" s="1056"/>
      <c r="AHE158" s="1056"/>
      <c r="AHF158" s="1056"/>
      <c r="AHG158" s="1056"/>
      <c r="AHH158" s="1056"/>
      <c r="AHI158" s="1056"/>
      <c r="AHJ158" s="1056"/>
      <c r="AHK158" s="1056"/>
      <c r="AHL158" s="1056"/>
      <c r="AHM158" s="1056"/>
      <c r="AHN158" s="1056"/>
      <c r="AHO158" s="1056"/>
      <c r="AHP158" s="1056"/>
      <c r="AHQ158" s="1056"/>
      <c r="AHR158" s="1056"/>
      <c r="AHS158" s="1056"/>
      <c r="AHT158" s="1056"/>
      <c r="AHU158" s="1056"/>
      <c r="AHV158" s="1056"/>
      <c r="AHW158" s="1056"/>
      <c r="AHX158" s="1056"/>
      <c r="AHY158" s="1056"/>
      <c r="AHZ158" s="1056"/>
      <c r="AIA158" s="1056"/>
      <c r="AIB158" s="1056"/>
      <c r="AIC158" s="1056"/>
      <c r="AID158" s="1056"/>
      <c r="AIE158" s="1056"/>
      <c r="AIF158" s="1056"/>
      <c r="AIG158" s="1056"/>
      <c r="AIH158" s="1056"/>
      <c r="AII158" s="1056"/>
      <c r="AIJ158" s="1056"/>
      <c r="AIK158" s="1056"/>
      <c r="AIL158" s="1056"/>
      <c r="AIM158" s="1056"/>
      <c r="AIN158" s="1056"/>
      <c r="AIO158" s="1056"/>
      <c r="AIP158" s="1056"/>
      <c r="AIQ158" s="1056"/>
      <c r="AIR158" s="1056"/>
      <c r="AIS158" s="1056"/>
      <c r="AIT158" s="1056"/>
      <c r="AIU158" s="1056"/>
      <c r="AIV158" s="1056"/>
      <c r="AIW158" s="1056"/>
      <c r="AIX158" s="1056"/>
      <c r="AIY158" s="1056"/>
      <c r="AIZ158" s="1056"/>
      <c r="AJA158" s="1056"/>
      <c r="AJB158" s="1056"/>
      <c r="AJC158" s="1056"/>
      <c r="AJD158" s="1056"/>
      <c r="AJE158" s="1056"/>
      <c r="AJF158" s="1056"/>
      <c r="AJG158" s="1056"/>
      <c r="AJH158" s="1056"/>
      <c r="AJI158" s="1056"/>
      <c r="AJJ158" s="1056"/>
      <c r="AJK158" s="1056"/>
      <c r="AJL158" s="1056"/>
      <c r="AJM158" s="1056"/>
      <c r="AJN158" s="1056"/>
      <c r="AJO158" s="1056"/>
      <c r="AJP158" s="1056"/>
      <c r="AJQ158" s="1056"/>
      <c r="AJR158" s="1056"/>
      <c r="AJS158" s="1056"/>
      <c r="AJT158" s="1056"/>
      <c r="AJU158" s="1056"/>
      <c r="AJV158" s="1056"/>
      <c r="AJW158" s="1056"/>
      <c r="AJX158" s="1056"/>
      <c r="AJY158" s="1056"/>
      <c r="AJZ158" s="1056"/>
      <c r="AKA158" s="1056"/>
      <c r="AKB158" s="1056"/>
      <c r="AKC158" s="1056"/>
      <c r="AKD158" s="1056"/>
      <c r="AKE158" s="1056"/>
      <c r="AKF158" s="1056"/>
      <c r="AKG158" s="1056"/>
      <c r="AKH158" s="1056"/>
      <c r="AKI158" s="1056"/>
      <c r="AKJ158" s="1056"/>
      <c r="AKK158" s="1056"/>
      <c r="AKL158" s="1056"/>
      <c r="AKM158" s="1056"/>
      <c r="AKN158" s="1056"/>
      <c r="AKO158" s="1056"/>
      <c r="AKP158" s="1056"/>
      <c r="AKQ158" s="1056"/>
      <c r="AKR158" s="1056"/>
      <c r="AKS158" s="1056"/>
      <c r="AKT158" s="1056"/>
      <c r="AKU158" s="1056"/>
      <c r="AKV158" s="1056"/>
      <c r="AKW158" s="1056"/>
      <c r="AKX158" s="1056"/>
      <c r="AKY158" s="1056"/>
      <c r="AKZ158" s="1056"/>
      <c r="ALA158" s="1056"/>
      <c r="ALB158" s="1056"/>
      <c r="ALC158" s="1056"/>
      <c r="ALD158" s="1056"/>
      <c r="ALE158" s="1056"/>
      <c r="ALF158" s="1056"/>
      <c r="ALG158" s="1056"/>
      <c r="ALH158" s="1056"/>
      <c r="ALI158" s="1056"/>
      <c r="ALJ158" s="1056"/>
      <c r="ALK158" s="1056"/>
      <c r="ALL158" s="1056"/>
      <c r="ALM158" s="1056"/>
      <c r="ALN158" s="1056"/>
      <c r="ALO158" s="1056"/>
      <c r="ALP158" s="1056"/>
      <c r="ALQ158" s="1056"/>
      <c r="ALR158" s="1056"/>
      <c r="ALS158" s="1056"/>
      <c r="ALT158" s="1056"/>
      <c r="ALU158" s="1056"/>
      <c r="ALV158" s="1056"/>
      <c r="ALW158" s="1056"/>
      <c r="ALX158" s="1056"/>
      <c r="ALY158" s="1056"/>
      <c r="ALZ158" s="1056"/>
      <c r="AMA158" s="1056"/>
      <c r="AMB158" s="1056"/>
      <c r="AMC158" s="1056"/>
      <c r="AMD158" s="1056"/>
      <c r="AME158" s="1056"/>
      <c r="AMF158" s="1056"/>
      <c r="AMG158" s="1056"/>
      <c r="AMH158" s="1056"/>
      <c r="AMI158" s="1056"/>
      <c r="AMJ158" s="1056"/>
      <c r="AMK158" s="1056"/>
      <c r="AML158" s="1056"/>
      <c r="AMM158" s="1056"/>
      <c r="AMN158" s="1056"/>
      <c r="AMO158" s="1056"/>
      <c r="AMP158" s="1056"/>
      <c r="AMQ158" s="1056"/>
      <c r="AMR158" s="1056"/>
      <c r="AMS158" s="1056"/>
      <c r="AMT158" s="1056"/>
      <c r="AMU158" s="1056"/>
      <c r="AMV158" s="1056"/>
      <c r="AMW158" s="1056"/>
      <c r="AMX158" s="1056"/>
      <c r="AMY158" s="1056"/>
      <c r="AMZ158" s="1056"/>
      <c r="ANA158" s="1056"/>
      <c r="ANB158" s="1056"/>
      <c r="ANC158" s="1056"/>
      <c r="AND158" s="1056"/>
      <c r="ANE158" s="1056"/>
      <c r="ANF158" s="1056"/>
      <c r="ANG158" s="1056"/>
      <c r="ANH158" s="1056"/>
      <c r="ANI158" s="1056"/>
      <c r="ANJ158" s="1056"/>
      <c r="ANK158" s="1056"/>
      <c r="ANL158" s="1056"/>
      <c r="ANM158" s="1056"/>
      <c r="ANN158" s="1056"/>
      <c r="ANO158" s="1056"/>
      <c r="ANP158" s="1056"/>
      <c r="ANQ158" s="1056"/>
      <c r="ANR158" s="1056"/>
      <c r="ANS158" s="1056"/>
      <c r="ANT158" s="1056"/>
      <c r="ANU158" s="1056"/>
      <c r="ANV158" s="1056"/>
      <c r="ANW158" s="1056"/>
      <c r="ANX158" s="1056"/>
      <c r="ANY158" s="1056"/>
      <c r="ANZ158" s="1056"/>
      <c r="AOA158" s="1056"/>
      <c r="AOB158" s="1056"/>
      <c r="AOC158" s="1056"/>
      <c r="AOD158" s="1056"/>
      <c r="AOE158" s="1056"/>
      <c r="AOF158" s="1056"/>
      <c r="AOG158" s="1056"/>
      <c r="AOH158" s="1056"/>
      <c r="AOI158" s="1056"/>
      <c r="AOJ158" s="1056"/>
      <c r="AOK158" s="1056"/>
      <c r="AOL158" s="1056"/>
      <c r="AOM158" s="1056"/>
      <c r="AON158" s="1056"/>
      <c r="AOO158" s="1056"/>
      <c r="AOP158" s="1056"/>
      <c r="AOQ158" s="1056"/>
      <c r="AOR158" s="1056"/>
      <c r="AOS158" s="1056"/>
      <c r="AOT158" s="1056"/>
      <c r="AOU158" s="1056"/>
      <c r="AOV158" s="1056"/>
      <c r="AOW158" s="1056"/>
      <c r="AOX158" s="1056"/>
      <c r="AOY158" s="1056"/>
      <c r="AOZ158" s="1056"/>
      <c r="APA158" s="1056"/>
      <c r="APB158" s="1056"/>
      <c r="APC158" s="1056"/>
      <c r="APD158" s="1056"/>
      <c r="APE158" s="1056"/>
      <c r="APF158" s="1056"/>
      <c r="APG158" s="1056"/>
      <c r="APH158" s="1056"/>
      <c r="API158" s="1056"/>
      <c r="APJ158" s="1056"/>
      <c r="APK158" s="1056"/>
      <c r="APL158" s="1056"/>
      <c r="APM158" s="1056"/>
      <c r="APN158" s="1056"/>
      <c r="APO158" s="1056"/>
      <c r="APP158" s="1056"/>
      <c r="APQ158" s="1056"/>
      <c r="APR158" s="1056"/>
      <c r="APS158" s="1056"/>
      <c r="APT158" s="1056"/>
      <c r="APU158" s="1056"/>
      <c r="APV158" s="1056"/>
      <c r="APW158" s="1056"/>
      <c r="APX158" s="1056"/>
      <c r="APY158" s="1056"/>
      <c r="APZ158" s="1056"/>
      <c r="AQA158" s="1056"/>
      <c r="AQB158" s="1056"/>
      <c r="AQC158" s="1056"/>
      <c r="AQD158" s="1056"/>
      <c r="AQE158" s="1056"/>
      <c r="AQF158" s="1056"/>
      <c r="AQG158" s="1056"/>
      <c r="AQH158" s="1056"/>
      <c r="AQI158" s="1056"/>
      <c r="AQJ158" s="1056"/>
      <c r="AQK158" s="1056"/>
      <c r="AQL158" s="1056"/>
      <c r="AQM158" s="1056"/>
      <c r="AQN158" s="1056"/>
      <c r="AQO158" s="1056"/>
      <c r="AQP158" s="1056"/>
      <c r="AQQ158" s="1056"/>
      <c r="AQR158" s="1056"/>
      <c r="AQS158" s="1056"/>
      <c r="AQT158" s="1056"/>
      <c r="AQU158" s="1056"/>
      <c r="AQV158" s="1056"/>
      <c r="AQW158" s="1056"/>
      <c r="AQX158" s="1056"/>
      <c r="AQY158" s="1056"/>
      <c r="AQZ158" s="1056"/>
      <c r="ARA158" s="1056"/>
      <c r="ARB158" s="1056"/>
      <c r="ARC158" s="1056"/>
      <c r="ARD158" s="1056"/>
      <c r="ARE158" s="1056"/>
      <c r="ARF158" s="1056"/>
      <c r="ARG158" s="1056"/>
      <c r="ARH158" s="1056"/>
      <c r="ARI158" s="1056"/>
      <c r="ARJ158" s="1056"/>
      <c r="ARK158" s="1056"/>
      <c r="ARL158" s="1056"/>
      <c r="ARM158" s="1056"/>
      <c r="ARN158" s="1056"/>
      <c r="ARO158" s="1056"/>
      <c r="ARP158" s="1056"/>
      <c r="ARQ158" s="1056"/>
      <c r="ARR158" s="1056"/>
      <c r="ARS158" s="1056"/>
      <c r="ART158" s="1056"/>
      <c r="ARU158" s="1056"/>
      <c r="ARV158" s="1056"/>
      <c r="ARW158" s="1056"/>
      <c r="ARX158" s="1056"/>
      <c r="ARY158" s="1056"/>
      <c r="ARZ158" s="1056"/>
      <c r="ASA158" s="1056"/>
      <c r="ASB158" s="1056"/>
      <c r="ASC158" s="1056"/>
      <c r="ASD158" s="1056"/>
      <c r="ASE158" s="1056"/>
      <c r="ASF158" s="1056"/>
      <c r="ASG158" s="1056"/>
      <c r="ASH158" s="1056"/>
      <c r="ASI158" s="1056"/>
      <c r="ASJ158" s="1056"/>
      <c r="ASK158" s="1056"/>
      <c r="ASL158" s="1056"/>
      <c r="ASM158" s="1056"/>
      <c r="ASN158" s="1056"/>
      <c r="ASO158" s="1056"/>
      <c r="ASP158" s="1056"/>
      <c r="ASQ158" s="1056"/>
      <c r="ASR158" s="1056"/>
      <c r="ASS158" s="1056"/>
      <c r="AST158" s="1056"/>
      <c r="ASU158" s="1056"/>
      <c r="ASV158" s="1056"/>
      <c r="ASW158" s="1056"/>
      <c r="ASX158" s="1056"/>
      <c r="ASY158" s="1056"/>
      <c r="ASZ158" s="1056"/>
      <c r="ATA158" s="1056"/>
      <c r="ATB158" s="1056"/>
      <c r="ATC158" s="1056"/>
      <c r="ATD158" s="1056"/>
      <c r="ATE158" s="1056"/>
      <c r="ATF158" s="1056"/>
      <c r="ATG158" s="1056"/>
      <c r="ATH158" s="1056"/>
      <c r="ATI158" s="1056"/>
      <c r="ATJ158" s="1056"/>
      <c r="ATK158" s="1056"/>
      <c r="ATL158" s="1056"/>
      <c r="ATM158" s="1056"/>
      <c r="ATN158" s="1056"/>
      <c r="ATO158" s="1056"/>
      <c r="ATP158" s="1056"/>
      <c r="ATQ158" s="1056"/>
      <c r="ATR158" s="1056"/>
      <c r="ATS158" s="1056"/>
      <c r="ATT158" s="1056"/>
      <c r="ATU158" s="1056"/>
      <c r="ATV158" s="1056"/>
      <c r="ATW158" s="1056"/>
      <c r="ATX158" s="1056"/>
      <c r="ATY158" s="1056"/>
      <c r="ATZ158" s="1056"/>
      <c r="AUA158" s="1056"/>
      <c r="AUB158" s="1056"/>
      <c r="AUC158" s="1056"/>
      <c r="AUD158" s="1056"/>
      <c r="AUE158" s="1056"/>
      <c r="AUF158" s="1056"/>
      <c r="AUG158" s="1056"/>
      <c r="AUH158" s="1056"/>
      <c r="AUI158" s="1056"/>
      <c r="AUJ158" s="1056"/>
      <c r="AUK158" s="1056"/>
      <c r="AUL158" s="1056"/>
      <c r="AUM158" s="1056"/>
      <c r="AUN158" s="1056"/>
      <c r="AUO158" s="1056"/>
      <c r="AUP158" s="1056"/>
      <c r="AUQ158" s="1056"/>
      <c r="AUR158" s="1056"/>
      <c r="AUS158" s="1056"/>
      <c r="AUT158" s="1056"/>
      <c r="AUU158" s="1056"/>
      <c r="AUV158" s="1056"/>
      <c r="AUW158" s="1056"/>
      <c r="AUX158" s="1056"/>
      <c r="AUY158" s="1056"/>
      <c r="AUZ158" s="1056"/>
      <c r="AVA158" s="1056"/>
      <c r="AVB158" s="1056"/>
      <c r="AVC158" s="1056"/>
      <c r="AVD158" s="1056"/>
      <c r="AVE158" s="1056"/>
      <c r="AVF158" s="1056"/>
      <c r="AVG158" s="1056"/>
      <c r="AVH158" s="1056"/>
      <c r="AVI158" s="1056"/>
      <c r="AVJ158" s="1056"/>
      <c r="AVK158" s="1056"/>
      <c r="AVL158" s="1056"/>
      <c r="AVM158" s="1056"/>
      <c r="AVN158" s="1056"/>
      <c r="AVO158" s="1056"/>
      <c r="AVP158" s="1056"/>
      <c r="AVQ158" s="1056"/>
      <c r="AVR158" s="1056"/>
      <c r="AVS158" s="1056"/>
      <c r="AVT158" s="1056"/>
      <c r="AVU158" s="1056"/>
      <c r="AVV158" s="1056"/>
      <c r="AVW158" s="1056"/>
      <c r="AVX158" s="1056"/>
      <c r="AVY158" s="1056"/>
      <c r="AVZ158" s="1056"/>
      <c r="AWA158" s="1056"/>
      <c r="AWB158" s="1056"/>
      <c r="AWC158" s="1056"/>
      <c r="AWD158" s="1056"/>
      <c r="AWE158" s="1056"/>
      <c r="AWF158" s="1056"/>
      <c r="AWG158" s="1056"/>
      <c r="AWH158" s="1056"/>
      <c r="AWI158" s="1056"/>
      <c r="AWJ158" s="1056"/>
      <c r="AWK158" s="1056"/>
      <c r="AWL158" s="1056"/>
      <c r="AWM158" s="1056"/>
      <c r="AWN158" s="1056"/>
      <c r="AWO158" s="1056"/>
      <c r="AWP158" s="1056"/>
      <c r="AWQ158" s="1056"/>
      <c r="AWR158" s="1056"/>
      <c r="AWS158" s="1056"/>
      <c r="AWT158" s="1056"/>
      <c r="AWU158" s="1056"/>
      <c r="AWV158" s="1056"/>
      <c r="AWW158" s="1056"/>
      <c r="AWX158" s="1056"/>
      <c r="AWY158" s="1056"/>
      <c r="AWZ158" s="1056"/>
      <c r="AXA158" s="1056"/>
      <c r="AXB158" s="1056"/>
      <c r="AXC158" s="1056"/>
      <c r="AXD158" s="1056"/>
      <c r="AXE158" s="1056"/>
      <c r="AXF158" s="1056"/>
      <c r="AXG158" s="1056"/>
      <c r="AXH158" s="1056"/>
      <c r="AXI158" s="1056"/>
      <c r="AXJ158" s="1056"/>
      <c r="AXK158" s="1056"/>
      <c r="AXL158" s="1056"/>
      <c r="AXM158" s="1056"/>
      <c r="AXN158" s="1056"/>
      <c r="AXO158" s="1056"/>
      <c r="AXP158" s="1056"/>
      <c r="AXQ158" s="1056"/>
      <c r="AXR158" s="1056"/>
      <c r="AXS158" s="1056"/>
      <c r="AXT158" s="1056"/>
      <c r="AXU158" s="1056"/>
      <c r="AXV158" s="1056"/>
      <c r="AXW158" s="1056"/>
      <c r="AXX158" s="1056"/>
      <c r="AXY158" s="1056"/>
      <c r="AXZ158" s="1056"/>
      <c r="AYA158" s="1056"/>
      <c r="AYB158" s="1056"/>
      <c r="AYC158" s="1056"/>
      <c r="AYD158" s="1056"/>
      <c r="AYE158" s="1056"/>
      <c r="AYF158" s="1056"/>
      <c r="AYG158" s="1056"/>
      <c r="AYH158" s="1056"/>
      <c r="AYI158" s="1056"/>
      <c r="AYJ158" s="1056"/>
      <c r="AYK158" s="1056"/>
      <c r="AYL158" s="1056"/>
      <c r="AYM158" s="1056"/>
      <c r="AYN158" s="1056"/>
      <c r="AYO158" s="1056"/>
      <c r="AYP158" s="1056"/>
      <c r="AYQ158" s="1056"/>
      <c r="AYR158" s="1056"/>
      <c r="AYS158" s="1056"/>
      <c r="AYT158" s="1056"/>
      <c r="AYU158" s="1056"/>
      <c r="AYV158" s="1056"/>
      <c r="AYW158" s="1056"/>
      <c r="AYX158" s="1056"/>
      <c r="AYY158" s="1056"/>
      <c r="AYZ158" s="1056"/>
      <c r="AZA158" s="1056"/>
      <c r="AZB158" s="1056"/>
      <c r="AZC158" s="1056"/>
      <c r="AZD158" s="1056"/>
      <c r="AZE158" s="1056"/>
      <c r="AZF158" s="1056"/>
      <c r="AZG158" s="1056"/>
      <c r="AZH158" s="1056"/>
      <c r="AZI158" s="1056"/>
      <c r="AZJ158" s="1056"/>
      <c r="AZK158" s="1056"/>
      <c r="AZL158" s="1056"/>
      <c r="AZM158" s="1056"/>
      <c r="AZN158" s="1056"/>
      <c r="AZO158" s="1056"/>
      <c r="AZP158" s="1056"/>
      <c r="AZQ158" s="1056"/>
      <c r="AZR158" s="1056"/>
      <c r="AZS158" s="1056"/>
      <c r="AZT158" s="1056"/>
      <c r="AZU158" s="1056"/>
      <c r="AZV158" s="1056"/>
      <c r="AZW158" s="1056"/>
      <c r="AZX158" s="1056"/>
      <c r="AZY158" s="1056"/>
      <c r="AZZ158" s="1056"/>
      <c r="BAA158" s="1056"/>
      <c r="BAB158" s="1056"/>
      <c r="BAC158" s="1056"/>
      <c r="BAD158" s="1056"/>
      <c r="BAE158" s="1056"/>
      <c r="BAF158" s="1056"/>
      <c r="BAG158" s="1056"/>
      <c r="BAH158" s="1056"/>
      <c r="BAI158" s="1056"/>
      <c r="BAJ158" s="1056"/>
      <c r="BAK158" s="1056"/>
      <c r="BAL158" s="1056"/>
      <c r="BAM158" s="1056"/>
      <c r="BAN158" s="1056"/>
      <c r="BAO158" s="1056"/>
      <c r="BAP158" s="1056"/>
      <c r="BAQ158" s="1056"/>
      <c r="BAR158" s="1056"/>
      <c r="BAS158" s="1056"/>
      <c r="BAT158" s="1056"/>
      <c r="BAU158" s="1056"/>
      <c r="BAV158" s="1056"/>
      <c r="BAW158" s="1056"/>
      <c r="BAX158" s="1056"/>
      <c r="BAY158" s="1056"/>
      <c r="BAZ158" s="1056"/>
      <c r="BBA158" s="1056"/>
      <c r="BBB158" s="1056"/>
      <c r="BBC158" s="1056"/>
      <c r="BBD158" s="1056"/>
      <c r="BBE158" s="1056"/>
      <c r="BBF158" s="1056"/>
      <c r="BBG158" s="1056"/>
      <c r="BBH158" s="1056"/>
      <c r="BBI158" s="1056"/>
      <c r="BBJ158" s="1056"/>
      <c r="BBK158" s="1056"/>
      <c r="BBL158" s="1056"/>
      <c r="BBM158" s="1056"/>
      <c r="BBN158" s="1056"/>
      <c r="BBO158" s="1056"/>
      <c r="BBP158" s="1056"/>
      <c r="BBQ158" s="1056"/>
      <c r="BBR158" s="1056"/>
      <c r="BBS158" s="1056"/>
      <c r="BBT158" s="1056"/>
      <c r="BBU158" s="1056"/>
      <c r="BBV158" s="1056"/>
      <c r="BBW158" s="1056"/>
      <c r="BBX158" s="1056"/>
      <c r="BBY158" s="1056"/>
      <c r="BBZ158" s="1056"/>
      <c r="BCA158" s="1056"/>
      <c r="BCB158" s="1056"/>
      <c r="BCC158" s="1056"/>
      <c r="BCD158" s="1056"/>
      <c r="BCE158" s="1056"/>
      <c r="BCF158" s="1056"/>
      <c r="BCG158" s="1056"/>
      <c r="BCH158" s="1056"/>
      <c r="BCI158" s="1056"/>
      <c r="BCJ158" s="1056"/>
      <c r="BCK158" s="1056"/>
      <c r="BCL158" s="1056"/>
      <c r="BCM158" s="1056"/>
      <c r="BCN158" s="1056"/>
      <c r="BCO158" s="1056"/>
      <c r="BCP158" s="1056"/>
      <c r="BCQ158" s="1056"/>
      <c r="BCR158" s="1056"/>
      <c r="BCS158" s="1056"/>
      <c r="BCT158" s="1056"/>
      <c r="BCU158" s="1056"/>
      <c r="BCV158" s="1056"/>
      <c r="BCW158" s="1056"/>
      <c r="BCX158" s="1056"/>
      <c r="BCY158" s="1056"/>
      <c r="BCZ158" s="1056"/>
      <c r="BDA158" s="1056"/>
      <c r="BDB158" s="1056"/>
      <c r="BDC158" s="1056"/>
      <c r="BDD158" s="1056"/>
      <c r="BDE158" s="1056"/>
      <c r="BDF158" s="1056"/>
      <c r="BDG158" s="1056"/>
      <c r="BDH158" s="1056"/>
      <c r="BDI158" s="1056"/>
      <c r="BDJ158" s="1056"/>
      <c r="BDK158" s="1056"/>
      <c r="BDL158" s="1056"/>
      <c r="BDM158" s="1056"/>
      <c r="BDN158" s="1056"/>
      <c r="BDO158" s="1056"/>
      <c r="BDP158" s="1056"/>
      <c r="BDQ158" s="1056"/>
      <c r="BDR158" s="1056"/>
      <c r="BDS158" s="1056"/>
      <c r="BDT158" s="1056"/>
      <c r="BDU158" s="1056"/>
      <c r="BDV158" s="1056"/>
      <c r="BDW158" s="1056"/>
      <c r="BDX158" s="1056"/>
      <c r="BDY158" s="1056"/>
      <c r="BDZ158" s="1056"/>
      <c r="BEA158" s="1056"/>
      <c r="BEB158" s="1056"/>
      <c r="BEC158" s="1056"/>
      <c r="BED158" s="1056"/>
      <c r="BEE158" s="1056"/>
      <c r="BEF158" s="1056"/>
      <c r="BEG158" s="1056"/>
      <c r="BEH158" s="1056"/>
      <c r="BEI158" s="1056"/>
      <c r="BEJ158" s="1056"/>
      <c r="BEK158" s="1056"/>
      <c r="BEL158" s="1056"/>
      <c r="BEM158" s="1056"/>
      <c r="BEN158" s="1056"/>
      <c r="BEO158" s="1056"/>
      <c r="BEP158" s="1056"/>
      <c r="BEQ158" s="1056"/>
      <c r="BER158" s="1056"/>
      <c r="BES158" s="1056"/>
      <c r="BET158" s="1056"/>
      <c r="BEU158" s="1056"/>
      <c r="BEV158" s="1056"/>
      <c r="BEW158" s="1056"/>
      <c r="BEX158" s="1056"/>
      <c r="BEY158" s="1056"/>
      <c r="BEZ158" s="1056"/>
      <c r="BFA158" s="1056"/>
      <c r="BFB158" s="1056"/>
      <c r="BFC158" s="1056"/>
      <c r="BFD158" s="1056"/>
      <c r="BFE158" s="1056"/>
      <c r="BFF158" s="1056"/>
      <c r="BFG158" s="1056"/>
      <c r="BFH158" s="1056"/>
      <c r="BFI158" s="1056"/>
      <c r="BFJ158" s="1056"/>
      <c r="BFK158" s="1056"/>
      <c r="BFL158" s="1056"/>
      <c r="BFM158" s="1056"/>
      <c r="BFN158" s="1056"/>
      <c r="BFO158" s="1056"/>
      <c r="BFP158" s="1056"/>
      <c r="BFQ158" s="1056"/>
      <c r="BFR158" s="1056"/>
      <c r="BFS158" s="1056"/>
      <c r="BFT158" s="1056"/>
      <c r="BFU158" s="1056"/>
      <c r="BFV158" s="1056"/>
      <c r="BFW158" s="1056"/>
      <c r="BFX158" s="1056"/>
      <c r="BFY158" s="1056"/>
      <c r="BFZ158" s="1056"/>
      <c r="BGA158" s="1056"/>
      <c r="BGB158" s="1056"/>
      <c r="BGC158" s="1056"/>
      <c r="BGD158" s="1056"/>
      <c r="BGE158" s="1056"/>
      <c r="BGF158" s="1056"/>
      <c r="BGG158" s="1056"/>
      <c r="BGH158" s="1056"/>
      <c r="BGI158" s="1056"/>
      <c r="BGJ158" s="1056"/>
      <c r="BGK158" s="1056"/>
      <c r="BGL158" s="1056"/>
      <c r="BGM158" s="1056"/>
      <c r="BGN158" s="1056"/>
      <c r="BGO158" s="1056"/>
      <c r="BGP158" s="1056"/>
      <c r="BGQ158" s="1056"/>
      <c r="BGR158" s="1056"/>
      <c r="BGS158" s="1056"/>
      <c r="BGT158" s="1056"/>
      <c r="BGU158" s="1056"/>
      <c r="BGV158" s="1056"/>
      <c r="BGW158" s="1056"/>
      <c r="BGX158" s="1056"/>
      <c r="BGY158" s="1056"/>
      <c r="BGZ158" s="1056"/>
      <c r="BHA158" s="1056"/>
      <c r="BHB158" s="1056"/>
      <c r="BHC158" s="1056"/>
      <c r="BHD158" s="1056"/>
      <c r="BHE158" s="1056"/>
      <c r="BHF158" s="1056"/>
      <c r="BHG158" s="1056"/>
      <c r="BHH158" s="1056"/>
      <c r="BHI158" s="1056"/>
      <c r="BHJ158" s="1056"/>
      <c r="BHK158" s="1056"/>
      <c r="BHL158" s="1056"/>
      <c r="BHM158" s="1056"/>
      <c r="BHN158" s="1056"/>
      <c r="BHO158" s="1056"/>
      <c r="BHP158" s="1056"/>
      <c r="BHQ158" s="1056"/>
      <c r="BHR158" s="1056"/>
      <c r="BHS158" s="1056"/>
      <c r="BHT158" s="1056"/>
      <c r="BHU158" s="1056"/>
      <c r="BHV158" s="1056"/>
      <c r="BHW158" s="1056"/>
      <c r="BHX158" s="1056"/>
      <c r="BHY158" s="1056"/>
      <c r="BHZ158" s="1056"/>
      <c r="BIA158" s="1056"/>
      <c r="BIB158" s="1056"/>
      <c r="BIC158" s="1056"/>
      <c r="BID158" s="1056"/>
      <c r="BIE158" s="1056"/>
      <c r="BIF158" s="1056"/>
      <c r="BIG158" s="1056"/>
      <c r="BIH158" s="1056"/>
      <c r="BII158" s="1056"/>
      <c r="BIJ158" s="1056"/>
      <c r="BIK158" s="1056"/>
      <c r="BIL158" s="1056"/>
      <c r="BIM158" s="1056"/>
      <c r="BIN158" s="1056"/>
      <c r="BIO158" s="1056"/>
      <c r="BIP158" s="1056"/>
      <c r="BIQ158" s="1056"/>
      <c r="BIR158" s="1056"/>
      <c r="BIS158" s="1056"/>
      <c r="BIT158" s="1056"/>
      <c r="BIU158" s="1056"/>
      <c r="BIV158" s="1056"/>
      <c r="BIW158" s="1056"/>
      <c r="BIX158" s="1056"/>
      <c r="BIY158" s="1056"/>
      <c r="BIZ158" s="1056"/>
      <c r="BJA158" s="1056"/>
      <c r="BJB158" s="1056"/>
      <c r="BJC158" s="1056"/>
      <c r="BJD158" s="1056"/>
      <c r="BJE158" s="1056"/>
      <c r="BJF158" s="1056"/>
      <c r="BJG158" s="1056"/>
      <c r="BJH158" s="1056"/>
      <c r="BJI158" s="1056"/>
      <c r="BJJ158" s="1056"/>
      <c r="BJK158" s="1056"/>
      <c r="BJL158" s="1056"/>
      <c r="BJM158" s="1056"/>
      <c r="BJN158" s="1056"/>
      <c r="BJO158" s="1056"/>
      <c r="BJP158" s="1056"/>
      <c r="BJQ158" s="1056"/>
      <c r="BJR158" s="1056"/>
      <c r="BJS158" s="1056"/>
      <c r="BJT158" s="1056"/>
      <c r="BJU158" s="1056"/>
      <c r="BJV158" s="1056"/>
      <c r="BJW158" s="1056"/>
      <c r="BJX158" s="1056"/>
      <c r="BJY158" s="1056"/>
      <c r="BJZ158" s="1056"/>
      <c r="BKA158" s="1056"/>
      <c r="BKB158" s="1056"/>
      <c r="BKC158" s="1056"/>
      <c r="BKD158" s="1056"/>
      <c r="BKE158" s="1056"/>
      <c r="BKF158" s="1056"/>
      <c r="BKG158" s="1056"/>
      <c r="BKH158" s="1056"/>
      <c r="BKI158" s="1056"/>
      <c r="BKJ158" s="1056"/>
      <c r="BKK158" s="1056"/>
      <c r="BKL158" s="1056"/>
      <c r="BKM158" s="1056"/>
      <c r="BKN158" s="1056"/>
      <c r="BKO158" s="1056"/>
      <c r="BKP158" s="1056"/>
      <c r="BKQ158" s="1056"/>
      <c r="BKR158" s="1056"/>
      <c r="BKS158" s="1056"/>
      <c r="BKT158" s="1056"/>
      <c r="BKU158" s="1056"/>
      <c r="BKV158" s="1056"/>
      <c r="BKW158" s="1056"/>
      <c r="BKX158" s="1056"/>
      <c r="BKY158" s="1056"/>
      <c r="BKZ158" s="1056"/>
      <c r="BLA158" s="1056"/>
      <c r="BLB158" s="1056"/>
      <c r="BLC158" s="1056"/>
      <c r="BLD158" s="1056"/>
      <c r="BLE158" s="1056"/>
      <c r="BLF158" s="1056"/>
      <c r="BLG158" s="1056"/>
      <c r="BLH158" s="1056"/>
      <c r="BLI158" s="1056"/>
      <c r="BLJ158" s="1056"/>
      <c r="BLK158" s="1056"/>
      <c r="BLL158" s="1056"/>
      <c r="BLM158" s="1056"/>
      <c r="BLN158" s="1056"/>
      <c r="BLO158" s="1056"/>
      <c r="BLP158" s="1056"/>
      <c r="BLQ158" s="1056"/>
      <c r="BLR158" s="1056"/>
      <c r="BLS158" s="1056"/>
      <c r="BLT158" s="1056"/>
      <c r="BLU158" s="1056"/>
      <c r="BLV158" s="1056"/>
      <c r="BLW158" s="1056"/>
      <c r="BLX158" s="1056"/>
      <c r="BLY158" s="1056"/>
      <c r="BLZ158" s="1056"/>
      <c r="BMA158" s="1056"/>
      <c r="BMB158" s="1056"/>
      <c r="BMC158" s="1056"/>
      <c r="BMD158" s="1056"/>
      <c r="BME158" s="1056"/>
      <c r="BMF158" s="1056"/>
      <c r="BMG158" s="1056"/>
      <c r="BMH158" s="1056"/>
      <c r="BMI158" s="1056"/>
      <c r="BMJ158" s="1056"/>
      <c r="BMK158" s="1056"/>
      <c r="BML158" s="1056"/>
      <c r="BMM158" s="1056"/>
      <c r="BMN158" s="1056"/>
      <c r="BMO158" s="1056"/>
      <c r="BMP158" s="1056"/>
      <c r="BMQ158" s="1056"/>
      <c r="BMR158" s="1056"/>
      <c r="BMS158" s="1056"/>
      <c r="BMT158" s="1056"/>
      <c r="BMU158" s="1056"/>
      <c r="BMV158" s="1056"/>
      <c r="BMW158" s="1056"/>
      <c r="BMX158" s="1056"/>
      <c r="BMY158" s="1056"/>
      <c r="BMZ158" s="1056"/>
      <c r="BNA158" s="1056"/>
      <c r="BNB158" s="1056"/>
      <c r="BNC158" s="1056"/>
      <c r="BND158" s="1056"/>
      <c r="BNE158" s="1056"/>
      <c r="BNF158" s="1056"/>
      <c r="BNG158" s="1056"/>
      <c r="BNH158" s="1056"/>
      <c r="BNI158" s="1056"/>
      <c r="BNJ158" s="1056"/>
      <c r="BNK158" s="1056"/>
      <c r="BNL158" s="1056"/>
      <c r="BNM158" s="1056"/>
      <c r="BNN158" s="1056"/>
      <c r="BNO158" s="1056"/>
      <c r="BNP158" s="1056"/>
      <c r="BNQ158" s="1056"/>
      <c r="BNR158" s="1056"/>
      <c r="BNS158" s="1056"/>
      <c r="BNT158" s="1056"/>
      <c r="BNU158" s="1056"/>
      <c r="BNV158" s="1056"/>
      <c r="BNW158" s="1056"/>
      <c r="BNX158" s="1056"/>
      <c r="BNY158" s="1056"/>
      <c r="BNZ158" s="1056"/>
      <c r="BOA158" s="1056"/>
      <c r="BOB158" s="1056"/>
      <c r="BOC158" s="1056"/>
      <c r="BOD158" s="1056"/>
      <c r="BOE158" s="1056"/>
      <c r="BOF158" s="1056"/>
      <c r="BOG158" s="1056"/>
      <c r="BOH158" s="1056"/>
      <c r="BOI158" s="1056"/>
      <c r="BOJ158" s="1056"/>
      <c r="BOK158" s="1056"/>
      <c r="BOL158" s="1056"/>
      <c r="BOM158" s="1056"/>
      <c r="BON158" s="1056"/>
      <c r="BOO158" s="1056"/>
      <c r="BOP158" s="1056"/>
      <c r="BOQ158" s="1056"/>
      <c r="BOR158" s="1056"/>
      <c r="BOS158" s="1056"/>
      <c r="BOT158" s="1056"/>
      <c r="BOU158" s="1056"/>
      <c r="BOV158" s="1056"/>
      <c r="BOW158" s="1056"/>
      <c r="BOX158" s="1056"/>
      <c r="BOY158" s="1056"/>
      <c r="BOZ158" s="1056"/>
      <c r="BPA158" s="1056"/>
      <c r="BPB158" s="1056"/>
      <c r="BPC158" s="1056"/>
      <c r="BPD158" s="1056"/>
      <c r="BPE158" s="1056"/>
      <c r="BPF158" s="1056"/>
      <c r="BPG158" s="1056"/>
      <c r="BPH158" s="1056"/>
      <c r="BPI158" s="1056"/>
      <c r="BPJ158" s="1056"/>
      <c r="BPK158" s="1056"/>
      <c r="BPL158" s="1056"/>
      <c r="BPM158" s="1056"/>
      <c r="BPN158" s="1056"/>
      <c r="BPO158" s="1056"/>
      <c r="BPP158" s="1056"/>
      <c r="BPQ158" s="1056"/>
      <c r="BPR158" s="1056"/>
      <c r="BPS158" s="1056"/>
      <c r="BPT158" s="1056"/>
      <c r="BPU158" s="1056"/>
      <c r="BPV158" s="1056"/>
      <c r="BPW158" s="1056"/>
      <c r="BPX158" s="1056"/>
      <c r="BPY158" s="1056"/>
      <c r="BPZ158" s="1056"/>
      <c r="BQA158" s="1056"/>
      <c r="BQB158" s="1056"/>
      <c r="BQC158" s="1056"/>
      <c r="BQD158" s="1056"/>
      <c r="BQE158" s="1056"/>
      <c r="BQF158" s="1056"/>
      <c r="BQG158" s="1056"/>
      <c r="BQH158" s="1056"/>
      <c r="BQI158" s="1056"/>
      <c r="BQJ158" s="1056"/>
      <c r="BQK158" s="1056"/>
      <c r="BQL158" s="1056"/>
      <c r="BQM158" s="1056"/>
      <c r="BQN158" s="1056"/>
      <c r="BQO158" s="1056"/>
      <c r="BQP158" s="1056"/>
      <c r="BQQ158" s="1056"/>
      <c r="BQR158" s="1056"/>
      <c r="BQS158" s="1056"/>
      <c r="BQT158" s="1056"/>
      <c r="BQU158" s="1056"/>
      <c r="BQV158" s="1056"/>
      <c r="BQW158" s="1056"/>
      <c r="BQX158" s="1056"/>
      <c r="BQY158" s="1056"/>
      <c r="BQZ158" s="1056"/>
      <c r="BRA158" s="1056"/>
      <c r="BRB158" s="1056"/>
      <c r="BRC158" s="1056"/>
      <c r="BRD158" s="1056"/>
      <c r="BRE158" s="1056"/>
      <c r="BRF158" s="1056"/>
      <c r="BRG158" s="1056"/>
      <c r="BRH158" s="1056"/>
      <c r="BRI158" s="1056"/>
      <c r="BRJ158" s="1056"/>
      <c r="BRK158" s="1056"/>
      <c r="BRL158" s="1056"/>
      <c r="BRM158" s="1056"/>
      <c r="BRN158" s="1056"/>
      <c r="BRO158" s="1056"/>
      <c r="BRP158" s="1056"/>
      <c r="BRQ158" s="1056"/>
      <c r="BRR158" s="1056"/>
      <c r="BRS158" s="1056"/>
      <c r="BRT158" s="1056"/>
      <c r="BRU158" s="1056"/>
      <c r="BRV158" s="1056"/>
      <c r="BRW158" s="1056"/>
      <c r="BRX158" s="1056"/>
      <c r="BRY158" s="1056"/>
      <c r="BRZ158" s="1056"/>
      <c r="BSA158" s="1056"/>
      <c r="BSB158" s="1056"/>
      <c r="BSC158" s="1056"/>
      <c r="BSD158" s="1056"/>
      <c r="BSE158" s="1056"/>
      <c r="BSF158" s="1056"/>
      <c r="BSG158" s="1056"/>
      <c r="BSH158" s="1056"/>
      <c r="BSI158" s="1056"/>
      <c r="BSJ158" s="1056"/>
      <c r="BSK158" s="1056"/>
      <c r="BSL158" s="1056"/>
      <c r="BSM158" s="1056"/>
      <c r="BSN158" s="1056"/>
      <c r="BSO158" s="1056"/>
      <c r="BSP158" s="1056"/>
      <c r="BSQ158" s="1056"/>
      <c r="BSR158" s="1056"/>
      <c r="BSS158" s="1056"/>
      <c r="BST158" s="1056"/>
      <c r="BSU158" s="1056"/>
      <c r="BSV158" s="1056"/>
      <c r="BSW158" s="1056"/>
      <c r="BSX158" s="1056"/>
      <c r="BSY158" s="1056"/>
      <c r="BSZ158" s="1056"/>
      <c r="BTA158" s="1056"/>
      <c r="BTB158" s="1056"/>
      <c r="BTC158" s="1056"/>
      <c r="BTD158" s="1056"/>
      <c r="BTE158" s="1056"/>
      <c r="BTF158" s="1056"/>
      <c r="BTG158" s="1056"/>
      <c r="BTH158" s="1056"/>
      <c r="BTI158" s="1056"/>
    </row>
    <row r="159" spans="1:1881" s="1060" customFormat="1" ht="62.25" hidden="1" customHeight="1" x14ac:dyDescent="0.3">
      <c r="A159" s="1059">
        <v>580</v>
      </c>
      <c r="B159" s="735" t="s">
        <v>333</v>
      </c>
      <c r="C159" s="735" t="s">
        <v>1400</v>
      </c>
      <c r="D159" s="1082" t="s">
        <v>1405</v>
      </c>
      <c r="E159" s="1053" t="e">
        <f>HLOOKUP($D$2,'2020 Data(H)'!$C$1:$AI$426,230,FALSE)</f>
        <v>#N/A</v>
      </c>
      <c r="F159" s="287">
        <v>0</v>
      </c>
      <c r="G159" s="722"/>
      <c r="H159" s="764"/>
      <c r="I159" s="1055"/>
      <c r="J159" s="1056"/>
      <c r="K159" s="1056"/>
      <c r="L159" s="1056"/>
      <c r="M159" s="1056"/>
      <c r="N159" s="1058"/>
      <c r="O159" s="1056"/>
      <c r="P159" s="1056"/>
      <c r="Q159" s="1056"/>
      <c r="R159" s="1056"/>
      <c r="S159" s="1056"/>
      <c r="T159" s="1056"/>
      <c r="U159" s="1056"/>
      <c r="V159" s="1056"/>
      <c r="W159" s="1056"/>
      <c r="X159" s="1056"/>
      <c r="Y159" s="1056"/>
      <c r="Z159" s="1059"/>
      <c r="AA159" s="1059"/>
      <c r="AB159" s="1059"/>
      <c r="AC159" s="1059"/>
      <c r="AD159" s="1059"/>
      <c r="AE159" s="1059"/>
      <c r="AF159" s="1059"/>
      <c r="AG159" s="1059"/>
      <c r="AH159" s="1059"/>
      <c r="AI159" s="1059"/>
      <c r="AJ159" s="1059"/>
      <c r="AK159" s="1059"/>
      <c r="AL159" s="1059"/>
      <c r="AM159" s="1059"/>
      <c r="AN159" s="1059"/>
      <c r="AO159" s="1059"/>
      <c r="AP159" s="1059"/>
      <c r="AQ159" s="1059"/>
      <c r="AR159" s="1059"/>
      <c r="AS159" s="1056"/>
      <c r="AT159" s="1056"/>
      <c r="AU159" s="1056"/>
      <c r="AV159" s="1056"/>
      <c r="AW159" s="1056"/>
      <c r="AX159" s="1056"/>
      <c r="AY159" s="1056"/>
      <c r="AZ159" s="1056"/>
      <c r="BA159" s="1056"/>
      <c r="BB159" s="1056"/>
      <c r="BC159" s="1056"/>
      <c r="BD159" s="1056"/>
      <c r="BE159" s="1056"/>
      <c r="BF159" s="1056"/>
      <c r="BG159" s="1056"/>
      <c r="BH159" s="1056"/>
      <c r="BI159" s="1056"/>
      <c r="BJ159" s="1056"/>
      <c r="BK159" s="1056"/>
      <c r="BL159" s="1056"/>
      <c r="BM159" s="1056"/>
      <c r="BN159" s="1056"/>
      <c r="BO159" s="1056"/>
      <c r="BP159" s="1056"/>
      <c r="BQ159" s="1056"/>
      <c r="BR159" s="1056"/>
      <c r="BS159" s="1056"/>
      <c r="BT159" s="1056"/>
      <c r="BU159" s="1056"/>
      <c r="BV159" s="1056"/>
      <c r="BW159" s="1056"/>
      <c r="BX159" s="1056"/>
      <c r="BY159" s="1056"/>
      <c r="BZ159" s="1056"/>
      <c r="CA159" s="1056"/>
      <c r="CB159" s="1056"/>
      <c r="CC159" s="1056"/>
      <c r="CD159" s="1056"/>
      <c r="CE159" s="1056"/>
      <c r="CF159" s="1056"/>
      <c r="CG159" s="1056"/>
      <c r="CH159" s="1056"/>
      <c r="CI159" s="1056"/>
      <c r="CJ159" s="1056"/>
      <c r="CK159" s="1056"/>
      <c r="CL159" s="1056"/>
      <c r="CM159" s="1056"/>
      <c r="CN159" s="1056"/>
      <c r="CO159" s="1056"/>
      <c r="CP159" s="1056"/>
      <c r="CQ159" s="1056"/>
      <c r="CR159" s="1056"/>
      <c r="CS159" s="1056"/>
      <c r="CT159" s="1056"/>
      <c r="CU159" s="1056"/>
      <c r="CV159" s="1056"/>
      <c r="CW159" s="1056"/>
      <c r="CX159" s="1056"/>
      <c r="CY159" s="1056"/>
      <c r="CZ159" s="1056"/>
      <c r="DA159" s="1056"/>
      <c r="DB159" s="1056"/>
      <c r="DC159" s="1056"/>
      <c r="DD159" s="1056"/>
      <c r="DE159" s="1056"/>
      <c r="DF159" s="1056"/>
      <c r="DG159" s="1056"/>
      <c r="DH159" s="1056"/>
      <c r="DI159" s="1056"/>
      <c r="DJ159" s="1056"/>
      <c r="DK159" s="1056"/>
      <c r="DL159" s="1056"/>
      <c r="DM159" s="1056"/>
      <c r="DN159" s="1056"/>
      <c r="DO159" s="1056"/>
      <c r="DP159" s="1056"/>
      <c r="DQ159" s="1056"/>
      <c r="DR159" s="1056"/>
      <c r="DS159" s="1056"/>
      <c r="DT159" s="1056"/>
      <c r="DU159" s="1056"/>
      <c r="DV159" s="1056"/>
      <c r="DW159" s="1056"/>
      <c r="DX159" s="1056"/>
      <c r="DY159" s="1056"/>
      <c r="DZ159" s="1056"/>
      <c r="EA159" s="1056"/>
      <c r="EB159" s="1056"/>
      <c r="EC159" s="1056"/>
      <c r="ED159" s="1056"/>
      <c r="EE159" s="1056"/>
      <c r="EF159" s="1056"/>
      <c r="EG159" s="1056"/>
      <c r="EH159" s="1056"/>
      <c r="EI159" s="1056"/>
      <c r="EJ159" s="1056"/>
      <c r="EK159" s="1056"/>
      <c r="EL159" s="1056"/>
      <c r="EM159" s="1056"/>
      <c r="EN159" s="1056"/>
      <c r="EO159" s="1056"/>
      <c r="EP159" s="1056"/>
      <c r="EQ159" s="1056"/>
      <c r="ER159" s="1056"/>
      <c r="ES159" s="1056"/>
      <c r="ET159" s="1056"/>
      <c r="EU159" s="1056"/>
      <c r="EV159" s="1056"/>
      <c r="EW159" s="1056"/>
      <c r="EX159" s="1056"/>
      <c r="EY159" s="1056"/>
      <c r="EZ159" s="1056"/>
      <c r="FA159" s="1056"/>
      <c r="FB159" s="1056"/>
      <c r="FC159" s="1056"/>
      <c r="FD159" s="1056"/>
      <c r="FE159" s="1056"/>
      <c r="FF159" s="1056"/>
      <c r="FG159" s="1056"/>
      <c r="FH159" s="1056"/>
      <c r="FI159" s="1056"/>
      <c r="FJ159" s="1056"/>
      <c r="FK159" s="1056"/>
      <c r="FL159" s="1056"/>
      <c r="FM159" s="1056"/>
      <c r="FN159" s="1056"/>
      <c r="FO159" s="1056"/>
      <c r="FP159" s="1056"/>
      <c r="FQ159" s="1056"/>
      <c r="FR159" s="1056"/>
      <c r="FS159" s="1056"/>
      <c r="FT159" s="1056"/>
      <c r="FU159" s="1056"/>
      <c r="FV159" s="1056"/>
      <c r="FW159" s="1056"/>
      <c r="FX159" s="1056"/>
      <c r="FY159" s="1056"/>
      <c r="FZ159" s="1056"/>
      <c r="GA159" s="1056"/>
      <c r="GB159" s="1056"/>
      <c r="GC159" s="1056"/>
      <c r="GD159" s="1056"/>
      <c r="GE159" s="1056"/>
      <c r="GF159" s="1056"/>
      <c r="GG159" s="1056"/>
      <c r="GH159" s="1056"/>
      <c r="GI159" s="1056"/>
      <c r="GJ159" s="1056"/>
      <c r="GK159" s="1056"/>
      <c r="GL159" s="1056"/>
      <c r="GM159" s="1056"/>
      <c r="GN159" s="1056"/>
      <c r="GO159" s="1056"/>
      <c r="GP159" s="1056"/>
      <c r="GQ159" s="1056"/>
      <c r="GR159" s="1056"/>
      <c r="GS159" s="1056"/>
      <c r="GT159" s="1056"/>
      <c r="GU159" s="1056"/>
      <c r="GV159" s="1056"/>
      <c r="GW159" s="1056"/>
      <c r="GX159" s="1056"/>
      <c r="GY159" s="1056"/>
      <c r="GZ159" s="1056"/>
      <c r="HA159" s="1056"/>
      <c r="HB159" s="1056"/>
      <c r="HC159" s="1056"/>
      <c r="HD159" s="1056"/>
      <c r="HE159" s="1056"/>
      <c r="HF159" s="1056"/>
      <c r="HG159" s="1056"/>
      <c r="HH159" s="1056"/>
      <c r="HI159" s="1056"/>
      <c r="HJ159" s="1056"/>
      <c r="HK159" s="1056"/>
      <c r="HL159" s="1056"/>
      <c r="HM159" s="1056"/>
      <c r="HN159" s="1056"/>
      <c r="HO159" s="1056"/>
      <c r="HP159" s="1056"/>
      <c r="HQ159" s="1056"/>
      <c r="HR159" s="1056"/>
      <c r="HS159" s="1056"/>
      <c r="HT159" s="1056"/>
      <c r="HU159" s="1056"/>
      <c r="HV159" s="1056"/>
      <c r="HW159" s="1056"/>
      <c r="HX159" s="1056"/>
      <c r="HY159" s="1056"/>
      <c r="HZ159" s="1056"/>
      <c r="IA159" s="1056"/>
      <c r="IB159" s="1056"/>
      <c r="IC159" s="1056"/>
      <c r="ID159" s="1056"/>
      <c r="IE159" s="1056"/>
      <c r="IF159" s="1056"/>
      <c r="IG159" s="1056"/>
      <c r="IH159" s="1056"/>
      <c r="II159" s="1056"/>
      <c r="IJ159" s="1056"/>
      <c r="IK159" s="1056"/>
      <c r="IL159" s="1056"/>
      <c r="IM159" s="1056"/>
      <c r="IN159" s="1056"/>
      <c r="IO159" s="1056"/>
      <c r="IP159" s="1056"/>
      <c r="IQ159" s="1056"/>
      <c r="IR159" s="1056"/>
      <c r="IS159" s="1056"/>
      <c r="IT159" s="1056"/>
      <c r="IU159" s="1056"/>
      <c r="IV159" s="1056"/>
      <c r="IW159" s="1056"/>
      <c r="IX159" s="1056"/>
      <c r="IY159" s="1056"/>
      <c r="IZ159" s="1056"/>
      <c r="JA159" s="1056"/>
      <c r="JB159" s="1056"/>
      <c r="JC159" s="1056"/>
      <c r="JD159" s="1056"/>
      <c r="JE159" s="1056"/>
      <c r="JF159" s="1056"/>
      <c r="JG159" s="1056"/>
      <c r="JH159" s="1056"/>
      <c r="JI159" s="1056"/>
      <c r="JJ159" s="1056"/>
      <c r="JK159" s="1056"/>
      <c r="JL159" s="1056"/>
      <c r="JM159" s="1056"/>
      <c r="JN159" s="1056"/>
      <c r="JO159" s="1056"/>
      <c r="JP159" s="1056"/>
      <c r="JQ159" s="1056"/>
      <c r="JR159" s="1056"/>
      <c r="JS159" s="1056"/>
      <c r="JT159" s="1056"/>
      <c r="JU159" s="1056"/>
      <c r="JV159" s="1056"/>
      <c r="JW159" s="1056"/>
      <c r="JX159" s="1056"/>
      <c r="JY159" s="1056"/>
      <c r="JZ159" s="1056"/>
      <c r="KA159" s="1056"/>
      <c r="KB159" s="1056"/>
      <c r="KC159" s="1056"/>
      <c r="KD159" s="1056"/>
      <c r="KE159" s="1056"/>
      <c r="KF159" s="1056"/>
      <c r="KG159" s="1056"/>
      <c r="KH159" s="1056"/>
      <c r="KI159" s="1056"/>
      <c r="KJ159" s="1056"/>
      <c r="KK159" s="1056"/>
      <c r="KL159" s="1056"/>
      <c r="KM159" s="1056"/>
      <c r="KN159" s="1056"/>
      <c r="KO159" s="1056"/>
      <c r="KP159" s="1056"/>
      <c r="KQ159" s="1056"/>
      <c r="KR159" s="1056"/>
      <c r="KS159" s="1056"/>
      <c r="KT159" s="1056"/>
      <c r="KU159" s="1056"/>
      <c r="KV159" s="1056"/>
      <c r="KW159" s="1056"/>
      <c r="KX159" s="1056"/>
      <c r="KY159" s="1056"/>
      <c r="KZ159" s="1056"/>
      <c r="LA159" s="1056"/>
      <c r="LB159" s="1056"/>
      <c r="LC159" s="1056"/>
      <c r="LD159" s="1056"/>
      <c r="LE159" s="1056"/>
      <c r="LF159" s="1056"/>
      <c r="LG159" s="1056"/>
      <c r="LH159" s="1056"/>
      <c r="LI159" s="1056"/>
      <c r="LJ159" s="1056"/>
      <c r="LK159" s="1056"/>
      <c r="LL159" s="1056"/>
      <c r="LM159" s="1056"/>
      <c r="LN159" s="1056"/>
      <c r="LO159" s="1056"/>
      <c r="LP159" s="1056"/>
      <c r="LQ159" s="1056"/>
      <c r="LR159" s="1056"/>
      <c r="LS159" s="1056"/>
      <c r="LT159" s="1056"/>
      <c r="LU159" s="1056"/>
      <c r="LV159" s="1056"/>
      <c r="LW159" s="1056"/>
      <c r="LX159" s="1056"/>
      <c r="LY159" s="1056"/>
      <c r="LZ159" s="1056"/>
      <c r="MA159" s="1056"/>
      <c r="MB159" s="1056"/>
      <c r="MC159" s="1056"/>
      <c r="MD159" s="1056"/>
      <c r="ME159" s="1056"/>
      <c r="MF159" s="1056"/>
      <c r="MG159" s="1056"/>
      <c r="MH159" s="1056"/>
      <c r="MI159" s="1056"/>
      <c r="MJ159" s="1056"/>
      <c r="MK159" s="1056"/>
      <c r="ML159" s="1056"/>
      <c r="MM159" s="1056"/>
      <c r="MN159" s="1056"/>
      <c r="MO159" s="1056"/>
      <c r="MP159" s="1056"/>
      <c r="MQ159" s="1056"/>
      <c r="MR159" s="1056"/>
      <c r="MS159" s="1056"/>
      <c r="MT159" s="1056"/>
      <c r="MU159" s="1056"/>
      <c r="MV159" s="1056"/>
      <c r="MW159" s="1056"/>
      <c r="MX159" s="1056"/>
      <c r="MY159" s="1056"/>
      <c r="MZ159" s="1056"/>
      <c r="NA159" s="1056"/>
      <c r="NB159" s="1056"/>
      <c r="NC159" s="1056"/>
      <c r="ND159" s="1056"/>
      <c r="NE159" s="1056"/>
      <c r="NF159" s="1056"/>
      <c r="NG159" s="1056"/>
      <c r="NH159" s="1056"/>
      <c r="NI159" s="1056"/>
      <c r="NJ159" s="1056"/>
      <c r="NK159" s="1056"/>
      <c r="NL159" s="1056"/>
      <c r="NM159" s="1056"/>
      <c r="NN159" s="1056"/>
      <c r="NO159" s="1056"/>
      <c r="NP159" s="1056"/>
      <c r="NQ159" s="1056"/>
      <c r="NR159" s="1056"/>
      <c r="NS159" s="1056"/>
      <c r="NT159" s="1056"/>
      <c r="NU159" s="1056"/>
      <c r="NV159" s="1056"/>
      <c r="NW159" s="1056"/>
      <c r="NX159" s="1056"/>
      <c r="NY159" s="1056"/>
      <c r="NZ159" s="1056"/>
      <c r="OA159" s="1056"/>
      <c r="OB159" s="1056"/>
      <c r="OC159" s="1056"/>
      <c r="OD159" s="1056"/>
      <c r="OE159" s="1056"/>
      <c r="OF159" s="1056"/>
      <c r="OG159" s="1056"/>
      <c r="OH159" s="1056"/>
      <c r="OI159" s="1056"/>
      <c r="OJ159" s="1056"/>
      <c r="OK159" s="1056"/>
      <c r="OL159" s="1056"/>
      <c r="OM159" s="1056"/>
      <c r="ON159" s="1056"/>
      <c r="OO159" s="1056"/>
      <c r="OP159" s="1056"/>
      <c r="OQ159" s="1056"/>
      <c r="OR159" s="1056"/>
      <c r="OS159" s="1056"/>
      <c r="OT159" s="1056"/>
      <c r="OU159" s="1056"/>
      <c r="OV159" s="1056"/>
      <c r="OW159" s="1056"/>
      <c r="OX159" s="1056"/>
      <c r="OY159" s="1056"/>
      <c r="OZ159" s="1056"/>
      <c r="PA159" s="1056"/>
      <c r="PB159" s="1056"/>
      <c r="PC159" s="1056"/>
      <c r="PD159" s="1056"/>
      <c r="PE159" s="1056"/>
      <c r="PF159" s="1056"/>
      <c r="PG159" s="1056"/>
      <c r="PH159" s="1056"/>
      <c r="PI159" s="1056"/>
      <c r="PJ159" s="1056"/>
      <c r="PK159" s="1056"/>
      <c r="PL159" s="1056"/>
      <c r="PM159" s="1056"/>
      <c r="PN159" s="1056"/>
      <c r="PO159" s="1056"/>
      <c r="PP159" s="1056"/>
      <c r="PQ159" s="1056"/>
      <c r="PR159" s="1056"/>
      <c r="PS159" s="1056"/>
      <c r="PT159" s="1056"/>
      <c r="PU159" s="1056"/>
      <c r="PV159" s="1056"/>
      <c r="PW159" s="1056"/>
      <c r="PX159" s="1056"/>
      <c r="PY159" s="1056"/>
      <c r="PZ159" s="1056"/>
      <c r="QA159" s="1056"/>
      <c r="QB159" s="1056"/>
      <c r="QC159" s="1056"/>
      <c r="QD159" s="1056"/>
      <c r="QE159" s="1056"/>
      <c r="QF159" s="1056"/>
      <c r="QG159" s="1056"/>
      <c r="QH159" s="1056"/>
      <c r="QI159" s="1056"/>
      <c r="QJ159" s="1056"/>
      <c r="QK159" s="1056"/>
      <c r="QL159" s="1056"/>
      <c r="QM159" s="1056"/>
      <c r="QN159" s="1056"/>
      <c r="QO159" s="1056"/>
      <c r="QP159" s="1056"/>
      <c r="QQ159" s="1056"/>
      <c r="QR159" s="1056"/>
      <c r="QS159" s="1056"/>
      <c r="QT159" s="1056"/>
      <c r="QU159" s="1056"/>
      <c r="QV159" s="1056"/>
      <c r="QW159" s="1056"/>
      <c r="QX159" s="1056"/>
      <c r="QY159" s="1056"/>
      <c r="QZ159" s="1056"/>
      <c r="RA159" s="1056"/>
      <c r="RB159" s="1056"/>
      <c r="RC159" s="1056"/>
      <c r="RD159" s="1056"/>
      <c r="RE159" s="1056"/>
      <c r="RF159" s="1056"/>
      <c r="RG159" s="1056"/>
      <c r="RH159" s="1056"/>
      <c r="RI159" s="1056"/>
      <c r="RJ159" s="1056"/>
      <c r="RK159" s="1056"/>
      <c r="RL159" s="1056"/>
      <c r="RM159" s="1056"/>
      <c r="RN159" s="1056"/>
      <c r="RO159" s="1056"/>
      <c r="RP159" s="1056"/>
      <c r="RQ159" s="1056"/>
      <c r="RR159" s="1056"/>
      <c r="RS159" s="1056"/>
      <c r="RT159" s="1056"/>
      <c r="RU159" s="1056"/>
      <c r="RV159" s="1056"/>
      <c r="RW159" s="1056"/>
      <c r="RX159" s="1056"/>
      <c r="RY159" s="1056"/>
      <c r="RZ159" s="1056"/>
      <c r="SA159" s="1056"/>
      <c r="SB159" s="1056"/>
      <c r="SC159" s="1056"/>
      <c r="SD159" s="1056"/>
      <c r="SE159" s="1056"/>
      <c r="SF159" s="1056"/>
      <c r="SG159" s="1056"/>
      <c r="SH159" s="1056"/>
      <c r="SI159" s="1056"/>
      <c r="SJ159" s="1056"/>
      <c r="SK159" s="1056"/>
      <c r="SL159" s="1056"/>
      <c r="SM159" s="1056"/>
      <c r="SN159" s="1056"/>
      <c r="SO159" s="1056"/>
      <c r="SP159" s="1056"/>
      <c r="SQ159" s="1056"/>
      <c r="SR159" s="1056"/>
      <c r="SS159" s="1056"/>
      <c r="ST159" s="1056"/>
      <c r="SU159" s="1056"/>
      <c r="SV159" s="1056"/>
      <c r="SW159" s="1056"/>
      <c r="SX159" s="1056"/>
      <c r="SY159" s="1056"/>
      <c r="SZ159" s="1056"/>
      <c r="TA159" s="1056"/>
      <c r="TB159" s="1056"/>
      <c r="TC159" s="1056"/>
      <c r="TD159" s="1056"/>
      <c r="TE159" s="1056"/>
      <c r="TF159" s="1056"/>
      <c r="TG159" s="1056"/>
      <c r="TH159" s="1056"/>
      <c r="TI159" s="1056"/>
      <c r="TJ159" s="1056"/>
      <c r="TK159" s="1056"/>
      <c r="TL159" s="1056"/>
      <c r="TM159" s="1056"/>
      <c r="TN159" s="1056"/>
      <c r="TO159" s="1056"/>
      <c r="TP159" s="1056"/>
      <c r="TQ159" s="1056"/>
      <c r="TR159" s="1056"/>
      <c r="TS159" s="1056"/>
      <c r="TT159" s="1056"/>
      <c r="TU159" s="1056"/>
      <c r="TV159" s="1056"/>
      <c r="TW159" s="1056"/>
      <c r="TX159" s="1056"/>
      <c r="TY159" s="1056"/>
      <c r="TZ159" s="1056"/>
      <c r="UA159" s="1056"/>
      <c r="UB159" s="1056"/>
      <c r="UC159" s="1056"/>
      <c r="UD159" s="1056"/>
      <c r="UE159" s="1056"/>
      <c r="UF159" s="1056"/>
      <c r="UG159" s="1056"/>
      <c r="UH159" s="1056"/>
      <c r="UI159" s="1056"/>
      <c r="UJ159" s="1056"/>
      <c r="UK159" s="1056"/>
      <c r="UL159" s="1056"/>
      <c r="UM159" s="1056"/>
      <c r="UN159" s="1056"/>
      <c r="UO159" s="1056"/>
      <c r="UP159" s="1056"/>
      <c r="UQ159" s="1056"/>
      <c r="UR159" s="1056"/>
      <c r="US159" s="1056"/>
      <c r="UT159" s="1056"/>
      <c r="UU159" s="1056"/>
      <c r="UV159" s="1056"/>
      <c r="UW159" s="1056"/>
      <c r="UX159" s="1056"/>
      <c r="UY159" s="1056"/>
      <c r="UZ159" s="1056"/>
      <c r="VA159" s="1056"/>
      <c r="VB159" s="1056"/>
      <c r="VC159" s="1056"/>
      <c r="VD159" s="1056"/>
      <c r="VE159" s="1056"/>
      <c r="VF159" s="1056"/>
      <c r="VG159" s="1056"/>
      <c r="VH159" s="1056"/>
      <c r="VI159" s="1056"/>
      <c r="VJ159" s="1056"/>
      <c r="VK159" s="1056"/>
      <c r="VL159" s="1056"/>
      <c r="VM159" s="1056"/>
      <c r="VN159" s="1056"/>
      <c r="VO159" s="1056"/>
      <c r="VP159" s="1056"/>
      <c r="VQ159" s="1056"/>
      <c r="VR159" s="1056"/>
      <c r="VS159" s="1056"/>
      <c r="VT159" s="1056"/>
      <c r="VU159" s="1056"/>
      <c r="VV159" s="1056"/>
      <c r="VW159" s="1056"/>
      <c r="VX159" s="1056"/>
      <c r="VY159" s="1056"/>
      <c r="VZ159" s="1056"/>
      <c r="WA159" s="1056"/>
      <c r="WB159" s="1056"/>
      <c r="WC159" s="1056"/>
      <c r="WD159" s="1056"/>
      <c r="WE159" s="1056"/>
      <c r="WF159" s="1056"/>
      <c r="WG159" s="1056"/>
      <c r="WH159" s="1056"/>
      <c r="WI159" s="1056"/>
      <c r="WJ159" s="1056"/>
      <c r="WK159" s="1056"/>
      <c r="WL159" s="1056"/>
      <c r="WM159" s="1056"/>
      <c r="WN159" s="1056"/>
      <c r="WO159" s="1056"/>
      <c r="WP159" s="1056"/>
      <c r="WQ159" s="1056"/>
      <c r="WR159" s="1056"/>
      <c r="WS159" s="1056"/>
      <c r="WT159" s="1056"/>
      <c r="WU159" s="1056"/>
      <c r="WV159" s="1056"/>
      <c r="WW159" s="1056"/>
      <c r="WX159" s="1056"/>
      <c r="WY159" s="1056"/>
      <c r="WZ159" s="1056"/>
      <c r="XA159" s="1056"/>
      <c r="XB159" s="1056"/>
      <c r="XC159" s="1056"/>
      <c r="XD159" s="1056"/>
      <c r="XE159" s="1056"/>
      <c r="XF159" s="1056"/>
      <c r="XG159" s="1056"/>
      <c r="XH159" s="1056"/>
      <c r="XI159" s="1056"/>
      <c r="XJ159" s="1056"/>
      <c r="XK159" s="1056"/>
      <c r="XL159" s="1056"/>
      <c r="XM159" s="1056"/>
      <c r="XN159" s="1056"/>
      <c r="XO159" s="1056"/>
      <c r="XP159" s="1056"/>
      <c r="XQ159" s="1056"/>
      <c r="XR159" s="1056"/>
      <c r="XS159" s="1056"/>
      <c r="XT159" s="1056"/>
      <c r="XU159" s="1056"/>
      <c r="XV159" s="1056"/>
      <c r="XW159" s="1056"/>
      <c r="XX159" s="1056"/>
      <c r="XY159" s="1056"/>
      <c r="XZ159" s="1056"/>
      <c r="YA159" s="1056"/>
      <c r="YB159" s="1056"/>
      <c r="YC159" s="1056"/>
      <c r="YD159" s="1056"/>
      <c r="YE159" s="1056"/>
      <c r="YF159" s="1056"/>
      <c r="YG159" s="1056"/>
      <c r="YH159" s="1056"/>
      <c r="YI159" s="1056"/>
      <c r="YJ159" s="1056"/>
      <c r="YK159" s="1056"/>
      <c r="YL159" s="1056"/>
      <c r="YM159" s="1056"/>
      <c r="YN159" s="1056"/>
      <c r="YO159" s="1056"/>
      <c r="YP159" s="1056"/>
      <c r="YQ159" s="1056"/>
      <c r="YR159" s="1056"/>
      <c r="YS159" s="1056"/>
      <c r="YT159" s="1056"/>
      <c r="YU159" s="1056"/>
      <c r="YV159" s="1056"/>
      <c r="YW159" s="1056"/>
      <c r="YX159" s="1056"/>
      <c r="YY159" s="1056"/>
      <c r="YZ159" s="1056"/>
      <c r="ZA159" s="1056"/>
      <c r="ZB159" s="1056"/>
      <c r="ZC159" s="1056"/>
      <c r="ZD159" s="1056"/>
      <c r="ZE159" s="1056"/>
      <c r="ZF159" s="1056"/>
      <c r="ZG159" s="1056"/>
      <c r="ZH159" s="1056"/>
      <c r="ZI159" s="1056"/>
      <c r="ZJ159" s="1056"/>
      <c r="ZK159" s="1056"/>
      <c r="ZL159" s="1056"/>
      <c r="ZM159" s="1056"/>
      <c r="ZN159" s="1056"/>
      <c r="ZO159" s="1056"/>
      <c r="ZP159" s="1056"/>
      <c r="ZQ159" s="1056"/>
      <c r="ZR159" s="1056"/>
      <c r="ZS159" s="1056"/>
      <c r="ZT159" s="1056"/>
      <c r="ZU159" s="1056"/>
      <c r="ZV159" s="1056"/>
      <c r="ZW159" s="1056"/>
      <c r="ZX159" s="1056"/>
      <c r="ZY159" s="1056"/>
      <c r="ZZ159" s="1056"/>
      <c r="AAA159" s="1056"/>
      <c r="AAB159" s="1056"/>
      <c r="AAC159" s="1056"/>
      <c r="AAD159" s="1056"/>
      <c r="AAE159" s="1056"/>
      <c r="AAF159" s="1056"/>
      <c r="AAG159" s="1056"/>
      <c r="AAH159" s="1056"/>
      <c r="AAI159" s="1056"/>
      <c r="AAJ159" s="1056"/>
      <c r="AAK159" s="1056"/>
      <c r="AAL159" s="1056"/>
      <c r="AAM159" s="1056"/>
      <c r="AAN159" s="1056"/>
      <c r="AAO159" s="1056"/>
      <c r="AAP159" s="1056"/>
      <c r="AAQ159" s="1056"/>
      <c r="AAR159" s="1056"/>
      <c r="AAS159" s="1056"/>
      <c r="AAT159" s="1056"/>
      <c r="AAU159" s="1056"/>
      <c r="AAV159" s="1056"/>
      <c r="AAW159" s="1056"/>
      <c r="AAX159" s="1056"/>
      <c r="AAY159" s="1056"/>
      <c r="AAZ159" s="1056"/>
      <c r="ABA159" s="1056"/>
      <c r="ABB159" s="1056"/>
      <c r="ABC159" s="1056"/>
      <c r="ABD159" s="1056"/>
      <c r="ABE159" s="1056"/>
      <c r="ABF159" s="1056"/>
      <c r="ABG159" s="1056"/>
      <c r="ABH159" s="1056"/>
      <c r="ABI159" s="1056"/>
      <c r="ABJ159" s="1056"/>
      <c r="ABK159" s="1056"/>
      <c r="ABL159" s="1056"/>
      <c r="ABM159" s="1056"/>
      <c r="ABN159" s="1056"/>
      <c r="ABO159" s="1056"/>
      <c r="ABP159" s="1056"/>
      <c r="ABQ159" s="1056"/>
      <c r="ABR159" s="1056"/>
      <c r="ABS159" s="1056"/>
      <c r="ABT159" s="1056"/>
      <c r="ABU159" s="1056"/>
      <c r="ABV159" s="1056"/>
      <c r="ABW159" s="1056"/>
      <c r="ABX159" s="1056"/>
      <c r="ABY159" s="1056"/>
      <c r="ABZ159" s="1056"/>
      <c r="ACA159" s="1056"/>
      <c r="ACB159" s="1056"/>
      <c r="ACC159" s="1056"/>
      <c r="ACD159" s="1056"/>
      <c r="ACE159" s="1056"/>
      <c r="ACF159" s="1056"/>
      <c r="ACG159" s="1056"/>
      <c r="ACH159" s="1056"/>
      <c r="ACI159" s="1056"/>
      <c r="ACJ159" s="1056"/>
      <c r="ACK159" s="1056"/>
      <c r="ACL159" s="1056"/>
      <c r="ACM159" s="1056"/>
      <c r="ACN159" s="1056"/>
      <c r="ACO159" s="1056"/>
      <c r="ACP159" s="1056"/>
      <c r="ACQ159" s="1056"/>
      <c r="ACR159" s="1056"/>
      <c r="ACS159" s="1056"/>
      <c r="ACT159" s="1056"/>
      <c r="ACU159" s="1056"/>
      <c r="ACV159" s="1056"/>
      <c r="ACW159" s="1056"/>
      <c r="ACX159" s="1056"/>
      <c r="ACY159" s="1056"/>
      <c r="ACZ159" s="1056"/>
      <c r="ADA159" s="1056"/>
      <c r="ADB159" s="1056"/>
      <c r="ADC159" s="1056"/>
      <c r="ADD159" s="1056"/>
      <c r="ADE159" s="1056"/>
      <c r="ADF159" s="1056"/>
      <c r="ADG159" s="1056"/>
      <c r="ADH159" s="1056"/>
      <c r="ADI159" s="1056"/>
      <c r="ADJ159" s="1056"/>
      <c r="ADK159" s="1056"/>
      <c r="ADL159" s="1056"/>
      <c r="ADM159" s="1056"/>
      <c r="ADN159" s="1056"/>
      <c r="ADO159" s="1056"/>
      <c r="ADP159" s="1056"/>
      <c r="ADQ159" s="1056"/>
      <c r="ADR159" s="1056"/>
      <c r="ADS159" s="1056"/>
      <c r="ADT159" s="1056"/>
      <c r="ADU159" s="1056"/>
      <c r="ADV159" s="1056"/>
      <c r="ADW159" s="1056"/>
      <c r="ADX159" s="1056"/>
      <c r="ADY159" s="1056"/>
      <c r="ADZ159" s="1056"/>
      <c r="AEA159" s="1056"/>
      <c r="AEB159" s="1056"/>
      <c r="AEC159" s="1056"/>
      <c r="AED159" s="1056"/>
      <c r="AEE159" s="1056"/>
      <c r="AEF159" s="1056"/>
      <c r="AEG159" s="1056"/>
      <c r="AEH159" s="1056"/>
      <c r="AEI159" s="1056"/>
      <c r="AEJ159" s="1056"/>
      <c r="AEK159" s="1056"/>
      <c r="AEL159" s="1056"/>
      <c r="AEM159" s="1056"/>
      <c r="AEN159" s="1056"/>
      <c r="AEO159" s="1056"/>
      <c r="AEP159" s="1056"/>
      <c r="AEQ159" s="1056"/>
      <c r="AER159" s="1056"/>
      <c r="AES159" s="1056"/>
      <c r="AET159" s="1056"/>
      <c r="AEU159" s="1056"/>
      <c r="AEV159" s="1056"/>
      <c r="AEW159" s="1056"/>
      <c r="AEX159" s="1056"/>
      <c r="AEY159" s="1056"/>
      <c r="AEZ159" s="1056"/>
      <c r="AFA159" s="1056"/>
      <c r="AFB159" s="1056"/>
      <c r="AFC159" s="1056"/>
      <c r="AFD159" s="1056"/>
      <c r="AFE159" s="1056"/>
      <c r="AFF159" s="1056"/>
      <c r="AFG159" s="1056"/>
      <c r="AFH159" s="1056"/>
      <c r="AFI159" s="1056"/>
      <c r="AFJ159" s="1056"/>
      <c r="AFK159" s="1056"/>
      <c r="AFL159" s="1056"/>
      <c r="AFM159" s="1056"/>
      <c r="AFN159" s="1056"/>
      <c r="AFO159" s="1056"/>
      <c r="AFP159" s="1056"/>
      <c r="AFQ159" s="1056"/>
      <c r="AFR159" s="1056"/>
      <c r="AFS159" s="1056"/>
      <c r="AFT159" s="1056"/>
      <c r="AFU159" s="1056"/>
      <c r="AFV159" s="1056"/>
      <c r="AFW159" s="1056"/>
      <c r="AFX159" s="1056"/>
      <c r="AFY159" s="1056"/>
      <c r="AFZ159" s="1056"/>
      <c r="AGA159" s="1056"/>
      <c r="AGB159" s="1056"/>
      <c r="AGC159" s="1056"/>
      <c r="AGD159" s="1056"/>
      <c r="AGE159" s="1056"/>
      <c r="AGF159" s="1056"/>
      <c r="AGG159" s="1056"/>
      <c r="AGH159" s="1056"/>
      <c r="AGI159" s="1056"/>
      <c r="AGJ159" s="1056"/>
      <c r="AGK159" s="1056"/>
      <c r="AGL159" s="1056"/>
      <c r="AGM159" s="1056"/>
      <c r="AGN159" s="1056"/>
      <c r="AGO159" s="1056"/>
      <c r="AGP159" s="1056"/>
      <c r="AGQ159" s="1056"/>
      <c r="AGR159" s="1056"/>
      <c r="AGS159" s="1056"/>
      <c r="AGT159" s="1056"/>
      <c r="AGU159" s="1056"/>
      <c r="AGV159" s="1056"/>
      <c r="AGW159" s="1056"/>
      <c r="AGX159" s="1056"/>
      <c r="AGY159" s="1056"/>
      <c r="AGZ159" s="1056"/>
      <c r="AHA159" s="1056"/>
      <c r="AHB159" s="1056"/>
      <c r="AHC159" s="1056"/>
      <c r="AHD159" s="1056"/>
      <c r="AHE159" s="1056"/>
      <c r="AHF159" s="1056"/>
      <c r="AHG159" s="1056"/>
      <c r="AHH159" s="1056"/>
      <c r="AHI159" s="1056"/>
      <c r="AHJ159" s="1056"/>
      <c r="AHK159" s="1056"/>
      <c r="AHL159" s="1056"/>
      <c r="AHM159" s="1056"/>
      <c r="AHN159" s="1056"/>
      <c r="AHO159" s="1056"/>
      <c r="AHP159" s="1056"/>
      <c r="AHQ159" s="1056"/>
      <c r="AHR159" s="1056"/>
      <c r="AHS159" s="1056"/>
      <c r="AHT159" s="1056"/>
      <c r="AHU159" s="1056"/>
      <c r="AHV159" s="1056"/>
      <c r="AHW159" s="1056"/>
      <c r="AHX159" s="1056"/>
      <c r="AHY159" s="1056"/>
      <c r="AHZ159" s="1056"/>
      <c r="AIA159" s="1056"/>
      <c r="AIB159" s="1056"/>
      <c r="AIC159" s="1056"/>
      <c r="AID159" s="1056"/>
      <c r="AIE159" s="1056"/>
      <c r="AIF159" s="1056"/>
      <c r="AIG159" s="1056"/>
      <c r="AIH159" s="1056"/>
      <c r="AII159" s="1056"/>
      <c r="AIJ159" s="1056"/>
      <c r="AIK159" s="1056"/>
      <c r="AIL159" s="1056"/>
      <c r="AIM159" s="1056"/>
      <c r="AIN159" s="1056"/>
      <c r="AIO159" s="1056"/>
      <c r="AIP159" s="1056"/>
      <c r="AIQ159" s="1056"/>
      <c r="AIR159" s="1056"/>
      <c r="AIS159" s="1056"/>
      <c r="AIT159" s="1056"/>
      <c r="AIU159" s="1056"/>
      <c r="AIV159" s="1056"/>
      <c r="AIW159" s="1056"/>
      <c r="AIX159" s="1056"/>
      <c r="AIY159" s="1056"/>
      <c r="AIZ159" s="1056"/>
      <c r="AJA159" s="1056"/>
      <c r="AJB159" s="1056"/>
      <c r="AJC159" s="1056"/>
      <c r="AJD159" s="1056"/>
      <c r="AJE159" s="1056"/>
      <c r="AJF159" s="1056"/>
      <c r="AJG159" s="1056"/>
      <c r="AJH159" s="1056"/>
      <c r="AJI159" s="1056"/>
      <c r="AJJ159" s="1056"/>
      <c r="AJK159" s="1056"/>
      <c r="AJL159" s="1056"/>
      <c r="AJM159" s="1056"/>
      <c r="AJN159" s="1056"/>
      <c r="AJO159" s="1056"/>
      <c r="AJP159" s="1056"/>
      <c r="AJQ159" s="1056"/>
      <c r="AJR159" s="1056"/>
      <c r="AJS159" s="1056"/>
      <c r="AJT159" s="1056"/>
      <c r="AJU159" s="1056"/>
      <c r="AJV159" s="1056"/>
      <c r="AJW159" s="1056"/>
      <c r="AJX159" s="1056"/>
      <c r="AJY159" s="1056"/>
      <c r="AJZ159" s="1056"/>
      <c r="AKA159" s="1056"/>
      <c r="AKB159" s="1056"/>
      <c r="AKC159" s="1056"/>
      <c r="AKD159" s="1056"/>
      <c r="AKE159" s="1056"/>
      <c r="AKF159" s="1056"/>
      <c r="AKG159" s="1056"/>
      <c r="AKH159" s="1056"/>
      <c r="AKI159" s="1056"/>
      <c r="AKJ159" s="1056"/>
      <c r="AKK159" s="1056"/>
      <c r="AKL159" s="1056"/>
      <c r="AKM159" s="1056"/>
      <c r="AKN159" s="1056"/>
      <c r="AKO159" s="1056"/>
      <c r="AKP159" s="1056"/>
      <c r="AKQ159" s="1056"/>
      <c r="AKR159" s="1056"/>
      <c r="AKS159" s="1056"/>
      <c r="AKT159" s="1056"/>
      <c r="AKU159" s="1056"/>
      <c r="AKV159" s="1056"/>
      <c r="AKW159" s="1056"/>
      <c r="AKX159" s="1056"/>
      <c r="AKY159" s="1056"/>
      <c r="AKZ159" s="1056"/>
      <c r="ALA159" s="1056"/>
      <c r="ALB159" s="1056"/>
      <c r="ALC159" s="1056"/>
      <c r="ALD159" s="1056"/>
      <c r="ALE159" s="1056"/>
      <c r="ALF159" s="1056"/>
      <c r="ALG159" s="1056"/>
      <c r="ALH159" s="1056"/>
      <c r="ALI159" s="1056"/>
      <c r="ALJ159" s="1056"/>
      <c r="ALK159" s="1056"/>
      <c r="ALL159" s="1056"/>
      <c r="ALM159" s="1056"/>
      <c r="ALN159" s="1056"/>
      <c r="ALO159" s="1056"/>
      <c r="ALP159" s="1056"/>
      <c r="ALQ159" s="1056"/>
      <c r="ALR159" s="1056"/>
      <c r="ALS159" s="1056"/>
      <c r="ALT159" s="1056"/>
      <c r="ALU159" s="1056"/>
      <c r="ALV159" s="1056"/>
      <c r="ALW159" s="1056"/>
      <c r="ALX159" s="1056"/>
      <c r="ALY159" s="1056"/>
      <c r="ALZ159" s="1056"/>
      <c r="AMA159" s="1056"/>
      <c r="AMB159" s="1056"/>
      <c r="AMC159" s="1056"/>
      <c r="AMD159" s="1056"/>
      <c r="AME159" s="1056"/>
      <c r="AMF159" s="1056"/>
      <c r="AMG159" s="1056"/>
      <c r="AMH159" s="1056"/>
      <c r="AMI159" s="1056"/>
      <c r="AMJ159" s="1056"/>
      <c r="AMK159" s="1056"/>
      <c r="AML159" s="1056"/>
      <c r="AMM159" s="1056"/>
      <c r="AMN159" s="1056"/>
      <c r="AMO159" s="1056"/>
      <c r="AMP159" s="1056"/>
      <c r="AMQ159" s="1056"/>
      <c r="AMR159" s="1056"/>
      <c r="AMS159" s="1056"/>
      <c r="AMT159" s="1056"/>
      <c r="AMU159" s="1056"/>
      <c r="AMV159" s="1056"/>
      <c r="AMW159" s="1056"/>
      <c r="AMX159" s="1056"/>
      <c r="AMY159" s="1056"/>
      <c r="AMZ159" s="1056"/>
      <c r="ANA159" s="1056"/>
      <c r="ANB159" s="1056"/>
      <c r="ANC159" s="1056"/>
      <c r="AND159" s="1056"/>
      <c r="ANE159" s="1056"/>
      <c r="ANF159" s="1056"/>
      <c r="ANG159" s="1056"/>
      <c r="ANH159" s="1056"/>
      <c r="ANI159" s="1056"/>
      <c r="ANJ159" s="1056"/>
      <c r="ANK159" s="1056"/>
      <c r="ANL159" s="1056"/>
      <c r="ANM159" s="1056"/>
      <c r="ANN159" s="1056"/>
      <c r="ANO159" s="1056"/>
      <c r="ANP159" s="1056"/>
      <c r="ANQ159" s="1056"/>
      <c r="ANR159" s="1056"/>
      <c r="ANS159" s="1056"/>
      <c r="ANT159" s="1056"/>
      <c r="ANU159" s="1056"/>
      <c r="ANV159" s="1056"/>
      <c r="ANW159" s="1056"/>
      <c r="ANX159" s="1056"/>
      <c r="ANY159" s="1056"/>
      <c r="ANZ159" s="1056"/>
      <c r="AOA159" s="1056"/>
      <c r="AOB159" s="1056"/>
      <c r="AOC159" s="1056"/>
      <c r="AOD159" s="1056"/>
      <c r="AOE159" s="1056"/>
      <c r="AOF159" s="1056"/>
      <c r="AOG159" s="1056"/>
      <c r="AOH159" s="1056"/>
      <c r="AOI159" s="1056"/>
      <c r="AOJ159" s="1056"/>
      <c r="AOK159" s="1056"/>
      <c r="AOL159" s="1056"/>
      <c r="AOM159" s="1056"/>
      <c r="AON159" s="1056"/>
      <c r="AOO159" s="1056"/>
      <c r="AOP159" s="1056"/>
      <c r="AOQ159" s="1056"/>
      <c r="AOR159" s="1056"/>
      <c r="AOS159" s="1056"/>
      <c r="AOT159" s="1056"/>
      <c r="AOU159" s="1056"/>
      <c r="AOV159" s="1056"/>
      <c r="AOW159" s="1056"/>
      <c r="AOX159" s="1056"/>
      <c r="AOY159" s="1056"/>
      <c r="AOZ159" s="1056"/>
      <c r="APA159" s="1056"/>
      <c r="APB159" s="1056"/>
      <c r="APC159" s="1056"/>
      <c r="APD159" s="1056"/>
      <c r="APE159" s="1056"/>
      <c r="APF159" s="1056"/>
      <c r="APG159" s="1056"/>
      <c r="APH159" s="1056"/>
      <c r="API159" s="1056"/>
      <c r="APJ159" s="1056"/>
      <c r="APK159" s="1056"/>
      <c r="APL159" s="1056"/>
      <c r="APM159" s="1056"/>
      <c r="APN159" s="1056"/>
      <c r="APO159" s="1056"/>
      <c r="APP159" s="1056"/>
      <c r="APQ159" s="1056"/>
      <c r="APR159" s="1056"/>
      <c r="APS159" s="1056"/>
      <c r="APT159" s="1056"/>
      <c r="APU159" s="1056"/>
      <c r="APV159" s="1056"/>
      <c r="APW159" s="1056"/>
      <c r="APX159" s="1056"/>
      <c r="APY159" s="1056"/>
      <c r="APZ159" s="1056"/>
      <c r="AQA159" s="1056"/>
      <c r="AQB159" s="1056"/>
      <c r="AQC159" s="1056"/>
      <c r="AQD159" s="1056"/>
      <c r="AQE159" s="1056"/>
      <c r="AQF159" s="1056"/>
      <c r="AQG159" s="1056"/>
      <c r="AQH159" s="1056"/>
      <c r="AQI159" s="1056"/>
      <c r="AQJ159" s="1056"/>
      <c r="AQK159" s="1056"/>
      <c r="AQL159" s="1056"/>
      <c r="AQM159" s="1056"/>
      <c r="AQN159" s="1056"/>
      <c r="AQO159" s="1056"/>
      <c r="AQP159" s="1056"/>
      <c r="AQQ159" s="1056"/>
      <c r="AQR159" s="1056"/>
      <c r="AQS159" s="1056"/>
      <c r="AQT159" s="1056"/>
      <c r="AQU159" s="1056"/>
      <c r="AQV159" s="1056"/>
      <c r="AQW159" s="1056"/>
      <c r="AQX159" s="1056"/>
      <c r="AQY159" s="1056"/>
      <c r="AQZ159" s="1056"/>
      <c r="ARA159" s="1056"/>
      <c r="ARB159" s="1056"/>
      <c r="ARC159" s="1056"/>
      <c r="ARD159" s="1056"/>
      <c r="ARE159" s="1056"/>
      <c r="ARF159" s="1056"/>
      <c r="ARG159" s="1056"/>
      <c r="ARH159" s="1056"/>
      <c r="ARI159" s="1056"/>
      <c r="ARJ159" s="1056"/>
      <c r="ARK159" s="1056"/>
      <c r="ARL159" s="1056"/>
      <c r="ARM159" s="1056"/>
      <c r="ARN159" s="1056"/>
      <c r="ARO159" s="1056"/>
      <c r="ARP159" s="1056"/>
      <c r="ARQ159" s="1056"/>
      <c r="ARR159" s="1056"/>
      <c r="ARS159" s="1056"/>
      <c r="ART159" s="1056"/>
      <c r="ARU159" s="1056"/>
      <c r="ARV159" s="1056"/>
      <c r="ARW159" s="1056"/>
      <c r="ARX159" s="1056"/>
      <c r="ARY159" s="1056"/>
      <c r="ARZ159" s="1056"/>
      <c r="ASA159" s="1056"/>
      <c r="ASB159" s="1056"/>
      <c r="ASC159" s="1056"/>
      <c r="ASD159" s="1056"/>
      <c r="ASE159" s="1056"/>
      <c r="ASF159" s="1056"/>
      <c r="ASG159" s="1056"/>
      <c r="ASH159" s="1056"/>
      <c r="ASI159" s="1056"/>
      <c r="ASJ159" s="1056"/>
      <c r="ASK159" s="1056"/>
      <c r="ASL159" s="1056"/>
      <c r="ASM159" s="1056"/>
      <c r="ASN159" s="1056"/>
      <c r="ASO159" s="1056"/>
      <c r="ASP159" s="1056"/>
      <c r="ASQ159" s="1056"/>
      <c r="ASR159" s="1056"/>
      <c r="ASS159" s="1056"/>
      <c r="AST159" s="1056"/>
      <c r="ASU159" s="1056"/>
      <c r="ASV159" s="1056"/>
      <c r="ASW159" s="1056"/>
      <c r="ASX159" s="1056"/>
      <c r="ASY159" s="1056"/>
      <c r="ASZ159" s="1056"/>
      <c r="ATA159" s="1056"/>
      <c r="ATB159" s="1056"/>
      <c r="ATC159" s="1056"/>
      <c r="ATD159" s="1056"/>
      <c r="ATE159" s="1056"/>
      <c r="ATF159" s="1056"/>
      <c r="ATG159" s="1056"/>
      <c r="ATH159" s="1056"/>
      <c r="ATI159" s="1056"/>
      <c r="ATJ159" s="1056"/>
      <c r="ATK159" s="1056"/>
      <c r="ATL159" s="1056"/>
      <c r="ATM159" s="1056"/>
      <c r="ATN159" s="1056"/>
      <c r="ATO159" s="1056"/>
      <c r="ATP159" s="1056"/>
      <c r="ATQ159" s="1056"/>
      <c r="ATR159" s="1056"/>
      <c r="ATS159" s="1056"/>
      <c r="ATT159" s="1056"/>
      <c r="ATU159" s="1056"/>
      <c r="ATV159" s="1056"/>
      <c r="ATW159" s="1056"/>
      <c r="ATX159" s="1056"/>
      <c r="ATY159" s="1056"/>
      <c r="ATZ159" s="1056"/>
      <c r="AUA159" s="1056"/>
      <c r="AUB159" s="1056"/>
      <c r="AUC159" s="1056"/>
      <c r="AUD159" s="1056"/>
      <c r="AUE159" s="1056"/>
      <c r="AUF159" s="1056"/>
      <c r="AUG159" s="1056"/>
      <c r="AUH159" s="1056"/>
      <c r="AUI159" s="1056"/>
      <c r="AUJ159" s="1056"/>
      <c r="AUK159" s="1056"/>
      <c r="AUL159" s="1056"/>
      <c r="AUM159" s="1056"/>
      <c r="AUN159" s="1056"/>
      <c r="AUO159" s="1056"/>
      <c r="AUP159" s="1056"/>
      <c r="AUQ159" s="1056"/>
      <c r="AUR159" s="1056"/>
      <c r="AUS159" s="1056"/>
      <c r="AUT159" s="1056"/>
      <c r="AUU159" s="1056"/>
      <c r="AUV159" s="1056"/>
      <c r="AUW159" s="1056"/>
      <c r="AUX159" s="1056"/>
      <c r="AUY159" s="1056"/>
      <c r="AUZ159" s="1056"/>
      <c r="AVA159" s="1056"/>
      <c r="AVB159" s="1056"/>
      <c r="AVC159" s="1056"/>
      <c r="AVD159" s="1056"/>
      <c r="AVE159" s="1056"/>
      <c r="AVF159" s="1056"/>
      <c r="AVG159" s="1056"/>
      <c r="AVH159" s="1056"/>
      <c r="AVI159" s="1056"/>
      <c r="AVJ159" s="1056"/>
      <c r="AVK159" s="1056"/>
      <c r="AVL159" s="1056"/>
      <c r="AVM159" s="1056"/>
      <c r="AVN159" s="1056"/>
      <c r="AVO159" s="1056"/>
      <c r="AVP159" s="1056"/>
      <c r="AVQ159" s="1056"/>
      <c r="AVR159" s="1056"/>
      <c r="AVS159" s="1056"/>
      <c r="AVT159" s="1056"/>
      <c r="AVU159" s="1056"/>
      <c r="AVV159" s="1056"/>
      <c r="AVW159" s="1056"/>
      <c r="AVX159" s="1056"/>
      <c r="AVY159" s="1056"/>
      <c r="AVZ159" s="1056"/>
      <c r="AWA159" s="1056"/>
      <c r="AWB159" s="1056"/>
      <c r="AWC159" s="1056"/>
      <c r="AWD159" s="1056"/>
      <c r="AWE159" s="1056"/>
      <c r="AWF159" s="1056"/>
      <c r="AWG159" s="1056"/>
      <c r="AWH159" s="1056"/>
      <c r="AWI159" s="1056"/>
      <c r="AWJ159" s="1056"/>
      <c r="AWK159" s="1056"/>
      <c r="AWL159" s="1056"/>
      <c r="AWM159" s="1056"/>
      <c r="AWN159" s="1056"/>
      <c r="AWO159" s="1056"/>
      <c r="AWP159" s="1056"/>
      <c r="AWQ159" s="1056"/>
      <c r="AWR159" s="1056"/>
      <c r="AWS159" s="1056"/>
      <c r="AWT159" s="1056"/>
      <c r="AWU159" s="1056"/>
      <c r="AWV159" s="1056"/>
      <c r="AWW159" s="1056"/>
      <c r="AWX159" s="1056"/>
      <c r="AWY159" s="1056"/>
      <c r="AWZ159" s="1056"/>
      <c r="AXA159" s="1056"/>
      <c r="AXB159" s="1056"/>
      <c r="AXC159" s="1056"/>
      <c r="AXD159" s="1056"/>
      <c r="AXE159" s="1056"/>
      <c r="AXF159" s="1056"/>
      <c r="AXG159" s="1056"/>
      <c r="AXH159" s="1056"/>
      <c r="AXI159" s="1056"/>
      <c r="AXJ159" s="1056"/>
      <c r="AXK159" s="1056"/>
      <c r="AXL159" s="1056"/>
      <c r="AXM159" s="1056"/>
      <c r="AXN159" s="1056"/>
      <c r="AXO159" s="1056"/>
      <c r="AXP159" s="1056"/>
      <c r="AXQ159" s="1056"/>
      <c r="AXR159" s="1056"/>
      <c r="AXS159" s="1056"/>
      <c r="AXT159" s="1056"/>
      <c r="AXU159" s="1056"/>
      <c r="AXV159" s="1056"/>
      <c r="AXW159" s="1056"/>
      <c r="AXX159" s="1056"/>
      <c r="AXY159" s="1056"/>
      <c r="AXZ159" s="1056"/>
      <c r="AYA159" s="1056"/>
      <c r="AYB159" s="1056"/>
      <c r="AYC159" s="1056"/>
      <c r="AYD159" s="1056"/>
      <c r="AYE159" s="1056"/>
      <c r="AYF159" s="1056"/>
      <c r="AYG159" s="1056"/>
      <c r="AYH159" s="1056"/>
      <c r="AYI159" s="1056"/>
      <c r="AYJ159" s="1056"/>
      <c r="AYK159" s="1056"/>
      <c r="AYL159" s="1056"/>
      <c r="AYM159" s="1056"/>
      <c r="AYN159" s="1056"/>
      <c r="AYO159" s="1056"/>
      <c r="AYP159" s="1056"/>
      <c r="AYQ159" s="1056"/>
      <c r="AYR159" s="1056"/>
      <c r="AYS159" s="1056"/>
      <c r="AYT159" s="1056"/>
      <c r="AYU159" s="1056"/>
      <c r="AYV159" s="1056"/>
      <c r="AYW159" s="1056"/>
      <c r="AYX159" s="1056"/>
      <c r="AYY159" s="1056"/>
      <c r="AYZ159" s="1056"/>
      <c r="AZA159" s="1056"/>
      <c r="AZB159" s="1056"/>
      <c r="AZC159" s="1056"/>
      <c r="AZD159" s="1056"/>
      <c r="AZE159" s="1056"/>
      <c r="AZF159" s="1056"/>
      <c r="AZG159" s="1056"/>
      <c r="AZH159" s="1056"/>
      <c r="AZI159" s="1056"/>
      <c r="AZJ159" s="1056"/>
      <c r="AZK159" s="1056"/>
      <c r="AZL159" s="1056"/>
      <c r="AZM159" s="1056"/>
      <c r="AZN159" s="1056"/>
      <c r="AZO159" s="1056"/>
      <c r="AZP159" s="1056"/>
      <c r="AZQ159" s="1056"/>
      <c r="AZR159" s="1056"/>
      <c r="AZS159" s="1056"/>
      <c r="AZT159" s="1056"/>
      <c r="AZU159" s="1056"/>
      <c r="AZV159" s="1056"/>
      <c r="AZW159" s="1056"/>
      <c r="AZX159" s="1056"/>
      <c r="AZY159" s="1056"/>
      <c r="AZZ159" s="1056"/>
      <c r="BAA159" s="1056"/>
      <c r="BAB159" s="1056"/>
      <c r="BAC159" s="1056"/>
      <c r="BAD159" s="1056"/>
      <c r="BAE159" s="1056"/>
      <c r="BAF159" s="1056"/>
      <c r="BAG159" s="1056"/>
      <c r="BAH159" s="1056"/>
      <c r="BAI159" s="1056"/>
      <c r="BAJ159" s="1056"/>
      <c r="BAK159" s="1056"/>
      <c r="BAL159" s="1056"/>
      <c r="BAM159" s="1056"/>
      <c r="BAN159" s="1056"/>
      <c r="BAO159" s="1056"/>
      <c r="BAP159" s="1056"/>
      <c r="BAQ159" s="1056"/>
      <c r="BAR159" s="1056"/>
      <c r="BAS159" s="1056"/>
      <c r="BAT159" s="1056"/>
      <c r="BAU159" s="1056"/>
      <c r="BAV159" s="1056"/>
      <c r="BAW159" s="1056"/>
      <c r="BAX159" s="1056"/>
      <c r="BAY159" s="1056"/>
      <c r="BAZ159" s="1056"/>
      <c r="BBA159" s="1056"/>
      <c r="BBB159" s="1056"/>
      <c r="BBC159" s="1056"/>
      <c r="BBD159" s="1056"/>
      <c r="BBE159" s="1056"/>
      <c r="BBF159" s="1056"/>
      <c r="BBG159" s="1056"/>
      <c r="BBH159" s="1056"/>
      <c r="BBI159" s="1056"/>
      <c r="BBJ159" s="1056"/>
      <c r="BBK159" s="1056"/>
      <c r="BBL159" s="1056"/>
      <c r="BBM159" s="1056"/>
      <c r="BBN159" s="1056"/>
      <c r="BBO159" s="1056"/>
      <c r="BBP159" s="1056"/>
      <c r="BBQ159" s="1056"/>
      <c r="BBR159" s="1056"/>
      <c r="BBS159" s="1056"/>
      <c r="BBT159" s="1056"/>
      <c r="BBU159" s="1056"/>
      <c r="BBV159" s="1056"/>
      <c r="BBW159" s="1056"/>
      <c r="BBX159" s="1056"/>
      <c r="BBY159" s="1056"/>
      <c r="BBZ159" s="1056"/>
      <c r="BCA159" s="1056"/>
      <c r="BCB159" s="1056"/>
      <c r="BCC159" s="1056"/>
      <c r="BCD159" s="1056"/>
      <c r="BCE159" s="1056"/>
      <c r="BCF159" s="1056"/>
      <c r="BCG159" s="1056"/>
      <c r="BCH159" s="1056"/>
      <c r="BCI159" s="1056"/>
      <c r="BCJ159" s="1056"/>
      <c r="BCK159" s="1056"/>
      <c r="BCL159" s="1056"/>
      <c r="BCM159" s="1056"/>
      <c r="BCN159" s="1056"/>
      <c r="BCO159" s="1056"/>
      <c r="BCP159" s="1056"/>
      <c r="BCQ159" s="1056"/>
      <c r="BCR159" s="1056"/>
      <c r="BCS159" s="1056"/>
      <c r="BCT159" s="1056"/>
      <c r="BCU159" s="1056"/>
      <c r="BCV159" s="1056"/>
      <c r="BCW159" s="1056"/>
      <c r="BCX159" s="1056"/>
      <c r="BCY159" s="1056"/>
      <c r="BCZ159" s="1056"/>
      <c r="BDA159" s="1056"/>
      <c r="BDB159" s="1056"/>
      <c r="BDC159" s="1056"/>
      <c r="BDD159" s="1056"/>
      <c r="BDE159" s="1056"/>
      <c r="BDF159" s="1056"/>
      <c r="BDG159" s="1056"/>
      <c r="BDH159" s="1056"/>
      <c r="BDI159" s="1056"/>
      <c r="BDJ159" s="1056"/>
      <c r="BDK159" s="1056"/>
      <c r="BDL159" s="1056"/>
      <c r="BDM159" s="1056"/>
      <c r="BDN159" s="1056"/>
      <c r="BDO159" s="1056"/>
      <c r="BDP159" s="1056"/>
      <c r="BDQ159" s="1056"/>
      <c r="BDR159" s="1056"/>
      <c r="BDS159" s="1056"/>
      <c r="BDT159" s="1056"/>
      <c r="BDU159" s="1056"/>
      <c r="BDV159" s="1056"/>
      <c r="BDW159" s="1056"/>
      <c r="BDX159" s="1056"/>
      <c r="BDY159" s="1056"/>
      <c r="BDZ159" s="1056"/>
      <c r="BEA159" s="1056"/>
      <c r="BEB159" s="1056"/>
      <c r="BEC159" s="1056"/>
      <c r="BED159" s="1056"/>
      <c r="BEE159" s="1056"/>
      <c r="BEF159" s="1056"/>
      <c r="BEG159" s="1056"/>
      <c r="BEH159" s="1056"/>
      <c r="BEI159" s="1056"/>
      <c r="BEJ159" s="1056"/>
      <c r="BEK159" s="1056"/>
      <c r="BEL159" s="1056"/>
      <c r="BEM159" s="1056"/>
      <c r="BEN159" s="1056"/>
      <c r="BEO159" s="1056"/>
      <c r="BEP159" s="1056"/>
      <c r="BEQ159" s="1056"/>
      <c r="BER159" s="1056"/>
      <c r="BES159" s="1056"/>
      <c r="BET159" s="1056"/>
      <c r="BEU159" s="1056"/>
      <c r="BEV159" s="1056"/>
      <c r="BEW159" s="1056"/>
      <c r="BEX159" s="1056"/>
      <c r="BEY159" s="1056"/>
      <c r="BEZ159" s="1056"/>
      <c r="BFA159" s="1056"/>
      <c r="BFB159" s="1056"/>
      <c r="BFC159" s="1056"/>
      <c r="BFD159" s="1056"/>
      <c r="BFE159" s="1056"/>
      <c r="BFF159" s="1056"/>
      <c r="BFG159" s="1056"/>
      <c r="BFH159" s="1056"/>
      <c r="BFI159" s="1056"/>
      <c r="BFJ159" s="1056"/>
      <c r="BFK159" s="1056"/>
      <c r="BFL159" s="1056"/>
      <c r="BFM159" s="1056"/>
      <c r="BFN159" s="1056"/>
      <c r="BFO159" s="1056"/>
      <c r="BFP159" s="1056"/>
      <c r="BFQ159" s="1056"/>
      <c r="BFR159" s="1056"/>
      <c r="BFS159" s="1056"/>
      <c r="BFT159" s="1056"/>
      <c r="BFU159" s="1056"/>
      <c r="BFV159" s="1056"/>
      <c r="BFW159" s="1056"/>
      <c r="BFX159" s="1056"/>
      <c r="BFY159" s="1056"/>
      <c r="BFZ159" s="1056"/>
      <c r="BGA159" s="1056"/>
      <c r="BGB159" s="1056"/>
      <c r="BGC159" s="1056"/>
      <c r="BGD159" s="1056"/>
      <c r="BGE159" s="1056"/>
      <c r="BGF159" s="1056"/>
      <c r="BGG159" s="1056"/>
      <c r="BGH159" s="1056"/>
      <c r="BGI159" s="1056"/>
      <c r="BGJ159" s="1056"/>
      <c r="BGK159" s="1056"/>
      <c r="BGL159" s="1056"/>
      <c r="BGM159" s="1056"/>
      <c r="BGN159" s="1056"/>
      <c r="BGO159" s="1056"/>
      <c r="BGP159" s="1056"/>
      <c r="BGQ159" s="1056"/>
      <c r="BGR159" s="1056"/>
      <c r="BGS159" s="1056"/>
      <c r="BGT159" s="1056"/>
      <c r="BGU159" s="1056"/>
      <c r="BGV159" s="1056"/>
      <c r="BGW159" s="1056"/>
      <c r="BGX159" s="1056"/>
      <c r="BGY159" s="1056"/>
      <c r="BGZ159" s="1056"/>
      <c r="BHA159" s="1056"/>
      <c r="BHB159" s="1056"/>
      <c r="BHC159" s="1056"/>
      <c r="BHD159" s="1056"/>
      <c r="BHE159" s="1056"/>
      <c r="BHF159" s="1056"/>
      <c r="BHG159" s="1056"/>
      <c r="BHH159" s="1056"/>
      <c r="BHI159" s="1056"/>
      <c r="BHJ159" s="1056"/>
      <c r="BHK159" s="1056"/>
      <c r="BHL159" s="1056"/>
      <c r="BHM159" s="1056"/>
      <c r="BHN159" s="1056"/>
      <c r="BHO159" s="1056"/>
      <c r="BHP159" s="1056"/>
      <c r="BHQ159" s="1056"/>
      <c r="BHR159" s="1056"/>
      <c r="BHS159" s="1056"/>
      <c r="BHT159" s="1056"/>
      <c r="BHU159" s="1056"/>
      <c r="BHV159" s="1056"/>
      <c r="BHW159" s="1056"/>
      <c r="BHX159" s="1056"/>
      <c r="BHY159" s="1056"/>
      <c r="BHZ159" s="1056"/>
      <c r="BIA159" s="1056"/>
      <c r="BIB159" s="1056"/>
      <c r="BIC159" s="1056"/>
      <c r="BID159" s="1056"/>
      <c r="BIE159" s="1056"/>
      <c r="BIF159" s="1056"/>
      <c r="BIG159" s="1056"/>
      <c r="BIH159" s="1056"/>
      <c r="BII159" s="1056"/>
      <c r="BIJ159" s="1056"/>
      <c r="BIK159" s="1056"/>
      <c r="BIL159" s="1056"/>
      <c r="BIM159" s="1056"/>
      <c r="BIN159" s="1056"/>
      <c r="BIO159" s="1056"/>
      <c r="BIP159" s="1056"/>
      <c r="BIQ159" s="1056"/>
      <c r="BIR159" s="1056"/>
      <c r="BIS159" s="1056"/>
      <c r="BIT159" s="1056"/>
      <c r="BIU159" s="1056"/>
      <c r="BIV159" s="1056"/>
      <c r="BIW159" s="1056"/>
      <c r="BIX159" s="1056"/>
      <c r="BIY159" s="1056"/>
      <c r="BIZ159" s="1056"/>
      <c r="BJA159" s="1056"/>
      <c r="BJB159" s="1056"/>
      <c r="BJC159" s="1056"/>
      <c r="BJD159" s="1056"/>
      <c r="BJE159" s="1056"/>
      <c r="BJF159" s="1056"/>
      <c r="BJG159" s="1056"/>
      <c r="BJH159" s="1056"/>
      <c r="BJI159" s="1056"/>
      <c r="BJJ159" s="1056"/>
      <c r="BJK159" s="1056"/>
      <c r="BJL159" s="1056"/>
      <c r="BJM159" s="1056"/>
      <c r="BJN159" s="1056"/>
      <c r="BJO159" s="1056"/>
      <c r="BJP159" s="1056"/>
      <c r="BJQ159" s="1056"/>
      <c r="BJR159" s="1056"/>
      <c r="BJS159" s="1056"/>
      <c r="BJT159" s="1056"/>
      <c r="BJU159" s="1056"/>
      <c r="BJV159" s="1056"/>
      <c r="BJW159" s="1056"/>
      <c r="BJX159" s="1056"/>
      <c r="BJY159" s="1056"/>
      <c r="BJZ159" s="1056"/>
      <c r="BKA159" s="1056"/>
      <c r="BKB159" s="1056"/>
      <c r="BKC159" s="1056"/>
      <c r="BKD159" s="1056"/>
      <c r="BKE159" s="1056"/>
      <c r="BKF159" s="1056"/>
      <c r="BKG159" s="1056"/>
      <c r="BKH159" s="1056"/>
      <c r="BKI159" s="1056"/>
      <c r="BKJ159" s="1056"/>
      <c r="BKK159" s="1056"/>
      <c r="BKL159" s="1056"/>
      <c r="BKM159" s="1056"/>
      <c r="BKN159" s="1056"/>
      <c r="BKO159" s="1056"/>
      <c r="BKP159" s="1056"/>
      <c r="BKQ159" s="1056"/>
      <c r="BKR159" s="1056"/>
      <c r="BKS159" s="1056"/>
      <c r="BKT159" s="1056"/>
      <c r="BKU159" s="1056"/>
      <c r="BKV159" s="1056"/>
      <c r="BKW159" s="1056"/>
      <c r="BKX159" s="1056"/>
      <c r="BKY159" s="1056"/>
      <c r="BKZ159" s="1056"/>
      <c r="BLA159" s="1056"/>
      <c r="BLB159" s="1056"/>
      <c r="BLC159" s="1056"/>
      <c r="BLD159" s="1056"/>
      <c r="BLE159" s="1056"/>
      <c r="BLF159" s="1056"/>
      <c r="BLG159" s="1056"/>
      <c r="BLH159" s="1056"/>
      <c r="BLI159" s="1056"/>
      <c r="BLJ159" s="1056"/>
      <c r="BLK159" s="1056"/>
      <c r="BLL159" s="1056"/>
      <c r="BLM159" s="1056"/>
      <c r="BLN159" s="1056"/>
      <c r="BLO159" s="1056"/>
      <c r="BLP159" s="1056"/>
      <c r="BLQ159" s="1056"/>
      <c r="BLR159" s="1056"/>
      <c r="BLS159" s="1056"/>
      <c r="BLT159" s="1056"/>
      <c r="BLU159" s="1056"/>
      <c r="BLV159" s="1056"/>
      <c r="BLW159" s="1056"/>
      <c r="BLX159" s="1056"/>
      <c r="BLY159" s="1056"/>
      <c r="BLZ159" s="1056"/>
      <c r="BMA159" s="1056"/>
      <c r="BMB159" s="1056"/>
      <c r="BMC159" s="1056"/>
      <c r="BMD159" s="1056"/>
      <c r="BME159" s="1056"/>
      <c r="BMF159" s="1056"/>
      <c r="BMG159" s="1056"/>
      <c r="BMH159" s="1056"/>
      <c r="BMI159" s="1056"/>
      <c r="BMJ159" s="1056"/>
      <c r="BMK159" s="1056"/>
      <c r="BML159" s="1056"/>
      <c r="BMM159" s="1056"/>
      <c r="BMN159" s="1056"/>
      <c r="BMO159" s="1056"/>
      <c r="BMP159" s="1056"/>
      <c r="BMQ159" s="1056"/>
      <c r="BMR159" s="1056"/>
      <c r="BMS159" s="1056"/>
      <c r="BMT159" s="1056"/>
      <c r="BMU159" s="1056"/>
      <c r="BMV159" s="1056"/>
      <c r="BMW159" s="1056"/>
      <c r="BMX159" s="1056"/>
      <c r="BMY159" s="1056"/>
      <c r="BMZ159" s="1056"/>
      <c r="BNA159" s="1056"/>
      <c r="BNB159" s="1056"/>
      <c r="BNC159" s="1056"/>
      <c r="BND159" s="1056"/>
      <c r="BNE159" s="1056"/>
      <c r="BNF159" s="1056"/>
      <c r="BNG159" s="1056"/>
      <c r="BNH159" s="1056"/>
      <c r="BNI159" s="1056"/>
      <c r="BNJ159" s="1056"/>
      <c r="BNK159" s="1056"/>
      <c r="BNL159" s="1056"/>
      <c r="BNM159" s="1056"/>
      <c r="BNN159" s="1056"/>
      <c r="BNO159" s="1056"/>
      <c r="BNP159" s="1056"/>
      <c r="BNQ159" s="1056"/>
      <c r="BNR159" s="1056"/>
      <c r="BNS159" s="1056"/>
      <c r="BNT159" s="1056"/>
      <c r="BNU159" s="1056"/>
      <c r="BNV159" s="1056"/>
      <c r="BNW159" s="1056"/>
      <c r="BNX159" s="1056"/>
      <c r="BNY159" s="1056"/>
      <c r="BNZ159" s="1056"/>
      <c r="BOA159" s="1056"/>
      <c r="BOB159" s="1056"/>
      <c r="BOC159" s="1056"/>
      <c r="BOD159" s="1056"/>
      <c r="BOE159" s="1056"/>
      <c r="BOF159" s="1056"/>
      <c r="BOG159" s="1056"/>
      <c r="BOH159" s="1056"/>
      <c r="BOI159" s="1056"/>
      <c r="BOJ159" s="1056"/>
      <c r="BOK159" s="1056"/>
      <c r="BOL159" s="1056"/>
      <c r="BOM159" s="1056"/>
      <c r="BON159" s="1056"/>
      <c r="BOO159" s="1056"/>
      <c r="BOP159" s="1056"/>
      <c r="BOQ159" s="1056"/>
      <c r="BOR159" s="1056"/>
      <c r="BOS159" s="1056"/>
      <c r="BOT159" s="1056"/>
      <c r="BOU159" s="1056"/>
      <c r="BOV159" s="1056"/>
      <c r="BOW159" s="1056"/>
      <c r="BOX159" s="1056"/>
      <c r="BOY159" s="1056"/>
      <c r="BOZ159" s="1056"/>
      <c r="BPA159" s="1056"/>
      <c r="BPB159" s="1056"/>
      <c r="BPC159" s="1056"/>
      <c r="BPD159" s="1056"/>
      <c r="BPE159" s="1056"/>
      <c r="BPF159" s="1056"/>
      <c r="BPG159" s="1056"/>
      <c r="BPH159" s="1056"/>
      <c r="BPI159" s="1056"/>
      <c r="BPJ159" s="1056"/>
      <c r="BPK159" s="1056"/>
      <c r="BPL159" s="1056"/>
      <c r="BPM159" s="1056"/>
      <c r="BPN159" s="1056"/>
      <c r="BPO159" s="1056"/>
      <c r="BPP159" s="1056"/>
      <c r="BPQ159" s="1056"/>
      <c r="BPR159" s="1056"/>
      <c r="BPS159" s="1056"/>
      <c r="BPT159" s="1056"/>
      <c r="BPU159" s="1056"/>
      <c r="BPV159" s="1056"/>
      <c r="BPW159" s="1056"/>
      <c r="BPX159" s="1056"/>
      <c r="BPY159" s="1056"/>
      <c r="BPZ159" s="1056"/>
      <c r="BQA159" s="1056"/>
      <c r="BQB159" s="1056"/>
      <c r="BQC159" s="1056"/>
      <c r="BQD159" s="1056"/>
      <c r="BQE159" s="1056"/>
      <c r="BQF159" s="1056"/>
      <c r="BQG159" s="1056"/>
      <c r="BQH159" s="1056"/>
      <c r="BQI159" s="1056"/>
      <c r="BQJ159" s="1056"/>
      <c r="BQK159" s="1056"/>
      <c r="BQL159" s="1056"/>
      <c r="BQM159" s="1056"/>
      <c r="BQN159" s="1056"/>
      <c r="BQO159" s="1056"/>
      <c r="BQP159" s="1056"/>
      <c r="BQQ159" s="1056"/>
      <c r="BQR159" s="1056"/>
      <c r="BQS159" s="1056"/>
      <c r="BQT159" s="1056"/>
      <c r="BQU159" s="1056"/>
      <c r="BQV159" s="1056"/>
      <c r="BQW159" s="1056"/>
      <c r="BQX159" s="1056"/>
      <c r="BQY159" s="1056"/>
      <c r="BQZ159" s="1056"/>
      <c r="BRA159" s="1056"/>
      <c r="BRB159" s="1056"/>
      <c r="BRC159" s="1056"/>
      <c r="BRD159" s="1056"/>
      <c r="BRE159" s="1056"/>
      <c r="BRF159" s="1056"/>
      <c r="BRG159" s="1056"/>
      <c r="BRH159" s="1056"/>
      <c r="BRI159" s="1056"/>
      <c r="BRJ159" s="1056"/>
      <c r="BRK159" s="1056"/>
      <c r="BRL159" s="1056"/>
      <c r="BRM159" s="1056"/>
      <c r="BRN159" s="1056"/>
      <c r="BRO159" s="1056"/>
      <c r="BRP159" s="1056"/>
      <c r="BRQ159" s="1056"/>
      <c r="BRR159" s="1056"/>
      <c r="BRS159" s="1056"/>
      <c r="BRT159" s="1056"/>
      <c r="BRU159" s="1056"/>
      <c r="BRV159" s="1056"/>
      <c r="BRW159" s="1056"/>
      <c r="BRX159" s="1056"/>
      <c r="BRY159" s="1056"/>
      <c r="BRZ159" s="1056"/>
      <c r="BSA159" s="1056"/>
      <c r="BSB159" s="1056"/>
      <c r="BSC159" s="1056"/>
      <c r="BSD159" s="1056"/>
      <c r="BSE159" s="1056"/>
      <c r="BSF159" s="1056"/>
      <c r="BSG159" s="1056"/>
      <c r="BSH159" s="1056"/>
      <c r="BSI159" s="1056"/>
      <c r="BSJ159" s="1056"/>
      <c r="BSK159" s="1056"/>
      <c r="BSL159" s="1056"/>
      <c r="BSM159" s="1056"/>
      <c r="BSN159" s="1056"/>
      <c r="BSO159" s="1056"/>
      <c r="BSP159" s="1056"/>
      <c r="BSQ159" s="1056"/>
      <c r="BSR159" s="1056"/>
      <c r="BSS159" s="1056"/>
      <c r="BST159" s="1056"/>
      <c r="BSU159" s="1056"/>
      <c r="BSV159" s="1056"/>
      <c r="BSW159" s="1056"/>
      <c r="BSX159" s="1056"/>
      <c r="BSY159" s="1056"/>
      <c r="BSZ159" s="1056"/>
      <c r="BTA159" s="1056"/>
      <c r="BTB159" s="1056"/>
      <c r="BTC159" s="1056"/>
      <c r="BTD159" s="1056"/>
      <c r="BTE159" s="1056"/>
      <c r="BTF159" s="1056"/>
      <c r="BTG159" s="1056"/>
      <c r="BTH159" s="1056"/>
      <c r="BTI159" s="1056"/>
    </row>
    <row r="160" spans="1:1881" s="1060" customFormat="1" ht="114" hidden="1" customHeight="1" x14ac:dyDescent="0.3">
      <c r="A160" s="1090">
        <v>639</v>
      </c>
      <c r="B160" s="1085" t="s">
        <v>533</v>
      </c>
      <c r="C160" s="1085" t="s">
        <v>1400</v>
      </c>
      <c r="D160" s="1086" t="s">
        <v>1406</v>
      </c>
      <c r="E160" s="1053" t="e">
        <f>HLOOKUP($D$2,'2020 Data(H)'!$C$1:$AI$426,298,FALSE)</f>
        <v>#N/A</v>
      </c>
      <c r="F160" s="287">
        <v>0</v>
      </c>
      <c r="G160" s="737" t="str">
        <f>IF(F160&gt;=(F161+F162+F163+F164+F165+F166),"","Account 639 is less than the total sum of accounts 640 through 644 + 384")</f>
        <v/>
      </c>
      <c r="H160" s="1091">
        <f>F160-(F161+F162+F163+F164+F165+F166)</f>
        <v>0</v>
      </c>
      <c r="I160" s="1092"/>
      <c r="J160" s="1056"/>
      <c r="K160" s="1056"/>
      <c r="L160" s="1056"/>
      <c r="M160" s="1056"/>
      <c r="N160" s="1058"/>
      <c r="O160" s="1056"/>
      <c r="P160" s="1056"/>
      <c r="Q160" s="1056"/>
      <c r="R160" s="1056"/>
      <c r="S160" s="1056"/>
      <c r="T160" s="1056"/>
      <c r="U160" s="1056"/>
      <c r="V160" s="1056"/>
      <c r="W160" s="1056"/>
      <c r="X160" s="1056"/>
      <c r="Y160" s="1056"/>
      <c r="Z160" s="1090"/>
      <c r="AA160" s="1090"/>
      <c r="AB160" s="1090"/>
      <c r="AC160" s="1090"/>
      <c r="AD160" s="1090"/>
      <c r="AE160" s="1090"/>
      <c r="AF160" s="1090"/>
      <c r="AG160" s="1090"/>
      <c r="AH160" s="1090"/>
      <c r="AI160" s="1090"/>
      <c r="AJ160" s="1090"/>
      <c r="AK160" s="1090"/>
      <c r="AL160" s="1090"/>
      <c r="AM160" s="1090"/>
      <c r="AN160" s="1090"/>
      <c r="AO160" s="1090"/>
      <c r="AP160" s="1090"/>
      <c r="AQ160" s="1090"/>
      <c r="AR160" s="1090"/>
      <c r="AS160" s="1056"/>
      <c r="AT160" s="1056"/>
      <c r="AU160" s="1056"/>
      <c r="AV160" s="1056"/>
      <c r="AW160" s="1056"/>
      <c r="AX160" s="1056"/>
      <c r="AY160" s="1056"/>
      <c r="AZ160" s="1056"/>
      <c r="BA160" s="1056"/>
      <c r="BB160" s="1056"/>
      <c r="BC160" s="1056"/>
      <c r="BD160" s="1056"/>
      <c r="BE160" s="1056"/>
      <c r="BF160" s="1056"/>
      <c r="BG160" s="1056"/>
      <c r="BH160" s="1056"/>
      <c r="BI160" s="1056"/>
      <c r="BJ160" s="1056"/>
      <c r="BK160" s="1056"/>
      <c r="BL160" s="1056"/>
      <c r="BM160" s="1056"/>
      <c r="BN160" s="1056"/>
      <c r="BO160" s="1056"/>
      <c r="BP160" s="1056"/>
      <c r="BQ160" s="1056"/>
      <c r="BR160" s="1056"/>
      <c r="BS160" s="1056"/>
      <c r="BT160" s="1056"/>
      <c r="BU160" s="1056"/>
      <c r="BV160" s="1056"/>
      <c r="BW160" s="1056"/>
      <c r="BX160" s="1056"/>
      <c r="BY160" s="1056"/>
      <c r="BZ160" s="1056"/>
      <c r="CA160" s="1056"/>
      <c r="CB160" s="1056"/>
      <c r="CC160" s="1056"/>
      <c r="CD160" s="1056"/>
      <c r="CE160" s="1056"/>
      <c r="CF160" s="1056"/>
      <c r="CG160" s="1056"/>
      <c r="CH160" s="1056"/>
      <c r="CI160" s="1056"/>
      <c r="CJ160" s="1056"/>
      <c r="CK160" s="1056"/>
      <c r="CL160" s="1056"/>
      <c r="CM160" s="1056"/>
      <c r="CN160" s="1056"/>
      <c r="CO160" s="1056"/>
      <c r="CP160" s="1056"/>
      <c r="CQ160" s="1056"/>
      <c r="CR160" s="1056"/>
      <c r="CS160" s="1056"/>
      <c r="CT160" s="1056"/>
      <c r="CU160" s="1056"/>
      <c r="CV160" s="1056"/>
      <c r="CW160" s="1056"/>
      <c r="CX160" s="1056"/>
      <c r="CY160" s="1056"/>
      <c r="CZ160" s="1056"/>
      <c r="DA160" s="1056"/>
      <c r="DB160" s="1056"/>
      <c r="DC160" s="1056"/>
      <c r="DD160" s="1056"/>
      <c r="DE160" s="1056"/>
      <c r="DF160" s="1056"/>
      <c r="DG160" s="1056"/>
      <c r="DH160" s="1056"/>
      <c r="DI160" s="1056"/>
      <c r="DJ160" s="1056"/>
      <c r="DK160" s="1056"/>
      <c r="DL160" s="1056"/>
      <c r="DM160" s="1056"/>
      <c r="DN160" s="1056"/>
      <c r="DO160" s="1056"/>
      <c r="DP160" s="1056"/>
      <c r="DQ160" s="1056"/>
      <c r="DR160" s="1056"/>
      <c r="DS160" s="1056"/>
      <c r="DT160" s="1056"/>
      <c r="DU160" s="1056"/>
      <c r="DV160" s="1056"/>
      <c r="DW160" s="1056"/>
      <c r="DX160" s="1056"/>
      <c r="DY160" s="1056"/>
      <c r="DZ160" s="1056"/>
      <c r="EA160" s="1056"/>
      <c r="EB160" s="1056"/>
      <c r="EC160" s="1056"/>
      <c r="ED160" s="1056"/>
      <c r="EE160" s="1056"/>
      <c r="EF160" s="1056"/>
      <c r="EG160" s="1056"/>
      <c r="EH160" s="1056"/>
      <c r="EI160" s="1056"/>
      <c r="EJ160" s="1056"/>
      <c r="EK160" s="1056"/>
      <c r="EL160" s="1056"/>
      <c r="EM160" s="1056"/>
      <c r="EN160" s="1056"/>
      <c r="EO160" s="1056"/>
      <c r="EP160" s="1056"/>
      <c r="EQ160" s="1056"/>
      <c r="ER160" s="1056"/>
      <c r="ES160" s="1056"/>
      <c r="ET160" s="1056"/>
      <c r="EU160" s="1056"/>
      <c r="EV160" s="1056"/>
      <c r="EW160" s="1056"/>
      <c r="EX160" s="1056"/>
      <c r="EY160" s="1056"/>
      <c r="EZ160" s="1056"/>
      <c r="FA160" s="1056"/>
      <c r="FB160" s="1056"/>
      <c r="FC160" s="1056"/>
      <c r="FD160" s="1056"/>
      <c r="FE160" s="1056"/>
      <c r="FF160" s="1056"/>
      <c r="FG160" s="1056"/>
      <c r="FH160" s="1056"/>
      <c r="FI160" s="1056"/>
      <c r="FJ160" s="1056"/>
      <c r="FK160" s="1056"/>
      <c r="FL160" s="1056"/>
      <c r="FM160" s="1056"/>
      <c r="FN160" s="1056"/>
      <c r="FO160" s="1056"/>
      <c r="FP160" s="1056"/>
      <c r="FQ160" s="1056"/>
      <c r="FR160" s="1056"/>
      <c r="FS160" s="1056"/>
      <c r="FT160" s="1056"/>
      <c r="FU160" s="1056"/>
      <c r="FV160" s="1056"/>
      <c r="FW160" s="1056"/>
      <c r="FX160" s="1056"/>
      <c r="FY160" s="1056"/>
      <c r="FZ160" s="1056"/>
      <c r="GA160" s="1056"/>
      <c r="GB160" s="1056"/>
      <c r="GC160" s="1056"/>
      <c r="GD160" s="1056"/>
      <c r="GE160" s="1056"/>
      <c r="GF160" s="1056"/>
      <c r="GG160" s="1056"/>
      <c r="GH160" s="1056"/>
      <c r="GI160" s="1056"/>
      <c r="GJ160" s="1056"/>
      <c r="GK160" s="1056"/>
      <c r="GL160" s="1056"/>
      <c r="GM160" s="1056"/>
      <c r="GN160" s="1056"/>
      <c r="GO160" s="1056"/>
      <c r="GP160" s="1056"/>
      <c r="GQ160" s="1056"/>
      <c r="GR160" s="1056"/>
      <c r="GS160" s="1056"/>
      <c r="GT160" s="1056"/>
      <c r="GU160" s="1056"/>
      <c r="GV160" s="1056"/>
      <c r="GW160" s="1056"/>
      <c r="GX160" s="1056"/>
      <c r="GY160" s="1056"/>
      <c r="GZ160" s="1056"/>
      <c r="HA160" s="1056"/>
      <c r="HB160" s="1056"/>
      <c r="HC160" s="1056"/>
      <c r="HD160" s="1056"/>
      <c r="HE160" s="1056"/>
      <c r="HF160" s="1056"/>
      <c r="HG160" s="1056"/>
      <c r="HH160" s="1056"/>
      <c r="HI160" s="1056"/>
      <c r="HJ160" s="1056"/>
      <c r="HK160" s="1056"/>
      <c r="HL160" s="1056"/>
      <c r="HM160" s="1056"/>
      <c r="HN160" s="1056"/>
      <c r="HO160" s="1056"/>
      <c r="HP160" s="1056"/>
      <c r="HQ160" s="1056"/>
      <c r="HR160" s="1056"/>
      <c r="HS160" s="1056"/>
      <c r="HT160" s="1056"/>
      <c r="HU160" s="1056"/>
      <c r="HV160" s="1056"/>
      <c r="HW160" s="1056"/>
      <c r="HX160" s="1056"/>
      <c r="HY160" s="1056"/>
      <c r="HZ160" s="1056"/>
      <c r="IA160" s="1056"/>
      <c r="IB160" s="1056"/>
      <c r="IC160" s="1056"/>
      <c r="ID160" s="1056"/>
      <c r="IE160" s="1056"/>
      <c r="IF160" s="1056"/>
      <c r="IG160" s="1056"/>
      <c r="IH160" s="1056"/>
      <c r="II160" s="1056"/>
      <c r="IJ160" s="1056"/>
      <c r="IK160" s="1056"/>
      <c r="IL160" s="1056"/>
      <c r="IM160" s="1056"/>
      <c r="IN160" s="1056"/>
      <c r="IO160" s="1056"/>
      <c r="IP160" s="1056"/>
      <c r="IQ160" s="1056"/>
      <c r="IR160" s="1056"/>
      <c r="IS160" s="1056"/>
      <c r="IT160" s="1056"/>
      <c r="IU160" s="1056"/>
      <c r="IV160" s="1056"/>
      <c r="IW160" s="1056"/>
      <c r="IX160" s="1056"/>
      <c r="IY160" s="1056"/>
      <c r="IZ160" s="1056"/>
      <c r="JA160" s="1056"/>
      <c r="JB160" s="1056"/>
      <c r="JC160" s="1056"/>
      <c r="JD160" s="1056"/>
      <c r="JE160" s="1056"/>
      <c r="JF160" s="1056"/>
      <c r="JG160" s="1056"/>
      <c r="JH160" s="1056"/>
      <c r="JI160" s="1056"/>
      <c r="JJ160" s="1056"/>
      <c r="JK160" s="1056"/>
      <c r="JL160" s="1056"/>
      <c r="JM160" s="1056"/>
      <c r="JN160" s="1056"/>
      <c r="JO160" s="1056"/>
      <c r="JP160" s="1056"/>
      <c r="JQ160" s="1056"/>
      <c r="JR160" s="1056"/>
      <c r="JS160" s="1056"/>
      <c r="JT160" s="1056"/>
      <c r="JU160" s="1056"/>
      <c r="JV160" s="1056"/>
      <c r="JW160" s="1056"/>
      <c r="JX160" s="1056"/>
      <c r="JY160" s="1056"/>
      <c r="JZ160" s="1056"/>
      <c r="KA160" s="1056"/>
      <c r="KB160" s="1056"/>
      <c r="KC160" s="1056"/>
      <c r="KD160" s="1056"/>
      <c r="KE160" s="1056"/>
      <c r="KF160" s="1056"/>
      <c r="KG160" s="1056"/>
      <c r="KH160" s="1056"/>
      <c r="KI160" s="1056"/>
      <c r="KJ160" s="1056"/>
      <c r="KK160" s="1056"/>
      <c r="KL160" s="1056"/>
      <c r="KM160" s="1056"/>
      <c r="KN160" s="1056"/>
      <c r="KO160" s="1056"/>
      <c r="KP160" s="1056"/>
      <c r="KQ160" s="1056"/>
      <c r="KR160" s="1056"/>
      <c r="KS160" s="1056"/>
      <c r="KT160" s="1056"/>
      <c r="KU160" s="1056"/>
      <c r="KV160" s="1056"/>
      <c r="KW160" s="1056"/>
      <c r="KX160" s="1056"/>
      <c r="KY160" s="1056"/>
      <c r="KZ160" s="1056"/>
      <c r="LA160" s="1056"/>
      <c r="LB160" s="1056"/>
      <c r="LC160" s="1056"/>
      <c r="LD160" s="1056"/>
      <c r="LE160" s="1056"/>
      <c r="LF160" s="1056"/>
      <c r="LG160" s="1056"/>
      <c r="LH160" s="1056"/>
      <c r="LI160" s="1056"/>
      <c r="LJ160" s="1056"/>
      <c r="LK160" s="1056"/>
      <c r="LL160" s="1056"/>
      <c r="LM160" s="1056"/>
      <c r="LN160" s="1056"/>
      <c r="LO160" s="1056"/>
      <c r="LP160" s="1056"/>
      <c r="LQ160" s="1056"/>
      <c r="LR160" s="1056"/>
      <c r="LS160" s="1056"/>
      <c r="LT160" s="1056"/>
      <c r="LU160" s="1056"/>
      <c r="LV160" s="1056"/>
      <c r="LW160" s="1056"/>
      <c r="LX160" s="1056"/>
      <c r="LY160" s="1056"/>
      <c r="LZ160" s="1056"/>
      <c r="MA160" s="1056"/>
      <c r="MB160" s="1056"/>
      <c r="MC160" s="1056"/>
      <c r="MD160" s="1056"/>
      <c r="ME160" s="1056"/>
      <c r="MF160" s="1056"/>
      <c r="MG160" s="1056"/>
      <c r="MH160" s="1056"/>
      <c r="MI160" s="1056"/>
      <c r="MJ160" s="1056"/>
      <c r="MK160" s="1056"/>
      <c r="ML160" s="1056"/>
      <c r="MM160" s="1056"/>
      <c r="MN160" s="1056"/>
      <c r="MO160" s="1056"/>
      <c r="MP160" s="1056"/>
      <c r="MQ160" s="1056"/>
      <c r="MR160" s="1056"/>
      <c r="MS160" s="1056"/>
      <c r="MT160" s="1056"/>
      <c r="MU160" s="1056"/>
      <c r="MV160" s="1056"/>
      <c r="MW160" s="1056"/>
      <c r="MX160" s="1056"/>
      <c r="MY160" s="1056"/>
      <c r="MZ160" s="1056"/>
      <c r="NA160" s="1056"/>
      <c r="NB160" s="1056"/>
      <c r="NC160" s="1056"/>
      <c r="ND160" s="1056"/>
      <c r="NE160" s="1056"/>
      <c r="NF160" s="1056"/>
      <c r="NG160" s="1056"/>
      <c r="NH160" s="1056"/>
      <c r="NI160" s="1056"/>
      <c r="NJ160" s="1056"/>
      <c r="NK160" s="1056"/>
      <c r="NL160" s="1056"/>
      <c r="NM160" s="1056"/>
      <c r="NN160" s="1056"/>
      <c r="NO160" s="1056"/>
      <c r="NP160" s="1056"/>
      <c r="NQ160" s="1056"/>
      <c r="NR160" s="1056"/>
      <c r="NS160" s="1056"/>
      <c r="NT160" s="1056"/>
      <c r="NU160" s="1056"/>
      <c r="NV160" s="1056"/>
      <c r="NW160" s="1056"/>
      <c r="NX160" s="1056"/>
      <c r="NY160" s="1056"/>
      <c r="NZ160" s="1056"/>
      <c r="OA160" s="1056"/>
      <c r="OB160" s="1056"/>
      <c r="OC160" s="1056"/>
      <c r="OD160" s="1056"/>
      <c r="OE160" s="1056"/>
      <c r="OF160" s="1056"/>
      <c r="OG160" s="1056"/>
      <c r="OH160" s="1056"/>
      <c r="OI160" s="1056"/>
      <c r="OJ160" s="1056"/>
      <c r="OK160" s="1056"/>
      <c r="OL160" s="1056"/>
      <c r="OM160" s="1056"/>
      <c r="ON160" s="1056"/>
      <c r="OO160" s="1056"/>
      <c r="OP160" s="1056"/>
      <c r="OQ160" s="1056"/>
      <c r="OR160" s="1056"/>
      <c r="OS160" s="1056"/>
      <c r="OT160" s="1056"/>
      <c r="OU160" s="1056"/>
      <c r="OV160" s="1056"/>
      <c r="OW160" s="1056"/>
      <c r="OX160" s="1056"/>
      <c r="OY160" s="1056"/>
      <c r="OZ160" s="1056"/>
      <c r="PA160" s="1056"/>
      <c r="PB160" s="1056"/>
      <c r="PC160" s="1056"/>
      <c r="PD160" s="1056"/>
      <c r="PE160" s="1056"/>
      <c r="PF160" s="1056"/>
      <c r="PG160" s="1056"/>
      <c r="PH160" s="1056"/>
      <c r="PI160" s="1056"/>
      <c r="PJ160" s="1056"/>
      <c r="PK160" s="1056"/>
      <c r="PL160" s="1056"/>
      <c r="PM160" s="1056"/>
      <c r="PN160" s="1056"/>
      <c r="PO160" s="1056"/>
      <c r="PP160" s="1056"/>
      <c r="PQ160" s="1056"/>
      <c r="PR160" s="1056"/>
      <c r="PS160" s="1056"/>
      <c r="PT160" s="1056"/>
      <c r="PU160" s="1056"/>
      <c r="PV160" s="1056"/>
      <c r="PW160" s="1056"/>
      <c r="PX160" s="1056"/>
      <c r="PY160" s="1056"/>
      <c r="PZ160" s="1056"/>
      <c r="QA160" s="1056"/>
      <c r="QB160" s="1056"/>
      <c r="QC160" s="1056"/>
      <c r="QD160" s="1056"/>
      <c r="QE160" s="1056"/>
      <c r="QF160" s="1056"/>
      <c r="QG160" s="1056"/>
      <c r="QH160" s="1056"/>
      <c r="QI160" s="1056"/>
      <c r="QJ160" s="1056"/>
      <c r="QK160" s="1056"/>
      <c r="QL160" s="1056"/>
      <c r="QM160" s="1056"/>
      <c r="QN160" s="1056"/>
      <c r="QO160" s="1056"/>
      <c r="QP160" s="1056"/>
      <c r="QQ160" s="1056"/>
      <c r="QR160" s="1056"/>
      <c r="QS160" s="1056"/>
      <c r="QT160" s="1056"/>
      <c r="QU160" s="1056"/>
      <c r="QV160" s="1056"/>
      <c r="QW160" s="1056"/>
      <c r="QX160" s="1056"/>
      <c r="QY160" s="1056"/>
      <c r="QZ160" s="1056"/>
      <c r="RA160" s="1056"/>
      <c r="RB160" s="1056"/>
      <c r="RC160" s="1056"/>
      <c r="RD160" s="1056"/>
      <c r="RE160" s="1056"/>
      <c r="RF160" s="1056"/>
      <c r="RG160" s="1056"/>
      <c r="RH160" s="1056"/>
      <c r="RI160" s="1056"/>
      <c r="RJ160" s="1056"/>
      <c r="RK160" s="1056"/>
      <c r="RL160" s="1056"/>
      <c r="RM160" s="1056"/>
      <c r="RN160" s="1056"/>
      <c r="RO160" s="1056"/>
      <c r="RP160" s="1056"/>
      <c r="RQ160" s="1056"/>
      <c r="RR160" s="1056"/>
      <c r="RS160" s="1056"/>
      <c r="RT160" s="1056"/>
      <c r="RU160" s="1056"/>
      <c r="RV160" s="1056"/>
      <c r="RW160" s="1056"/>
      <c r="RX160" s="1056"/>
      <c r="RY160" s="1056"/>
      <c r="RZ160" s="1056"/>
      <c r="SA160" s="1056"/>
      <c r="SB160" s="1056"/>
      <c r="SC160" s="1056"/>
      <c r="SD160" s="1056"/>
      <c r="SE160" s="1056"/>
      <c r="SF160" s="1056"/>
      <c r="SG160" s="1056"/>
      <c r="SH160" s="1056"/>
      <c r="SI160" s="1056"/>
      <c r="SJ160" s="1056"/>
      <c r="SK160" s="1056"/>
      <c r="SL160" s="1056"/>
      <c r="SM160" s="1056"/>
      <c r="SN160" s="1056"/>
      <c r="SO160" s="1056"/>
      <c r="SP160" s="1056"/>
      <c r="SQ160" s="1056"/>
      <c r="SR160" s="1056"/>
      <c r="SS160" s="1056"/>
      <c r="ST160" s="1056"/>
      <c r="SU160" s="1056"/>
      <c r="SV160" s="1056"/>
      <c r="SW160" s="1056"/>
      <c r="SX160" s="1056"/>
      <c r="SY160" s="1056"/>
      <c r="SZ160" s="1056"/>
      <c r="TA160" s="1056"/>
      <c r="TB160" s="1056"/>
      <c r="TC160" s="1056"/>
      <c r="TD160" s="1056"/>
      <c r="TE160" s="1056"/>
      <c r="TF160" s="1056"/>
      <c r="TG160" s="1056"/>
      <c r="TH160" s="1056"/>
      <c r="TI160" s="1056"/>
      <c r="TJ160" s="1056"/>
      <c r="TK160" s="1056"/>
      <c r="TL160" s="1056"/>
      <c r="TM160" s="1056"/>
      <c r="TN160" s="1056"/>
      <c r="TO160" s="1056"/>
      <c r="TP160" s="1056"/>
      <c r="TQ160" s="1056"/>
      <c r="TR160" s="1056"/>
      <c r="TS160" s="1056"/>
      <c r="TT160" s="1056"/>
      <c r="TU160" s="1056"/>
      <c r="TV160" s="1056"/>
      <c r="TW160" s="1056"/>
      <c r="TX160" s="1056"/>
      <c r="TY160" s="1056"/>
      <c r="TZ160" s="1056"/>
      <c r="UA160" s="1056"/>
      <c r="UB160" s="1056"/>
      <c r="UC160" s="1056"/>
      <c r="UD160" s="1056"/>
      <c r="UE160" s="1056"/>
      <c r="UF160" s="1056"/>
      <c r="UG160" s="1056"/>
      <c r="UH160" s="1056"/>
      <c r="UI160" s="1056"/>
      <c r="UJ160" s="1056"/>
      <c r="UK160" s="1056"/>
      <c r="UL160" s="1056"/>
      <c r="UM160" s="1056"/>
      <c r="UN160" s="1056"/>
      <c r="UO160" s="1056"/>
      <c r="UP160" s="1056"/>
      <c r="UQ160" s="1056"/>
      <c r="UR160" s="1056"/>
      <c r="US160" s="1056"/>
      <c r="UT160" s="1056"/>
      <c r="UU160" s="1056"/>
      <c r="UV160" s="1056"/>
      <c r="UW160" s="1056"/>
      <c r="UX160" s="1056"/>
      <c r="UY160" s="1056"/>
      <c r="UZ160" s="1056"/>
      <c r="VA160" s="1056"/>
      <c r="VB160" s="1056"/>
      <c r="VC160" s="1056"/>
      <c r="VD160" s="1056"/>
      <c r="VE160" s="1056"/>
      <c r="VF160" s="1056"/>
      <c r="VG160" s="1056"/>
      <c r="VH160" s="1056"/>
      <c r="VI160" s="1056"/>
      <c r="VJ160" s="1056"/>
      <c r="VK160" s="1056"/>
      <c r="VL160" s="1056"/>
      <c r="VM160" s="1056"/>
      <c r="VN160" s="1056"/>
      <c r="VO160" s="1056"/>
      <c r="VP160" s="1056"/>
      <c r="VQ160" s="1056"/>
      <c r="VR160" s="1056"/>
      <c r="VS160" s="1056"/>
      <c r="VT160" s="1056"/>
      <c r="VU160" s="1056"/>
      <c r="VV160" s="1056"/>
      <c r="VW160" s="1056"/>
      <c r="VX160" s="1056"/>
      <c r="VY160" s="1056"/>
      <c r="VZ160" s="1056"/>
      <c r="WA160" s="1056"/>
      <c r="WB160" s="1056"/>
      <c r="WC160" s="1056"/>
      <c r="WD160" s="1056"/>
      <c r="WE160" s="1056"/>
      <c r="WF160" s="1056"/>
      <c r="WG160" s="1056"/>
      <c r="WH160" s="1056"/>
      <c r="WI160" s="1056"/>
      <c r="WJ160" s="1056"/>
      <c r="WK160" s="1056"/>
      <c r="WL160" s="1056"/>
      <c r="WM160" s="1056"/>
      <c r="WN160" s="1056"/>
      <c r="WO160" s="1056"/>
      <c r="WP160" s="1056"/>
      <c r="WQ160" s="1056"/>
      <c r="WR160" s="1056"/>
      <c r="WS160" s="1056"/>
      <c r="WT160" s="1056"/>
      <c r="WU160" s="1056"/>
      <c r="WV160" s="1056"/>
      <c r="WW160" s="1056"/>
      <c r="WX160" s="1056"/>
      <c r="WY160" s="1056"/>
      <c r="WZ160" s="1056"/>
      <c r="XA160" s="1056"/>
      <c r="XB160" s="1056"/>
      <c r="XC160" s="1056"/>
      <c r="XD160" s="1056"/>
      <c r="XE160" s="1056"/>
      <c r="XF160" s="1056"/>
      <c r="XG160" s="1056"/>
      <c r="XH160" s="1056"/>
      <c r="XI160" s="1056"/>
      <c r="XJ160" s="1056"/>
      <c r="XK160" s="1056"/>
      <c r="XL160" s="1056"/>
      <c r="XM160" s="1056"/>
      <c r="XN160" s="1056"/>
      <c r="XO160" s="1056"/>
      <c r="XP160" s="1056"/>
      <c r="XQ160" s="1056"/>
      <c r="XR160" s="1056"/>
      <c r="XS160" s="1056"/>
      <c r="XT160" s="1056"/>
      <c r="XU160" s="1056"/>
      <c r="XV160" s="1056"/>
      <c r="XW160" s="1056"/>
      <c r="XX160" s="1056"/>
      <c r="XY160" s="1056"/>
      <c r="XZ160" s="1056"/>
      <c r="YA160" s="1056"/>
      <c r="YB160" s="1056"/>
      <c r="YC160" s="1056"/>
      <c r="YD160" s="1056"/>
      <c r="YE160" s="1056"/>
      <c r="YF160" s="1056"/>
      <c r="YG160" s="1056"/>
      <c r="YH160" s="1056"/>
      <c r="YI160" s="1056"/>
      <c r="YJ160" s="1056"/>
      <c r="YK160" s="1056"/>
      <c r="YL160" s="1056"/>
      <c r="YM160" s="1056"/>
      <c r="YN160" s="1056"/>
      <c r="YO160" s="1056"/>
      <c r="YP160" s="1056"/>
      <c r="YQ160" s="1056"/>
      <c r="YR160" s="1056"/>
      <c r="YS160" s="1056"/>
      <c r="YT160" s="1056"/>
      <c r="YU160" s="1056"/>
      <c r="YV160" s="1056"/>
      <c r="YW160" s="1056"/>
      <c r="YX160" s="1056"/>
      <c r="YY160" s="1056"/>
      <c r="YZ160" s="1056"/>
      <c r="ZA160" s="1056"/>
      <c r="ZB160" s="1056"/>
      <c r="ZC160" s="1056"/>
      <c r="ZD160" s="1056"/>
      <c r="ZE160" s="1056"/>
      <c r="ZF160" s="1056"/>
      <c r="ZG160" s="1056"/>
      <c r="ZH160" s="1056"/>
      <c r="ZI160" s="1056"/>
      <c r="ZJ160" s="1056"/>
      <c r="ZK160" s="1056"/>
      <c r="ZL160" s="1056"/>
      <c r="ZM160" s="1056"/>
      <c r="ZN160" s="1056"/>
      <c r="ZO160" s="1056"/>
      <c r="ZP160" s="1056"/>
      <c r="ZQ160" s="1056"/>
      <c r="ZR160" s="1056"/>
      <c r="ZS160" s="1056"/>
      <c r="ZT160" s="1056"/>
      <c r="ZU160" s="1056"/>
      <c r="ZV160" s="1056"/>
      <c r="ZW160" s="1056"/>
      <c r="ZX160" s="1056"/>
      <c r="ZY160" s="1056"/>
      <c r="ZZ160" s="1056"/>
      <c r="AAA160" s="1056"/>
      <c r="AAB160" s="1056"/>
      <c r="AAC160" s="1056"/>
      <c r="AAD160" s="1056"/>
      <c r="AAE160" s="1056"/>
      <c r="AAF160" s="1056"/>
      <c r="AAG160" s="1056"/>
      <c r="AAH160" s="1056"/>
      <c r="AAI160" s="1056"/>
      <c r="AAJ160" s="1056"/>
      <c r="AAK160" s="1056"/>
      <c r="AAL160" s="1056"/>
      <c r="AAM160" s="1056"/>
      <c r="AAN160" s="1056"/>
      <c r="AAO160" s="1056"/>
      <c r="AAP160" s="1056"/>
      <c r="AAQ160" s="1056"/>
      <c r="AAR160" s="1056"/>
      <c r="AAS160" s="1056"/>
      <c r="AAT160" s="1056"/>
      <c r="AAU160" s="1056"/>
      <c r="AAV160" s="1056"/>
      <c r="AAW160" s="1056"/>
      <c r="AAX160" s="1056"/>
      <c r="AAY160" s="1056"/>
      <c r="AAZ160" s="1056"/>
      <c r="ABA160" s="1056"/>
      <c r="ABB160" s="1056"/>
      <c r="ABC160" s="1056"/>
      <c r="ABD160" s="1056"/>
      <c r="ABE160" s="1056"/>
      <c r="ABF160" s="1056"/>
      <c r="ABG160" s="1056"/>
      <c r="ABH160" s="1056"/>
      <c r="ABI160" s="1056"/>
      <c r="ABJ160" s="1056"/>
      <c r="ABK160" s="1056"/>
      <c r="ABL160" s="1056"/>
      <c r="ABM160" s="1056"/>
      <c r="ABN160" s="1056"/>
      <c r="ABO160" s="1056"/>
      <c r="ABP160" s="1056"/>
      <c r="ABQ160" s="1056"/>
      <c r="ABR160" s="1056"/>
      <c r="ABS160" s="1056"/>
      <c r="ABT160" s="1056"/>
      <c r="ABU160" s="1056"/>
      <c r="ABV160" s="1056"/>
      <c r="ABW160" s="1056"/>
      <c r="ABX160" s="1056"/>
      <c r="ABY160" s="1056"/>
      <c r="ABZ160" s="1056"/>
      <c r="ACA160" s="1056"/>
      <c r="ACB160" s="1056"/>
      <c r="ACC160" s="1056"/>
      <c r="ACD160" s="1056"/>
      <c r="ACE160" s="1056"/>
      <c r="ACF160" s="1056"/>
      <c r="ACG160" s="1056"/>
      <c r="ACH160" s="1056"/>
      <c r="ACI160" s="1056"/>
      <c r="ACJ160" s="1056"/>
      <c r="ACK160" s="1056"/>
      <c r="ACL160" s="1056"/>
      <c r="ACM160" s="1056"/>
      <c r="ACN160" s="1056"/>
      <c r="ACO160" s="1056"/>
      <c r="ACP160" s="1056"/>
      <c r="ACQ160" s="1056"/>
      <c r="ACR160" s="1056"/>
      <c r="ACS160" s="1056"/>
      <c r="ACT160" s="1056"/>
      <c r="ACU160" s="1056"/>
      <c r="ACV160" s="1056"/>
      <c r="ACW160" s="1056"/>
      <c r="ACX160" s="1056"/>
      <c r="ACY160" s="1056"/>
      <c r="ACZ160" s="1056"/>
      <c r="ADA160" s="1056"/>
      <c r="ADB160" s="1056"/>
      <c r="ADC160" s="1056"/>
      <c r="ADD160" s="1056"/>
      <c r="ADE160" s="1056"/>
      <c r="ADF160" s="1056"/>
      <c r="ADG160" s="1056"/>
      <c r="ADH160" s="1056"/>
      <c r="ADI160" s="1056"/>
      <c r="ADJ160" s="1056"/>
      <c r="ADK160" s="1056"/>
      <c r="ADL160" s="1056"/>
      <c r="ADM160" s="1056"/>
      <c r="ADN160" s="1056"/>
      <c r="ADO160" s="1056"/>
      <c r="ADP160" s="1056"/>
      <c r="ADQ160" s="1056"/>
      <c r="ADR160" s="1056"/>
      <c r="ADS160" s="1056"/>
      <c r="ADT160" s="1056"/>
      <c r="ADU160" s="1056"/>
      <c r="ADV160" s="1056"/>
      <c r="ADW160" s="1056"/>
      <c r="ADX160" s="1056"/>
      <c r="ADY160" s="1056"/>
      <c r="ADZ160" s="1056"/>
      <c r="AEA160" s="1056"/>
      <c r="AEB160" s="1056"/>
      <c r="AEC160" s="1056"/>
      <c r="AED160" s="1056"/>
      <c r="AEE160" s="1056"/>
      <c r="AEF160" s="1056"/>
      <c r="AEG160" s="1056"/>
      <c r="AEH160" s="1056"/>
      <c r="AEI160" s="1056"/>
      <c r="AEJ160" s="1056"/>
      <c r="AEK160" s="1056"/>
      <c r="AEL160" s="1056"/>
      <c r="AEM160" s="1056"/>
      <c r="AEN160" s="1056"/>
      <c r="AEO160" s="1056"/>
      <c r="AEP160" s="1056"/>
      <c r="AEQ160" s="1056"/>
      <c r="AER160" s="1056"/>
      <c r="AES160" s="1056"/>
      <c r="AET160" s="1056"/>
      <c r="AEU160" s="1056"/>
      <c r="AEV160" s="1056"/>
      <c r="AEW160" s="1056"/>
      <c r="AEX160" s="1056"/>
      <c r="AEY160" s="1056"/>
      <c r="AEZ160" s="1056"/>
      <c r="AFA160" s="1056"/>
      <c r="AFB160" s="1056"/>
      <c r="AFC160" s="1056"/>
      <c r="AFD160" s="1056"/>
      <c r="AFE160" s="1056"/>
      <c r="AFF160" s="1056"/>
      <c r="AFG160" s="1056"/>
      <c r="AFH160" s="1056"/>
      <c r="AFI160" s="1056"/>
      <c r="AFJ160" s="1056"/>
      <c r="AFK160" s="1056"/>
      <c r="AFL160" s="1056"/>
      <c r="AFM160" s="1056"/>
      <c r="AFN160" s="1056"/>
      <c r="AFO160" s="1056"/>
      <c r="AFP160" s="1056"/>
      <c r="AFQ160" s="1056"/>
      <c r="AFR160" s="1056"/>
      <c r="AFS160" s="1056"/>
      <c r="AFT160" s="1056"/>
      <c r="AFU160" s="1056"/>
      <c r="AFV160" s="1056"/>
      <c r="AFW160" s="1056"/>
      <c r="AFX160" s="1056"/>
      <c r="AFY160" s="1056"/>
      <c r="AFZ160" s="1056"/>
      <c r="AGA160" s="1056"/>
      <c r="AGB160" s="1056"/>
      <c r="AGC160" s="1056"/>
      <c r="AGD160" s="1056"/>
      <c r="AGE160" s="1056"/>
      <c r="AGF160" s="1056"/>
      <c r="AGG160" s="1056"/>
      <c r="AGH160" s="1056"/>
      <c r="AGI160" s="1056"/>
      <c r="AGJ160" s="1056"/>
      <c r="AGK160" s="1056"/>
      <c r="AGL160" s="1056"/>
      <c r="AGM160" s="1056"/>
      <c r="AGN160" s="1056"/>
      <c r="AGO160" s="1056"/>
      <c r="AGP160" s="1056"/>
      <c r="AGQ160" s="1056"/>
      <c r="AGR160" s="1056"/>
      <c r="AGS160" s="1056"/>
      <c r="AGT160" s="1056"/>
      <c r="AGU160" s="1056"/>
      <c r="AGV160" s="1056"/>
      <c r="AGW160" s="1056"/>
      <c r="AGX160" s="1056"/>
      <c r="AGY160" s="1056"/>
      <c r="AGZ160" s="1056"/>
      <c r="AHA160" s="1056"/>
      <c r="AHB160" s="1056"/>
      <c r="AHC160" s="1056"/>
      <c r="AHD160" s="1056"/>
      <c r="AHE160" s="1056"/>
      <c r="AHF160" s="1056"/>
      <c r="AHG160" s="1056"/>
      <c r="AHH160" s="1056"/>
      <c r="AHI160" s="1056"/>
      <c r="AHJ160" s="1056"/>
      <c r="AHK160" s="1056"/>
      <c r="AHL160" s="1056"/>
      <c r="AHM160" s="1056"/>
      <c r="AHN160" s="1056"/>
      <c r="AHO160" s="1056"/>
      <c r="AHP160" s="1056"/>
      <c r="AHQ160" s="1056"/>
      <c r="AHR160" s="1056"/>
      <c r="AHS160" s="1056"/>
      <c r="AHT160" s="1056"/>
      <c r="AHU160" s="1056"/>
      <c r="AHV160" s="1056"/>
      <c r="AHW160" s="1056"/>
      <c r="AHX160" s="1056"/>
      <c r="AHY160" s="1056"/>
      <c r="AHZ160" s="1056"/>
      <c r="AIA160" s="1056"/>
      <c r="AIB160" s="1056"/>
      <c r="AIC160" s="1056"/>
      <c r="AID160" s="1056"/>
      <c r="AIE160" s="1056"/>
      <c r="AIF160" s="1056"/>
      <c r="AIG160" s="1056"/>
      <c r="AIH160" s="1056"/>
      <c r="AII160" s="1056"/>
      <c r="AIJ160" s="1056"/>
      <c r="AIK160" s="1056"/>
      <c r="AIL160" s="1056"/>
      <c r="AIM160" s="1056"/>
      <c r="AIN160" s="1056"/>
      <c r="AIO160" s="1056"/>
      <c r="AIP160" s="1056"/>
      <c r="AIQ160" s="1056"/>
      <c r="AIR160" s="1056"/>
      <c r="AIS160" s="1056"/>
      <c r="AIT160" s="1056"/>
      <c r="AIU160" s="1056"/>
      <c r="AIV160" s="1056"/>
      <c r="AIW160" s="1056"/>
      <c r="AIX160" s="1056"/>
      <c r="AIY160" s="1056"/>
      <c r="AIZ160" s="1056"/>
      <c r="AJA160" s="1056"/>
      <c r="AJB160" s="1056"/>
      <c r="AJC160" s="1056"/>
      <c r="AJD160" s="1056"/>
      <c r="AJE160" s="1056"/>
      <c r="AJF160" s="1056"/>
      <c r="AJG160" s="1056"/>
      <c r="AJH160" s="1056"/>
      <c r="AJI160" s="1056"/>
      <c r="AJJ160" s="1056"/>
      <c r="AJK160" s="1056"/>
      <c r="AJL160" s="1056"/>
      <c r="AJM160" s="1056"/>
      <c r="AJN160" s="1056"/>
      <c r="AJO160" s="1056"/>
      <c r="AJP160" s="1056"/>
      <c r="AJQ160" s="1056"/>
      <c r="AJR160" s="1056"/>
      <c r="AJS160" s="1056"/>
      <c r="AJT160" s="1056"/>
      <c r="AJU160" s="1056"/>
      <c r="AJV160" s="1056"/>
      <c r="AJW160" s="1056"/>
      <c r="AJX160" s="1056"/>
      <c r="AJY160" s="1056"/>
      <c r="AJZ160" s="1056"/>
      <c r="AKA160" s="1056"/>
      <c r="AKB160" s="1056"/>
      <c r="AKC160" s="1056"/>
      <c r="AKD160" s="1056"/>
      <c r="AKE160" s="1056"/>
      <c r="AKF160" s="1056"/>
      <c r="AKG160" s="1056"/>
      <c r="AKH160" s="1056"/>
      <c r="AKI160" s="1056"/>
      <c r="AKJ160" s="1056"/>
      <c r="AKK160" s="1056"/>
      <c r="AKL160" s="1056"/>
      <c r="AKM160" s="1056"/>
      <c r="AKN160" s="1056"/>
      <c r="AKO160" s="1056"/>
      <c r="AKP160" s="1056"/>
      <c r="AKQ160" s="1056"/>
      <c r="AKR160" s="1056"/>
      <c r="AKS160" s="1056"/>
      <c r="AKT160" s="1056"/>
      <c r="AKU160" s="1056"/>
      <c r="AKV160" s="1056"/>
      <c r="AKW160" s="1056"/>
      <c r="AKX160" s="1056"/>
      <c r="AKY160" s="1056"/>
      <c r="AKZ160" s="1056"/>
      <c r="ALA160" s="1056"/>
      <c r="ALB160" s="1056"/>
      <c r="ALC160" s="1056"/>
      <c r="ALD160" s="1056"/>
      <c r="ALE160" s="1056"/>
      <c r="ALF160" s="1056"/>
      <c r="ALG160" s="1056"/>
      <c r="ALH160" s="1056"/>
      <c r="ALI160" s="1056"/>
      <c r="ALJ160" s="1056"/>
      <c r="ALK160" s="1056"/>
      <c r="ALL160" s="1056"/>
      <c r="ALM160" s="1056"/>
      <c r="ALN160" s="1056"/>
      <c r="ALO160" s="1056"/>
      <c r="ALP160" s="1056"/>
      <c r="ALQ160" s="1056"/>
      <c r="ALR160" s="1056"/>
      <c r="ALS160" s="1056"/>
      <c r="ALT160" s="1056"/>
      <c r="ALU160" s="1056"/>
      <c r="ALV160" s="1056"/>
      <c r="ALW160" s="1056"/>
      <c r="ALX160" s="1056"/>
      <c r="ALY160" s="1056"/>
      <c r="ALZ160" s="1056"/>
      <c r="AMA160" s="1056"/>
      <c r="AMB160" s="1056"/>
      <c r="AMC160" s="1056"/>
      <c r="AMD160" s="1056"/>
      <c r="AME160" s="1056"/>
      <c r="AMF160" s="1056"/>
      <c r="AMG160" s="1056"/>
      <c r="AMH160" s="1056"/>
      <c r="AMI160" s="1056"/>
      <c r="AMJ160" s="1056"/>
      <c r="AMK160" s="1056"/>
      <c r="AML160" s="1056"/>
      <c r="AMM160" s="1056"/>
      <c r="AMN160" s="1056"/>
      <c r="AMO160" s="1056"/>
      <c r="AMP160" s="1056"/>
      <c r="AMQ160" s="1056"/>
      <c r="AMR160" s="1056"/>
      <c r="AMS160" s="1056"/>
      <c r="AMT160" s="1056"/>
      <c r="AMU160" s="1056"/>
      <c r="AMV160" s="1056"/>
      <c r="AMW160" s="1056"/>
      <c r="AMX160" s="1056"/>
      <c r="AMY160" s="1056"/>
      <c r="AMZ160" s="1056"/>
      <c r="ANA160" s="1056"/>
      <c r="ANB160" s="1056"/>
      <c r="ANC160" s="1056"/>
      <c r="AND160" s="1056"/>
      <c r="ANE160" s="1056"/>
      <c r="ANF160" s="1056"/>
      <c r="ANG160" s="1056"/>
      <c r="ANH160" s="1056"/>
      <c r="ANI160" s="1056"/>
      <c r="ANJ160" s="1056"/>
      <c r="ANK160" s="1056"/>
      <c r="ANL160" s="1056"/>
      <c r="ANM160" s="1056"/>
      <c r="ANN160" s="1056"/>
      <c r="ANO160" s="1056"/>
      <c r="ANP160" s="1056"/>
      <c r="ANQ160" s="1056"/>
      <c r="ANR160" s="1056"/>
      <c r="ANS160" s="1056"/>
      <c r="ANT160" s="1056"/>
      <c r="ANU160" s="1056"/>
      <c r="ANV160" s="1056"/>
      <c r="ANW160" s="1056"/>
      <c r="ANX160" s="1056"/>
      <c r="ANY160" s="1056"/>
      <c r="ANZ160" s="1056"/>
      <c r="AOA160" s="1056"/>
      <c r="AOB160" s="1056"/>
      <c r="AOC160" s="1056"/>
      <c r="AOD160" s="1056"/>
      <c r="AOE160" s="1056"/>
      <c r="AOF160" s="1056"/>
      <c r="AOG160" s="1056"/>
      <c r="AOH160" s="1056"/>
      <c r="AOI160" s="1056"/>
      <c r="AOJ160" s="1056"/>
      <c r="AOK160" s="1056"/>
      <c r="AOL160" s="1056"/>
      <c r="AOM160" s="1056"/>
      <c r="AON160" s="1056"/>
      <c r="AOO160" s="1056"/>
      <c r="AOP160" s="1056"/>
      <c r="AOQ160" s="1056"/>
      <c r="AOR160" s="1056"/>
      <c r="AOS160" s="1056"/>
      <c r="AOT160" s="1056"/>
      <c r="AOU160" s="1056"/>
      <c r="AOV160" s="1056"/>
      <c r="AOW160" s="1056"/>
      <c r="AOX160" s="1056"/>
      <c r="AOY160" s="1056"/>
      <c r="AOZ160" s="1056"/>
      <c r="APA160" s="1056"/>
      <c r="APB160" s="1056"/>
      <c r="APC160" s="1056"/>
      <c r="APD160" s="1056"/>
      <c r="APE160" s="1056"/>
      <c r="APF160" s="1056"/>
      <c r="APG160" s="1056"/>
      <c r="APH160" s="1056"/>
      <c r="API160" s="1056"/>
      <c r="APJ160" s="1056"/>
      <c r="APK160" s="1056"/>
      <c r="APL160" s="1056"/>
      <c r="APM160" s="1056"/>
      <c r="APN160" s="1056"/>
      <c r="APO160" s="1056"/>
      <c r="APP160" s="1056"/>
      <c r="APQ160" s="1056"/>
      <c r="APR160" s="1056"/>
      <c r="APS160" s="1056"/>
      <c r="APT160" s="1056"/>
      <c r="APU160" s="1056"/>
      <c r="APV160" s="1056"/>
      <c r="APW160" s="1056"/>
      <c r="APX160" s="1056"/>
      <c r="APY160" s="1056"/>
      <c r="APZ160" s="1056"/>
      <c r="AQA160" s="1056"/>
      <c r="AQB160" s="1056"/>
      <c r="AQC160" s="1056"/>
      <c r="AQD160" s="1056"/>
      <c r="AQE160" s="1056"/>
      <c r="AQF160" s="1056"/>
      <c r="AQG160" s="1056"/>
      <c r="AQH160" s="1056"/>
      <c r="AQI160" s="1056"/>
      <c r="AQJ160" s="1056"/>
      <c r="AQK160" s="1056"/>
      <c r="AQL160" s="1056"/>
      <c r="AQM160" s="1056"/>
      <c r="AQN160" s="1056"/>
      <c r="AQO160" s="1056"/>
      <c r="AQP160" s="1056"/>
      <c r="AQQ160" s="1056"/>
      <c r="AQR160" s="1056"/>
      <c r="AQS160" s="1056"/>
      <c r="AQT160" s="1056"/>
      <c r="AQU160" s="1056"/>
      <c r="AQV160" s="1056"/>
      <c r="AQW160" s="1056"/>
      <c r="AQX160" s="1056"/>
      <c r="AQY160" s="1056"/>
      <c r="AQZ160" s="1056"/>
      <c r="ARA160" s="1056"/>
      <c r="ARB160" s="1056"/>
      <c r="ARC160" s="1056"/>
      <c r="ARD160" s="1056"/>
      <c r="ARE160" s="1056"/>
      <c r="ARF160" s="1056"/>
      <c r="ARG160" s="1056"/>
      <c r="ARH160" s="1056"/>
      <c r="ARI160" s="1056"/>
      <c r="ARJ160" s="1056"/>
      <c r="ARK160" s="1056"/>
      <c r="ARL160" s="1056"/>
      <c r="ARM160" s="1056"/>
      <c r="ARN160" s="1056"/>
      <c r="ARO160" s="1056"/>
      <c r="ARP160" s="1056"/>
      <c r="ARQ160" s="1056"/>
      <c r="ARR160" s="1056"/>
      <c r="ARS160" s="1056"/>
      <c r="ART160" s="1056"/>
      <c r="ARU160" s="1056"/>
      <c r="ARV160" s="1056"/>
      <c r="ARW160" s="1056"/>
      <c r="ARX160" s="1056"/>
      <c r="ARY160" s="1056"/>
      <c r="ARZ160" s="1056"/>
      <c r="ASA160" s="1056"/>
      <c r="ASB160" s="1056"/>
      <c r="ASC160" s="1056"/>
      <c r="ASD160" s="1056"/>
      <c r="ASE160" s="1056"/>
      <c r="ASF160" s="1056"/>
      <c r="ASG160" s="1056"/>
      <c r="ASH160" s="1056"/>
      <c r="ASI160" s="1056"/>
      <c r="ASJ160" s="1056"/>
      <c r="ASK160" s="1056"/>
      <c r="ASL160" s="1056"/>
      <c r="ASM160" s="1056"/>
      <c r="ASN160" s="1056"/>
      <c r="ASO160" s="1056"/>
      <c r="ASP160" s="1056"/>
      <c r="ASQ160" s="1056"/>
      <c r="ASR160" s="1056"/>
      <c r="ASS160" s="1056"/>
      <c r="AST160" s="1056"/>
      <c r="ASU160" s="1056"/>
      <c r="ASV160" s="1056"/>
      <c r="ASW160" s="1056"/>
      <c r="ASX160" s="1056"/>
      <c r="ASY160" s="1056"/>
      <c r="ASZ160" s="1056"/>
      <c r="ATA160" s="1056"/>
      <c r="ATB160" s="1056"/>
      <c r="ATC160" s="1056"/>
      <c r="ATD160" s="1056"/>
      <c r="ATE160" s="1056"/>
      <c r="ATF160" s="1056"/>
      <c r="ATG160" s="1056"/>
      <c r="ATH160" s="1056"/>
      <c r="ATI160" s="1056"/>
      <c r="ATJ160" s="1056"/>
      <c r="ATK160" s="1056"/>
      <c r="ATL160" s="1056"/>
      <c r="ATM160" s="1056"/>
      <c r="ATN160" s="1056"/>
      <c r="ATO160" s="1056"/>
      <c r="ATP160" s="1056"/>
      <c r="ATQ160" s="1056"/>
      <c r="ATR160" s="1056"/>
      <c r="ATS160" s="1056"/>
      <c r="ATT160" s="1056"/>
      <c r="ATU160" s="1056"/>
      <c r="ATV160" s="1056"/>
      <c r="ATW160" s="1056"/>
      <c r="ATX160" s="1056"/>
      <c r="ATY160" s="1056"/>
      <c r="ATZ160" s="1056"/>
      <c r="AUA160" s="1056"/>
      <c r="AUB160" s="1056"/>
      <c r="AUC160" s="1056"/>
      <c r="AUD160" s="1056"/>
      <c r="AUE160" s="1056"/>
      <c r="AUF160" s="1056"/>
      <c r="AUG160" s="1056"/>
      <c r="AUH160" s="1056"/>
      <c r="AUI160" s="1056"/>
      <c r="AUJ160" s="1056"/>
      <c r="AUK160" s="1056"/>
      <c r="AUL160" s="1056"/>
      <c r="AUM160" s="1056"/>
      <c r="AUN160" s="1056"/>
      <c r="AUO160" s="1056"/>
      <c r="AUP160" s="1056"/>
      <c r="AUQ160" s="1056"/>
      <c r="AUR160" s="1056"/>
      <c r="AUS160" s="1056"/>
      <c r="AUT160" s="1056"/>
      <c r="AUU160" s="1056"/>
      <c r="AUV160" s="1056"/>
      <c r="AUW160" s="1056"/>
      <c r="AUX160" s="1056"/>
      <c r="AUY160" s="1056"/>
      <c r="AUZ160" s="1056"/>
      <c r="AVA160" s="1056"/>
      <c r="AVB160" s="1056"/>
      <c r="AVC160" s="1056"/>
      <c r="AVD160" s="1056"/>
      <c r="AVE160" s="1056"/>
      <c r="AVF160" s="1056"/>
      <c r="AVG160" s="1056"/>
      <c r="AVH160" s="1056"/>
      <c r="AVI160" s="1056"/>
      <c r="AVJ160" s="1056"/>
      <c r="AVK160" s="1056"/>
      <c r="AVL160" s="1056"/>
      <c r="AVM160" s="1056"/>
      <c r="AVN160" s="1056"/>
      <c r="AVO160" s="1056"/>
      <c r="AVP160" s="1056"/>
      <c r="AVQ160" s="1056"/>
      <c r="AVR160" s="1056"/>
      <c r="AVS160" s="1056"/>
      <c r="AVT160" s="1056"/>
      <c r="AVU160" s="1056"/>
      <c r="AVV160" s="1056"/>
      <c r="AVW160" s="1056"/>
      <c r="AVX160" s="1056"/>
      <c r="AVY160" s="1056"/>
      <c r="AVZ160" s="1056"/>
      <c r="AWA160" s="1056"/>
      <c r="AWB160" s="1056"/>
      <c r="AWC160" s="1056"/>
      <c r="AWD160" s="1056"/>
      <c r="AWE160" s="1056"/>
      <c r="AWF160" s="1056"/>
      <c r="AWG160" s="1056"/>
      <c r="AWH160" s="1056"/>
      <c r="AWI160" s="1056"/>
      <c r="AWJ160" s="1056"/>
      <c r="AWK160" s="1056"/>
      <c r="AWL160" s="1056"/>
      <c r="AWM160" s="1056"/>
      <c r="AWN160" s="1056"/>
      <c r="AWO160" s="1056"/>
      <c r="AWP160" s="1056"/>
      <c r="AWQ160" s="1056"/>
      <c r="AWR160" s="1056"/>
      <c r="AWS160" s="1056"/>
      <c r="AWT160" s="1056"/>
      <c r="AWU160" s="1056"/>
      <c r="AWV160" s="1056"/>
      <c r="AWW160" s="1056"/>
      <c r="AWX160" s="1056"/>
      <c r="AWY160" s="1056"/>
      <c r="AWZ160" s="1056"/>
      <c r="AXA160" s="1056"/>
      <c r="AXB160" s="1056"/>
      <c r="AXC160" s="1056"/>
      <c r="AXD160" s="1056"/>
      <c r="AXE160" s="1056"/>
      <c r="AXF160" s="1056"/>
      <c r="AXG160" s="1056"/>
      <c r="AXH160" s="1056"/>
      <c r="AXI160" s="1056"/>
      <c r="AXJ160" s="1056"/>
      <c r="AXK160" s="1056"/>
      <c r="AXL160" s="1056"/>
      <c r="AXM160" s="1056"/>
      <c r="AXN160" s="1056"/>
      <c r="AXO160" s="1056"/>
      <c r="AXP160" s="1056"/>
      <c r="AXQ160" s="1056"/>
      <c r="AXR160" s="1056"/>
      <c r="AXS160" s="1056"/>
      <c r="AXT160" s="1056"/>
      <c r="AXU160" s="1056"/>
      <c r="AXV160" s="1056"/>
      <c r="AXW160" s="1056"/>
      <c r="AXX160" s="1056"/>
      <c r="AXY160" s="1056"/>
      <c r="AXZ160" s="1056"/>
      <c r="AYA160" s="1056"/>
      <c r="AYB160" s="1056"/>
      <c r="AYC160" s="1056"/>
      <c r="AYD160" s="1056"/>
      <c r="AYE160" s="1056"/>
      <c r="AYF160" s="1056"/>
      <c r="AYG160" s="1056"/>
      <c r="AYH160" s="1056"/>
      <c r="AYI160" s="1056"/>
      <c r="AYJ160" s="1056"/>
      <c r="AYK160" s="1056"/>
      <c r="AYL160" s="1056"/>
      <c r="AYM160" s="1056"/>
      <c r="AYN160" s="1056"/>
      <c r="AYO160" s="1056"/>
      <c r="AYP160" s="1056"/>
      <c r="AYQ160" s="1056"/>
      <c r="AYR160" s="1056"/>
      <c r="AYS160" s="1056"/>
      <c r="AYT160" s="1056"/>
      <c r="AYU160" s="1056"/>
      <c r="AYV160" s="1056"/>
      <c r="AYW160" s="1056"/>
      <c r="AYX160" s="1056"/>
      <c r="AYY160" s="1056"/>
      <c r="AYZ160" s="1056"/>
      <c r="AZA160" s="1056"/>
      <c r="AZB160" s="1056"/>
      <c r="AZC160" s="1056"/>
      <c r="AZD160" s="1056"/>
      <c r="AZE160" s="1056"/>
      <c r="AZF160" s="1056"/>
      <c r="AZG160" s="1056"/>
      <c r="AZH160" s="1056"/>
      <c r="AZI160" s="1056"/>
      <c r="AZJ160" s="1056"/>
      <c r="AZK160" s="1056"/>
      <c r="AZL160" s="1056"/>
      <c r="AZM160" s="1056"/>
      <c r="AZN160" s="1056"/>
      <c r="AZO160" s="1056"/>
      <c r="AZP160" s="1056"/>
      <c r="AZQ160" s="1056"/>
      <c r="AZR160" s="1056"/>
      <c r="AZS160" s="1056"/>
      <c r="AZT160" s="1056"/>
      <c r="AZU160" s="1056"/>
      <c r="AZV160" s="1056"/>
      <c r="AZW160" s="1056"/>
      <c r="AZX160" s="1056"/>
      <c r="AZY160" s="1056"/>
      <c r="AZZ160" s="1056"/>
      <c r="BAA160" s="1056"/>
      <c r="BAB160" s="1056"/>
      <c r="BAC160" s="1056"/>
      <c r="BAD160" s="1056"/>
      <c r="BAE160" s="1056"/>
      <c r="BAF160" s="1056"/>
      <c r="BAG160" s="1056"/>
      <c r="BAH160" s="1056"/>
      <c r="BAI160" s="1056"/>
      <c r="BAJ160" s="1056"/>
      <c r="BAK160" s="1056"/>
      <c r="BAL160" s="1056"/>
      <c r="BAM160" s="1056"/>
      <c r="BAN160" s="1056"/>
      <c r="BAO160" s="1056"/>
      <c r="BAP160" s="1056"/>
      <c r="BAQ160" s="1056"/>
      <c r="BAR160" s="1056"/>
      <c r="BAS160" s="1056"/>
      <c r="BAT160" s="1056"/>
      <c r="BAU160" s="1056"/>
      <c r="BAV160" s="1056"/>
      <c r="BAW160" s="1056"/>
      <c r="BAX160" s="1056"/>
      <c r="BAY160" s="1056"/>
      <c r="BAZ160" s="1056"/>
      <c r="BBA160" s="1056"/>
      <c r="BBB160" s="1056"/>
      <c r="BBC160" s="1056"/>
      <c r="BBD160" s="1056"/>
      <c r="BBE160" s="1056"/>
      <c r="BBF160" s="1056"/>
      <c r="BBG160" s="1056"/>
      <c r="BBH160" s="1056"/>
      <c r="BBI160" s="1056"/>
      <c r="BBJ160" s="1056"/>
      <c r="BBK160" s="1056"/>
      <c r="BBL160" s="1056"/>
      <c r="BBM160" s="1056"/>
      <c r="BBN160" s="1056"/>
      <c r="BBO160" s="1056"/>
      <c r="BBP160" s="1056"/>
      <c r="BBQ160" s="1056"/>
      <c r="BBR160" s="1056"/>
      <c r="BBS160" s="1056"/>
      <c r="BBT160" s="1056"/>
      <c r="BBU160" s="1056"/>
      <c r="BBV160" s="1056"/>
      <c r="BBW160" s="1056"/>
      <c r="BBX160" s="1056"/>
      <c r="BBY160" s="1056"/>
      <c r="BBZ160" s="1056"/>
      <c r="BCA160" s="1056"/>
      <c r="BCB160" s="1056"/>
      <c r="BCC160" s="1056"/>
      <c r="BCD160" s="1056"/>
      <c r="BCE160" s="1056"/>
      <c r="BCF160" s="1056"/>
      <c r="BCG160" s="1056"/>
      <c r="BCH160" s="1056"/>
      <c r="BCI160" s="1056"/>
      <c r="BCJ160" s="1056"/>
      <c r="BCK160" s="1056"/>
      <c r="BCL160" s="1056"/>
      <c r="BCM160" s="1056"/>
      <c r="BCN160" s="1056"/>
      <c r="BCO160" s="1056"/>
      <c r="BCP160" s="1056"/>
      <c r="BCQ160" s="1056"/>
      <c r="BCR160" s="1056"/>
      <c r="BCS160" s="1056"/>
      <c r="BCT160" s="1056"/>
      <c r="BCU160" s="1056"/>
      <c r="BCV160" s="1056"/>
      <c r="BCW160" s="1056"/>
      <c r="BCX160" s="1056"/>
      <c r="BCY160" s="1056"/>
      <c r="BCZ160" s="1056"/>
      <c r="BDA160" s="1056"/>
      <c r="BDB160" s="1056"/>
      <c r="BDC160" s="1056"/>
      <c r="BDD160" s="1056"/>
      <c r="BDE160" s="1056"/>
      <c r="BDF160" s="1056"/>
      <c r="BDG160" s="1056"/>
      <c r="BDH160" s="1056"/>
      <c r="BDI160" s="1056"/>
      <c r="BDJ160" s="1056"/>
      <c r="BDK160" s="1056"/>
      <c r="BDL160" s="1056"/>
      <c r="BDM160" s="1056"/>
      <c r="BDN160" s="1056"/>
      <c r="BDO160" s="1056"/>
      <c r="BDP160" s="1056"/>
      <c r="BDQ160" s="1056"/>
      <c r="BDR160" s="1056"/>
      <c r="BDS160" s="1056"/>
      <c r="BDT160" s="1056"/>
      <c r="BDU160" s="1056"/>
      <c r="BDV160" s="1056"/>
      <c r="BDW160" s="1056"/>
      <c r="BDX160" s="1056"/>
      <c r="BDY160" s="1056"/>
      <c r="BDZ160" s="1056"/>
      <c r="BEA160" s="1056"/>
      <c r="BEB160" s="1056"/>
      <c r="BEC160" s="1056"/>
      <c r="BED160" s="1056"/>
      <c r="BEE160" s="1056"/>
      <c r="BEF160" s="1056"/>
      <c r="BEG160" s="1056"/>
      <c r="BEH160" s="1056"/>
      <c r="BEI160" s="1056"/>
      <c r="BEJ160" s="1056"/>
      <c r="BEK160" s="1056"/>
      <c r="BEL160" s="1056"/>
      <c r="BEM160" s="1056"/>
      <c r="BEN160" s="1056"/>
      <c r="BEO160" s="1056"/>
      <c r="BEP160" s="1056"/>
      <c r="BEQ160" s="1056"/>
      <c r="BER160" s="1056"/>
      <c r="BES160" s="1056"/>
      <c r="BET160" s="1056"/>
      <c r="BEU160" s="1056"/>
      <c r="BEV160" s="1056"/>
      <c r="BEW160" s="1056"/>
      <c r="BEX160" s="1056"/>
      <c r="BEY160" s="1056"/>
      <c r="BEZ160" s="1056"/>
      <c r="BFA160" s="1056"/>
      <c r="BFB160" s="1056"/>
      <c r="BFC160" s="1056"/>
      <c r="BFD160" s="1056"/>
      <c r="BFE160" s="1056"/>
      <c r="BFF160" s="1056"/>
      <c r="BFG160" s="1056"/>
      <c r="BFH160" s="1056"/>
      <c r="BFI160" s="1056"/>
      <c r="BFJ160" s="1056"/>
      <c r="BFK160" s="1056"/>
      <c r="BFL160" s="1056"/>
      <c r="BFM160" s="1056"/>
      <c r="BFN160" s="1056"/>
      <c r="BFO160" s="1056"/>
      <c r="BFP160" s="1056"/>
      <c r="BFQ160" s="1056"/>
      <c r="BFR160" s="1056"/>
      <c r="BFS160" s="1056"/>
      <c r="BFT160" s="1056"/>
      <c r="BFU160" s="1056"/>
      <c r="BFV160" s="1056"/>
      <c r="BFW160" s="1056"/>
      <c r="BFX160" s="1056"/>
      <c r="BFY160" s="1056"/>
      <c r="BFZ160" s="1056"/>
      <c r="BGA160" s="1056"/>
      <c r="BGB160" s="1056"/>
      <c r="BGC160" s="1056"/>
      <c r="BGD160" s="1056"/>
      <c r="BGE160" s="1056"/>
      <c r="BGF160" s="1056"/>
      <c r="BGG160" s="1056"/>
      <c r="BGH160" s="1056"/>
      <c r="BGI160" s="1056"/>
      <c r="BGJ160" s="1056"/>
      <c r="BGK160" s="1056"/>
      <c r="BGL160" s="1056"/>
      <c r="BGM160" s="1056"/>
      <c r="BGN160" s="1056"/>
      <c r="BGO160" s="1056"/>
      <c r="BGP160" s="1056"/>
      <c r="BGQ160" s="1056"/>
      <c r="BGR160" s="1056"/>
      <c r="BGS160" s="1056"/>
      <c r="BGT160" s="1056"/>
      <c r="BGU160" s="1056"/>
      <c r="BGV160" s="1056"/>
      <c r="BGW160" s="1056"/>
      <c r="BGX160" s="1056"/>
      <c r="BGY160" s="1056"/>
      <c r="BGZ160" s="1056"/>
      <c r="BHA160" s="1056"/>
      <c r="BHB160" s="1056"/>
      <c r="BHC160" s="1056"/>
      <c r="BHD160" s="1056"/>
      <c r="BHE160" s="1056"/>
      <c r="BHF160" s="1056"/>
      <c r="BHG160" s="1056"/>
      <c r="BHH160" s="1056"/>
      <c r="BHI160" s="1056"/>
      <c r="BHJ160" s="1056"/>
      <c r="BHK160" s="1056"/>
      <c r="BHL160" s="1056"/>
      <c r="BHM160" s="1056"/>
      <c r="BHN160" s="1056"/>
      <c r="BHO160" s="1056"/>
      <c r="BHP160" s="1056"/>
      <c r="BHQ160" s="1056"/>
      <c r="BHR160" s="1056"/>
      <c r="BHS160" s="1056"/>
      <c r="BHT160" s="1056"/>
      <c r="BHU160" s="1056"/>
      <c r="BHV160" s="1056"/>
      <c r="BHW160" s="1056"/>
      <c r="BHX160" s="1056"/>
      <c r="BHY160" s="1056"/>
      <c r="BHZ160" s="1056"/>
      <c r="BIA160" s="1056"/>
      <c r="BIB160" s="1056"/>
      <c r="BIC160" s="1056"/>
      <c r="BID160" s="1056"/>
      <c r="BIE160" s="1056"/>
      <c r="BIF160" s="1056"/>
      <c r="BIG160" s="1056"/>
      <c r="BIH160" s="1056"/>
      <c r="BII160" s="1056"/>
      <c r="BIJ160" s="1056"/>
      <c r="BIK160" s="1056"/>
      <c r="BIL160" s="1056"/>
      <c r="BIM160" s="1056"/>
      <c r="BIN160" s="1056"/>
      <c r="BIO160" s="1056"/>
      <c r="BIP160" s="1056"/>
      <c r="BIQ160" s="1056"/>
      <c r="BIR160" s="1056"/>
      <c r="BIS160" s="1056"/>
      <c r="BIT160" s="1056"/>
      <c r="BIU160" s="1056"/>
      <c r="BIV160" s="1056"/>
      <c r="BIW160" s="1056"/>
      <c r="BIX160" s="1056"/>
      <c r="BIY160" s="1056"/>
      <c r="BIZ160" s="1056"/>
      <c r="BJA160" s="1056"/>
      <c r="BJB160" s="1056"/>
      <c r="BJC160" s="1056"/>
      <c r="BJD160" s="1056"/>
      <c r="BJE160" s="1056"/>
      <c r="BJF160" s="1056"/>
      <c r="BJG160" s="1056"/>
      <c r="BJH160" s="1056"/>
      <c r="BJI160" s="1056"/>
      <c r="BJJ160" s="1056"/>
      <c r="BJK160" s="1056"/>
      <c r="BJL160" s="1056"/>
      <c r="BJM160" s="1056"/>
      <c r="BJN160" s="1056"/>
      <c r="BJO160" s="1056"/>
      <c r="BJP160" s="1056"/>
      <c r="BJQ160" s="1056"/>
      <c r="BJR160" s="1056"/>
      <c r="BJS160" s="1056"/>
      <c r="BJT160" s="1056"/>
      <c r="BJU160" s="1056"/>
      <c r="BJV160" s="1056"/>
      <c r="BJW160" s="1056"/>
      <c r="BJX160" s="1056"/>
      <c r="BJY160" s="1056"/>
      <c r="BJZ160" s="1056"/>
      <c r="BKA160" s="1056"/>
      <c r="BKB160" s="1056"/>
      <c r="BKC160" s="1056"/>
      <c r="BKD160" s="1056"/>
      <c r="BKE160" s="1056"/>
      <c r="BKF160" s="1056"/>
      <c r="BKG160" s="1056"/>
      <c r="BKH160" s="1056"/>
      <c r="BKI160" s="1056"/>
      <c r="BKJ160" s="1056"/>
      <c r="BKK160" s="1056"/>
      <c r="BKL160" s="1056"/>
      <c r="BKM160" s="1056"/>
      <c r="BKN160" s="1056"/>
      <c r="BKO160" s="1056"/>
      <c r="BKP160" s="1056"/>
      <c r="BKQ160" s="1056"/>
      <c r="BKR160" s="1056"/>
      <c r="BKS160" s="1056"/>
      <c r="BKT160" s="1056"/>
      <c r="BKU160" s="1056"/>
      <c r="BKV160" s="1056"/>
      <c r="BKW160" s="1056"/>
      <c r="BKX160" s="1056"/>
      <c r="BKY160" s="1056"/>
      <c r="BKZ160" s="1056"/>
      <c r="BLA160" s="1056"/>
      <c r="BLB160" s="1056"/>
      <c r="BLC160" s="1056"/>
      <c r="BLD160" s="1056"/>
      <c r="BLE160" s="1056"/>
      <c r="BLF160" s="1056"/>
      <c r="BLG160" s="1056"/>
      <c r="BLH160" s="1056"/>
      <c r="BLI160" s="1056"/>
      <c r="BLJ160" s="1056"/>
      <c r="BLK160" s="1056"/>
      <c r="BLL160" s="1056"/>
      <c r="BLM160" s="1056"/>
      <c r="BLN160" s="1056"/>
      <c r="BLO160" s="1056"/>
      <c r="BLP160" s="1056"/>
      <c r="BLQ160" s="1056"/>
      <c r="BLR160" s="1056"/>
      <c r="BLS160" s="1056"/>
      <c r="BLT160" s="1056"/>
      <c r="BLU160" s="1056"/>
      <c r="BLV160" s="1056"/>
      <c r="BLW160" s="1056"/>
      <c r="BLX160" s="1056"/>
      <c r="BLY160" s="1056"/>
      <c r="BLZ160" s="1056"/>
      <c r="BMA160" s="1056"/>
      <c r="BMB160" s="1056"/>
      <c r="BMC160" s="1056"/>
      <c r="BMD160" s="1056"/>
      <c r="BME160" s="1056"/>
      <c r="BMF160" s="1056"/>
      <c r="BMG160" s="1056"/>
      <c r="BMH160" s="1056"/>
      <c r="BMI160" s="1056"/>
      <c r="BMJ160" s="1056"/>
      <c r="BMK160" s="1056"/>
      <c r="BML160" s="1056"/>
      <c r="BMM160" s="1056"/>
      <c r="BMN160" s="1056"/>
      <c r="BMO160" s="1056"/>
      <c r="BMP160" s="1056"/>
      <c r="BMQ160" s="1056"/>
      <c r="BMR160" s="1056"/>
      <c r="BMS160" s="1056"/>
      <c r="BMT160" s="1056"/>
      <c r="BMU160" s="1056"/>
      <c r="BMV160" s="1056"/>
      <c r="BMW160" s="1056"/>
      <c r="BMX160" s="1056"/>
      <c r="BMY160" s="1056"/>
      <c r="BMZ160" s="1056"/>
      <c r="BNA160" s="1056"/>
      <c r="BNB160" s="1056"/>
      <c r="BNC160" s="1056"/>
      <c r="BND160" s="1056"/>
      <c r="BNE160" s="1056"/>
      <c r="BNF160" s="1056"/>
      <c r="BNG160" s="1056"/>
      <c r="BNH160" s="1056"/>
      <c r="BNI160" s="1056"/>
      <c r="BNJ160" s="1056"/>
      <c r="BNK160" s="1056"/>
      <c r="BNL160" s="1056"/>
      <c r="BNM160" s="1056"/>
      <c r="BNN160" s="1056"/>
      <c r="BNO160" s="1056"/>
      <c r="BNP160" s="1056"/>
      <c r="BNQ160" s="1056"/>
      <c r="BNR160" s="1056"/>
      <c r="BNS160" s="1056"/>
      <c r="BNT160" s="1056"/>
      <c r="BNU160" s="1056"/>
      <c r="BNV160" s="1056"/>
      <c r="BNW160" s="1056"/>
      <c r="BNX160" s="1056"/>
      <c r="BNY160" s="1056"/>
      <c r="BNZ160" s="1056"/>
      <c r="BOA160" s="1056"/>
      <c r="BOB160" s="1056"/>
      <c r="BOC160" s="1056"/>
      <c r="BOD160" s="1056"/>
      <c r="BOE160" s="1056"/>
      <c r="BOF160" s="1056"/>
      <c r="BOG160" s="1056"/>
      <c r="BOH160" s="1056"/>
      <c r="BOI160" s="1056"/>
      <c r="BOJ160" s="1056"/>
      <c r="BOK160" s="1056"/>
      <c r="BOL160" s="1056"/>
      <c r="BOM160" s="1056"/>
      <c r="BON160" s="1056"/>
      <c r="BOO160" s="1056"/>
      <c r="BOP160" s="1056"/>
      <c r="BOQ160" s="1056"/>
      <c r="BOR160" s="1056"/>
      <c r="BOS160" s="1056"/>
      <c r="BOT160" s="1056"/>
      <c r="BOU160" s="1056"/>
      <c r="BOV160" s="1056"/>
      <c r="BOW160" s="1056"/>
      <c r="BOX160" s="1056"/>
      <c r="BOY160" s="1056"/>
      <c r="BOZ160" s="1056"/>
      <c r="BPA160" s="1056"/>
      <c r="BPB160" s="1056"/>
      <c r="BPC160" s="1056"/>
      <c r="BPD160" s="1056"/>
      <c r="BPE160" s="1056"/>
      <c r="BPF160" s="1056"/>
      <c r="BPG160" s="1056"/>
      <c r="BPH160" s="1056"/>
      <c r="BPI160" s="1056"/>
      <c r="BPJ160" s="1056"/>
      <c r="BPK160" s="1056"/>
      <c r="BPL160" s="1056"/>
      <c r="BPM160" s="1056"/>
      <c r="BPN160" s="1056"/>
      <c r="BPO160" s="1056"/>
      <c r="BPP160" s="1056"/>
      <c r="BPQ160" s="1056"/>
      <c r="BPR160" s="1056"/>
      <c r="BPS160" s="1056"/>
      <c r="BPT160" s="1056"/>
      <c r="BPU160" s="1056"/>
      <c r="BPV160" s="1056"/>
      <c r="BPW160" s="1056"/>
      <c r="BPX160" s="1056"/>
      <c r="BPY160" s="1056"/>
      <c r="BPZ160" s="1056"/>
      <c r="BQA160" s="1056"/>
      <c r="BQB160" s="1056"/>
      <c r="BQC160" s="1056"/>
      <c r="BQD160" s="1056"/>
      <c r="BQE160" s="1056"/>
      <c r="BQF160" s="1056"/>
      <c r="BQG160" s="1056"/>
      <c r="BQH160" s="1056"/>
      <c r="BQI160" s="1056"/>
      <c r="BQJ160" s="1056"/>
      <c r="BQK160" s="1056"/>
      <c r="BQL160" s="1056"/>
      <c r="BQM160" s="1056"/>
      <c r="BQN160" s="1056"/>
      <c r="BQO160" s="1056"/>
      <c r="BQP160" s="1056"/>
      <c r="BQQ160" s="1056"/>
      <c r="BQR160" s="1056"/>
      <c r="BQS160" s="1056"/>
      <c r="BQT160" s="1056"/>
      <c r="BQU160" s="1056"/>
      <c r="BQV160" s="1056"/>
      <c r="BQW160" s="1056"/>
      <c r="BQX160" s="1056"/>
      <c r="BQY160" s="1056"/>
      <c r="BQZ160" s="1056"/>
      <c r="BRA160" s="1056"/>
      <c r="BRB160" s="1056"/>
      <c r="BRC160" s="1056"/>
      <c r="BRD160" s="1056"/>
      <c r="BRE160" s="1056"/>
      <c r="BRF160" s="1056"/>
      <c r="BRG160" s="1056"/>
      <c r="BRH160" s="1056"/>
      <c r="BRI160" s="1056"/>
      <c r="BRJ160" s="1056"/>
      <c r="BRK160" s="1056"/>
      <c r="BRL160" s="1056"/>
      <c r="BRM160" s="1056"/>
      <c r="BRN160" s="1056"/>
      <c r="BRO160" s="1056"/>
      <c r="BRP160" s="1056"/>
      <c r="BRQ160" s="1056"/>
      <c r="BRR160" s="1056"/>
      <c r="BRS160" s="1056"/>
      <c r="BRT160" s="1056"/>
      <c r="BRU160" s="1056"/>
      <c r="BRV160" s="1056"/>
      <c r="BRW160" s="1056"/>
      <c r="BRX160" s="1056"/>
      <c r="BRY160" s="1056"/>
      <c r="BRZ160" s="1056"/>
      <c r="BSA160" s="1056"/>
      <c r="BSB160" s="1056"/>
      <c r="BSC160" s="1056"/>
      <c r="BSD160" s="1056"/>
      <c r="BSE160" s="1056"/>
      <c r="BSF160" s="1056"/>
      <c r="BSG160" s="1056"/>
      <c r="BSH160" s="1056"/>
      <c r="BSI160" s="1056"/>
      <c r="BSJ160" s="1056"/>
      <c r="BSK160" s="1056"/>
      <c r="BSL160" s="1056"/>
      <c r="BSM160" s="1056"/>
      <c r="BSN160" s="1056"/>
      <c r="BSO160" s="1056"/>
      <c r="BSP160" s="1056"/>
      <c r="BSQ160" s="1056"/>
      <c r="BSR160" s="1056"/>
      <c r="BSS160" s="1056"/>
      <c r="BST160" s="1056"/>
      <c r="BSU160" s="1056"/>
      <c r="BSV160" s="1056"/>
      <c r="BSW160" s="1056"/>
      <c r="BSX160" s="1056"/>
      <c r="BSY160" s="1056"/>
      <c r="BSZ160" s="1056"/>
      <c r="BTA160" s="1056"/>
      <c r="BTB160" s="1056"/>
      <c r="BTC160" s="1056"/>
      <c r="BTD160" s="1056"/>
      <c r="BTE160" s="1056"/>
      <c r="BTF160" s="1056"/>
      <c r="BTG160" s="1056"/>
      <c r="BTH160" s="1056"/>
      <c r="BTI160" s="1056"/>
    </row>
    <row r="161" spans="1:1881" s="1060" customFormat="1" ht="124.5" hidden="1" customHeight="1" x14ac:dyDescent="0.3">
      <c r="A161" s="333">
        <v>640</v>
      </c>
      <c r="B161" s="1093" t="s">
        <v>409</v>
      </c>
      <c r="C161" s="1085" t="s">
        <v>1400</v>
      </c>
      <c r="D161" s="1086" t="s">
        <v>1407</v>
      </c>
      <c r="E161" s="1053" t="e">
        <f>HLOOKUP($D$2,'2020 Data(H)'!$C$1:$AI$426,299,FALSE)</f>
        <v>#N/A</v>
      </c>
      <c r="F161" s="287">
        <v>0</v>
      </c>
      <c r="G161" s="740">
        <f>IF(F161&gt;F160,"Error: Please review components of current liabilities above. Account numbers 640&gt;639",)</f>
        <v>0</v>
      </c>
      <c r="H161" s="1092"/>
      <c r="I161" s="1091"/>
      <c r="J161" s="1056"/>
      <c r="K161" s="1056"/>
      <c r="L161" s="1056"/>
      <c r="M161" s="1056"/>
      <c r="N161" s="1058"/>
      <c r="O161" s="1056"/>
      <c r="P161" s="1056"/>
      <c r="Q161" s="1056"/>
      <c r="R161" s="1056"/>
      <c r="S161" s="1056"/>
      <c r="T161" s="1056"/>
      <c r="U161" s="1056"/>
      <c r="V161" s="1056"/>
      <c r="W161" s="1056"/>
      <c r="X161" s="1056"/>
      <c r="Y161" s="1056"/>
      <c r="Z161" s="333"/>
      <c r="AA161" s="333"/>
      <c r="AB161" s="333"/>
      <c r="AC161" s="333"/>
      <c r="AD161" s="333"/>
      <c r="AE161" s="333"/>
      <c r="AF161" s="333"/>
      <c r="AG161" s="333"/>
      <c r="AH161" s="333"/>
      <c r="AI161" s="333"/>
      <c r="AJ161" s="333"/>
      <c r="AK161" s="333"/>
      <c r="AL161" s="333"/>
      <c r="AM161" s="333"/>
      <c r="AN161" s="333"/>
      <c r="AO161" s="333"/>
      <c r="AP161" s="333"/>
      <c r="AQ161" s="333"/>
      <c r="AR161" s="333"/>
      <c r="AS161" s="1056"/>
      <c r="AT161" s="1056"/>
      <c r="AU161" s="1056"/>
      <c r="AV161" s="1056"/>
      <c r="AW161" s="1056"/>
      <c r="AX161" s="1056"/>
      <c r="AY161" s="1056"/>
      <c r="AZ161" s="1056"/>
      <c r="BA161" s="1056"/>
      <c r="BB161" s="1056"/>
      <c r="BC161" s="1056"/>
      <c r="BD161" s="1056"/>
      <c r="BE161" s="1056"/>
      <c r="BF161" s="1056"/>
      <c r="BG161" s="1056"/>
      <c r="BH161" s="1056"/>
      <c r="BI161" s="1056"/>
      <c r="BJ161" s="1056"/>
      <c r="BK161" s="1056"/>
      <c r="BL161" s="1056"/>
      <c r="BM161" s="1056"/>
      <c r="BN161" s="1056"/>
      <c r="BO161" s="1056"/>
      <c r="BP161" s="1056"/>
      <c r="BQ161" s="1056"/>
      <c r="BR161" s="1056"/>
      <c r="BS161" s="1056"/>
      <c r="BT161" s="1056"/>
      <c r="BU161" s="1056"/>
      <c r="BV161" s="1056"/>
      <c r="BW161" s="1056"/>
      <c r="BX161" s="1056"/>
      <c r="BY161" s="1056"/>
      <c r="BZ161" s="1056"/>
      <c r="CA161" s="1056"/>
      <c r="CB161" s="1056"/>
      <c r="CC161" s="1056"/>
      <c r="CD161" s="1056"/>
      <c r="CE161" s="1056"/>
      <c r="CF161" s="1056"/>
      <c r="CG161" s="1056"/>
      <c r="CH161" s="1056"/>
      <c r="CI161" s="1056"/>
      <c r="CJ161" s="1056"/>
      <c r="CK161" s="1056"/>
      <c r="CL161" s="1056"/>
      <c r="CM161" s="1056"/>
      <c r="CN161" s="1056"/>
      <c r="CO161" s="1056"/>
      <c r="CP161" s="1056"/>
      <c r="CQ161" s="1056"/>
      <c r="CR161" s="1056"/>
      <c r="CS161" s="1056"/>
      <c r="CT161" s="1056"/>
      <c r="CU161" s="1056"/>
      <c r="CV161" s="1056"/>
      <c r="CW161" s="1056"/>
      <c r="CX161" s="1056"/>
      <c r="CY161" s="1056"/>
      <c r="CZ161" s="1056"/>
      <c r="DA161" s="1056"/>
      <c r="DB161" s="1056"/>
      <c r="DC161" s="1056"/>
      <c r="DD161" s="1056"/>
      <c r="DE161" s="1056"/>
      <c r="DF161" s="1056"/>
      <c r="DG161" s="1056"/>
      <c r="DH161" s="1056"/>
      <c r="DI161" s="1056"/>
      <c r="DJ161" s="1056"/>
      <c r="DK161" s="1056"/>
      <c r="DL161" s="1056"/>
      <c r="DM161" s="1056"/>
      <c r="DN161" s="1056"/>
      <c r="DO161" s="1056"/>
      <c r="DP161" s="1056"/>
      <c r="DQ161" s="1056"/>
      <c r="DR161" s="1056"/>
      <c r="DS161" s="1056"/>
      <c r="DT161" s="1056"/>
      <c r="DU161" s="1056"/>
      <c r="DV161" s="1056"/>
      <c r="DW161" s="1056"/>
      <c r="DX161" s="1056"/>
      <c r="DY161" s="1056"/>
      <c r="DZ161" s="1056"/>
      <c r="EA161" s="1056"/>
      <c r="EB161" s="1056"/>
      <c r="EC161" s="1056"/>
      <c r="ED161" s="1056"/>
      <c r="EE161" s="1056"/>
      <c r="EF161" s="1056"/>
      <c r="EG161" s="1056"/>
      <c r="EH161" s="1056"/>
      <c r="EI161" s="1056"/>
      <c r="EJ161" s="1056"/>
      <c r="EK161" s="1056"/>
      <c r="EL161" s="1056"/>
      <c r="EM161" s="1056"/>
      <c r="EN161" s="1056"/>
      <c r="EO161" s="1056"/>
      <c r="EP161" s="1056"/>
      <c r="EQ161" s="1056"/>
      <c r="ER161" s="1056"/>
      <c r="ES161" s="1056"/>
      <c r="ET161" s="1056"/>
      <c r="EU161" s="1056"/>
      <c r="EV161" s="1056"/>
      <c r="EW161" s="1056"/>
      <c r="EX161" s="1056"/>
      <c r="EY161" s="1056"/>
      <c r="EZ161" s="1056"/>
      <c r="FA161" s="1056"/>
      <c r="FB161" s="1056"/>
      <c r="FC161" s="1056"/>
      <c r="FD161" s="1056"/>
      <c r="FE161" s="1056"/>
      <c r="FF161" s="1056"/>
      <c r="FG161" s="1056"/>
      <c r="FH161" s="1056"/>
      <c r="FI161" s="1056"/>
      <c r="FJ161" s="1056"/>
      <c r="FK161" s="1056"/>
      <c r="FL161" s="1056"/>
      <c r="FM161" s="1056"/>
      <c r="FN161" s="1056"/>
      <c r="FO161" s="1056"/>
      <c r="FP161" s="1056"/>
      <c r="FQ161" s="1056"/>
      <c r="FR161" s="1056"/>
      <c r="FS161" s="1056"/>
      <c r="FT161" s="1056"/>
      <c r="FU161" s="1056"/>
      <c r="FV161" s="1056"/>
      <c r="FW161" s="1056"/>
      <c r="FX161" s="1056"/>
      <c r="FY161" s="1056"/>
      <c r="FZ161" s="1056"/>
      <c r="GA161" s="1056"/>
      <c r="GB161" s="1056"/>
      <c r="GC161" s="1056"/>
      <c r="GD161" s="1056"/>
      <c r="GE161" s="1056"/>
      <c r="GF161" s="1056"/>
      <c r="GG161" s="1056"/>
      <c r="GH161" s="1056"/>
      <c r="GI161" s="1056"/>
      <c r="GJ161" s="1056"/>
      <c r="GK161" s="1056"/>
      <c r="GL161" s="1056"/>
      <c r="GM161" s="1056"/>
      <c r="GN161" s="1056"/>
      <c r="GO161" s="1056"/>
      <c r="GP161" s="1056"/>
      <c r="GQ161" s="1056"/>
      <c r="GR161" s="1056"/>
      <c r="GS161" s="1056"/>
      <c r="GT161" s="1056"/>
      <c r="GU161" s="1056"/>
      <c r="GV161" s="1056"/>
      <c r="GW161" s="1056"/>
      <c r="GX161" s="1056"/>
      <c r="GY161" s="1056"/>
      <c r="GZ161" s="1056"/>
      <c r="HA161" s="1056"/>
      <c r="HB161" s="1056"/>
      <c r="HC161" s="1056"/>
      <c r="HD161" s="1056"/>
      <c r="HE161" s="1056"/>
      <c r="HF161" s="1056"/>
      <c r="HG161" s="1056"/>
      <c r="HH161" s="1056"/>
      <c r="HI161" s="1056"/>
      <c r="HJ161" s="1056"/>
      <c r="HK161" s="1056"/>
      <c r="HL161" s="1056"/>
      <c r="HM161" s="1056"/>
      <c r="HN161" s="1056"/>
      <c r="HO161" s="1056"/>
      <c r="HP161" s="1056"/>
      <c r="HQ161" s="1056"/>
      <c r="HR161" s="1056"/>
      <c r="HS161" s="1056"/>
      <c r="HT161" s="1056"/>
      <c r="HU161" s="1056"/>
      <c r="HV161" s="1056"/>
      <c r="HW161" s="1056"/>
      <c r="HX161" s="1056"/>
      <c r="HY161" s="1056"/>
      <c r="HZ161" s="1056"/>
      <c r="IA161" s="1056"/>
      <c r="IB161" s="1056"/>
      <c r="IC161" s="1056"/>
      <c r="ID161" s="1056"/>
      <c r="IE161" s="1056"/>
      <c r="IF161" s="1056"/>
      <c r="IG161" s="1056"/>
      <c r="IH161" s="1056"/>
      <c r="II161" s="1056"/>
      <c r="IJ161" s="1056"/>
      <c r="IK161" s="1056"/>
      <c r="IL161" s="1056"/>
      <c r="IM161" s="1056"/>
      <c r="IN161" s="1056"/>
      <c r="IO161" s="1056"/>
      <c r="IP161" s="1056"/>
      <c r="IQ161" s="1056"/>
      <c r="IR161" s="1056"/>
      <c r="IS161" s="1056"/>
      <c r="IT161" s="1056"/>
      <c r="IU161" s="1056"/>
      <c r="IV161" s="1056"/>
      <c r="IW161" s="1056"/>
      <c r="IX161" s="1056"/>
      <c r="IY161" s="1056"/>
      <c r="IZ161" s="1056"/>
      <c r="JA161" s="1056"/>
      <c r="JB161" s="1056"/>
      <c r="JC161" s="1056"/>
      <c r="JD161" s="1056"/>
      <c r="JE161" s="1056"/>
      <c r="JF161" s="1056"/>
      <c r="JG161" s="1056"/>
      <c r="JH161" s="1056"/>
      <c r="JI161" s="1056"/>
      <c r="JJ161" s="1056"/>
      <c r="JK161" s="1056"/>
      <c r="JL161" s="1056"/>
      <c r="JM161" s="1056"/>
      <c r="JN161" s="1056"/>
      <c r="JO161" s="1056"/>
      <c r="JP161" s="1056"/>
      <c r="JQ161" s="1056"/>
      <c r="JR161" s="1056"/>
      <c r="JS161" s="1056"/>
      <c r="JT161" s="1056"/>
      <c r="JU161" s="1056"/>
      <c r="JV161" s="1056"/>
      <c r="JW161" s="1056"/>
      <c r="JX161" s="1056"/>
      <c r="JY161" s="1056"/>
      <c r="JZ161" s="1056"/>
      <c r="KA161" s="1056"/>
      <c r="KB161" s="1056"/>
      <c r="KC161" s="1056"/>
      <c r="KD161" s="1056"/>
      <c r="KE161" s="1056"/>
      <c r="KF161" s="1056"/>
      <c r="KG161" s="1056"/>
      <c r="KH161" s="1056"/>
      <c r="KI161" s="1056"/>
      <c r="KJ161" s="1056"/>
      <c r="KK161" s="1056"/>
      <c r="KL161" s="1056"/>
      <c r="KM161" s="1056"/>
      <c r="KN161" s="1056"/>
      <c r="KO161" s="1056"/>
      <c r="KP161" s="1056"/>
      <c r="KQ161" s="1056"/>
      <c r="KR161" s="1056"/>
      <c r="KS161" s="1056"/>
      <c r="KT161" s="1056"/>
      <c r="KU161" s="1056"/>
      <c r="KV161" s="1056"/>
      <c r="KW161" s="1056"/>
      <c r="KX161" s="1056"/>
      <c r="KY161" s="1056"/>
      <c r="KZ161" s="1056"/>
      <c r="LA161" s="1056"/>
      <c r="LB161" s="1056"/>
      <c r="LC161" s="1056"/>
      <c r="LD161" s="1056"/>
      <c r="LE161" s="1056"/>
      <c r="LF161" s="1056"/>
      <c r="LG161" s="1056"/>
      <c r="LH161" s="1056"/>
      <c r="LI161" s="1056"/>
      <c r="LJ161" s="1056"/>
      <c r="LK161" s="1056"/>
      <c r="LL161" s="1056"/>
      <c r="LM161" s="1056"/>
      <c r="LN161" s="1056"/>
      <c r="LO161" s="1056"/>
      <c r="LP161" s="1056"/>
      <c r="LQ161" s="1056"/>
      <c r="LR161" s="1056"/>
      <c r="LS161" s="1056"/>
      <c r="LT161" s="1056"/>
      <c r="LU161" s="1056"/>
      <c r="LV161" s="1056"/>
      <c r="LW161" s="1056"/>
      <c r="LX161" s="1056"/>
      <c r="LY161" s="1056"/>
      <c r="LZ161" s="1056"/>
      <c r="MA161" s="1056"/>
      <c r="MB161" s="1056"/>
      <c r="MC161" s="1056"/>
      <c r="MD161" s="1056"/>
      <c r="ME161" s="1056"/>
      <c r="MF161" s="1056"/>
      <c r="MG161" s="1056"/>
      <c r="MH161" s="1056"/>
      <c r="MI161" s="1056"/>
      <c r="MJ161" s="1056"/>
      <c r="MK161" s="1056"/>
      <c r="ML161" s="1056"/>
      <c r="MM161" s="1056"/>
      <c r="MN161" s="1056"/>
      <c r="MO161" s="1056"/>
      <c r="MP161" s="1056"/>
      <c r="MQ161" s="1056"/>
      <c r="MR161" s="1056"/>
      <c r="MS161" s="1056"/>
      <c r="MT161" s="1056"/>
      <c r="MU161" s="1056"/>
      <c r="MV161" s="1056"/>
      <c r="MW161" s="1056"/>
      <c r="MX161" s="1056"/>
      <c r="MY161" s="1056"/>
      <c r="MZ161" s="1056"/>
      <c r="NA161" s="1056"/>
      <c r="NB161" s="1056"/>
      <c r="NC161" s="1056"/>
      <c r="ND161" s="1056"/>
      <c r="NE161" s="1056"/>
      <c r="NF161" s="1056"/>
      <c r="NG161" s="1056"/>
      <c r="NH161" s="1056"/>
      <c r="NI161" s="1056"/>
      <c r="NJ161" s="1056"/>
      <c r="NK161" s="1056"/>
      <c r="NL161" s="1056"/>
      <c r="NM161" s="1056"/>
      <c r="NN161" s="1056"/>
      <c r="NO161" s="1056"/>
      <c r="NP161" s="1056"/>
      <c r="NQ161" s="1056"/>
      <c r="NR161" s="1056"/>
      <c r="NS161" s="1056"/>
      <c r="NT161" s="1056"/>
      <c r="NU161" s="1056"/>
      <c r="NV161" s="1056"/>
      <c r="NW161" s="1056"/>
      <c r="NX161" s="1056"/>
      <c r="NY161" s="1056"/>
      <c r="NZ161" s="1056"/>
      <c r="OA161" s="1056"/>
      <c r="OB161" s="1056"/>
      <c r="OC161" s="1056"/>
      <c r="OD161" s="1056"/>
      <c r="OE161" s="1056"/>
      <c r="OF161" s="1056"/>
      <c r="OG161" s="1056"/>
      <c r="OH161" s="1056"/>
      <c r="OI161" s="1056"/>
      <c r="OJ161" s="1056"/>
      <c r="OK161" s="1056"/>
      <c r="OL161" s="1056"/>
      <c r="OM161" s="1056"/>
      <c r="ON161" s="1056"/>
      <c r="OO161" s="1056"/>
      <c r="OP161" s="1056"/>
      <c r="OQ161" s="1056"/>
      <c r="OR161" s="1056"/>
      <c r="OS161" s="1056"/>
      <c r="OT161" s="1056"/>
      <c r="OU161" s="1056"/>
      <c r="OV161" s="1056"/>
      <c r="OW161" s="1056"/>
      <c r="OX161" s="1056"/>
      <c r="OY161" s="1056"/>
      <c r="OZ161" s="1056"/>
      <c r="PA161" s="1056"/>
      <c r="PB161" s="1056"/>
      <c r="PC161" s="1056"/>
      <c r="PD161" s="1056"/>
      <c r="PE161" s="1056"/>
      <c r="PF161" s="1056"/>
      <c r="PG161" s="1056"/>
      <c r="PH161" s="1056"/>
      <c r="PI161" s="1056"/>
      <c r="PJ161" s="1056"/>
      <c r="PK161" s="1056"/>
      <c r="PL161" s="1056"/>
      <c r="PM161" s="1056"/>
      <c r="PN161" s="1056"/>
      <c r="PO161" s="1056"/>
      <c r="PP161" s="1056"/>
      <c r="PQ161" s="1056"/>
      <c r="PR161" s="1056"/>
      <c r="PS161" s="1056"/>
      <c r="PT161" s="1056"/>
      <c r="PU161" s="1056"/>
      <c r="PV161" s="1056"/>
      <c r="PW161" s="1056"/>
      <c r="PX161" s="1056"/>
      <c r="PY161" s="1056"/>
      <c r="PZ161" s="1056"/>
      <c r="QA161" s="1056"/>
      <c r="QB161" s="1056"/>
      <c r="QC161" s="1056"/>
      <c r="QD161" s="1056"/>
      <c r="QE161" s="1056"/>
      <c r="QF161" s="1056"/>
      <c r="QG161" s="1056"/>
      <c r="QH161" s="1056"/>
      <c r="QI161" s="1056"/>
      <c r="QJ161" s="1056"/>
      <c r="QK161" s="1056"/>
      <c r="QL161" s="1056"/>
      <c r="QM161" s="1056"/>
      <c r="QN161" s="1056"/>
      <c r="QO161" s="1056"/>
      <c r="QP161" s="1056"/>
      <c r="QQ161" s="1056"/>
      <c r="QR161" s="1056"/>
      <c r="QS161" s="1056"/>
      <c r="QT161" s="1056"/>
      <c r="QU161" s="1056"/>
      <c r="QV161" s="1056"/>
      <c r="QW161" s="1056"/>
      <c r="QX161" s="1056"/>
      <c r="QY161" s="1056"/>
      <c r="QZ161" s="1056"/>
      <c r="RA161" s="1056"/>
      <c r="RB161" s="1056"/>
      <c r="RC161" s="1056"/>
      <c r="RD161" s="1056"/>
      <c r="RE161" s="1056"/>
      <c r="RF161" s="1056"/>
      <c r="RG161" s="1056"/>
      <c r="RH161" s="1056"/>
      <c r="RI161" s="1056"/>
      <c r="RJ161" s="1056"/>
      <c r="RK161" s="1056"/>
      <c r="RL161" s="1056"/>
      <c r="RM161" s="1056"/>
      <c r="RN161" s="1056"/>
      <c r="RO161" s="1056"/>
      <c r="RP161" s="1056"/>
      <c r="RQ161" s="1056"/>
      <c r="RR161" s="1056"/>
      <c r="RS161" s="1056"/>
      <c r="RT161" s="1056"/>
      <c r="RU161" s="1056"/>
      <c r="RV161" s="1056"/>
      <c r="RW161" s="1056"/>
      <c r="RX161" s="1056"/>
      <c r="RY161" s="1056"/>
      <c r="RZ161" s="1056"/>
      <c r="SA161" s="1056"/>
      <c r="SB161" s="1056"/>
      <c r="SC161" s="1056"/>
      <c r="SD161" s="1056"/>
      <c r="SE161" s="1056"/>
      <c r="SF161" s="1056"/>
      <c r="SG161" s="1056"/>
      <c r="SH161" s="1056"/>
      <c r="SI161" s="1056"/>
      <c r="SJ161" s="1056"/>
      <c r="SK161" s="1056"/>
      <c r="SL161" s="1056"/>
      <c r="SM161" s="1056"/>
      <c r="SN161" s="1056"/>
      <c r="SO161" s="1056"/>
      <c r="SP161" s="1056"/>
      <c r="SQ161" s="1056"/>
      <c r="SR161" s="1056"/>
      <c r="SS161" s="1056"/>
      <c r="ST161" s="1056"/>
      <c r="SU161" s="1056"/>
      <c r="SV161" s="1056"/>
      <c r="SW161" s="1056"/>
      <c r="SX161" s="1056"/>
      <c r="SY161" s="1056"/>
      <c r="SZ161" s="1056"/>
      <c r="TA161" s="1056"/>
      <c r="TB161" s="1056"/>
      <c r="TC161" s="1056"/>
      <c r="TD161" s="1056"/>
      <c r="TE161" s="1056"/>
      <c r="TF161" s="1056"/>
      <c r="TG161" s="1056"/>
      <c r="TH161" s="1056"/>
      <c r="TI161" s="1056"/>
      <c r="TJ161" s="1056"/>
      <c r="TK161" s="1056"/>
      <c r="TL161" s="1056"/>
      <c r="TM161" s="1056"/>
      <c r="TN161" s="1056"/>
      <c r="TO161" s="1056"/>
      <c r="TP161" s="1056"/>
      <c r="TQ161" s="1056"/>
      <c r="TR161" s="1056"/>
      <c r="TS161" s="1056"/>
      <c r="TT161" s="1056"/>
      <c r="TU161" s="1056"/>
      <c r="TV161" s="1056"/>
      <c r="TW161" s="1056"/>
      <c r="TX161" s="1056"/>
      <c r="TY161" s="1056"/>
      <c r="TZ161" s="1056"/>
      <c r="UA161" s="1056"/>
      <c r="UB161" s="1056"/>
      <c r="UC161" s="1056"/>
      <c r="UD161" s="1056"/>
      <c r="UE161" s="1056"/>
      <c r="UF161" s="1056"/>
      <c r="UG161" s="1056"/>
      <c r="UH161" s="1056"/>
      <c r="UI161" s="1056"/>
      <c r="UJ161" s="1056"/>
      <c r="UK161" s="1056"/>
      <c r="UL161" s="1056"/>
      <c r="UM161" s="1056"/>
      <c r="UN161" s="1056"/>
      <c r="UO161" s="1056"/>
      <c r="UP161" s="1056"/>
      <c r="UQ161" s="1056"/>
      <c r="UR161" s="1056"/>
      <c r="US161" s="1056"/>
      <c r="UT161" s="1056"/>
      <c r="UU161" s="1056"/>
      <c r="UV161" s="1056"/>
      <c r="UW161" s="1056"/>
      <c r="UX161" s="1056"/>
      <c r="UY161" s="1056"/>
      <c r="UZ161" s="1056"/>
      <c r="VA161" s="1056"/>
      <c r="VB161" s="1056"/>
      <c r="VC161" s="1056"/>
      <c r="VD161" s="1056"/>
      <c r="VE161" s="1056"/>
      <c r="VF161" s="1056"/>
      <c r="VG161" s="1056"/>
      <c r="VH161" s="1056"/>
      <c r="VI161" s="1056"/>
      <c r="VJ161" s="1056"/>
      <c r="VK161" s="1056"/>
      <c r="VL161" s="1056"/>
      <c r="VM161" s="1056"/>
      <c r="VN161" s="1056"/>
      <c r="VO161" s="1056"/>
      <c r="VP161" s="1056"/>
      <c r="VQ161" s="1056"/>
      <c r="VR161" s="1056"/>
      <c r="VS161" s="1056"/>
      <c r="VT161" s="1056"/>
      <c r="VU161" s="1056"/>
      <c r="VV161" s="1056"/>
      <c r="VW161" s="1056"/>
      <c r="VX161" s="1056"/>
      <c r="VY161" s="1056"/>
      <c r="VZ161" s="1056"/>
      <c r="WA161" s="1056"/>
      <c r="WB161" s="1056"/>
      <c r="WC161" s="1056"/>
      <c r="WD161" s="1056"/>
      <c r="WE161" s="1056"/>
      <c r="WF161" s="1056"/>
      <c r="WG161" s="1056"/>
      <c r="WH161" s="1056"/>
      <c r="WI161" s="1056"/>
      <c r="WJ161" s="1056"/>
      <c r="WK161" s="1056"/>
      <c r="WL161" s="1056"/>
      <c r="WM161" s="1056"/>
      <c r="WN161" s="1056"/>
      <c r="WO161" s="1056"/>
      <c r="WP161" s="1056"/>
      <c r="WQ161" s="1056"/>
      <c r="WR161" s="1056"/>
      <c r="WS161" s="1056"/>
      <c r="WT161" s="1056"/>
      <c r="WU161" s="1056"/>
      <c r="WV161" s="1056"/>
      <c r="WW161" s="1056"/>
      <c r="WX161" s="1056"/>
      <c r="WY161" s="1056"/>
      <c r="WZ161" s="1056"/>
      <c r="XA161" s="1056"/>
      <c r="XB161" s="1056"/>
      <c r="XC161" s="1056"/>
      <c r="XD161" s="1056"/>
      <c r="XE161" s="1056"/>
      <c r="XF161" s="1056"/>
      <c r="XG161" s="1056"/>
      <c r="XH161" s="1056"/>
      <c r="XI161" s="1056"/>
      <c r="XJ161" s="1056"/>
      <c r="XK161" s="1056"/>
      <c r="XL161" s="1056"/>
      <c r="XM161" s="1056"/>
      <c r="XN161" s="1056"/>
      <c r="XO161" s="1056"/>
      <c r="XP161" s="1056"/>
      <c r="XQ161" s="1056"/>
      <c r="XR161" s="1056"/>
      <c r="XS161" s="1056"/>
      <c r="XT161" s="1056"/>
      <c r="XU161" s="1056"/>
      <c r="XV161" s="1056"/>
      <c r="XW161" s="1056"/>
      <c r="XX161" s="1056"/>
      <c r="XY161" s="1056"/>
      <c r="XZ161" s="1056"/>
      <c r="YA161" s="1056"/>
      <c r="YB161" s="1056"/>
      <c r="YC161" s="1056"/>
      <c r="YD161" s="1056"/>
      <c r="YE161" s="1056"/>
      <c r="YF161" s="1056"/>
      <c r="YG161" s="1056"/>
      <c r="YH161" s="1056"/>
      <c r="YI161" s="1056"/>
      <c r="YJ161" s="1056"/>
      <c r="YK161" s="1056"/>
      <c r="YL161" s="1056"/>
      <c r="YM161" s="1056"/>
      <c r="YN161" s="1056"/>
      <c r="YO161" s="1056"/>
      <c r="YP161" s="1056"/>
      <c r="YQ161" s="1056"/>
      <c r="YR161" s="1056"/>
      <c r="YS161" s="1056"/>
      <c r="YT161" s="1056"/>
      <c r="YU161" s="1056"/>
      <c r="YV161" s="1056"/>
      <c r="YW161" s="1056"/>
      <c r="YX161" s="1056"/>
      <c r="YY161" s="1056"/>
      <c r="YZ161" s="1056"/>
      <c r="ZA161" s="1056"/>
      <c r="ZB161" s="1056"/>
      <c r="ZC161" s="1056"/>
      <c r="ZD161" s="1056"/>
      <c r="ZE161" s="1056"/>
      <c r="ZF161" s="1056"/>
      <c r="ZG161" s="1056"/>
      <c r="ZH161" s="1056"/>
      <c r="ZI161" s="1056"/>
      <c r="ZJ161" s="1056"/>
      <c r="ZK161" s="1056"/>
      <c r="ZL161" s="1056"/>
      <c r="ZM161" s="1056"/>
      <c r="ZN161" s="1056"/>
      <c r="ZO161" s="1056"/>
      <c r="ZP161" s="1056"/>
      <c r="ZQ161" s="1056"/>
      <c r="ZR161" s="1056"/>
      <c r="ZS161" s="1056"/>
      <c r="ZT161" s="1056"/>
      <c r="ZU161" s="1056"/>
      <c r="ZV161" s="1056"/>
      <c r="ZW161" s="1056"/>
      <c r="ZX161" s="1056"/>
      <c r="ZY161" s="1056"/>
      <c r="ZZ161" s="1056"/>
      <c r="AAA161" s="1056"/>
      <c r="AAB161" s="1056"/>
      <c r="AAC161" s="1056"/>
      <c r="AAD161" s="1056"/>
      <c r="AAE161" s="1056"/>
      <c r="AAF161" s="1056"/>
      <c r="AAG161" s="1056"/>
      <c r="AAH161" s="1056"/>
      <c r="AAI161" s="1056"/>
      <c r="AAJ161" s="1056"/>
      <c r="AAK161" s="1056"/>
      <c r="AAL161" s="1056"/>
      <c r="AAM161" s="1056"/>
      <c r="AAN161" s="1056"/>
      <c r="AAO161" s="1056"/>
      <c r="AAP161" s="1056"/>
      <c r="AAQ161" s="1056"/>
      <c r="AAR161" s="1056"/>
      <c r="AAS161" s="1056"/>
      <c r="AAT161" s="1056"/>
      <c r="AAU161" s="1056"/>
      <c r="AAV161" s="1056"/>
      <c r="AAW161" s="1056"/>
      <c r="AAX161" s="1056"/>
      <c r="AAY161" s="1056"/>
      <c r="AAZ161" s="1056"/>
      <c r="ABA161" s="1056"/>
      <c r="ABB161" s="1056"/>
      <c r="ABC161" s="1056"/>
      <c r="ABD161" s="1056"/>
      <c r="ABE161" s="1056"/>
      <c r="ABF161" s="1056"/>
      <c r="ABG161" s="1056"/>
      <c r="ABH161" s="1056"/>
      <c r="ABI161" s="1056"/>
      <c r="ABJ161" s="1056"/>
      <c r="ABK161" s="1056"/>
      <c r="ABL161" s="1056"/>
      <c r="ABM161" s="1056"/>
      <c r="ABN161" s="1056"/>
      <c r="ABO161" s="1056"/>
      <c r="ABP161" s="1056"/>
      <c r="ABQ161" s="1056"/>
      <c r="ABR161" s="1056"/>
      <c r="ABS161" s="1056"/>
      <c r="ABT161" s="1056"/>
      <c r="ABU161" s="1056"/>
      <c r="ABV161" s="1056"/>
      <c r="ABW161" s="1056"/>
      <c r="ABX161" s="1056"/>
      <c r="ABY161" s="1056"/>
      <c r="ABZ161" s="1056"/>
      <c r="ACA161" s="1056"/>
      <c r="ACB161" s="1056"/>
      <c r="ACC161" s="1056"/>
      <c r="ACD161" s="1056"/>
      <c r="ACE161" s="1056"/>
      <c r="ACF161" s="1056"/>
      <c r="ACG161" s="1056"/>
      <c r="ACH161" s="1056"/>
      <c r="ACI161" s="1056"/>
      <c r="ACJ161" s="1056"/>
      <c r="ACK161" s="1056"/>
      <c r="ACL161" s="1056"/>
      <c r="ACM161" s="1056"/>
      <c r="ACN161" s="1056"/>
      <c r="ACO161" s="1056"/>
      <c r="ACP161" s="1056"/>
      <c r="ACQ161" s="1056"/>
      <c r="ACR161" s="1056"/>
      <c r="ACS161" s="1056"/>
      <c r="ACT161" s="1056"/>
      <c r="ACU161" s="1056"/>
      <c r="ACV161" s="1056"/>
      <c r="ACW161" s="1056"/>
      <c r="ACX161" s="1056"/>
      <c r="ACY161" s="1056"/>
      <c r="ACZ161" s="1056"/>
      <c r="ADA161" s="1056"/>
      <c r="ADB161" s="1056"/>
      <c r="ADC161" s="1056"/>
      <c r="ADD161" s="1056"/>
      <c r="ADE161" s="1056"/>
      <c r="ADF161" s="1056"/>
      <c r="ADG161" s="1056"/>
      <c r="ADH161" s="1056"/>
      <c r="ADI161" s="1056"/>
      <c r="ADJ161" s="1056"/>
      <c r="ADK161" s="1056"/>
      <c r="ADL161" s="1056"/>
      <c r="ADM161" s="1056"/>
      <c r="ADN161" s="1056"/>
      <c r="ADO161" s="1056"/>
      <c r="ADP161" s="1056"/>
      <c r="ADQ161" s="1056"/>
      <c r="ADR161" s="1056"/>
      <c r="ADS161" s="1056"/>
      <c r="ADT161" s="1056"/>
      <c r="ADU161" s="1056"/>
      <c r="ADV161" s="1056"/>
      <c r="ADW161" s="1056"/>
      <c r="ADX161" s="1056"/>
      <c r="ADY161" s="1056"/>
      <c r="ADZ161" s="1056"/>
      <c r="AEA161" s="1056"/>
      <c r="AEB161" s="1056"/>
      <c r="AEC161" s="1056"/>
      <c r="AED161" s="1056"/>
      <c r="AEE161" s="1056"/>
      <c r="AEF161" s="1056"/>
      <c r="AEG161" s="1056"/>
      <c r="AEH161" s="1056"/>
      <c r="AEI161" s="1056"/>
      <c r="AEJ161" s="1056"/>
      <c r="AEK161" s="1056"/>
      <c r="AEL161" s="1056"/>
      <c r="AEM161" s="1056"/>
      <c r="AEN161" s="1056"/>
      <c r="AEO161" s="1056"/>
      <c r="AEP161" s="1056"/>
      <c r="AEQ161" s="1056"/>
      <c r="AER161" s="1056"/>
      <c r="AES161" s="1056"/>
      <c r="AET161" s="1056"/>
      <c r="AEU161" s="1056"/>
      <c r="AEV161" s="1056"/>
      <c r="AEW161" s="1056"/>
      <c r="AEX161" s="1056"/>
      <c r="AEY161" s="1056"/>
      <c r="AEZ161" s="1056"/>
      <c r="AFA161" s="1056"/>
      <c r="AFB161" s="1056"/>
      <c r="AFC161" s="1056"/>
      <c r="AFD161" s="1056"/>
      <c r="AFE161" s="1056"/>
      <c r="AFF161" s="1056"/>
      <c r="AFG161" s="1056"/>
      <c r="AFH161" s="1056"/>
      <c r="AFI161" s="1056"/>
      <c r="AFJ161" s="1056"/>
      <c r="AFK161" s="1056"/>
      <c r="AFL161" s="1056"/>
      <c r="AFM161" s="1056"/>
      <c r="AFN161" s="1056"/>
      <c r="AFO161" s="1056"/>
      <c r="AFP161" s="1056"/>
      <c r="AFQ161" s="1056"/>
      <c r="AFR161" s="1056"/>
      <c r="AFS161" s="1056"/>
      <c r="AFT161" s="1056"/>
      <c r="AFU161" s="1056"/>
      <c r="AFV161" s="1056"/>
      <c r="AFW161" s="1056"/>
      <c r="AFX161" s="1056"/>
      <c r="AFY161" s="1056"/>
      <c r="AFZ161" s="1056"/>
      <c r="AGA161" s="1056"/>
      <c r="AGB161" s="1056"/>
      <c r="AGC161" s="1056"/>
      <c r="AGD161" s="1056"/>
      <c r="AGE161" s="1056"/>
      <c r="AGF161" s="1056"/>
      <c r="AGG161" s="1056"/>
      <c r="AGH161" s="1056"/>
      <c r="AGI161" s="1056"/>
      <c r="AGJ161" s="1056"/>
      <c r="AGK161" s="1056"/>
      <c r="AGL161" s="1056"/>
      <c r="AGM161" s="1056"/>
      <c r="AGN161" s="1056"/>
      <c r="AGO161" s="1056"/>
      <c r="AGP161" s="1056"/>
      <c r="AGQ161" s="1056"/>
      <c r="AGR161" s="1056"/>
      <c r="AGS161" s="1056"/>
      <c r="AGT161" s="1056"/>
      <c r="AGU161" s="1056"/>
      <c r="AGV161" s="1056"/>
      <c r="AGW161" s="1056"/>
      <c r="AGX161" s="1056"/>
      <c r="AGY161" s="1056"/>
      <c r="AGZ161" s="1056"/>
      <c r="AHA161" s="1056"/>
      <c r="AHB161" s="1056"/>
      <c r="AHC161" s="1056"/>
      <c r="AHD161" s="1056"/>
      <c r="AHE161" s="1056"/>
      <c r="AHF161" s="1056"/>
      <c r="AHG161" s="1056"/>
      <c r="AHH161" s="1056"/>
      <c r="AHI161" s="1056"/>
      <c r="AHJ161" s="1056"/>
      <c r="AHK161" s="1056"/>
      <c r="AHL161" s="1056"/>
      <c r="AHM161" s="1056"/>
      <c r="AHN161" s="1056"/>
      <c r="AHO161" s="1056"/>
      <c r="AHP161" s="1056"/>
      <c r="AHQ161" s="1056"/>
      <c r="AHR161" s="1056"/>
      <c r="AHS161" s="1056"/>
      <c r="AHT161" s="1056"/>
      <c r="AHU161" s="1056"/>
      <c r="AHV161" s="1056"/>
      <c r="AHW161" s="1056"/>
      <c r="AHX161" s="1056"/>
      <c r="AHY161" s="1056"/>
      <c r="AHZ161" s="1056"/>
      <c r="AIA161" s="1056"/>
      <c r="AIB161" s="1056"/>
      <c r="AIC161" s="1056"/>
      <c r="AID161" s="1056"/>
      <c r="AIE161" s="1056"/>
      <c r="AIF161" s="1056"/>
      <c r="AIG161" s="1056"/>
      <c r="AIH161" s="1056"/>
      <c r="AII161" s="1056"/>
      <c r="AIJ161" s="1056"/>
      <c r="AIK161" s="1056"/>
      <c r="AIL161" s="1056"/>
      <c r="AIM161" s="1056"/>
      <c r="AIN161" s="1056"/>
      <c r="AIO161" s="1056"/>
      <c r="AIP161" s="1056"/>
      <c r="AIQ161" s="1056"/>
      <c r="AIR161" s="1056"/>
      <c r="AIS161" s="1056"/>
      <c r="AIT161" s="1056"/>
      <c r="AIU161" s="1056"/>
      <c r="AIV161" s="1056"/>
      <c r="AIW161" s="1056"/>
      <c r="AIX161" s="1056"/>
      <c r="AIY161" s="1056"/>
      <c r="AIZ161" s="1056"/>
      <c r="AJA161" s="1056"/>
      <c r="AJB161" s="1056"/>
      <c r="AJC161" s="1056"/>
      <c r="AJD161" s="1056"/>
      <c r="AJE161" s="1056"/>
      <c r="AJF161" s="1056"/>
      <c r="AJG161" s="1056"/>
      <c r="AJH161" s="1056"/>
      <c r="AJI161" s="1056"/>
      <c r="AJJ161" s="1056"/>
      <c r="AJK161" s="1056"/>
      <c r="AJL161" s="1056"/>
      <c r="AJM161" s="1056"/>
      <c r="AJN161" s="1056"/>
      <c r="AJO161" s="1056"/>
      <c r="AJP161" s="1056"/>
      <c r="AJQ161" s="1056"/>
      <c r="AJR161" s="1056"/>
      <c r="AJS161" s="1056"/>
      <c r="AJT161" s="1056"/>
      <c r="AJU161" s="1056"/>
      <c r="AJV161" s="1056"/>
      <c r="AJW161" s="1056"/>
      <c r="AJX161" s="1056"/>
      <c r="AJY161" s="1056"/>
      <c r="AJZ161" s="1056"/>
      <c r="AKA161" s="1056"/>
      <c r="AKB161" s="1056"/>
      <c r="AKC161" s="1056"/>
      <c r="AKD161" s="1056"/>
      <c r="AKE161" s="1056"/>
      <c r="AKF161" s="1056"/>
      <c r="AKG161" s="1056"/>
      <c r="AKH161" s="1056"/>
      <c r="AKI161" s="1056"/>
      <c r="AKJ161" s="1056"/>
      <c r="AKK161" s="1056"/>
      <c r="AKL161" s="1056"/>
      <c r="AKM161" s="1056"/>
      <c r="AKN161" s="1056"/>
      <c r="AKO161" s="1056"/>
      <c r="AKP161" s="1056"/>
      <c r="AKQ161" s="1056"/>
      <c r="AKR161" s="1056"/>
      <c r="AKS161" s="1056"/>
      <c r="AKT161" s="1056"/>
      <c r="AKU161" s="1056"/>
      <c r="AKV161" s="1056"/>
      <c r="AKW161" s="1056"/>
      <c r="AKX161" s="1056"/>
      <c r="AKY161" s="1056"/>
      <c r="AKZ161" s="1056"/>
      <c r="ALA161" s="1056"/>
      <c r="ALB161" s="1056"/>
      <c r="ALC161" s="1056"/>
      <c r="ALD161" s="1056"/>
      <c r="ALE161" s="1056"/>
      <c r="ALF161" s="1056"/>
      <c r="ALG161" s="1056"/>
      <c r="ALH161" s="1056"/>
      <c r="ALI161" s="1056"/>
      <c r="ALJ161" s="1056"/>
      <c r="ALK161" s="1056"/>
      <c r="ALL161" s="1056"/>
      <c r="ALM161" s="1056"/>
      <c r="ALN161" s="1056"/>
      <c r="ALO161" s="1056"/>
      <c r="ALP161" s="1056"/>
      <c r="ALQ161" s="1056"/>
      <c r="ALR161" s="1056"/>
      <c r="ALS161" s="1056"/>
      <c r="ALT161" s="1056"/>
      <c r="ALU161" s="1056"/>
      <c r="ALV161" s="1056"/>
      <c r="ALW161" s="1056"/>
      <c r="ALX161" s="1056"/>
      <c r="ALY161" s="1056"/>
      <c r="ALZ161" s="1056"/>
      <c r="AMA161" s="1056"/>
      <c r="AMB161" s="1056"/>
      <c r="AMC161" s="1056"/>
      <c r="AMD161" s="1056"/>
      <c r="AME161" s="1056"/>
      <c r="AMF161" s="1056"/>
      <c r="AMG161" s="1056"/>
      <c r="AMH161" s="1056"/>
      <c r="AMI161" s="1056"/>
      <c r="AMJ161" s="1056"/>
      <c r="AMK161" s="1056"/>
      <c r="AML161" s="1056"/>
      <c r="AMM161" s="1056"/>
      <c r="AMN161" s="1056"/>
      <c r="AMO161" s="1056"/>
      <c r="AMP161" s="1056"/>
      <c r="AMQ161" s="1056"/>
      <c r="AMR161" s="1056"/>
      <c r="AMS161" s="1056"/>
      <c r="AMT161" s="1056"/>
      <c r="AMU161" s="1056"/>
      <c r="AMV161" s="1056"/>
      <c r="AMW161" s="1056"/>
      <c r="AMX161" s="1056"/>
      <c r="AMY161" s="1056"/>
      <c r="AMZ161" s="1056"/>
      <c r="ANA161" s="1056"/>
      <c r="ANB161" s="1056"/>
      <c r="ANC161" s="1056"/>
      <c r="AND161" s="1056"/>
      <c r="ANE161" s="1056"/>
      <c r="ANF161" s="1056"/>
      <c r="ANG161" s="1056"/>
      <c r="ANH161" s="1056"/>
      <c r="ANI161" s="1056"/>
      <c r="ANJ161" s="1056"/>
      <c r="ANK161" s="1056"/>
      <c r="ANL161" s="1056"/>
      <c r="ANM161" s="1056"/>
      <c r="ANN161" s="1056"/>
      <c r="ANO161" s="1056"/>
      <c r="ANP161" s="1056"/>
      <c r="ANQ161" s="1056"/>
      <c r="ANR161" s="1056"/>
      <c r="ANS161" s="1056"/>
      <c r="ANT161" s="1056"/>
      <c r="ANU161" s="1056"/>
      <c r="ANV161" s="1056"/>
      <c r="ANW161" s="1056"/>
      <c r="ANX161" s="1056"/>
      <c r="ANY161" s="1056"/>
      <c r="ANZ161" s="1056"/>
      <c r="AOA161" s="1056"/>
      <c r="AOB161" s="1056"/>
      <c r="AOC161" s="1056"/>
      <c r="AOD161" s="1056"/>
      <c r="AOE161" s="1056"/>
      <c r="AOF161" s="1056"/>
      <c r="AOG161" s="1056"/>
      <c r="AOH161" s="1056"/>
      <c r="AOI161" s="1056"/>
      <c r="AOJ161" s="1056"/>
      <c r="AOK161" s="1056"/>
      <c r="AOL161" s="1056"/>
      <c r="AOM161" s="1056"/>
      <c r="AON161" s="1056"/>
      <c r="AOO161" s="1056"/>
      <c r="AOP161" s="1056"/>
      <c r="AOQ161" s="1056"/>
      <c r="AOR161" s="1056"/>
      <c r="AOS161" s="1056"/>
      <c r="AOT161" s="1056"/>
      <c r="AOU161" s="1056"/>
      <c r="AOV161" s="1056"/>
      <c r="AOW161" s="1056"/>
      <c r="AOX161" s="1056"/>
      <c r="AOY161" s="1056"/>
      <c r="AOZ161" s="1056"/>
      <c r="APA161" s="1056"/>
      <c r="APB161" s="1056"/>
      <c r="APC161" s="1056"/>
      <c r="APD161" s="1056"/>
      <c r="APE161" s="1056"/>
      <c r="APF161" s="1056"/>
      <c r="APG161" s="1056"/>
      <c r="APH161" s="1056"/>
      <c r="API161" s="1056"/>
      <c r="APJ161" s="1056"/>
      <c r="APK161" s="1056"/>
      <c r="APL161" s="1056"/>
      <c r="APM161" s="1056"/>
      <c r="APN161" s="1056"/>
      <c r="APO161" s="1056"/>
      <c r="APP161" s="1056"/>
      <c r="APQ161" s="1056"/>
      <c r="APR161" s="1056"/>
      <c r="APS161" s="1056"/>
      <c r="APT161" s="1056"/>
      <c r="APU161" s="1056"/>
      <c r="APV161" s="1056"/>
      <c r="APW161" s="1056"/>
      <c r="APX161" s="1056"/>
      <c r="APY161" s="1056"/>
      <c r="APZ161" s="1056"/>
      <c r="AQA161" s="1056"/>
      <c r="AQB161" s="1056"/>
      <c r="AQC161" s="1056"/>
      <c r="AQD161" s="1056"/>
      <c r="AQE161" s="1056"/>
      <c r="AQF161" s="1056"/>
      <c r="AQG161" s="1056"/>
      <c r="AQH161" s="1056"/>
      <c r="AQI161" s="1056"/>
      <c r="AQJ161" s="1056"/>
      <c r="AQK161" s="1056"/>
      <c r="AQL161" s="1056"/>
      <c r="AQM161" s="1056"/>
      <c r="AQN161" s="1056"/>
      <c r="AQO161" s="1056"/>
      <c r="AQP161" s="1056"/>
      <c r="AQQ161" s="1056"/>
      <c r="AQR161" s="1056"/>
      <c r="AQS161" s="1056"/>
      <c r="AQT161" s="1056"/>
      <c r="AQU161" s="1056"/>
      <c r="AQV161" s="1056"/>
      <c r="AQW161" s="1056"/>
      <c r="AQX161" s="1056"/>
      <c r="AQY161" s="1056"/>
      <c r="AQZ161" s="1056"/>
      <c r="ARA161" s="1056"/>
      <c r="ARB161" s="1056"/>
      <c r="ARC161" s="1056"/>
      <c r="ARD161" s="1056"/>
      <c r="ARE161" s="1056"/>
      <c r="ARF161" s="1056"/>
      <c r="ARG161" s="1056"/>
      <c r="ARH161" s="1056"/>
      <c r="ARI161" s="1056"/>
      <c r="ARJ161" s="1056"/>
      <c r="ARK161" s="1056"/>
      <c r="ARL161" s="1056"/>
      <c r="ARM161" s="1056"/>
      <c r="ARN161" s="1056"/>
      <c r="ARO161" s="1056"/>
      <c r="ARP161" s="1056"/>
      <c r="ARQ161" s="1056"/>
      <c r="ARR161" s="1056"/>
      <c r="ARS161" s="1056"/>
      <c r="ART161" s="1056"/>
      <c r="ARU161" s="1056"/>
      <c r="ARV161" s="1056"/>
      <c r="ARW161" s="1056"/>
      <c r="ARX161" s="1056"/>
      <c r="ARY161" s="1056"/>
      <c r="ARZ161" s="1056"/>
      <c r="ASA161" s="1056"/>
      <c r="ASB161" s="1056"/>
      <c r="ASC161" s="1056"/>
      <c r="ASD161" s="1056"/>
      <c r="ASE161" s="1056"/>
      <c r="ASF161" s="1056"/>
      <c r="ASG161" s="1056"/>
      <c r="ASH161" s="1056"/>
      <c r="ASI161" s="1056"/>
      <c r="ASJ161" s="1056"/>
      <c r="ASK161" s="1056"/>
      <c r="ASL161" s="1056"/>
      <c r="ASM161" s="1056"/>
      <c r="ASN161" s="1056"/>
      <c r="ASO161" s="1056"/>
      <c r="ASP161" s="1056"/>
      <c r="ASQ161" s="1056"/>
      <c r="ASR161" s="1056"/>
      <c r="ASS161" s="1056"/>
      <c r="AST161" s="1056"/>
      <c r="ASU161" s="1056"/>
      <c r="ASV161" s="1056"/>
      <c r="ASW161" s="1056"/>
      <c r="ASX161" s="1056"/>
      <c r="ASY161" s="1056"/>
      <c r="ASZ161" s="1056"/>
      <c r="ATA161" s="1056"/>
      <c r="ATB161" s="1056"/>
      <c r="ATC161" s="1056"/>
      <c r="ATD161" s="1056"/>
      <c r="ATE161" s="1056"/>
      <c r="ATF161" s="1056"/>
      <c r="ATG161" s="1056"/>
      <c r="ATH161" s="1056"/>
      <c r="ATI161" s="1056"/>
      <c r="ATJ161" s="1056"/>
      <c r="ATK161" s="1056"/>
      <c r="ATL161" s="1056"/>
      <c r="ATM161" s="1056"/>
      <c r="ATN161" s="1056"/>
      <c r="ATO161" s="1056"/>
      <c r="ATP161" s="1056"/>
      <c r="ATQ161" s="1056"/>
      <c r="ATR161" s="1056"/>
      <c r="ATS161" s="1056"/>
      <c r="ATT161" s="1056"/>
      <c r="ATU161" s="1056"/>
      <c r="ATV161" s="1056"/>
      <c r="ATW161" s="1056"/>
      <c r="ATX161" s="1056"/>
      <c r="ATY161" s="1056"/>
      <c r="ATZ161" s="1056"/>
      <c r="AUA161" s="1056"/>
      <c r="AUB161" s="1056"/>
      <c r="AUC161" s="1056"/>
      <c r="AUD161" s="1056"/>
      <c r="AUE161" s="1056"/>
      <c r="AUF161" s="1056"/>
      <c r="AUG161" s="1056"/>
      <c r="AUH161" s="1056"/>
      <c r="AUI161" s="1056"/>
      <c r="AUJ161" s="1056"/>
      <c r="AUK161" s="1056"/>
      <c r="AUL161" s="1056"/>
      <c r="AUM161" s="1056"/>
      <c r="AUN161" s="1056"/>
      <c r="AUO161" s="1056"/>
      <c r="AUP161" s="1056"/>
      <c r="AUQ161" s="1056"/>
      <c r="AUR161" s="1056"/>
      <c r="AUS161" s="1056"/>
      <c r="AUT161" s="1056"/>
      <c r="AUU161" s="1056"/>
      <c r="AUV161" s="1056"/>
      <c r="AUW161" s="1056"/>
      <c r="AUX161" s="1056"/>
      <c r="AUY161" s="1056"/>
      <c r="AUZ161" s="1056"/>
      <c r="AVA161" s="1056"/>
      <c r="AVB161" s="1056"/>
      <c r="AVC161" s="1056"/>
      <c r="AVD161" s="1056"/>
      <c r="AVE161" s="1056"/>
      <c r="AVF161" s="1056"/>
      <c r="AVG161" s="1056"/>
      <c r="AVH161" s="1056"/>
      <c r="AVI161" s="1056"/>
      <c r="AVJ161" s="1056"/>
      <c r="AVK161" s="1056"/>
      <c r="AVL161" s="1056"/>
      <c r="AVM161" s="1056"/>
      <c r="AVN161" s="1056"/>
      <c r="AVO161" s="1056"/>
      <c r="AVP161" s="1056"/>
      <c r="AVQ161" s="1056"/>
      <c r="AVR161" s="1056"/>
      <c r="AVS161" s="1056"/>
      <c r="AVT161" s="1056"/>
      <c r="AVU161" s="1056"/>
      <c r="AVV161" s="1056"/>
      <c r="AVW161" s="1056"/>
      <c r="AVX161" s="1056"/>
      <c r="AVY161" s="1056"/>
      <c r="AVZ161" s="1056"/>
      <c r="AWA161" s="1056"/>
      <c r="AWB161" s="1056"/>
      <c r="AWC161" s="1056"/>
      <c r="AWD161" s="1056"/>
      <c r="AWE161" s="1056"/>
      <c r="AWF161" s="1056"/>
      <c r="AWG161" s="1056"/>
      <c r="AWH161" s="1056"/>
      <c r="AWI161" s="1056"/>
      <c r="AWJ161" s="1056"/>
      <c r="AWK161" s="1056"/>
      <c r="AWL161" s="1056"/>
      <c r="AWM161" s="1056"/>
      <c r="AWN161" s="1056"/>
      <c r="AWO161" s="1056"/>
      <c r="AWP161" s="1056"/>
      <c r="AWQ161" s="1056"/>
      <c r="AWR161" s="1056"/>
      <c r="AWS161" s="1056"/>
      <c r="AWT161" s="1056"/>
      <c r="AWU161" s="1056"/>
      <c r="AWV161" s="1056"/>
      <c r="AWW161" s="1056"/>
      <c r="AWX161" s="1056"/>
      <c r="AWY161" s="1056"/>
      <c r="AWZ161" s="1056"/>
      <c r="AXA161" s="1056"/>
      <c r="AXB161" s="1056"/>
      <c r="AXC161" s="1056"/>
      <c r="AXD161" s="1056"/>
      <c r="AXE161" s="1056"/>
      <c r="AXF161" s="1056"/>
      <c r="AXG161" s="1056"/>
      <c r="AXH161" s="1056"/>
      <c r="AXI161" s="1056"/>
      <c r="AXJ161" s="1056"/>
      <c r="AXK161" s="1056"/>
      <c r="AXL161" s="1056"/>
      <c r="AXM161" s="1056"/>
      <c r="AXN161" s="1056"/>
      <c r="AXO161" s="1056"/>
      <c r="AXP161" s="1056"/>
      <c r="AXQ161" s="1056"/>
      <c r="AXR161" s="1056"/>
      <c r="AXS161" s="1056"/>
      <c r="AXT161" s="1056"/>
      <c r="AXU161" s="1056"/>
      <c r="AXV161" s="1056"/>
      <c r="AXW161" s="1056"/>
      <c r="AXX161" s="1056"/>
      <c r="AXY161" s="1056"/>
      <c r="AXZ161" s="1056"/>
      <c r="AYA161" s="1056"/>
      <c r="AYB161" s="1056"/>
      <c r="AYC161" s="1056"/>
      <c r="AYD161" s="1056"/>
      <c r="AYE161" s="1056"/>
      <c r="AYF161" s="1056"/>
      <c r="AYG161" s="1056"/>
      <c r="AYH161" s="1056"/>
      <c r="AYI161" s="1056"/>
      <c r="AYJ161" s="1056"/>
      <c r="AYK161" s="1056"/>
      <c r="AYL161" s="1056"/>
      <c r="AYM161" s="1056"/>
      <c r="AYN161" s="1056"/>
      <c r="AYO161" s="1056"/>
      <c r="AYP161" s="1056"/>
      <c r="AYQ161" s="1056"/>
      <c r="AYR161" s="1056"/>
      <c r="AYS161" s="1056"/>
      <c r="AYT161" s="1056"/>
      <c r="AYU161" s="1056"/>
      <c r="AYV161" s="1056"/>
      <c r="AYW161" s="1056"/>
      <c r="AYX161" s="1056"/>
      <c r="AYY161" s="1056"/>
      <c r="AYZ161" s="1056"/>
      <c r="AZA161" s="1056"/>
      <c r="AZB161" s="1056"/>
      <c r="AZC161" s="1056"/>
      <c r="AZD161" s="1056"/>
      <c r="AZE161" s="1056"/>
      <c r="AZF161" s="1056"/>
      <c r="AZG161" s="1056"/>
      <c r="AZH161" s="1056"/>
      <c r="AZI161" s="1056"/>
      <c r="AZJ161" s="1056"/>
      <c r="AZK161" s="1056"/>
      <c r="AZL161" s="1056"/>
      <c r="AZM161" s="1056"/>
      <c r="AZN161" s="1056"/>
      <c r="AZO161" s="1056"/>
      <c r="AZP161" s="1056"/>
      <c r="AZQ161" s="1056"/>
      <c r="AZR161" s="1056"/>
      <c r="AZS161" s="1056"/>
      <c r="AZT161" s="1056"/>
      <c r="AZU161" s="1056"/>
      <c r="AZV161" s="1056"/>
      <c r="AZW161" s="1056"/>
      <c r="AZX161" s="1056"/>
      <c r="AZY161" s="1056"/>
      <c r="AZZ161" s="1056"/>
      <c r="BAA161" s="1056"/>
      <c r="BAB161" s="1056"/>
      <c r="BAC161" s="1056"/>
      <c r="BAD161" s="1056"/>
      <c r="BAE161" s="1056"/>
      <c r="BAF161" s="1056"/>
      <c r="BAG161" s="1056"/>
      <c r="BAH161" s="1056"/>
      <c r="BAI161" s="1056"/>
      <c r="BAJ161" s="1056"/>
      <c r="BAK161" s="1056"/>
      <c r="BAL161" s="1056"/>
      <c r="BAM161" s="1056"/>
      <c r="BAN161" s="1056"/>
      <c r="BAO161" s="1056"/>
      <c r="BAP161" s="1056"/>
      <c r="BAQ161" s="1056"/>
      <c r="BAR161" s="1056"/>
      <c r="BAS161" s="1056"/>
      <c r="BAT161" s="1056"/>
      <c r="BAU161" s="1056"/>
      <c r="BAV161" s="1056"/>
      <c r="BAW161" s="1056"/>
      <c r="BAX161" s="1056"/>
      <c r="BAY161" s="1056"/>
      <c r="BAZ161" s="1056"/>
      <c r="BBA161" s="1056"/>
      <c r="BBB161" s="1056"/>
      <c r="BBC161" s="1056"/>
      <c r="BBD161" s="1056"/>
      <c r="BBE161" s="1056"/>
      <c r="BBF161" s="1056"/>
      <c r="BBG161" s="1056"/>
      <c r="BBH161" s="1056"/>
      <c r="BBI161" s="1056"/>
      <c r="BBJ161" s="1056"/>
      <c r="BBK161" s="1056"/>
      <c r="BBL161" s="1056"/>
      <c r="BBM161" s="1056"/>
      <c r="BBN161" s="1056"/>
      <c r="BBO161" s="1056"/>
      <c r="BBP161" s="1056"/>
      <c r="BBQ161" s="1056"/>
      <c r="BBR161" s="1056"/>
      <c r="BBS161" s="1056"/>
      <c r="BBT161" s="1056"/>
      <c r="BBU161" s="1056"/>
      <c r="BBV161" s="1056"/>
      <c r="BBW161" s="1056"/>
      <c r="BBX161" s="1056"/>
      <c r="BBY161" s="1056"/>
      <c r="BBZ161" s="1056"/>
      <c r="BCA161" s="1056"/>
      <c r="BCB161" s="1056"/>
      <c r="BCC161" s="1056"/>
      <c r="BCD161" s="1056"/>
      <c r="BCE161" s="1056"/>
      <c r="BCF161" s="1056"/>
      <c r="BCG161" s="1056"/>
      <c r="BCH161" s="1056"/>
      <c r="BCI161" s="1056"/>
      <c r="BCJ161" s="1056"/>
      <c r="BCK161" s="1056"/>
      <c r="BCL161" s="1056"/>
      <c r="BCM161" s="1056"/>
      <c r="BCN161" s="1056"/>
      <c r="BCO161" s="1056"/>
      <c r="BCP161" s="1056"/>
      <c r="BCQ161" s="1056"/>
      <c r="BCR161" s="1056"/>
      <c r="BCS161" s="1056"/>
      <c r="BCT161" s="1056"/>
      <c r="BCU161" s="1056"/>
      <c r="BCV161" s="1056"/>
      <c r="BCW161" s="1056"/>
      <c r="BCX161" s="1056"/>
      <c r="BCY161" s="1056"/>
      <c r="BCZ161" s="1056"/>
      <c r="BDA161" s="1056"/>
      <c r="BDB161" s="1056"/>
      <c r="BDC161" s="1056"/>
      <c r="BDD161" s="1056"/>
      <c r="BDE161" s="1056"/>
      <c r="BDF161" s="1056"/>
      <c r="BDG161" s="1056"/>
      <c r="BDH161" s="1056"/>
      <c r="BDI161" s="1056"/>
      <c r="BDJ161" s="1056"/>
      <c r="BDK161" s="1056"/>
      <c r="BDL161" s="1056"/>
      <c r="BDM161" s="1056"/>
      <c r="BDN161" s="1056"/>
      <c r="BDO161" s="1056"/>
      <c r="BDP161" s="1056"/>
      <c r="BDQ161" s="1056"/>
      <c r="BDR161" s="1056"/>
      <c r="BDS161" s="1056"/>
      <c r="BDT161" s="1056"/>
      <c r="BDU161" s="1056"/>
      <c r="BDV161" s="1056"/>
      <c r="BDW161" s="1056"/>
      <c r="BDX161" s="1056"/>
      <c r="BDY161" s="1056"/>
      <c r="BDZ161" s="1056"/>
      <c r="BEA161" s="1056"/>
      <c r="BEB161" s="1056"/>
      <c r="BEC161" s="1056"/>
      <c r="BED161" s="1056"/>
      <c r="BEE161" s="1056"/>
      <c r="BEF161" s="1056"/>
      <c r="BEG161" s="1056"/>
      <c r="BEH161" s="1056"/>
      <c r="BEI161" s="1056"/>
      <c r="BEJ161" s="1056"/>
      <c r="BEK161" s="1056"/>
      <c r="BEL161" s="1056"/>
      <c r="BEM161" s="1056"/>
      <c r="BEN161" s="1056"/>
      <c r="BEO161" s="1056"/>
      <c r="BEP161" s="1056"/>
      <c r="BEQ161" s="1056"/>
      <c r="BER161" s="1056"/>
      <c r="BES161" s="1056"/>
      <c r="BET161" s="1056"/>
      <c r="BEU161" s="1056"/>
      <c r="BEV161" s="1056"/>
      <c r="BEW161" s="1056"/>
      <c r="BEX161" s="1056"/>
      <c r="BEY161" s="1056"/>
      <c r="BEZ161" s="1056"/>
      <c r="BFA161" s="1056"/>
      <c r="BFB161" s="1056"/>
      <c r="BFC161" s="1056"/>
      <c r="BFD161" s="1056"/>
      <c r="BFE161" s="1056"/>
      <c r="BFF161" s="1056"/>
      <c r="BFG161" s="1056"/>
      <c r="BFH161" s="1056"/>
      <c r="BFI161" s="1056"/>
      <c r="BFJ161" s="1056"/>
      <c r="BFK161" s="1056"/>
      <c r="BFL161" s="1056"/>
      <c r="BFM161" s="1056"/>
      <c r="BFN161" s="1056"/>
      <c r="BFO161" s="1056"/>
      <c r="BFP161" s="1056"/>
      <c r="BFQ161" s="1056"/>
      <c r="BFR161" s="1056"/>
      <c r="BFS161" s="1056"/>
      <c r="BFT161" s="1056"/>
      <c r="BFU161" s="1056"/>
      <c r="BFV161" s="1056"/>
      <c r="BFW161" s="1056"/>
      <c r="BFX161" s="1056"/>
      <c r="BFY161" s="1056"/>
      <c r="BFZ161" s="1056"/>
      <c r="BGA161" s="1056"/>
      <c r="BGB161" s="1056"/>
      <c r="BGC161" s="1056"/>
      <c r="BGD161" s="1056"/>
      <c r="BGE161" s="1056"/>
      <c r="BGF161" s="1056"/>
      <c r="BGG161" s="1056"/>
      <c r="BGH161" s="1056"/>
      <c r="BGI161" s="1056"/>
      <c r="BGJ161" s="1056"/>
      <c r="BGK161" s="1056"/>
      <c r="BGL161" s="1056"/>
      <c r="BGM161" s="1056"/>
      <c r="BGN161" s="1056"/>
      <c r="BGO161" s="1056"/>
      <c r="BGP161" s="1056"/>
      <c r="BGQ161" s="1056"/>
      <c r="BGR161" s="1056"/>
      <c r="BGS161" s="1056"/>
      <c r="BGT161" s="1056"/>
      <c r="BGU161" s="1056"/>
      <c r="BGV161" s="1056"/>
      <c r="BGW161" s="1056"/>
      <c r="BGX161" s="1056"/>
      <c r="BGY161" s="1056"/>
      <c r="BGZ161" s="1056"/>
      <c r="BHA161" s="1056"/>
      <c r="BHB161" s="1056"/>
      <c r="BHC161" s="1056"/>
      <c r="BHD161" s="1056"/>
      <c r="BHE161" s="1056"/>
      <c r="BHF161" s="1056"/>
      <c r="BHG161" s="1056"/>
      <c r="BHH161" s="1056"/>
      <c r="BHI161" s="1056"/>
      <c r="BHJ161" s="1056"/>
      <c r="BHK161" s="1056"/>
      <c r="BHL161" s="1056"/>
      <c r="BHM161" s="1056"/>
      <c r="BHN161" s="1056"/>
      <c r="BHO161" s="1056"/>
      <c r="BHP161" s="1056"/>
      <c r="BHQ161" s="1056"/>
      <c r="BHR161" s="1056"/>
      <c r="BHS161" s="1056"/>
      <c r="BHT161" s="1056"/>
      <c r="BHU161" s="1056"/>
      <c r="BHV161" s="1056"/>
      <c r="BHW161" s="1056"/>
      <c r="BHX161" s="1056"/>
      <c r="BHY161" s="1056"/>
      <c r="BHZ161" s="1056"/>
      <c r="BIA161" s="1056"/>
      <c r="BIB161" s="1056"/>
      <c r="BIC161" s="1056"/>
      <c r="BID161" s="1056"/>
      <c r="BIE161" s="1056"/>
      <c r="BIF161" s="1056"/>
      <c r="BIG161" s="1056"/>
      <c r="BIH161" s="1056"/>
      <c r="BII161" s="1056"/>
      <c r="BIJ161" s="1056"/>
      <c r="BIK161" s="1056"/>
      <c r="BIL161" s="1056"/>
      <c r="BIM161" s="1056"/>
      <c r="BIN161" s="1056"/>
      <c r="BIO161" s="1056"/>
      <c r="BIP161" s="1056"/>
      <c r="BIQ161" s="1056"/>
      <c r="BIR161" s="1056"/>
      <c r="BIS161" s="1056"/>
      <c r="BIT161" s="1056"/>
      <c r="BIU161" s="1056"/>
      <c r="BIV161" s="1056"/>
      <c r="BIW161" s="1056"/>
      <c r="BIX161" s="1056"/>
      <c r="BIY161" s="1056"/>
      <c r="BIZ161" s="1056"/>
      <c r="BJA161" s="1056"/>
      <c r="BJB161" s="1056"/>
      <c r="BJC161" s="1056"/>
      <c r="BJD161" s="1056"/>
      <c r="BJE161" s="1056"/>
      <c r="BJF161" s="1056"/>
      <c r="BJG161" s="1056"/>
      <c r="BJH161" s="1056"/>
      <c r="BJI161" s="1056"/>
      <c r="BJJ161" s="1056"/>
      <c r="BJK161" s="1056"/>
      <c r="BJL161" s="1056"/>
      <c r="BJM161" s="1056"/>
      <c r="BJN161" s="1056"/>
      <c r="BJO161" s="1056"/>
      <c r="BJP161" s="1056"/>
      <c r="BJQ161" s="1056"/>
      <c r="BJR161" s="1056"/>
      <c r="BJS161" s="1056"/>
      <c r="BJT161" s="1056"/>
      <c r="BJU161" s="1056"/>
      <c r="BJV161" s="1056"/>
      <c r="BJW161" s="1056"/>
      <c r="BJX161" s="1056"/>
      <c r="BJY161" s="1056"/>
      <c r="BJZ161" s="1056"/>
      <c r="BKA161" s="1056"/>
      <c r="BKB161" s="1056"/>
      <c r="BKC161" s="1056"/>
      <c r="BKD161" s="1056"/>
      <c r="BKE161" s="1056"/>
      <c r="BKF161" s="1056"/>
      <c r="BKG161" s="1056"/>
      <c r="BKH161" s="1056"/>
      <c r="BKI161" s="1056"/>
      <c r="BKJ161" s="1056"/>
      <c r="BKK161" s="1056"/>
      <c r="BKL161" s="1056"/>
      <c r="BKM161" s="1056"/>
      <c r="BKN161" s="1056"/>
      <c r="BKO161" s="1056"/>
      <c r="BKP161" s="1056"/>
      <c r="BKQ161" s="1056"/>
      <c r="BKR161" s="1056"/>
      <c r="BKS161" s="1056"/>
      <c r="BKT161" s="1056"/>
      <c r="BKU161" s="1056"/>
      <c r="BKV161" s="1056"/>
      <c r="BKW161" s="1056"/>
      <c r="BKX161" s="1056"/>
      <c r="BKY161" s="1056"/>
      <c r="BKZ161" s="1056"/>
      <c r="BLA161" s="1056"/>
      <c r="BLB161" s="1056"/>
      <c r="BLC161" s="1056"/>
      <c r="BLD161" s="1056"/>
      <c r="BLE161" s="1056"/>
      <c r="BLF161" s="1056"/>
      <c r="BLG161" s="1056"/>
      <c r="BLH161" s="1056"/>
      <c r="BLI161" s="1056"/>
      <c r="BLJ161" s="1056"/>
      <c r="BLK161" s="1056"/>
      <c r="BLL161" s="1056"/>
      <c r="BLM161" s="1056"/>
      <c r="BLN161" s="1056"/>
      <c r="BLO161" s="1056"/>
      <c r="BLP161" s="1056"/>
      <c r="BLQ161" s="1056"/>
      <c r="BLR161" s="1056"/>
      <c r="BLS161" s="1056"/>
      <c r="BLT161" s="1056"/>
      <c r="BLU161" s="1056"/>
      <c r="BLV161" s="1056"/>
      <c r="BLW161" s="1056"/>
      <c r="BLX161" s="1056"/>
      <c r="BLY161" s="1056"/>
      <c r="BLZ161" s="1056"/>
      <c r="BMA161" s="1056"/>
      <c r="BMB161" s="1056"/>
      <c r="BMC161" s="1056"/>
      <c r="BMD161" s="1056"/>
      <c r="BME161" s="1056"/>
      <c r="BMF161" s="1056"/>
      <c r="BMG161" s="1056"/>
      <c r="BMH161" s="1056"/>
      <c r="BMI161" s="1056"/>
      <c r="BMJ161" s="1056"/>
      <c r="BMK161" s="1056"/>
      <c r="BML161" s="1056"/>
      <c r="BMM161" s="1056"/>
      <c r="BMN161" s="1056"/>
      <c r="BMO161" s="1056"/>
      <c r="BMP161" s="1056"/>
      <c r="BMQ161" s="1056"/>
      <c r="BMR161" s="1056"/>
      <c r="BMS161" s="1056"/>
      <c r="BMT161" s="1056"/>
      <c r="BMU161" s="1056"/>
      <c r="BMV161" s="1056"/>
      <c r="BMW161" s="1056"/>
      <c r="BMX161" s="1056"/>
      <c r="BMY161" s="1056"/>
      <c r="BMZ161" s="1056"/>
      <c r="BNA161" s="1056"/>
      <c r="BNB161" s="1056"/>
      <c r="BNC161" s="1056"/>
      <c r="BND161" s="1056"/>
      <c r="BNE161" s="1056"/>
      <c r="BNF161" s="1056"/>
      <c r="BNG161" s="1056"/>
      <c r="BNH161" s="1056"/>
      <c r="BNI161" s="1056"/>
      <c r="BNJ161" s="1056"/>
      <c r="BNK161" s="1056"/>
      <c r="BNL161" s="1056"/>
      <c r="BNM161" s="1056"/>
      <c r="BNN161" s="1056"/>
      <c r="BNO161" s="1056"/>
      <c r="BNP161" s="1056"/>
      <c r="BNQ161" s="1056"/>
      <c r="BNR161" s="1056"/>
      <c r="BNS161" s="1056"/>
      <c r="BNT161" s="1056"/>
      <c r="BNU161" s="1056"/>
      <c r="BNV161" s="1056"/>
      <c r="BNW161" s="1056"/>
      <c r="BNX161" s="1056"/>
      <c r="BNY161" s="1056"/>
      <c r="BNZ161" s="1056"/>
      <c r="BOA161" s="1056"/>
      <c r="BOB161" s="1056"/>
      <c r="BOC161" s="1056"/>
      <c r="BOD161" s="1056"/>
      <c r="BOE161" s="1056"/>
      <c r="BOF161" s="1056"/>
      <c r="BOG161" s="1056"/>
      <c r="BOH161" s="1056"/>
      <c r="BOI161" s="1056"/>
      <c r="BOJ161" s="1056"/>
      <c r="BOK161" s="1056"/>
      <c r="BOL161" s="1056"/>
      <c r="BOM161" s="1056"/>
      <c r="BON161" s="1056"/>
      <c r="BOO161" s="1056"/>
      <c r="BOP161" s="1056"/>
      <c r="BOQ161" s="1056"/>
      <c r="BOR161" s="1056"/>
      <c r="BOS161" s="1056"/>
      <c r="BOT161" s="1056"/>
      <c r="BOU161" s="1056"/>
      <c r="BOV161" s="1056"/>
      <c r="BOW161" s="1056"/>
      <c r="BOX161" s="1056"/>
      <c r="BOY161" s="1056"/>
      <c r="BOZ161" s="1056"/>
      <c r="BPA161" s="1056"/>
      <c r="BPB161" s="1056"/>
      <c r="BPC161" s="1056"/>
      <c r="BPD161" s="1056"/>
      <c r="BPE161" s="1056"/>
      <c r="BPF161" s="1056"/>
      <c r="BPG161" s="1056"/>
      <c r="BPH161" s="1056"/>
      <c r="BPI161" s="1056"/>
      <c r="BPJ161" s="1056"/>
      <c r="BPK161" s="1056"/>
      <c r="BPL161" s="1056"/>
      <c r="BPM161" s="1056"/>
      <c r="BPN161" s="1056"/>
      <c r="BPO161" s="1056"/>
      <c r="BPP161" s="1056"/>
      <c r="BPQ161" s="1056"/>
      <c r="BPR161" s="1056"/>
      <c r="BPS161" s="1056"/>
      <c r="BPT161" s="1056"/>
      <c r="BPU161" s="1056"/>
      <c r="BPV161" s="1056"/>
      <c r="BPW161" s="1056"/>
      <c r="BPX161" s="1056"/>
      <c r="BPY161" s="1056"/>
      <c r="BPZ161" s="1056"/>
      <c r="BQA161" s="1056"/>
      <c r="BQB161" s="1056"/>
      <c r="BQC161" s="1056"/>
      <c r="BQD161" s="1056"/>
      <c r="BQE161" s="1056"/>
      <c r="BQF161" s="1056"/>
      <c r="BQG161" s="1056"/>
      <c r="BQH161" s="1056"/>
      <c r="BQI161" s="1056"/>
      <c r="BQJ161" s="1056"/>
      <c r="BQK161" s="1056"/>
      <c r="BQL161" s="1056"/>
      <c r="BQM161" s="1056"/>
      <c r="BQN161" s="1056"/>
      <c r="BQO161" s="1056"/>
      <c r="BQP161" s="1056"/>
      <c r="BQQ161" s="1056"/>
      <c r="BQR161" s="1056"/>
      <c r="BQS161" s="1056"/>
      <c r="BQT161" s="1056"/>
      <c r="BQU161" s="1056"/>
      <c r="BQV161" s="1056"/>
      <c r="BQW161" s="1056"/>
      <c r="BQX161" s="1056"/>
      <c r="BQY161" s="1056"/>
      <c r="BQZ161" s="1056"/>
      <c r="BRA161" s="1056"/>
      <c r="BRB161" s="1056"/>
      <c r="BRC161" s="1056"/>
      <c r="BRD161" s="1056"/>
      <c r="BRE161" s="1056"/>
      <c r="BRF161" s="1056"/>
      <c r="BRG161" s="1056"/>
      <c r="BRH161" s="1056"/>
      <c r="BRI161" s="1056"/>
      <c r="BRJ161" s="1056"/>
      <c r="BRK161" s="1056"/>
      <c r="BRL161" s="1056"/>
      <c r="BRM161" s="1056"/>
      <c r="BRN161" s="1056"/>
      <c r="BRO161" s="1056"/>
      <c r="BRP161" s="1056"/>
      <c r="BRQ161" s="1056"/>
      <c r="BRR161" s="1056"/>
      <c r="BRS161" s="1056"/>
      <c r="BRT161" s="1056"/>
      <c r="BRU161" s="1056"/>
      <c r="BRV161" s="1056"/>
      <c r="BRW161" s="1056"/>
      <c r="BRX161" s="1056"/>
      <c r="BRY161" s="1056"/>
      <c r="BRZ161" s="1056"/>
      <c r="BSA161" s="1056"/>
      <c r="BSB161" s="1056"/>
      <c r="BSC161" s="1056"/>
      <c r="BSD161" s="1056"/>
      <c r="BSE161" s="1056"/>
      <c r="BSF161" s="1056"/>
      <c r="BSG161" s="1056"/>
      <c r="BSH161" s="1056"/>
      <c r="BSI161" s="1056"/>
      <c r="BSJ161" s="1056"/>
      <c r="BSK161" s="1056"/>
      <c r="BSL161" s="1056"/>
      <c r="BSM161" s="1056"/>
      <c r="BSN161" s="1056"/>
      <c r="BSO161" s="1056"/>
      <c r="BSP161" s="1056"/>
      <c r="BSQ161" s="1056"/>
      <c r="BSR161" s="1056"/>
      <c r="BSS161" s="1056"/>
      <c r="BST161" s="1056"/>
      <c r="BSU161" s="1056"/>
      <c r="BSV161" s="1056"/>
      <c r="BSW161" s="1056"/>
      <c r="BSX161" s="1056"/>
      <c r="BSY161" s="1056"/>
      <c r="BSZ161" s="1056"/>
      <c r="BTA161" s="1056"/>
      <c r="BTB161" s="1056"/>
      <c r="BTC161" s="1056"/>
      <c r="BTD161" s="1056"/>
      <c r="BTE161" s="1056"/>
      <c r="BTF161" s="1056"/>
      <c r="BTG161" s="1056"/>
      <c r="BTH161" s="1056"/>
      <c r="BTI161" s="1056"/>
    </row>
    <row r="162" spans="1:1881" s="1060" customFormat="1" ht="133.5" hidden="1" customHeight="1" x14ac:dyDescent="0.3">
      <c r="A162" s="333">
        <v>641</v>
      </c>
      <c r="B162" s="1093" t="s">
        <v>409</v>
      </c>
      <c r="C162" s="1085" t="s">
        <v>1400</v>
      </c>
      <c r="D162" s="1086" t="s">
        <v>1408</v>
      </c>
      <c r="E162" s="1053" t="e">
        <f>HLOOKUP($D$2,'2020 Data(H)'!$C$1:$AI$426,300,FALSE)</f>
        <v>#N/A</v>
      </c>
      <c r="F162" s="287">
        <v>0</v>
      </c>
      <c r="G162" s="740">
        <f>IF(F162&gt;F160,"Error: Please review components of current liabilities above. Account numbers 641&gt;639",)</f>
        <v>0</v>
      </c>
      <c r="H162" s="1092"/>
      <c r="I162" s="1092"/>
      <c r="J162" s="1056"/>
      <c r="K162" s="1056"/>
      <c r="L162" s="1056"/>
      <c r="M162" s="1056"/>
      <c r="N162" s="1058"/>
      <c r="O162" s="1056"/>
      <c r="P162" s="1056"/>
      <c r="Q162" s="1056"/>
      <c r="R162" s="1056"/>
      <c r="S162" s="1056"/>
      <c r="T162" s="1056"/>
      <c r="U162" s="1056"/>
      <c r="V162" s="1056"/>
      <c r="W162" s="1056"/>
      <c r="X162" s="1056"/>
      <c r="Y162" s="1056"/>
      <c r="Z162" s="333"/>
      <c r="AA162" s="333"/>
      <c r="AB162" s="333"/>
      <c r="AC162" s="333"/>
      <c r="AD162" s="333"/>
      <c r="AE162" s="333"/>
      <c r="AF162" s="333"/>
      <c r="AG162" s="333"/>
      <c r="AH162" s="333"/>
      <c r="AI162" s="333"/>
      <c r="AJ162" s="333"/>
      <c r="AK162" s="333"/>
      <c r="AL162" s="333"/>
      <c r="AM162" s="333"/>
      <c r="AN162" s="333"/>
      <c r="AO162" s="333"/>
      <c r="AP162" s="333"/>
      <c r="AQ162" s="333"/>
      <c r="AR162" s="333"/>
      <c r="AS162" s="1056"/>
      <c r="AT162" s="1056"/>
      <c r="AU162" s="1056"/>
      <c r="AV162" s="1056"/>
      <c r="AW162" s="1056"/>
      <c r="AX162" s="1056"/>
      <c r="AY162" s="1056"/>
      <c r="AZ162" s="1056"/>
      <c r="BA162" s="1056"/>
      <c r="BB162" s="1056"/>
      <c r="BC162" s="1056"/>
      <c r="BD162" s="1056"/>
      <c r="BE162" s="1056"/>
      <c r="BF162" s="1056"/>
      <c r="BG162" s="1056"/>
      <c r="BH162" s="1056"/>
      <c r="BI162" s="1056"/>
      <c r="BJ162" s="1056"/>
      <c r="BK162" s="1056"/>
      <c r="BL162" s="1056"/>
      <c r="BM162" s="1056"/>
      <c r="BN162" s="1056"/>
      <c r="BO162" s="1056"/>
      <c r="BP162" s="1056"/>
      <c r="BQ162" s="1056"/>
      <c r="BR162" s="1056"/>
      <c r="BS162" s="1056"/>
      <c r="BT162" s="1056"/>
      <c r="BU162" s="1056"/>
      <c r="BV162" s="1056"/>
      <c r="BW162" s="1056"/>
      <c r="BX162" s="1056"/>
      <c r="BY162" s="1056"/>
      <c r="BZ162" s="1056"/>
      <c r="CA162" s="1056"/>
      <c r="CB162" s="1056"/>
      <c r="CC162" s="1056"/>
      <c r="CD162" s="1056"/>
      <c r="CE162" s="1056"/>
      <c r="CF162" s="1056"/>
      <c r="CG162" s="1056"/>
      <c r="CH162" s="1056"/>
      <c r="CI162" s="1056"/>
      <c r="CJ162" s="1056"/>
      <c r="CK162" s="1056"/>
      <c r="CL162" s="1056"/>
      <c r="CM162" s="1056"/>
      <c r="CN162" s="1056"/>
      <c r="CO162" s="1056"/>
      <c r="CP162" s="1056"/>
      <c r="CQ162" s="1056"/>
      <c r="CR162" s="1056"/>
      <c r="CS162" s="1056"/>
      <c r="CT162" s="1056"/>
      <c r="CU162" s="1056"/>
      <c r="CV162" s="1056"/>
      <c r="CW162" s="1056"/>
      <c r="CX162" s="1056"/>
      <c r="CY162" s="1056"/>
      <c r="CZ162" s="1056"/>
      <c r="DA162" s="1056"/>
      <c r="DB162" s="1056"/>
      <c r="DC162" s="1056"/>
      <c r="DD162" s="1056"/>
      <c r="DE162" s="1056"/>
      <c r="DF162" s="1056"/>
      <c r="DG162" s="1056"/>
      <c r="DH162" s="1056"/>
      <c r="DI162" s="1056"/>
      <c r="DJ162" s="1056"/>
      <c r="DK162" s="1056"/>
      <c r="DL162" s="1056"/>
      <c r="DM162" s="1056"/>
      <c r="DN162" s="1056"/>
      <c r="DO162" s="1056"/>
      <c r="DP162" s="1056"/>
      <c r="DQ162" s="1056"/>
      <c r="DR162" s="1056"/>
      <c r="DS162" s="1056"/>
      <c r="DT162" s="1056"/>
      <c r="DU162" s="1056"/>
      <c r="DV162" s="1056"/>
      <c r="DW162" s="1056"/>
      <c r="DX162" s="1056"/>
      <c r="DY162" s="1056"/>
      <c r="DZ162" s="1056"/>
      <c r="EA162" s="1056"/>
      <c r="EB162" s="1056"/>
      <c r="EC162" s="1056"/>
      <c r="ED162" s="1056"/>
      <c r="EE162" s="1056"/>
      <c r="EF162" s="1056"/>
      <c r="EG162" s="1056"/>
      <c r="EH162" s="1056"/>
      <c r="EI162" s="1056"/>
      <c r="EJ162" s="1056"/>
      <c r="EK162" s="1056"/>
      <c r="EL162" s="1056"/>
      <c r="EM162" s="1056"/>
      <c r="EN162" s="1056"/>
      <c r="EO162" s="1056"/>
      <c r="EP162" s="1056"/>
      <c r="EQ162" s="1056"/>
      <c r="ER162" s="1056"/>
      <c r="ES162" s="1056"/>
      <c r="ET162" s="1056"/>
      <c r="EU162" s="1056"/>
      <c r="EV162" s="1056"/>
      <c r="EW162" s="1056"/>
      <c r="EX162" s="1056"/>
      <c r="EY162" s="1056"/>
      <c r="EZ162" s="1056"/>
      <c r="FA162" s="1056"/>
      <c r="FB162" s="1056"/>
      <c r="FC162" s="1056"/>
      <c r="FD162" s="1056"/>
      <c r="FE162" s="1056"/>
      <c r="FF162" s="1056"/>
      <c r="FG162" s="1056"/>
      <c r="FH162" s="1056"/>
      <c r="FI162" s="1056"/>
      <c r="FJ162" s="1056"/>
      <c r="FK162" s="1056"/>
      <c r="FL162" s="1056"/>
      <c r="FM162" s="1056"/>
      <c r="FN162" s="1056"/>
      <c r="FO162" s="1056"/>
      <c r="FP162" s="1056"/>
      <c r="FQ162" s="1056"/>
      <c r="FR162" s="1056"/>
      <c r="FS162" s="1056"/>
      <c r="FT162" s="1056"/>
      <c r="FU162" s="1056"/>
      <c r="FV162" s="1056"/>
      <c r="FW162" s="1056"/>
      <c r="FX162" s="1056"/>
      <c r="FY162" s="1056"/>
      <c r="FZ162" s="1056"/>
      <c r="GA162" s="1056"/>
      <c r="GB162" s="1056"/>
      <c r="GC162" s="1056"/>
      <c r="GD162" s="1056"/>
      <c r="GE162" s="1056"/>
      <c r="GF162" s="1056"/>
      <c r="GG162" s="1056"/>
      <c r="GH162" s="1056"/>
      <c r="GI162" s="1056"/>
      <c r="GJ162" s="1056"/>
      <c r="GK162" s="1056"/>
      <c r="GL162" s="1056"/>
      <c r="GM162" s="1056"/>
      <c r="GN162" s="1056"/>
      <c r="GO162" s="1056"/>
      <c r="GP162" s="1056"/>
      <c r="GQ162" s="1056"/>
      <c r="GR162" s="1056"/>
      <c r="GS162" s="1056"/>
      <c r="GT162" s="1056"/>
      <c r="GU162" s="1056"/>
      <c r="GV162" s="1056"/>
      <c r="GW162" s="1056"/>
      <c r="GX162" s="1056"/>
      <c r="GY162" s="1056"/>
      <c r="GZ162" s="1056"/>
      <c r="HA162" s="1056"/>
      <c r="HB162" s="1056"/>
      <c r="HC162" s="1056"/>
      <c r="HD162" s="1056"/>
      <c r="HE162" s="1056"/>
      <c r="HF162" s="1056"/>
      <c r="HG162" s="1056"/>
      <c r="HH162" s="1056"/>
      <c r="HI162" s="1056"/>
      <c r="HJ162" s="1056"/>
      <c r="HK162" s="1056"/>
      <c r="HL162" s="1056"/>
      <c r="HM162" s="1056"/>
      <c r="HN162" s="1056"/>
      <c r="HO162" s="1056"/>
      <c r="HP162" s="1056"/>
      <c r="HQ162" s="1056"/>
      <c r="HR162" s="1056"/>
      <c r="HS162" s="1056"/>
      <c r="HT162" s="1056"/>
      <c r="HU162" s="1056"/>
      <c r="HV162" s="1056"/>
      <c r="HW162" s="1056"/>
      <c r="HX162" s="1056"/>
      <c r="HY162" s="1056"/>
      <c r="HZ162" s="1056"/>
      <c r="IA162" s="1056"/>
      <c r="IB162" s="1056"/>
      <c r="IC162" s="1056"/>
      <c r="ID162" s="1056"/>
      <c r="IE162" s="1056"/>
      <c r="IF162" s="1056"/>
      <c r="IG162" s="1056"/>
      <c r="IH162" s="1056"/>
      <c r="II162" s="1056"/>
      <c r="IJ162" s="1056"/>
      <c r="IK162" s="1056"/>
      <c r="IL162" s="1056"/>
      <c r="IM162" s="1056"/>
      <c r="IN162" s="1056"/>
      <c r="IO162" s="1056"/>
      <c r="IP162" s="1056"/>
      <c r="IQ162" s="1056"/>
      <c r="IR162" s="1056"/>
      <c r="IS162" s="1056"/>
      <c r="IT162" s="1056"/>
      <c r="IU162" s="1056"/>
      <c r="IV162" s="1056"/>
      <c r="IW162" s="1056"/>
      <c r="IX162" s="1056"/>
      <c r="IY162" s="1056"/>
      <c r="IZ162" s="1056"/>
      <c r="JA162" s="1056"/>
      <c r="JB162" s="1056"/>
      <c r="JC162" s="1056"/>
      <c r="JD162" s="1056"/>
      <c r="JE162" s="1056"/>
      <c r="JF162" s="1056"/>
      <c r="JG162" s="1056"/>
      <c r="JH162" s="1056"/>
      <c r="JI162" s="1056"/>
      <c r="JJ162" s="1056"/>
      <c r="JK162" s="1056"/>
      <c r="JL162" s="1056"/>
      <c r="JM162" s="1056"/>
      <c r="JN162" s="1056"/>
      <c r="JO162" s="1056"/>
      <c r="JP162" s="1056"/>
      <c r="JQ162" s="1056"/>
      <c r="JR162" s="1056"/>
      <c r="JS162" s="1056"/>
      <c r="JT162" s="1056"/>
      <c r="JU162" s="1056"/>
      <c r="JV162" s="1056"/>
      <c r="JW162" s="1056"/>
      <c r="JX162" s="1056"/>
      <c r="JY162" s="1056"/>
      <c r="JZ162" s="1056"/>
      <c r="KA162" s="1056"/>
      <c r="KB162" s="1056"/>
      <c r="KC162" s="1056"/>
      <c r="KD162" s="1056"/>
      <c r="KE162" s="1056"/>
      <c r="KF162" s="1056"/>
      <c r="KG162" s="1056"/>
      <c r="KH162" s="1056"/>
      <c r="KI162" s="1056"/>
      <c r="KJ162" s="1056"/>
      <c r="KK162" s="1056"/>
      <c r="KL162" s="1056"/>
      <c r="KM162" s="1056"/>
      <c r="KN162" s="1056"/>
      <c r="KO162" s="1056"/>
      <c r="KP162" s="1056"/>
      <c r="KQ162" s="1056"/>
      <c r="KR162" s="1056"/>
      <c r="KS162" s="1056"/>
      <c r="KT162" s="1056"/>
      <c r="KU162" s="1056"/>
      <c r="KV162" s="1056"/>
      <c r="KW162" s="1056"/>
      <c r="KX162" s="1056"/>
      <c r="KY162" s="1056"/>
      <c r="KZ162" s="1056"/>
      <c r="LA162" s="1056"/>
      <c r="LB162" s="1056"/>
      <c r="LC162" s="1056"/>
      <c r="LD162" s="1056"/>
      <c r="LE162" s="1056"/>
      <c r="LF162" s="1056"/>
      <c r="LG162" s="1056"/>
      <c r="LH162" s="1056"/>
      <c r="LI162" s="1056"/>
      <c r="LJ162" s="1056"/>
      <c r="LK162" s="1056"/>
      <c r="LL162" s="1056"/>
      <c r="LM162" s="1056"/>
      <c r="LN162" s="1056"/>
      <c r="LO162" s="1056"/>
      <c r="LP162" s="1056"/>
      <c r="LQ162" s="1056"/>
      <c r="LR162" s="1056"/>
      <c r="LS162" s="1056"/>
      <c r="LT162" s="1056"/>
      <c r="LU162" s="1056"/>
      <c r="LV162" s="1056"/>
      <c r="LW162" s="1056"/>
      <c r="LX162" s="1056"/>
      <c r="LY162" s="1056"/>
      <c r="LZ162" s="1056"/>
      <c r="MA162" s="1056"/>
      <c r="MB162" s="1056"/>
      <c r="MC162" s="1056"/>
      <c r="MD162" s="1056"/>
      <c r="ME162" s="1056"/>
      <c r="MF162" s="1056"/>
      <c r="MG162" s="1056"/>
      <c r="MH162" s="1056"/>
      <c r="MI162" s="1056"/>
      <c r="MJ162" s="1056"/>
      <c r="MK162" s="1056"/>
      <c r="ML162" s="1056"/>
      <c r="MM162" s="1056"/>
      <c r="MN162" s="1056"/>
      <c r="MO162" s="1056"/>
      <c r="MP162" s="1056"/>
      <c r="MQ162" s="1056"/>
      <c r="MR162" s="1056"/>
      <c r="MS162" s="1056"/>
      <c r="MT162" s="1056"/>
      <c r="MU162" s="1056"/>
      <c r="MV162" s="1056"/>
      <c r="MW162" s="1056"/>
      <c r="MX162" s="1056"/>
      <c r="MY162" s="1056"/>
      <c r="MZ162" s="1056"/>
      <c r="NA162" s="1056"/>
      <c r="NB162" s="1056"/>
      <c r="NC162" s="1056"/>
      <c r="ND162" s="1056"/>
      <c r="NE162" s="1056"/>
      <c r="NF162" s="1056"/>
      <c r="NG162" s="1056"/>
      <c r="NH162" s="1056"/>
      <c r="NI162" s="1056"/>
      <c r="NJ162" s="1056"/>
      <c r="NK162" s="1056"/>
      <c r="NL162" s="1056"/>
      <c r="NM162" s="1056"/>
      <c r="NN162" s="1056"/>
      <c r="NO162" s="1056"/>
      <c r="NP162" s="1056"/>
      <c r="NQ162" s="1056"/>
      <c r="NR162" s="1056"/>
      <c r="NS162" s="1056"/>
      <c r="NT162" s="1056"/>
      <c r="NU162" s="1056"/>
      <c r="NV162" s="1056"/>
      <c r="NW162" s="1056"/>
      <c r="NX162" s="1056"/>
      <c r="NY162" s="1056"/>
      <c r="NZ162" s="1056"/>
      <c r="OA162" s="1056"/>
      <c r="OB162" s="1056"/>
      <c r="OC162" s="1056"/>
      <c r="OD162" s="1056"/>
      <c r="OE162" s="1056"/>
      <c r="OF162" s="1056"/>
      <c r="OG162" s="1056"/>
      <c r="OH162" s="1056"/>
      <c r="OI162" s="1056"/>
      <c r="OJ162" s="1056"/>
      <c r="OK162" s="1056"/>
      <c r="OL162" s="1056"/>
      <c r="OM162" s="1056"/>
      <c r="ON162" s="1056"/>
      <c r="OO162" s="1056"/>
      <c r="OP162" s="1056"/>
      <c r="OQ162" s="1056"/>
      <c r="OR162" s="1056"/>
      <c r="OS162" s="1056"/>
      <c r="OT162" s="1056"/>
      <c r="OU162" s="1056"/>
      <c r="OV162" s="1056"/>
      <c r="OW162" s="1056"/>
      <c r="OX162" s="1056"/>
      <c r="OY162" s="1056"/>
      <c r="OZ162" s="1056"/>
      <c r="PA162" s="1056"/>
      <c r="PB162" s="1056"/>
      <c r="PC162" s="1056"/>
      <c r="PD162" s="1056"/>
      <c r="PE162" s="1056"/>
      <c r="PF162" s="1056"/>
      <c r="PG162" s="1056"/>
      <c r="PH162" s="1056"/>
      <c r="PI162" s="1056"/>
      <c r="PJ162" s="1056"/>
      <c r="PK162" s="1056"/>
      <c r="PL162" s="1056"/>
      <c r="PM162" s="1056"/>
      <c r="PN162" s="1056"/>
      <c r="PO162" s="1056"/>
      <c r="PP162" s="1056"/>
      <c r="PQ162" s="1056"/>
      <c r="PR162" s="1056"/>
      <c r="PS162" s="1056"/>
      <c r="PT162" s="1056"/>
      <c r="PU162" s="1056"/>
      <c r="PV162" s="1056"/>
      <c r="PW162" s="1056"/>
      <c r="PX162" s="1056"/>
      <c r="PY162" s="1056"/>
      <c r="PZ162" s="1056"/>
      <c r="QA162" s="1056"/>
      <c r="QB162" s="1056"/>
      <c r="QC162" s="1056"/>
      <c r="QD162" s="1056"/>
      <c r="QE162" s="1056"/>
      <c r="QF162" s="1056"/>
      <c r="QG162" s="1056"/>
      <c r="QH162" s="1056"/>
      <c r="QI162" s="1056"/>
      <c r="QJ162" s="1056"/>
      <c r="QK162" s="1056"/>
      <c r="QL162" s="1056"/>
      <c r="QM162" s="1056"/>
      <c r="QN162" s="1056"/>
      <c r="QO162" s="1056"/>
      <c r="QP162" s="1056"/>
      <c r="QQ162" s="1056"/>
      <c r="QR162" s="1056"/>
      <c r="QS162" s="1056"/>
      <c r="QT162" s="1056"/>
      <c r="QU162" s="1056"/>
      <c r="QV162" s="1056"/>
      <c r="QW162" s="1056"/>
      <c r="QX162" s="1056"/>
      <c r="QY162" s="1056"/>
      <c r="QZ162" s="1056"/>
      <c r="RA162" s="1056"/>
      <c r="RB162" s="1056"/>
      <c r="RC162" s="1056"/>
      <c r="RD162" s="1056"/>
      <c r="RE162" s="1056"/>
      <c r="RF162" s="1056"/>
      <c r="RG162" s="1056"/>
      <c r="RH162" s="1056"/>
      <c r="RI162" s="1056"/>
      <c r="RJ162" s="1056"/>
      <c r="RK162" s="1056"/>
      <c r="RL162" s="1056"/>
      <c r="RM162" s="1056"/>
      <c r="RN162" s="1056"/>
      <c r="RO162" s="1056"/>
      <c r="RP162" s="1056"/>
      <c r="RQ162" s="1056"/>
      <c r="RR162" s="1056"/>
      <c r="RS162" s="1056"/>
      <c r="RT162" s="1056"/>
      <c r="RU162" s="1056"/>
      <c r="RV162" s="1056"/>
      <c r="RW162" s="1056"/>
      <c r="RX162" s="1056"/>
      <c r="RY162" s="1056"/>
      <c r="RZ162" s="1056"/>
      <c r="SA162" s="1056"/>
      <c r="SB162" s="1056"/>
      <c r="SC162" s="1056"/>
      <c r="SD162" s="1056"/>
      <c r="SE162" s="1056"/>
      <c r="SF162" s="1056"/>
      <c r="SG162" s="1056"/>
      <c r="SH162" s="1056"/>
      <c r="SI162" s="1056"/>
      <c r="SJ162" s="1056"/>
      <c r="SK162" s="1056"/>
      <c r="SL162" s="1056"/>
      <c r="SM162" s="1056"/>
      <c r="SN162" s="1056"/>
      <c r="SO162" s="1056"/>
      <c r="SP162" s="1056"/>
      <c r="SQ162" s="1056"/>
      <c r="SR162" s="1056"/>
      <c r="SS162" s="1056"/>
      <c r="ST162" s="1056"/>
      <c r="SU162" s="1056"/>
      <c r="SV162" s="1056"/>
      <c r="SW162" s="1056"/>
      <c r="SX162" s="1056"/>
      <c r="SY162" s="1056"/>
      <c r="SZ162" s="1056"/>
      <c r="TA162" s="1056"/>
      <c r="TB162" s="1056"/>
      <c r="TC162" s="1056"/>
      <c r="TD162" s="1056"/>
      <c r="TE162" s="1056"/>
      <c r="TF162" s="1056"/>
      <c r="TG162" s="1056"/>
      <c r="TH162" s="1056"/>
      <c r="TI162" s="1056"/>
      <c r="TJ162" s="1056"/>
      <c r="TK162" s="1056"/>
      <c r="TL162" s="1056"/>
      <c r="TM162" s="1056"/>
      <c r="TN162" s="1056"/>
      <c r="TO162" s="1056"/>
      <c r="TP162" s="1056"/>
      <c r="TQ162" s="1056"/>
      <c r="TR162" s="1056"/>
      <c r="TS162" s="1056"/>
      <c r="TT162" s="1056"/>
      <c r="TU162" s="1056"/>
      <c r="TV162" s="1056"/>
      <c r="TW162" s="1056"/>
      <c r="TX162" s="1056"/>
      <c r="TY162" s="1056"/>
      <c r="TZ162" s="1056"/>
      <c r="UA162" s="1056"/>
      <c r="UB162" s="1056"/>
      <c r="UC162" s="1056"/>
      <c r="UD162" s="1056"/>
      <c r="UE162" s="1056"/>
      <c r="UF162" s="1056"/>
      <c r="UG162" s="1056"/>
      <c r="UH162" s="1056"/>
      <c r="UI162" s="1056"/>
      <c r="UJ162" s="1056"/>
      <c r="UK162" s="1056"/>
      <c r="UL162" s="1056"/>
      <c r="UM162" s="1056"/>
      <c r="UN162" s="1056"/>
      <c r="UO162" s="1056"/>
      <c r="UP162" s="1056"/>
      <c r="UQ162" s="1056"/>
      <c r="UR162" s="1056"/>
      <c r="US162" s="1056"/>
      <c r="UT162" s="1056"/>
      <c r="UU162" s="1056"/>
      <c r="UV162" s="1056"/>
      <c r="UW162" s="1056"/>
      <c r="UX162" s="1056"/>
      <c r="UY162" s="1056"/>
      <c r="UZ162" s="1056"/>
      <c r="VA162" s="1056"/>
      <c r="VB162" s="1056"/>
      <c r="VC162" s="1056"/>
      <c r="VD162" s="1056"/>
      <c r="VE162" s="1056"/>
      <c r="VF162" s="1056"/>
      <c r="VG162" s="1056"/>
      <c r="VH162" s="1056"/>
      <c r="VI162" s="1056"/>
      <c r="VJ162" s="1056"/>
      <c r="VK162" s="1056"/>
      <c r="VL162" s="1056"/>
      <c r="VM162" s="1056"/>
      <c r="VN162" s="1056"/>
      <c r="VO162" s="1056"/>
      <c r="VP162" s="1056"/>
      <c r="VQ162" s="1056"/>
      <c r="VR162" s="1056"/>
      <c r="VS162" s="1056"/>
      <c r="VT162" s="1056"/>
      <c r="VU162" s="1056"/>
      <c r="VV162" s="1056"/>
      <c r="VW162" s="1056"/>
      <c r="VX162" s="1056"/>
      <c r="VY162" s="1056"/>
      <c r="VZ162" s="1056"/>
      <c r="WA162" s="1056"/>
      <c r="WB162" s="1056"/>
      <c r="WC162" s="1056"/>
      <c r="WD162" s="1056"/>
      <c r="WE162" s="1056"/>
      <c r="WF162" s="1056"/>
      <c r="WG162" s="1056"/>
      <c r="WH162" s="1056"/>
      <c r="WI162" s="1056"/>
      <c r="WJ162" s="1056"/>
      <c r="WK162" s="1056"/>
      <c r="WL162" s="1056"/>
      <c r="WM162" s="1056"/>
      <c r="WN162" s="1056"/>
      <c r="WO162" s="1056"/>
      <c r="WP162" s="1056"/>
      <c r="WQ162" s="1056"/>
      <c r="WR162" s="1056"/>
      <c r="WS162" s="1056"/>
      <c r="WT162" s="1056"/>
      <c r="WU162" s="1056"/>
      <c r="WV162" s="1056"/>
      <c r="WW162" s="1056"/>
      <c r="WX162" s="1056"/>
      <c r="WY162" s="1056"/>
      <c r="WZ162" s="1056"/>
      <c r="XA162" s="1056"/>
      <c r="XB162" s="1056"/>
      <c r="XC162" s="1056"/>
      <c r="XD162" s="1056"/>
      <c r="XE162" s="1056"/>
      <c r="XF162" s="1056"/>
      <c r="XG162" s="1056"/>
      <c r="XH162" s="1056"/>
      <c r="XI162" s="1056"/>
      <c r="XJ162" s="1056"/>
      <c r="XK162" s="1056"/>
      <c r="XL162" s="1056"/>
      <c r="XM162" s="1056"/>
      <c r="XN162" s="1056"/>
      <c r="XO162" s="1056"/>
      <c r="XP162" s="1056"/>
      <c r="XQ162" s="1056"/>
      <c r="XR162" s="1056"/>
      <c r="XS162" s="1056"/>
      <c r="XT162" s="1056"/>
      <c r="XU162" s="1056"/>
      <c r="XV162" s="1056"/>
      <c r="XW162" s="1056"/>
      <c r="XX162" s="1056"/>
      <c r="XY162" s="1056"/>
      <c r="XZ162" s="1056"/>
      <c r="YA162" s="1056"/>
      <c r="YB162" s="1056"/>
      <c r="YC162" s="1056"/>
      <c r="YD162" s="1056"/>
      <c r="YE162" s="1056"/>
      <c r="YF162" s="1056"/>
      <c r="YG162" s="1056"/>
      <c r="YH162" s="1056"/>
      <c r="YI162" s="1056"/>
      <c r="YJ162" s="1056"/>
      <c r="YK162" s="1056"/>
      <c r="YL162" s="1056"/>
      <c r="YM162" s="1056"/>
      <c r="YN162" s="1056"/>
      <c r="YO162" s="1056"/>
      <c r="YP162" s="1056"/>
      <c r="YQ162" s="1056"/>
      <c r="YR162" s="1056"/>
      <c r="YS162" s="1056"/>
      <c r="YT162" s="1056"/>
      <c r="YU162" s="1056"/>
      <c r="YV162" s="1056"/>
      <c r="YW162" s="1056"/>
      <c r="YX162" s="1056"/>
      <c r="YY162" s="1056"/>
      <c r="YZ162" s="1056"/>
      <c r="ZA162" s="1056"/>
      <c r="ZB162" s="1056"/>
      <c r="ZC162" s="1056"/>
      <c r="ZD162" s="1056"/>
      <c r="ZE162" s="1056"/>
      <c r="ZF162" s="1056"/>
      <c r="ZG162" s="1056"/>
      <c r="ZH162" s="1056"/>
      <c r="ZI162" s="1056"/>
      <c r="ZJ162" s="1056"/>
      <c r="ZK162" s="1056"/>
      <c r="ZL162" s="1056"/>
      <c r="ZM162" s="1056"/>
      <c r="ZN162" s="1056"/>
      <c r="ZO162" s="1056"/>
      <c r="ZP162" s="1056"/>
      <c r="ZQ162" s="1056"/>
      <c r="ZR162" s="1056"/>
      <c r="ZS162" s="1056"/>
      <c r="ZT162" s="1056"/>
      <c r="ZU162" s="1056"/>
      <c r="ZV162" s="1056"/>
      <c r="ZW162" s="1056"/>
      <c r="ZX162" s="1056"/>
      <c r="ZY162" s="1056"/>
      <c r="ZZ162" s="1056"/>
      <c r="AAA162" s="1056"/>
      <c r="AAB162" s="1056"/>
      <c r="AAC162" s="1056"/>
      <c r="AAD162" s="1056"/>
      <c r="AAE162" s="1056"/>
      <c r="AAF162" s="1056"/>
      <c r="AAG162" s="1056"/>
      <c r="AAH162" s="1056"/>
      <c r="AAI162" s="1056"/>
      <c r="AAJ162" s="1056"/>
      <c r="AAK162" s="1056"/>
      <c r="AAL162" s="1056"/>
      <c r="AAM162" s="1056"/>
      <c r="AAN162" s="1056"/>
      <c r="AAO162" s="1056"/>
      <c r="AAP162" s="1056"/>
      <c r="AAQ162" s="1056"/>
      <c r="AAR162" s="1056"/>
      <c r="AAS162" s="1056"/>
      <c r="AAT162" s="1056"/>
      <c r="AAU162" s="1056"/>
      <c r="AAV162" s="1056"/>
      <c r="AAW162" s="1056"/>
      <c r="AAX162" s="1056"/>
      <c r="AAY162" s="1056"/>
      <c r="AAZ162" s="1056"/>
      <c r="ABA162" s="1056"/>
      <c r="ABB162" s="1056"/>
      <c r="ABC162" s="1056"/>
      <c r="ABD162" s="1056"/>
      <c r="ABE162" s="1056"/>
      <c r="ABF162" s="1056"/>
      <c r="ABG162" s="1056"/>
      <c r="ABH162" s="1056"/>
      <c r="ABI162" s="1056"/>
      <c r="ABJ162" s="1056"/>
      <c r="ABK162" s="1056"/>
      <c r="ABL162" s="1056"/>
      <c r="ABM162" s="1056"/>
      <c r="ABN162" s="1056"/>
      <c r="ABO162" s="1056"/>
      <c r="ABP162" s="1056"/>
      <c r="ABQ162" s="1056"/>
      <c r="ABR162" s="1056"/>
      <c r="ABS162" s="1056"/>
      <c r="ABT162" s="1056"/>
      <c r="ABU162" s="1056"/>
      <c r="ABV162" s="1056"/>
      <c r="ABW162" s="1056"/>
      <c r="ABX162" s="1056"/>
      <c r="ABY162" s="1056"/>
      <c r="ABZ162" s="1056"/>
      <c r="ACA162" s="1056"/>
      <c r="ACB162" s="1056"/>
      <c r="ACC162" s="1056"/>
      <c r="ACD162" s="1056"/>
      <c r="ACE162" s="1056"/>
      <c r="ACF162" s="1056"/>
      <c r="ACG162" s="1056"/>
      <c r="ACH162" s="1056"/>
      <c r="ACI162" s="1056"/>
      <c r="ACJ162" s="1056"/>
      <c r="ACK162" s="1056"/>
      <c r="ACL162" s="1056"/>
      <c r="ACM162" s="1056"/>
      <c r="ACN162" s="1056"/>
      <c r="ACO162" s="1056"/>
      <c r="ACP162" s="1056"/>
      <c r="ACQ162" s="1056"/>
      <c r="ACR162" s="1056"/>
      <c r="ACS162" s="1056"/>
      <c r="ACT162" s="1056"/>
      <c r="ACU162" s="1056"/>
      <c r="ACV162" s="1056"/>
      <c r="ACW162" s="1056"/>
      <c r="ACX162" s="1056"/>
      <c r="ACY162" s="1056"/>
      <c r="ACZ162" s="1056"/>
      <c r="ADA162" s="1056"/>
      <c r="ADB162" s="1056"/>
      <c r="ADC162" s="1056"/>
      <c r="ADD162" s="1056"/>
      <c r="ADE162" s="1056"/>
      <c r="ADF162" s="1056"/>
      <c r="ADG162" s="1056"/>
      <c r="ADH162" s="1056"/>
      <c r="ADI162" s="1056"/>
      <c r="ADJ162" s="1056"/>
      <c r="ADK162" s="1056"/>
      <c r="ADL162" s="1056"/>
      <c r="ADM162" s="1056"/>
      <c r="ADN162" s="1056"/>
      <c r="ADO162" s="1056"/>
      <c r="ADP162" s="1056"/>
      <c r="ADQ162" s="1056"/>
      <c r="ADR162" s="1056"/>
      <c r="ADS162" s="1056"/>
      <c r="ADT162" s="1056"/>
      <c r="ADU162" s="1056"/>
      <c r="ADV162" s="1056"/>
      <c r="ADW162" s="1056"/>
      <c r="ADX162" s="1056"/>
      <c r="ADY162" s="1056"/>
      <c r="ADZ162" s="1056"/>
      <c r="AEA162" s="1056"/>
      <c r="AEB162" s="1056"/>
      <c r="AEC162" s="1056"/>
      <c r="AED162" s="1056"/>
      <c r="AEE162" s="1056"/>
      <c r="AEF162" s="1056"/>
      <c r="AEG162" s="1056"/>
      <c r="AEH162" s="1056"/>
      <c r="AEI162" s="1056"/>
      <c r="AEJ162" s="1056"/>
      <c r="AEK162" s="1056"/>
      <c r="AEL162" s="1056"/>
      <c r="AEM162" s="1056"/>
      <c r="AEN162" s="1056"/>
      <c r="AEO162" s="1056"/>
      <c r="AEP162" s="1056"/>
      <c r="AEQ162" s="1056"/>
      <c r="AER162" s="1056"/>
      <c r="AES162" s="1056"/>
      <c r="AET162" s="1056"/>
      <c r="AEU162" s="1056"/>
      <c r="AEV162" s="1056"/>
      <c r="AEW162" s="1056"/>
      <c r="AEX162" s="1056"/>
      <c r="AEY162" s="1056"/>
      <c r="AEZ162" s="1056"/>
      <c r="AFA162" s="1056"/>
      <c r="AFB162" s="1056"/>
      <c r="AFC162" s="1056"/>
      <c r="AFD162" s="1056"/>
      <c r="AFE162" s="1056"/>
      <c r="AFF162" s="1056"/>
      <c r="AFG162" s="1056"/>
      <c r="AFH162" s="1056"/>
      <c r="AFI162" s="1056"/>
      <c r="AFJ162" s="1056"/>
      <c r="AFK162" s="1056"/>
      <c r="AFL162" s="1056"/>
      <c r="AFM162" s="1056"/>
      <c r="AFN162" s="1056"/>
      <c r="AFO162" s="1056"/>
      <c r="AFP162" s="1056"/>
      <c r="AFQ162" s="1056"/>
      <c r="AFR162" s="1056"/>
      <c r="AFS162" s="1056"/>
      <c r="AFT162" s="1056"/>
      <c r="AFU162" s="1056"/>
      <c r="AFV162" s="1056"/>
      <c r="AFW162" s="1056"/>
      <c r="AFX162" s="1056"/>
      <c r="AFY162" s="1056"/>
      <c r="AFZ162" s="1056"/>
      <c r="AGA162" s="1056"/>
      <c r="AGB162" s="1056"/>
      <c r="AGC162" s="1056"/>
      <c r="AGD162" s="1056"/>
      <c r="AGE162" s="1056"/>
      <c r="AGF162" s="1056"/>
      <c r="AGG162" s="1056"/>
      <c r="AGH162" s="1056"/>
      <c r="AGI162" s="1056"/>
      <c r="AGJ162" s="1056"/>
      <c r="AGK162" s="1056"/>
      <c r="AGL162" s="1056"/>
      <c r="AGM162" s="1056"/>
      <c r="AGN162" s="1056"/>
      <c r="AGO162" s="1056"/>
      <c r="AGP162" s="1056"/>
      <c r="AGQ162" s="1056"/>
      <c r="AGR162" s="1056"/>
      <c r="AGS162" s="1056"/>
      <c r="AGT162" s="1056"/>
      <c r="AGU162" s="1056"/>
      <c r="AGV162" s="1056"/>
      <c r="AGW162" s="1056"/>
      <c r="AGX162" s="1056"/>
      <c r="AGY162" s="1056"/>
      <c r="AGZ162" s="1056"/>
      <c r="AHA162" s="1056"/>
      <c r="AHB162" s="1056"/>
      <c r="AHC162" s="1056"/>
      <c r="AHD162" s="1056"/>
      <c r="AHE162" s="1056"/>
      <c r="AHF162" s="1056"/>
      <c r="AHG162" s="1056"/>
      <c r="AHH162" s="1056"/>
      <c r="AHI162" s="1056"/>
      <c r="AHJ162" s="1056"/>
      <c r="AHK162" s="1056"/>
      <c r="AHL162" s="1056"/>
      <c r="AHM162" s="1056"/>
      <c r="AHN162" s="1056"/>
      <c r="AHO162" s="1056"/>
      <c r="AHP162" s="1056"/>
      <c r="AHQ162" s="1056"/>
      <c r="AHR162" s="1056"/>
      <c r="AHS162" s="1056"/>
      <c r="AHT162" s="1056"/>
      <c r="AHU162" s="1056"/>
      <c r="AHV162" s="1056"/>
      <c r="AHW162" s="1056"/>
      <c r="AHX162" s="1056"/>
      <c r="AHY162" s="1056"/>
      <c r="AHZ162" s="1056"/>
      <c r="AIA162" s="1056"/>
      <c r="AIB162" s="1056"/>
      <c r="AIC162" s="1056"/>
      <c r="AID162" s="1056"/>
      <c r="AIE162" s="1056"/>
      <c r="AIF162" s="1056"/>
      <c r="AIG162" s="1056"/>
      <c r="AIH162" s="1056"/>
      <c r="AII162" s="1056"/>
      <c r="AIJ162" s="1056"/>
      <c r="AIK162" s="1056"/>
      <c r="AIL162" s="1056"/>
      <c r="AIM162" s="1056"/>
      <c r="AIN162" s="1056"/>
      <c r="AIO162" s="1056"/>
      <c r="AIP162" s="1056"/>
      <c r="AIQ162" s="1056"/>
      <c r="AIR162" s="1056"/>
      <c r="AIS162" s="1056"/>
      <c r="AIT162" s="1056"/>
      <c r="AIU162" s="1056"/>
      <c r="AIV162" s="1056"/>
      <c r="AIW162" s="1056"/>
      <c r="AIX162" s="1056"/>
      <c r="AIY162" s="1056"/>
      <c r="AIZ162" s="1056"/>
      <c r="AJA162" s="1056"/>
      <c r="AJB162" s="1056"/>
      <c r="AJC162" s="1056"/>
      <c r="AJD162" s="1056"/>
      <c r="AJE162" s="1056"/>
      <c r="AJF162" s="1056"/>
      <c r="AJG162" s="1056"/>
      <c r="AJH162" s="1056"/>
      <c r="AJI162" s="1056"/>
      <c r="AJJ162" s="1056"/>
      <c r="AJK162" s="1056"/>
      <c r="AJL162" s="1056"/>
      <c r="AJM162" s="1056"/>
      <c r="AJN162" s="1056"/>
      <c r="AJO162" s="1056"/>
      <c r="AJP162" s="1056"/>
      <c r="AJQ162" s="1056"/>
      <c r="AJR162" s="1056"/>
      <c r="AJS162" s="1056"/>
      <c r="AJT162" s="1056"/>
      <c r="AJU162" s="1056"/>
      <c r="AJV162" s="1056"/>
      <c r="AJW162" s="1056"/>
      <c r="AJX162" s="1056"/>
      <c r="AJY162" s="1056"/>
      <c r="AJZ162" s="1056"/>
      <c r="AKA162" s="1056"/>
      <c r="AKB162" s="1056"/>
      <c r="AKC162" s="1056"/>
      <c r="AKD162" s="1056"/>
      <c r="AKE162" s="1056"/>
      <c r="AKF162" s="1056"/>
      <c r="AKG162" s="1056"/>
      <c r="AKH162" s="1056"/>
      <c r="AKI162" s="1056"/>
      <c r="AKJ162" s="1056"/>
      <c r="AKK162" s="1056"/>
      <c r="AKL162" s="1056"/>
      <c r="AKM162" s="1056"/>
      <c r="AKN162" s="1056"/>
      <c r="AKO162" s="1056"/>
      <c r="AKP162" s="1056"/>
      <c r="AKQ162" s="1056"/>
      <c r="AKR162" s="1056"/>
      <c r="AKS162" s="1056"/>
      <c r="AKT162" s="1056"/>
      <c r="AKU162" s="1056"/>
      <c r="AKV162" s="1056"/>
      <c r="AKW162" s="1056"/>
      <c r="AKX162" s="1056"/>
      <c r="AKY162" s="1056"/>
      <c r="AKZ162" s="1056"/>
      <c r="ALA162" s="1056"/>
      <c r="ALB162" s="1056"/>
      <c r="ALC162" s="1056"/>
      <c r="ALD162" s="1056"/>
      <c r="ALE162" s="1056"/>
      <c r="ALF162" s="1056"/>
      <c r="ALG162" s="1056"/>
      <c r="ALH162" s="1056"/>
      <c r="ALI162" s="1056"/>
      <c r="ALJ162" s="1056"/>
      <c r="ALK162" s="1056"/>
      <c r="ALL162" s="1056"/>
      <c r="ALM162" s="1056"/>
      <c r="ALN162" s="1056"/>
      <c r="ALO162" s="1056"/>
      <c r="ALP162" s="1056"/>
      <c r="ALQ162" s="1056"/>
      <c r="ALR162" s="1056"/>
      <c r="ALS162" s="1056"/>
      <c r="ALT162" s="1056"/>
      <c r="ALU162" s="1056"/>
      <c r="ALV162" s="1056"/>
      <c r="ALW162" s="1056"/>
      <c r="ALX162" s="1056"/>
      <c r="ALY162" s="1056"/>
      <c r="ALZ162" s="1056"/>
      <c r="AMA162" s="1056"/>
      <c r="AMB162" s="1056"/>
      <c r="AMC162" s="1056"/>
      <c r="AMD162" s="1056"/>
      <c r="AME162" s="1056"/>
      <c r="AMF162" s="1056"/>
      <c r="AMG162" s="1056"/>
      <c r="AMH162" s="1056"/>
      <c r="AMI162" s="1056"/>
      <c r="AMJ162" s="1056"/>
      <c r="AMK162" s="1056"/>
      <c r="AML162" s="1056"/>
      <c r="AMM162" s="1056"/>
      <c r="AMN162" s="1056"/>
      <c r="AMO162" s="1056"/>
      <c r="AMP162" s="1056"/>
      <c r="AMQ162" s="1056"/>
      <c r="AMR162" s="1056"/>
      <c r="AMS162" s="1056"/>
      <c r="AMT162" s="1056"/>
      <c r="AMU162" s="1056"/>
      <c r="AMV162" s="1056"/>
      <c r="AMW162" s="1056"/>
      <c r="AMX162" s="1056"/>
      <c r="AMY162" s="1056"/>
      <c r="AMZ162" s="1056"/>
      <c r="ANA162" s="1056"/>
      <c r="ANB162" s="1056"/>
      <c r="ANC162" s="1056"/>
      <c r="AND162" s="1056"/>
      <c r="ANE162" s="1056"/>
      <c r="ANF162" s="1056"/>
      <c r="ANG162" s="1056"/>
      <c r="ANH162" s="1056"/>
      <c r="ANI162" s="1056"/>
      <c r="ANJ162" s="1056"/>
      <c r="ANK162" s="1056"/>
      <c r="ANL162" s="1056"/>
      <c r="ANM162" s="1056"/>
      <c r="ANN162" s="1056"/>
      <c r="ANO162" s="1056"/>
      <c r="ANP162" s="1056"/>
      <c r="ANQ162" s="1056"/>
      <c r="ANR162" s="1056"/>
      <c r="ANS162" s="1056"/>
      <c r="ANT162" s="1056"/>
      <c r="ANU162" s="1056"/>
      <c r="ANV162" s="1056"/>
      <c r="ANW162" s="1056"/>
      <c r="ANX162" s="1056"/>
      <c r="ANY162" s="1056"/>
      <c r="ANZ162" s="1056"/>
      <c r="AOA162" s="1056"/>
      <c r="AOB162" s="1056"/>
      <c r="AOC162" s="1056"/>
      <c r="AOD162" s="1056"/>
      <c r="AOE162" s="1056"/>
      <c r="AOF162" s="1056"/>
      <c r="AOG162" s="1056"/>
      <c r="AOH162" s="1056"/>
      <c r="AOI162" s="1056"/>
      <c r="AOJ162" s="1056"/>
      <c r="AOK162" s="1056"/>
      <c r="AOL162" s="1056"/>
      <c r="AOM162" s="1056"/>
      <c r="AON162" s="1056"/>
      <c r="AOO162" s="1056"/>
      <c r="AOP162" s="1056"/>
      <c r="AOQ162" s="1056"/>
      <c r="AOR162" s="1056"/>
      <c r="AOS162" s="1056"/>
      <c r="AOT162" s="1056"/>
      <c r="AOU162" s="1056"/>
      <c r="AOV162" s="1056"/>
      <c r="AOW162" s="1056"/>
      <c r="AOX162" s="1056"/>
      <c r="AOY162" s="1056"/>
      <c r="AOZ162" s="1056"/>
      <c r="APA162" s="1056"/>
      <c r="APB162" s="1056"/>
      <c r="APC162" s="1056"/>
      <c r="APD162" s="1056"/>
      <c r="APE162" s="1056"/>
      <c r="APF162" s="1056"/>
      <c r="APG162" s="1056"/>
      <c r="APH162" s="1056"/>
      <c r="API162" s="1056"/>
      <c r="APJ162" s="1056"/>
      <c r="APK162" s="1056"/>
      <c r="APL162" s="1056"/>
      <c r="APM162" s="1056"/>
      <c r="APN162" s="1056"/>
      <c r="APO162" s="1056"/>
      <c r="APP162" s="1056"/>
      <c r="APQ162" s="1056"/>
      <c r="APR162" s="1056"/>
      <c r="APS162" s="1056"/>
      <c r="APT162" s="1056"/>
      <c r="APU162" s="1056"/>
      <c r="APV162" s="1056"/>
      <c r="APW162" s="1056"/>
      <c r="APX162" s="1056"/>
      <c r="APY162" s="1056"/>
      <c r="APZ162" s="1056"/>
      <c r="AQA162" s="1056"/>
      <c r="AQB162" s="1056"/>
      <c r="AQC162" s="1056"/>
      <c r="AQD162" s="1056"/>
      <c r="AQE162" s="1056"/>
      <c r="AQF162" s="1056"/>
      <c r="AQG162" s="1056"/>
      <c r="AQH162" s="1056"/>
      <c r="AQI162" s="1056"/>
      <c r="AQJ162" s="1056"/>
      <c r="AQK162" s="1056"/>
      <c r="AQL162" s="1056"/>
      <c r="AQM162" s="1056"/>
      <c r="AQN162" s="1056"/>
      <c r="AQO162" s="1056"/>
      <c r="AQP162" s="1056"/>
      <c r="AQQ162" s="1056"/>
      <c r="AQR162" s="1056"/>
      <c r="AQS162" s="1056"/>
      <c r="AQT162" s="1056"/>
      <c r="AQU162" s="1056"/>
      <c r="AQV162" s="1056"/>
      <c r="AQW162" s="1056"/>
      <c r="AQX162" s="1056"/>
      <c r="AQY162" s="1056"/>
      <c r="AQZ162" s="1056"/>
      <c r="ARA162" s="1056"/>
      <c r="ARB162" s="1056"/>
      <c r="ARC162" s="1056"/>
      <c r="ARD162" s="1056"/>
      <c r="ARE162" s="1056"/>
      <c r="ARF162" s="1056"/>
      <c r="ARG162" s="1056"/>
      <c r="ARH162" s="1056"/>
      <c r="ARI162" s="1056"/>
      <c r="ARJ162" s="1056"/>
      <c r="ARK162" s="1056"/>
      <c r="ARL162" s="1056"/>
      <c r="ARM162" s="1056"/>
      <c r="ARN162" s="1056"/>
      <c r="ARO162" s="1056"/>
      <c r="ARP162" s="1056"/>
      <c r="ARQ162" s="1056"/>
      <c r="ARR162" s="1056"/>
      <c r="ARS162" s="1056"/>
      <c r="ART162" s="1056"/>
      <c r="ARU162" s="1056"/>
      <c r="ARV162" s="1056"/>
      <c r="ARW162" s="1056"/>
      <c r="ARX162" s="1056"/>
      <c r="ARY162" s="1056"/>
      <c r="ARZ162" s="1056"/>
      <c r="ASA162" s="1056"/>
      <c r="ASB162" s="1056"/>
      <c r="ASC162" s="1056"/>
      <c r="ASD162" s="1056"/>
      <c r="ASE162" s="1056"/>
      <c r="ASF162" s="1056"/>
      <c r="ASG162" s="1056"/>
      <c r="ASH162" s="1056"/>
      <c r="ASI162" s="1056"/>
      <c r="ASJ162" s="1056"/>
      <c r="ASK162" s="1056"/>
      <c r="ASL162" s="1056"/>
      <c r="ASM162" s="1056"/>
      <c r="ASN162" s="1056"/>
      <c r="ASO162" s="1056"/>
      <c r="ASP162" s="1056"/>
      <c r="ASQ162" s="1056"/>
      <c r="ASR162" s="1056"/>
      <c r="ASS162" s="1056"/>
      <c r="AST162" s="1056"/>
      <c r="ASU162" s="1056"/>
      <c r="ASV162" s="1056"/>
      <c r="ASW162" s="1056"/>
      <c r="ASX162" s="1056"/>
      <c r="ASY162" s="1056"/>
      <c r="ASZ162" s="1056"/>
      <c r="ATA162" s="1056"/>
      <c r="ATB162" s="1056"/>
      <c r="ATC162" s="1056"/>
      <c r="ATD162" s="1056"/>
      <c r="ATE162" s="1056"/>
      <c r="ATF162" s="1056"/>
      <c r="ATG162" s="1056"/>
      <c r="ATH162" s="1056"/>
      <c r="ATI162" s="1056"/>
      <c r="ATJ162" s="1056"/>
      <c r="ATK162" s="1056"/>
      <c r="ATL162" s="1056"/>
      <c r="ATM162" s="1056"/>
      <c r="ATN162" s="1056"/>
      <c r="ATO162" s="1056"/>
      <c r="ATP162" s="1056"/>
      <c r="ATQ162" s="1056"/>
      <c r="ATR162" s="1056"/>
      <c r="ATS162" s="1056"/>
      <c r="ATT162" s="1056"/>
      <c r="ATU162" s="1056"/>
      <c r="ATV162" s="1056"/>
      <c r="ATW162" s="1056"/>
      <c r="ATX162" s="1056"/>
      <c r="ATY162" s="1056"/>
      <c r="ATZ162" s="1056"/>
      <c r="AUA162" s="1056"/>
      <c r="AUB162" s="1056"/>
      <c r="AUC162" s="1056"/>
      <c r="AUD162" s="1056"/>
      <c r="AUE162" s="1056"/>
      <c r="AUF162" s="1056"/>
      <c r="AUG162" s="1056"/>
      <c r="AUH162" s="1056"/>
      <c r="AUI162" s="1056"/>
      <c r="AUJ162" s="1056"/>
      <c r="AUK162" s="1056"/>
      <c r="AUL162" s="1056"/>
      <c r="AUM162" s="1056"/>
      <c r="AUN162" s="1056"/>
      <c r="AUO162" s="1056"/>
      <c r="AUP162" s="1056"/>
      <c r="AUQ162" s="1056"/>
      <c r="AUR162" s="1056"/>
      <c r="AUS162" s="1056"/>
      <c r="AUT162" s="1056"/>
      <c r="AUU162" s="1056"/>
      <c r="AUV162" s="1056"/>
      <c r="AUW162" s="1056"/>
      <c r="AUX162" s="1056"/>
      <c r="AUY162" s="1056"/>
      <c r="AUZ162" s="1056"/>
      <c r="AVA162" s="1056"/>
      <c r="AVB162" s="1056"/>
      <c r="AVC162" s="1056"/>
      <c r="AVD162" s="1056"/>
      <c r="AVE162" s="1056"/>
      <c r="AVF162" s="1056"/>
      <c r="AVG162" s="1056"/>
      <c r="AVH162" s="1056"/>
      <c r="AVI162" s="1056"/>
      <c r="AVJ162" s="1056"/>
      <c r="AVK162" s="1056"/>
      <c r="AVL162" s="1056"/>
      <c r="AVM162" s="1056"/>
      <c r="AVN162" s="1056"/>
      <c r="AVO162" s="1056"/>
      <c r="AVP162" s="1056"/>
      <c r="AVQ162" s="1056"/>
      <c r="AVR162" s="1056"/>
      <c r="AVS162" s="1056"/>
      <c r="AVT162" s="1056"/>
      <c r="AVU162" s="1056"/>
      <c r="AVV162" s="1056"/>
      <c r="AVW162" s="1056"/>
      <c r="AVX162" s="1056"/>
      <c r="AVY162" s="1056"/>
      <c r="AVZ162" s="1056"/>
      <c r="AWA162" s="1056"/>
      <c r="AWB162" s="1056"/>
      <c r="AWC162" s="1056"/>
      <c r="AWD162" s="1056"/>
      <c r="AWE162" s="1056"/>
      <c r="AWF162" s="1056"/>
      <c r="AWG162" s="1056"/>
      <c r="AWH162" s="1056"/>
      <c r="AWI162" s="1056"/>
      <c r="AWJ162" s="1056"/>
      <c r="AWK162" s="1056"/>
      <c r="AWL162" s="1056"/>
      <c r="AWM162" s="1056"/>
      <c r="AWN162" s="1056"/>
      <c r="AWO162" s="1056"/>
      <c r="AWP162" s="1056"/>
      <c r="AWQ162" s="1056"/>
      <c r="AWR162" s="1056"/>
      <c r="AWS162" s="1056"/>
      <c r="AWT162" s="1056"/>
      <c r="AWU162" s="1056"/>
      <c r="AWV162" s="1056"/>
      <c r="AWW162" s="1056"/>
      <c r="AWX162" s="1056"/>
      <c r="AWY162" s="1056"/>
      <c r="AWZ162" s="1056"/>
      <c r="AXA162" s="1056"/>
      <c r="AXB162" s="1056"/>
      <c r="AXC162" s="1056"/>
      <c r="AXD162" s="1056"/>
      <c r="AXE162" s="1056"/>
      <c r="AXF162" s="1056"/>
      <c r="AXG162" s="1056"/>
      <c r="AXH162" s="1056"/>
      <c r="AXI162" s="1056"/>
      <c r="AXJ162" s="1056"/>
      <c r="AXK162" s="1056"/>
      <c r="AXL162" s="1056"/>
      <c r="AXM162" s="1056"/>
      <c r="AXN162" s="1056"/>
      <c r="AXO162" s="1056"/>
      <c r="AXP162" s="1056"/>
      <c r="AXQ162" s="1056"/>
      <c r="AXR162" s="1056"/>
      <c r="AXS162" s="1056"/>
      <c r="AXT162" s="1056"/>
      <c r="AXU162" s="1056"/>
      <c r="AXV162" s="1056"/>
      <c r="AXW162" s="1056"/>
      <c r="AXX162" s="1056"/>
      <c r="AXY162" s="1056"/>
      <c r="AXZ162" s="1056"/>
      <c r="AYA162" s="1056"/>
      <c r="AYB162" s="1056"/>
      <c r="AYC162" s="1056"/>
      <c r="AYD162" s="1056"/>
      <c r="AYE162" s="1056"/>
      <c r="AYF162" s="1056"/>
      <c r="AYG162" s="1056"/>
      <c r="AYH162" s="1056"/>
      <c r="AYI162" s="1056"/>
      <c r="AYJ162" s="1056"/>
      <c r="AYK162" s="1056"/>
      <c r="AYL162" s="1056"/>
      <c r="AYM162" s="1056"/>
      <c r="AYN162" s="1056"/>
      <c r="AYO162" s="1056"/>
      <c r="AYP162" s="1056"/>
      <c r="AYQ162" s="1056"/>
      <c r="AYR162" s="1056"/>
      <c r="AYS162" s="1056"/>
      <c r="AYT162" s="1056"/>
      <c r="AYU162" s="1056"/>
      <c r="AYV162" s="1056"/>
      <c r="AYW162" s="1056"/>
      <c r="AYX162" s="1056"/>
      <c r="AYY162" s="1056"/>
      <c r="AYZ162" s="1056"/>
      <c r="AZA162" s="1056"/>
      <c r="AZB162" s="1056"/>
      <c r="AZC162" s="1056"/>
      <c r="AZD162" s="1056"/>
      <c r="AZE162" s="1056"/>
      <c r="AZF162" s="1056"/>
      <c r="AZG162" s="1056"/>
      <c r="AZH162" s="1056"/>
      <c r="AZI162" s="1056"/>
      <c r="AZJ162" s="1056"/>
      <c r="AZK162" s="1056"/>
      <c r="AZL162" s="1056"/>
      <c r="AZM162" s="1056"/>
      <c r="AZN162" s="1056"/>
      <c r="AZO162" s="1056"/>
      <c r="AZP162" s="1056"/>
      <c r="AZQ162" s="1056"/>
      <c r="AZR162" s="1056"/>
      <c r="AZS162" s="1056"/>
      <c r="AZT162" s="1056"/>
      <c r="AZU162" s="1056"/>
      <c r="AZV162" s="1056"/>
      <c r="AZW162" s="1056"/>
      <c r="AZX162" s="1056"/>
      <c r="AZY162" s="1056"/>
      <c r="AZZ162" s="1056"/>
      <c r="BAA162" s="1056"/>
      <c r="BAB162" s="1056"/>
      <c r="BAC162" s="1056"/>
      <c r="BAD162" s="1056"/>
      <c r="BAE162" s="1056"/>
      <c r="BAF162" s="1056"/>
      <c r="BAG162" s="1056"/>
      <c r="BAH162" s="1056"/>
      <c r="BAI162" s="1056"/>
      <c r="BAJ162" s="1056"/>
      <c r="BAK162" s="1056"/>
      <c r="BAL162" s="1056"/>
      <c r="BAM162" s="1056"/>
      <c r="BAN162" s="1056"/>
      <c r="BAO162" s="1056"/>
      <c r="BAP162" s="1056"/>
      <c r="BAQ162" s="1056"/>
      <c r="BAR162" s="1056"/>
      <c r="BAS162" s="1056"/>
      <c r="BAT162" s="1056"/>
      <c r="BAU162" s="1056"/>
      <c r="BAV162" s="1056"/>
      <c r="BAW162" s="1056"/>
      <c r="BAX162" s="1056"/>
      <c r="BAY162" s="1056"/>
      <c r="BAZ162" s="1056"/>
      <c r="BBA162" s="1056"/>
      <c r="BBB162" s="1056"/>
      <c r="BBC162" s="1056"/>
      <c r="BBD162" s="1056"/>
      <c r="BBE162" s="1056"/>
      <c r="BBF162" s="1056"/>
      <c r="BBG162" s="1056"/>
      <c r="BBH162" s="1056"/>
      <c r="BBI162" s="1056"/>
      <c r="BBJ162" s="1056"/>
      <c r="BBK162" s="1056"/>
      <c r="BBL162" s="1056"/>
      <c r="BBM162" s="1056"/>
      <c r="BBN162" s="1056"/>
      <c r="BBO162" s="1056"/>
      <c r="BBP162" s="1056"/>
      <c r="BBQ162" s="1056"/>
      <c r="BBR162" s="1056"/>
      <c r="BBS162" s="1056"/>
      <c r="BBT162" s="1056"/>
      <c r="BBU162" s="1056"/>
      <c r="BBV162" s="1056"/>
      <c r="BBW162" s="1056"/>
      <c r="BBX162" s="1056"/>
      <c r="BBY162" s="1056"/>
      <c r="BBZ162" s="1056"/>
      <c r="BCA162" s="1056"/>
      <c r="BCB162" s="1056"/>
      <c r="BCC162" s="1056"/>
      <c r="BCD162" s="1056"/>
      <c r="BCE162" s="1056"/>
      <c r="BCF162" s="1056"/>
      <c r="BCG162" s="1056"/>
      <c r="BCH162" s="1056"/>
      <c r="BCI162" s="1056"/>
      <c r="BCJ162" s="1056"/>
      <c r="BCK162" s="1056"/>
      <c r="BCL162" s="1056"/>
      <c r="BCM162" s="1056"/>
      <c r="BCN162" s="1056"/>
      <c r="BCO162" s="1056"/>
      <c r="BCP162" s="1056"/>
      <c r="BCQ162" s="1056"/>
      <c r="BCR162" s="1056"/>
      <c r="BCS162" s="1056"/>
      <c r="BCT162" s="1056"/>
      <c r="BCU162" s="1056"/>
      <c r="BCV162" s="1056"/>
      <c r="BCW162" s="1056"/>
      <c r="BCX162" s="1056"/>
      <c r="BCY162" s="1056"/>
      <c r="BCZ162" s="1056"/>
      <c r="BDA162" s="1056"/>
      <c r="BDB162" s="1056"/>
      <c r="BDC162" s="1056"/>
      <c r="BDD162" s="1056"/>
      <c r="BDE162" s="1056"/>
      <c r="BDF162" s="1056"/>
      <c r="BDG162" s="1056"/>
      <c r="BDH162" s="1056"/>
      <c r="BDI162" s="1056"/>
      <c r="BDJ162" s="1056"/>
      <c r="BDK162" s="1056"/>
      <c r="BDL162" s="1056"/>
      <c r="BDM162" s="1056"/>
      <c r="BDN162" s="1056"/>
      <c r="BDO162" s="1056"/>
      <c r="BDP162" s="1056"/>
      <c r="BDQ162" s="1056"/>
      <c r="BDR162" s="1056"/>
      <c r="BDS162" s="1056"/>
      <c r="BDT162" s="1056"/>
      <c r="BDU162" s="1056"/>
      <c r="BDV162" s="1056"/>
      <c r="BDW162" s="1056"/>
      <c r="BDX162" s="1056"/>
      <c r="BDY162" s="1056"/>
      <c r="BDZ162" s="1056"/>
      <c r="BEA162" s="1056"/>
      <c r="BEB162" s="1056"/>
      <c r="BEC162" s="1056"/>
      <c r="BED162" s="1056"/>
      <c r="BEE162" s="1056"/>
      <c r="BEF162" s="1056"/>
      <c r="BEG162" s="1056"/>
      <c r="BEH162" s="1056"/>
      <c r="BEI162" s="1056"/>
      <c r="BEJ162" s="1056"/>
      <c r="BEK162" s="1056"/>
      <c r="BEL162" s="1056"/>
      <c r="BEM162" s="1056"/>
      <c r="BEN162" s="1056"/>
      <c r="BEO162" s="1056"/>
      <c r="BEP162" s="1056"/>
      <c r="BEQ162" s="1056"/>
      <c r="BER162" s="1056"/>
      <c r="BES162" s="1056"/>
      <c r="BET162" s="1056"/>
      <c r="BEU162" s="1056"/>
      <c r="BEV162" s="1056"/>
      <c r="BEW162" s="1056"/>
      <c r="BEX162" s="1056"/>
      <c r="BEY162" s="1056"/>
      <c r="BEZ162" s="1056"/>
      <c r="BFA162" s="1056"/>
      <c r="BFB162" s="1056"/>
      <c r="BFC162" s="1056"/>
      <c r="BFD162" s="1056"/>
      <c r="BFE162" s="1056"/>
      <c r="BFF162" s="1056"/>
      <c r="BFG162" s="1056"/>
      <c r="BFH162" s="1056"/>
      <c r="BFI162" s="1056"/>
      <c r="BFJ162" s="1056"/>
      <c r="BFK162" s="1056"/>
      <c r="BFL162" s="1056"/>
      <c r="BFM162" s="1056"/>
      <c r="BFN162" s="1056"/>
      <c r="BFO162" s="1056"/>
      <c r="BFP162" s="1056"/>
      <c r="BFQ162" s="1056"/>
      <c r="BFR162" s="1056"/>
      <c r="BFS162" s="1056"/>
      <c r="BFT162" s="1056"/>
      <c r="BFU162" s="1056"/>
      <c r="BFV162" s="1056"/>
      <c r="BFW162" s="1056"/>
      <c r="BFX162" s="1056"/>
      <c r="BFY162" s="1056"/>
      <c r="BFZ162" s="1056"/>
      <c r="BGA162" s="1056"/>
      <c r="BGB162" s="1056"/>
      <c r="BGC162" s="1056"/>
      <c r="BGD162" s="1056"/>
      <c r="BGE162" s="1056"/>
      <c r="BGF162" s="1056"/>
      <c r="BGG162" s="1056"/>
      <c r="BGH162" s="1056"/>
      <c r="BGI162" s="1056"/>
      <c r="BGJ162" s="1056"/>
      <c r="BGK162" s="1056"/>
      <c r="BGL162" s="1056"/>
      <c r="BGM162" s="1056"/>
      <c r="BGN162" s="1056"/>
      <c r="BGO162" s="1056"/>
      <c r="BGP162" s="1056"/>
      <c r="BGQ162" s="1056"/>
      <c r="BGR162" s="1056"/>
      <c r="BGS162" s="1056"/>
      <c r="BGT162" s="1056"/>
      <c r="BGU162" s="1056"/>
      <c r="BGV162" s="1056"/>
      <c r="BGW162" s="1056"/>
      <c r="BGX162" s="1056"/>
      <c r="BGY162" s="1056"/>
      <c r="BGZ162" s="1056"/>
      <c r="BHA162" s="1056"/>
      <c r="BHB162" s="1056"/>
      <c r="BHC162" s="1056"/>
      <c r="BHD162" s="1056"/>
      <c r="BHE162" s="1056"/>
      <c r="BHF162" s="1056"/>
      <c r="BHG162" s="1056"/>
      <c r="BHH162" s="1056"/>
      <c r="BHI162" s="1056"/>
      <c r="BHJ162" s="1056"/>
      <c r="BHK162" s="1056"/>
      <c r="BHL162" s="1056"/>
      <c r="BHM162" s="1056"/>
      <c r="BHN162" s="1056"/>
      <c r="BHO162" s="1056"/>
      <c r="BHP162" s="1056"/>
      <c r="BHQ162" s="1056"/>
      <c r="BHR162" s="1056"/>
      <c r="BHS162" s="1056"/>
      <c r="BHT162" s="1056"/>
      <c r="BHU162" s="1056"/>
      <c r="BHV162" s="1056"/>
      <c r="BHW162" s="1056"/>
      <c r="BHX162" s="1056"/>
      <c r="BHY162" s="1056"/>
      <c r="BHZ162" s="1056"/>
      <c r="BIA162" s="1056"/>
      <c r="BIB162" s="1056"/>
      <c r="BIC162" s="1056"/>
      <c r="BID162" s="1056"/>
      <c r="BIE162" s="1056"/>
      <c r="BIF162" s="1056"/>
      <c r="BIG162" s="1056"/>
      <c r="BIH162" s="1056"/>
      <c r="BII162" s="1056"/>
      <c r="BIJ162" s="1056"/>
      <c r="BIK162" s="1056"/>
      <c r="BIL162" s="1056"/>
      <c r="BIM162" s="1056"/>
      <c r="BIN162" s="1056"/>
      <c r="BIO162" s="1056"/>
      <c r="BIP162" s="1056"/>
      <c r="BIQ162" s="1056"/>
      <c r="BIR162" s="1056"/>
      <c r="BIS162" s="1056"/>
      <c r="BIT162" s="1056"/>
      <c r="BIU162" s="1056"/>
      <c r="BIV162" s="1056"/>
      <c r="BIW162" s="1056"/>
      <c r="BIX162" s="1056"/>
      <c r="BIY162" s="1056"/>
      <c r="BIZ162" s="1056"/>
      <c r="BJA162" s="1056"/>
      <c r="BJB162" s="1056"/>
      <c r="BJC162" s="1056"/>
      <c r="BJD162" s="1056"/>
      <c r="BJE162" s="1056"/>
      <c r="BJF162" s="1056"/>
      <c r="BJG162" s="1056"/>
      <c r="BJH162" s="1056"/>
      <c r="BJI162" s="1056"/>
      <c r="BJJ162" s="1056"/>
      <c r="BJK162" s="1056"/>
      <c r="BJL162" s="1056"/>
      <c r="BJM162" s="1056"/>
      <c r="BJN162" s="1056"/>
      <c r="BJO162" s="1056"/>
      <c r="BJP162" s="1056"/>
      <c r="BJQ162" s="1056"/>
      <c r="BJR162" s="1056"/>
      <c r="BJS162" s="1056"/>
      <c r="BJT162" s="1056"/>
      <c r="BJU162" s="1056"/>
      <c r="BJV162" s="1056"/>
      <c r="BJW162" s="1056"/>
      <c r="BJX162" s="1056"/>
      <c r="BJY162" s="1056"/>
      <c r="BJZ162" s="1056"/>
      <c r="BKA162" s="1056"/>
      <c r="BKB162" s="1056"/>
      <c r="BKC162" s="1056"/>
      <c r="BKD162" s="1056"/>
      <c r="BKE162" s="1056"/>
      <c r="BKF162" s="1056"/>
      <c r="BKG162" s="1056"/>
      <c r="BKH162" s="1056"/>
      <c r="BKI162" s="1056"/>
      <c r="BKJ162" s="1056"/>
      <c r="BKK162" s="1056"/>
      <c r="BKL162" s="1056"/>
      <c r="BKM162" s="1056"/>
      <c r="BKN162" s="1056"/>
      <c r="BKO162" s="1056"/>
      <c r="BKP162" s="1056"/>
      <c r="BKQ162" s="1056"/>
      <c r="BKR162" s="1056"/>
      <c r="BKS162" s="1056"/>
      <c r="BKT162" s="1056"/>
      <c r="BKU162" s="1056"/>
      <c r="BKV162" s="1056"/>
      <c r="BKW162" s="1056"/>
      <c r="BKX162" s="1056"/>
      <c r="BKY162" s="1056"/>
      <c r="BKZ162" s="1056"/>
      <c r="BLA162" s="1056"/>
      <c r="BLB162" s="1056"/>
      <c r="BLC162" s="1056"/>
      <c r="BLD162" s="1056"/>
      <c r="BLE162" s="1056"/>
      <c r="BLF162" s="1056"/>
      <c r="BLG162" s="1056"/>
      <c r="BLH162" s="1056"/>
      <c r="BLI162" s="1056"/>
      <c r="BLJ162" s="1056"/>
      <c r="BLK162" s="1056"/>
      <c r="BLL162" s="1056"/>
      <c r="BLM162" s="1056"/>
      <c r="BLN162" s="1056"/>
      <c r="BLO162" s="1056"/>
      <c r="BLP162" s="1056"/>
      <c r="BLQ162" s="1056"/>
      <c r="BLR162" s="1056"/>
      <c r="BLS162" s="1056"/>
      <c r="BLT162" s="1056"/>
      <c r="BLU162" s="1056"/>
      <c r="BLV162" s="1056"/>
      <c r="BLW162" s="1056"/>
      <c r="BLX162" s="1056"/>
      <c r="BLY162" s="1056"/>
      <c r="BLZ162" s="1056"/>
      <c r="BMA162" s="1056"/>
      <c r="BMB162" s="1056"/>
      <c r="BMC162" s="1056"/>
      <c r="BMD162" s="1056"/>
      <c r="BME162" s="1056"/>
      <c r="BMF162" s="1056"/>
      <c r="BMG162" s="1056"/>
      <c r="BMH162" s="1056"/>
      <c r="BMI162" s="1056"/>
      <c r="BMJ162" s="1056"/>
      <c r="BMK162" s="1056"/>
      <c r="BML162" s="1056"/>
      <c r="BMM162" s="1056"/>
      <c r="BMN162" s="1056"/>
      <c r="BMO162" s="1056"/>
      <c r="BMP162" s="1056"/>
      <c r="BMQ162" s="1056"/>
      <c r="BMR162" s="1056"/>
      <c r="BMS162" s="1056"/>
      <c r="BMT162" s="1056"/>
      <c r="BMU162" s="1056"/>
      <c r="BMV162" s="1056"/>
      <c r="BMW162" s="1056"/>
      <c r="BMX162" s="1056"/>
      <c r="BMY162" s="1056"/>
      <c r="BMZ162" s="1056"/>
      <c r="BNA162" s="1056"/>
      <c r="BNB162" s="1056"/>
      <c r="BNC162" s="1056"/>
      <c r="BND162" s="1056"/>
      <c r="BNE162" s="1056"/>
      <c r="BNF162" s="1056"/>
      <c r="BNG162" s="1056"/>
      <c r="BNH162" s="1056"/>
      <c r="BNI162" s="1056"/>
      <c r="BNJ162" s="1056"/>
      <c r="BNK162" s="1056"/>
      <c r="BNL162" s="1056"/>
      <c r="BNM162" s="1056"/>
      <c r="BNN162" s="1056"/>
      <c r="BNO162" s="1056"/>
      <c r="BNP162" s="1056"/>
      <c r="BNQ162" s="1056"/>
      <c r="BNR162" s="1056"/>
      <c r="BNS162" s="1056"/>
      <c r="BNT162" s="1056"/>
      <c r="BNU162" s="1056"/>
      <c r="BNV162" s="1056"/>
      <c r="BNW162" s="1056"/>
      <c r="BNX162" s="1056"/>
      <c r="BNY162" s="1056"/>
      <c r="BNZ162" s="1056"/>
      <c r="BOA162" s="1056"/>
      <c r="BOB162" s="1056"/>
      <c r="BOC162" s="1056"/>
      <c r="BOD162" s="1056"/>
      <c r="BOE162" s="1056"/>
      <c r="BOF162" s="1056"/>
      <c r="BOG162" s="1056"/>
      <c r="BOH162" s="1056"/>
      <c r="BOI162" s="1056"/>
      <c r="BOJ162" s="1056"/>
      <c r="BOK162" s="1056"/>
      <c r="BOL162" s="1056"/>
      <c r="BOM162" s="1056"/>
      <c r="BON162" s="1056"/>
      <c r="BOO162" s="1056"/>
      <c r="BOP162" s="1056"/>
      <c r="BOQ162" s="1056"/>
      <c r="BOR162" s="1056"/>
      <c r="BOS162" s="1056"/>
      <c r="BOT162" s="1056"/>
      <c r="BOU162" s="1056"/>
      <c r="BOV162" s="1056"/>
      <c r="BOW162" s="1056"/>
      <c r="BOX162" s="1056"/>
      <c r="BOY162" s="1056"/>
      <c r="BOZ162" s="1056"/>
      <c r="BPA162" s="1056"/>
      <c r="BPB162" s="1056"/>
      <c r="BPC162" s="1056"/>
      <c r="BPD162" s="1056"/>
      <c r="BPE162" s="1056"/>
      <c r="BPF162" s="1056"/>
      <c r="BPG162" s="1056"/>
      <c r="BPH162" s="1056"/>
      <c r="BPI162" s="1056"/>
      <c r="BPJ162" s="1056"/>
      <c r="BPK162" s="1056"/>
      <c r="BPL162" s="1056"/>
      <c r="BPM162" s="1056"/>
      <c r="BPN162" s="1056"/>
      <c r="BPO162" s="1056"/>
      <c r="BPP162" s="1056"/>
      <c r="BPQ162" s="1056"/>
      <c r="BPR162" s="1056"/>
      <c r="BPS162" s="1056"/>
      <c r="BPT162" s="1056"/>
      <c r="BPU162" s="1056"/>
      <c r="BPV162" s="1056"/>
      <c r="BPW162" s="1056"/>
      <c r="BPX162" s="1056"/>
      <c r="BPY162" s="1056"/>
      <c r="BPZ162" s="1056"/>
      <c r="BQA162" s="1056"/>
      <c r="BQB162" s="1056"/>
      <c r="BQC162" s="1056"/>
      <c r="BQD162" s="1056"/>
      <c r="BQE162" s="1056"/>
      <c r="BQF162" s="1056"/>
      <c r="BQG162" s="1056"/>
      <c r="BQH162" s="1056"/>
      <c r="BQI162" s="1056"/>
      <c r="BQJ162" s="1056"/>
      <c r="BQK162" s="1056"/>
      <c r="BQL162" s="1056"/>
      <c r="BQM162" s="1056"/>
      <c r="BQN162" s="1056"/>
      <c r="BQO162" s="1056"/>
      <c r="BQP162" s="1056"/>
      <c r="BQQ162" s="1056"/>
      <c r="BQR162" s="1056"/>
      <c r="BQS162" s="1056"/>
      <c r="BQT162" s="1056"/>
      <c r="BQU162" s="1056"/>
      <c r="BQV162" s="1056"/>
      <c r="BQW162" s="1056"/>
      <c r="BQX162" s="1056"/>
      <c r="BQY162" s="1056"/>
      <c r="BQZ162" s="1056"/>
      <c r="BRA162" s="1056"/>
      <c r="BRB162" s="1056"/>
      <c r="BRC162" s="1056"/>
      <c r="BRD162" s="1056"/>
      <c r="BRE162" s="1056"/>
      <c r="BRF162" s="1056"/>
      <c r="BRG162" s="1056"/>
      <c r="BRH162" s="1056"/>
      <c r="BRI162" s="1056"/>
      <c r="BRJ162" s="1056"/>
      <c r="BRK162" s="1056"/>
      <c r="BRL162" s="1056"/>
      <c r="BRM162" s="1056"/>
      <c r="BRN162" s="1056"/>
      <c r="BRO162" s="1056"/>
      <c r="BRP162" s="1056"/>
      <c r="BRQ162" s="1056"/>
      <c r="BRR162" s="1056"/>
      <c r="BRS162" s="1056"/>
      <c r="BRT162" s="1056"/>
      <c r="BRU162" s="1056"/>
      <c r="BRV162" s="1056"/>
      <c r="BRW162" s="1056"/>
      <c r="BRX162" s="1056"/>
      <c r="BRY162" s="1056"/>
      <c r="BRZ162" s="1056"/>
      <c r="BSA162" s="1056"/>
      <c r="BSB162" s="1056"/>
      <c r="BSC162" s="1056"/>
      <c r="BSD162" s="1056"/>
      <c r="BSE162" s="1056"/>
      <c r="BSF162" s="1056"/>
      <c r="BSG162" s="1056"/>
      <c r="BSH162" s="1056"/>
      <c r="BSI162" s="1056"/>
      <c r="BSJ162" s="1056"/>
      <c r="BSK162" s="1056"/>
      <c r="BSL162" s="1056"/>
      <c r="BSM162" s="1056"/>
      <c r="BSN162" s="1056"/>
      <c r="BSO162" s="1056"/>
      <c r="BSP162" s="1056"/>
      <c r="BSQ162" s="1056"/>
      <c r="BSR162" s="1056"/>
      <c r="BSS162" s="1056"/>
      <c r="BST162" s="1056"/>
      <c r="BSU162" s="1056"/>
      <c r="BSV162" s="1056"/>
      <c r="BSW162" s="1056"/>
      <c r="BSX162" s="1056"/>
      <c r="BSY162" s="1056"/>
      <c r="BSZ162" s="1056"/>
      <c r="BTA162" s="1056"/>
      <c r="BTB162" s="1056"/>
      <c r="BTC162" s="1056"/>
      <c r="BTD162" s="1056"/>
      <c r="BTE162" s="1056"/>
      <c r="BTF162" s="1056"/>
      <c r="BTG162" s="1056"/>
      <c r="BTH162" s="1056"/>
      <c r="BTI162" s="1056"/>
    </row>
    <row r="163" spans="1:1881" s="1060" customFormat="1" ht="118.5" hidden="1" customHeight="1" x14ac:dyDescent="0.3">
      <c r="A163" s="333">
        <v>642</v>
      </c>
      <c r="B163" s="1093" t="s">
        <v>409</v>
      </c>
      <c r="C163" s="1085" t="s">
        <v>1400</v>
      </c>
      <c r="D163" s="1086" t="s">
        <v>1409</v>
      </c>
      <c r="E163" s="1053" t="e">
        <f>HLOOKUP($D$2,'2020 Data(H)'!$C$1:$AI$426,301,FALSE)</f>
        <v>#N/A</v>
      </c>
      <c r="F163" s="287">
        <v>0</v>
      </c>
      <c r="G163" s="740">
        <f>IF(F163&gt;F160,"Error: Please review components of current liabilities above. Account numbers  642&gt;639",)</f>
        <v>0</v>
      </c>
      <c r="H163" s="1092"/>
      <c r="I163" s="1092"/>
      <c r="J163" s="1056"/>
      <c r="K163" s="1056"/>
      <c r="L163" s="1056"/>
      <c r="M163" s="1056"/>
      <c r="N163" s="1058"/>
      <c r="O163" s="1056"/>
      <c r="P163" s="1056"/>
      <c r="Q163" s="1056"/>
      <c r="R163" s="1056"/>
      <c r="S163" s="1056"/>
      <c r="T163" s="1056"/>
      <c r="U163" s="1056"/>
      <c r="V163" s="1056"/>
      <c r="W163" s="1056"/>
      <c r="X163" s="1056"/>
      <c r="Y163" s="1056"/>
      <c r="Z163" s="333"/>
      <c r="AA163" s="333"/>
      <c r="AB163" s="333"/>
      <c r="AC163" s="333"/>
      <c r="AD163" s="333"/>
      <c r="AE163" s="333"/>
      <c r="AF163" s="333"/>
      <c r="AG163" s="333"/>
      <c r="AH163" s="333"/>
      <c r="AI163" s="333"/>
      <c r="AJ163" s="333"/>
      <c r="AK163" s="333"/>
      <c r="AL163" s="333"/>
      <c r="AM163" s="333"/>
      <c r="AN163" s="333"/>
      <c r="AO163" s="333"/>
      <c r="AP163" s="333"/>
      <c r="AQ163" s="333"/>
      <c r="AR163" s="333"/>
      <c r="AS163" s="1056"/>
      <c r="AT163" s="1056"/>
      <c r="AU163" s="1056"/>
      <c r="AV163" s="1056"/>
      <c r="AW163" s="1056"/>
      <c r="AX163" s="1056"/>
      <c r="AY163" s="1056"/>
      <c r="AZ163" s="1056"/>
      <c r="BA163" s="1056"/>
      <c r="BB163" s="1056"/>
      <c r="BC163" s="1056"/>
      <c r="BD163" s="1056"/>
      <c r="BE163" s="1056"/>
      <c r="BF163" s="1056"/>
      <c r="BG163" s="1056"/>
      <c r="BH163" s="1056"/>
      <c r="BI163" s="1056"/>
      <c r="BJ163" s="1056"/>
      <c r="BK163" s="1056"/>
      <c r="BL163" s="1056"/>
      <c r="BM163" s="1056"/>
      <c r="BN163" s="1056"/>
      <c r="BO163" s="1056"/>
      <c r="BP163" s="1056"/>
      <c r="BQ163" s="1056"/>
      <c r="BR163" s="1056"/>
      <c r="BS163" s="1056"/>
      <c r="BT163" s="1056"/>
      <c r="BU163" s="1056"/>
      <c r="BV163" s="1056"/>
      <c r="BW163" s="1056"/>
      <c r="BX163" s="1056"/>
      <c r="BY163" s="1056"/>
      <c r="BZ163" s="1056"/>
      <c r="CA163" s="1056"/>
      <c r="CB163" s="1056"/>
      <c r="CC163" s="1056"/>
      <c r="CD163" s="1056"/>
      <c r="CE163" s="1056"/>
      <c r="CF163" s="1056"/>
      <c r="CG163" s="1056"/>
      <c r="CH163" s="1056"/>
      <c r="CI163" s="1056"/>
      <c r="CJ163" s="1056"/>
      <c r="CK163" s="1056"/>
      <c r="CL163" s="1056"/>
      <c r="CM163" s="1056"/>
      <c r="CN163" s="1056"/>
      <c r="CO163" s="1056"/>
      <c r="CP163" s="1056"/>
      <c r="CQ163" s="1056"/>
      <c r="CR163" s="1056"/>
      <c r="CS163" s="1056"/>
      <c r="CT163" s="1056"/>
      <c r="CU163" s="1056"/>
      <c r="CV163" s="1056"/>
      <c r="CW163" s="1056"/>
      <c r="CX163" s="1056"/>
      <c r="CY163" s="1056"/>
      <c r="CZ163" s="1056"/>
      <c r="DA163" s="1056"/>
      <c r="DB163" s="1056"/>
      <c r="DC163" s="1056"/>
      <c r="DD163" s="1056"/>
      <c r="DE163" s="1056"/>
      <c r="DF163" s="1056"/>
      <c r="DG163" s="1056"/>
      <c r="DH163" s="1056"/>
      <c r="DI163" s="1056"/>
      <c r="DJ163" s="1056"/>
      <c r="DK163" s="1056"/>
      <c r="DL163" s="1056"/>
      <c r="DM163" s="1056"/>
      <c r="DN163" s="1056"/>
      <c r="DO163" s="1056"/>
      <c r="DP163" s="1056"/>
      <c r="DQ163" s="1056"/>
      <c r="DR163" s="1056"/>
      <c r="DS163" s="1056"/>
      <c r="DT163" s="1056"/>
      <c r="DU163" s="1056"/>
      <c r="DV163" s="1056"/>
      <c r="DW163" s="1056"/>
      <c r="DX163" s="1056"/>
      <c r="DY163" s="1056"/>
      <c r="DZ163" s="1056"/>
      <c r="EA163" s="1056"/>
      <c r="EB163" s="1056"/>
      <c r="EC163" s="1056"/>
      <c r="ED163" s="1056"/>
      <c r="EE163" s="1056"/>
      <c r="EF163" s="1056"/>
      <c r="EG163" s="1056"/>
      <c r="EH163" s="1056"/>
      <c r="EI163" s="1056"/>
      <c r="EJ163" s="1056"/>
      <c r="EK163" s="1056"/>
      <c r="EL163" s="1056"/>
      <c r="EM163" s="1056"/>
      <c r="EN163" s="1056"/>
      <c r="EO163" s="1056"/>
      <c r="EP163" s="1056"/>
      <c r="EQ163" s="1056"/>
      <c r="ER163" s="1056"/>
      <c r="ES163" s="1056"/>
      <c r="ET163" s="1056"/>
      <c r="EU163" s="1056"/>
      <c r="EV163" s="1056"/>
      <c r="EW163" s="1056"/>
      <c r="EX163" s="1056"/>
      <c r="EY163" s="1056"/>
      <c r="EZ163" s="1056"/>
      <c r="FA163" s="1056"/>
      <c r="FB163" s="1056"/>
      <c r="FC163" s="1056"/>
      <c r="FD163" s="1056"/>
      <c r="FE163" s="1056"/>
      <c r="FF163" s="1056"/>
      <c r="FG163" s="1056"/>
      <c r="FH163" s="1056"/>
      <c r="FI163" s="1056"/>
      <c r="FJ163" s="1056"/>
      <c r="FK163" s="1056"/>
      <c r="FL163" s="1056"/>
      <c r="FM163" s="1056"/>
      <c r="FN163" s="1056"/>
      <c r="FO163" s="1056"/>
      <c r="FP163" s="1056"/>
      <c r="FQ163" s="1056"/>
      <c r="FR163" s="1056"/>
      <c r="FS163" s="1056"/>
      <c r="FT163" s="1056"/>
      <c r="FU163" s="1056"/>
      <c r="FV163" s="1056"/>
      <c r="FW163" s="1056"/>
      <c r="FX163" s="1056"/>
      <c r="FY163" s="1056"/>
      <c r="FZ163" s="1056"/>
      <c r="GA163" s="1056"/>
      <c r="GB163" s="1056"/>
      <c r="GC163" s="1056"/>
      <c r="GD163" s="1056"/>
      <c r="GE163" s="1056"/>
      <c r="GF163" s="1056"/>
      <c r="GG163" s="1056"/>
      <c r="GH163" s="1056"/>
      <c r="GI163" s="1056"/>
      <c r="GJ163" s="1056"/>
      <c r="GK163" s="1056"/>
      <c r="GL163" s="1056"/>
      <c r="GM163" s="1056"/>
      <c r="GN163" s="1056"/>
      <c r="GO163" s="1056"/>
      <c r="GP163" s="1056"/>
      <c r="GQ163" s="1056"/>
      <c r="GR163" s="1056"/>
      <c r="GS163" s="1056"/>
      <c r="GT163" s="1056"/>
      <c r="GU163" s="1056"/>
      <c r="GV163" s="1056"/>
      <c r="GW163" s="1056"/>
      <c r="GX163" s="1056"/>
      <c r="GY163" s="1056"/>
      <c r="GZ163" s="1056"/>
      <c r="HA163" s="1056"/>
      <c r="HB163" s="1056"/>
      <c r="HC163" s="1056"/>
      <c r="HD163" s="1056"/>
      <c r="HE163" s="1056"/>
      <c r="HF163" s="1056"/>
      <c r="HG163" s="1056"/>
      <c r="HH163" s="1056"/>
      <c r="HI163" s="1056"/>
      <c r="HJ163" s="1056"/>
      <c r="HK163" s="1056"/>
      <c r="HL163" s="1056"/>
      <c r="HM163" s="1056"/>
      <c r="HN163" s="1056"/>
      <c r="HO163" s="1056"/>
      <c r="HP163" s="1056"/>
      <c r="HQ163" s="1056"/>
      <c r="HR163" s="1056"/>
      <c r="HS163" s="1056"/>
      <c r="HT163" s="1056"/>
      <c r="HU163" s="1056"/>
      <c r="HV163" s="1056"/>
      <c r="HW163" s="1056"/>
      <c r="HX163" s="1056"/>
      <c r="HY163" s="1056"/>
      <c r="HZ163" s="1056"/>
      <c r="IA163" s="1056"/>
      <c r="IB163" s="1056"/>
      <c r="IC163" s="1056"/>
      <c r="ID163" s="1056"/>
      <c r="IE163" s="1056"/>
      <c r="IF163" s="1056"/>
      <c r="IG163" s="1056"/>
      <c r="IH163" s="1056"/>
      <c r="II163" s="1056"/>
      <c r="IJ163" s="1056"/>
      <c r="IK163" s="1056"/>
      <c r="IL163" s="1056"/>
      <c r="IM163" s="1056"/>
      <c r="IN163" s="1056"/>
      <c r="IO163" s="1056"/>
      <c r="IP163" s="1056"/>
      <c r="IQ163" s="1056"/>
      <c r="IR163" s="1056"/>
      <c r="IS163" s="1056"/>
      <c r="IT163" s="1056"/>
      <c r="IU163" s="1056"/>
      <c r="IV163" s="1056"/>
      <c r="IW163" s="1056"/>
      <c r="IX163" s="1056"/>
      <c r="IY163" s="1056"/>
      <c r="IZ163" s="1056"/>
      <c r="JA163" s="1056"/>
      <c r="JB163" s="1056"/>
      <c r="JC163" s="1056"/>
      <c r="JD163" s="1056"/>
      <c r="JE163" s="1056"/>
      <c r="JF163" s="1056"/>
      <c r="JG163" s="1056"/>
      <c r="JH163" s="1056"/>
      <c r="JI163" s="1056"/>
      <c r="JJ163" s="1056"/>
      <c r="JK163" s="1056"/>
      <c r="JL163" s="1056"/>
      <c r="JM163" s="1056"/>
      <c r="JN163" s="1056"/>
      <c r="JO163" s="1056"/>
      <c r="JP163" s="1056"/>
      <c r="JQ163" s="1056"/>
      <c r="JR163" s="1056"/>
      <c r="JS163" s="1056"/>
      <c r="JT163" s="1056"/>
      <c r="JU163" s="1056"/>
      <c r="JV163" s="1056"/>
      <c r="JW163" s="1056"/>
      <c r="JX163" s="1056"/>
      <c r="JY163" s="1056"/>
      <c r="JZ163" s="1056"/>
      <c r="KA163" s="1056"/>
      <c r="KB163" s="1056"/>
      <c r="KC163" s="1056"/>
      <c r="KD163" s="1056"/>
      <c r="KE163" s="1056"/>
      <c r="KF163" s="1056"/>
      <c r="KG163" s="1056"/>
      <c r="KH163" s="1056"/>
      <c r="KI163" s="1056"/>
      <c r="KJ163" s="1056"/>
      <c r="KK163" s="1056"/>
      <c r="KL163" s="1056"/>
      <c r="KM163" s="1056"/>
      <c r="KN163" s="1056"/>
      <c r="KO163" s="1056"/>
      <c r="KP163" s="1056"/>
      <c r="KQ163" s="1056"/>
      <c r="KR163" s="1056"/>
      <c r="KS163" s="1056"/>
      <c r="KT163" s="1056"/>
      <c r="KU163" s="1056"/>
      <c r="KV163" s="1056"/>
      <c r="KW163" s="1056"/>
      <c r="KX163" s="1056"/>
      <c r="KY163" s="1056"/>
      <c r="KZ163" s="1056"/>
      <c r="LA163" s="1056"/>
      <c r="LB163" s="1056"/>
      <c r="LC163" s="1056"/>
      <c r="LD163" s="1056"/>
      <c r="LE163" s="1056"/>
      <c r="LF163" s="1056"/>
      <c r="LG163" s="1056"/>
      <c r="LH163" s="1056"/>
      <c r="LI163" s="1056"/>
      <c r="LJ163" s="1056"/>
      <c r="LK163" s="1056"/>
      <c r="LL163" s="1056"/>
      <c r="LM163" s="1056"/>
      <c r="LN163" s="1056"/>
      <c r="LO163" s="1056"/>
      <c r="LP163" s="1056"/>
      <c r="LQ163" s="1056"/>
      <c r="LR163" s="1056"/>
      <c r="LS163" s="1056"/>
      <c r="LT163" s="1056"/>
      <c r="LU163" s="1056"/>
      <c r="LV163" s="1056"/>
      <c r="LW163" s="1056"/>
      <c r="LX163" s="1056"/>
      <c r="LY163" s="1056"/>
      <c r="LZ163" s="1056"/>
      <c r="MA163" s="1056"/>
      <c r="MB163" s="1056"/>
      <c r="MC163" s="1056"/>
      <c r="MD163" s="1056"/>
      <c r="ME163" s="1056"/>
      <c r="MF163" s="1056"/>
      <c r="MG163" s="1056"/>
      <c r="MH163" s="1056"/>
      <c r="MI163" s="1056"/>
      <c r="MJ163" s="1056"/>
      <c r="MK163" s="1056"/>
      <c r="ML163" s="1056"/>
      <c r="MM163" s="1056"/>
      <c r="MN163" s="1056"/>
      <c r="MO163" s="1056"/>
      <c r="MP163" s="1056"/>
      <c r="MQ163" s="1056"/>
      <c r="MR163" s="1056"/>
      <c r="MS163" s="1056"/>
      <c r="MT163" s="1056"/>
      <c r="MU163" s="1056"/>
      <c r="MV163" s="1056"/>
      <c r="MW163" s="1056"/>
      <c r="MX163" s="1056"/>
      <c r="MY163" s="1056"/>
      <c r="MZ163" s="1056"/>
      <c r="NA163" s="1056"/>
      <c r="NB163" s="1056"/>
      <c r="NC163" s="1056"/>
      <c r="ND163" s="1056"/>
      <c r="NE163" s="1056"/>
      <c r="NF163" s="1056"/>
      <c r="NG163" s="1056"/>
      <c r="NH163" s="1056"/>
      <c r="NI163" s="1056"/>
      <c r="NJ163" s="1056"/>
      <c r="NK163" s="1056"/>
      <c r="NL163" s="1056"/>
      <c r="NM163" s="1056"/>
      <c r="NN163" s="1056"/>
      <c r="NO163" s="1056"/>
      <c r="NP163" s="1056"/>
      <c r="NQ163" s="1056"/>
      <c r="NR163" s="1056"/>
      <c r="NS163" s="1056"/>
      <c r="NT163" s="1056"/>
      <c r="NU163" s="1056"/>
      <c r="NV163" s="1056"/>
      <c r="NW163" s="1056"/>
      <c r="NX163" s="1056"/>
      <c r="NY163" s="1056"/>
      <c r="NZ163" s="1056"/>
      <c r="OA163" s="1056"/>
      <c r="OB163" s="1056"/>
      <c r="OC163" s="1056"/>
      <c r="OD163" s="1056"/>
      <c r="OE163" s="1056"/>
      <c r="OF163" s="1056"/>
      <c r="OG163" s="1056"/>
      <c r="OH163" s="1056"/>
      <c r="OI163" s="1056"/>
      <c r="OJ163" s="1056"/>
      <c r="OK163" s="1056"/>
      <c r="OL163" s="1056"/>
      <c r="OM163" s="1056"/>
      <c r="ON163" s="1056"/>
      <c r="OO163" s="1056"/>
      <c r="OP163" s="1056"/>
      <c r="OQ163" s="1056"/>
      <c r="OR163" s="1056"/>
      <c r="OS163" s="1056"/>
      <c r="OT163" s="1056"/>
      <c r="OU163" s="1056"/>
      <c r="OV163" s="1056"/>
      <c r="OW163" s="1056"/>
      <c r="OX163" s="1056"/>
      <c r="OY163" s="1056"/>
      <c r="OZ163" s="1056"/>
      <c r="PA163" s="1056"/>
      <c r="PB163" s="1056"/>
      <c r="PC163" s="1056"/>
      <c r="PD163" s="1056"/>
      <c r="PE163" s="1056"/>
      <c r="PF163" s="1056"/>
      <c r="PG163" s="1056"/>
      <c r="PH163" s="1056"/>
      <c r="PI163" s="1056"/>
      <c r="PJ163" s="1056"/>
      <c r="PK163" s="1056"/>
      <c r="PL163" s="1056"/>
      <c r="PM163" s="1056"/>
      <c r="PN163" s="1056"/>
      <c r="PO163" s="1056"/>
      <c r="PP163" s="1056"/>
      <c r="PQ163" s="1056"/>
      <c r="PR163" s="1056"/>
      <c r="PS163" s="1056"/>
      <c r="PT163" s="1056"/>
      <c r="PU163" s="1056"/>
      <c r="PV163" s="1056"/>
      <c r="PW163" s="1056"/>
      <c r="PX163" s="1056"/>
      <c r="PY163" s="1056"/>
      <c r="PZ163" s="1056"/>
      <c r="QA163" s="1056"/>
      <c r="QB163" s="1056"/>
      <c r="QC163" s="1056"/>
      <c r="QD163" s="1056"/>
      <c r="QE163" s="1056"/>
      <c r="QF163" s="1056"/>
      <c r="QG163" s="1056"/>
      <c r="QH163" s="1056"/>
      <c r="QI163" s="1056"/>
      <c r="QJ163" s="1056"/>
      <c r="QK163" s="1056"/>
      <c r="QL163" s="1056"/>
      <c r="QM163" s="1056"/>
      <c r="QN163" s="1056"/>
      <c r="QO163" s="1056"/>
      <c r="QP163" s="1056"/>
      <c r="QQ163" s="1056"/>
      <c r="QR163" s="1056"/>
      <c r="QS163" s="1056"/>
      <c r="QT163" s="1056"/>
      <c r="QU163" s="1056"/>
      <c r="QV163" s="1056"/>
      <c r="QW163" s="1056"/>
      <c r="QX163" s="1056"/>
      <c r="QY163" s="1056"/>
      <c r="QZ163" s="1056"/>
      <c r="RA163" s="1056"/>
      <c r="RB163" s="1056"/>
      <c r="RC163" s="1056"/>
      <c r="RD163" s="1056"/>
      <c r="RE163" s="1056"/>
      <c r="RF163" s="1056"/>
      <c r="RG163" s="1056"/>
      <c r="RH163" s="1056"/>
      <c r="RI163" s="1056"/>
      <c r="RJ163" s="1056"/>
      <c r="RK163" s="1056"/>
      <c r="RL163" s="1056"/>
      <c r="RM163" s="1056"/>
      <c r="RN163" s="1056"/>
      <c r="RO163" s="1056"/>
      <c r="RP163" s="1056"/>
      <c r="RQ163" s="1056"/>
      <c r="RR163" s="1056"/>
      <c r="RS163" s="1056"/>
      <c r="RT163" s="1056"/>
      <c r="RU163" s="1056"/>
      <c r="RV163" s="1056"/>
      <c r="RW163" s="1056"/>
      <c r="RX163" s="1056"/>
      <c r="RY163" s="1056"/>
      <c r="RZ163" s="1056"/>
      <c r="SA163" s="1056"/>
      <c r="SB163" s="1056"/>
      <c r="SC163" s="1056"/>
      <c r="SD163" s="1056"/>
      <c r="SE163" s="1056"/>
      <c r="SF163" s="1056"/>
      <c r="SG163" s="1056"/>
      <c r="SH163" s="1056"/>
      <c r="SI163" s="1056"/>
      <c r="SJ163" s="1056"/>
      <c r="SK163" s="1056"/>
      <c r="SL163" s="1056"/>
      <c r="SM163" s="1056"/>
      <c r="SN163" s="1056"/>
      <c r="SO163" s="1056"/>
      <c r="SP163" s="1056"/>
      <c r="SQ163" s="1056"/>
      <c r="SR163" s="1056"/>
      <c r="SS163" s="1056"/>
      <c r="ST163" s="1056"/>
      <c r="SU163" s="1056"/>
      <c r="SV163" s="1056"/>
      <c r="SW163" s="1056"/>
      <c r="SX163" s="1056"/>
      <c r="SY163" s="1056"/>
      <c r="SZ163" s="1056"/>
      <c r="TA163" s="1056"/>
      <c r="TB163" s="1056"/>
      <c r="TC163" s="1056"/>
      <c r="TD163" s="1056"/>
      <c r="TE163" s="1056"/>
      <c r="TF163" s="1056"/>
      <c r="TG163" s="1056"/>
      <c r="TH163" s="1056"/>
      <c r="TI163" s="1056"/>
      <c r="TJ163" s="1056"/>
      <c r="TK163" s="1056"/>
      <c r="TL163" s="1056"/>
      <c r="TM163" s="1056"/>
      <c r="TN163" s="1056"/>
      <c r="TO163" s="1056"/>
      <c r="TP163" s="1056"/>
      <c r="TQ163" s="1056"/>
      <c r="TR163" s="1056"/>
      <c r="TS163" s="1056"/>
      <c r="TT163" s="1056"/>
      <c r="TU163" s="1056"/>
      <c r="TV163" s="1056"/>
      <c r="TW163" s="1056"/>
      <c r="TX163" s="1056"/>
      <c r="TY163" s="1056"/>
      <c r="TZ163" s="1056"/>
      <c r="UA163" s="1056"/>
      <c r="UB163" s="1056"/>
      <c r="UC163" s="1056"/>
      <c r="UD163" s="1056"/>
      <c r="UE163" s="1056"/>
      <c r="UF163" s="1056"/>
      <c r="UG163" s="1056"/>
      <c r="UH163" s="1056"/>
      <c r="UI163" s="1056"/>
      <c r="UJ163" s="1056"/>
      <c r="UK163" s="1056"/>
      <c r="UL163" s="1056"/>
      <c r="UM163" s="1056"/>
      <c r="UN163" s="1056"/>
      <c r="UO163" s="1056"/>
      <c r="UP163" s="1056"/>
      <c r="UQ163" s="1056"/>
      <c r="UR163" s="1056"/>
      <c r="US163" s="1056"/>
      <c r="UT163" s="1056"/>
      <c r="UU163" s="1056"/>
      <c r="UV163" s="1056"/>
      <c r="UW163" s="1056"/>
      <c r="UX163" s="1056"/>
      <c r="UY163" s="1056"/>
      <c r="UZ163" s="1056"/>
      <c r="VA163" s="1056"/>
      <c r="VB163" s="1056"/>
      <c r="VC163" s="1056"/>
      <c r="VD163" s="1056"/>
      <c r="VE163" s="1056"/>
      <c r="VF163" s="1056"/>
      <c r="VG163" s="1056"/>
      <c r="VH163" s="1056"/>
      <c r="VI163" s="1056"/>
      <c r="VJ163" s="1056"/>
      <c r="VK163" s="1056"/>
      <c r="VL163" s="1056"/>
      <c r="VM163" s="1056"/>
      <c r="VN163" s="1056"/>
      <c r="VO163" s="1056"/>
      <c r="VP163" s="1056"/>
      <c r="VQ163" s="1056"/>
      <c r="VR163" s="1056"/>
      <c r="VS163" s="1056"/>
      <c r="VT163" s="1056"/>
      <c r="VU163" s="1056"/>
      <c r="VV163" s="1056"/>
      <c r="VW163" s="1056"/>
      <c r="VX163" s="1056"/>
      <c r="VY163" s="1056"/>
      <c r="VZ163" s="1056"/>
      <c r="WA163" s="1056"/>
      <c r="WB163" s="1056"/>
      <c r="WC163" s="1056"/>
      <c r="WD163" s="1056"/>
      <c r="WE163" s="1056"/>
      <c r="WF163" s="1056"/>
      <c r="WG163" s="1056"/>
      <c r="WH163" s="1056"/>
      <c r="WI163" s="1056"/>
      <c r="WJ163" s="1056"/>
      <c r="WK163" s="1056"/>
      <c r="WL163" s="1056"/>
      <c r="WM163" s="1056"/>
      <c r="WN163" s="1056"/>
      <c r="WO163" s="1056"/>
      <c r="WP163" s="1056"/>
      <c r="WQ163" s="1056"/>
      <c r="WR163" s="1056"/>
      <c r="WS163" s="1056"/>
      <c r="WT163" s="1056"/>
      <c r="WU163" s="1056"/>
      <c r="WV163" s="1056"/>
      <c r="WW163" s="1056"/>
      <c r="WX163" s="1056"/>
      <c r="WY163" s="1056"/>
      <c r="WZ163" s="1056"/>
      <c r="XA163" s="1056"/>
      <c r="XB163" s="1056"/>
      <c r="XC163" s="1056"/>
      <c r="XD163" s="1056"/>
      <c r="XE163" s="1056"/>
      <c r="XF163" s="1056"/>
      <c r="XG163" s="1056"/>
      <c r="XH163" s="1056"/>
      <c r="XI163" s="1056"/>
      <c r="XJ163" s="1056"/>
      <c r="XK163" s="1056"/>
      <c r="XL163" s="1056"/>
      <c r="XM163" s="1056"/>
      <c r="XN163" s="1056"/>
      <c r="XO163" s="1056"/>
      <c r="XP163" s="1056"/>
      <c r="XQ163" s="1056"/>
      <c r="XR163" s="1056"/>
      <c r="XS163" s="1056"/>
      <c r="XT163" s="1056"/>
      <c r="XU163" s="1056"/>
      <c r="XV163" s="1056"/>
      <c r="XW163" s="1056"/>
      <c r="XX163" s="1056"/>
      <c r="XY163" s="1056"/>
      <c r="XZ163" s="1056"/>
      <c r="YA163" s="1056"/>
      <c r="YB163" s="1056"/>
      <c r="YC163" s="1056"/>
      <c r="YD163" s="1056"/>
      <c r="YE163" s="1056"/>
      <c r="YF163" s="1056"/>
      <c r="YG163" s="1056"/>
      <c r="YH163" s="1056"/>
      <c r="YI163" s="1056"/>
      <c r="YJ163" s="1056"/>
      <c r="YK163" s="1056"/>
      <c r="YL163" s="1056"/>
      <c r="YM163" s="1056"/>
      <c r="YN163" s="1056"/>
      <c r="YO163" s="1056"/>
      <c r="YP163" s="1056"/>
      <c r="YQ163" s="1056"/>
      <c r="YR163" s="1056"/>
      <c r="YS163" s="1056"/>
      <c r="YT163" s="1056"/>
      <c r="YU163" s="1056"/>
      <c r="YV163" s="1056"/>
      <c r="YW163" s="1056"/>
      <c r="YX163" s="1056"/>
      <c r="YY163" s="1056"/>
      <c r="YZ163" s="1056"/>
      <c r="ZA163" s="1056"/>
      <c r="ZB163" s="1056"/>
      <c r="ZC163" s="1056"/>
      <c r="ZD163" s="1056"/>
      <c r="ZE163" s="1056"/>
      <c r="ZF163" s="1056"/>
      <c r="ZG163" s="1056"/>
      <c r="ZH163" s="1056"/>
      <c r="ZI163" s="1056"/>
      <c r="ZJ163" s="1056"/>
      <c r="ZK163" s="1056"/>
      <c r="ZL163" s="1056"/>
      <c r="ZM163" s="1056"/>
      <c r="ZN163" s="1056"/>
      <c r="ZO163" s="1056"/>
      <c r="ZP163" s="1056"/>
      <c r="ZQ163" s="1056"/>
      <c r="ZR163" s="1056"/>
      <c r="ZS163" s="1056"/>
      <c r="ZT163" s="1056"/>
      <c r="ZU163" s="1056"/>
      <c r="ZV163" s="1056"/>
      <c r="ZW163" s="1056"/>
      <c r="ZX163" s="1056"/>
      <c r="ZY163" s="1056"/>
      <c r="ZZ163" s="1056"/>
      <c r="AAA163" s="1056"/>
      <c r="AAB163" s="1056"/>
      <c r="AAC163" s="1056"/>
      <c r="AAD163" s="1056"/>
      <c r="AAE163" s="1056"/>
      <c r="AAF163" s="1056"/>
      <c r="AAG163" s="1056"/>
      <c r="AAH163" s="1056"/>
      <c r="AAI163" s="1056"/>
      <c r="AAJ163" s="1056"/>
      <c r="AAK163" s="1056"/>
      <c r="AAL163" s="1056"/>
      <c r="AAM163" s="1056"/>
      <c r="AAN163" s="1056"/>
      <c r="AAO163" s="1056"/>
      <c r="AAP163" s="1056"/>
      <c r="AAQ163" s="1056"/>
      <c r="AAR163" s="1056"/>
      <c r="AAS163" s="1056"/>
      <c r="AAT163" s="1056"/>
      <c r="AAU163" s="1056"/>
      <c r="AAV163" s="1056"/>
      <c r="AAW163" s="1056"/>
      <c r="AAX163" s="1056"/>
      <c r="AAY163" s="1056"/>
      <c r="AAZ163" s="1056"/>
      <c r="ABA163" s="1056"/>
      <c r="ABB163" s="1056"/>
      <c r="ABC163" s="1056"/>
      <c r="ABD163" s="1056"/>
      <c r="ABE163" s="1056"/>
      <c r="ABF163" s="1056"/>
      <c r="ABG163" s="1056"/>
      <c r="ABH163" s="1056"/>
      <c r="ABI163" s="1056"/>
      <c r="ABJ163" s="1056"/>
      <c r="ABK163" s="1056"/>
      <c r="ABL163" s="1056"/>
      <c r="ABM163" s="1056"/>
      <c r="ABN163" s="1056"/>
      <c r="ABO163" s="1056"/>
      <c r="ABP163" s="1056"/>
      <c r="ABQ163" s="1056"/>
      <c r="ABR163" s="1056"/>
      <c r="ABS163" s="1056"/>
      <c r="ABT163" s="1056"/>
      <c r="ABU163" s="1056"/>
      <c r="ABV163" s="1056"/>
      <c r="ABW163" s="1056"/>
      <c r="ABX163" s="1056"/>
      <c r="ABY163" s="1056"/>
      <c r="ABZ163" s="1056"/>
      <c r="ACA163" s="1056"/>
      <c r="ACB163" s="1056"/>
      <c r="ACC163" s="1056"/>
      <c r="ACD163" s="1056"/>
      <c r="ACE163" s="1056"/>
      <c r="ACF163" s="1056"/>
      <c r="ACG163" s="1056"/>
      <c r="ACH163" s="1056"/>
      <c r="ACI163" s="1056"/>
      <c r="ACJ163" s="1056"/>
      <c r="ACK163" s="1056"/>
      <c r="ACL163" s="1056"/>
      <c r="ACM163" s="1056"/>
      <c r="ACN163" s="1056"/>
      <c r="ACO163" s="1056"/>
      <c r="ACP163" s="1056"/>
      <c r="ACQ163" s="1056"/>
      <c r="ACR163" s="1056"/>
      <c r="ACS163" s="1056"/>
      <c r="ACT163" s="1056"/>
      <c r="ACU163" s="1056"/>
      <c r="ACV163" s="1056"/>
      <c r="ACW163" s="1056"/>
      <c r="ACX163" s="1056"/>
      <c r="ACY163" s="1056"/>
      <c r="ACZ163" s="1056"/>
      <c r="ADA163" s="1056"/>
      <c r="ADB163" s="1056"/>
      <c r="ADC163" s="1056"/>
      <c r="ADD163" s="1056"/>
      <c r="ADE163" s="1056"/>
      <c r="ADF163" s="1056"/>
      <c r="ADG163" s="1056"/>
      <c r="ADH163" s="1056"/>
      <c r="ADI163" s="1056"/>
      <c r="ADJ163" s="1056"/>
      <c r="ADK163" s="1056"/>
      <c r="ADL163" s="1056"/>
      <c r="ADM163" s="1056"/>
      <c r="ADN163" s="1056"/>
      <c r="ADO163" s="1056"/>
      <c r="ADP163" s="1056"/>
      <c r="ADQ163" s="1056"/>
      <c r="ADR163" s="1056"/>
      <c r="ADS163" s="1056"/>
      <c r="ADT163" s="1056"/>
      <c r="ADU163" s="1056"/>
      <c r="ADV163" s="1056"/>
      <c r="ADW163" s="1056"/>
      <c r="ADX163" s="1056"/>
      <c r="ADY163" s="1056"/>
      <c r="ADZ163" s="1056"/>
      <c r="AEA163" s="1056"/>
      <c r="AEB163" s="1056"/>
      <c r="AEC163" s="1056"/>
      <c r="AED163" s="1056"/>
      <c r="AEE163" s="1056"/>
      <c r="AEF163" s="1056"/>
      <c r="AEG163" s="1056"/>
      <c r="AEH163" s="1056"/>
      <c r="AEI163" s="1056"/>
      <c r="AEJ163" s="1056"/>
      <c r="AEK163" s="1056"/>
      <c r="AEL163" s="1056"/>
      <c r="AEM163" s="1056"/>
      <c r="AEN163" s="1056"/>
      <c r="AEO163" s="1056"/>
      <c r="AEP163" s="1056"/>
      <c r="AEQ163" s="1056"/>
      <c r="AER163" s="1056"/>
      <c r="AES163" s="1056"/>
      <c r="AET163" s="1056"/>
      <c r="AEU163" s="1056"/>
      <c r="AEV163" s="1056"/>
      <c r="AEW163" s="1056"/>
      <c r="AEX163" s="1056"/>
      <c r="AEY163" s="1056"/>
      <c r="AEZ163" s="1056"/>
      <c r="AFA163" s="1056"/>
      <c r="AFB163" s="1056"/>
      <c r="AFC163" s="1056"/>
      <c r="AFD163" s="1056"/>
      <c r="AFE163" s="1056"/>
      <c r="AFF163" s="1056"/>
      <c r="AFG163" s="1056"/>
      <c r="AFH163" s="1056"/>
      <c r="AFI163" s="1056"/>
      <c r="AFJ163" s="1056"/>
      <c r="AFK163" s="1056"/>
      <c r="AFL163" s="1056"/>
      <c r="AFM163" s="1056"/>
      <c r="AFN163" s="1056"/>
      <c r="AFO163" s="1056"/>
      <c r="AFP163" s="1056"/>
      <c r="AFQ163" s="1056"/>
      <c r="AFR163" s="1056"/>
      <c r="AFS163" s="1056"/>
      <c r="AFT163" s="1056"/>
      <c r="AFU163" s="1056"/>
      <c r="AFV163" s="1056"/>
      <c r="AFW163" s="1056"/>
      <c r="AFX163" s="1056"/>
      <c r="AFY163" s="1056"/>
      <c r="AFZ163" s="1056"/>
      <c r="AGA163" s="1056"/>
      <c r="AGB163" s="1056"/>
      <c r="AGC163" s="1056"/>
      <c r="AGD163" s="1056"/>
      <c r="AGE163" s="1056"/>
      <c r="AGF163" s="1056"/>
      <c r="AGG163" s="1056"/>
      <c r="AGH163" s="1056"/>
      <c r="AGI163" s="1056"/>
      <c r="AGJ163" s="1056"/>
      <c r="AGK163" s="1056"/>
      <c r="AGL163" s="1056"/>
      <c r="AGM163" s="1056"/>
      <c r="AGN163" s="1056"/>
      <c r="AGO163" s="1056"/>
      <c r="AGP163" s="1056"/>
      <c r="AGQ163" s="1056"/>
      <c r="AGR163" s="1056"/>
      <c r="AGS163" s="1056"/>
      <c r="AGT163" s="1056"/>
      <c r="AGU163" s="1056"/>
      <c r="AGV163" s="1056"/>
      <c r="AGW163" s="1056"/>
      <c r="AGX163" s="1056"/>
      <c r="AGY163" s="1056"/>
      <c r="AGZ163" s="1056"/>
      <c r="AHA163" s="1056"/>
      <c r="AHB163" s="1056"/>
      <c r="AHC163" s="1056"/>
      <c r="AHD163" s="1056"/>
      <c r="AHE163" s="1056"/>
      <c r="AHF163" s="1056"/>
      <c r="AHG163" s="1056"/>
      <c r="AHH163" s="1056"/>
      <c r="AHI163" s="1056"/>
      <c r="AHJ163" s="1056"/>
      <c r="AHK163" s="1056"/>
      <c r="AHL163" s="1056"/>
      <c r="AHM163" s="1056"/>
      <c r="AHN163" s="1056"/>
      <c r="AHO163" s="1056"/>
      <c r="AHP163" s="1056"/>
      <c r="AHQ163" s="1056"/>
      <c r="AHR163" s="1056"/>
      <c r="AHS163" s="1056"/>
      <c r="AHT163" s="1056"/>
      <c r="AHU163" s="1056"/>
      <c r="AHV163" s="1056"/>
      <c r="AHW163" s="1056"/>
      <c r="AHX163" s="1056"/>
      <c r="AHY163" s="1056"/>
      <c r="AHZ163" s="1056"/>
      <c r="AIA163" s="1056"/>
      <c r="AIB163" s="1056"/>
      <c r="AIC163" s="1056"/>
      <c r="AID163" s="1056"/>
      <c r="AIE163" s="1056"/>
      <c r="AIF163" s="1056"/>
      <c r="AIG163" s="1056"/>
      <c r="AIH163" s="1056"/>
      <c r="AII163" s="1056"/>
      <c r="AIJ163" s="1056"/>
      <c r="AIK163" s="1056"/>
      <c r="AIL163" s="1056"/>
      <c r="AIM163" s="1056"/>
      <c r="AIN163" s="1056"/>
      <c r="AIO163" s="1056"/>
      <c r="AIP163" s="1056"/>
      <c r="AIQ163" s="1056"/>
      <c r="AIR163" s="1056"/>
      <c r="AIS163" s="1056"/>
      <c r="AIT163" s="1056"/>
      <c r="AIU163" s="1056"/>
      <c r="AIV163" s="1056"/>
      <c r="AIW163" s="1056"/>
      <c r="AIX163" s="1056"/>
      <c r="AIY163" s="1056"/>
      <c r="AIZ163" s="1056"/>
      <c r="AJA163" s="1056"/>
      <c r="AJB163" s="1056"/>
      <c r="AJC163" s="1056"/>
      <c r="AJD163" s="1056"/>
      <c r="AJE163" s="1056"/>
      <c r="AJF163" s="1056"/>
      <c r="AJG163" s="1056"/>
      <c r="AJH163" s="1056"/>
      <c r="AJI163" s="1056"/>
      <c r="AJJ163" s="1056"/>
      <c r="AJK163" s="1056"/>
      <c r="AJL163" s="1056"/>
      <c r="AJM163" s="1056"/>
      <c r="AJN163" s="1056"/>
      <c r="AJO163" s="1056"/>
      <c r="AJP163" s="1056"/>
      <c r="AJQ163" s="1056"/>
      <c r="AJR163" s="1056"/>
      <c r="AJS163" s="1056"/>
      <c r="AJT163" s="1056"/>
      <c r="AJU163" s="1056"/>
      <c r="AJV163" s="1056"/>
      <c r="AJW163" s="1056"/>
      <c r="AJX163" s="1056"/>
      <c r="AJY163" s="1056"/>
      <c r="AJZ163" s="1056"/>
      <c r="AKA163" s="1056"/>
      <c r="AKB163" s="1056"/>
      <c r="AKC163" s="1056"/>
      <c r="AKD163" s="1056"/>
      <c r="AKE163" s="1056"/>
      <c r="AKF163" s="1056"/>
      <c r="AKG163" s="1056"/>
      <c r="AKH163" s="1056"/>
      <c r="AKI163" s="1056"/>
      <c r="AKJ163" s="1056"/>
      <c r="AKK163" s="1056"/>
      <c r="AKL163" s="1056"/>
      <c r="AKM163" s="1056"/>
      <c r="AKN163" s="1056"/>
      <c r="AKO163" s="1056"/>
      <c r="AKP163" s="1056"/>
      <c r="AKQ163" s="1056"/>
      <c r="AKR163" s="1056"/>
      <c r="AKS163" s="1056"/>
      <c r="AKT163" s="1056"/>
      <c r="AKU163" s="1056"/>
      <c r="AKV163" s="1056"/>
      <c r="AKW163" s="1056"/>
      <c r="AKX163" s="1056"/>
      <c r="AKY163" s="1056"/>
      <c r="AKZ163" s="1056"/>
      <c r="ALA163" s="1056"/>
      <c r="ALB163" s="1056"/>
      <c r="ALC163" s="1056"/>
      <c r="ALD163" s="1056"/>
      <c r="ALE163" s="1056"/>
      <c r="ALF163" s="1056"/>
      <c r="ALG163" s="1056"/>
      <c r="ALH163" s="1056"/>
      <c r="ALI163" s="1056"/>
      <c r="ALJ163" s="1056"/>
      <c r="ALK163" s="1056"/>
      <c r="ALL163" s="1056"/>
      <c r="ALM163" s="1056"/>
      <c r="ALN163" s="1056"/>
      <c r="ALO163" s="1056"/>
      <c r="ALP163" s="1056"/>
      <c r="ALQ163" s="1056"/>
      <c r="ALR163" s="1056"/>
      <c r="ALS163" s="1056"/>
      <c r="ALT163" s="1056"/>
      <c r="ALU163" s="1056"/>
      <c r="ALV163" s="1056"/>
      <c r="ALW163" s="1056"/>
      <c r="ALX163" s="1056"/>
      <c r="ALY163" s="1056"/>
      <c r="ALZ163" s="1056"/>
      <c r="AMA163" s="1056"/>
      <c r="AMB163" s="1056"/>
      <c r="AMC163" s="1056"/>
      <c r="AMD163" s="1056"/>
      <c r="AME163" s="1056"/>
      <c r="AMF163" s="1056"/>
      <c r="AMG163" s="1056"/>
      <c r="AMH163" s="1056"/>
      <c r="AMI163" s="1056"/>
      <c r="AMJ163" s="1056"/>
      <c r="AMK163" s="1056"/>
      <c r="AML163" s="1056"/>
      <c r="AMM163" s="1056"/>
      <c r="AMN163" s="1056"/>
      <c r="AMO163" s="1056"/>
      <c r="AMP163" s="1056"/>
      <c r="AMQ163" s="1056"/>
      <c r="AMR163" s="1056"/>
      <c r="AMS163" s="1056"/>
      <c r="AMT163" s="1056"/>
      <c r="AMU163" s="1056"/>
      <c r="AMV163" s="1056"/>
      <c r="AMW163" s="1056"/>
      <c r="AMX163" s="1056"/>
      <c r="AMY163" s="1056"/>
      <c r="AMZ163" s="1056"/>
      <c r="ANA163" s="1056"/>
      <c r="ANB163" s="1056"/>
      <c r="ANC163" s="1056"/>
      <c r="AND163" s="1056"/>
      <c r="ANE163" s="1056"/>
      <c r="ANF163" s="1056"/>
      <c r="ANG163" s="1056"/>
      <c r="ANH163" s="1056"/>
      <c r="ANI163" s="1056"/>
      <c r="ANJ163" s="1056"/>
      <c r="ANK163" s="1056"/>
      <c r="ANL163" s="1056"/>
      <c r="ANM163" s="1056"/>
      <c r="ANN163" s="1056"/>
      <c r="ANO163" s="1056"/>
      <c r="ANP163" s="1056"/>
      <c r="ANQ163" s="1056"/>
      <c r="ANR163" s="1056"/>
      <c r="ANS163" s="1056"/>
      <c r="ANT163" s="1056"/>
      <c r="ANU163" s="1056"/>
      <c r="ANV163" s="1056"/>
      <c r="ANW163" s="1056"/>
      <c r="ANX163" s="1056"/>
      <c r="ANY163" s="1056"/>
      <c r="ANZ163" s="1056"/>
      <c r="AOA163" s="1056"/>
      <c r="AOB163" s="1056"/>
      <c r="AOC163" s="1056"/>
      <c r="AOD163" s="1056"/>
      <c r="AOE163" s="1056"/>
      <c r="AOF163" s="1056"/>
      <c r="AOG163" s="1056"/>
      <c r="AOH163" s="1056"/>
      <c r="AOI163" s="1056"/>
      <c r="AOJ163" s="1056"/>
      <c r="AOK163" s="1056"/>
      <c r="AOL163" s="1056"/>
      <c r="AOM163" s="1056"/>
      <c r="AON163" s="1056"/>
      <c r="AOO163" s="1056"/>
      <c r="AOP163" s="1056"/>
      <c r="AOQ163" s="1056"/>
      <c r="AOR163" s="1056"/>
      <c r="AOS163" s="1056"/>
      <c r="AOT163" s="1056"/>
      <c r="AOU163" s="1056"/>
      <c r="AOV163" s="1056"/>
      <c r="AOW163" s="1056"/>
      <c r="AOX163" s="1056"/>
      <c r="AOY163" s="1056"/>
      <c r="AOZ163" s="1056"/>
      <c r="APA163" s="1056"/>
      <c r="APB163" s="1056"/>
      <c r="APC163" s="1056"/>
      <c r="APD163" s="1056"/>
      <c r="APE163" s="1056"/>
      <c r="APF163" s="1056"/>
      <c r="APG163" s="1056"/>
      <c r="APH163" s="1056"/>
      <c r="API163" s="1056"/>
      <c r="APJ163" s="1056"/>
      <c r="APK163" s="1056"/>
      <c r="APL163" s="1056"/>
      <c r="APM163" s="1056"/>
      <c r="APN163" s="1056"/>
      <c r="APO163" s="1056"/>
      <c r="APP163" s="1056"/>
      <c r="APQ163" s="1056"/>
      <c r="APR163" s="1056"/>
      <c r="APS163" s="1056"/>
      <c r="APT163" s="1056"/>
      <c r="APU163" s="1056"/>
      <c r="APV163" s="1056"/>
      <c r="APW163" s="1056"/>
      <c r="APX163" s="1056"/>
      <c r="APY163" s="1056"/>
      <c r="APZ163" s="1056"/>
      <c r="AQA163" s="1056"/>
      <c r="AQB163" s="1056"/>
      <c r="AQC163" s="1056"/>
      <c r="AQD163" s="1056"/>
      <c r="AQE163" s="1056"/>
      <c r="AQF163" s="1056"/>
      <c r="AQG163" s="1056"/>
      <c r="AQH163" s="1056"/>
      <c r="AQI163" s="1056"/>
      <c r="AQJ163" s="1056"/>
      <c r="AQK163" s="1056"/>
      <c r="AQL163" s="1056"/>
      <c r="AQM163" s="1056"/>
      <c r="AQN163" s="1056"/>
      <c r="AQO163" s="1056"/>
      <c r="AQP163" s="1056"/>
      <c r="AQQ163" s="1056"/>
      <c r="AQR163" s="1056"/>
      <c r="AQS163" s="1056"/>
      <c r="AQT163" s="1056"/>
      <c r="AQU163" s="1056"/>
      <c r="AQV163" s="1056"/>
      <c r="AQW163" s="1056"/>
      <c r="AQX163" s="1056"/>
      <c r="AQY163" s="1056"/>
      <c r="AQZ163" s="1056"/>
      <c r="ARA163" s="1056"/>
      <c r="ARB163" s="1056"/>
      <c r="ARC163" s="1056"/>
      <c r="ARD163" s="1056"/>
      <c r="ARE163" s="1056"/>
      <c r="ARF163" s="1056"/>
      <c r="ARG163" s="1056"/>
      <c r="ARH163" s="1056"/>
      <c r="ARI163" s="1056"/>
      <c r="ARJ163" s="1056"/>
      <c r="ARK163" s="1056"/>
      <c r="ARL163" s="1056"/>
      <c r="ARM163" s="1056"/>
      <c r="ARN163" s="1056"/>
      <c r="ARO163" s="1056"/>
      <c r="ARP163" s="1056"/>
      <c r="ARQ163" s="1056"/>
      <c r="ARR163" s="1056"/>
      <c r="ARS163" s="1056"/>
      <c r="ART163" s="1056"/>
      <c r="ARU163" s="1056"/>
      <c r="ARV163" s="1056"/>
      <c r="ARW163" s="1056"/>
      <c r="ARX163" s="1056"/>
      <c r="ARY163" s="1056"/>
      <c r="ARZ163" s="1056"/>
      <c r="ASA163" s="1056"/>
      <c r="ASB163" s="1056"/>
      <c r="ASC163" s="1056"/>
      <c r="ASD163" s="1056"/>
      <c r="ASE163" s="1056"/>
      <c r="ASF163" s="1056"/>
      <c r="ASG163" s="1056"/>
      <c r="ASH163" s="1056"/>
      <c r="ASI163" s="1056"/>
      <c r="ASJ163" s="1056"/>
      <c r="ASK163" s="1056"/>
      <c r="ASL163" s="1056"/>
      <c r="ASM163" s="1056"/>
      <c r="ASN163" s="1056"/>
      <c r="ASO163" s="1056"/>
      <c r="ASP163" s="1056"/>
      <c r="ASQ163" s="1056"/>
      <c r="ASR163" s="1056"/>
      <c r="ASS163" s="1056"/>
      <c r="AST163" s="1056"/>
      <c r="ASU163" s="1056"/>
      <c r="ASV163" s="1056"/>
      <c r="ASW163" s="1056"/>
      <c r="ASX163" s="1056"/>
      <c r="ASY163" s="1056"/>
      <c r="ASZ163" s="1056"/>
      <c r="ATA163" s="1056"/>
      <c r="ATB163" s="1056"/>
      <c r="ATC163" s="1056"/>
      <c r="ATD163" s="1056"/>
      <c r="ATE163" s="1056"/>
      <c r="ATF163" s="1056"/>
      <c r="ATG163" s="1056"/>
      <c r="ATH163" s="1056"/>
      <c r="ATI163" s="1056"/>
      <c r="ATJ163" s="1056"/>
      <c r="ATK163" s="1056"/>
      <c r="ATL163" s="1056"/>
      <c r="ATM163" s="1056"/>
      <c r="ATN163" s="1056"/>
      <c r="ATO163" s="1056"/>
      <c r="ATP163" s="1056"/>
      <c r="ATQ163" s="1056"/>
      <c r="ATR163" s="1056"/>
      <c r="ATS163" s="1056"/>
      <c r="ATT163" s="1056"/>
      <c r="ATU163" s="1056"/>
      <c r="ATV163" s="1056"/>
      <c r="ATW163" s="1056"/>
      <c r="ATX163" s="1056"/>
      <c r="ATY163" s="1056"/>
      <c r="ATZ163" s="1056"/>
      <c r="AUA163" s="1056"/>
      <c r="AUB163" s="1056"/>
      <c r="AUC163" s="1056"/>
      <c r="AUD163" s="1056"/>
      <c r="AUE163" s="1056"/>
      <c r="AUF163" s="1056"/>
      <c r="AUG163" s="1056"/>
      <c r="AUH163" s="1056"/>
      <c r="AUI163" s="1056"/>
      <c r="AUJ163" s="1056"/>
      <c r="AUK163" s="1056"/>
      <c r="AUL163" s="1056"/>
      <c r="AUM163" s="1056"/>
      <c r="AUN163" s="1056"/>
      <c r="AUO163" s="1056"/>
      <c r="AUP163" s="1056"/>
      <c r="AUQ163" s="1056"/>
      <c r="AUR163" s="1056"/>
      <c r="AUS163" s="1056"/>
      <c r="AUT163" s="1056"/>
      <c r="AUU163" s="1056"/>
      <c r="AUV163" s="1056"/>
      <c r="AUW163" s="1056"/>
      <c r="AUX163" s="1056"/>
      <c r="AUY163" s="1056"/>
      <c r="AUZ163" s="1056"/>
      <c r="AVA163" s="1056"/>
      <c r="AVB163" s="1056"/>
      <c r="AVC163" s="1056"/>
      <c r="AVD163" s="1056"/>
      <c r="AVE163" s="1056"/>
      <c r="AVF163" s="1056"/>
      <c r="AVG163" s="1056"/>
      <c r="AVH163" s="1056"/>
      <c r="AVI163" s="1056"/>
      <c r="AVJ163" s="1056"/>
      <c r="AVK163" s="1056"/>
      <c r="AVL163" s="1056"/>
      <c r="AVM163" s="1056"/>
      <c r="AVN163" s="1056"/>
      <c r="AVO163" s="1056"/>
      <c r="AVP163" s="1056"/>
      <c r="AVQ163" s="1056"/>
      <c r="AVR163" s="1056"/>
      <c r="AVS163" s="1056"/>
      <c r="AVT163" s="1056"/>
      <c r="AVU163" s="1056"/>
      <c r="AVV163" s="1056"/>
      <c r="AVW163" s="1056"/>
      <c r="AVX163" s="1056"/>
      <c r="AVY163" s="1056"/>
      <c r="AVZ163" s="1056"/>
      <c r="AWA163" s="1056"/>
      <c r="AWB163" s="1056"/>
      <c r="AWC163" s="1056"/>
      <c r="AWD163" s="1056"/>
      <c r="AWE163" s="1056"/>
      <c r="AWF163" s="1056"/>
      <c r="AWG163" s="1056"/>
      <c r="AWH163" s="1056"/>
      <c r="AWI163" s="1056"/>
      <c r="AWJ163" s="1056"/>
      <c r="AWK163" s="1056"/>
      <c r="AWL163" s="1056"/>
      <c r="AWM163" s="1056"/>
      <c r="AWN163" s="1056"/>
      <c r="AWO163" s="1056"/>
      <c r="AWP163" s="1056"/>
      <c r="AWQ163" s="1056"/>
      <c r="AWR163" s="1056"/>
      <c r="AWS163" s="1056"/>
      <c r="AWT163" s="1056"/>
      <c r="AWU163" s="1056"/>
      <c r="AWV163" s="1056"/>
      <c r="AWW163" s="1056"/>
      <c r="AWX163" s="1056"/>
      <c r="AWY163" s="1056"/>
      <c r="AWZ163" s="1056"/>
      <c r="AXA163" s="1056"/>
      <c r="AXB163" s="1056"/>
      <c r="AXC163" s="1056"/>
      <c r="AXD163" s="1056"/>
      <c r="AXE163" s="1056"/>
      <c r="AXF163" s="1056"/>
      <c r="AXG163" s="1056"/>
      <c r="AXH163" s="1056"/>
      <c r="AXI163" s="1056"/>
      <c r="AXJ163" s="1056"/>
      <c r="AXK163" s="1056"/>
      <c r="AXL163" s="1056"/>
      <c r="AXM163" s="1056"/>
      <c r="AXN163" s="1056"/>
      <c r="AXO163" s="1056"/>
      <c r="AXP163" s="1056"/>
      <c r="AXQ163" s="1056"/>
      <c r="AXR163" s="1056"/>
      <c r="AXS163" s="1056"/>
      <c r="AXT163" s="1056"/>
      <c r="AXU163" s="1056"/>
      <c r="AXV163" s="1056"/>
      <c r="AXW163" s="1056"/>
      <c r="AXX163" s="1056"/>
      <c r="AXY163" s="1056"/>
      <c r="AXZ163" s="1056"/>
      <c r="AYA163" s="1056"/>
      <c r="AYB163" s="1056"/>
      <c r="AYC163" s="1056"/>
      <c r="AYD163" s="1056"/>
      <c r="AYE163" s="1056"/>
      <c r="AYF163" s="1056"/>
      <c r="AYG163" s="1056"/>
      <c r="AYH163" s="1056"/>
      <c r="AYI163" s="1056"/>
      <c r="AYJ163" s="1056"/>
      <c r="AYK163" s="1056"/>
      <c r="AYL163" s="1056"/>
      <c r="AYM163" s="1056"/>
      <c r="AYN163" s="1056"/>
      <c r="AYO163" s="1056"/>
      <c r="AYP163" s="1056"/>
      <c r="AYQ163" s="1056"/>
      <c r="AYR163" s="1056"/>
      <c r="AYS163" s="1056"/>
      <c r="AYT163" s="1056"/>
      <c r="AYU163" s="1056"/>
      <c r="AYV163" s="1056"/>
      <c r="AYW163" s="1056"/>
      <c r="AYX163" s="1056"/>
      <c r="AYY163" s="1056"/>
      <c r="AYZ163" s="1056"/>
      <c r="AZA163" s="1056"/>
      <c r="AZB163" s="1056"/>
      <c r="AZC163" s="1056"/>
      <c r="AZD163" s="1056"/>
      <c r="AZE163" s="1056"/>
      <c r="AZF163" s="1056"/>
      <c r="AZG163" s="1056"/>
      <c r="AZH163" s="1056"/>
      <c r="AZI163" s="1056"/>
      <c r="AZJ163" s="1056"/>
      <c r="AZK163" s="1056"/>
      <c r="AZL163" s="1056"/>
      <c r="AZM163" s="1056"/>
      <c r="AZN163" s="1056"/>
      <c r="AZO163" s="1056"/>
      <c r="AZP163" s="1056"/>
      <c r="AZQ163" s="1056"/>
      <c r="AZR163" s="1056"/>
      <c r="AZS163" s="1056"/>
      <c r="AZT163" s="1056"/>
      <c r="AZU163" s="1056"/>
      <c r="AZV163" s="1056"/>
      <c r="AZW163" s="1056"/>
      <c r="AZX163" s="1056"/>
      <c r="AZY163" s="1056"/>
      <c r="AZZ163" s="1056"/>
      <c r="BAA163" s="1056"/>
      <c r="BAB163" s="1056"/>
      <c r="BAC163" s="1056"/>
      <c r="BAD163" s="1056"/>
      <c r="BAE163" s="1056"/>
      <c r="BAF163" s="1056"/>
      <c r="BAG163" s="1056"/>
      <c r="BAH163" s="1056"/>
      <c r="BAI163" s="1056"/>
      <c r="BAJ163" s="1056"/>
      <c r="BAK163" s="1056"/>
      <c r="BAL163" s="1056"/>
      <c r="BAM163" s="1056"/>
      <c r="BAN163" s="1056"/>
      <c r="BAO163" s="1056"/>
      <c r="BAP163" s="1056"/>
      <c r="BAQ163" s="1056"/>
      <c r="BAR163" s="1056"/>
      <c r="BAS163" s="1056"/>
      <c r="BAT163" s="1056"/>
      <c r="BAU163" s="1056"/>
      <c r="BAV163" s="1056"/>
      <c r="BAW163" s="1056"/>
      <c r="BAX163" s="1056"/>
      <c r="BAY163" s="1056"/>
      <c r="BAZ163" s="1056"/>
      <c r="BBA163" s="1056"/>
      <c r="BBB163" s="1056"/>
      <c r="BBC163" s="1056"/>
      <c r="BBD163" s="1056"/>
      <c r="BBE163" s="1056"/>
      <c r="BBF163" s="1056"/>
      <c r="BBG163" s="1056"/>
      <c r="BBH163" s="1056"/>
      <c r="BBI163" s="1056"/>
      <c r="BBJ163" s="1056"/>
      <c r="BBK163" s="1056"/>
      <c r="BBL163" s="1056"/>
      <c r="BBM163" s="1056"/>
      <c r="BBN163" s="1056"/>
      <c r="BBO163" s="1056"/>
      <c r="BBP163" s="1056"/>
      <c r="BBQ163" s="1056"/>
      <c r="BBR163" s="1056"/>
      <c r="BBS163" s="1056"/>
      <c r="BBT163" s="1056"/>
      <c r="BBU163" s="1056"/>
      <c r="BBV163" s="1056"/>
      <c r="BBW163" s="1056"/>
      <c r="BBX163" s="1056"/>
      <c r="BBY163" s="1056"/>
      <c r="BBZ163" s="1056"/>
      <c r="BCA163" s="1056"/>
      <c r="BCB163" s="1056"/>
      <c r="BCC163" s="1056"/>
      <c r="BCD163" s="1056"/>
      <c r="BCE163" s="1056"/>
      <c r="BCF163" s="1056"/>
      <c r="BCG163" s="1056"/>
      <c r="BCH163" s="1056"/>
      <c r="BCI163" s="1056"/>
      <c r="BCJ163" s="1056"/>
      <c r="BCK163" s="1056"/>
      <c r="BCL163" s="1056"/>
      <c r="BCM163" s="1056"/>
      <c r="BCN163" s="1056"/>
      <c r="BCO163" s="1056"/>
      <c r="BCP163" s="1056"/>
      <c r="BCQ163" s="1056"/>
      <c r="BCR163" s="1056"/>
      <c r="BCS163" s="1056"/>
      <c r="BCT163" s="1056"/>
      <c r="BCU163" s="1056"/>
      <c r="BCV163" s="1056"/>
      <c r="BCW163" s="1056"/>
      <c r="BCX163" s="1056"/>
      <c r="BCY163" s="1056"/>
      <c r="BCZ163" s="1056"/>
      <c r="BDA163" s="1056"/>
      <c r="BDB163" s="1056"/>
      <c r="BDC163" s="1056"/>
      <c r="BDD163" s="1056"/>
      <c r="BDE163" s="1056"/>
      <c r="BDF163" s="1056"/>
      <c r="BDG163" s="1056"/>
      <c r="BDH163" s="1056"/>
      <c r="BDI163" s="1056"/>
      <c r="BDJ163" s="1056"/>
      <c r="BDK163" s="1056"/>
      <c r="BDL163" s="1056"/>
      <c r="BDM163" s="1056"/>
      <c r="BDN163" s="1056"/>
      <c r="BDO163" s="1056"/>
      <c r="BDP163" s="1056"/>
      <c r="BDQ163" s="1056"/>
      <c r="BDR163" s="1056"/>
      <c r="BDS163" s="1056"/>
      <c r="BDT163" s="1056"/>
      <c r="BDU163" s="1056"/>
      <c r="BDV163" s="1056"/>
      <c r="BDW163" s="1056"/>
      <c r="BDX163" s="1056"/>
      <c r="BDY163" s="1056"/>
      <c r="BDZ163" s="1056"/>
      <c r="BEA163" s="1056"/>
      <c r="BEB163" s="1056"/>
      <c r="BEC163" s="1056"/>
      <c r="BED163" s="1056"/>
      <c r="BEE163" s="1056"/>
      <c r="BEF163" s="1056"/>
      <c r="BEG163" s="1056"/>
      <c r="BEH163" s="1056"/>
      <c r="BEI163" s="1056"/>
      <c r="BEJ163" s="1056"/>
      <c r="BEK163" s="1056"/>
      <c r="BEL163" s="1056"/>
      <c r="BEM163" s="1056"/>
      <c r="BEN163" s="1056"/>
      <c r="BEO163" s="1056"/>
      <c r="BEP163" s="1056"/>
      <c r="BEQ163" s="1056"/>
      <c r="BER163" s="1056"/>
      <c r="BES163" s="1056"/>
      <c r="BET163" s="1056"/>
      <c r="BEU163" s="1056"/>
      <c r="BEV163" s="1056"/>
      <c r="BEW163" s="1056"/>
      <c r="BEX163" s="1056"/>
      <c r="BEY163" s="1056"/>
      <c r="BEZ163" s="1056"/>
      <c r="BFA163" s="1056"/>
      <c r="BFB163" s="1056"/>
      <c r="BFC163" s="1056"/>
      <c r="BFD163" s="1056"/>
      <c r="BFE163" s="1056"/>
      <c r="BFF163" s="1056"/>
      <c r="BFG163" s="1056"/>
      <c r="BFH163" s="1056"/>
      <c r="BFI163" s="1056"/>
      <c r="BFJ163" s="1056"/>
      <c r="BFK163" s="1056"/>
      <c r="BFL163" s="1056"/>
      <c r="BFM163" s="1056"/>
      <c r="BFN163" s="1056"/>
      <c r="BFO163" s="1056"/>
      <c r="BFP163" s="1056"/>
      <c r="BFQ163" s="1056"/>
      <c r="BFR163" s="1056"/>
      <c r="BFS163" s="1056"/>
      <c r="BFT163" s="1056"/>
      <c r="BFU163" s="1056"/>
      <c r="BFV163" s="1056"/>
      <c r="BFW163" s="1056"/>
      <c r="BFX163" s="1056"/>
      <c r="BFY163" s="1056"/>
      <c r="BFZ163" s="1056"/>
      <c r="BGA163" s="1056"/>
      <c r="BGB163" s="1056"/>
      <c r="BGC163" s="1056"/>
      <c r="BGD163" s="1056"/>
      <c r="BGE163" s="1056"/>
      <c r="BGF163" s="1056"/>
      <c r="BGG163" s="1056"/>
      <c r="BGH163" s="1056"/>
      <c r="BGI163" s="1056"/>
      <c r="BGJ163" s="1056"/>
      <c r="BGK163" s="1056"/>
      <c r="BGL163" s="1056"/>
      <c r="BGM163" s="1056"/>
      <c r="BGN163" s="1056"/>
      <c r="BGO163" s="1056"/>
      <c r="BGP163" s="1056"/>
      <c r="BGQ163" s="1056"/>
      <c r="BGR163" s="1056"/>
      <c r="BGS163" s="1056"/>
      <c r="BGT163" s="1056"/>
      <c r="BGU163" s="1056"/>
      <c r="BGV163" s="1056"/>
      <c r="BGW163" s="1056"/>
      <c r="BGX163" s="1056"/>
      <c r="BGY163" s="1056"/>
      <c r="BGZ163" s="1056"/>
      <c r="BHA163" s="1056"/>
      <c r="BHB163" s="1056"/>
      <c r="BHC163" s="1056"/>
      <c r="BHD163" s="1056"/>
      <c r="BHE163" s="1056"/>
      <c r="BHF163" s="1056"/>
      <c r="BHG163" s="1056"/>
      <c r="BHH163" s="1056"/>
      <c r="BHI163" s="1056"/>
      <c r="BHJ163" s="1056"/>
      <c r="BHK163" s="1056"/>
      <c r="BHL163" s="1056"/>
      <c r="BHM163" s="1056"/>
      <c r="BHN163" s="1056"/>
      <c r="BHO163" s="1056"/>
      <c r="BHP163" s="1056"/>
      <c r="BHQ163" s="1056"/>
      <c r="BHR163" s="1056"/>
      <c r="BHS163" s="1056"/>
      <c r="BHT163" s="1056"/>
      <c r="BHU163" s="1056"/>
      <c r="BHV163" s="1056"/>
      <c r="BHW163" s="1056"/>
      <c r="BHX163" s="1056"/>
      <c r="BHY163" s="1056"/>
      <c r="BHZ163" s="1056"/>
      <c r="BIA163" s="1056"/>
      <c r="BIB163" s="1056"/>
      <c r="BIC163" s="1056"/>
      <c r="BID163" s="1056"/>
      <c r="BIE163" s="1056"/>
      <c r="BIF163" s="1056"/>
      <c r="BIG163" s="1056"/>
      <c r="BIH163" s="1056"/>
      <c r="BII163" s="1056"/>
      <c r="BIJ163" s="1056"/>
      <c r="BIK163" s="1056"/>
      <c r="BIL163" s="1056"/>
      <c r="BIM163" s="1056"/>
      <c r="BIN163" s="1056"/>
      <c r="BIO163" s="1056"/>
      <c r="BIP163" s="1056"/>
      <c r="BIQ163" s="1056"/>
      <c r="BIR163" s="1056"/>
      <c r="BIS163" s="1056"/>
      <c r="BIT163" s="1056"/>
      <c r="BIU163" s="1056"/>
      <c r="BIV163" s="1056"/>
      <c r="BIW163" s="1056"/>
      <c r="BIX163" s="1056"/>
      <c r="BIY163" s="1056"/>
      <c r="BIZ163" s="1056"/>
      <c r="BJA163" s="1056"/>
      <c r="BJB163" s="1056"/>
      <c r="BJC163" s="1056"/>
      <c r="BJD163" s="1056"/>
      <c r="BJE163" s="1056"/>
      <c r="BJF163" s="1056"/>
      <c r="BJG163" s="1056"/>
      <c r="BJH163" s="1056"/>
      <c r="BJI163" s="1056"/>
      <c r="BJJ163" s="1056"/>
      <c r="BJK163" s="1056"/>
      <c r="BJL163" s="1056"/>
      <c r="BJM163" s="1056"/>
      <c r="BJN163" s="1056"/>
      <c r="BJO163" s="1056"/>
      <c r="BJP163" s="1056"/>
      <c r="BJQ163" s="1056"/>
      <c r="BJR163" s="1056"/>
      <c r="BJS163" s="1056"/>
      <c r="BJT163" s="1056"/>
      <c r="BJU163" s="1056"/>
      <c r="BJV163" s="1056"/>
      <c r="BJW163" s="1056"/>
      <c r="BJX163" s="1056"/>
      <c r="BJY163" s="1056"/>
      <c r="BJZ163" s="1056"/>
      <c r="BKA163" s="1056"/>
      <c r="BKB163" s="1056"/>
      <c r="BKC163" s="1056"/>
      <c r="BKD163" s="1056"/>
      <c r="BKE163" s="1056"/>
      <c r="BKF163" s="1056"/>
      <c r="BKG163" s="1056"/>
      <c r="BKH163" s="1056"/>
      <c r="BKI163" s="1056"/>
      <c r="BKJ163" s="1056"/>
      <c r="BKK163" s="1056"/>
      <c r="BKL163" s="1056"/>
      <c r="BKM163" s="1056"/>
      <c r="BKN163" s="1056"/>
      <c r="BKO163" s="1056"/>
      <c r="BKP163" s="1056"/>
      <c r="BKQ163" s="1056"/>
      <c r="BKR163" s="1056"/>
      <c r="BKS163" s="1056"/>
      <c r="BKT163" s="1056"/>
      <c r="BKU163" s="1056"/>
      <c r="BKV163" s="1056"/>
      <c r="BKW163" s="1056"/>
      <c r="BKX163" s="1056"/>
      <c r="BKY163" s="1056"/>
      <c r="BKZ163" s="1056"/>
      <c r="BLA163" s="1056"/>
      <c r="BLB163" s="1056"/>
      <c r="BLC163" s="1056"/>
      <c r="BLD163" s="1056"/>
      <c r="BLE163" s="1056"/>
      <c r="BLF163" s="1056"/>
      <c r="BLG163" s="1056"/>
      <c r="BLH163" s="1056"/>
      <c r="BLI163" s="1056"/>
      <c r="BLJ163" s="1056"/>
      <c r="BLK163" s="1056"/>
      <c r="BLL163" s="1056"/>
      <c r="BLM163" s="1056"/>
      <c r="BLN163" s="1056"/>
      <c r="BLO163" s="1056"/>
      <c r="BLP163" s="1056"/>
      <c r="BLQ163" s="1056"/>
      <c r="BLR163" s="1056"/>
      <c r="BLS163" s="1056"/>
      <c r="BLT163" s="1056"/>
      <c r="BLU163" s="1056"/>
      <c r="BLV163" s="1056"/>
      <c r="BLW163" s="1056"/>
      <c r="BLX163" s="1056"/>
      <c r="BLY163" s="1056"/>
      <c r="BLZ163" s="1056"/>
      <c r="BMA163" s="1056"/>
      <c r="BMB163" s="1056"/>
      <c r="BMC163" s="1056"/>
      <c r="BMD163" s="1056"/>
      <c r="BME163" s="1056"/>
      <c r="BMF163" s="1056"/>
      <c r="BMG163" s="1056"/>
      <c r="BMH163" s="1056"/>
      <c r="BMI163" s="1056"/>
      <c r="BMJ163" s="1056"/>
      <c r="BMK163" s="1056"/>
      <c r="BML163" s="1056"/>
      <c r="BMM163" s="1056"/>
      <c r="BMN163" s="1056"/>
      <c r="BMO163" s="1056"/>
      <c r="BMP163" s="1056"/>
      <c r="BMQ163" s="1056"/>
      <c r="BMR163" s="1056"/>
      <c r="BMS163" s="1056"/>
      <c r="BMT163" s="1056"/>
      <c r="BMU163" s="1056"/>
      <c r="BMV163" s="1056"/>
      <c r="BMW163" s="1056"/>
      <c r="BMX163" s="1056"/>
      <c r="BMY163" s="1056"/>
      <c r="BMZ163" s="1056"/>
      <c r="BNA163" s="1056"/>
      <c r="BNB163" s="1056"/>
      <c r="BNC163" s="1056"/>
      <c r="BND163" s="1056"/>
      <c r="BNE163" s="1056"/>
      <c r="BNF163" s="1056"/>
      <c r="BNG163" s="1056"/>
      <c r="BNH163" s="1056"/>
      <c r="BNI163" s="1056"/>
      <c r="BNJ163" s="1056"/>
      <c r="BNK163" s="1056"/>
      <c r="BNL163" s="1056"/>
      <c r="BNM163" s="1056"/>
      <c r="BNN163" s="1056"/>
      <c r="BNO163" s="1056"/>
      <c r="BNP163" s="1056"/>
      <c r="BNQ163" s="1056"/>
      <c r="BNR163" s="1056"/>
      <c r="BNS163" s="1056"/>
      <c r="BNT163" s="1056"/>
      <c r="BNU163" s="1056"/>
      <c r="BNV163" s="1056"/>
      <c r="BNW163" s="1056"/>
      <c r="BNX163" s="1056"/>
      <c r="BNY163" s="1056"/>
      <c r="BNZ163" s="1056"/>
      <c r="BOA163" s="1056"/>
      <c r="BOB163" s="1056"/>
      <c r="BOC163" s="1056"/>
      <c r="BOD163" s="1056"/>
      <c r="BOE163" s="1056"/>
      <c r="BOF163" s="1056"/>
      <c r="BOG163" s="1056"/>
      <c r="BOH163" s="1056"/>
      <c r="BOI163" s="1056"/>
      <c r="BOJ163" s="1056"/>
      <c r="BOK163" s="1056"/>
      <c r="BOL163" s="1056"/>
      <c r="BOM163" s="1056"/>
      <c r="BON163" s="1056"/>
      <c r="BOO163" s="1056"/>
      <c r="BOP163" s="1056"/>
      <c r="BOQ163" s="1056"/>
      <c r="BOR163" s="1056"/>
      <c r="BOS163" s="1056"/>
      <c r="BOT163" s="1056"/>
      <c r="BOU163" s="1056"/>
      <c r="BOV163" s="1056"/>
      <c r="BOW163" s="1056"/>
      <c r="BOX163" s="1056"/>
      <c r="BOY163" s="1056"/>
      <c r="BOZ163" s="1056"/>
      <c r="BPA163" s="1056"/>
      <c r="BPB163" s="1056"/>
      <c r="BPC163" s="1056"/>
      <c r="BPD163" s="1056"/>
      <c r="BPE163" s="1056"/>
      <c r="BPF163" s="1056"/>
      <c r="BPG163" s="1056"/>
      <c r="BPH163" s="1056"/>
      <c r="BPI163" s="1056"/>
      <c r="BPJ163" s="1056"/>
      <c r="BPK163" s="1056"/>
      <c r="BPL163" s="1056"/>
      <c r="BPM163" s="1056"/>
      <c r="BPN163" s="1056"/>
      <c r="BPO163" s="1056"/>
      <c r="BPP163" s="1056"/>
      <c r="BPQ163" s="1056"/>
      <c r="BPR163" s="1056"/>
      <c r="BPS163" s="1056"/>
      <c r="BPT163" s="1056"/>
      <c r="BPU163" s="1056"/>
      <c r="BPV163" s="1056"/>
      <c r="BPW163" s="1056"/>
      <c r="BPX163" s="1056"/>
      <c r="BPY163" s="1056"/>
      <c r="BPZ163" s="1056"/>
      <c r="BQA163" s="1056"/>
      <c r="BQB163" s="1056"/>
      <c r="BQC163" s="1056"/>
      <c r="BQD163" s="1056"/>
      <c r="BQE163" s="1056"/>
      <c r="BQF163" s="1056"/>
      <c r="BQG163" s="1056"/>
      <c r="BQH163" s="1056"/>
      <c r="BQI163" s="1056"/>
      <c r="BQJ163" s="1056"/>
      <c r="BQK163" s="1056"/>
      <c r="BQL163" s="1056"/>
      <c r="BQM163" s="1056"/>
      <c r="BQN163" s="1056"/>
      <c r="BQO163" s="1056"/>
      <c r="BQP163" s="1056"/>
      <c r="BQQ163" s="1056"/>
      <c r="BQR163" s="1056"/>
      <c r="BQS163" s="1056"/>
      <c r="BQT163" s="1056"/>
      <c r="BQU163" s="1056"/>
      <c r="BQV163" s="1056"/>
      <c r="BQW163" s="1056"/>
      <c r="BQX163" s="1056"/>
      <c r="BQY163" s="1056"/>
      <c r="BQZ163" s="1056"/>
      <c r="BRA163" s="1056"/>
      <c r="BRB163" s="1056"/>
      <c r="BRC163" s="1056"/>
      <c r="BRD163" s="1056"/>
      <c r="BRE163" s="1056"/>
      <c r="BRF163" s="1056"/>
      <c r="BRG163" s="1056"/>
      <c r="BRH163" s="1056"/>
      <c r="BRI163" s="1056"/>
      <c r="BRJ163" s="1056"/>
      <c r="BRK163" s="1056"/>
      <c r="BRL163" s="1056"/>
      <c r="BRM163" s="1056"/>
      <c r="BRN163" s="1056"/>
      <c r="BRO163" s="1056"/>
      <c r="BRP163" s="1056"/>
      <c r="BRQ163" s="1056"/>
      <c r="BRR163" s="1056"/>
      <c r="BRS163" s="1056"/>
      <c r="BRT163" s="1056"/>
      <c r="BRU163" s="1056"/>
      <c r="BRV163" s="1056"/>
      <c r="BRW163" s="1056"/>
      <c r="BRX163" s="1056"/>
      <c r="BRY163" s="1056"/>
      <c r="BRZ163" s="1056"/>
      <c r="BSA163" s="1056"/>
      <c r="BSB163" s="1056"/>
      <c r="BSC163" s="1056"/>
      <c r="BSD163" s="1056"/>
      <c r="BSE163" s="1056"/>
      <c r="BSF163" s="1056"/>
      <c r="BSG163" s="1056"/>
      <c r="BSH163" s="1056"/>
      <c r="BSI163" s="1056"/>
      <c r="BSJ163" s="1056"/>
      <c r="BSK163" s="1056"/>
      <c r="BSL163" s="1056"/>
      <c r="BSM163" s="1056"/>
      <c r="BSN163" s="1056"/>
      <c r="BSO163" s="1056"/>
      <c r="BSP163" s="1056"/>
      <c r="BSQ163" s="1056"/>
      <c r="BSR163" s="1056"/>
      <c r="BSS163" s="1056"/>
      <c r="BST163" s="1056"/>
      <c r="BSU163" s="1056"/>
      <c r="BSV163" s="1056"/>
      <c r="BSW163" s="1056"/>
      <c r="BSX163" s="1056"/>
      <c r="BSY163" s="1056"/>
      <c r="BSZ163" s="1056"/>
      <c r="BTA163" s="1056"/>
      <c r="BTB163" s="1056"/>
      <c r="BTC163" s="1056"/>
      <c r="BTD163" s="1056"/>
      <c r="BTE163" s="1056"/>
      <c r="BTF163" s="1056"/>
      <c r="BTG163" s="1056"/>
      <c r="BTH163" s="1056"/>
      <c r="BTI163" s="1056"/>
    </row>
    <row r="164" spans="1:1881" s="1060" customFormat="1" ht="81.75" hidden="1" customHeight="1" x14ac:dyDescent="0.3">
      <c r="A164" s="333">
        <v>643</v>
      </c>
      <c r="B164" s="1093" t="s">
        <v>409</v>
      </c>
      <c r="C164" s="1085" t="s">
        <v>1400</v>
      </c>
      <c r="D164" s="1086" t="s">
        <v>1176</v>
      </c>
      <c r="E164" s="1053" t="e">
        <f>HLOOKUP($D$2,'2020 Data(H)'!$C$1:$AI$426,302,FALSE)</f>
        <v>#N/A</v>
      </c>
      <c r="F164" s="287">
        <v>0</v>
      </c>
      <c r="G164" s="740">
        <f>IF(F164&gt;F160,"Error: Please review components of current liabilities above. Account numbers 643&gt;639",)</f>
        <v>0</v>
      </c>
      <c r="H164" s="1092"/>
      <c r="I164" s="1092"/>
      <c r="J164" s="1056"/>
      <c r="K164" s="1056"/>
      <c r="L164" s="1056"/>
      <c r="M164" s="1056"/>
      <c r="N164" s="1058"/>
      <c r="O164" s="1056"/>
      <c r="P164" s="1056"/>
      <c r="Q164" s="1056"/>
      <c r="R164" s="1056"/>
      <c r="S164" s="1056"/>
      <c r="T164" s="1056"/>
      <c r="U164" s="1056"/>
      <c r="V164" s="1056"/>
      <c r="W164" s="1056"/>
      <c r="X164" s="1056"/>
      <c r="Y164" s="1056"/>
      <c r="Z164" s="333"/>
      <c r="AA164" s="333"/>
      <c r="AB164" s="333"/>
      <c r="AC164" s="333"/>
      <c r="AD164" s="333"/>
      <c r="AE164" s="333"/>
      <c r="AF164" s="333"/>
      <c r="AG164" s="333"/>
      <c r="AH164" s="333"/>
      <c r="AI164" s="333"/>
      <c r="AJ164" s="333"/>
      <c r="AK164" s="333"/>
      <c r="AL164" s="333"/>
      <c r="AM164" s="333"/>
      <c r="AN164" s="333"/>
      <c r="AO164" s="333"/>
      <c r="AP164" s="333"/>
      <c r="AQ164" s="333"/>
      <c r="AR164" s="333"/>
      <c r="AS164" s="1056"/>
      <c r="AT164" s="1056"/>
      <c r="AU164" s="1056"/>
      <c r="AV164" s="1056"/>
      <c r="AW164" s="1056"/>
      <c r="AX164" s="1056"/>
      <c r="AY164" s="1056"/>
      <c r="AZ164" s="1056"/>
      <c r="BA164" s="1056"/>
      <c r="BB164" s="1056"/>
      <c r="BC164" s="1056"/>
      <c r="BD164" s="1056"/>
      <c r="BE164" s="1056"/>
      <c r="BF164" s="1056"/>
      <c r="BG164" s="1056"/>
      <c r="BH164" s="1056"/>
      <c r="BI164" s="1056"/>
      <c r="BJ164" s="1056"/>
      <c r="BK164" s="1056"/>
      <c r="BL164" s="1056"/>
      <c r="BM164" s="1056"/>
      <c r="BN164" s="1056"/>
      <c r="BO164" s="1056"/>
      <c r="BP164" s="1056"/>
      <c r="BQ164" s="1056"/>
      <c r="BR164" s="1056"/>
      <c r="BS164" s="1056"/>
      <c r="BT164" s="1056"/>
      <c r="BU164" s="1056"/>
      <c r="BV164" s="1056"/>
      <c r="BW164" s="1056"/>
      <c r="BX164" s="1056"/>
      <c r="BY164" s="1056"/>
      <c r="BZ164" s="1056"/>
      <c r="CA164" s="1056"/>
      <c r="CB164" s="1056"/>
      <c r="CC164" s="1056"/>
      <c r="CD164" s="1056"/>
      <c r="CE164" s="1056"/>
      <c r="CF164" s="1056"/>
      <c r="CG164" s="1056"/>
      <c r="CH164" s="1056"/>
      <c r="CI164" s="1056"/>
      <c r="CJ164" s="1056"/>
      <c r="CK164" s="1056"/>
      <c r="CL164" s="1056"/>
      <c r="CM164" s="1056"/>
      <c r="CN164" s="1056"/>
      <c r="CO164" s="1056"/>
      <c r="CP164" s="1056"/>
      <c r="CQ164" s="1056"/>
      <c r="CR164" s="1056"/>
      <c r="CS164" s="1056"/>
      <c r="CT164" s="1056"/>
      <c r="CU164" s="1056"/>
      <c r="CV164" s="1056"/>
      <c r="CW164" s="1056"/>
      <c r="CX164" s="1056"/>
      <c r="CY164" s="1056"/>
      <c r="CZ164" s="1056"/>
      <c r="DA164" s="1056"/>
      <c r="DB164" s="1056"/>
      <c r="DC164" s="1056"/>
      <c r="DD164" s="1056"/>
      <c r="DE164" s="1056"/>
      <c r="DF164" s="1056"/>
      <c r="DG164" s="1056"/>
      <c r="DH164" s="1056"/>
      <c r="DI164" s="1056"/>
      <c r="DJ164" s="1056"/>
      <c r="DK164" s="1056"/>
      <c r="DL164" s="1056"/>
      <c r="DM164" s="1056"/>
      <c r="DN164" s="1056"/>
      <c r="DO164" s="1056"/>
      <c r="DP164" s="1056"/>
      <c r="DQ164" s="1056"/>
      <c r="DR164" s="1056"/>
      <c r="DS164" s="1056"/>
      <c r="DT164" s="1056"/>
      <c r="DU164" s="1056"/>
      <c r="DV164" s="1056"/>
      <c r="DW164" s="1056"/>
      <c r="DX164" s="1056"/>
      <c r="DY164" s="1056"/>
      <c r="DZ164" s="1056"/>
      <c r="EA164" s="1056"/>
      <c r="EB164" s="1056"/>
      <c r="EC164" s="1056"/>
      <c r="ED164" s="1056"/>
      <c r="EE164" s="1056"/>
      <c r="EF164" s="1056"/>
      <c r="EG164" s="1056"/>
      <c r="EH164" s="1056"/>
      <c r="EI164" s="1056"/>
      <c r="EJ164" s="1056"/>
      <c r="EK164" s="1056"/>
      <c r="EL164" s="1056"/>
      <c r="EM164" s="1056"/>
      <c r="EN164" s="1056"/>
      <c r="EO164" s="1056"/>
      <c r="EP164" s="1056"/>
      <c r="EQ164" s="1056"/>
      <c r="ER164" s="1056"/>
      <c r="ES164" s="1056"/>
      <c r="ET164" s="1056"/>
      <c r="EU164" s="1056"/>
      <c r="EV164" s="1056"/>
      <c r="EW164" s="1056"/>
      <c r="EX164" s="1056"/>
      <c r="EY164" s="1056"/>
      <c r="EZ164" s="1056"/>
      <c r="FA164" s="1056"/>
      <c r="FB164" s="1056"/>
      <c r="FC164" s="1056"/>
      <c r="FD164" s="1056"/>
      <c r="FE164" s="1056"/>
      <c r="FF164" s="1056"/>
      <c r="FG164" s="1056"/>
      <c r="FH164" s="1056"/>
      <c r="FI164" s="1056"/>
      <c r="FJ164" s="1056"/>
      <c r="FK164" s="1056"/>
      <c r="FL164" s="1056"/>
      <c r="FM164" s="1056"/>
      <c r="FN164" s="1056"/>
      <c r="FO164" s="1056"/>
      <c r="FP164" s="1056"/>
      <c r="FQ164" s="1056"/>
      <c r="FR164" s="1056"/>
      <c r="FS164" s="1056"/>
      <c r="FT164" s="1056"/>
      <c r="FU164" s="1056"/>
      <c r="FV164" s="1056"/>
      <c r="FW164" s="1056"/>
      <c r="FX164" s="1056"/>
      <c r="FY164" s="1056"/>
      <c r="FZ164" s="1056"/>
      <c r="GA164" s="1056"/>
      <c r="GB164" s="1056"/>
      <c r="GC164" s="1056"/>
      <c r="GD164" s="1056"/>
      <c r="GE164" s="1056"/>
      <c r="GF164" s="1056"/>
      <c r="GG164" s="1056"/>
      <c r="GH164" s="1056"/>
      <c r="GI164" s="1056"/>
      <c r="GJ164" s="1056"/>
      <c r="GK164" s="1056"/>
      <c r="GL164" s="1056"/>
      <c r="GM164" s="1056"/>
      <c r="GN164" s="1056"/>
      <c r="GO164" s="1056"/>
      <c r="GP164" s="1056"/>
      <c r="GQ164" s="1056"/>
      <c r="GR164" s="1056"/>
      <c r="GS164" s="1056"/>
      <c r="GT164" s="1056"/>
      <c r="GU164" s="1056"/>
      <c r="GV164" s="1056"/>
      <c r="GW164" s="1056"/>
      <c r="GX164" s="1056"/>
      <c r="GY164" s="1056"/>
      <c r="GZ164" s="1056"/>
      <c r="HA164" s="1056"/>
      <c r="HB164" s="1056"/>
      <c r="HC164" s="1056"/>
      <c r="HD164" s="1056"/>
      <c r="HE164" s="1056"/>
      <c r="HF164" s="1056"/>
      <c r="HG164" s="1056"/>
      <c r="HH164" s="1056"/>
      <c r="HI164" s="1056"/>
      <c r="HJ164" s="1056"/>
      <c r="HK164" s="1056"/>
      <c r="HL164" s="1056"/>
      <c r="HM164" s="1056"/>
      <c r="HN164" s="1056"/>
      <c r="HO164" s="1056"/>
      <c r="HP164" s="1056"/>
      <c r="HQ164" s="1056"/>
      <c r="HR164" s="1056"/>
      <c r="HS164" s="1056"/>
      <c r="HT164" s="1056"/>
      <c r="HU164" s="1056"/>
      <c r="HV164" s="1056"/>
      <c r="HW164" s="1056"/>
      <c r="HX164" s="1056"/>
      <c r="HY164" s="1056"/>
      <c r="HZ164" s="1056"/>
      <c r="IA164" s="1056"/>
      <c r="IB164" s="1056"/>
      <c r="IC164" s="1056"/>
      <c r="ID164" s="1056"/>
      <c r="IE164" s="1056"/>
      <c r="IF164" s="1056"/>
      <c r="IG164" s="1056"/>
      <c r="IH164" s="1056"/>
      <c r="II164" s="1056"/>
      <c r="IJ164" s="1056"/>
      <c r="IK164" s="1056"/>
      <c r="IL164" s="1056"/>
      <c r="IM164" s="1056"/>
      <c r="IN164" s="1056"/>
      <c r="IO164" s="1056"/>
      <c r="IP164" s="1056"/>
      <c r="IQ164" s="1056"/>
      <c r="IR164" s="1056"/>
      <c r="IS164" s="1056"/>
      <c r="IT164" s="1056"/>
      <c r="IU164" s="1056"/>
      <c r="IV164" s="1056"/>
      <c r="IW164" s="1056"/>
      <c r="IX164" s="1056"/>
      <c r="IY164" s="1056"/>
      <c r="IZ164" s="1056"/>
      <c r="JA164" s="1056"/>
      <c r="JB164" s="1056"/>
      <c r="JC164" s="1056"/>
      <c r="JD164" s="1056"/>
      <c r="JE164" s="1056"/>
      <c r="JF164" s="1056"/>
      <c r="JG164" s="1056"/>
      <c r="JH164" s="1056"/>
      <c r="JI164" s="1056"/>
      <c r="JJ164" s="1056"/>
      <c r="JK164" s="1056"/>
      <c r="JL164" s="1056"/>
      <c r="JM164" s="1056"/>
      <c r="JN164" s="1056"/>
      <c r="JO164" s="1056"/>
      <c r="JP164" s="1056"/>
      <c r="JQ164" s="1056"/>
      <c r="JR164" s="1056"/>
      <c r="JS164" s="1056"/>
      <c r="JT164" s="1056"/>
      <c r="JU164" s="1056"/>
      <c r="JV164" s="1056"/>
      <c r="JW164" s="1056"/>
      <c r="JX164" s="1056"/>
      <c r="JY164" s="1056"/>
      <c r="JZ164" s="1056"/>
      <c r="KA164" s="1056"/>
      <c r="KB164" s="1056"/>
      <c r="KC164" s="1056"/>
      <c r="KD164" s="1056"/>
      <c r="KE164" s="1056"/>
      <c r="KF164" s="1056"/>
      <c r="KG164" s="1056"/>
      <c r="KH164" s="1056"/>
      <c r="KI164" s="1056"/>
      <c r="KJ164" s="1056"/>
      <c r="KK164" s="1056"/>
      <c r="KL164" s="1056"/>
      <c r="KM164" s="1056"/>
      <c r="KN164" s="1056"/>
      <c r="KO164" s="1056"/>
      <c r="KP164" s="1056"/>
      <c r="KQ164" s="1056"/>
      <c r="KR164" s="1056"/>
      <c r="KS164" s="1056"/>
      <c r="KT164" s="1056"/>
      <c r="KU164" s="1056"/>
      <c r="KV164" s="1056"/>
      <c r="KW164" s="1056"/>
      <c r="KX164" s="1056"/>
      <c r="KY164" s="1056"/>
      <c r="KZ164" s="1056"/>
      <c r="LA164" s="1056"/>
      <c r="LB164" s="1056"/>
      <c r="LC164" s="1056"/>
      <c r="LD164" s="1056"/>
      <c r="LE164" s="1056"/>
      <c r="LF164" s="1056"/>
      <c r="LG164" s="1056"/>
      <c r="LH164" s="1056"/>
      <c r="LI164" s="1056"/>
      <c r="LJ164" s="1056"/>
      <c r="LK164" s="1056"/>
      <c r="LL164" s="1056"/>
      <c r="LM164" s="1056"/>
      <c r="LN164" s="1056"/>
      <c r="LO164" s="1056"/>
      <c r="LP164" s="1056"/>
      <c r="LQ164" s="1056"/>
      <c r="LR164" s="1056"/>
      <c r="LS164" s="1056"/>
      <c r="LT164" s="1056"/>
      <c r="LU164" s="1056"/>
      <c r="LV164" s="1056"/>
      <c r="LW164" s="1056"/>
      <c r="LX164" s="1056"/>
      <c r="LY164" s="1056"/>
      <c r="LZ164" s="1056"/>
      <c r="MA164" s="1056"/>
      <c r="MB164" s="1056"/>
      <c r="MC164" s="1056"/>
      <c r="MD164" s="1056"/>
      <c r="ME164" s="1056"/>
      <c r="MF164" s="1056"/>
      <c r="MG164" s="1056"/>
      <c r="MH164" s="1056"/>
      <c r="MI164" s="1056"/>
      <c r="MJ164" s="1056"/>
      <c r="MK164" s="1056"/>
      <c r="ML164" s="1056"/>
      <c r="MM164" s="1056"/>
      <c r="MN164" s="1056"/>
      <c r="MO164" s="1056"/>
      <c r="MP164" s="1056"/>
      <c r="MQ164" s="1056"/>
      <c r="MR164" s="1056"/>
      <c r="MS164" s="1056"/>
      <c r="MT164" s="1056"/>
      <c r="MU164" s="1056"/>
      <c r="MV164" s="1056"/>
      <c r="MW164" s="1056"/>
      <c r="MX164" s="1056"/>
      <c r="MY164" s="1056"/>
      <c r="MZ164" s="1056"/>
      <c r="NA164" s="1056"/>
      <c r="NB164" s="1056"/>
      <c r="NC164" s="1056"/>
      <c r="ND164" s="1056"/>
      <c r="NE164" s="1056"/>
      <c r="NF164" s="1056"/>
      <c r="NG164" s="1056"/>
      <c r="NH164" s="1056"/>
      <c r="NI164" s="1056"/>
      <c r="NJ164" s="1056"/>
      <c r="NK164" s="1056"/>
      <c r="NL164" s="1056"/>
      <c r="NM164" s="1056"/>
      <c r="NN164" s="1056"/>
      <c r="NO164" s="1056"/>
      <c r="NP164" s="1056"/>
      <c r="NQ164" s="1056"/>
      <c r="NR164" s="1056"/>
      <c r="NS164" s="1056"/>
      <c r="NT164" s="1056"/>
      <c r="NU164" s="1056"/>
      <c r="NV164" s="1056"/>
      <c r="NW164" s="1056"/>
      <c r="NX164" s="1056"/>
      <c r="NY164" s="1056"/>
      <c r="NZ164" s="1056"/>
      <c r="OA164" s="1056"/>
      <c r="OB164" s="1056"/>
      <c r="OC164" s="1056"/>
      <c r="OD164" s="1056"/>
      <c r="OE164" s="1056"/>
      <c r="OF164" s="1056"/>
      <c r="OG164" s="1056"/>
      <c r="OH164" s="1056"/>
      <c r="OI164" s="1056"/>
      <c r="OJ164" s="1056"/>
      <c r="OK164" s="1056"/>
      <c r="OL164" s="1056"/>
      <c r="OM164" s="1056"/>
      <c r="ON164" s="1056"/>
      <c r="OO164" s="1056"/>
      <c r="OP164" s="1056"/>
      <c r="OQ164" s="1056"/>
      <c r="OR164" s="1056"/>
      <c r="OS164" s="1056"/>
      <c r="OT164" s="1056"/>
      <c r="OU164" s="1056"/>
      <c r="OV164" s="1056"/>
      <c r="OW164" s="1056"/>
      <c r="OX164" s="1056"/>
      <c r="OY164" s="1056"/>
      <c r="OZ164" s="1056"/>
      <c r="PA164" s="1056"/>
      <c r="PB164" s="1056"/>
      <c r="PC164" s="1056"/>
      <c r="PD164" s="1056"/>
      <c r="PE164" s="1056"/>
      <c r="PF164" s="1056"/>
      <c r="PG164" s="1056"/>
      <c r="PH164" s="1056"/>
      <c r="PI164" s="1056"/>
      <c r="PJ164" s="1056"/>
      <c r="PK164" s="1056"/>
      <c r="PL164" s="1056"/>
      <c r="PM164" s="1056"/>
      <c r="PN164" s="1056"/>
      <c r="PO164" s="1056"/>
      <c r="PP164" s="1056"/>
      <c r="PQ164" s="1056"/>
      <c r="PR164" s="1056"/>
      <c r="PS164" s="1056"/>
      <c r="PT164" s="1056"/>
      <c r="PU164" s="1056"/>
      <c r="PV164" s="1056"/>
      <c r="PW164" s="1056"/>
      <c r="PX164" s="1056"/>
      <c r="PY164" s="1056"/>
      <c r="PZ164" s="1056"/>
      <c r="QA164" s="1056"/>
      <c r="QB164" s="1056"/>
      <c r="QC164" s="1056"/>
      <c r="QD164" s="1056"/>
      <c r="QE164" s="1056"/>
      <c r="QF164" s="1056"/>
      <c r="QG164" s="1056"/>
      <c r="QH164" s="1056"/>
      <c r="QI164" s="1056"/>
      <c r="QJ164" s="1056"/>
      <c r="QK164" s="1056"/>
      <c r="QL164" s="1056"/>
      <c r="QM164" s="1056"/>
      <c r="QN164" s="1056"/>
      <c r="QO164" s="1056"/>
      <c r="QP164" s="1056"/>
      <c r="QQ164" s="1056"/>
      <c r="QR164" s="1056"/>
      <c r="QS164" s="1056"/>
      <c r="QT164" s="1056"/>
      <c r="QU164" s="1056"/>
      <c r="QV164" s="1056"/>
      <c r="QW164" s="1056"/>
      <c r="QX164" s="1056"/>
      <c r="QY164" s="1056"/>
      <c r="QZ164" s="1056"/>
      <c r="RA164" s="1056"/>
      <c r="RB164" s="1056"/>
      <c r="RC164" s="1056"/>
      <c r="RD164" s="1056"/>
      <c r="RE164" s="1056"/>
      <c r="RF164" s="1056"/>
      <c r="RG164" s="1056"/>
      <c r="RH164" s="1056"/>
      <c r="RI164" s="1056"/>
      <c r="RJ164" s="1056"/>
      <c r="RK164" s="1056"/>
      <c r="RL164" s="1056"/>
      <c r="RM164" s="1056"/>
      <c r="RN164" s="1056"/>
      <c r="RO164" s="1056"/>
      <c r="RP164" s="1056"/>
      <c r="RQ164" s="1056"/>
      <c r="RR164" s="1056"/>
      <c r="RS164" s="1056"/>
      <c r="RT164" s="1056"/>
      <c r="RU164" s="1056"/>
      <c r="RV164" s="1056"/>
      <c r="RW164" s="1056"/>
      <c r="RX164" s="1056"/>
      <c r="RY164" s="1056"/>
      <c r="RZ164" s="1056"/>
      <c r="SA164" s="1056"/>
      <c r="SB164" s="1056"/>
      <c r="SC164" s="1056"/>
      <c r="SD164" s="1056"/>
      <c r="SE164" s="1056"/>
      <c r="SF164" s="1056"/>
      <c r="SG164" s="1056"/>
      <c r="SH164" s="1056"/>
      <c r="SI164" s="1056"/>
      <c r="SJ164" s="1056"/>
      <c r="SK164" s="1056"/>
      <c r="SL164" s="1056"/>
      <c r="SM164" s="1056"/>
      <c r="SN164" s="1056"/>
      <c r="SO164" s="1056"/>
      <c r="SP164" s="1056"/>
      <c r="SQ164" s="1056"/>
      <c r="SR164" s="1056"/>
      <c r="SS164" s="1056"/>
      <c r="ST164" s="1056"/>
      <c r="SU164" s="1056"/>
      <c r="SV164" s="1056"/>
      <c r="SW164" s="1056"/>
      <c r="SX164" s="1056"/>
      <c r="SY164" s="1056"/>
      <c r="SZ164" s="1056"/>
      <c r="TA164" s="1056"/>
      <c r="TB164" s="1056"/>
      <c r="TC164" s="1056"/>
      <c r="TD164" s="1056"/>
      <c r="TE164" s="1056"/>
      <c r="TF164" s="1056"/>
      <c r="TG164" s="1056"/>
      <c r="TH164" s="1056"/>
      <c r="TI164" s="1056"/>
      <c r="TJ164" s="1056"/>
      <c r="TK164" s="1056"/>
      <c r="TL164" s="1056"/>
      <c r="TM164" s="1056"/>
      <c r="TN164" s="1056"/>
      <c r="TO164" s="1056"/>
      <c r="TP164" s="1056"/>
      <c r="TQ164" s="1056"/>
      <c r="TR164" s="1056"/>
      <c r="TS164" s="1056"/>
      <c r="TT164" s="1056"/>
      <c r="TU164" s="1056"/>
      <c r="TV164" s="1056"/>
      <c r="TW164" s="1056"/>
      <c r="TX164" s="1056"/>
      <c r="TY164" s="1056"/>
      <c r="TZ164" s="1056"/>
      <c r="UA164" s="1056"/>
      <c r="UB164" s="1056"/>
      <c r="UC164" s="1056"/>
      <c r="UD164" s="1056"/>
      <c r="UE164" s="1056"/>
      <c r="UF164" s="1056"/>
      <c r="UG164" s="1056"/>
      <c r="UH164" s="1056"/>
      <c r="UI164" s="1056"/>
      <c r="UJ164" s="1056"/>
      <c r="UK164" s="1056"/>
      <c r="UL164" s="1056"/>
      <c r="UM164" s="1056"/>
      <c r="UN164" s="1056"/>
      <c r="UO164" s="1056"/>
      <c r="UP164" s="1056"/>
      <c r="UQ164" s="1056"/>
      <c r="UR164" s="1056"/>
      <c r="US164" s="1056"/>
      <c r="UT164" s="1056"/>
      <c r="UU164" s="1056"/>
      <c r="UV164" s="1056"/>
      <c r="UW164" s="1056"/>
      <c r="UX164" s="1056"/>
      <c r="UY164" s="1056"/>
      <c r="UZ164" s="1056"/>
      <c r="VA164" s="1056"/>
      <c r="VB164" s="1056"/>
      <c r="VC164" s="1056"/>
      <c r="VD164" s="1056"/>
      <c r="VE164" s="1056"/>
      <c r="VF164" s="1056"/>
      <c r="VG164" s="1056"/>
      <c r="VH164" s="1056"/>
      <c r="VI164" s="1056"/>
      <c r="VJ164" s="1056"/>
      <c r="VK164" s="1056"/>
      <c r="VL164" s="1056"/>
      <c r="VM164" s="1056"/>
      <c r="VN164" s="1056"/>
      <c r="VO164" s="1056"/>
      <c r="VP164" s="1056"/>
      <c r="VQ164" s="1056"/>
      <c r="VR164" s="1056"/>
      <c r="VS164" s="1056"/>
      <c r="VT164" s="1056"/>
      <c r="VU164" s="1056"/>
      <c r="VV164" s="1056"/>
      <c r="VW164" s="1056"/>
      <c r="VX164" s="1056"/>
      <c r="VY164" s="1056"/>
      <c r="VZ164" s="1056"/>
      <c r="WA164" s="1056"/>
      <c r="WB164" s="1056"/>
      <c r="WC164" s="1056"/>
      <c r="WD164" s="1056"/>
      <c r="WE164" s="1056"/>
      <c r="WF164" s="1056"/>
      <c r="WG164" s="1056"/>
      <c r="WH164" s="1056"/>
      <c r="WI164" s="1056"/>
      <c r="WJ164" s="1056"/>
      <c r="WK164" s="1056"/>
      <c r="WL164" s="1056"/>
      <c r="WM164" s="1056"/>
      <c r="WN164" s="1056"/>
      <c r="WO164" s="1056"/>
      <c r="WP164" s="1056"/>
      <c r="WQ164" s="1056"/>
      <c r="WR164" s="1056"/>
      <c r="WS164" s="1056"/>
      <c r="WT164" s="1056"/>
      <c r="WU164" s="1056"/>
      <c r="WV164" s="1056"/>
      <c r="WW164" s="1056"/>
      <c r="WX164" s="1056"/>
      <c r="WY164" s="1056"/>
      <c r="WZ164" s="1056"/>
      <c r="XA164" s="1056"/>
      <c r="XB164" s="1056"/>
      <c r="XC164" s="1056"/>
      <c r="XD164" s="1056"/>
      <c r="XE164" s="1056"/>
      <c r="XF164" s="1056"/>
      <c r="XG164" s="1056"/>
      <c r="XH164" s="1056"/>
      <c r="XI164" s="1056"/>
      <c r="XJ164" s="1056"/>
      <c r="XK164" s="1056"/>
      <c r="XL164" s="1056"/>
      <c r="XM164" s="1056"/>
      <c r="XN164" s="1056"/>
      <c r="XO164" s="1056"/>
      <c r="XP164" s="1056"/>
      <c r="XQ164" s="1056"/>
      <c r="XR164" s="1056"/>
      <c r="XS164" s="1056"/>
      <c r="XT164" s="1056"/>
      <c r="XU164" s="1056"/>
      <c r="XV164" s="1056"/>
      <c r="XW164" s="1056"/>
      <c r="XX164" s="1056"/>
      <c r="XY164" s="1056"/>
      <c r="XZ164" s="1056"/>
      <c r="YA164" s="1056"/>
      <c r="YB164" s="1056"/>
      <c r="YC164" s="1056"/>
      <c r="YD164" s="1056"/>
      <c r="YE164" s="1056"/>
      <c r="YF164" s="1056"/>
      <c r="YG164" s="1056"/>
      <c r="YH164" s="1056"/>
      <c r="YI164" s="1056"/>
      <c r="YJ164" s="1056"/>
      <c r="YK164" s="1056"/>
      <c r="YL164" s="1056"/>
      <c r="YM164" s="1056"/>
      <c r="YN164" s="1056"/>
      <c r="YO164" s="1056"/>
      <c r="YP164" s="1056"/>
      <c r="YQ164" s="1056"/>
      <c r="YR164" s="1056"/>
      <c r="YS164" s="1056"/>
      <c r="YT164" s="1056"/>
      <c r="YU164" s="1056"/>
      <c r="YV164" s="1056"/>
      <c r="YW164" s="1056"/>
      <c r="YX164" s="1056"/>
      <c r="YY164" s="1056"/>
      <c r="YZ164" s="1056"/>
      <c r="ZA164" s="1056"/>
      <c r="ZB164" s="1056"/>
      <c r="ZC164" s="1056"/>
      <c r="ZD164" s="1056"/>
      <c r="ZE164" s="1056"/>
      <c r="ZF164" s="1056"/>
      <c r="ZG164" s="1056"/>
      <c r="ZH164" s="1056"/>
      <c r="ZI164" s="1056"/>
      <c r="ZJ164" s="1056"/>
      <c r="ZK164" s="1056"/>
      <c r="ZL164" s="1056"/>
      <c r="ZM164" s="1056"/>
      <c r="ZN164" s="1056"/>
      <c r="ZO164" s="1056"/>
      <c r="ZP164" s="1056"/>
      <c r="ZQ164" s="1056"/>
      <c r="ZR164" s="1056"/>
      <c r="ZS164" s="1056"/>
      <c r="ZT164" s="1056"/>
      <c r="ZU164" s="1056"/>
      <c r="ZV164" s="1056"/>
      <c r="ZW164" s="1056"/>
      <c r="ZX164" s="1056"/>
      <c r="ZY164" s="1056"/>
      <c r="ZZ164" s="1056"/>
      <c r="AAA164" s="1056"/>
      <c r="AAB164" s="1056"/>
      <c r="AAC164" s="1056"/>
      <c r="AAD164" s="1056"/>
      <c r="AAE164" s="1056"/>
      <c r="AAF164" s="1056"/>
      <c r="AAG164" s="1056"/>
      <c r="AAH164" s="1056"/>
      <c r="AAI164" s="1056"/>
      <c r="AAJ164" s="1056"/>
      <c r="AAK164" s="1056"/>
      <c r="AAL164" s="1056"/>
      <c r="AAM164" s="1056"/>
      <c r="AAN164" s="1056"/>
      <c r="AAO164" s="1056"/>
      <c r="AAP164" s="1056"/>
      <c r="AAQ164" s="1056"/>
      <c r="AAR164" s="1056"/>
      <c r="AAS164" s="1056"/>
      <c r="AAT164" s="1056"/>
      <c r="AAU164" s="1056"/>
      <c r="AAV164" s="1056"/>
      <c r="AAW164" s="1056"/>
      <c r="AAX164" s="1056"/>
      <c r="AAY164" s="1056"/>
      <c r="AAZ164" s="1056"/>
      <c r="ABA164" s="1056"/>
      <c r="ABB164" s="1056"/>
      <c r="ABC164" s="1056"/>
      <c r="ABD164" s="1056"/>
      <c r="ABE164" s="1056"/>
      <c r="ABF164" s="1056"/>
      <c r="ABG164" s="1056"/>
      <c r="ABH164" s="1056"/>
      <c r="ABI164" s="1056"/>
      <c r="ABJ164" s="1056"/>
      <c r="ABK164" s="1056"/>
      <c r="ABL164" s="1056"/>
      <c r="ABM164" s="1056"/>
      <c r="ABN164" s="1056"/>
      <c r="ABO164" s="1056"/>
      <c r="ABP164" s="1056"/>
      <c r="ABQ164" s="1056"/>
      <c r="ABR164" s="1056"/>
      <c r="ABS164" s="1056"/>
      <c r="ABT164" s="1056"/>
      <c r="ABU164" s="1056"/>
      <c r="ABV164" s="1056"/>
      <c r="ABW164" s="1056"/>
      <c r="ABX164" s="1056"/>
      <c r="ABY164" s="1056"/>
      <c r="ABZ164" s="1056"/>
      <c r="ACA164" s="1056"/>
      <c r="ACB164" s="1056"/>
      <c r="ACC164" s="1056"/>
      <c r="ACD164" s="1056"/>
      <c r="ACE164" s="1056"/>
      <c r="ACF164" s="1056"/>
      <c r="ACG164" s="1056"/>
      <c r="ACH164" s="1056"/>
      <c r="ACI164" s="1056"/>
      <c r="ACJ164" s="1056"/>
      <c r="ACK164" s="1056"/>
      <c r="ACL164" s="1056"/>
      <c r="ACM164" s="1056"/>
      <c r="ACN164" s="1056"/>
      <c r="ACO164" s="1056"/>
      <c r="ACP164" s="1056"/>
      <c r="ACQ164" s="1056"/>
      <c r="ACR164" s="1056"/>
      <c r="ACS164" s="1056"/>
      <c r="ACT164" s="1056"/>
      <c r="ACU164" s="1056"/>
      <c r="ACV164" s="1056"/>
      <c r="ACW164" s="1056"/>
      <c r="ACX164" s="1056"/>
      <c r="ACY164" s="1056"/>
      <c r="ACZ164" s="1056"/>
      <c r="ADA164" s="1056"/>
      <c r="ADB164" s="1056"/>
      <c r="ADC164" s="1056"/>
      <c r="ADD164" s="1056"/>
      <c r="ADE164" s="1056"/>
      <c r="ADF164" s="1056"/>
      <c r="ADG164" s="1056"/>
      <c r="ADH164" s="1056"/>
      <c r="ADI164" s="1056"/>
      <c r="ADJ164" s="1056"/>
      <c r="ADK164" s="1056"/>
      <c r="ADL164" s="1056"/>
      <c r="ADM164" s="1056"/>
      <c r="ADN164" s="1056"/>
      <c r="ADO164" s="1056"/>
      <c r="ADP164" s="1056"/>
      <c r="ADQ164" s="1056"/>
      <c r="ADR164" s="1056"/>
      <c r="ADS164" s="1056"/>
      <c r="ADT164" s="1056"/>
      <c r="ADU164" s="1056"/>
      <c r="ADV164" s="1056"/>
      <c r="ADW164" s="1056"/>
      <c r="ADX164" s="1056"/>
      <c r="ADY164" s="1056"/>
      <c r="ADZ164" s="1056"/>
      <c r="AEA164" s="1056"/>
      <c r="AEB164" s="1056"/>
      <c r="AEC164" s="1056"/>
      <c r="AED164" s="1056"/>
      <c r="AEE164" s="1056"/>
      <c r="AEF164" s="1056"/>
      <c r="AEG164" s="1056"/>
      <c r="AEH164" s="1056"/>
      <c r="AEI164" s="1056"/>
      <c r="AEJ164" s="1056"/>
      <c r="AEK164" s="1056"/>
      <c r="AEL164" s="1056"/>
      <c r="AEM164" s="1056"/>
      <c r="AEN164" s="1056"/>
      <c r="AEO164" s="1056"/>
      <c r="AEP164" s="1056"/>
      <c r="AEQ164" s="1056"/>
      <c r="AER164" s="1056"/>
      <c r="AES164" s="1056"/>
      <c r="AET164" s="1056"/>
      <c r="AEU164" s="1056"/>
      <c r="AEV164" s="1056"/>
      <c r="AEW164" s="1056"/>
      <c r="AEX164" s="1056"/>
      <c r="AEY164" s="1056"/>
      <c r="AEZ164" s="1056"/>
      <c r="AFA164" s="1056"/>
      <c r="AFB164" s="1056"/>
      <c r="AFC164" s="1056"/>
      <c r="AFD164" s="1056"/>
      <c r="AFE164" s="1056"/>
      <c r="AFF164" s="1056"/>
      <c r="AFG164" s="1056"/>
      <c r="AFH164" s="1056"/>
      <c r="AFI164" s="1056"/>
      <c r="AFJ164" s="1056"/>
      <c r="AFK164" s="1056"/>
      <c r="AFL164" s="1056"/>
      <c r="AFM164" s="1056"/>
      <c r="AFN164" s="1056"/>
      <c r="AFO164" s="1056"/>
      <c r="AFP164" s="1056"/>
      <c r="AFQ164" s="1056"/>
      <c r="AFR164" s="1056"/>
      <c r="AFS164" s="1056"/>
      <c r="AFT164" s="1056"/>
      <c r="AFU164" s="1056"/>
      <c r="AFV164" s="1056"/>
      <c r="AFW164" s="1056"/>
      <c r="AFX164" s="1056"/>
      <c r="AFY164" s="1056"/>
      <c r="AFZ164" s="1056"/>
      <c r="AGA164" s="1056"/>
      <c r="AGB164" s="1056"/>
      <c r="AGC164" s="1056"/>
      <c r="AGD164" s="1056"/>
      <c r="AGE164" s="1056"/>
      <c r="AGF164" s="1056"/>
      <c r="AGG164" s="1056"/>
      <c r="AGH164" s="1056"/>
      <c r="AGI164" s="1056"/>
      <c r="AGJ164" s="1056"/>
      <c r="AGK164" s="1056"/>
      <c r="AGL164" s="1056"/>
      <c r="AGM164" s="1056"/>
      <c r="AGN164" s="1056"/>
      <c r="AGO164" s="1056"/>
      <c r="AGP164" s="1056"/>
      <c r="AGQ164" s="1056"/>
      <c r="AGR164" s="1056"/>
      <c r="AGS164" s="1056"/>
      <c r="AGT164" s="1056"/>
      <c r="AGU164" s="1056"/>
      <c r="AGV164" s="1056"/>
      <c r="AGW164" s="1056"/>
      <c r="AGX164" s="1056"/>
      <c r="AGY164" s="1056"/>
      <c r="AGZ164" s="1056"/>
      <c r="AHA164" s="1056"/>
      <c r="AHB164" s="1056"/>
      <c r="AHC164" s="1056"/>
      <c r="AHD164" s="1056"/>
      <c r="AHE164" s="1056"/>
      <c r="AHF164" s="1056"/>
      <c r="AHG164" s="1056"/>
      <c r="AHH164" s="1056"/>
      <c r="AHI164" s="1056"/>
      <c r="AHJ164" s="1056"/>
      <c r="AHK164" s="1056"/>
      <c r="AHL164" s="1056"/>
      <c r="AHM164" s="1056"/>
      <c r="AHN164" s="1056"/>
      <c r="AHO164" s="1056"/>
      <c r="AHP164" s="1056"/>
      <c r="AHQ164" s="1056"/>
      <c r="AHR164" s="1056"/>
      <c r="AHS164" s="1056"/>
      <c r="AHT164" s="1056"/>
      <c r="AHU164" s="1056"/>
      <c r="AHV164" s="1056"/>
      <c r="AHW164" s="1056"/>
      <c r="AHX164" s="1056"/>
      <c r="AHY164" s="1056"/>
      <c r="AHZ164" s="1056"/>
      <c r="AIA164" s="1056"/>
      <c r="AIB164" s="1056"/>
      <c r="AIC164" s="1056"/>
      <c r="AID164" s="1056"/>
      <c r="AIE164" s="1056"/>
      <c r="AIF164" s="1056"/>
      <c r="AIG164" s="1056"/>
      <c r="AIH164" s="1056"/>
      <c r="AII164" s="1056"/>
      <c r="AIJ164" s="1056"/>
      <c r="AIK164" s="1056"/>
      <c r="AIL164" s="1056"/>
      <c r="AIM164" s="1056"/>
      <c r="AIN164" s="1056"/>
      <c r="AIO164" s="1056"/>
      <c r="AIP164" s="1056"/>
      <c r="AIQ164" s="1056"/>
      <c r="AIR164" s="1056"/>
      <c r="AIS164" s="1056"/>
      <c r="AIT164" s="1056"/>
      <c r="AIU164" s="1056"/>
      <c r="AIV164" s="1056"/>
      <c r="AIW164" s="1056"/>
      <c r="AIX164" s="1056"/>
      <c r="AIY164" s="1056"/>
      <c r="AIZ164" s="1056"/>
      <c r="AJA164" s="1056"/>
      <c r="AJB164" s="1056"/>
      <c r="AJC164" s="1056"/>
      <c r="AJD164" s="1056"/>
      <c r="AJE164" s="1056"/>
      <c r="AJF164" s="1056"/>
      <c r="AJG164" s="1056"/>
      <c r="AJH164" s="1056"/>
      <c r="AJI164" s="1056"/>
      <c r="AJJ164" s="1056"/>
      <c r="AJK164" s="1056"/>
      <c r="AJL164" s="1056"/>
      <c r="AJM164" s="1056"/>
      <c r="AJN164" s="1056"/>
      <c r="AJO164" s="1056"/>
      <c r="AJP164" s="1056"/>
      <c r="AJQ164" s="1056"/>
      <c r="AJR164" s="1056"/>
      <c r="AJS164" s="1056"/>
      <c r="AJT164" s="1056"/>
      <c r="AJU164" s="1056"/>
      <c r="AJV164" s="1056"/>
      <c r="AJW164" s="1056"/>
      <c r="AJX164" s="1056"/>
      <c r="AJY164" s="1056"/>
      <c r="AJZ164" s="1056"/>
      <c r="AKA164" s="1056"/>
      <c r="AKB164" s="1056"/>
      <c r="AKC164" s="1056"/>
      <c r="AKD164" s="1056"/>
      <c r="AKE164" s="1056"/>
      <c r="AKF164" s="1056"/>
      <c r="AKG164" s="1056"/>
      <c r="AKH164" s="1056"/>
      <c r="AKI164" s="1056"/>
      <c r="AKJ164" s="1056"/>
      <c r="AKK164" s="1056"/>
      <c r="AKL164" s="1056"/>
      <c r="AKM164" s="1056"/>
      <c r="AKN164" s="1056"/>
      <c r="AKO164" s="1056"/>
      <c r="AKP164" s="1056"/>
      <c r="AKQ164" s="1056"/>
      <c r="AKR164" s="1056"/>
      <c r="AKS164" s="1056"/>
      <c r="AKT164" s="1056"/>
      <c r="AKU164" s="1056"/>
      <c r="AKV164" s="1056"/>
      <c r="AKW164" s="1056"/>
      <c r="AKX164" s="1056"/>
      <c r="AKY164" s="1056"/>
      <c r="AKZ164" s="1056"/>
      <c r="ALA164" s="1056"/>
      <c r="ALB164" s="1056"/>
      <c r="ALC164" s="1056"/>
      <c r="ALD164" s="1056"/>
      <c r="ALE164" s="1056"/>
      <c r="ALF164" s="1056"/>
      <c r="ALG164" s="1056"/>
      <c r="ALH164" s="1056"/>
      <c r="ALI164" s="1056"/>
      <c r="ALJ164" s="1056"/>
      <c r="ALK164" s="1056"/>
      <c r="ALL164" s="1056"/>
      <c r="ALM164" s="1056"/>
      <c r="ALN164" s="1056"/>
      <c r="ALO164" s="1056"/>
      <c r="ALP164" s="1056"/>
      <c r="ALQ164" s="1056"/>
      <c r="ALR164" s="1056"/>
      <c r="ALS164" s="1056"/>
      <c r="ALT164" s="1056"/>
      <c r="ALU164" s="1056"/>
      <c r="ALV164" s="1056"/>
      <c r="ALW164" s="1056"/>
      <c r="ALX164" s="1056"/>
      <c r="ALY164" s="1056"/>
      <c r="ALZ164" s="1056"/>
      <c r="AMA164" s="1056"/>
      <c r="AMB164" s="1056"/>
      <c r="AMC164" s="1056"/>
      <c r="AMD164" s="1056"/>
      <c r="AME164" s="1056"/>
      <c r="AMF164" s="1056"/>
      <c r="AMG164" s="1056"/>
      <c r="AMH164" s="1056"/>
      <c r="AMI164" s="1056"/>
      <c r="AMJ164" s="1056"/>
      <c r="AMK164" s="1056"/>
      <c r="AML164" s="1056"/>
      <c r="AMM164" s="1056"/>
      <c r="AMN164" s="1056"/>
      <c r="AMO164" s="1056"/>
      <c r="AMP164" s="1056"/>
      <c r="AMQ164" s="1056"/>
      <c r="AMR164" s="1056"/>
      <c r="AMS164" s="1056"/>
      <c r="AMT164" s="1056"/>
      <c r="AMU164" s="1056"/>
      <c r="AMV164" s="1056"/>
      <c r="AMW164" s="1056"/>
      <c r="AMX164" s="1056"/>
      <c r="AMY164" s="1056"/>
      <c r="AMZ164" s="1056"/>
      <c r="ANA164" s="1056"/>
      <c r="ANB164" s="1056"/>
      <c r="ANC164" s="1056"/>
      <c r="AND164" s="1056"/>
      <c r="ANE164" s="1056"/>
      <c r="ANF164" s="1056"/>
      <c r="ANG164" s="1056"/>
      <c r="ANH164" s="1056"/>
      <c r="ANI164" s="1056"/>
      <c r="ANJ164" s="1056"/>
      <c r="ANK164" s="1056"/>
      <c r="ANL164" s="1056"/>
      <c r="ANM164" s="1056"/>
      <c r="ANN164" s="1056"/>
      <c r="ANO164" s="1056"/>
      <c r="ANP164" s="1056"/>
      <c r="ANQ164" s="1056"/>
      <c r="ANR164" s="1056"/>
      <c r="ANS164" s="1056"/>
      <c r="ANT164" s="1056"/>
      <c r="ANU164" s="1056"/>
      <c r="ANV164" s="1056"/>
      <c r="ANW164" s="1056"/>
      <c r="ANX164" s="1056"/>
      <c r="ANY164" s="1056"/>
      <c r="ANZ164" s="1056"/>
      <c r="AOA164" s="1056"/>
      <c r="AOB164" s="1056"/>
      <c r="AOC164" s="1056"/>
      <c r="AOD164" s="1056"/>
      <c r="AOE164" s="1056"/>
      <c r="AOF164" s="1056"/>
      <c r="AOG164" s="1056"/>
      <c r="AOH164" s="1056"/>
      <c r="AOI164" s="1056"/>
      <c r="AOJ164" s="1056"/>
      <c r="AOK164" s="1056"/>
      <c r="AOL164" s="1056"/>
      <c r="AOM164" s="1056"/>
      <c r="AON164" s="1056"/>
      <c r="AOO164" s="1056"/>
      <c r="AOP164" s="1056"/>
      <c r="AOQ164" s="1056"/>
      <c r="AOR164" s="1056"/>
      <c r="AOS164" s="1056"/>
      <c r="AOT164" s="1056"/>
      <c r="AOU164" s="1056"/>
      <c r="AOV164" s="1056"/>
      <c r="AOW164" s="1056"/>
      <c r="AOX164" s="1056"/>
      <c r="AOY164" s="1056"/>
      <c r="AOZ164" s="1056"/>
      <c r="APA164" s="1056"/>
      <c r="APB164" s="1056"/>
      <c r="APC164" s="1056"/>
      <c r="APD164" s="1056"/>
      <c r="APE164" s="1056"/>
      <c r="APF164" s="1056"/>
      <c r="APG164" s="1056"/>
      <c r="APH164" s="1056"/>
      <c r="API164" s="1056"/>
      <c r="APJ164" s="1056"/>
      <c r="APK164" s="1056"/>
      <c r="APL164" s="1056"/>
      <c r="APM164" s="1056"/>
      <c r="APN164" s="1056"/>
      <c r="APO164" s="1056"/>
      <c r="APP164" s="1056"/>
      <c r="APQ164" s="1056"/>
      <c r="APR164" s="1056"/>
      <c r="APS164" s="1056"/>
      <c r="APT164" s="1056"/>
      <c r="APU164" s="1056"/>
      <c r="APV164" s="1056"/>
      <c r="APW164" s="1056"/>
      <c r="APX164" s="1056"/>
      <c r="APY164" s="1056"/>
      <c r="APZ164" s="1056"/>
      <c r="AQA164" s="1056"/>
      <c r="AQB164" s="1056"/>
      <c r="AQC164" s="1056"/>
      <c r="AQD164" s="1056"/>
      <c r="AQE164" s="1056"/>
      <c r="AQF164" s="1056"/>
      <c r="AQG164" s="1056"/>
      <c r="AQH164" s="1056"/>
      <c r="AQI164" s="1056"/>
      <c r="AQJ164" s="1056"/>
      <c r="AQK164" s="1056"/>
      <c r="AQL164" s="1056"/>
      <c r="AQM164" s="1056"/>
      <c r="AQN164" s="1056"/>
      <c r="AQO164" s="1056"/>
      <c r="AQP164" s="1056"/>
      <c r="AQQ164" s="1056"/>
      <c r="AQR164" s="1056"/>
      <c r="AQS164" s="1056"/>
      <c r="AQT164" s="1056"/>
      <c r="AQU164" s="1056"/>
      <c r="AQV164" s="1056"/>
      <c r="AQW164" s="1056"/>
      <c r="AQX164" s="1056"/>
      <c r="AQY164" s="1056"/>
      <c r="AQZ164" s="1056"/>
      <c r="ARA164" s="1056"/>
      <c r="ARB164" s="1056"/>
      <c r="ARC164" s="1056"/>
      <c r="ARD164" s="1056"/>
      <c r="ARE164" s="1056"/>
      <c r="ARF164" s="1056"/>
      <c r="ARG164" s="1056"/>
      <c r="ARH164" s="1056"/>
      <c r="ARI164" s="1056"/>
      <c r="ARJ164" s="1056"/>
      <c r="ARK164" s="1056"/>
      <c r="ARL164" s="1056"/>
      <c r="ARM164" s="1056"/>
      <c r="ARN164" s="1056"/>
      <c r="ARO164" s="1056"/>
      <c r="ARP164" s="1056"/>
      <c r="ARQ164" s="1056"/>
      <c r="ARR164" s="1056"/>
      <c r="ARS164" s="1056"/>
      <c r="ART164" s="1056"/>
      <c r="ARU164" s="1056"/>
      <c r="ARV164" s="1056"/>
      <c r="ARW164" s="1056"/>
      <c r="ARX164" s="1056"/>
      <c r="ARY164" s="1056"/>
      <c r="ARZ164" s="1056"/>
      <c r="ASA164" s="1056"/>
      <c r="ASB164" s="1056"/>
      <c r="ASC164" s="1056"/>
      <c r="ASD164" s="1056"/>
      <c r="ASE164" s="1056"/>
      <c r="ASF164" s="1056"/>
      <c r="ASG164" s="1056"/>
      <c r="ASH164" s="1056"/>
      <c r="ASI164" s="1056"/>
      <c r="ASJ164" s="1056"/>
      <c r="ASK164" s="1056"/>
      <c r="ASL164" s="1056"/>
      <c r="ASM164" s="1056"/>
      <c r="ASN164" s="1056"/>
      <c r="ASO164" s="1056"/>
      <c r="ASP164" s="1056"/>
      <c r="ASQ164" s="1056"/>
      <c r="ASR164" s="1056"/>
      <c r="ASS164" s="1056"/>
      <c r="AST164" s="1056"/>
      <c r="ASU164" s="1056"/>
      <c r="ASV164" s="1056"/>
      <c r="ASW164" s="1056"/>
      <c r="ASX164" s="1056"/>
      <c r="ASY164" s="1056"/>
      <c r="ASZ164" s="1056"/>
      <c r="ATA164" s="1056"/>
      <c r="ATB164" s="1056"/>
      <c r="ATC164" s="1056"/>
      <c r="ATD164" s="1056"/>
      <c r="ATE164" s="1056"/>
      <c r="ATF164" s="1056"/>
      <c r="ATG164" s="1056"/>
      <c r="ATH164" s="1056"/>
      <c r="ATI164" s="1056"/>
      <c r="ATJ164" s="1056"/>
      <c r="ATK164" s="1056"/>
      <c r="ATL164" s="1056"/>
      <c r="ATM164" s="1056"/>
      <c r="ATN164" s="1056"/>
      <c r="ATO164" s="1056"/>
      <c r="ATP164" s="1056"/>
      <c r="ATQ164" s="1056"/>
      <c r="ATR164" s="1056"/>
      <c r="ATS164" s="1056"/>
      <c r="ATT164" s="1056"/>
      <c r="ATU164" s="1056"/>
      <c r="ATV164" s="1056"/>
      <c r="ATW164" s="1056"/>
      <c r="ATX164" s="1056"/>
      <c r="ATY164" s="1056"/>
      <c r="ATZ164" s="1056"/>
      <c r="AUA164" s="1056"/>
      <c r="AUB164" s="1056"/>
      <c r="AUC164" s="1056"/>
      <c r="AUD164" s="1056"/>
      <c r="AUE164" s="1056"/>
      <c r="AUF164" s="1056"/>
      <c r="AUG164" s="1056"/>
      <c r="AUH164" s="1056"/>
      <c r="AUI164" s="1056"/>
      <c r="AUJ164" s="1056"/>
      <c r="AUK164" s="1056"/>
      <c r="AUL164" s="1056"/>
      <c r="AUM164" s="1056"/>
      <c r="AUN164" s="1056"/>
      <c r="AUO164" s="1056"/>
      <c r="AUP164" s="1056"/>
      <c r="AUQ164" s="1056"/>
      <c r="AUR164" s="1056"/>
      <c r="AUS164" s="1056"/>
      <c r="AUT164" s="1056"/>
      <c r="AUU164" s="1056"/>
      <c r="AUV164" s="1056"/>
      <c r="AUW164" s="1056"/>
      <c r="AUX164" s="1056"/>
      <c r="AUY164" s="1056"/>
      <c r="AUZ164" s="1056"/>
      <c r="AVA164" s="1056"/>
      <c r="AVB164" s="1056"/>
      <c r="AVC164" s="1056"/>
      <c r="AVD164" s="1056"/>
      <c r="AVE164" s="1056"/>
      <c r="AVF164" s="1056"/>
      <c r="AVG164" s="1056"/>
      <c r="AVH164" s="1056"/>
      <c r="AVI164" s="1056"/>
      <c r="AVJ164" s="1056"/>
      <c r="AVK164" s="1056"/>
      <c r="AVL164" s="1056"/>
      <c r="AVM164" s="1056"/>
      <c r="AVN164" s="1056"/>
      <c r="AVO164" s="1056"/>
      <c r="AVP164" s="1056"/>
      <c r="AVQ164" s="1056"/>
      <c r="AVR164" s="1056"/>
      <c r="AVS164" s="1056"/>
      <c r="AVT164" s="1056"/>
      <c r="AVU164" s="1056"/>
      <c r="AVV164" s="1056"/>
      <c r="AVW164" s="1056"/>
      <c r="AVX164" s="1056"/>
      <c r="AVY164" s="1056"/>
      <c r="AVZ164" s="1056"/>
      <c r="AWA164" s="1056"/>
      <c r="AWB164" s="1056"/>
      <c r="AWC164" s="1056"/>
      <c r="AWD164" s="1056"/>
      <c r="AWE164" s="1056"/>
      <c r="AWF164" s="1056"/>
      <c r="AWG164" s="1056"/>
      <c r="AWH164" s="1056"/>
      <c r="AWI164" s="1056"/>
      <c r="AWJ164" s="1056"/>
      <c r="AWK164" s="1056"/>
      <c r="AWL164" s="1056"/>
      <c r="AWM164" s="1056"/>
      <c r="AWN164" s="1056"/>
      <c r="AWO164" s="1056"/>
      <c r="AWP164" s="1056"/>
      <c r="AWQ164" s="1056"/>
      <c r="AWR164" s="1056"/>
      <c r="AWS164" s="1056"/>
      <c r="AWT164" s="1056"/>
      <c r="AWU164" s="1056"/>
      <c r="AWV164" s="1056"/>
      <c r="AWW164" s="1056"/>
      <c r="AWX164" s="1056"/>
      <c r="AWY164" s="1056"/>
      <c r="AWZ164" s="1056"/>
      <c r="AXA164" s="1056"/>
      <c r="AXB164" s="1056"/>
      <c r="AXC164" s="1056"/>
      <c r="AXD164" s="1056"/>
      <c r="AXE164" s="1056"/>
      <c r="AXF164" s="1056"/>
      <c r="AXG164" s="1056"/>
      <c r="AXH164" s="1056"/>
      <c r="AXI164" s="1056"/>
      <c r="AXJ164" s="1056"/>
      <c r="AXK164" s="1056"/>
      <c r="AXL164" s="1056"/>
      <c r="AXM164" s="1056"/>
      <c r="AXN164" s="1056"/>
      <c r="AXO164" s="1056"/>
      <c r="AXP164" s="1056"/>
      <c r="AXQ164" s="1056"/>
      <c r="AXR164" s="1056"/>
      <c r="AXS164" s="1056"/>
      <c r="AXT164" s="1056"/>
      <c r="AXU164" s="1056"/>
      <c r="AXV164" s="1056"/>
      <c r="AXW164" s="1056"/>
      <c r="AXX164" s="1056"/>
      <c r="AXY164" s="1056"/>
      <c r="AXZ164" s="1056"/>
      <c r="AYA164" s="1056"/>
      <c r="AYB164" s="1056"/>
      <c r="AYC164" s="1056"/>
      <c r="AYD164" s="1056"/>
      <c r="AYE164" s="1056"/>
      <c r="AYF164" s="1056"/>
      <c r="AYG164" s="1056"/>
      <c r="AYH164" s="1056"/>
      <c r="AYI164" s="1056"/>
      <c r="AYJ164" s="1056"/>
      <c r="AYK164" s="1056"/>
      <c r="AYL164" s="1056"/>
      <c r="AYM164" s="1056"/>
      <c r="AYN164" s="1056"/>
      <c r="AYO164" s="1056"/>
      <c r="AYP164" s="1056"/>
      <c r="AYQ164" s="1056"/>
      <c r="AYR164" s="1056"/>
      <c r="AYS164" s="1056"/>
      <c r="AYT164" s="1056"/>
      <c r="AYU164" s="1056"/>
      <c r="AYV164" s="1056"/>
      <c r="AYW164" s="1056"/>
      <c r="AYX164" s="1056"/>
      <c r="AYY164" s="1056"/>
      <c r="AYZ164" s="1056"/>
      <c r="AZA164" s="1056"/>
      <c r="AZB164" s="1056"/>
      <c r="AZC164" s="1056"/>
      <c r="AZD164" s="1056"/>
      <c r="AZE164" s="1056"/>
      <c r="AZF164" s="1056"/>
      <c r="AZG164" s="1056"/>
      <c r="AZH164" s="1056"/>
      <c r="AZI164" s="1056"/>
      <c r="AZJ164" s="1056"/>
      <c r="AZK164" s="1056"/>
      <c r="AZL164" s="1056"/>
      <c r="AZM164" s="1056"/>
      <c r="AZN164" s="1056"/>
      <c r="AZO164" s="1056"/>
      <c r="AZP164" s="1056"/>
      <c r="AZQ164" s="1056"/>
      <c r="AZR164" s="1056"/>
      <c r="AZS164" s="1056"/>
      <c r="AZT164" s="1056"/>
      <c r="AZU164" s="1056"/>
      <c r="AZV164" s="1056"/>
      <c r="AZW164" s="1056"/>
      <c r="AZX164" s="1056"/>
      <c r="AZY164" s="1056"/>
      <c r="AZZ164" s="1056"/>
      <c r="BAA164" s="1056"/>
      <c r="BAB164" s="1056"/>
      <c r="BAC164" s="1056"/>
      <c r="BAD164" s="1056"/>
      <c r="BAE164" s="1056"/>
      <c r="BAF164" s="1056"/>
      <c r="BAG164" s="1056"/>
      <c r="BAH164" s="1056"/>
      <c r="BAI164" s="1056"/>
      <c r="BAJ164" s="1056"/>
      <c r="BAK164" s="1056"/>
      <c r="BAL164" s="1056"/>
      <c r="BAM164" s="1056"/>
      <c r="BAN164" s="1056"/>
      <c r="BAO164" s="1056"/>
      <c r="BAP164" s="1056"/>
      <c r="BAQ164" s="1056"/>
      <c r="BAR164" s="1056"/>
      <c r="BAS164" s="1056"/>
      <c r="BAT164" s="1056"/>
      <c r="BAU164" s="1056"/>
      <c r="BAV164" s="1056"/>
      <c r="BAW164" s="1056"/>
      <c r="BAX164" s="1056"/>
      <c r="BAY164" s="1056"/>
      <c r="BAZ164" s="1056"/>
      <c r="BBA164" s="1056"/>
      <c r="BBB164" s="1056"/>
      <c r="BBC164" s="1056"/>
      <c r="BBD164" s="1056"/>
      <c r="BBE164" s="1056"/>
      <c r="BBF164" s="1056"/>
      <c r="BBG164" s="1056"/>
      <c r="BBH164" s="1056"/>
      <c r="BBI164" s="1056"/>
      <c r="BBJ164" s="1056"/>
      <c r="BBK164" s="1056"/>
      <c r="BBL164" s="1056"/>
      <c r="BBM164" s="1056"/>
      <c r="BBN164" s="1056"/>
      <c r="BBO164" s="1056"/>
      <c r="BBP164" s="1056"/>
      <c r="BBQ164" s="1056"/>
      <c r="BBR164" s="1056"/>
      <c r="BBS164" s="1056"/>
      <c r="BBT164" s="1056"/>
      <c r="BBU164" s="1056"/>
      <c r="BBV164" s="1056"/>
      <c r="BBW164" s="1056"/>
      <c r="BBX164" s="1056"/>
      <c r="BBY164" s="1056"/>
      <c r="BBZ164" s="1056"/>
      <c r="BCA164" s="1056"/>
      <c r="BCB164" s="1056"/>
      <c r="BCC164" s="1056"/>
      <c r="BCD164" s="1056"/>
      <c r="BCE164" s="1056"/>
      <c r="BCF164" s="1056"/>
      <c r="BCG164" s="1056"/>
      <c r="BCH164" s="1056"/>
      <c r="BCI164" s="1056"/>
      <c r="BCJ164" s="1056"/>
      <c r="BCK164" s="1056"/>
      <c r="BCL164" s="1056"/>
      <c r="BCM164" s="1056"/>
      <c r="BCN164" s="1056"/>
      <c r="BCO164" s="1056"/>
      <c r="BCP164" s="1056"/>
      <c r="BCQ164" s="1056"/>
      <c r="BCR164" s="1056"/>
      <c r="BCS164" s="1056"/>
      <c r="BCT164" s="1056"/>
      <c r="BCU164" s="1056"/>
      <c r="BCV164" s="1056"/>
      <c r="BCW164" s="1056"/>
      <c r="BCX164" s="1056"/>
      <c r="BCY164" s="1056"/>
      <c r="BCZ164" s="1056"/>
      <c r="BDA164" s="1056"/>
      <c r="BDB164" s="1056"/>
      <c r="BDC164" s="1056"/>
      <c r="BDD164" s="1056"/>
      <c r="BDE164" s="1056"/>
      <c r="BDF164" s="1056"/>
      <c r="BDG164" s="1056"/>
      <c r="BDH164" s="1056"/>
      <c r="BDI164" s="1056"/>
      <c r="BDJ164" s="1056"/>
      <c r="BDK164" s="1056"/>
      <c r="BDL164" s="1056"/>
      <c r="BDM164" s="1056"/>
      <c r="BDN164" s="1056"/>
      <c r="BDO164" s="1056"/>
      <c r="BDP164" s="1056"/>
      <c r="BDQ164" s="1056"/>
      <c r="BDR164" s="1056"/>
      <c r="BDS164" s="1056"/>
      <c r="BDT164" s="1056"/>
      <c r="BDU164" s="1056"/>
      <c r="BDV164" s="1056"/>
      <c r="BDW164" s="1056"/>
      <c r="BDX164" s="1056"/>
      <c r="BDY164" s="1056"/>
      <c r="BDZ164" s="1056"/>
      <c r="BEA164" s="1056"/>
      <c r="BEB164" s="1056"/>
      <c r="BEC164" s="1056"/>
      <c r="BED164" s="1056"/>
      <c r="BEE164" s="1056"/>
      <c r="BEF164" s="1056"/>
      <c r="BEG164" s="1056"/>
      <c r="BEH164" s="1056"/>
      <c r="BEI164" s="1056"/>
      <c r="BEJ164" s="1056"/>
      <c r="BEK164" s="1056"/>
      <c r="BEL164" s="1056"/>
      <c r="BEM164" s="1056"/>
      <c r="BEN164" s="1056"/>
      <c r="BEO164" s="1056"/>
      <c r="BEP164" s="1056"/>
      <c r="BEQ164" s="1056"/>
      <c r="BER164" s="1056"/>
      <c r="BES164" s="1056"/>
      <c r="BET164" s="1056"/>
      <c r="BEU164" s="1056"/>
      <c r="BEV164" s="1056"/>
      <c r="BEW164" s="1056"/>
      <c r="BEX164" s="1056"/>
      <c r="BEY164" s="1056"/>
      <c r="BEZ164" s="1056"/>
      <c r="BFA164" s="1056"/>
      <c r="BFB164" s="1056"/>
      <c r="BFC164" s="1056"/>
      <c r="BFD164" s="1056"/>
      <c r="BFE164" s="1056"/>
      <c r="BFF164" s="1056"/>
      <c r="BFG164" s="1056"/>
      <c r="BFH164" s="1056"/>
      <c r="BFI164" s="1056"/>
      <c r="BFJ164" s="1056"/>
      <c r="BFK164" s="1056"/>
      <c r="BFL164" s="1056"/>
      <c r="BFM164" s="1056"/>
      <c r="BFN164" s="1056"/>
      <c r="BFO164" s="1056"/>
      <c r="BFP164" s="1056"/>
      <c r="BFQ164" s="1056"/>
      <c r="BFR164" s="1056"/>
      <c r="BFS164" s="1056"/>
      <c r="BFT164" s="1056"/>
      <c r="BFU164" s="1056"/>
      <c r="BFV164" s="1056"/>
      <c r="BFW164" s="1056"/>
      <c r="BFX164" s="1056"/>
      <c r="BFY164" s="1056"/>
      <c r="BFZ164" s="1056"/>
      <c r="BGA164" s="1056"/>
      <c r="BGB164" s="1056"/>
      <c r="BGC164" s="1056"/>
      <c r="BGD164" s="1056"/>
      <c r="BGE164" s="1056"/>
      <c r="BGF164" s="1056"/>
      <c r="BGG164" s="1056"/>
      <c r="BGH164" s="1056"/>
      <c r="BGI164" s="1056"/>
      <c r="BGJ164" s="1056"/>
      <c r="BGK164" s="1056"/>
      <c r="BGL164" s="1056"/>
      <c r="BGM164" s="1056"/>
      <c r="BGN164" s="1056"/>
      <c r="BGO164" s="1056"/>
      <c r="BGP164" s="1056"/>
      <c r="BGQ164" s="1056"/>
      <c r="BGR164" s="1056"/>
      <c r="BGS164" s="1056"/>
      <c r="BGT164" s="1056"/>
      <c r="BGU164" s="1056"/>
      <c r="BGV164" s="1056"/>
      <c r="BGW164" s="1056"/>
      <c r="BGX164" s="1056"/>
      <c r="BGY164" s="1056"/>
      <c r="BGZ164" s="1056"/>
      <c r="BHA164" s="1056"/>
      <c r="BHB164" s="1056"/>
      <c r="BHC164" s="1056"/>
      <c r="BHD164" s="1056"/>
      <c r="BHE164" s="1056"/>
      <c r="BHF164" s="1056"/>
      <c r="BHG164" s="1056"/>
      <c r="BHH164" s="1056"/>
      <c r="BHI164" s="1056"/>
      <c r="BHJ164" s="1056"/>
      <c r="BHK164" s="1056"/>
      <c r="BHL164" s="1056"/>
      <c r="BHM164" s="1056"/>
      <c r="BHN164" s="1056"/>
      <c r="BHO164" s="1056"/>
      <c r="BHP164" s="1056"/>
      <c r="BHQ164" s="1056"/>
      <c r="BHR164" s="1056"/>
      <c r="BHS164" s="1056"/>
      <c r="BHT164" s="1056"/>
      <c r="BHU164" s="1056"/>
      <c r="BHV164" s="1056"/>
      <c r="BHW164" s="1056"/>
      <c r="BHX164" s="1056"/>
      <c r="BHY164" s="1056"/>
      <c r="BHZ164" s="1056"/>
      <c r="BIA164" s="1056"/>
      <c r="BIB164" s="1056"/>
      <c r="BIC164" s="1056"/>
      <c r="BID164" s="1056"/>
      <c r="BIE164" s="1056"/>
      <c r="BIF164" s="1056"/>
      <c r="BIG164" s="1056"/>
      <c r="BIH164" s="1056"/>
      <c r="BII164" s="1056"/>
      <c r="BIJ164" s="1056"/>
      <c r="BIK164" s="1056"/>
      <c r="BIL164" s="1056"/>
      <c r="BIM164" s="1056"/>
      <c r="BIN164" s="1056"/>
      <c r="BIO164" s="1056"/>
      <c r="BIP164" s="1056"/>
      <c r="BIQ164" s="1056"/>
      <c r="BIR164" s="1056"/>
      <c r="BIS164" s="1056"/>
      <c r="BIT164" s="1056"/>
      <c r="BIU164" s="1056"/>
      <c r="BIV164" s="1056"/>
      <c r="BIW164" s="1056"/>
      <c r="BIX164" s="1056"/>
      <c r="BIY164" s="1056"/>
      <c r="BIZ164" s="1056"/>
      <c r="BJA164" s="1056"/>
      <c r="BJB164" s="1056"/>
      <c r="BJC164" s="1056"/>
      <c r="BJD164" s="1056"/>
      <c r="BJE164" s="1056"/>
      <c r="BJF164" s="1056"/>
      <c r="BJG164" s="1056"/>
      <c r="BJH164" s="1056"/>
      <c r="BJI164" s="1056"/>
      <c r="BJJ164" s="1056"/>
      <c r="BJK164" s="1056"/>
      <c r="BJL164" s="1056"/>
      <c r="BJM164" s="1056"/>
      <c r="BJN164" s="1056"/>
      <c r="BJO164" s="1056"/>
      <c r="BJP164" s="1056"/>
      <c r="BJQ164" s="1056"/>
      <c r="BJR164" s="1056"/>
      <c r="BJS164" s="1056"/>
      <c r="BJT164" s="1056"/>
      <c r="BJU164" s="1056"/>
      <c r="BJV164" s="1056"/>
      <c r="BJW164" s="1056"/>
      <c r="BJX164" s="1056"/>
      <c r="BJY164" s="1056"/>
      <c r="BJZ164" s="1056"/>
      <c r="BKA164" s="1056"/>
      <c r="BKB164" s="1056"/>
      <c r="BKC164" s="1056"/>
      <c r="BKD164" s="1056"/>
      <c r="BKE164" s="1056"/>
      <c r="BKF164" s="1056"/>
      <c r="BKG164" s="1056"/>
      <c r="BKH164" s="1056"/>
      <c r="BKI164" s="1056"/>
      <c r="BKJ164" s="1056"/>
      <c r="BKK164" s="1056"/>
      <c r="BKL164" s="1056"/>
      <c r="BKM164" s="1056"/>
      <c r="BKN164" s="1056"/>
      <c r="BKO164" s="1056"/>
      <c r="BKP164" s="1056"/>
      <c r="BKQ164" s="1056"/>
      <c r="BKR164" s="1056"/>
      <c r="BKS164" s="1056"/>
      <c r="BKT164" s="1056"/>
      <c r="BKU164" s="1056"/>
      <c r="BKV164" s="1056"/>
      <c r="BKW164" s="1056"/>
      <c r="BKX164" s="1056"/>
      <c r="BKY164" s="1056"/>
      <c r="BKZ164" s="1056"/>
      <c r="BLA164" s="1056"/>
      <c r="BLB164" s="1056"/>
      <c r="BLC164" s="1056"/>
      <c r="BLD164" s="1056"/>
      <c r="BLE164" s="1056"/>
      <c r="BLF164" s="1056"/>
      <c r="BLG164" s="1056"/>
      <c r="BLH164" s="1056"/>
      <c r="BLI164" s="1056"/>
      <c r="BLJ164" s="1056"/>
      <c r="BLK164" s="1056"/>
      <c r="BLL164" s="1056"/>
      <c r="BLM164" s="1056"/>
      <c r="BLN164" s="1056"/>
      <c r="BLO164" s="1056"/>
      <c r="BLP164" s="1056"/>
      <c r="BLQ164" s="1056"/>
      <c r="BLR164" s="1056"/>
      <c r="BLS164" s="1056"/>
      <c r="BLT164" s="1056"/>
      <c r="BLU164" s="1056"/>
      <c r="BLV164" s="1056"/>
      <c r="BLW164" s="1056"/>
      <c r="BLX164" s="1056"/>
      <c r="BLY164" s="1056"/>
      <c r="BLZ164" s="1056"/>
      <c r="BMA164" s="1056"/>
      <c r="BMB164" s="1056"/>
      <c r="BMC164" s="1056"/>
      <c r="BMD164" s="1056"/>
      <c r="BME164" s="1056"/>
      <c r="BMF164" s="1056"/>
      <c r="BMG164" s="1056"/>
      <c r="BMH164" s="1056"/>
      <c r="BMI164" s="1056"/>
      <c r="BMJ164" s="1056"/>
      <c r="BMK164" s="1056"/>
      <c r="BML164" s="1056"/>
      <c r="BMM164" s="1056"/>
      <c r="BMN164" s="1056"/>
      <c r="BMO164" s="1056"/>
      <c r="BMP164" s="1056"/>
      <c r="BMQ164" s="1056"/>
      <c r="BMR164" s="1056"/>
      <c r="BMS164" s="1056"/>
      <c r="BMT164" s="1056"/>
      <c r="BMU164" s="1056"/>
      <c r="BMV164" s="1056"/>
      <c r="BMW164" s="1056"/>
      <c r="BMX164" s="1056"/>
      <c r="BMY164" s="1056"/>
      <c r="BMZ164" s="1056"/>
      <c r="BNA164" s="1056"/>
      <c r="BNB164" s="1056"/>
      <c r="BNC164" s="1056"/>
      <c r="BND164" s="1056"/>
      <c r="BNE164" s="1056"/>
      <c r="BNF164" s="1056"/>
      <c r="BNG164" s="1056"/>
      <c r="BNH164" s="1056"/>
      <c r="BNI164" s="1056"/>
      <c r="BNJ164" s="1056"/>
      <c r="BNK164" s="1056"/>
      <c r="BNL164" s="1056"/>
      <c r="BNM164" s="1056"/>
      <c r="BNN164" s="1056"/>
      <c r="BNO164" s="1056"/>
      <c r="BNP164" s="1056"/>
      <c r="BNQ164" s="1056"/>
      <c r="BNR164" s="1056"/>
      <c r="BNS164" s="1056"/>
      <c r="BNT164" s="1056"/>
      <c r="BNU164" s="1056"/>
      <c r="BNV164" s="1056"/>
      <c r="BNW164" s="1056"/>
      <c r="BNX164" s="1056"/>
      <c r="BNY164" s="1056"/>
      <c r="BNZ164" s="1056"/>
      <c r="BOA164" s="1056"/>
      <c r="BOB164" s="1056"/>
      <c r="BOC164" s="1056"/>
      <c r="BOD164" s="1056"/>
      <c r="BOE164" s="1056"/>
      <c r="BOF164" s="1056"/>
      <c r="BOG164" s="1056"/>
      <c r="BOH164" s="1056"/>
      <c r="BOI164" s="1056"/>
      <c r="BOJ164" s="1056"/>
      <c r="BOK164" s="1056"/>
      <c r="BOL164" s="1056"/>
      <c r="BOM164" s="1056"/>
      <c r="BON164" s="1056"/>
      <c r="BOO164" s="1056"/>
      <c r="BOP164" s="1056"/>
      <c r="BOQ164" s="1056"/>
      <c r="BOR164" s="1056"/>
      <c r="BOS164" s="1056"/>
      <c r="BOT164" s="1056"/>
      <c r="BOU164" s="1056"/>
      <c r="BOV164" s="1056"/>
      <c r="BOW164" s="1056"/>
      <c r="BOX164" s="1056"/>
      <c r="BOY164" s="1056"/>
      <c r="BOZ164" s="1056"/>
      <c r="BPA164" s="1056"/>
      <c r="BPB164" s="1056"/>
      <c r="BPC164" s="1056"/>
      <c r="BPD164" s="1056"/>
      <c r="BPE164" s="1056"/>
      <c r="BPF164" s="1056"/>
      <c r="BPG164" s="1056"/>
      <c r="BPH164" s="1056"/>
      <c r="BPI164" s="1056"/>
      <c r="BPJ164" s="1056"/>
      <c r="BPK164" s="1056"/>
      <c r="BPL164" s="1056"/>
      <c r="BPM164" s="1056"/>
      <c r="BPN164" s="1056"/>
      <c r="BPO164" s="1056"/>
      <c r="BPP164" s="1056"/>
      <c r="BPQ164" s="1056"/>
      <c r="BPR164" s="1056"/>
      <c r="BPS164" s="1056"/>
      <c r="BPT164" s="1056"/>
      <c r="BPU164" s="1056"/>
      <c r="BPV164" s="1056"/>
      <c r="BPW164" s="1056"/>
      <c r="BPX164" s="1056"/>
      <c r="BPY164" s="1056"/>
      <c r="BPZ164" s="1056"/>
      <c r="BQA164" s="1056"/>
      <c r="BQB164" s="1056"/>
      <c r="BQC164" s="1056"/>
      <c r="BQD164" s="1056"/>
      <c r="BQE164" s="1056"/>
      <c r="BQF164" s="1056"/>
      <c r="BQG164" s="1056"/>
      <c r="BQH164" s="1056"/>
      <c r="BQI164" s="1056"/>
      <c r="BQJ164" s="1056"/>
      <c r="BQK164" s="1056"/>
      <c r="BQL164" s="1056"/>
      <c r="BQM164" s="1056"/>
      <c r="BQN164" s="1056"/>
      <c r="BQO164" s="1056"/>
      <c r="BQP164" s="1056"/>
      <c r="BQQ164" s="1056"/>
      <c r="BQR164" s="1056"/>
      <c r="BQS164" s="1056"/>
      <c r="BQT164" s="1056"/>
      <c r="BQU164" s="1056"/>
      <c r="BQV164" s="1056"/>
      <c r="BQW164" s="1056"/>
      <c r="BQX164" s="1056"/>
      <c r="BQY164" s="1056"/>
      <c r="BQZ164" s="1056"/>
      <c r="BRA164" s="1056"/>
      <c r="BRB164" s="1056"/>
      <c r="BRC164" s="1056"/>
      <c r="BRD164" s="1056"/>
      <c r="BRE164" s="1056"/>
      <c r="BRF164" s="1056"/>
      <c r="BRG164" s="1056"/>
      <c r="BRH164" s="1056"/>
      <c r="BRI164" s="1056"/>
      <c r="BRJ164" s="1056"/>
      <c r="BRK164" s="1056"/>
      <c r="BRL164" s="1056"/>
      <c r="BRM164" s="1056"/>
      <c r="BRN164" s="1056"/>
      <c r="BRO164" s="1056"/>
      <c r="BRP164" s="1056"/>
      <c r="BRQ164" s="1056"/>
      <c r="BRR164" s="1056"/>
      <c r="BRS164" s="1056"/>
      <c r="BRT164" s="1056"/>
      <c r="BRU164" s="1056"/>
      <c r="BRV164" s="1056"/>
      <c r="BRW164" s="1056"/>
      <c r="BRX164" s="1056"/>
      <c r="BRY164" s="1056"/>
      <c r="BRZ164" s="1056"/>
      <c r="BSA164" s="1056"/>
      <c r="BSB164" s="1056"/>
      <c r="BSC164" s="1056"/>
      <c r="BSD164" s="1056"/>
      <c r="BSE164" s="1056"/>
      <c r="BSF164" s="1056"/>
      <c r="BSG164" s="1056"/>
      <c r="BSH164" s="1056"/>
      <c r="BSI164" s="1056"/>
      <c r="BSJ164" s="1056"/>
      <c r="BSK164" s="1056"/>
      <c r="BSL164" s="1056"/>
      <c r="BSM164" s="1056"/>
      <c r="BSN164" s="1056"/>
      <c r="BSO164" s="1056"/>
      <c r="BSP164" s="1056"/>
      <c r="BSQ164" s="1056"/>
      <c r="BSR164" s="1056"/>
      <c r="BSS164" s="1056"/>
      <c r="BST164" s="1056"/>
      <c r="BSU164" s="1056"/>
      <c r="BSV164" s="1056"/>
      <c r="BSW164" s="1056"/>
      <c r="BSX164" s="1056"/>
      <c r="BSY164" s="1056"/>
      <c r="BSZ164" s="1056"/>
      <c r="BTA164" s="1056"/>
      <c r="BTB164" s="1056"/>
      <c r="BTC164" s="1056"/>
      <c r="BTD164" s="1056"/>
      <c r="BTE164" s="1056"/>
      <c r="BTF164" s="1056"/>
      <c r="BTG164" s="1056"/>
      <c r="BTH164" s="1056"/>
      <c r="BTI164" s="1056"/>
    </row>
    <row r="165" spans="1:1881" s="1060" customFormat="1" ht="108" hidden="1" customHeight="1" x14ac:dyDescent="0.3">
      <c r="A165" s="333">
        <v>644</v>
      </c>
      <c r="B165" s="1093" t="s">
        <v>409</v>
      </c>
      <c r="C165" s="1085" t="s">
        <v>1400</v>
      </c>
      <c r="D165" s="1086" t="s">
        <v>1410</v>
      </c>
      <c r="E165" s="1053" t="e">
        <f>HLOOKUP($D$2,'2020 Data(H)'!$C$1:$AI$426,303,FALSE)</f>
        <v>#N/A</v>
      </c>
      <c r="F165" s="287">
        <v>0</v>
      </c>
      <c r="G165" s="740">
        <f>IF(F165&gt;F160,"Error: Please review components of current liabilities above. Account number 644&gt;639",)</f>
        <v>0</v>
      </c>
      <c r="H165" s="1092"/>
      <c r="I165" s="1092"/>
      <c r="J165" s="1056"/>
      <c r="K165" s="1056"/>
      <c r="L165" s="1056"/>
      <c r="M165" s="1056"/>
      <c r="N165" s="1058"/>
      <c r="O165" s="1056"/>
      <c r="P165" s="1056"/>
      <c r="Q165" s="1056"/>
      <c r="R165" s="1056"/>
      <c r="S165" s="1056"/>
      <c r="T165" s="1056"/>
      <c r="U165" s="1056"/>
      <c r="V165" s="1056"/>
      <c r="W165" s="1056"/>
      <c r="X165" s="1056"/>
      <c r="Y165" s="1056"/>
      <c r="Z165" s="333"/>
      <c r="AA165" s="333"/>
      <c r="AB165" s="333"/>
      <c r="AC165" s="333"/>
      <c r="AD165" s="333"/>
      <c r="AE165" s="333"/>
      <c r="AF165" s="333"/>
      <c r="AG165" s="333"/>
      <c r="AH165" s="333"/>
      <c r="AI165" s="333"/>
      <c r="AJ165" s="333"/>
      <c r="AK165" s="333"/>
      <c r="AL165" s="333"/>
      <c r="AM165" s="333"/>
      <c r="AN165" s="333"/>
      <c r="AO165" s="333"/>
      <c r="AP165" s="333"/>
      <c r="AQ165" s="333"/>
      <c r="AR165" s="333"/>
      <c r="AS165" s="1056"/>
      <c r="AT165" s="1056"/>
      <c r="AU165" s="1056"/>
      <c r="AV165" s="1056"/>
      <c r="AW165" s="1056"/>
      <c r="AX165" s="1056"/>
      <c r="AY165" s="1056"/>
      <c r="AZ165" s="1056"/>
      <c r="BA165" s="1056"/>
      <c r="BB165" s="1056"/>
      <c r="BC165" s="1056"/>
      <c r="BD165" s="1056"/>
      <c r="BE165" s="1056"/>
      <c r="BF165" s="1056"/>
      <c r="BG165" s="1056"/>
      <c r="BH165" s="1056"/>
      <c r="BI165" s="1056"/>
      <c r="BJ165" s="1056"/>
      <c r="BK165" s="1056"/>
      <c r="BL165" s="1056"/>
      <c r="BM165" s="1056"/>
      <c r="BN165" s="1056"/>
      <c r="BO165" s="1056"/>
      <c r="BP165" s="1056"/>
      <c r="BQ165" s="1056"/>
      <c r="BR165" s="1056"/>
      <c r="BS165" s="1056"/>
      <c r="BT165" s="1056"/>
      <c r="BU165" s="1056"/>
      <c r="BV165" s="1056"/>
      <c r="BW165" s="1056"/>
      <c r="BX165" s="1056"/>
      <c r="BY165" s="1056"/>
      <c r="BZ165" s="1056"/>
      <c r="CA165" s="1056"/>
      <c r="CB165" s="1056"/>
      <c r="CC165" s="1056"/>
      <c r="CD165" s="1056"/>
      <c r="CE165" s="1056"/>
      <c r="CF165" s="1056"/>
      <c r="CG165" s="1056"/>
      <c r="CH165" s="1056"/>
      <c r="CI165" s="1056"/>
      <c r="CJ165" s="1056"/>
      <c r="CK165" s="1056"/>
      <c r="CL165" s="1056"/>
      <c r="CM165" s="1056"/>
      <c r="CN165" s="1056"/>
      <c r="CO165" s="1056"/>
      <c r="CP165" s="1056"/>
      <c r="CQ165" s="1056"/>
      <c r="CR165" s="1056"/>
      <c r="CS165" s="1056"/>
      <c r="CT165" s="1056"/>
      <c r="CU165" s="1056"/>
      <c r="CV165" s="1056"/>
      <c r="CW165" s="1056"/>
      <c r="CX165" s="1056"/>
      <c r="CY165" s="1056"/>
      <c r="CZ165" s="1056"/>
      <c r="DA165" s="1056"/>
      <c r="DB165" s="1056"/>
      <c r="DC165" s="1056"/>
      <c r="DD165" s="1056"/>
      <c r="DE165" s="1056"/>
      <c r="DF165" s="1056"/>
      <c r="DG165" s="1056"/>
      <c r="DH165" s="1056"/>
      <c r="DI165" s="1056"/>
      <c r="DJ165" s="1056"/>
      <c r="DK165" s="1056"/>
      <c r="DL165" s="1056"/>
      <c r="DM165" s="1056"/>
      <c r="DN165" s="1056"/>
      <c r="DO165" s="1056"/>
      <c r="DP165" s="1056"/>
      <c r="DQ165" s="1056"/>
      <c r="DR165" s="1056"/>
      <c r="DS165" s="1056"/>
      <c r="DT165" s="1056"/>
      <c r="DU165" s="1056"/>
      <c r="DV165" s="1056"/>
      <c r="DW165" s="1056"/>
      <c r="DX165" s="1056"/>
      <c r="DY165" s="1056"/>
      <c r="DZ165" s="1056"/>
      <c r="EA165" s="1056"/>
      <c r="EB165" s="1056"/>
      <c r="EC165" s="1056"/>
      <c r="ED165" s="1056"/>
      <c r="EE165" s="1056"/>
      <c r="EF165" s="1056"/>
      <c r="EG165" s="1056"/>
      <c r="EH165" s="1056"/>
      <c r="EI165" s="1056"/>
      <c r="EJ165" s="1056"/>
      <c r="EK165" s="1056"/>
      <c r="EL165" s="1056"/>
      <c r="EM165" s="1056"/>
      <c r="EN165" s="1056"/>
      <c r="EO165" s="1056"/>
      <c r="EP165" s="1056"/>
      <c r="EQ165" s="1056"/>
      <c r="ER165" s="1056"/>
      <c r="ES165" s="1056"/>
      <c r="ET165" s="1056"/>
      <c r="EU165" s="1056"/>
      <c r="EV165" s="1056"/>
      <c r="EW165" s="1056"/>
      <c r="EX165" s="1056"/>
      <c r="EY165" s="1056"/>
      <c r="EZ165" s="1056"/>
      <c r="FA165" s="1056"/>
      <c r="FB165" s="1056"/>
      <c r="FC165" s="1056"/>
      <c r="FD165" s="1056"/>
      <c r="FE165" s="1056"/>
      <c r="FF165" s="1056"/>
      <c r="FG165" s="1056"/>
      <c r="FH165" s="1056"/>
      <c r="FI165" s="1056"/>
      <c r="FJ165" s="1056"/>
      <c r="FK165" s="1056"/>
      <c r="FL165" s="1056"/>
      <c r="FM165" s="1056"/>
      <c r="FN165" s="1056"/>
      <c r="FO165" s="1056"/>
      <c r="FP165" s="1056"/>
      <c r="FQ165" s="1056"/>
      <c r="FR165" s="1056"/>
      <c r="FS165" s="1056"/>
      <c r="FT165" s="1056"/>
      <c r="FU165" s="1056"/>
      <c r="FV165" s="1056"/>
      <c r="FW165" s="1056"/>
      <c r="FX165" s="1056"/>
      <c r="FY165" s="1056"/>
      <c r="FZ165" s="1056"/>
      <c r="GA165" s="1056"/>
      <c r="GB165" s="1056"/>
      <c r="GC165" s="1056"/>
      <c r="GD165" s="1056"/>
      <c r="GE165" s="1056"/>
      <c r="GF165" s="1056"/>
      <c r="GG165" s="1056"/>
      <c r="GH165" s="1056"/>
      <c r="GI165" s="1056"/>
      <c r="GJ165" s="1056"/>
      <c r="GK165" s="1056"/>
      <c r="GL165" s="1056"/>
      <c r="GM165" s="1056"/>
      <c r="GN165" s="1056"/>
      <c r="GO165" s="1056"/>
      <c r="GP165" s="1056"/>
      <c r="GQ165" s="1056"/>
      <c r="GR165" s="1056"/>
      <c r="GS165" s="1056"/>
      <c r="GT165" s="1056"/>
      <c r="GU165" s="1056"/>
      <c r="GV165" s="1056"/>
      <c r="GW165" s="1056"/>
      <c r="GX165" s="1056"/>
      <c r="GY165" s="1056"/>
      <c r="GZ165" s="1056"/>
      <c r="HA165" s="1056"/>
      <c r="HB165" s="1056"/>
      <c r="HC165" s="1056"/>
      <c r="HD165" s="1056"/>
      <c r="HE165" s="1056"/>
      <c r="HF165" s="1056"/>
      <c r="HG165" s="1056"/>
      <c r="HH165" s="1056"/>
      <c r="HI165" s="1056"/>
      <c r="HJ165" s="1056"/>
      <c r="HK165" s="1056"/>
      <c r="HL165" s="1056"/>
      <c r="HM165" s="1056"/>
      <c r="HN165" s="1056"/>
      <c r="HO165" s="1056"/>
      <c r="HP165" s="1056"/>
      <c r="HQ165" s="1056"/>
      <c r="HR165" s="1056"/>
      <c r="HS165" s="1056"/>
      <c r="HT165" s="1056"/>
      <c r="HU165" s="1056"/>
      <c r="HV165" s="1056"/>
      <c r="HW165" s="1056"/>
      <c r="HX165" s="1056"/>
      <c r="HY165" s="1056"/>
      <c r="HZ165" s="1056"/>
      <c r="IA165" s="1056"/>
      <c r="IB165" s="1056"/>
      <c r="IC165" s="1056"/>
      <c r="ID165" s="1056"/>
      <c r="IE165" s="1056"/>
      <c r="IF165" s="1056"/>
      <c r="IG165" s="1056"/>
      <c r="IH165" s="1056"/>
      <c r="II165" s="1056"/>
      <c r="IJ165" s="1056"/>
      <c r="IK165" s="1056"/>
      <c r="IL165" s="1056"/>
      <c r="IM165" s="1056"/>
      <c r="IN165" s="1056"/>
      <c r="IO165" s="1056"/>
      <c r="IP165" s="1056"/>
      <c r="IQ165" s="1056"/>
      <c r="IR165" s="1056"/>
      <c r="IS165" s="1056"/>
      <c r="IT165" s="1056"/>
      <c r="IU165" s="1056"/>
      <c r="IV165" s="1056"/>
      <c r="IW165" s="1056"/>
      <c r="IX165" s="1056"/>
      <c r="IY165" s="1056"/>
      <c r="IZ165" s="1056"/>
      <c r="JA165" s="1056"/>
      <c r="JB165" s="1056"/>
      <c r="JC165" s="1056"/>
      <c r="JD165" s="1056"/>
      <c r="JE165" s="1056"/>
      <c r="JF165" s="1056"/>
      <c r="JG165" s="1056"/>
      <c r="JH165" s="1056"/>
      <c r="JI165" s="1056"/>
      <c r="JJ165" s="1056"/>
      <c r="JK165" s="1056"/>
      <c r="JL165" s="1056"/>
      <c r="JM165" s="1056"/>
      <c r="JN165" s="1056"/>
      <c r="JO165" s="1056"/>
      <c r="JP165" s="1056"/>
      <c r="JQ165" s="1056"/>
      <c r="JR165" s="1056"/>
      <c r="JS165" s="1056"/>
      <c r="JT165" s="1056"/>
      <c r="JU165" s="1056"/>
      <c r="JV165" s="1056"/>
      <c r="JW165" s="1056"/>
      <c r="JX165" s="1056"/>
      <c r="JY165" s="1056"/>
      <c r="JZ165" s="1056"/>
      <c r="KA165" s="1056"/>
      <c r="KB165" s="1056"/>
      <c r="KC165" s="1056"/>
      <c r="KD165" s="1056"/>
      <c r="KE165" s="1056"/>
      <c r="KF165" s="1056"/>
      <c r="KG165" s="1056"/>
      <c r="KH165" s="1056"/>
      <c r="KI165" s="1056"/>
      <c r="KJ165" s="1056"/>
      <c r="KK165" s="1056"/>
      <c r="KL165" s="1056"/>
      <c r="KM165" s="1056"/>
      <c r="KN165" s="1056"/>
      <c r="KO165" s="1056"/>
      <c r="KP165" s="1056"/>
      <c r="KQ165" s="1056"/>
      <c r="KR165" s="1056"/>
      <c r="KS165" s="1056"/>
      <c r="KT165" s="1056"/>
      <c r="KU165" s="1056"/>
      <c r="KV165" s="1056"/>
      <c r="KW165" s="1056"/>
      <c r="KX165" s="1056"/>
      <c r="KY165" s="1056"/>
      <c r="KZ165" s="1056"/>
      <c r="LA165" s="1056"/>
      <c r="LB165" s="1056"/>
      <c r="LC165" s="1056"/>
      <c r="LD165" s="1056"/>
      <c r="LE165" s="1056"/>
      <c r="LF165" s="1056"/>
      <c r="LG165" s="1056"/>
      <c r="LH165" s="1056"/>
      <c r="LI165" s="1056"/>
      <c r="LJ165" s="1056"/>
      <c r="LK165" s="1056"/>
      <c r="LL165" s="1056"/>
      <c r="LM165" s="1056"/>
      <c r="LN165" s="1056"/>
      <c r="LO165" s="1056"/>
      <c r="LP165" s="1056"/>
      <c r="LQ165" s="1056"/>
      <c r="LR165" s="1056"/>
      <c r="LS165" s="1056"/>
      <c r="LT165" s="1056"/>
      <c r="LU165" s="1056"/>
      <c r="LV165" s="1056"/>
      <c r="LW165" s="1056"/>
      <c r="LX165" s="1056"/>
      <c r="LY165" s="1056"/>
      <c r="LZ165" s="1056"/>
      <c r="MA165" s="1056"/>
      <c r="MB165" s="1056"/>
      <c r="MC165" s="1056"/>
      <c r="MD165" s="1056"/>
      <c r="ME165" s="1056"/>
      <c r="MF165" s="1056"/>
      <c r="MG165" s="1056"/>
      <c r="MH165" s="1056"/>
      <c r="MI165" s="1056"/>
      <c r="MJ165" s="1056"/>
      <c r="MK165" s="1056"/>
      <c r="ML165" s="1056"/>
      <c r="MM165" s="1056"/>
      <c r="MN165" s="1056"/>
      <c r="MO165" s="1056"/>
      <c r="MP165" s="1056"/>
      <c r="MQ165" s="1056"/>
      <c r="MR165" s="1056"/>
      <c r="MS165" s="1056"/>
      <c r="MT165" s="1056"/>
      <c r="MU165" s="1056"/>
      <c r="MV165" s="1056"/>
      <c r="MW165" s="1056"/>
      <c r="MX165" s="1056"/>
      <c r="MY165" s="1056"/>
      <c r="MZ165" s="1056"/>
      <c r="NA165" s="1056"/>
      <c r="NB165" s="1056"/>
      <c r="NC165" s="1056"/>
      <c r="ND165" s="1056"/>
      <c r="NE165" s="1056"/>
      <c r="NF165" s="1056"/>
      <c r="NG165" s="1056"/>
      <c r="NH165" s="1056"/>
      <c r="NI165" s="1056"/>
      <c r="NJ165" s="1056"/>
      <c r="NK165" s="1056"/>
      <c r="NL165" s="1056"/>
      <c r="NM165" s="1056"/>
      <c r="NN165" s="1056"/>
      <c r="NO165" s="1056"/>
      <c r="NP165" s="1056"/>
      <c r="NQ165" s="1056"/>
      <c r="NR165" s="1056"/>
      <c r="NS165" s="1056"/>
      <c r="NT165" s="1056"/>
      <c r="NU165" s="1056"/>
      <c r="NV165" s="1056"/>
      <c r="NW165" s="1056"/>
      <c r="NX165" s="1056"/>
      <c r="NY165" s="1056"/>
      <c r="NZ165" s="1056"/>
      <c r="OA165" s="1056"/>
      <c r="OB165" s="1056"/>
      <c r="OC165" s="1056"/>
      <c r="OD165" s="1056"/>
      <c r="OE165" s="1056"/>
      <c r="OF165" s="1056"/>
      <c r="OG165" s="1056"/>
      <c r="OH165" s="1056"/>
      <c r="OI165" s="1056"/>
      <c r="OJ165" s="1056"/>
      <c r="OK165" s="1056"/>
      <c r="OL165" s="1056"/>
      <c r="OM165" s="1056"/>
      <c r="ON165" s="1056"/>
      <c r="OO165" s="1056"/>
      <c r="OP165" s="1056"/>
      <c r="OQ165" s="1056"/>
      <c r="OR165" s="1056"/>
      <c r="OS165" s="1056"/>
      <c r="OT165" s="1056"/>
      <c r="OU165" s="1056"/>
      <c r="OV165" s="1056"/>
      <c r="OW165" s="1056"/>
      <c r="OX165" s="1056"/>
      <c r="OY165" s="1056"/>
      <c r="OZ165" s="1056"/>
      <c r="PA165" s="1056"/>
      <c r="PB165" s="1056"/>
      <c r="PC165" s="1056"/>
      <c r="PD165" s="1056"/>
      <c r="PE165" s="1056"/>
      <c r="PF165" s="1056"/>
      <c r="PG165" s="1056"/>
      <c r="PH165" s="1056"/>
      <c r="PI165" s="1056"/>
      <c r="PJ165" s="1056"/>
      <c r="PK165" s="1056"/>
      <c r="PL165" s="1056"/>
      <c r="PM165" s="1056"/>
      <c r="PN165" s="1056"/>
      <c r="PO165" s="1056"/>
      <c r="PP165" s="1056"/>
      <c r="PQ165" s="1056"/>
      <c r="PR165" s="1056"/>
      <c r="PS165" s="1056"/>
      <c r="PT165" s="1056"/>
      <c r="PU165" s="1056"/>
      <c r="PV165" s="1056"/>
      <c r="PW165" s="1056"/>
      <c r="PX165" s="1056"/>
      <c r="PY165" s="1056"/>
      <c r="PZ165" s="1056"/>
      <c r="QA165" s="1056"/>
      <c r="QB165" s="1056"/>
      <c r="QC165" s="1056"/>
      <c r="QD165" s="1056"/>
      <c r="QE165" s="1056"/>
      <c r="QF165" s="1056"/>
      <c r="QG165" s="1056"/>
      <c r="QH165" s="1056"/>
      <c r="QI165" s="1056"/>
      <c r="QJ165" s="1056"/>
      <c r="QK165" s="1056"/>
      <c r="QL165" s="1056"/>
      <c r="QM165" s="1056"/>
      <c r="QN165" s="1056"/>
      <c r="QO165" s="1056"/>
      <c r="QP165" s="1056"/>
      <c r="QQ165" s="1056"/>
      <c r="QR165" s="1056"/>
      <c r="QS165" s="1056"/>
      <c r="QT165" s="1056"/>
      <c r="QU165" s="1056"/>
      <c r="QV165" s="1056"/>
      <c r="QW165" s="1056"/>
      <c r="QX165" s="1056"/>
      <c r="QY165" s="1056"/>
      <c r="QZ165" s="1056"/>
      <c r="RA165" s="1056"/>
      <c r="RB165" s="1056"/>
      <c r="RC165" s="1056"/>
      <c r="RD165" s="1056"/>
      <c r="RE165" s="1056"/>
      <c r="RF165" s="1056"/>
      <c r="RG165" s="1056"/>
      <c r="RH165" s="1056"/>
      <c r="RI165" s="1056"/>
      <c r="RJ165" s="1056"/>
      <c r="RK165" s="1056"/>
      <c r="RL165" s="1056"/>
      <c r="RM165" s="1056"/>
      <c r="RN165" s="1056"/>
      <c r="RO165" s="1056"/>
      <c r="RP165" s="1056"/>
      <c r="RQ165" s="1056"/>
      <c r="RR165" s="1056"/>
      <c r="RS165" s="1056"/>
      <c r="RT165" s="1056"/>
      <c r="RU165" s="1056"/>
      <c r="RV165" s="1056"/>
      <c r="RW165" s="1056"/>
      <c r="RX165" s="1056"/>
      <c r="RY165" s="1056"/>
      <c r="RZ165" s="1056"/>
      <c r="SA165" s="1056"/>
      <c r="SB165" s="1056"/>
      <c r="SC165" s="1056"/>
      <c r="SD165" s="1056"/>
      <c r="SE165" s="1056"/>
      <c r="SF165" s="1056"/>
      <c r="SG165" s="1056"/>
      <c r="SH165" s="1056"/>
      <c r="SI165" s="1056"/>
      <c r="SJ165" s="1056"/>
      <c r="SK165" s="1056"/>
      <c r="SL165" s="1056"/>
      <c r="SM165" s="1056"/>
      <c r="SN165" s="1056"/>
      <c r="SO165" s="1056"/>
      <c r="SP165" s="1056"/>
      <c r="SQ165" s="1056"/>
      <c r="SR165" s="1056"/>
      <c r="SS165" s="1056"/>
      <c r="ST165" s="1056"/>
      <c r="SU165" s="1056"/>
      <c r="SV165" s="1056"/>
      <c r="SW165" s="1056"/>
      <c r="SX165" s="1056"/>
      <c r="SY165" s="1056"/>
      <c r="SZ165" s="1056"/>
      <c r="TA165" s="1056"/>
      <c r="TB165" s="1056"/>
      <c r="TC165" s="1056"/>
      <c r="TD165" s="1056"/>
      <c r="TE165" s="1056"/>
      <c r="TF165" s="1056"/>
      <c r="TG165" s="1056"/>
      <c r="TH165" s="1056"/>
      <c r="TI165" s="1056"/>
      <c r="TJ165" s="1056"/>
      <c r="TK165" s="1056"/>
      <c r="TL165" s="1056"/>
      <c r="TM165" s="1056"/>
      <c r="TN165" s="1056"/>
      <c r="TO165" s="1056"/>
      <c r="TP165" s="1056"/>
      <c r="TQ165" s="1056"/>
      <c r="TR165" s="1056"/>
      <c r="TS165" s="1056"/>
      <c r="TT165" s="1056"/>
      <c r="TU165" s="1056"/>
      <c r="TV165" s="1056"/>
      <c r="TW165" s="1056"/>
      <c r="TX165" s="1056"/>
      <c r="TY165" s="1056"/>
      <c r="TZ165" s="1056"/>
      <c r="UA165" s="1056"/>
      <c r="UB165" s="1056"/>
      <c r="UC165" s="1056"/>
      <c r="UD165" s="1056"/>
      <c r="UE165" s="1056"/>
      <c r="UF165" s="1056"/>
      <c r="UG165" s="1056"/>
      <c r="UH165" s="1056"/>
      <c r="UI165" s="1056"/>
      <c r="UJ165" s="1056"/>
      <c r="UK165" s="1056"/>
      <c r="UL165" s="1056"/>
      <c r="UM165" s="1056"/>
      <c r="UN165" s="1056"/>
      <c r="UO165" s="1056"/>
      <c r="UP165" s="1056"/>
      <c r="UQ165" s="1056"/>
      <c r="UR165" s="1056"/>
      <c r="US165" s="1056"/>
      <c r="UT165" s="1056"/>
      <c r="UU165" s="1056"/>
      <c r="UV165" s="1056"/>
      <c r="UW165" s="1056"/>
      <c r="UX165" s="1056"/>
      <c r="UY165" s="1056"/>
      <c r="UZ165" s="1056"/>
      <c r="VA165" s="1056"/>
      <c r="VB165" s="1056"/>
      <c r="VC165" s="1056"/>
      <c r="VD165" s="1056"/>
      <c r="VE165" s="1056"/>
      <c r="VF165" s="1056"/>
      <c r="VG165" s="1056"/>
      <c r="VH165" s="1056"/>
      <c r="VI165" s="1056"/>
      <c r="VJ165" s="1056"/>
      <c r="VK165" s="1056"/>
      <c r="VL165" s="1056"/>
      <c r="VM165" s="1056"/>
      <c r="VN165" s="1056"/>
      <c r="VO165" s="1056"/>
      <c r="VP165" s="1056"/>
      <c r="VQ165" s="1056"/>
      <c r="VR165" s="1056"/>
      <c r="VS165" s="1056"/>
      <c r="VT165" s="1056"/>
      <c r="VU165" s="1056"/>
      <c r="VV165" s="1056"/>
      <c r="VW165" s="1056"/>
      <c r="VX165" s="1056"/>
      <c r="VY165" s="1056"/>
      <c r="VZ165" s="1056"/>
      <c r="WA165" s="1056"/>
      <c r="WB165" s="1056"/>
      <c r="WC165" s="1056"/>
      <c r="WD165" s="1056"/>
      <c r="WE165" s="1056"/>
      <c r="WF165" s="1056"/>
      <c r="WG165" s="1056"/>
      <c r="WH165" s="1056"/>
      <c r="WI165" s="1056"/>
      <c r="WJ165" s="1056"/>
      <c r="WK165" s="1056"/>
      <c r="WL165" s="1056"/>
      <c r="WM165" s="1056"/>
      <c r="WN165" s="1056"/>
      <c r="WO165" s="1056"/>
      <c r="WP165" s="1056"/>
      <c r="WQ165" s="1056"/>
      <c r="WR165" s="1056"/>
      <c r="WS165" s="1056"/>
      <c r="WT165" s="1056"/>
      <c r="WU165" s="1056"/>
      <c r="WV165" s="1056"/>
      <c r="WW165" s="1056"/>
      <c r="WX165" s="1056"/>
      <c r="WY165" s="1056"/>
      <c r="WZ165" s="1056"/>
      <c r="XA165" s="1056"/>
      <c r="XB165" s="1056"/>
      <c r="XC165" s="1056"/>
      <c r="XD165" s="1056"/>
      <c r="XE165" s="1056"/>
      <c r="XF165" s="1056"/>
      <c r="XG165" s="1056"/>
      <c r="XH165" s="1056"/>
      <c r="XI165" s="1056"/>
      <c r="XJ165" s="1056"/>
      <c r="XK165" s="1056"/>
      <c r="XL165" s="1056"/>
      <c r="XM165" s="1056"/>
      <c r="XN165" s="1056"/>
      <c r="XO165" s="1056"/>
      <c r="XP165" s="1056"/>
      <c r="XQ165" s="1056"/>
      <c r="XR165" s="1056"/>
      <c r="XS165" s="1056"/>
      <c r="XT165" s="1056"/>
      <c r="XU165" s="1056"/>
      <c r="XV165" s="1056"/>
      <c r="XW165" s="1056"/>
      <c r="XX165" s="1056"/>
      <c r="XY165" s="1056"/>
      <c r="XZ165" s="1056"/>
      <c r="YA165" s="1056"/>
      <c r="YB165" s="1056"/>
      <c r="YC165" s="1056"/>
      <c r="YD165" s="1056"/>
      <c r="YE165" s="1056"/>
      <c r="YF165" s="1056"/>
      <c r="YG165" s="1056"/>
      <c r="YH165" s="1056"/>
      <c r="YI165" s="1056"/>
      <c r="YJ165" s="1056"/>
      <c r="YK165" s="1056"/>
      <c r="YL165" s="1056"/>
      <c r="YM165" s="1056"/>
      <c r="YN165" s="1056"/>
      <c r="YO165" s="1056"/>
      <c r="YP165" s="1056"/>
      <c r="YQ165" s="1056"/>
      <c r="YR165" s="1056"/>
      <c r="YS165" s="1056"/>
      <c r="YT165" s="1056"/>
      <c r="YU165" s="1056"/>
      <c r="YV165" s="1056"/>
      <c r="YW165" s="1056"/>
      <c r="YX165" s="1056"/>
      <c r="YY165" s="1056"/>
      <c r="YZ165" s="1056"/>
      <c r="ZA165" s="1056"/>
      <c r="ZB165" s="1056"/>
      <c r="ZC165" s="1056"/>
      <c r="ZD165" s="1056"/>
      <c r="ZE165" s="1056"/>
      <c r="ZF165" s="1056"/>
      <c r="ZG165" s="1056"/>
      <c r="ZH165" s="1056"/>
      <c r="ZI165" s="1056"/>
      <c r="ZJ165" s="1056"/>
      <c r="ZK165" s="1056"/>
      <c r="ZL165" s="1056"/>
      <c r="ZM165" s="1056"/>
      <c r="ZN165" s="1056"/>
      <c r="ZO165" s="1056"/>
      <c r="ZP165" s="1056"/>
      <c r="ZQ165" s="1056"/>
      <c r="ZR165" s="1056"/>
      <c r="ZS165" s="1056"/>
      <c r="ZT165" s="1056"/>
      <c r="ZU165" s="1056"/>
      <c r="ZV165" s="1056"/>
      <c r="ZW165" s="1056"/>
      <c r="ZX165" s="1056"/>
      <c r="ZY165" s="1056"/>
      <c r="ZZ165" s="1056"/>
      <c r="AAA165" s="1056"/>
      <c r="AAB165" s="1056"/>
      <c r="AAC165" s="1056"/>
      <c r="AAD165" s="1056"/>
      <c r="AAE165" s="1056"/>
      <c r="AAF165" s="1056"/>
      <c r="AAG165" s="1056"/>
      <c r="AAH165" s="1056"/>
      <c r="AAI165" s="1056"/>
      <c r="AAJ165" s="1056"/>
      <c r="AAK165" s="1056"/>
      <c r="AAL165" s="1056"/>
      <c r="AAM165" s="1056"/>
      <c r="AAN165" s="1056"/>
      <c r="AAO165" s="1056"/>
      <c r="AAP165" s="1056"/>
      <c r="AAQ165" s="1056"/>
      <c r="AAR165" s="1056"/>
      <c r="AAS165" s="1056"/>
      <c r="AAT165" s="1056"/>
      <c r="AAU165" s="1056"/>
      <c r="AAV165" s="1056"/>
      <c r="AAW165" s="1056"/>
      <c r="AAX165" s="1056"/>
      <c r="AAY165" s="1056"/>
      <c r="AAZ165" s="1056"/>
      <c r="ABA165" s="1056"/>
      <c r="ABB165" s="1056"/>
      <c r="ABC165" s="1056"/>
      <c r="ABD165" s="1056"/>
      <c r="ABE165" s="1056"/>
      <c r="ABF165" s="1056"/>
      <c r="ABG165" s="1056"/>
      <c r="ABH165" s="1056"/>
      <c r="ABI165" s="1056"/>
      <c r="ABJ165" s="1056"/>
      <c r="ABK165" s="1056"/>
      <c r="ABL165" s="1056"/>
      <c r="ABM165" s="1056"/>
      <c r="ABN165" s="1056"/>
      <c r="ABO165" s="1056"/>
      <c r="ABP165" s="1056"/>
      <c r="ABQ165" s="1056"/>
      <c r="ABR165" s="1056"/>
      <c r="ABS165" s="1056"/>
      <c r="ABT165" s="1056"/>
      <c r="ABU165" s="1056"/>
      <c r="ABV165" s="1056"/>
      <c r="ABW165" s="1056"/>
      <c r="ABX165" s="1056"/>
      <c r="ABY165" s="1056"/>
      <c r="ABZ165" s="1056"/>
      <c r="ACA165" s="1056"/>
      <c r="ACB165" s="1056"/>
      <c r="ACC165" s="1056"/>
      <c r="ACD165" s="1056"/>
      <c r="ACE165" s="1056"/>
      <c r="ACF165" s="1056"/>
      <c r="ACG165" s="1056"/>
      <c r="ACH165" s="1056"/>
      <c r="ACI165" s="1056"/>
      <c r="ACJ165" s="1056"/>
      <c r="ACK165" s="1056"/>
      <c r="ACL165" s="1056"/>
      <c r="ACM165" s="1056"/>
      <c r="ACN165" s="1056"/>
      <c r="ACO165" s="1056"/>
      <c r="ACP165" s="1056"/>
      <c r="ACQ165" s="1056"/>
      <c r="ACR165" s="1056"/>
      <c r="ACS165" s="1056"/>
      <c r="ACT165" s="1056"/>
      <c r="ACU165" s="1056"/>
      <c r="ACV165" s="1056"/>
      <c r="ACW165" s="1056"/>
      <c r="ACX165" s="1056"/>
      <c r="ACY165" s="1056"/>
      <c r="ACZ165" s="1056"/>
      <c r="ADA165" s="1056"/>
      <c r="ADB165" s="1056"/>
      <c r="ADC165" s="1056"/>
      <c r="ADD165" s="1056"/>
      <c r="ADE165" s="1056"/>
      <c r="ADF165" s="1056"/>
      <c r="ADG165" s="1056"/>
      <c r="ADH165" s="1056"/>
      <c r="ADI165" s="1056"/>
      <c r="ADJ165" s="1056"/>
      <c r="ADK165" s="1056"/>
      <c r="ADL165" s="1056"/>
      <c r="ADM165" s="1056"/>
      <c r="ADN165" s="1056"/>
      <c r="ADO165" s="1056"/>
      <c r="ADP165" s="1056"/>
      <c r="ADQ165" s="1056"/>
      <c r="ADR165" s="1056"/>
      <c r="ADS165" s="1056"/>
      <c r="ADT165" s="1056"/>
      <c r="ADU165" s="1056"/>
      <c r="ADV165" s="1056"/>
      <c r="ADW165" s="1056"/>
      <c r="ADX165" s="1056"/>
      <c r="ADY165" s="1056"/>
      <c r="ADZ165" s="1056"/>
      <c r="AEA165" s="1056"/>
      <c r="AEB165" s="1056"/>
      <c r="AEC165" s="1056"/>
      <c r="AED165" s="1056"/>
      <c r="AEE165" s="1056"/>
      <c r="AEF165" s="1056"/>
      <c r="AEG165" s="1056"/>
      <c r="AEH165" s="1056"/>
      <c r="AEI165" s="1056"/>
      <c r="AEJ165" s="1056"/>
      <c r="AEK165" s="1056"/>
      <c r="AEL165" s="1056"/>
      <c r="AEM165" s="1056"/>
      <c r="AEN165" s="1056"/>
      <c r="AEO165" s="1056"/>
      <c r="AEP165" s="1056"/>
      <c r="AEQ165" s="1056"/>
      <c r="AER165" s="1056"/>
      <c r="AES165" s="1056"/>
      <c r="AET165" s="1056"/>
      <c r="AEU165" s="1056"/>
      <c r="AEV165" s="1056"/>
      <c r="AEW165" s="1056"/>
      <c r="AEX165" s="1056"/>
      <c r="AEY165" s="1056"/>
      <c r="AEZ165" s="1056"/>
      <c r="AFA165" s="1056"/>
      <c r="AFB165" s="1056"/>
      <c r="AFC165" s="1056"/>
      <c r="AFD165" s="1056"/>
      <c r="AFE165" s="1056"/>
      <c r="AFF165" s="1056"/>
      <c r="AFG165" s="1056"/>
      <c r="AFH165" s="1056"/>
      <c r="AFI165" s="1056"/>
      <c r="AFJ165" s="1056"/>
      <c r="AFK165" s="1056"/>
      <c r="AFL165" s="1056"/>
      <c r="AFM165" s="1056"/>
      <c r="AFN165" s="1056"/>
      <c r="AFO165" s="1056"/>
      <c r="AFP165" s="1056"/>
      <c r="AFQ165" s="1056"/>
      <c r="AFR165" s="1056"/>
      <c r="AFS165" s="1056"/>
      <c r="AFT165" s="1056"/>
      <c r="AFU165" s="1056"/>
      <c r="AFV165" s="1056"/>
      <c r="AFW165" s="1056"/>
      <c r="AFX165" s="1056"/>
      <c r="AFY165" s="1056"/>
      <c r="AFZ165" s="1056"/>
      <c r="AGA165" s="1056"/>
      <c r="AGB165" s="1056"/>
      <c r="AGC165" s="1056"/>
      <c r="AGD165" s="1056"/>
      <c r="AGE165" s="1056"/>
      <c r="AGF165" s="1056"/>
      <c r="AGG165" s="1056"/>
      <c r="AGH165" s="1056"/>
      <c r="AGI165" s="1056"/>
      <c r="AGJ165" s="1056"/>
      <c r="AGK165" s="1056"/>
      <c r="AGL165" s="1056"/>
      <c r="AGM165" s="1056"/>
      <c r="AGN165" s="1056"/>
      <c r="AGO165" s="1056"/>
      <c r="AGP165" s="1056"/>
      <c r="AGQ165" s="1056"/>
      <c r="AGR165" s="1056"/>
      <c r="AGS165" s="1056"/>
      <c r="AGT165" s="1056"/>
      <c r="AGU165" s="1056"/>
      <c r="AGV165" s="1056"/>
      <c r="AGW165" s="1056"/>
      <c r="AGX165" s="1056"/>
      <c r="AGY165" s="1056"/>
      <c r="AGZ165" s="1056"/>
      <c r="AHA165" s="1056"/>
      <c r="AHB165" s="1056"/>
      <c r="AHC165" s="1056"/>
      <c r="AHD165" s="1056"/>
      <c r="AHE165" s="1056"/>
      <c r="AHF165" s="1056"/>
      <c r="AHG165" s="1056"/>
      <c r="AHH165" s="1056"/>
      <c r="AHI165" s="1056"/>
      <c r="AHJ165" s="1056"/>
      <c r="AHK165" s="1056"/>
      <c r="AHL165" s="1056"/>
      <c r="AHM165" s="1056"/>
      <c r="AHN165" s="1056"/>
      <c r="AHO165" s="1056"/>
      <c r="AHP165" s="1056"/>
      <c r="AHQ165" s="1056"/>
      <c r="AHR165" s="1056"/>
      <c r="AHS165" s="1056"/>
      <c r="AHT165" s="1056"/>
      <c r="AHU165" s="1056"/>
      <c r="AHV165" s="1056"/>
      <c r="AHW165" s="1056"/>
      <c r="AHX165" s="1056"/>
      <c r="AHY165" s="1056"/>
      <c r="AHZ165" s="1056"/>
      <c r="AIA165" s="1056"/>
      <c r="AIB165" s="1056"/>
      <c r="AIC165" s="1056"/>
      <c r="AID165" s="1056"/>
      <c r="AIE165" s="1056"/>
      <c r="AIF165" s="1056"/>
      <c r="AIG165" s="1056"/>
      <c r="AIH165" s="1056"/>
      <c r="AII165" s="1056"/>
      <c r="AIJ165" s="1056"/>
      <c r="AIK165" s="1056"/>
      <c r="AIL165" s="1056"/>
      <c r="AIM165" s="1056"/>
      <c r="AIN165" s="1056"/>
      <c r="AIO165" s="1056"/>
      <c r="AIP165" s="1056"/>
      <c r="AIQ165" s="1056"/>
      <c r="AIR165" s="1056"/>
      <c r="AIS165" s="1056"/>
      <c r="AIT165" s="1056"/>
      <c r="AIU165" s="1056"/>
      <c r="AIV165" s="1056"/>
      <c r="AIW165" s="1056"/>
      <c r="AIX165" s="1056"/>
      <c r="AIY165" s="1056"/>
      <c r="AIZ165" s="1056"/>
      <c r="AJA165" s="1056"/>
      <c r="AJB165" s="1056"/>
      <c r="AJC165" s="1056"/>
      <c r="AJD165" s="1056"/>
      <c r="AJE165" s="1056"/>
      <c r="AJF165" s="1056"/>
      <c r="AJG165" s="1056"/>
      <c r="AJH165" s="1056"/>
      <c r="AJI165" s="1056"/>
      <c r="AJJ165" s="1056"/>
      <c r="AJK165" s="1056"/>
      <c r="AJL165" s="1056"/>
      <c r="AJM165" s="1056"/>
      <c r="AJN165" s="1056"/>
      <c r="AJO165" s="1056"/>
      <c r="AJP165" s="1056"/>
      <c r="AJQ165" s="1056"/>
      <c r="AJR165" s="1056"/>
      <c r="AJS165" s="1056"/>
      <c r="AJT165" s="1056"/>
      <c r="AJU165" s="1056"/>
      <c r="AJV165" s="1056"/>
      <c r="AJW165" s="1056"/>
      <c r="AJX165" s="1056"/>
      <c r="AJY165" s="1056"/>
      <c r="AJZ165" s="1056"/>
      <c r="AKA165" s="1056"/>
      <c r="AKB165" s="1056"/>
      <c r="AKC165" s="1056"/>
      <c r="AKD165" s="1056"/>
      <c r="AKE165" s="1056"/>
      <c r="AKF165" s="1056"/>
      <c r="AKG165" s="1056"/>
      <c r="AKH165" s="1056"/>
      <c r="AKI165" s="1056"/>
      <c r="AKJ165" s="1056"/>
      <c r="AKK165" s="1056"/>
      <c r="AKL165" s="1056"/>
      <c r="AKM165" s="1056"/>
      <c r="AKN165" s="1056"/>
      <c r="AKO165" s="1056"/>
      <c r="AKP165" s="1056"/>
      <c r="AKQ165" s="1056"/>
      <c r="AKR165" s="1056"/>
      <c r="AKS165" s="1056"/>
      <c r="AKT165" s="1056"/>
      <c r="AKU165" s="1056"/>
      <c r="AKV165" s="1056"/>
      <c r="AKW165" s="1056"/>
      <c r="AKX165" s="1056"/>
      <c r="AKY165" s="1056"/>
      <c r="AKZ165" s="1056"/>
      <c r="ALA165" s="1056"/>
      <c r="ALB165" s="1056"/>
      <c r="ALC165" s="1056"/>
      <c r="ALD165" s="1056"/>
      <c r="ALE165" s="1056"/>
      <c r="ALF165" s="1056"/>
      <c r="ALG165" s="1056"/>
      <c r="ALH165" s="1056"/>
      <c r="ALI165" s="1056"/>
      <c r="ALJ165" s="1056"/>
      <c r="ALK165" s="1056"/>
      <c r="ALL165" s="1056"/>
      <c r="ALM165" s="1056"/>
      <c r="ALN165" s="1056"/>
      <c r="ALO165" s="1056"/>
      <c r="ALP165" s="1056"/>
      <c r="ALQ165" s="1056"/>
      <c r="ALR165" s="1056"/>
      <c r="ALS165" s="1056"/>
      <c r="ALT165" s="1056"/>
      <c r="ALU165" s="1056"/>
      <c r="ALV165" s="1056"/>
      <c r="ALW165" s="1056"/>
      <c r="ALX165" s="1056"/>
      <c r="ALY165" s="1056"/>
      <c r="ALZ165" s="1056"/>
      <c r="AMA165" s="1056"/>
      <c r="AMB165" s="1056"/>
      <c r="AMC165" s="1056"/>
      <c r="AMD165" s="1056"/>
      <c r="AME165" s="1056"/>
      <c r="AMF165" s="1056"/>
      <c r="AMG165" s="1056"/>
      <c r="AMH165" s="1056"/>
      <c r="AMI165" s="1056"/>
      <c r="AMJ165" s="1056"/>
      <c r="AMK165" s="1056"/>
      <c r="AML165" s="1056"/>
      <c r="AMM165" s="1056"/>
      <c r="AMN165" s="1056"/>
      <c r="AMO165" s="1056"/>
      <c r="AMP165" s="1056"/>
      <c r="AMQ165" s="1056"/>
      <c r="AMR165" s="1056"/>
      <c r="AMS165" s="1056"/>
      <c r="AMT165" s="1056"/>
      <c r="AMU165" s="1056"/>
      <c r="AMV165" s="1056"/>
      <c r="AMW165" s="1056"/>
      <c r="AMX165" s="1056"/>
      <c r="AMY165" s="1056"/>
      <c r="AMZ165" s="1056"/>
      <c r="ANA165" s="1056"/>
      <c r="ANB165" s="1056"/>
      <c r="ANC165" s="1056"/>
      <c r="AND165" s="1056"/>
      <c r="ANE165" s="1056"/>
      <c r="ANF165" s="1056"/>
      <c r="ANG165" s="1056"/>
      <c r="ANH165" s="1056"/>
      <c r="ANI165" s="1056"/>
      <c r="ANJ165" s="1056"/>
      <c r="ANK165" s="1056"/>
      <c r="ANL165" s="1056"/>
      <c r="ANM165" s="1056"/>
      <c r="ANN165" s="1056"/>
      <c r="ANO165" s="1056"/>
      <c r="ANP165" s="1056"/>
      <c r="ANQ165" s="1056"/>
      <c r="ANR165" s="1056"/>
      <c r="ANS165" s="1056"/>
      <c r="ANT165" s="1056"/>
      <c r="ANU165" s="1056"/>
      <c r="ANV165" s="1056"/>
      <c r="ANW165" s="1056"/>
      <c r="ANX165" s="1056"/>
      <c r="ANY165" s="1056"/>
      <c r="ANZ165" s="1056"/>
      <c r="AOA165" s="1056"/>
      <c r="AOB165" s="1056"/>
      <c r="AOC165" s="1056"/>
      <c r="AOD165" s="1056"/>
      <c r="AOE165" s="1056"/>
      <c r="AOF165" s="1056"/>
      <c r="AOG165" s="1056"/>
      <c r="AOH165" s="1056"/>
      <c r="AOI165" s="1056"/>
      <c r="AOJ165" s="1056"/>
      <c r="AOK165" s="1056"/>
      <c r="AOL165" s="1056"/>
      <c r="AOM165" s="1056"/>
      <c r="AON165" s="1056"/>
      <c r="AOO165" s="1056"/>
      <c r="AOP165" s="1056"/>
      <c r="AOQ165" s="1056"/>
      <c r="AOR165" s="1056"/>
      <c r="AOS165" s="1056"/>
      <c r="AOT165" s="1056"/>
      <c r="AOU165" s="1056"/>
      <c r="AOV165" s="1056"/>
      <c r="AOW165" s="1056"/>
      <c r="AOX165" s="1056"/>
      <c r="AOY165" s="1056"/>
      <c r="AOZ165" s="1056"/>
      <c r="APA165" s="1056"/>
      <c r="APB165" s="1056"/>
      <c r="APC165" s="1056"/>
      <c r="APD165" s="1056"/>
      <c r="APE165" s="1056"/>
      <c r="APF165" s="1056"/>
      <c r="APG165" s="1056"/>
      <c r="APH165" s="1056"/>
      <c r="API165" s="1056"/>
      <c r="APJ165" s="1056"/>
      <c r="APK165" s="1056"/>
      <c r="APL165" s="1056"/>
      <c r="APM165" s="1056"/>
      <c r="APN165" s="1056"/>
      <c r="APO165" s="1056"/>
      <c r="APP165" s="1056"/>
      <c r="APQ165" s="1056"/>
      <c r="APR165" s="1056"/>
      <c r="APS165" s="1056"/>
      <c r="APT165" s="1056"/>
      <c r="APU165" s="1056"/>
      <c r="APV165" s="1056"/>
      <c r="APW165" s="1056"/>
      <c r="APX165" s="1056"/>
      <c r="APY165" s="1056"/>
      <c r="APZ165" s="1056"/>
      <c r="AQA165" s="1056"/>
      <c r="AQB165" s="1056"/>
      <c r="AQC165" s="1056"/>
      <c r="AQD165" s="1056"/>
      <c r="AQE165" s="1056"/>
      <c r="AQF165" s="1056"/>
      <c r="AQG165" s="1056"/>
      <c r="AQH165" s="1056"/>
      <c r="AQI165" s="1056"/>
      <c r="AQJ165" s="1056"/>
      <c r="AQK165" s="1056"/>
      <c r="AQL165" s="1056"/>
      <c r="AQM165" s="1056"/>
      <c r="AQN165" s="1056"/>
      <c r="AQO165" s="1056"/>
      <c r="AQP165" s="1056"/>
      <c r="AQQ165" s="1056"/>
      <c r="AQR165" s="1056"/>
      <c r="AQS165" s="1056"/>
      <c r="AQT165" s="1056"/>
      <c r="AQU165" s="1056"/>
      <c r="AQV165" s="1056"/>
      <c r="AQW165" s="1056"/>
      <c r="AQX165" s="1056"/>
      <c r="AQY165" s="1056"/>
      <c r="AQZ165" s="1056"/>
      <c r="ARA165" s="1056"/>
      <c r="ARB165" s="1056"/>
      <c r="ARC165" s="1056"/>
      <c r="ARD165" s="1056"/>
      <c r="ARE165" s="1056"/>
      <c r="ARF165" s="1056"/>
      <c r="ARG165" s="1056"/>
      <c r="ARH165" s="1056"/>
      <c r="ARI165" s="1056"/>
      <c r="ARJ165" s="1056"/>
      <c r="ARK165" s="1056"/>
      <c r="ARL165" s="1056"/>
      <c r="ARM165" s="1056"/>
      <c r="ARN165" s="1056"/>
      <c r="ARO165" s="1056"/>
      <c r="ARP165" s="1056"/>
      <c r="ARQ165" s="1056"/>
      <c r="ARR165" s="1056"/>
      <c r="ARS165" s="1056"/>
      <c r="ART165" s="1056"/>
      <c r="ARU165" s="1056"/>
      <c r="ARV165" s="1056"/>
      <c r="ARW165" s="1056"/>
      <c r="ARX165" s="1056"/>
      <c r="ARY165" s="1056"/>
      <c r="ARZ165" s="1056"/>
      <c r="ASA165" s="1056"/>
      <c r="ASB165" s="1056"/>
      <c r="ASC165" s="1056"/>
      <c r="ASD165" s="1056"/>
      <c r="ASE165" s="1056"/>
      <c r="ASF165" s="1056"/>
      <c r="ASG165" s="1056"/>
      <c r="ASH165" s="1056"/>
      <c r="ASI165" s="1056"/>
      <c r="ASJ165" s="1056"/>
      <c r="ASK165" s="1056"/>
      <c r="ASL165" s="1056"/>
      <c r="ASM165" s="1056"/>
      <c r="ASN165" s="1056"/>
      <c r="ASO165" s="1056"/>
      <c r="ASP165" s="1056"/>
      <c r="ASQ165" s="1056"/>
      <c r="ASR165" s="1056"/>
      <c r="ASS165" s="1056"/>
      <c r="AST165" s="1056"/>
      <c r="ASU165" s="1056"/>
      <c r="ASV165" s="1056"/>
      <c r="ASW165" s="1056"/>
      <c r="ASX165" s="1056"/>
      <c r="ASY165" s="1056"/>
      <c r="ASZ165" s="1056"/>
      <c r="ATA165" s="1056"/>
      <c r="ATB165" s="1056"/>
      <c r="ATC165" s="1056"/>
      <c r="ATD165" s="1056"/>
      <c r="ATE165" s="1056"/>
      <c r="ATF165" s="1056"/>
      <c r="ATG165" s="1056"/>
      <c r="ATH165" s="1056"/>
      <c r="ATI165" s="1056"/>
      <c r="ATJ165" s="1056"/>
      <c r="ATK165" s="1056"/>
      <c r="ATL165" s="1056"/>
      <c r="ATM165" s="1056"/>
      <c r="ATN165" s="1056"/>
      <c r="ATO165" s="1056"/>
      <c r="ATP165" s="1056"/>
      <c r="ATQ165" s="1056"/>
      <c r="ATR165" s="1056"/>
      <c r="ATS165" s="1056"/>
      <c r="ATT165" s="1056"/>
      <c r="ATU165" s="1056"/>
      <c r="ATV165" s="1056"/>
      <c r="ATW165" s="1056"/>
      <c r="ATX165" s="1056"/>
      <c r="ATY165" s="1056"/>
      <c r="ATZ165" s="1056"/>
      <c r="AUA165" s="1056"/>
      <c r="AUB165" s="1056"/>
      <c r="AUC165" s="1056"/>
      <c r="AUD165" s="1056"/>
      <c r="AUE165" s="1056"/>
      <c r="AUF165" s="1056"/>
      <c r="AUG165" s="1056"/>
      <c r="AUH165" s="1056"/>
      <c r="AUI165" s="1056"/>
      <c r="AUJ165" s="1056"/>
      <c r="AUK165" s="1056"/>
      <c r="AUL165" s="1056"/>
      <c r="AUM165" s="1056"/>
      <c r="AUN165" s="1056"/>
      <c r="AUO165" s="1056"/>
      <c r="AUP165" s="1056"/>
      <c r="AUQ165" s="1056"/>
      <c r="AUR165" s="1056"/>
      <c r="AUS165" s="1056"/>
      <c r="AUT165" s="1056"/>
      <c r="AUU165" s="1056"/>
      <c r="AUV165" s="1056"/>
      <c r="AUW165" s="1056"/>
      <c r="AUX165" s="1056"/>
      <c r="AUY165" s="1056"/>
      <c r="AUZ165" s="1056"/>
      <c r="AVA165" s="1056"/>
      <c r="AVB165" s="1056"/>
      <c r="AVC165" s="1056"/>
      <c r="AVD165" s="1056"/>
      <c r="AVE165" s="1056"/>
      <c r="AVF165" s="1056"/>
      <c r="AVG165" s="1056"/>
      <c r="AVH165" s="1056"/>
      <c r="AVI165" s="1056"/>
      <c r="AVJ165" s="1056"/>
      <c r="AVK165" s="1056"/>
      <c r="AVL165" s="1056"/>
      <c r="AVM165" s="1056"/>
      <c r="AVN165" s="1056"/>
      <c r="AVO165" s="1056"/>
      <c r="AVP165" s="1056"/>
      <c r="AVQ165" s="1056"/>
      <c r="AVR165" s="1056"/>
      <c r="AVS165" s="1056"/>
      <c r="AVT165" s="1056"/>
      <c r="AVU165" s="1056"/>
      <c r="AVV165" s="1056"/>
      <c r="AVW165" s="1056"/>
      <c r="AVX165" s="1056"/>
      <c r="AVY165" s="1056"/>
      <c r="AVZ165" s="1056"/>
      <c r="AWA165" s="1056"/>
      <c r="AWB165" s="1056"/>
      <c r="AWC165" s="1056"/>
      <c r="AWD165" s="1056"/>
      <c r="AWE165" s="1056"/>
      <c r="AWF165" s="1056"/>
      <c r="AWG165" s="1056"/>
      <c r="AWH165" s="1056"/>
      <c r="AWI165" s="1056"/>
      <c r="AWJ165" s="1056"/>
      <c r="AWK165" s="1056"/>
      <c r="AWL165" s="1056"/>
      <c r="AWM165" s="1056"/>
      <c r="AWN165" s="1056"/>
      <c r="AWO165" s="1056"/>
      <c r="AWP165" s="1056"/>
      <c r="AWQ165" s="1056"/>
      <c r="AWR165" s="1056"/>
      <c r="AWS165" s="1056"/>
      <c r="AWT165" s="1056"/>
      <c r="AWU165" s="1056"/>
      <c r="AWV165" s="1056"/>
      <c r="AWW165" s="1056"/>
      <c r="AWX165" s="1056"/>
      <c r="AWY165" s="1056"/>
      <c r="AWZ165" s="1056"/>
      <c r="AXA165" s="1056"/>
      <c r="AXB165" s="1056"/>
      <c r="AXC165" s="1056"/>
      <c r="AXD165" s="1056"/>
      <c r="AXE165" s="1056"/>
      <c r="AXF165" s="1056"/>
      <c r="AXG165" s="1056"/>
      <c r="AXH165" s="1056"/>
      <c r="AXI165" s="1056"/>
      <c r="AXJ165" s="1056"/>
      <c r="AXK165" s="1056"/>
      <c r="AXL165" s="1056"/>
      <c r="AXM165" s="1056"/>
      <c r="AXN165" s="1056"/>
      <c r="AXO165" s="1056"/>
      <c r="AXP165" s="1056"/>
      <c r="AXQ165" s="1056"/>
      <c r="AXR165" s="1056"/>
      <c r="AXS165" s="1056"/>
      <c r="AXT165" s="1056"/>
      <c r="AXU165" s="1056"/>
      <c r="AXV165" s="1056"/>
      <c r="AXW165" s="1056"/>
      <c r="AXX165" s="1056"/>
      <c r="AXY165" s="1056"/>
      <c r="AXZ165" s="1056"/>
      <c r="AYA165" s="1056"/>
      <c r="AYB165" s="1056"/>
      <c r="AYC165" s="1056"/>
      <c r="AYD165" s="1056"/>
      <c r="AYE165" s="1056"/>
      <c r="AYF165" s="1056"/>
      <c r="AYG165" s="1056"/>
      <c r="AYH165" s="1056"/>
      <c r="AYI165" s="1056"/>
      <c r="AYJ165" s="1056"/>
      <c r="AYK165" s="1056"/>
      <c r="AYL165" s="1056"/>
      <c r="AYM165" s="1056"/>
      <c r="AYN165" s="1056"/>
      <c r="AYO165" s="1056"/>
      <c r="AYP165" s="1056"/>
      <c r="AYQ165" s="1056"/>
      <c r="AYR165" s="1056"/>
      <c r="AYS165" s="1056"/>
      <c r="AYT165" s="1056"/>
      <c r="AYU165" s="1056"/>
      <c r="AYV165" s="1056"/>
      <c r="AYW165" s="1056"/>
      <c r="AYX165" s="1056"/>
      <c r="AYY165" s="1056"/>
      <c r="AYZ165" s="1056"/>
      <c r="AZA165" s="1056"/>
      <c r="AZB165" s="1056"/>
      <c r="AZC165" s="1056"/>
      <c r="AZD165" s="1056"/>
      <c r="AZE165" s="1056"/>
      <c r="AZF165" s="1056"/>
      <c r="AZG165" s="1056"/>
      <c r="AZH165" s="1056"/>
      <c r="AZI165" s="1056"/>
      <c r="AZJ165" s="1056"/>
      <c r="AZK165" s="1056"/>
      <c r="AZL165" s="1056"/>
      <c r="AZM165" s="1056"/>
      <c r="AZN165" s="1056"/>
      <c r="AZO165" s="1056"/>
      <c r="AZP165" s="1056"/>
      <c r="AZQ165" s="1056"/>
      <c r="AZR165" s="1056"/>
      <c r="AZS165" s="1056"/>
      <c r="AZT165" s="1056"/>
      <c r="AZU165" s="1056"/>
      <c r="AZV165" s="1056"/>
      <c r="AZW165" s="1056"/>
      <c r="AZX165" s="1056"/>
      <c r="AZY165" s="1056"/>
      <c r="AZZ165" s="1056"/>
      <c r="BAA165" s="1056"/>
      <c r="BAB165" s="1056"/>
      <c r="BAC165" s="1056"/>
      <c r="BAD165" s="1056"/>
      <c r="BAE165" s="1056"/>
      <c r="BAF165" s="1056"/>
      <c r="BAG165" s="1056"/>
      <c r="BAH165" s="1056"/>
      <c r="BAI165" s="1056"/>
      <c r="BAJ165" s="1056"/>
      <c r="BAK165" s="1056"/>
      <c r="BAL165" s="1056"/>
      <c r="BAM165" s="1056"/>
      <c r="BAN165" s="1056"/>
      <c r="BAO165" s="1056"/>
      <c r="BAP165" s="1056"/>
      <c r="BAQ165" s="1056"/>
      <c r="BAR165" s="1056"/>
      <c r="BAS165" s="1056"/>
      <c r="BAT165" s="1056"/>
      <c r="BAU165" s="1056"/>
      <c r="BAV165" s="1056"/>
      <c r="BAW165" s="1056"/>
      <c r="BAX165" s="1056"/>
      <c r="BAY165" s="1056"/>
      <c r="BAZ165" s="1056"/>
      <c r="BBA165" s="1056"/>
      <c r="BBB165" s="1056"/>
      <c r="BBC165" s="1056"/>
      <c r="BBD165" s="1056"/>
      <c r="BBE165" s="1056"/>
      <c r="BBF165" s="1056"/>
      <c r="BBG165" s="1056"/>
      <c r="BBH165" s="1056"/>
      <c r="BBI165" s="1056"/>
      <c r="BBJ165" s="1056"/>
      <c r="BBK165" s="1056"/>
      <c r="BBL165" s="1056"/>
      <c r="BBM165" s="1056"/>
      <c r="BBN165" s="1056"/>
      <c r="BBO165" s="1056"/>
      <c r="BBP165" s="1056"/>
      <c r="BBQ165" s="1056"/>
      <c r="BBR165" s="1056"/>
      <c r="BBS165" s="1056"/>
      <c r="BBT165" s="1056"/>
      <c r="BBU165" s="1056"/>
      <c r="BBV165" s="1056"/>
      <c r="BBW165" s="1056"/>
      <c r="BBX165" s="1056"/>
      <c r="BBY165" s="1056"/>
      <c r="BBZ165" s="1056"/>
      <c r="BCA165" s="1056"/>
      <c r="BCB165" s="1056"/>
      <c r="BCC165" s="1056"/>
      <c r="BCD165" s="1056"/>
      <c r="BCE165" s="1056"/>
      <c r="BCF165" s="1056"/>
      <c r="BCG165" s="1056"/>
      <c r="BCH165" s="1056"/>
      <c r="BCI165" s="1056"/>
      <c r="BCJ165" s="1056"/>
      <c r="BCK165" s="1056"/>
      <c r="BCL165" s="1056"/>
      <c r="BCM165" s="1056"/>
      <c r="BCN165" s="1056"/>
      <c r="BCO165" s="1056"/>
      <c r="BCP165" s="1056"/>
      <c r="BCQ165" s="1056"/>
      <c r="BCR165" s="1056"/>
      <c r="BCS165" s="1056"/>
      <c r="BCT165" s="1056"/>
      <c r="BCU165" s="1056"/>
      <c r="BCV165" s="1056"/>
      <c r="BCW165" s="1056"/>
      <c r="BCX165" s="1056"/>
      <c r="BCY165" s="1056"/>
      <c r="BCZ165" s="1056"/>
      <c r="BDA165" s="1056"/>
      <c r="BDB165" s="1056"/>
      <c r="BDC165" s="1056"/>
      <c r="BDD165" s="1056"/>
      <c r="BDE165" s="1056"/>
      <c r="BDF165" s="1056"/>
      <c r="BDG165" s="1056"/>
      <c r="BDH165" s="1056"/>
      <c r="BDI165" s="1056"/>
      <c r="BDJ165" s="1056"/>
      <c r="BDK165" s="1056"/>
      <c r="BDL165" s="1056"/>
      <c r="BDM165" s="1056"/>
      <c r="BDN165" s="1056"/>
      <c r="BDO165" s="1056"/>
      <c r="BDP165" s="1056"/>
      <c r="BDQ165" s="1056"/>
      <c r="BDR165" s="1056"/>
      <c r="BDS165" s="1056"/>
      <c r="BDT165" s="1056"/>
      <c r="BDU165" s="1056"/>
      <c r="BDV165" s="1056"/>
      <c r="BDW165" s="1056"/>
      <c r="BDX165" s="1056"/>
      <c r="BDY165" s="1056"/>
      <c r="BDZ165" s="1056"/>
      <c r="BEA165" s="1056"/>
      <c r="BEB165" s="1056"/>
      <c r="BEC165" s="1056"/>
      <c r="BED165" s="1056"/>
      <c r="BEE165" s="1056"/>
      <c r="BEF165" s="1056"/>
      <c r="BEG165" s="1056"/>
      <c r="BEH165" s="1056"/>
      <c r="BEI165" s="1056"/>
      <c r="BEJ165" s="1056"/>
      <c r="BEK165" s="1056"/>
      <c r="BEL165" s="1056"/>
      <c r="BEM165" s="1056"/>
      <c r="BEN165" s="1056"/>
      <c r="BEO165" s="1056"/>
      <c r="BEP165" s="1056"/>
      <c r="BEQ165" s="1056"/>
      <c r="BER165" s="1056"/>
      <c r="BES165" s="1056"/>
      <c r="BET165" s="1056"/>
      <c r="BEU165" s="1056"/>
      <c r="BEV165" s="1056"/>
      <c r="BEW165" s="1056"/>
      <c r="BEX165" s="1056"/>
      <c r="BEY165" s="1056"/>
      <c r="BEZ165" s="1056"/>
      <c r="BFA165" s="1056"/>
      <c r="BFB165" s="1056"/>
      <c r="BFC165" s="1056"/>
      <c r="BFD165" s="1056"/>
      <c r="BFE165" s="1056"/>
      <c r="BFF165" s="1056"/>
      <c r="BFG165" s="1056"/>
      <c r="BFH165" s="1056"/>
      <c r="BFI165" s="1056"/>
      <c r="BFJ165" s="1056"/>
      <c r="BFK165" s="1056"/>
      <c r="BFL165" s="1056"/>
      <c r="BFM165" s="1056"/>
      <c r="BFN165" s="1056"/>
      <c r="BFO165" s="1056"/>
      <c r="BFP165" s="1056"/>
      <c r="BFQ165" s="1056"/>
      <c r="BFR165" s="1056"/>
      <c r="BFS165" s="1056"/>
      <c r="BFT165" s="1056"/>
      <c r="BFU165" s="1056"/>
      <c r="BFV165" s="1056"/>
      <c r="BFW165" s="1056"/>
      <c r="BFX165" s="1056"/>
      <c r="BFY165" s="1056"/>
      <c r="BFZ165" s="1056"/>
      <c r="BGA165" s="1056"/>
      <c r="BGB165" s="1056"/>
      <c r="BGC165" s="1056"/>
      <c r="BGD165" s="1056"/>
      <c r="BGE165" s="1056"/>
      <c r="BGF165" s="1056"/>
      <c r="BGG165" s="1056"/>
      <c r="BGH165" s="1056"/>
      <c r="BGI165" s="1056"/>
      <c r="BGJ165" s="1056"/>
      <c r="BGK165" s="1056"/>
      <c r="BGL165" s="1056"/>
      <c r="BGM165" s="1056"/>
      <c r="BGN165" s="1056"/>
      <c r="BGO165" s="1056"/>
      <c r="BGP165" s="1056"/>
      <c r="BGQ165" s="1056"/>
      <c r="BGR165" s="1056"/>
      <c r="BGS165" s="1056"/>
      <c r="BGT165" s="1056"/>
      <c r="BGU165" s="1056"/>
      <c r="BGV165" s="1056"/>
      <c r="BGW165" s="1056"/>
      <c r="BGX165" s="1056"/>
      <c r="BGY165" s="1056"/>
      <c r="BGZ165" s="1056"/>
      <c r="BHA165" s="1056"/>
      <c r="BHB165" s="1056"/>
      <c r="BHC165" s="1056"/>
      <c r="BHD165" s="1056"/>
      <c r="BHE165" s="1056"/>
      <c r="BHF165" s="1056"/>
      <c r="BHG165" s="1056"/>
      <c r="BHH165" s="1056"/>
      <c r="BHI165" s="1056"/>
      <c r="BHJ165" s="1056"/>
      <c r="BHK165" s="1056"/>
      <c r="BHL165" s="1056"/>
      <c r="BHM165" s="1056"/>
      <c r="BHN165" s="1056"/>
      <c r="BHO165" s="1056"/>
      <c r="BHP165" s="1056"/>
      <c r="BHQ165" s="1056"/>
      <c r="BHR165" s="1056"/>
      <c r="BHS165" s="1056"/>
      <c r="BHT165" s="1056"/>
      <c r="BHU165" s="1056"/>
      <c r="BHV165" s="1056"/>
      <c r="BHW165" s="1056"/>
      <c r="BHX165" s="1056"/>
      <c r="BHY165" s="1056"/>
      <c r="BHZ165" s="1056"/>
      <c r="BIA165" s="1056"/>
      <c r="BIB165" s="1056"/>
      <c r="BIC165" s="1056"/>
      <c r="BID165" s="1056"/>
      <c r="BIE165" s="1056"/>
      <c r="BIF165" s="1056"/>
      <c r="BIG165" s="1056"/>
      <c r="BIH165" s="1056"/>
      <c r="BII165" s="1056"/>
      <c r="BIJ165" s="1056"/>
      <c r="BIK165" s="1056"/>
      <c r="BIL165" s="1056"/>
      <c r="BIM165" s="1056"/>
      <c r="BIN165" s="1056"/>
      <c r="BIO165" s="1056"/>
      <c r="BIP165" s="1056"/>
      <c r="BIQ165" s="1056"/>
      <c r="BIR165" s="1056"/>
      <c r="BIS165" s="1056"/>
      <c r="BIT165" s="1056"/>
      <c r="BIU165" s="1056"/>
      <c r="BIV165" s="1056"/>
      <c r="BIW165" s="1056"/>
      <c r="BIX165" s="1056"/>
      <c r="BIY165" s="1056"/>
      <c r="BIZ165" s="1056"/>
      <c r="BJA165" s="1056"/>
      <c r="BJB165" s="1056"/>
      <c r="BJC165" s="1056"/>
      <c r="BJD165" s="1056"/>
      <c r="BJE165" s="1056"/>
      <c r="BJF165" s="1056"/>
      <c r="BJG165" s="1056"/>
      <c r="BJH165" s="1056"/>
      <c r="BJI165" s="1056"/>
      <c r="BJJ165" s="1056"/>
      <c r="BJK165" s="1056"/>
      <c r="BJL165" s="1056"/>
      <c r="BJM165" s="1056"/>
      <c r="BJN165" s="1056"/>
      <c r="BJO165" s="1056"/>
      <c r="BJP165" s="1056"/>
      <c r="BJQ165" s="1056"/>
      <c r="BJR165" s="1056"/>
      <c r="BJS165" s="1056"/>
      <c r="BJT165" s="1056"/>
      <c r="BJU165" s="1056"/>
      <c r="BJV165" s="1056"/>
      <c r="BJW165" s="1056"/>
      <c r="BJX165" s="1056"/>
      <c r="BJY165" s="1056"/>
      <c r="BJZ165" s="1056"/>
      <c r="BKA165" s="1056"/>
      <c r="BKB165" s="1056"/>
      <c r="BKC165" s="1056"/>
      <c r="BKD165" s="1056"/>
      <c r="BKE165" s="1056"/>
      <c r="BKF165" s="1056"/>
      <c r="BKG165" s="1056"/>
      <c r="BKH165" s="1056"/>
      <c r="BKI165" s="1056"/>
      <c r="BKJ165" s="1056"/>
      <c r="BKK165" s="1056"/>
      <c r="BKL165" s="1056"/>
      <c r="BKM165" s="1056"/>
      <c r="BKN165" s="1056"/>
      <c r="BKO165" s="1056"/>
      <c r="BKP165" s="1056"/>
      <c r="BKQ165" s="1056"/>
      <c r="BKR165" s="1056"/>
      <c r="BKS165" s="1056"/>
      <c r="BKT165" s="1056"/>
      <c r="BKU165" s="1056"/>
      <c r="BKV165" s="1056"/>
      <c r="BKW165" s="1056"/>
      <c r="BKX165" s="1056"/>
      <c r="BKY165" s="1056"/>
      <c r="BKZ165" s="1056"/>
      <c r="BLA165" s="1056"/>
      <c r="BLB165" s="1056"/>
      <c r="BLC165" s="1056"/>
      <c r="BLD165" s="1056"/>
      <c r="BLE165" s="1056"/>
      <c r="BLF165" s="1056"/>
      <c r="BLG165" s="1056"/>
      <c r="BLH165" s="1056"/>
      <c r="BLI165" s="1056"/>
      <c r="BLJ165" s="1056"/>
      <c r="BLK165" s="1056"/>
      <c r="BLL165" s="1056"/>
      <c r="BLM165" s="1056"/>
      <c r="BLN165" s="1056"/>
      <c r="BLO165" s="1056"/>
      <c r="BLP165" s="1056"/>
      <c r="BLQ165" s="1056"/>
      <c r="BLR165" s="1056"/>
      <c r="BLS165" s="1056"/>
      <c r="BLT165" s="1056"/>
      <c r="BLU165" s="1056"/>
      <c r="BLV165" s="1056"/>
      <c r="BLW165" s="1056"/>
      <c r="BLX165" s="1056"/>
      <c r="BLY165" s="1056"/>
      <c r="BLZ165" s="1056"/>
      <c r="BMA165" s="1056"/>
      <c r="BMB165" s="1056"/>
      <c r="BMC165" s="1056"/>
      <c r="BMD165" s="1056"/>
      <c r="BME165" s="1056"/>
      <c r="BMF165" s="1056"/>
      <c r="BMG165" s="1056"/>
      <c r="BMH165" s="1056"/>
      <c r="BMI165" s="1056"/>
      <c r="BMJ165" s="1056"/>
      <c r="BMK165" s="1056"/>
      <c r="BML165" s="1056"/>
      <c r="BMM165" s="1056"/>
      <c r="BMN165" s="1056"/>
      <c r="BMO165" s="1056"/>
      <c r="BMP165" s="1056"/>
      <c r="BMQ165" s="1056"/>
      <c r="BMR165" s="1056"/>
      <c r="BMS165" s="1056"/>
      <c r="BMT165" s="1056"/>
      <c r="BMU165" s="1056"/>
      <c r="BMV165" s="1056"/>
      <c r="BMW165" s="1056"/>
      <c r="BMX165" s="1056"/>
      <c r="BMY165" s="1056"/>
      <c r="BMZ165" s="1056"/>
      <c r="BNA165" s="1056"/>
      <c r="BNB165" s="1056"/>
      <c r="BNC165" s="1056"/>
      <c r="BND165" s="1056"/>
      <c r="BNE165" s="1056"/>
      <c r="BNF165" s="1056"/>
      <c r="BNG165" s="1056"/>
      <c r="BNH165" s="1056"/>
      <c r="BNI165" s="1056"/>
      <c r="BNJ165" s="1056"/>
      <c r="BNK165" s="1056"/>
      <c r="BNL165" s="1056"/>
      <c r="BNM165" s="1056"/>
      <c r="BNN165" s="1056"/>
      <c r="BNO165" s="1056"/>
      <c r="BNP165" s="1056"/>
      <c r="BNQ165" s="1056"/>
      <c r="BNR165" s="1056"/>
      <c r="BNS165" s="1056"/>
      <c r="BNT165" s="1056"/>
      <c r="BNU165" s="1056"/>
      <c r="BNV165" s="1056"/>
      <c r="BNW165" s="1056"/>
      <c r="BNX165" s="1056"/>
      <c r="BNY165" s="1056"/>
      <c r="BNZ165" s="1056"/>
      <c r="BOA165" s="1056"/>
      <c r="BOB165" s="1056"/>
      <c r="BOC165" s="1056"/>
      <c r="BOD165" s="1056"/>
      <c r="BOE165" s="1056"/>
      <c r="BOF165" s="1056"/>
      <c r="BOG165" s="1056"/>
      <c r="BOH165" s="1056"/>
      <c r="BOI165" s="1056"/>
      <c r="BOJ165" s="1056"/>
      <c r="BOK165" s="1056"/>
      <c r="BOL165" s="1056"/>
      <c r="BOM165" s="1056"/>
      <c r="BON165" s="1056"/>
      <c r="BOO165" s="1056"/>
      <c r="BOP165" s="1056"/>
      <c r="BOQ165" s="1056"/>
      <c r="BOR165" s="1056"/>
      <c r="BOS165" s="1056"/>
      <c r="BOT165" s="1056"/>
      <c r="BOU165" s="1056"/>
      <c r="BOV165" s="1056"/>
      <c r="BOW165" s="1056"/>
      <c r="BOX165" s="1056"/>
      <c r="BOY165" s="1056"/>
      <c r="BOZ165" s="1056"/>
      <c r="BPA165" s="1056"/>
      <c r="BPB165" s="1056"/>
      <c r="BPC165" s="1056"/>
      <c r="BPD165" s="1056"/>
      <c r="BPE165" s="1056"/>
      <c r="BPF165" s="1056"/>
      <c r="BPG165" s="1056"/>
      <c r="BPH165" s="1056"/>
      <c r="BPI165" s="1056"/>
      <c r="BPJ165" s="1056"/>
      <c r="BPK165" s="1056"/>
      <c r="BPL165" s="1056"/>
      <c r="BPM165" s="1056"/>
      <c r="BPN165" s="1056"/>
      <c r="BPO165" s="1056"/>
      <c r="BPP165" s="1056"/>
      <c r="BPQ165" s="1056"/>
      <c r="BPR165" s="1056"/>
      <c r="BPS165" s="1056"/>
      <c r="BPT165" s="1056"/>
      <c r="BPU165" s="1056"/>
      <c r="BPV165" s="1056"/>
      <c r="BPW165" s="1056"/>
      <c r="BPX165" s="1056"/>
      <c r="BPY165" s="1056"/>
      <c r="BPZ165" s="1056"/>
      <c r="BQA165" s="1056"/>
      <c r="BQB165" s="1056"/>
      <c r="BQC165" s="1056"/>
      <c r="BQD165" s="1056"/>
      <c r="BQE165" s="1056"/>
      <c r="BQF165" s="1056"/>
      <c r="BQG165" s="1056"/>
      <c r="BQH165" s="1056"/>
      <c r="BQI165" s="1056"/>
      <c r="BQJ165" s="1056"/>
      <c r="BQK165" s="1056"/>
      <c r="BQL165" s="1056"/>
      <c r="BQM165" s="1056"/>
      <c r="BQN165" s="1056"/>
      <c r="BQO165" s="1056"/>
      <c r="BQP165" s="1056"/>
      <c r="BQQ165" s="1056"/>
      <c r="BQR165" s="1056"/>
      <c r="BQS165" s="1056"/>
      <c r="BQT165" s="1056"/>
      <c r="BQU165" s="1056"/>
      <c r="BQV165" s="1056"/>
      <c r="BQW165" s="1056"/>
      <c r="BQX165" s="1056"/>
      <c r="BQY165" s="1056"/>
      <c r="BQZ165" s="1056"/>
      <c r="BRA165" s="1056"/>
      <c r="BRB165" s="1056"/>
      <c r="BRC165" s="1056"/>
      <c r="BRD165" s="1056"/>
      <c r="BRE165" s="1056"/>
      <c r="BRF165" s="1056"/>
      <c r="BRG165" s="1056"/>
      <c r="BRH165" s="1056"/>
      <c r="BRI165" s="1056"/>
      <c r="BRJ165" s="1056"/>
      <c r="BRK165" s="1056"/>
      <c r="BRL165" s="1056"/>
      <c r="BRM165" s="1056"/>
      <c r="BRN165" s="1056"/>
      <c r="BRO165" s="1056"/>
      <c r="BRP165" s="1056"/>
      <c r="BRQ165" s="1056"/>
      <c r="BRR165" s="1056"/>
      <c r="BRS165" s="1056"/>
      <c r="BRT165" s="1056"/>
      <c r="BRU165" s="1056"/>
      <c r="BRV165" s="1056"/>
      <c r="BRW165" s="1056"/>
      <c r="BRX165" s="1056"/>
      <c r="BRY165" s="1056"/>
      <c r="BRZ165" s="1056"/>
      <c r="BSA165" s="1056"/>
      <c r="BSB165" s="1056"/>
      <c r="BSC165" s="1056"/>
      <c r="BSD165" s="1056"/>
      <c r="BSE165" s="1056"/>
      <c r="BSF165" s="1056"/>
      <c r="BSG165" s="1056"/>
      <c r="BSH165" s="1056"/>
      <c r="BSI165" s="1056"/>
      <c r="BSJ165" s="1056"/>
      <c r="BSK165" s="1056"/>
      <c r="BSL165" s="1056"/>
      <c r="BSM165" s="1056"/>
      <c r="BSN165" s="1056"/>
      <c r="BSO165" s="1056"/>
      <c r="BSP165" s="1056"/>
      <c r="BSQ165" s="1056"/>
      <c r="BSR165" s="1056"/>
      <c r="BSS165" s="1056"/>
      <c r="BST165" s="1056"/>
      <c r="BSU165" s="1056"/>
      <c r="BSV165" s="1056"/>
      <c r="BSW165" s="1056"/>
      <c r="BSX165" s="1056"/>
      <c r="BSY165" s="1056"/>
      <c r="BSZ165" s="1056"/>
      <c r="BTA165" s="1056"/>
      <c r="BTB165" s="1056"/>
      <c r="BTC165" s="1056"/>
      <c r="BTD165" s="1056"/>
      <c r="BTE165" s="1056"/>
      <c r="BTF165" s="1056"/>
      <c r="BTG165" s="1056"/>
      <c r="BTH165" s="1056"/>
      <c r="BTI165" s="1056"/>
    </row>
    <row r="166" spans="1:1881" s="1060" customFormat="1" ht="99.75" hidden="1" customHeight="1" x14ac:dyDescent="0.3">
      <c r="A166" s="1059">
        <v>384</v>
      </c>
      <c r="B166" s="808" t="s">
        <v>63</v>
      </c>
      <c r="C166" s="808" t="s">
        <v>1400</v>
      </c>
      <c r="D166" s="1084" t="s">
        <v>1177</v>
      </c>
      <c r="E166" s="1053" t="e">
        <f>HLOOKUP($D$2,'2020 Data(H)'!$C$1:$AI$426,143,FALSE)</f>
        <v>#N/A</v>
      </c>
      <c r="F166" s="287">
        <v>0</v>
      </c>
      <c r="G166" s="739">
        <f>IF(F166&gt;F160,"Error: Please review components of current liabilities above. Account number 384&gt;639",)</f>
        <v>0</v>
      </c>
      <c r="H166" s="1051"/>
      <c r="I166" s="1055"/>
      <c r="J166" s="1056"/>
      <c r="K166" s="1056"/>
      <c r="L166" s="1056"/>
      <c r="M166" s="1056"/>
      <c r="N166" s="1058"/>
      <c r="O166" s="1056"/>
      <c r="P166" s="1056"/>
      <c r="Q166" s="1056"/>
      <c r="R166" s="1056"/>
      <c r="S166" s="1056"/>
      <c r="T166" s="1056"/>
      <c r="U166" s="1056"/>
      <c r="V166" s="1056"/>
      <c r="W166" s="1056"/>
      <c r="X166" s="1056"/>
      <c r="Y166" s="1056"/>
      <c r="Z166" s="1059"/>
      <c r="AA166" s="1059"/>
      <c r="AB166" s="1059"/>
      <c r="AC166" s="1059"/>
      <c r="AD166" s="1059"/>
      <c r="AE166" s="1059"/>
      <c r="AF166" s="1059"/>
      <c r="AG166" s="1059"/>
      <c r="AH166" s="1059"/>
      <c r="AI166" s="1059"/>
      <c r="AJ166" s="1059"/>
      <c r="AK166" s="1059"/>
      <c r="AL166" s="1059"/>
      <c r="AM166" s="1059"/>
      <c r="AN166" s="1059"/>
      <c r="AO166" s="1059"/>
      <c r="AP166" s="1059"/>
      <c r="AQ166" s="1059"/>
      <c r="AR166" s="1059"/>
      <c r="AS166" s="1056"/>
      <c r="AT166" s="1056"/>
      <c r="AU166" s="1056"/>
      <c r="AV166" s="1056"/>
      <c r="AW166" s="1056"/>
      <c r="AX166" s="1056"/>
      <c r="AY166" s="1056"/>
      <c r="AZ166" s="1056"/>
      <c r="BA166" s="1056"/>
      <c r="BB166" s="1056"/>
      <c r="BC166" s="1056"/>
      <c r="BD166" s="1056"/>
      <c r="BE166" s="1056"/>
      <c r="BF166" s="1056"/>
      <c r="BG166" s="1056"/>
      <c r="BH166" s="1056"/>
      <c r="BI166" s="1056"/>
      <c r="BJ166" s="1056"/>
      <c r="BK166" s="1056"/>
      <c r="BL166" s="1056"/>
      <c r="BM166" s="1056"/>
      <c r="BN166" s="1056"/>
      <c r="BO166" s="1056"/>
      <c r="BP166" s="1056"/>
      <c r="BQ166" s="1056"/>
      <c r="BR166" s="1056"/>
      <c r="BS166" s="1056"/>
      <c r="BT166" s="1056"/>
      <c r="BU166" s="1056"/>
      <c r="BV166" s="1056"/>
      <c r="BW166" s="1056"/>
      <c r="BX166" s="1056"/>
      <c r="BY166" s="1056"/>
      <c r="BZ166" s="1056"/>
      <c r="CA166" s="1056"/>
      <c r="CB166" s="1056"/>
      <c r="CC166" s="1056"/>
      <c r="CD166" s="1056"/>
      <c r="CE166" s="1056"/>
      <c r="CF166" s="1056"/>
      <c r="CG166" s="1056"/>
      <c r="CH166" s="1056"/>
      <c r="CI166" s="1056"/>
      <c r="CJ166" s="1056"/>
      <c r="CK166" s="1056"/>
      <c r="CL166" s="1056"/>
      <c r="CM166" s="1056"/>
      <c r="CN166" s="1056"/>
      <c r="CO166" s="1056"/>
      <c r="CP166" s="1056"/>
      <c r="CQ166" s="1056"/>
      <c r="CR166" s="1056"/>
      <c r="CS166" s="1056"/>
      <c r="CT166" s="1056"/>
      <c r="CU166" s="1056"/>
      <c r="CV166" s="1056"/>
      <c r="CW166" s="1056"/>
      <c r="CX166" s="1056"/>
      <c r="CY166" s="1056"/>
      <c r="CZ166" s="1056"/>
      <c r="DA166" s="1056"/>
      <c r="DB166" s="1056"/>
      <c r="DC166" s="1056"/>
      <c r="DD166" s="1056"/>
      <c r="DE166" s="1056"/>
      <c r="DF166" s="1056"/>
      <c r="DG166" s="1056"/>
      <c r="DH166" s="1056"/>
      <c r="DI166" s="1056"/>
      <c r="DJ166" s="1056"/>
      <c r="DK166" s="1056"/>
      <c r="DL166" s="1056"/>
      <c r="DM166" s="1056"/>
      <c r="DN166" s="1056"/>
      <c r="DO166" s="1056"/>
      <c r="DP166" s="1056"/>
      <c r="DQ166" s="1056"/>
      <c r="DR166" s="1056"/>
      <c r="DS166" s="1056"/>
      <c r="DT166" s="1056"/>
      <c r="DU166" s="1056"/>
      <c r="DV166" s="1056"/>
      <c r="DW166" s="1056"/>
      <c r="DX166" s="1056"/>
      <c r="DY166" s="1056"/>
      <c r="DZ166" s="1056"/>
      <c r="EA166" s="1056"/>
      <c r="EB166" s="1056"/>
      <c r="EC166" s="1056"/>
      <c r="ED166" s="1056"/>
      <c r="EE166" s="1056"/>
      <c r="EF166" s="1056"/>
      <c r="EG166" s="1056"/>
      <c r="EH166" s="1056"/>
      <c r="EI166" s="1056"/>
      <c r="EJ166" s="1056"/>
      <c r="EK166" s="1056"/>
      <c r="EL166" s="1056"/>
      <c r="EM166" s="1056"/>
      <c r="EN166" s="1056"/>
      <c r="EO166" s="1056"/>
      <c r="EP166" s="1056"/>
      <c r="EQ166" s="1056"/>
      <c r="ER166" s="1056"/>
      <c r="ES166" s="1056"/>
      <c r="ET166" s="1056"/>
      <c r="EU166" s="1056"/>
      <c r="EV166" s="1056"/>
      <c r="EW166" s="1056"/>
      <c r="EX166" s="1056"/>
      <c r="EY166" s="1056"/>
      <c r="EZ166" s="1056"/>
      <c r="FA166" s="1056"/>
      <c r="FB166" s="1056"/>
      <c r="FC166" s="1056"/>
      <c r="FD166" s="1056"/>
      <c r="FE166" s="1056"/>
      <c r="FF166" s="1056"/>
      <c r="FG166" s="1056"/>
      <c r="FH166" s="1056"/>
      <c r="FI166" s="1056"/>
      <c r="FJ166" s="1056"/>
      <c r="FK166" s="1056"/>
      <c r="FL166" s="1056"/>
      <c r="FM166" s="1056"/>
      <c r="FN166" s="1056"/>
      <c r="FO166" s="1056"/>
      <c r="FP166" s="1056"/>
      <c r="FQ166" s="1056"/>
      <c r="FR166" s="1056"/>
      <c r="FS166" s="1056"/>
      <c r="FT166" s="1056"/>
      <c r="FU166" s="1056"/>
      <c r="FV166" s="1056"/>
      <c r="FW166" s="1056"/>
      <c r="FX166" s="1056"/>
      <c r="FY166" s="1056"/>
      <c r="FZ166" s="1056"/>
      <c r="GA166" s="1056"/>
      <c r="GB166" s="1056"/>
      <c r="GC166" s="1056"/>
      <c r="GD166" s="1056"/>
      <c r="GE166" s="1056"/>
      <c r="GF166" s="1056"/>
      <c r="GG166" s="1056"/>
      <c r="GH166" s="1056"/>
      <c r="GI166" s="1056"/>
      <c r="GJ166" s="1056"/>
      <c r="GK166" s="1056"/>
      <c r="GL166" s="1056"/>
      <c r="GM166" s="1056"/>
      <c r="GN166" s="1056"/>
      <c r="GO166" s="1056"/>
      <c r="GP166" s="1056"/>
      <c r="GQ166" s="1056"/>
      <c r="GR166" s="1056"/>
      <c r="GS166" s="1056"/>
      <c r="GT166" s="1056"/>
      <c r="GU166" s="1056"/>
      <c r="GV166" s="1056"/>
      <c r="GW166" s="1056"/>
      <c r="GX166" s="1056"/>
      <c r="GY166" s="1056"/>
      <c r="GZ166" s="1056"/>
      <c r="HA166" s="1056"/>
      <c r="HB166" s="1056"/>
      <c r="HC166" s="1056"/>
      <c r="HD166" s="1056"/>
      <c r="HE166" s="1056"/>
      <c r="HF166" s="1056"/>
      <c r="HG166" s="1056"/>
      <c r="HH166" s="1056"/>
      <c r="HI166" s="1056"/>
      <c r="HJ166" s="1056"/>
      <c r="HK166" s="1056"/>
      <c r="HL166" s="1056"/>
      <c r="HM166" s="1056"/>
      <c r="HN166" s="1056"/>
      <c r="HO166" s="1056"/>
      <c r="HP166" s="1056"/>
      <c r="HQ166" s="1056"/>
      <c r="HR166" s="1056"/>
      <c r="HS166" s="1056"/>
      <c r="HT166" s="1056"/>
      <c r="HU166" s="1056"/>
      <c r="HV166" s="1056"/>
      <c r="HW166" s="1056"/>
      <c r="HX166" s="1056"/>
      <c r="HY166" s="1056"/>
      <c r="HZ166" s="1056"/>
      <c r="IA166" s="1056"/>
      <c r="IB166" s="1056"/>
      <c r="IC166" s="1056"/>
      <c r="ID166" s="1056"/>
      <c r="IE166" s="1056"/>
      <c r="IF166" s="1056"/>
      <c r="IG166" s="1056"/>
      <c r="IH166" s="1056"/>
      <c r="II166" s="1056"/>
      <c r="IJ166" s="1056"/>
      <c r="IK166" s="1056"/>
      <c r="IL166" s="1056"/>
      <c r="IM166" s="1056"/>
      <c r="IN166" s="1056"/>
      <c r="IO166" s="1056"/>
      <c r="IP166" s="1056"/>
      <c r="IQ166" s="1056"/>
      <c r="IR166" s="1056"/>
      <c r="IS166" s="1056"/>
      <c r="IT166" s="1056"/>
      <c r="IU166" s="1056"/>
      <c r="IV166" s="1056"/>
      <c r="IW166" s="1056"/>
      <c r="IX166" s="1056"/>
      <c r="IY166" s="1056"/>
      <c r="IZ166" s="1056"/>
      <c r="JA166" s="1056"/>
      <c r="JB166" s="1056"/>
      <c r="JC166" s="1056"/>
      <c r="JD166" s="1056"/>
      <c r="JE166" s="1056"/>
      <c r="JF166" s="1056"/>
      <c r="JG166" s="1056"/>
      <c r="JH166" s="1056"/>
      <c r="JI166" s="1056"/>
      <c r="JJ166" s="1056"/>
      <c r="JK166" s="1056"/>
      <c r="JL166" s="1056"/>
      <c r="JM166" s="1056"/>
      <c r="JN166" s="1056"/>
      <c r="JO166" s="1056"/>
      <c r="JP166" s="1056"/>
      <c r="JQ166" s="1056"/>
      <c r="JR166" s="1056"/>
      <c r="JS166" s="1056"/>
      <c r="JT166" s="1056"/>
      <c r="JU166" s="1056"/>
      <c r="JV166" s="1056"/>
      <c r="JW166" s="1056"/>
      <c r="JX166" s="1056"/>
      <c r="JY166" s="1056"/>
      <c r="JZ166" s="1056"/>
      <c r="KA166" s="1056"/>
      <c r="KB166" s="1056"/>
      <c r="KC166" s="1056"/>
      <c r="KD166" s="1056"/>
      <c r="KE166" s="1056"/>
      <c r="KF166" s="1056"/>
      <c r="KG166" s="1056"/>
      <c r="KH166" s="1056"/>
      <c r="KI166" s="1056"/>
      <c r="KJ166" s="1056"/>
      <c r="KK166" s="1056"/>
      <c r="KL166" s="1056"/>
      <c r="KM166" s="1056"/>
      <c r="KN166" s="1056"/>
      <c r="KO166" s="1056"/>
      <c r="KP166" s="1056"/>
      <c r="KQ166" s="1056"/>
      <c r="KR166" s="1056"/>
      <c r="KS166" s="1056"/>
      <c r="KT166" s="1056"/>
      <c r="KU166" s="1056"/>
      <c r="KV166" s="1056"/>
      <c r="KW166" s="1056"/>
      <c r="KX166" s="1056"/>
      <c r="KY166" s="1056"/>
      <c r="KZ166" s="1056"/>
      <c r="LA166" s="1056"/>
      <c r="LB166" s="1056"/>
      <c r="LC166" s="1056"/>
      <c r="LD166" s="1056"/>
      <c r="LE166" s="1056"/>
      <c r="LF166" s="1056"/>
      <c r="LG166" s="1056"/>
      <c r="LH166" s="1056"/>
      <c r="LI166" s="1056"/>
      <c r="LJ166" s="1056"/>
      <c r="LK166" s="1056"/>
      <c r="LL166" s="1056"/>
      <c r="LM166" s="1056"/>
      <c r="LN166" s="1056"/>
      <c r="LO166" s="1056"/>
      <c r="LP166" s="1056"/>
      <c r="LQ166" s="1056"/>
      <c r="LR166" s="1056"/>
      <c r="LS166" s="1056"/>
      <c r="LT166" s="1056"/>
      <c r="LU166" s="1056"/>
      <c r="LV166" s="1056"/>
      <c r="LW166" s="1056"/>
      <c r="LX166" s="1056"/>
      <c r="LY166" s="1056"/>
      <c r="LZ166" s="1056"/>
      <c r="MA166" s="1056"/>
      <c r="MB166" s="1056"/>
      <c r="MC166" s="1056"/>
      <c r="MD166" s="1056"/>
      <c r="ME166" s="1056"/>
      <c r="MF166" s="1056"/>
      <c r="MG166" s="1056"/>
      <c r="MH166" s="1056"/>
      <c r="MI166" s="1056"/>
      <c r="MJ166" s="1056"/>
      <c r="MK166" s="1056"/>
      <c r="ML166" s="1056"/>
      <c r="MM166" s="1056"/>
      <c r="MN166" s="1056"/>
      <c r="MO166" s="1056"/>
      <c r="MP166" s="1056"/>
      <c r="MQ166" s="1056"/>
      <c r="MR166" s="1056"/>
      <c r="MS166" s="1056"/>
      <c r="MT166" s="1056"/>
      <c r="MU166" s="1056"/>
      <c r="MV166" s="1056"/>
      <c r="MW166" s="1056"/>
      <c r="MX166" s="1056"/>
      <c r="MY166" s="1056"/>
      <c r="MZ166" s="1056"/>
      <c r="NA166" s="1056"/>
      <c r="NB166" s="1056"/>
      <c r="NC166" s="1056"/>
      <c r="ND166" s="1056"/>
      <c r="NE166" s="1056"/>
      <c r="NF166" s="1056"/>
      <c r="NG166" s="1056"/>
      <c r="NH166" s="1056"/>
      <c r="NI166" s="1056"/>
      <c r="NJ166" s="1056"/>
      <c r="NK166" s="1056"/>
      <c r="NL166" s="1056"/>
      <c r="NM166" s="1056"/>
      <c r="NN166" s="1056"/>
      <c r="NO166" s="1056"/>
      <c r="NP166" s="1056"/>
      <c r="NQ166" s="1056"/>
      <c r="NR166" s="1056"/>
      <c r="NS166" s="1056"/>
      <c r="NT166" s="1056"/>
      <c r="NU166" s="1056"/>
      <c r="NV166" s="1056"/>
      <c r="NW166" s="1056"/>
      <c r="NX166" s="1056"/>
      <c r="NY166" s="1056"/>
      <c r="NZ166" s="1056"/>
      <c r="OA166" s="1056"/>
      <c r="OB166" s="1056"/>
      <c r="OC166" s="1056"/>
      <c r="OD166" s="1056"/>
      <c r="OE166" s="1056"/>
      <c r="OF166" s="1056"/>
      <c r="OG166" s="1056"/>
      <c r="OH166" s="1056"/>
      <c r="OI166" s="1056"/>
      <c r="OJ166" s="1056"/>
      <c r="OK166" s="1056"/>
      <c r="OL166" s="1056"/>
      <c r="OM166" s="1056"/>
      <c r="ON166" s="1056"/>
      <c r="OO166" s="1056"/>
      <c r="OP166" s="1056"/>
      <c r="OQ166" s="1056"/>
      <c r="OR166" s="1056"/>
      <c r="OS166" s="1056"/>
      <c r="OT166" s="1056"/>
      <c r="OU166" s="1056"/>
      <c r="OV166" s="1056"/>
      <c r="OW166" s="1056"/>
      <c r="OX166" s="1056"/>
      <c r="OY166" s="1056"/>
      <c r="OZ166" s="1056"/>
      <c r="PA166" s="1056"/>
      <c r="PB166" s="1056"/>
      <c r="PC166" s="1056"/>
      <c r="PD166" s="1056"/>
      <c r="PE166" s="1056"/>
      <c r="PF166" s="1056"/>
      <c r="PG166" s="1056"/>
      <c r="PH166" s="1056"/>
      <c r="PI166" s="1056"/>
      <c r="PJ166" s="1056"/>
      <c r="PK166" s="1056"/>
      <c r="PL166" s="1056"/>
      <c r="PM166" s="1056"/>
      <c r="PN166" s="1056"/>
      <c r="PO166" s="1056"/>
      <c r="PP166" s="1056"/>
      <c r="PQ166" s="1056"/>
      <c r="PR166" s="1056"/>
      <c r="PS166" s="1056"/>
      <c r="PT166" s="1056"/>
      <c r="PU166" s="1056"/>
      <c r="PV166" s="1056"/>
      <c r="PW166" s="1056"/>
      <c r="PX166" s="1056"/>
      <c r="PY166" s="1056"/>
      <c r="PZ166" s="1056"/>
      <c r="QA166" s="1056"/>
      <c r="QB166" s="1056"/>
      <c r="QC166" s="1056"/>
      <c r="QD166" s="1056"/>
      <c r="QE166" s="1056"/>
      <c r="QF166" s="1056"/>
      <c r="QG166" s="1056"/>
      <c r="QH166" s="1056"/>
      <c r="QI166" s="1056"/>
      <c r="QJ166" s="1056"/>
      <c r="QK166" s="1056"/>
      <c r="QL166" s="1056"/>
      <c r="QM166" s="1056"/>
      <c r="QN166" s="1056"/>
      <c r="QO166" s="1056"/>
      <c r="QP166" s="1056"/>
      <c r="QQ166" s="1056"/>
      <c r="QR166" s="1056"/>
      <c r="QS166" s="1056"/>
      <c r="QT166" s="1056"/>
      <c r="QU166" s="1056"/>
      <c r="QV166" s="1056"/>
      <c r="QW166" s="1056"/>
      <c r="QX166" s="1056"/>
      <c r="QY166" s="1056"/>
      <c r="QZ166" s="1056"/>
      <c r="RA166" s="1056"/>
      <c r="RB166" s="1056"/>
      <c r="RC166" s="1056"/>
      <c r="RD166" s="1056"/>
      <c r="RE166" s="1056"/>
      <c r="RF166" s="1056"/>
      <c r="RG166" s="1056"/>
      <c r="RH166" s="1056"/>
      <c r="RI166" s="1056"/>
      <c r="RJ166" s="1056"/>
      <c r="RK166" s="1056"/>
      <c r="RL166" s="1056"/>
      <c r="RM166" s="1056"/>
      <c r="RN166" s="1056"/>
      <c r="RO166" s="1056"/>
      <c r="RP166" s="1056"/>
      <c r="RQ166" s="1056"/>
      <c r="RR166" s="1056"/>
      <c r="RS166" s="1056"/>
      <c r="RT166" s="1056"/>
      <c r="RU166" s="1056"/>
      <c r="RV166" s="1056"/>
      <c r="RW166" s="1056"/>
      <c r="RX166" s="1056"/>
      <c r="RY166" s="1056"/>
      <c r="RZ166" s="1056"/>
      <c r="SA166" s="1056"/>
      <c r="SB166" s="1056"/>
      <c r="SC166" s="1056"/>
      <c r="SD166" s="1056"/>
      <c r="SE166" s="1056"/>
      <c r="SF166" s="1056"/>
      <c r="SG166" s="1056"/>
      <c r="SH166" s="1056"/>
      <c r="SI166" s="1056"/>
      <c r="SJ166" s="1056"/>
      <c r="SK166" s="1056"/>
      <c r="SL166" s="1056"/>
      <c r="SM166" s="1056"/>
      <c r="SN166" s="1056"/>
      <c r="SO166" s="1056"/>
      <c r="SP166" s="1056"/>
      <c r="SQ166" s="1056"/>
      <c r="SR166" s="1056"/>
      <c r="SS166" s="1056"/>
      <c r="ST166" s="1056"/>
      <c r="SU166" s="1056"/>
      <c r="SV166" s="1056"/>
      <c r="SW166" s="1056"/>
      <c r="SX166" s="1056"/>
      <c r="SY166" s="1056"/>
      <c r="SZ166" s="1056"/>
      <c r="TA166" s="1056"/>
      <c r="TB166" s="1056"/>
      <c r="TC166" s="1056"/>
      <c r="TD166" s="1056"/>
      <c r="TE166" s="1056"/>
      <c r="TF166" s="1056"/>
      <c r="TG166" s="1056"/>
      <c r="TH166" s="1056"/>
      <c r="TI166" s="1056"/>
      <c r="TJ166" s="1056"/>
      <c r="TK166" s="1056"/>
      <c r="TL166" s="1056"/>
      <c r="TM166" s="1056"/>
      <c r="TN166" s="1056"/>
      <c r="TO166" s="1056"/>
      <c r="TP166" s="1056"/>
      <c r="TQ166" s="1056"/>
      <c r="TR166" s="1056"/>
      <c r="TS166" s="1056"/>
      <c r="TT166" s="1056"/>
      <c r="TU166" s="1056"/>
      <c r="TV166" s="1056"/>
      <c r="TW166" s="1056"/>
      <c r="TX166" s="1056"/>
      <c r="TY166" s="1056"/>
      <c r="TZ166" s="1056"/>
      <c r="UA166" s="1056"/>
      <c r="UB166" s="1056"/>
      <c r="UC166" s="1056"/>
      <c r="UD166" s="1056"/>
      <c r="UE166" s="1056"/>
      <c r="UF166" s="1056"/>
      <c r="UG166" s="1056"/>
      <c r="UH166" s="1056"/>
      <c r="UI166" s="1056"/>
      <c r="UJ166" s="1056"/>
      <c r="UK166" s="1056"/>
      <c r="UL166" s="1056"/>
      <c r="UM166" s="1056"/>
      <c r="UN166" s="1056"/>
      <c r="UO166" s="1056"/>
      <c r="UP166" s="1056"/>
      <c r="UQ166" s="1056"/>
      <c r="UR166" s="1056"/>
      <c r="US166" s="1056"/>
      <c r="UT166" s="1056"/>
      <c r="UU166" s="1056"/>
      <c r="UV166" s="1056"/>
      <c r="UW166" s="1056"/>
      <c r="UX166" s="1056"/>
      <c r="UY166" s="1056"/>
      <c r="UZ166" s="1056"/>
      <c r="VA166" s="1056"/>
      <c r="VB166" s="1056"/>
      <c r="VC166" s="1056"/>
      <c r="VD166" s="1056"/>
      <c r="VE166" s="1056"/>
      <c r="VF166" s="1056"/>
      <c r="VG166" s="1056"/>
      <c r="VH166" s="1056"/>
      <c r="VI166" s="1056"/>
      <c r="VJ166" s="1056"/>
      <c r="VK166" s="1056"/>
      <c r="VL166" s="1056"/>
      <c r="VM166" s="1056"/>
      <c r="VN166" s="1056"/>
      <c r="VO166" s="1056"/>
      <c r="VP166" s="1056"/>
      <c r="VQ166" s="1056"/>
      <c r="VR166" s="1056"/>
      <c r="VS166" s="1056"/>
      <c r="VT166" s="1056"/>
      <c r="VU166" s="1056"/>
      <c r="VV166" s="1056"/>
      <c r="VW166" s="1056"/>
      <c r="VX166" s="1056"/>
      <c r="VY166" s="1056"/>
      <c r="VZ166" s="1056"/>
      <c r="WA166" s="1056"/>
      <c r="WB166" s="1056"/>
      <c r="WC166" s="1056"/>
      <c r="WD166" s="1056"/>
      <c r="WE166" s="1056"/>
      <c r="WF166" s="1056"/>
      <c r="WG166" s="1056"/>
      <c r="WH166" s="1056"/>
      <c r="WI166" s="1056"/>
      <c r="WJ166" s="1056"/>
      <c r="WK166" s="1056"/>
      <c r="WL166" s="1056"/>
      <c r="WM166" s="1056"/>
      <c r="WN166" s="1056"/>
      <c r="WO166" s="1056"/>
      <c r="WP166" s="1056"/>
      <c r="WQ166" s="1056"/>
      <c r="WR166" s="1056"/>
      <c r="WS166" s="1056"/>
      <c r="WT166" s="1056"/>
      <c r="WU166" s="1056"/>
      <c r="WV166" s="1056"/>
      <c r="WW166" s="1056"/>
      <c r="WX166" s="1056"/>
      <c r="WY166" s="1056"/>
      <c r="WZ166" s="1056"/>
      <c r="XA166" s="1056"/>
      <c r="XB166" s="1056"/>
      <c r="XC166" s="1056"/>
      <c r="XD166" s="1056"/>
      <c r="XE166" s="1056"/>
      <c r="XF166" s="1056"/>
      <c r="XG166" s="1056"/>
      <c r="XH166" s="1056"/>
      <c r="XI166" s="1056"/>
      <c r="XJ166" s="1056"/>
      <c r="XK166" s="1056"/>
      <c r="XL166" s="1056"/>
      <c r="XM166" s="1056"/>
      <c r="XN166" s="1056"/>
      <c r="XO166" s="1056"/>
      <c r="XP166" s="1056"/>
      <c r="XQ166" s="1056"/>
      <c r="XR166" s="1056"/>
      <c r="XS166" s="1056"/>
      <c r="XT166" s="1056"/>
      <c r="XU166" s="1056"/>
      <c r="XV166" s="1056"/>
      <c r="XW166" s="1056"/>
      <c r="XX166" s="1056"/>
      <c r="XY166" s="1056"/>
      <c r="XZ166" s="1056"/>
      <c r="YA166" s="1056"/>
      <c r="YB166" s="1056"/>
      <c r="YC166" s="1056"/>
      <c r="YD166" s="1056"/>
      <c r="YE166" s="1056"/>
      <c r="YF166" s="1056"/>
      <c r="YG166" s="1056"/>
      <c r="YH166" s="1056"/>
      <c r="YI166" s="1056"/>
      <c r="YJ166" s="1056"/>
      <c r="YK166" s="1056"/>
      <c r="YL166" s="1056"/>
      <c r="YM166" s="1056"/>
      <c r="YN166" s="1056"/>
      <c r="YO166" s="1056"/>
      <c r="YP166" s="1056"/>
      <c r="YQ166" s="1056"/>
      <c r="YR166" s="1056"/>
      <c r="YS166" s="1056"/>
      <c r="YT166" s="1056"/>
      <c r="YU166" s="1056"/>
      <c r="YV166" s="1056"/>
      <c r="YW166" s="1056"/>
      <c r="YX166" s="1056"/>
      <c r="YY166" s="1056"/>
      <c r="YZ166" s="1056"/>
      <c r="ZA166" s="1056"/>
      <c r="ZB166" s="1056"/>
      <c r="ZC166" s="1056"/>
      <c r="ZD166" s="1056"/>
      <c r="ZE166" s="1056"/>
      <c r="ZF166" s="1056"/>
      <c r="ZG166" s="1056"/>
      <c r="ZH166" s="1056"/>
      <c r="ZI166" s="1056"/>
      <c r="ZJ166" s="1056"/>
      <c r="ZK166" s="1056"/>
      <c r="ZL166" s="1056"/>
      <c r="ZM166" s="1056"/>
      <c r="ZN166" s="1056"/>
      <c r="ZO166" s="1056"/>
      <c r="ZP166" s="1056"/>
      <c r="ZQ166" s="1056"/>
      <c r="ZR166" s="1056"/>
      <c r="ZS166" s="1056"/>
      <c r="ZT166" s="1056"/>
      <c r="ZU166" s="1056"/>
      <c r="ZV166" s="1056"/>
      <c r="ZW166" s="1056"/>
      <c r="ZX166" s="1056"/>
      <c r="ZY166" s="1056"/>
      <c r="ZZ166" s="1056"/>
      <c r="AAA166" s="1056"/>
      <c r="AAB166" s="1056"/>
      <c r="AAC166" s="1056"/>
      <c r="AAD166" s="1056"/>
      <c r="AAE166" s="1056"/>
      <c r="AAF166" s="1056"/>
      <c r="AAG166" s="1056"/>
      <c r="AAH166" s="1056"/>
      <c r="AAI166" s="1056"/>
      <c r="AAJ166" s="1056"/>
      <c r="AAK166" s="1056"/>
      <c r="AAL166" s="1056"/>
      <c r="AAM166" s="1056"/>
      <c r="AAN166" s="1056"/>
      <c r="AAO166" s="1056"/>
      <c r="AAP166" s="1056"/>
      <c r="AAQ166" s="1056"/>
      <c r="AAR166" s="1056"/>
      <c r="AAS166" s="1056"/>
      <c r="AAT166" s="1056"/>
      <c r="AAU166" s="1056"/>
      <c r="AAV166" s="1056"/>
      <c r="AAW166" s="1056"/>
      <c r="AAX166" s="1056"/>
      <c r="AAY166" s="1056"/>
      <c r="AAZ166" s="1056"/>
      <c r="ABA166" s="1056"/>
      <c r="ABB166" s="1056"/>
      <c r="ABC166" s="1056"/>
      <c r="ABD166" s="1056"/>
      <c r="ABE166" s="1056"/>
      <c r="ABF166" s="1056"/>
      <c r="ABG166" s="1056"/>
      <c r="ABH166" s="1056"/>
      <c r="ABI166" s="1056"/>
      <c r="ABJ166" s="1056"/>
      <c r="ABK166" s="1056"/>
      <c r="ABL166" s="1056"/>
      <c r="ABM166" s="1056"/>
      <c r="ABN166" s="1056"/>
      <c r="ABO166" s="1056"/>
      <c r="ABP166" s="1056"/>
      <c r="ABQ166" s="1056"/>
      <c r="ABR166" s="1056"/>
      <c r="ABS166" s="1056"/>
      <c r="ABT166" s="1056"/>
      <c r="ABU166" s="1056"/>
      <c r="ABV166" s="1056"/>
      <c r="ABW166" s="1056"/>
      <c r="ABX166" s="1056"/>
      <c r="ABY166" s="1056"/>
      <c r="ABZ166" s="1056"/>
      <c r="ACA166" s="1056"/>
      <c r="ACB166" s="1056"/>
      <c r="ACC166" s="1056"/>
      <c r="ACD166" s="1056"/>
      <c r="ACE166" s="1056"/>
      <c r="ACF166" s="1056"/>
      <c r="ACG166" s="1056"/>
      <c r="ACH166" s="1056"/>
      <c r="ACI166" s="1056"/>
      <c r="ACJ166" s="1056"/>
      <c r="ACK166" s="1056"/>
      <c r="ACL166" s="1056"/>
      <c r="ACM166" s="1056"/>
      <c r="ACN166" s="1056"/>
      <c r="ACO166" s="1056"/>
      <c r="ACP166" s="1056"/>
      <c r="ACQ166" s="1056"/>
      <c r="ACR166" s="1056"/>
      <c r="ACS166" s="1056"/>
      <c r="ACT166" s="1056"/>
      <c r="ACU166" s="1056"/>
      <c r="ACV166" s="1056"/>
      <c r="ACW166" s="1056"/>
      <c r="ACX166" s="1056"/>
      <c r="ACY166" s="1056"/>
      <c r="ACZ166" s="1056"/>
      <c r="ADA166" s="1056"/>
      <c r="ADB166" s="1056"/>
      <c r="ADC166" s="1056"/>
      <c r="ADD166" s="1056"/>
      <c r="ADE166" s="1056"/>
      <c r="ADF166" s="1056"/>
      <c r="ADG166" s="1056"/>
      <c r="ADH166" s="1056"/>
      <c r="ADI166" s="1056"/>
      <c r="ADJ166" s="1056"/>
      <c r="ADK166" s="1056"/>
      <c r="ADL166" s="1056"/>
      <c r="ADM166" s="1056"/>
      <c r="ADN166" s="1056"/>
      <c r="ADO166" s="1056"/>
      <c r="ADP166" s="1056"/>
      <c r="ADQ166" s="1056"/>
      <c r="ADR166" s="1056"/>
      <c r="ADS166" s="1056"/>
      <c r="ADT166" s="1056"/>
      <c r="ADU166" s="1056"/>
      <c r="ADV166" s="1056"/>
      <c r="ADW166" s="1056"/>
      <c r="ADX166" s="1056"/>
      <c r="ADY166" s="1056"/>
      <c r="ADZ166" s="1056"/>
      <c r="AEA166" s="1056"/>
      <c r="AEB166" s="1056"/>
      <c r="AEC166" s="1056"/>
      <c r="AED166" s="1056"/>
      <c r="AEE166" s="1056"/>
      <c r="AEF166" s="1056"/>
      <c r="AEG166" s="1056"/>
      <c r="AEH166" s="1056"/>
      <c r="AEI166" s="1056"/>
      <c r="AEJ166" s="1056"/>
      <c r="AEK166" s="1056"/>
      <c r="AEL166" s="1056"/>
      <c r="AEM166" s="1056"/>
      <c r="AEN166" s="1056"/>
      <c r="AEO166" s="1056"/>
      <c r="AEP166" s="1056"/>
      <c r="AEQ166" s="1056"/>
      <c r="AER166" s="1056"/>
      <c r="AES166" s="1056"/>
      <c r="AET166" s="1056"/>
      <c r="AEU166" s="1056"/>
      <c r="AEV166" s="1056"/>
      <c r="AEW166" s="1056"/>
      <c r="AEX166" s="1056"/>
      <c r="AEY166" s="1056"/>
      <c r="AEZ166" s="1056"/>
      <c r="AFA166" s="1056"/>
      <c r="AFB166" s="1056"/>
      <c r="AFC166" s="1056"/>
      <c r="AFD166" s="1056"/>
      <c r="AFE166" s="1056"/>
      <c r="AFF166" s="1056"/>
      <c r="AFG166" s="1056"/>
      <c r="AFH166" s="1056"/>
      <c r="AFI166" s="1056"/>
      <c r="AFJ166" s="1056"/>
      <c r="AFK166" s="1056"/>
      <c r="AFL166" s="1056"/>
      <c r="AFM166" s="1056"/>
      <c r="AFN166" s="1056"/>
      <c r="AFO166" s="1056"/>
      <c r="AFP166" s="1056"/>
      <c r="AFQ166" s="1056"/>
      <c r="AFR166" s="1056"/>
      <c r="AFS166" s="1056"/>
      <c r="AFT166" s="1056"/>
      <c r="AFU166" s="1056"/>
      <c r="AFV166" s="1056"/>
      <c r="AFW166" s="1056"/>
      <c r="AFX166" s="1056"/>
      <c r="AFY166" s="1056"/>
      <c r="AFZ166" s="1056"/>
      <c r="AGA166" s="1056"/>
      <c r="AGB166" s="1056"/>
      <c r="AGC166" s="1056"/>
      <c r="AGD166" s="1056"/>
      <c r="AGE166" s="1056"/>
      <c r="AGF166" s="1056"/>
      <c r="AGG166" s="1056"/>
      <c r="AGH166" s="1056"/>
      <c r="AGI166" s="1056"/>
      <c r="AGJ166" s="1056"/>
      <c r="AGK166" s="1056"/>
      <c r="AGL166" s="1056"/>
      <c r="AGM166" s="1056"/>
      <c r="AGN166" s="1056"/>
      <c r="AGO166" s="1056"/>
      <c r="AGP166" s="1056"/>
      <c r="AGQ166" s="1056"/>
      <c r="AGR166" s="1056"/>
      <c r="AGS166" s="1056"/>
      <c r="AGT166" s="1056"/>
      <c r="AGU166" s="1056"/>
      <c r="AGV166" s="1056"/>
      <c r="AGW166" s="1056"/>
      <c r="AGX166" s="1056"/>
      <c r="AGY166" s="1056"/>
      <c r="AGZ166" s="1056"/>
      <c r="AHA166" s="1056"/>
      <c r="AHB166" s="1056"/>
      <c r="AHC166" s="1056"/>
      <c r="AHD166" s="1056"/>
      <c r="AHE166" s="1056"/>
      <c r="AHF166" s="1056"/>
      <c r="AHG166" s="1056"/>
      <c r="AHH166" s="1056"/>
      <c r="AHI166" s="1056"/>
      <c r="AHJ166" s="1056"/>
      <c r="AHK166" s="1056"/>
      <c r="AHL166" s="1056"/>
      <c r="AHM166" s="1056"/>
      <c r="AHN166" s="1056"/>
      <c r="AHO166" s="1056"/>
      <c r="AHP166" s="1056"/>
      <c r="AHQ166" s="1056"/>
      <c r="AHR166" s="1056"/>
      <c r="AHS166" s="1056"/>
      <c r="AHT166" s="1056"/>
      <c r="AHU166" s="1056"/>
      <c r="AHV166" s="1056"/>
      <c r="AHW166" s="1056"/>
      <c r="AHX166" s="1056"/>
      <c r="AHY166" s="1056"/>
      <c r="AHZ166" s="1056"/>
      <c r="AIA166" s="1056"/>
      <c r="AIB166" s="1056"/>
      <c r="AIC166" s="1056"/>
      <c r="AID166" s="1056"/>
      <c r="AIE166" s="1056"/>
      <c r="AIF166" s="1056"/>
      <c r="AIG166" s="1056"/>
      <c r="AIH166" s="1056"/>
      <c r="AII166" s="1056"/>
      <c r="AIJ166" s="1056"/>
      <c r="AIK166" s="1056"/>
      <c r="AIL166" s="1056"/>
      <c r="AIM166" s="1056"/>
      <c r="AIN166" s="1056"/>
      <c r="AIO166" s="1056"/>
      <c r="AIP166" s="1056"/>
      <c r="AIQ166" s="1056"/>
      <c r="AIR166" s="1056"/>
      <c r="AIS166" s="1056"/>
      <c r="AIT166" s="1056"/>
      <c r="AIU166" s="1056"/>
      <c r="AIV166" s="1056"/>
      <c r="AIW166" s="1056"/>
      <c r="AIX166" s="1056"/>
      <c r="AIY166" s="1056"/>
      <c r="AIZ166" s="1056"/>
      <c r="AJA166" s="1056"/>
      <c r="AJB166" s="1056"/>
      <c r="AJC166" s="1056"/>
      <c r="AJD166" s="1056"/>
      <c r="AJE166" s="1056"/>
      <c r="AJF166" s="1056"/>
      <c r="AJG166" s="1056"/>
      <c r="AJH166" s="1056"/>
      <c r="AJI166" s="1056"/>
      <c r="AJJ166" s="1056"/>
      <c r="AJK166" s="1056"/>
      <c r="AJL166" s="1056"/>
      <c r="AJM166" s="1056"/>
      <c r="AJN166" s="1056"/>
      <c r="AJO166" s="1056"/>
      <c r="AJP166" s="1056"/>
      <c r="AJQ166" s="1056"/>
      <c r="AJR166" s="1056"/>
      <c r="AJS166" s="1056"/>
      <c r="AJT166" s="1056"/>
      <c r="AJU166" s="1056"/>
      <c r="AJV166" s="1056"/>
      <c r="AJW166" s="1056"/>
      <c r="AJX166" s="1056"/>
      <c r="AJY166" s="1056"/>
      <c r="AJZ166" s="1056"/>
      <c r="AKA166" s="1056"/>
      <c r="AKB166" s="1056"/>
      <c r="AKC166" s="1056"/>
      <c r="AKD166" s="1056"/>
      <c r="AKE166" s="1056"/>
      <c r="AKF166" s="1056"/>
      <c r="AKG166" s="1056"/>
      <c r="AKH166" s="1056"/>
      <c r="AKI166" s="1056"/>
      <c r="AKJ166" s="1056"/>
      <c r="AKK166" s="1056"/>
      <c r="AKL166" s="1056"/>
      <c r="AKM166" s="1056"/>
      <c r="AKN166" s="1056"/>
      <c r="AKO166" s="1056"/>
      <c r="AKP166" s="1056"/>
      <c r="AKQ166" s="1056"/>
      <c r="AKR166" s="1056"/>
      <c r="AKS166" s="1056"/>
      <c r="AKT166" s="1056"/>
      <c r="AKU166" s="1056"/>
      <c r="AKV166" s="1056"/>
      <c r="AKW166" s="1056"/>
      <c r="AKX166" s="1056"/>
      <c r="AKY166" s="1056"/>
      <c r="AKZ166" s="1056"/>
      <c r="ALA166" s="1056"/>
      <c r="ALB166" s="1056"/>
      <c r="ALC166" s="1056"/>
      <c r="ALD166" s="1056"/>
      <c r="ALE166" s="1056"/>
      <c r="ALF166" s="1056"/>
      <c r="ALG166" s="1056"/>
      <c r="ALH166" s="1056"/>
      <c r="ALI166" s="1056"/>
      <c r="ALJ166" s="1056"/>
      <c r="ALK166" s="1056"/>
      <c r="ALL166" s="1056"/>
      <c r="ALM166" s="1056"/>
      <c r="ALN166" s="1056"/>
      <c r="ALO166" s="1056"/>
      <c r="ALP166" s="1056"/>
      <c r="ALQ166" s="1056"/>
      <c r="ALR166" s="1056"/>
      <c r="ALS166" s="1056"/>
      <c r="ALT166" s="1056"/>
      <c r="ALU166" s="1056"/>
      <c r="ALV166" s="1056"/>
      <c r="ALW166" s="1056"/>
      <c r="ALX166" s="1056"/>
      <c r="ALY166" s="1056"/>
      <c r="ALZ166" s="1056"/>
      <c r="AMA166" s="1056"/>
      <c r="AMB166" s="1056"/>
      <c r="AMC166" s="1056"/>
      <c r="AMD166" s="1056"/>
      <c r="AME166" s="1056"/>
      <c r="AMF166" s="1056"/>
      <c r="AMG166" s="1056"/>
      <c r="AMH166" s="1056"/>
      <c r="AMI166" s="1056"/>
      <c r="AMJ166" s="1056"/>
      <c r="AMK166" s="1056"/>
      <c r="AML166" s="1056"/>
      <c r="AMM166" s="1056"/>
      <c r="AMN166" s="1056"/>
      <c r="AMO166" s="1056"/>
      <c r="AMP166" s="1056"/>
      <c r="AMQ166" s="1056"/>
      <c r="AMR166" s="1056"/>
      <c r="AMS166" s="1056"/>
      <c r="AMT166" s="1056"/>
      <c r="AMU166" s="1056"/>
      <c r="AMV166" s="1056"/>
      <c r="AMW166" s="1056"/>
      <c r="AMX166" s="1056"/>
      <c r="AMY166" s="1056"/>
      <c r="AMZ166" s="1056"/>
      <c r="ANA166" s="1056"/>
      <c r="ANB166" s="1056"/>
      <c r="ANC166" s="1056"/>
      <c r="AND166" s="1056"/>
      <c r="ANE166" s="1056"/>
      <c r="ANF166" s="1056"/>
      <c r="ANG166" s="1056"/>
      <c r="ANH166" s="1056"/>
      <c r="ANI166" s="1056"/>
      <c r="ANJ166" s="1056"/>
      <c r="ANK166" s="1056"/>
      <c r="ANL166" s="1056"/>
      <c r="ANM166" s="1056"/>
      <c r="ANN166" s="1056"/>
      <c r="ANO166" s="1056"/>
      <c r="ANP166" s="1056"/>
      <c r="ANQ166" s="1056"/>
      <c r="ANR166" s="1056"/>
      <c r="ANS166" s="1056"/>
      <c r="ANT166" s="1056"/>
      <c r="ANU166" s="1056"/>
      <c r="ANV166" s="1056"/>
      <c r="ANW166" s="1056"/>
      <c r="ANX166" s="1056"/>
      <c r="ANY166" s="1056"/>
      <c r="ANZ166" s="1056"/>
      <c r="AOA166" s="1056"/>
      <c r="AOB166" s="1056"/>
      <c r="AOC166" s="1056"/>
      <c r="AOD166" s="1056"/>
      <c r="AOE166" s="1056"/>
      <c r="AOF166" s="1056"/>
      <c r="AOG166" s="1056"/>
      <c r="AOH166" s="1056"/>
      <c r="AOI166" s="1056"/>
      <c r="AOJ166" s="1056"/>
      <c r="AOK166" s="1056"/>
      <c r="AOL166" s="1056"/>
      <c r="AOM166" s="1056"/>
      <c r="AON166" s="1056"/>
      <c r="AOO166" s="1056"/>
      <c r="AOP166" s="1056"/>
      <c r="AOQ166" s="1056"/>
      <c r="AOR166" s="1056"/>
      <c r="AOS166" s="1056"/>
      <c r="AOT166" s="1056"/>
      <c r="AOU166" s="1056"/>
      <c r="AOV166" s="1056"/>
      <c r="AOW166" s="1056"/>
      <c r="AOX166" s="1056"/>
      <c r="AOY166" s="1056"/>
      <c r="AOZ166" s="1056"/>
      <c r="APA166" s="1056"/>
      <c r="APB166" s="1056"/>
      <c r="APC166" s="1056"/>
      <c r="APD166" s="1056"/>
      <c r="APE166" s="1056"/>
      <c r="APF166" s="1056"/>
      <c r="APG166" s="1056"/>
      <c r="APH166" s="1056"/>
      <c r="API166" s="1056"/>
      <c r="APJ166" s="1056"/>
      <c r="APK166" s="1056"/>
      <c r="APL166" s="1056"/>
      <c r="APM166" s="1056"/>
      <c r="APN166" s="1056"/>
      <c r="APO166" s="1056"/>
      <c r="APP166" s="1056"/>
      <c r="APQ166" s="1056"/>
      <c r="APR166" s="1056"/>
      <c r="APS166" s="1056"/>
      <c r="APT166" s="1056"/>
      <c r="APU166" s="1056"/>
      <c r="APV166" s="1056"/>
      <c r="APW166" s="1056"/>
      <c r="APX166" s="1056"/>
      <c r="APY166" s="1056"/>
      <c r="APZ166" s="1056"/>
      <c r="AQA166" s="1056"/>
      <c r="AQB166" s="1056"/>
      <c r="AQC166" s="1056"/>
      <c r="AQD166" s="1056"/>
      <c r="AQE166" s="1056"/>
      <c r="AQF166" s="1056"/>
      <c r="AQG166" s="1056"/>
      <c r="AQH166" s="1056"/>
      <c r="AQI166" s="1056"/>
      <c r="AQJ166" s="1056"/>
      <c r="AQK166" s="1056"/>
      <c r="AQL166" s="1056"/>
      <c r="AQM166" s="1056"/>
      <c r="AQN166" s="1056"/>
      <c r="AQO166" s="1056"/>
      <c r="AQP166" s="1056"/>
      <c r="AQQ166" s="1056"/>
      <c r="AQR166" s="1056"/>
      <c r="AQS166" s="1056"/>
      <c r="AQT166" s="1056"/>
      <c r="AQU166" s="1056"/>
      <c r="AQV166" s="1056"/>
      <c r="AQW166" s="1056"/>
      <c r="AQX166" s="1056"/>
      <c r="AQY166" s="1056"/>
      <c r="AQZ166" s="1056"/>
      <c r="ARA166" s="1056"/>
      <c r="ARB166" s="1056"/>
      <c r="ARC166" s="1056"/>
      <c r="ARD166" s="1056"/>
      <c r="ARE166" s="1056"/>
      <c r="ARF166" s="1056"/>
      <c r="ARG166" s="1056"/>
      <c r="ARH166" s="1056"/>
      <c r="ARI166" s="1056"/>
      <c r="ARJ166" s="1056"/>
      <c r="ARK166" s="1056"/>
      <c r="ARL166" s="1056"/>
      <c r="ARM166" s="1056"/>
      <c r="ARN166" s="1056"/>
      <c r="ARO166" s="1056"/>
      <c r="ARP166" s="1056"/>
      <c r="ARQ166" s="1056"/>
      <c r="ARR166" s="1056"/>
      <c r="ARS166" s="1056"/>
      <c r="ART166" s="1056"/>
      <c r="ARU166" s="1056"/>
      <c r="ARV166" s="1056"/>
      <c r="ARW166" s="1056"/>
      <c r="ARX166" s="1056"/>
      <c r="ARY166" s="1056"/>
      <c r="ARZ166" s="1056"/>
      <c r="ASA166" s="1056"/>
      <c r="ASB166" s="1056"/>
      <c r="ASC166" s="1056"/>
      <c r="ASD166" s="1056"/>
      <c r="ASE166" s="1056"/>
      <c r="ASF166" s="1056"/>
      <c r="ASG166" s="1056"/>
      <c r="ASH166" s="1056"/>
      <c r="ASI166" s="1056"/>
      <c r="ASJ166" s="1056"/>
      <c r="ASK166" s="1056"/>
      <c r="ASL166" s="1056"/>
      <c r="ASM166" s="1056"/>
      <c r="ASN166" s="1056"/>
      <c r="ASO166" s="1056"/>
      <c r="ASP166" s="1056"/>
      <c r="ASQ166" s="1056"/>
      <c r="ASR166" s="1056"/>
      <c r="ASS166" s="1056"/>
      <c r="AST166" s="1056"/>
      <c r="ASU166" s="1056"/>
      <c r="ASV166" s="1056"/>
      <c r="ASW166" s="1056"/>
      <c r="ASX166" s="1056"/>
      <c r="ASY166" s="1056"/>
      <c r="ASZ166" s="1056"/>
      <c r="ATA166" s="1056"/>
      <c r="ATB166" s="1056"/>
      <c r="ATC166" s="1056"/>
      <c r="ATD166" s="1056"/>
      <c r="ATE166" s="1056"/>
      <c r="ATF166" s="1056"/>
      <c r="ATG166" s="1056"/>
      <c r="ATH166" s="1056"/>
      <c r="ATI166" s="1056"/>
      <c r="ATJ166" s="1056"/>
      <c r="ATK166" s="1056"/>
      <c r="ATL166" s="1056"/>
      <c r="ATM166" s="1056"/>
      <c r="ATN166" s="1056"/>
      <c r="ATO166" s="1056"/>
      <c r="ATP166" s="1056"/>
      <c r="ATQ166" s="1056"/>
      <c r="ATR166" s="1056"/>
      <c r="ATS166" s="1056"/>
      <c r="ATT166" s="1056"/>
      <c r="ATU166" s="1056"/>
      <c r="ATV166" s="1056"/>
      <c r="ATW166" s="1056"/>
      <c r="ATX166" s="1056"/>
      <c r="ATY166" s="1056"/>
      <c r="ATZ166" s="1056"/>
      <c r="AUA166" s="1056"/>
      <c r="AUB166" s="1056"/>
      <c r="AUC166" s="1056"/>
      <c r="AUD166" s="1056"/>
      <c r="AUE166" s="1056"/>
      <c r="AUF166" s="1056"/>
      <c r="AUG166" s="1056"/>
      <c r="AUH166" s="1056"/>
      <c r="AUI166" s="1056"/>
      <c r="AUJ166" s="1056"/>
      <c r="AUK166" s="1056"/>
      <c r="AUL166" s="1056"/>
      <c r="AUM166" s="1056"/>
      <c r="AUN166" s="1056"/>
      <c r="AUO166" s="1056"/>
      <c r="AUP166" s="1056"/>
      <c r="AUQ166" s="1056"/>
      <c r="AUR166" s="1056"/>
      <c r="AUS166" s="1056"/>
      <c r="AUT166" s="1056"/>
      <c r="AUU166" s="1056"/>
      <c r="AUV166" s="1056"/>
      <c r="AUW166" s="1056"/>
      <c r="AUX166" s="1056"/>
      <c r="AUY166" s="1056"/>
      <c r="AUZ166" s="1056"/>
      <c r="AVA166" s="1056"/>
      <c r="AVB166" s="1056"/>
      <c r="AVC166" s="1056"/>
      <c r="AVD166" s="1056"/>
      <c r="AVE166" s="1056"/>
      <c r="AVF166" s="1056"/>
      <c r="AVG166" s="1056"/>
      <c r="AVH166" s="1056"/>
      <c r="AVI166" s="1056"/>
      <c r="AVJ166" s="1056"/>
      <c r="AVK166" s="1056"/>
      <c r="AVL166" s="1056"/>
      <c r="AVM166" s="1056"/>
      <c r="AVN166" s="1056"/>
      <c r="AVO166" s="1056"/>
      <c r="AVP166" s="1056"/>
      <c r="AVQ166" s="1056"/>
      <c r="AVR166" s="1056"/>
      <c r="AVS166" s="1056"/>
      <c r="AVT166" s="1056"/>
      <c r="AVU166" s="1056"/>
      <c r="AVV166" s="1056"/>
      <c r="AVW166" s="1056"/>
      <c r="AVX166" s="1056"/>
      <c r="AVY166" s="1056"/>
      <c r="AVZ166" s="1056"/>
      <c r="AWA166" s="1056"/>
      <c r="AWB166" s="1056"/>
      <c r="AWC166" s="1056"/>
      <c r="AWD166" s="1056"/>
      <c r="AWE166" s="1056"/>
      <c r="AWF166" s="1056"/>
      <c r="AWG166" s="1056"/>
      <c r="AWH166" s="1056"/>
      <c r="AWI166" s="1056"/>
      <c r="AWJ166" s="1056"/>
      <c r="AWK166" s="1056"/>
      <c r="AWL166" s="1056"/>
      <c r="AWM166" s="1056"/>
      <c r="AWN166" s="1056"/>
      <c r="AWO166" s="1056"/>
      <c r="AWP166" s="1056"/>
      <c r="AWQ166" s="1056"/>
      <c r="AWR166" s="1056"/>
      <c r="AWS166" s="1056"/>
      <c r="AWT166" s="1056"/>
      <c r="AWU166" s="1056"/>
      <c r="AWV166" s="1056"/>
      <c r="AWW166" s="1056"/>
      <c r="AWX166" s="1056"/>
      <c r="AWY166" s="1056"/>
      <c r="AWZ166" s="1056"/>
      <c r="AXA166" s="1056"/>
      <c r="AXB166" s="1056"/>
      <c r="AXC166" s="1056"/>
      <c r="AXD166" s="1056"/>
      <c r="AXE166" s="1056"/>
      <c r="AXF166" s="1056"/>
      <c r="AXG166" s="1056"/>
      <c r="AXH166" s="1056"/>
      <c r="AXI166" s="1056"/>
      <c r="AXJ166" s="1056"/>
      <c r="AXK166" s="1056"/>
      <c r="AXL166" s="1056"/>
      <c r="AXM166" s="1056"/>
      <c r="AXN166" s="1056"/>
      <c r="AXO166" s="1056"/>
      <c r="AXP166" s="1056"/>
      <c r="AXQ166" s="1056"/>
      <c r="AXR166" s="1056"/>
      <c r="AXS166" s="1056"/>
      <c r="AXT166" s="1056"/>
      <c r="AXU166" s="1056"/>
      <c r="AXV166" s="1056"/>
      <c r="AXW166" s="1056"/>
      <c r="AXX166" s="1056"/>
      <c r="AXY166" s="1056"/>
      <c r="AXZ166" s="1056"/>
      <c r="AYA166" s="1056"/>
      <c r="AYB166" s="1056"/>
      <c r="AYC166" s="1056"/>
      <c r="AYD166" s="1056"/>
      <c r="AYE166" s="1056"/>
      <c r="AYF166" s="1056"/>
      <c r="AYG166" s="1056"/>
      <c r="AYH166" s="1056"/>
      <c r="AYI166" s="1056"/>
      <c r="AYJ166" s="1056"/>
      <c r="AYK166" s="1056"/>
      <c r="AYL166" s="1056"/>
      <c r="AYM166" s="1056"/>
      <c r="AYN166" s="1056"/>
      <c r="AYO166" s="1056"/>
      <c r="AYP166" s="1056"/>
      <c r="AYQ166" s="1056"/>
      <c r="AYR166" s="1056"/>
      <c r="AYS166" s="1056"/>
      <c r="AYT166" s="1056"/>
      <c r="AYU166" s="1056"/>
      <c r="AYV166" s="1056"/>
      <c r="AYW166" s="1056"/>
      <c r="AYX166" s="1056"/>
      <c r="AYY166" s="1056"/>
      <c r="AYZ166" s="1056"/>
      <c r="AZA166" s="1056"/>
      <c r="AZB166" s="1056"/>
      <c r="AZC166" s="1056"/>
      <c r="AZD166" s="1056"/>
      <c r="AZE166" s="1056"/>
      <c r="AZF166" s="1056"/>
      <c r="AZG166" s="1056"/>
      <c r="AZH166" s="1056"/>
      <c r="AZI166" s="1056"/>
      <c r="AZJ166" s="1056"/>
      <c r="AZK166" s="1056"/>
      <c r="AZL166" s="1056"/>
      <c r="AZM166" s="1056"/>
      <c r="AZN166" s="1056"/>
      <c r="AZO166" s="1056"/>
      <c r="AZP166" s="1056"/>
      <c r="AZQ166" s="1056"/>
      <c r="AZR166" s="1056"/>
      <c r="AZS166" s="1056"/>
      <c r="AZT166" s="1056"/>
      <c r="AZU166" s="1056"/>
      <c r="AZV166" s="1056"/>
      <c r="AZW166" s="1056"/>
      <c r="AZX166" s="1056"/>
      <c r="AZY166" s="1056"/>
      <c r="AZZ166" s="1056"/>
      <c r="BAA166" s="1056"/>
      <c r="BAB166" s="1056"/>
      <c r="BAC166" s="1056"/>
      <c r="BAD166" s="1056"/>
      <c r="BAE166" s="1056"/>
      <c r="BAF166" s="1056"/>
      <c r="BAG166" s="1056"/>
      <c r="BAH166" s="1056"/>
      <c r="BAI166" s="1056"/>
      <c r="BAJ166" s="1056"/>
      <c r="BAK166" s="1056"/>
      <c r="BAL166" s="1056"/>
      <c r="BAM166" s="1056"/>
      <c r="BAN166" s="1056"/>
      <c r="BAO166" s="1056"/>
      <c r="BAP166" s="1056"/>
      <c r="BAQ166" s="1056"/>
      <c r="BAR166" s="1056"/>
      <c r="BAS166" s="1056"/>
      <c r="BAT166" s="1056"/>
      <c r="BAU166" s="1056"/>
      <c r="BAV166" s="1056"/>
      <c r="BAW166" s="1056"/>
      <c r="BAX166" s="1056"/>
      <c r="BAY166" s="1056"/>
      <c r="BAZ166" s="1056"/>
      <c r="BBA166" s="1056"/>
      <c r="BBB166" s="1056"/>
      <c r="BBC166" s="1056"/>
      <c r="BBD166" s="1056"/>
      <c r="BBE166" s="1056"/>
      <c r="BBF166" s="1056"/>
      <c r="BBG166" s="1056"/>
      <c r="BBH166" s="1056"/>
      <c r="BBI166" s="1056"/>
      <c r="BBJ166" s="1056"/>
      <c r="BBK166" s="1056"/>
      <c r="BBL166" s="1056"/>
      <c r="BBM166" s="1056"/>
      <c r="BBN166" s="1056"/>
      <c r="BBO166" s="1056"/>
      <c r="BBP166" s="1056"/>
      <c r="BBQ166" s="1056"/>
      <c r="BBR166" s="1056"/>
      <c r="BBS166" s="1056"/>
      <c r="BBT166" s="1056"/>
      <c r="BBU166" s="1056"/>
      <c r="BBV166" s="1056"/>
      <c r="BBW166" s="1056"/>
      <c r="BBX166" s="1056"/>
      <c r="BBY166" s="1056"/>
      <c r="BBZ166" s="1056"/>
      <c r="BCA166" s="1056"/>
      <c r="BCB166" s="1056"/>
      <c r="BCC166" s="1056"/>
      <c r="BCD166" s="1056"/>
      <c r="BCE166" s="1056"/>
      <c r="BCF166" s="1056"/>
      <c r="BCG166" s="1056"/>
      <c r="BCH166" s="1056"/>
      <c r="BCI166" s="1056"/>
      <c r="BCJ166" s="1056"/>
      <c r="BCK166" s="1056"/>
      <c r="BCL166" s="1056"/>
      <c r="BCM166" s="1056"/>
      <c r="BCN166" s="1056"/>
      <c r="BCO166" s="1056"/>
      <c r="BCP166" s="1056"/>
      <c r="BCQ166" s="1056"/>
      <c r="BCR166" s="1056"/>
      <c r="BCS166" s="1056"/>
      <c r="BCT166" s="1056"/>
      <c r="BCU166" s="1056"/>
      <c r="BCV166" s="1056"/>
      <c r="BCW166" s="1056"/>
      <c r="BCX166" s="1056"/>
      <c r="BCY166" s="1056"/>
      <c r="BCZ166" s="1056"/>
      <c r="BDA166" s="1056"/>
      <c r="BDB166" s="1056"/>
      <c r="BDC166" s="1056"/>
      <c r="BDD166" s="1056"/>
      <c r="BDE166" s="1056"/>
      <c r="BDF166" s="1056"/>
      <c r="BDG166" s="1056"/>
      <c r="BDH166" s="1056"/>
      <c r="BDI166" s="1056"/>
      <c r="BDJ166" s="1056"/>
      <c r="BDK166" s="1056"/>
      <c r="BDL166" s="1056"/>
      <c r="BDM166" s="1056"/>
      <c r="BDN166" s="1056"/>
      <c r="BDO166" s="1056"/>
      <c r="BDP166" s="1056"/>
      <c r="BDQ166" s="1056"/>
      <c r="BDR166" s="1056"/>
      <c r="BDS166" s="1056"/>
      <c r="BDT166" s="1056"/>
      <c r="BDU166" s="1056"/>
      <c r="BDV166" s="1056"/>
      <c r="BDW166" s="1056"/>
      <c r="BDX166" s="1056"/>
      <c r="BDY166" s="1056"/>
      <c r="BDZ166" s="1056"/>
      <c r="BEA166" s="1056"/>
      <c r="BEB166" s="1056"/>
      <c r="BEC166" s="1056"/>
      <c r="BED166" s="1056"/>
      <c r="BEE166" s="1056"/>
      <c r="BEF166" s="1056"/>
      <c r="BEG166" s="1056"/>
      <c r="BEH166" s="1056"/>
      <c r="BEI166" s="1056"/>
      <c r="BEJ166" s="1056"/>
      <c r="BEK166" s="1056"/>
      <c r="BEL166" s="1056"/>
      <c r="BEM166" s="1056"/>
      <c r="BEN166" s="1056"/>
      <c r="BEO166" s="1056"/>
      <c r="BEP166" s="1056"/>
      <c r="BEQ166" s="1056"/>
      <c r="BER166" s="1056"/>
      <c r="BES166" s="1056"/>
      <c r="BET166" s="1056"/>
      <c r="BEU166" s="1056"/>
      <c r="BEV166" s="1056"/>
      <c r="BEW166" s="1056"/>
      <c r="BEX166" s="1056"/>
      <c r="BEY166" s="1056"/>
      <c r="BEZ166" s="1056"/>
      <c r="BFA166" s="1056"/>
      <c r="BFB166" s="1056"/>
      <c r="BFC166" s="1056"/>
      <c r="BFD166" s="1056"/>
      <c r="BFE166" s="1056"/>
      <c r="BFF166" s="1056"/>
      <c r="BFG166" s="1056"/>
      <c r="BFH166" s="1056"/>
      <c r="BFI166" s="1056"/>
      <c r="BFJ166" s="1056"/>
      <c r="BFK166" s="1056"/>
      <c r="BFL166" s="1056"/>
      <c r="BFM166" s="1056"/>
      <c r="BFN166" s="1056"/>
      <c r="BFO166" s="1056"/>
      <c r="BFP166" s="1056"/>
      <c r="BFQ166" s="1056"/>
      <c r="BFR166" s="1056"/>
      <c r="BFS166" s="1056"/>
      <c r="BFT166" s="1056"/>
      <c r="BFU166" s="1056"/>
      <c r="BFV166" s="1056"/>
      <c r="BFW166" s="1056"/>
      <c r="BFX166" s="1056"/>
      <c r="BFY166" s="1056"/>
      <c r="BFZ166" s="1056"/>
      <c r="BGA166" s="1056"/>
      <c r="BGB166" s="1056"/>
      <c r="BGC166" s="1056"/>
      <c r="BGD166" s="1056"/>
      <c r="BGE166" s="1056"/>
      <c r="BGF166" s="1056"/>
      <c r="BGG166" s="1056"/>
      <c r="BGH166" s="1056"/>
      <c r="BGI166" s="1056"/>
      <c r="BGJ166" s="1056"/>
      <c r="BGK166" s="1056"/>
      <c r="BGL166" s="1056"/>
      <c r="BGM166" s="1056"/>
      <c r="BGN166" s="1056"/>
      <c r="BGO166" s="1056"/>
      <c r="BGP166" s="1056"/>
      <c r="BGQ166" s="1056"/>
      <c r="BGR166" s="1056"/>
      <c r="BGS166" s="1056"/>
      <c r="BGT166" s="1056"/>
      <c r="BGU166" s="1056"/>
      <c r="BGV166" s="1056"/>
      <c r="BGW166" s="1056"/>
      <c r="BGX166" s="1056"/>
      <c r="BGY166" s="1056"/>
      <c r="BGZ166" s="1056"/>
      <c r="BHA166" s="1056"/>
      <c r="BHB166" s="1056"/>
      <c r="BHC166" s="1056"/>
      <c r="BHD166" s="1056"/>
      <c r="BHE166" s="1056"/>
      <c r="BHF166" s="1056"/>
      <c r="BHG166" s="1056"/>
      <c r="BHH166" s="1056"/>
      <c r="BHI166" s="1056"/>
      <c r="BHJ166" s="1056"/>
      <c r="BHK166" s="1056"/>
      <c r="BHL166" s="1056"/>
      <c r="BHM166" s="1056"/>
      <c r="BHN166" s="1056"/>
      <c r="BHO166" s="1056"/>
      <c r="BHP166" s="1056"/>
      <c r="BHQ166" s="1056"/>
      <c r="BHR166" s="1056"/>
      <c r="BHS166" s="1056"/>
      <c r="BHT166" s="1056"/>
      <c r="BHU166" s="1056"/>
      <c r="BHV166" s="1056"/>
      <c r="BHW166" s="1056"/>
      <c r="BHX166" s="1056"/>
      <c r="BHY166" s="1056"/>
      <c r="BHZ166" s="1056"/>
      <c r="BIA166" s="1056"/>
      <c r="BIB166" s="1056"/>
      <c r="BIC166" s="1056"/>
      <c r="BID166" s="1056"/>
      <c r="BIE166" s="1056"/>
      <c r="BIF166" s="1056"/>
      <c r="BIG166" s="1056"/>
      <c r="BIH166" s="1056"/>
      <c r="BII166" s="1056"/>
      <c r="BIJ166" s="1056"/>
      <c r="BIK166" s="1056"/>
      <c r="BIL166" s="1056"/>
      <c r="BIM166" s="1056"/>
      <c r="BIN166" s="1056"/>
      <c r="BIO166" s="1056"/>
      <c r="BIP166" s="1056"/>
      <c r="BIQ166" s="1056"/>
      <c r="BIR166" s="1056"/>
      <c r="BIS166" s="1056"/>
      <c r="BIT166" s="1056"/>
      <c r="BIU166" s="1056"/>
      <c r="BIV166" s="1056"/>
      <c r="BIW166" s="1056"/>
      <c r="BIX166" s="1056"/>
      <c r="BIY166" s="1056"/>
      <c r="BIZ166" s="1056"/>
      <c r="BJA166" s="1056"/>
      <c r="BJB166" s="1056"/>
      <c r="BJC166" s="1056"/>
      <c r="BJD166" s="1056"/>
      <c r="BJE166" s="1056"/>
      <c r="BJF166" s="1056"/>
      <c r="BJG166" s="1056"/>
      <c r="BJH166" s="1056"/>
      <c r="BJI166" s="1056"/>
      <c r="BJJ166" s="1056"/>
      <c r="BJK166" s="1056"/>
      <c r="BJL166" s="1056"/>
      <c r="BJM166" s="1056"/>
      <c r="BJN166" s="1056"/>
      <c r="BJO166" s="1056"/>
      <c r="BJP166" s="1056"/>
      <c r="BJQ166" s="1056"/>
      <c r="BJR166" s="1056"/>
      <c r="BJS166" s="1056"/>
      <c r="BJT166" s="1056"/>
      <c r="BJU166" s="1056"/>
      <c r="BJV166" s="1056"/>
      <c r="BJW166" s="1056"/>
      <c r="BJX166" s="1056"/>
      <c r="BJY166" s="1056"/>
      <c r="BJZ166" s="1056"/>
      <c r="BKA166" s="1056"/>
      <c r="BKB166" s="1056"/>
      <c r="BKC166" s="1056"/>
      <c r="BKD166" s="1056"/>
      <c r="BKE166" s="1056"/>
      <c r="BKF166" s="1056"/>
      <c r="BKG166" s="1056"/>
      <c r="BKH166" s="1056"/>
      <c r="BKI166" s="1056"/>
      <c r="BKJ166" s="1056"/>
      <c r="BKK166" s="1056"/>
      <c r="BKL166" s="1056"/>
      <c r="BKM166" s="1056"/>
      <c r="BKN166" s="1056"/>
      <c r="BKO166" s="1056"/>
      <c r="BKP166" s="1056"/>
      <c r="BKQ166" s="1056"/>
      <c r="BKR166" s="1056"/>
      <c r="BKS166" s="1056"/>
      <c r="BKT166" s="1056"/>
      <c r="BKU166" s="1056"/>
      <c r="BKV166" s="1056"/>
      <c r="BKW166" s="1056"/>
      <c r="BKX166" s="1056"/>
      <c r="BKY166" s="1056"/>
      <c r="BKZ166" s="1056"/>
      <c r="BLA166" s="1056"/>
      <c r="BLB166" s="1056"/>
      <c r="BLC166" s="1056"/>
      <c r="BLD166" s="1056"/>
      <c r="BLE166" s="1056"/>
      <c r="BLF166" s="1056"/>
      <c r="BLG166" s="1056"/>
      <c r="BLH166" s="1056"/>
      <c r="BLI166" s="1056"/>
      <c r="BLJ166" s="1056"/>
      <c r="BLK166" s="1056"/>
      <c r="BLL166" s="1056"/>
      <c r="BLM166" s="1056"/>
      <c r="BLN166" s="1056"/>
      <c r="BLO166" s="1056"/>
      <c r="BLP166" s="1056"/>
      <c r="BLQ166" s="1056"/>
      <c r="BLR166" s="1056"/>
      <c r="BLS166" s="1056"/>
      <c r="BLT166" s="1056"/>
      <c r="BLU166" s="1056"/>
      <c r="BLV166" s="1056"/>
      <c r="BLW166" s="1056"/>
      <c r="BLX166" s="1056"/>
      <c r="BLY166" s="1056"/>
      <c r="BLZ166" s="1056"/>
      <c r="BMA166" s="1056"/>
      <c r="BMB166" s="1056"/>
      <c r="BMC166" s="1056"/>
      <c r="BMD166" s="1056"/>
      <c r="BME166" s="1056"/>
      <c r="BMF166" s="1056"/>
      <c r="BMG166" s="1056"/>
      <c r="BMH166" s="1056"/>
      <c r="BMI166" s="1056"/>
      <c r="BMJ166" s="1056"/>
      <c r="BMK166" s="1056"/>
      <c r="BML166" s="1056"/>
      <c r="BMM166" s="1056"/>
      <c r="BMN166" s="1056"/>
      <c r="BMO166" s="1056"/>
      <c r="BMP166" s="1056"/>
      <c r="BMQ166" s="1056"/>
      <c r="BMR166" s="1056"/>
      <c r="BMS166" s="1056"/>
      <c r="BMT166" s="1056"/>
      <c r="BMU166" s="1056"/>
      <c r="BMV166" s="1056"/>
      <c r="BMW166" s="1056"/>
      <c r="BMX166" s="1056"/>
      <c r="BMY166" s="1056"/>
      <c r="BMZ166" s="1056"/>
      <c r="BNA166" s="1056"/>
      <c r="BNB166" s="1056"/>
      <c r="BNC166" s="1056"/>
      <c r="BND166" s="1056"/>
      <c r="BNE166" s="1056"/>
      <c r="BNF166" s="1056"/>
      <c r="BNG166" s="1056"/>
      <c r="BNH166" s="1056"/>
      <c r="BNI166" s="1056"/>
      <c r="BNJ166" s="1056"/>
      <c r="BNK166" s="1056"/>
      <c r="BNL166" s="1056"/>
      <c r="BNM166" s="1056"/>
      <c r="BNN166" s="1056"/>
      <c r="BNO166" s="1056"/>
      <c r="BNP166" s="1056"/>
      <c r="BNQ166" s="1056"/>
      <c r="BNR166" s="1056"/>
      <c r="BNS166" s="1056"/>
      <c r="BNT166" s="1056"/>
      <c r="BNU166" s="1056"/>
      <c r="BNV166" s="1056"/>
      <c r="BNW166" s="1056"/>
      <c r="BNX166" s="1056"/>
      <c r="BNY166" s="1056"/>
      <c r="BNZ166" s="1056"/>
      <c r="BOA166" s="1056"/>
      <c r="BOB166" s="1056"/>
      <c r="BOC166" s="1056"/>
      <c r="BOD166" s="1056"/>
      <c r="BOE166" s="1056"/>
      <c r="BOF166" s="1056"/>
      <c r="BOG166" s="1056"/>
      <c r="BOH166" s="1056"/>
      <c r="BOI166" s="1056"/>
      <c r="BOJ166" s="1056"/>
      <c r="BOK166" s="1056"/>
      <c r="BOL166" s="1056"/>
      <c r="BOM166" s="1056"/>
      <c r="BON166" s="1056"/>
      <c r="BOO166" s="1056"/>
      <c r="BOP166" s="1056"/>
      <c r="BOQ166" s="1056"/>
      <c r="BOR166" s="1056"/>
      <c r="BOS166" s="1056"/>
      <c r="BOT166" s="1056"/>
      <c r="BOU166" s="1056"/>
      <c r="BOV166" s="1056"/>
      <c r="BOW166" s="1056"/>
      <c r="BOX166" s="1056"/>
      <c r="BOY166" s="1056"/>
      <c r="BOZ166" s="1056"/>
      <c r="BPA166" s="1056"/>
      <c r="BPB166" s="1056"/>
      <c r="BPC166" s="1056"/>
      <c r="BPD166" s="1056"/>
      <c r="BPE166" s="1056"/>
      <c r="BPF166" s="1056"/>
      <c r="BPG166" s="1056"/>
      <c r="BPH166" s="1056"/>
      <c r="BPI166" s="1056"/>
      <c r="BPJ166" s="1056"/>
      <c r="BPK166" s="1056"/>
      <c r="BPL166" s="1056"/>
      <c r="BPM166" s="1056"/>
      <c r="BPN166" s="1056"/>
      <c r="BPO166" s="1056"/>
      <c r="BPP166" s="1056"/>
      <c r="BPQ166" s="1056"/>
      <c r="BPR166" s="1056"/>
      <c r="BPS166" s="1056"/>
      <c r="BPT166" s="1056"/>
      <c r="BPU166" s="1056"/>
      <c r="BPV166" s="1056"/>
      <c r="BPW166" s="1056"/>
      <c r="BPX166" s="1056"/>
      <c r="BPY166" s="1056"/>
      <c r="BPZ166" s="1056"/>
      <c r="BQA166" s="1056"/>
      <c r="BQB166" s="1056"/>
      <c r="BQC166" s="1056"/>
      <c r="BQD166" s="1056"/>
      <c r="BQE166" s="1056"/>
      <c r="BQF166" s="1056"/>
      <c r="BQG166" s="1056"/>
      <c r="BQH166" s="1056"/>
      <c r="BQI166" s="1056"/>
      <c r="BQJ166" s="1056"/>
      <c r="BQK166" s="1056"/>
      <c r="BQL166" s="1056"/>
      <c r="BQM166" s="1056"/>
      <c r="BQN166" s="1056"/>
      <c r="BQO166" s="1056"/>
      <c r="BQP166" s="1056"/>
      <c r="BQQ166" s="1056"/>
      <c r="BQR166" s="1056"/>
      <c r="BQS166" s="1056"/>
      <c r="BQT166" s="1056"/>
      <c r="BQU166" s="1056"/>
      <c r="BQV166" s="1056"/>
      <c r="BQW166" s="1056"/>
      <c r="BQX166" s="1056"/>
      <c r="BQY166" s="1056"/>
      <c r="BQZ166" s="1056"/>
      <c r="BRA166" s="1056"/>
      <c r="BRB166" s="1056"/>
      <c r="BRC166" s="1056"/>
      <c r="BRD166" s="1056"/>
      <c r="BRE166" s="1056"/>
      <c r="BRF166" s="1056"/>
      <c r="BRG166" s="1056"/>
      <c r="BRH166" s="1056"/>
      <c r="BRI166" s="1056"/>
      <c r="BRJ166" s="1056"/>
      <c r="BRK166" s="1056"/>
      <c r="BRL166" s="1056"/>
      <c r="BRM166" s="1056"/>
      <c r="BRN166" s="1056"/>
      <c r="BRO166" s="1056"/>
      <c r="BRP166" s="1056"/>
      <c r="BRQ166" s="1056"/>
      <c r="BRR166" s="1056"/>
      <c r="BRS166" s="1056"/>
      <c r="BRT166" s="1056"/>
      <c r="BRU166" s="1056"/>
      <c r="BRV166" s="1056"/>
      <c r="BRW166" s="1056"/>
      <c r="BRX166" s="1056"/>
      <c r="BRY166" s="1056"/>
      <c r="BRZ166" s="1056"/>
      <c r="BSA166" s="1056"/>
      <c r="BSB166" s="1056"/>
      <c r="BSC166" s="1056"/>
      <c r="BSD166" s="1056"/>
      <c r="BSE166" s="1056"/>
      <c r="BSF166" s="1056"/>
      <c r="BSG166" s="1056"/>
      <c r="BSH166" s="1056"/>
      <c r="BSI166" s="1056"/>
      <c r="BSJ166" s="1056"/>
      <c r="BSK166" s="1056"/>
      <c r="BSL166" s="1056"/>
      <c r="BSM166" s="1056"/>
      <c r="BSN166" s="1056"/>
      <c r="BSO166" s="1056"/>
      <c r="BSP166" s="1056"/>
      <c r="BSQ166" s="1056"/>
      <c r="BSR166" s="1056"/>
      <c r="BSS166" s="1056"/>
      <c r="BST166" s="1056"/>
      <c r="BSU166" s="1056"/>
      <c r="BSV166" s="1056"/>
      <c r="BSW166" s="1056"/>
      <c r="BSX166" s="1056"/>
      <c r="BSY166" s="1056"/>
      <c r="BSZ166" s="1056"/>
      <c r="BTA166" s="1056"/>
      <c r="BTB166" s="1056"/>
      <c r="BTC166" s="1056"/>
      <c r="BTD166" s="1056"/>
      <c r="BTE166" s="1056"/>
      <c r="BTF166" s="1056"/>
      <c r="BTG166" s="1056"/>
      <c r="BTH166" s="1056"/>
      <c r="BTI166" s="1056"/>
    </row>
    <row r="167" spans="1:1881" s="1060" customFormat="1" ht="104.25" hidden="1" customHeight="1" x14ac:dyDescent="0.3">
      <c r="A167" s="1059">
        <v>361</v>
      </c>
      <c r="B167" s="808" t="s">
        <v>56</v>
      </c>
      <c r="C167" s="808" t="s">
        <v>1400</v>
      </c>
      <c r="D167" s="1052" t="s">
        <v>1411</v>
      </c>
      <c r="E167" s="1053" t="e">
        <f>HLOOKUP($D$2,'2020 Data(H)'!$C$1:$AI$426,122,FALSE)</f>
        <v>#N/A</v>
      </c>
      <c r="F167" s="287">
        <v>0</v>
      </c>
      <c r="G167" s="722"/>
      <c r="H167" s="764"/>
      <c r="I167" s="1055"/>
      <c r="J167" s="1056"/>
      <c r="K167" s="1056"/>
      <c r="L167" s="1056"/>
      <c r="M167" s="1056"/>
      <c r="N167" s="1058"/>
      <c r="O167" s="1056"/>
      <c r="P167" s="1056"/>
      <c r="Q167" s="1056"/>
      <c r="R167" s="1056"/>
      <c r="S167" s="1056"/>
      <c r="T167" s="1056"/>
      <c r="U167" s="1056"/>
      <c r="V167" s="1056"/>
      <c r="W167" s="1056"/>
      <c r="X167" s="1056"/>
      <c r="Y167" s="1056"/>
      <c r="Z167" s="1059"/>
      <c r="AA167" s="1059"/>
      <c r="AB167" s="1059"/>
      <c r="AC167" s="1059"/>
      <c r="AD167" s="1059"/>
      <c r="AE167" s="1059"/>
      <c r="AF167" s="1059"/>
      <c r="AG167" s="1059"/>
      <c r="AH167" s="1059"/>
      <c r="AI167" s="1059"/>
      <c r="AJ167" s="1059"/>
      <c r="AK167" s="1059"/>
      <c r="AL167" s="1059"/>
      <c r="AM167" s="1059"/>
      <c r="AN167" s="1059"/>
      <c r="AO167" s="1059"/>
      <c r="AP167" s="1059"/>
      <c r="AQ167" s="1059"/>
      <c r="AR167" s="1059"/>
      <c r="AS167" s="1056"/>
      <c r="AT167" s="1056"/>
      <c r="AU167" s="1056"/>
      <c r="AV167" s="1056"/>
      <c r="AW167" s="1056"/>
      <c r="AX167" s="1056"/>
      <c r="AY167" s="1056"/>
      <c r="AZ167" s="1056"/>
      <c r="BA167" s="1056"/>
      <c r="BB167" s="1056"/>
      <c r="BC167" s="1056"/>
      <c r="BD167" s="1056"/>
      <c r="BE167" s="1056"/>
      <c r="BF167" s="1056"/>
      <c r="BG167" s="1056"/>
      <c r="BH167" s="1056"/>
      <c r="BI167" s="1056"/>
      <c r="BJ167" s="1056"/>
      <c r="BK167" s="1056"/>
      <c r="BL167" s="1056"/>
      <c r="BM167" s="1056"/>
      <c r="BN167" s="1056"/>
      <c r="BO167" s="1056"/>
      <c r="BP167" s="1056"/>
      <c r="BQ167" s="1056"/>
      <c r="BR167" s="1056"/>
      <c r="BS167" s="1056"/>
      <c r="BT167" s="1056"/>
      <c r="BU167" s="1056"/>
      <c r="BV167" s="1056"/>
      <c r="BW167" s="1056"/>
      <c r="BX167" s="1056"/>
      <c r="BY167" s="1056"/>
      <c r="BZ167" s="1056"/>
      <c r="CA167" s="1056"/>
      <c r="CB167" s="1056"/>
      <c r="CC167" s="1056"/>
      <c r="CD167" s="1056"/>
      <c r="CE167" s="1056"/>
      <c r="CF167" s="1056"/>
      <c r="CG167" s="1056"/>
      <c r="CH167" s="1056"/>
      <c r="CI167" s="1056"/>
      <c r="CJ167" s="1056"/>
      <c r="CK167" s="1056"/>
      <c r="CL167" s="1056"/>
      <c r="CM167" s="1056"/>
      <c r="CN167" s="1056"/>
      <c r="CO167" s="1056"/>
      <c r="CP167" s="1056"/>
      <c r="CQ167" s="1056"/>
      <c r="CR167" s="1056"/>
      <c r="CS167" s="1056"/>
      <c r="CT167" s="1056"/>
      <c r="CU167" s="1056"/>
      <c r="CV167" s="1056"/>
      <c r="CW167" s="1056"/>
      <c r="CX167" s="1056"/>
      <c r="CY167" s="1056"/>
      <c r="CZ167" s="1056"/>
      <c r="DA167" s="1056"/>
      <c r="DB167" s="1056"/>
      <c r="DC167" s="1056"/>
      <c r="DD167" s="1056"/>
      <c r="DE167" s="1056"/>
      <c r="DF167" s="1056"/>
      <c r="DG167" s="1056"/>
      <c r="DH167" s="1056"/>
      <c r="DI167" s="1056"/>
      <c r="DJ167" s="1056"/>
      <c r="DK167" s="1056"/>
      <c r="DL167" s="1056"/>
      <c r="DM167" s="1056"/>
      <c r="DN167" s="1056"/>
      <c r="DO167" s="1056"/>
      <c r="DP167" s="1056"/>
      <c r="DQ167" s="1056"/>
      <c r="DR167" s="1056"/>
      <c r="DS167" s="1056"/>
      <c r="DT167" s="1056"/>
      <c r="DU167" s="1056"/>
      <c r="DV167" s="1056"/>
      <c r="DW167" s="1056"/>
      <c r="DX167" s="1056"/>
      <c r="DY167" s="1056"/>
      <c r="DZ167" s="1056"/>
      <c r="EA167" s="1056"/>
      <c r="EB167" s="1056"/>
      <c r="EC167" s="1056"/>
      <c r="ED167" s="1056"/>
      <c r="EE167" s="1056"/>
      <c r="EF167" s="1056"/>
      <c r="EG167" s="1056"/>
      <c r="EH167" s="1056"/>
      <c r="EI167" s="1056"/>
      <c r="EJ167" s="1056"/>
      <c r="EK167" s="1056"/>
      <c r="EL167" s="1056"/>
      <c r="EM167" s="1056"/>
      <c r="EN167" s="1056"/>
      <c r="EO167" s="1056"/>
      <c r="EP167" s="1056"/>
      <c r="EQ167" s="1056"/>
      <c r="ER167" s="1056"/>
      <c r="ES167" s="1056"/>
      <c r="ET167" s="1056"/>
      <c r="EU167" s="1056"/>
      <c r="EV167" s="1056"/>
      <c r="EW167" s="1056"/>
      <c r="EX167" s="1056"/>
      <c r="EY167" s="1056"/>
      <c r="EZ167" s="1056"/>
      <c r="FA167" s="1056"/>
      <c r="FB167" s="1056"/>
      <c r="FC167" s="1056"/>
      <c r="FD167" s="1056"/>
      <c r="FE167" s="1056"/>
      <c r="FF167" s="1056"/>
      <c r="FG167" s="1056"/>
      <c r="FH167" s="1056"/>
      <c r="FI167" s="1056"/>
      <c r="FJ167" s="1056"/>
      <c r="FK167" s="1056"/>
      <c r="FL167" s="1056"/>
      <c r="FM167" s="1056"/>
      <c r="FN167" s="1056"/>
      <c r="FO167" s="1056"/>
      <c r="FP167" s="1056"/>
      <c r="FQ167" s="1056"/>
      <c r="FR167" s="1056"/>
      <c r="FS167" s="1056"/>
      <c r="FT167" s="1056"/>
      <c r="FU167" s="1056"/>
      <c r="FV167" s="1056"/>
      <c r="FW167" s="1056"/>
      <c r="FX167" s="1056"/>
      <c r="FY167" s="1056"/>
      <c r="FZ167" s="1056"/>
      <c r="GA167" s="1056"/>
      <c r="GB167" s="1056"/>
      <c r="GC167" s="1056"/>
      <c r="GD167" s="1056"/>
      <c r="GE167" s="1056"/>
      <c r="GF167" s="1056"/>
      <c r="GG167" s="1056"/>
      <c r="GH167" s="1056"/>
      <c r="GI167" s="1056"/>
      <c r="GJ167" s="1056"/>
      <c r="GK167" s="1056"/>
      <c r="GL167" s="1056"/>
      <c r="GM167" s="1056"/>
      <c r="GN167" s="1056"/>
      <c r="GO167" s="1056"/>
      <c r="GP167" s="1056"/>
      <c r="GQ167" s="1056"/>
      <c r="GR167" s="1056"/>
      <c r="GS167" s="1056"/>
      <c r="GT167" s="1056"/>
      <c r="GU167" s="1056"/>
      <c r="GV167" s="1056"/>
      <c r="GW167" s="1056"/>
      <c r="GX167" s="1056"/>
      <c r="GY167" s="1056"/>
      <c r="GZ167" s="1056"/>
      <c r="HA167" s="1056"/>
      <c r="HB167" s="1056"/>
      <c r="HC167" s="1056"/>
      <c r="HD167" s="1056"/>
      <c r="HE167" s="1056"/>
      <c r="HF167" s="1056"/>
      <c r="HG167" s="1056"/>
      <c r="HH167" s="1056"/>
      <c r="HI167" s="1056"/>
      <c r="HJ167" s="1056"/>
      <c r="HK167" s="1056"/>
      <c r="HL167" s="1056"/>
      <c r="HM167" s="1056"/>
      <c r="HN167" s="1056"/>
      <c r="HO167" s="1056"/>
      <c r="HP167" s="1056"/>
      <c r="HQ167" s="1056"/>
      <c r="HR167" s="1056"/>
      <c r="HS167" s="1056"/>
      <c r="HT167" s="1056"/>
      <c r="HU167" s="1056"/>
      <c r="HV167" s="1056"/>
      <c r="HW167" s="1056"/>
      <c r="HX167" s="1056"/>
      <c r="HY167" s="1056"/>
      <c r="HZ167" s="1056"/>
      <c r="IA167" s="1056"/>
      <c r="IB167" s="1056"/>
      <c r="IC167" s="1056"/>
      <c r="ID167" s="1056"/>
      <c r="IE167" s="1056"/>
      <c r="IF167" s="1056"/>
      <c r="IG167" s="1056"/>
      <c r="IH167" s="1056"/>
      <c r="II167" s="1056"/>
      <c r="IJ167" s="1056"/>
      <c r="IK167" s="1056"/>
      <c r="IL167" s="1056"/>
      <c r="IM167" s="1056"/>
      <c r="IN167" s="1056"/>
      <c r="IO167" s="1056"/>
      <c r="IP167" s="1056"/>
      <c r="IQ167" s="1056"/>
      <c r="IR167" s="1056"/>
      <c r="IS167" s="1056"/>
      <c r="IT167" s="1056"/>
      <c r="IU167" s="1056"/>
      <c r="IV167" s="1056"/>
      <c r="IW167" s="1056"/>
      <c r="IX167" s="1056"/>
      <c r="IY167" s="1056"/>
      <c r="IZ167" s="1056"/>
      <c r="JA167" s="1056"/>
      <c r="JB167" s="1056"/>
      <c r="JC167" s="1056"/>
      <c r="JD167" s="1056"/>
      <c r="JE167" s="1056"/>
      <c r="JF167" s="1056"/>
      <c r="JG167" s="1056"/>
      <c r="JH167" s="1056"/>
      <c r="JI167" s="1056"/>
      <c r="JJ167" s="1056"/>
      <c r="JK167" s="1056"/>
      <c r="JL167" s="1056"/>
      <c r="JM167" s="1056"/>
      <c r="JN167" s="1056"/>
      <c r="JO167" s="1056"/>
      <c r="JP167" s="1056"/>
      <c r="JQ167" s="1056"/>
      <c r="JR167" s="1056"/>
      <c r="JS167" s="1056"/>
      <c r="JT167" s="1056"/>
      <c r="JU167" s="1056"/>
      <c r="JV167" s="1056"/>
      <c r="JW167" s="1056"/>
      <c r="JX167" s="1056"/>
      <c r="JY167" s="1056"/>
      <c r="JZ167" s="1056"/>
      <c r="KA167" s="1056"/>
      <c r="KB167" s="1056"/>
      <c r="KC167" s="1056"/>
      <c r="KD167" s="1056"/>
      <c r="KE167" s="1056"/>
      <c r="KF167" s="1056"/>
      <c r="KG167" s="1056"/>
      <c r="KH167" s="1056"/>
      <c r="KI167" s="1056"/>
      <c r="KJ167" s="1056"/>
      <c r="KK167" s="1056"/>
      <c r="KL167" s="1056"/>
      <c r="KM167" s="1056"/>
      <c r="KN167" s="1056"/>
      <c r="KO167" s="1056"/>
      <c r="KP167" s="1056"/>
      <c r="KQ167" s="1056"/>
      <c r="KR167" s="1056"/>
      <c r="KS167" s="1056"/>
      <c r="KT167" s="1056"/>
      <c r="KU167" s="1056"/>
      <c r="KV167" s="1056"/>
      <c r="KW167" s="1056"/>
      <c r="KX167" s="1056"/>
      <c r="KY167" s="1056"/>
      <c r="KZ167" s="1056"/>
      <c r="LA167" s="1056"/>
      <c r="LB167" s="1056"/>
      <c r="LC167" s="1056"/>
      <c r="LD167" s="1056"/>
      <c r="LE167" s="1056"/>
      <c r="LF167" s="1056"/>
      <c r="LG167" s="1056"/>
      <c r="LH167" s="1056"/>
      <c r="LI167" s="1056"/>
      <c r="LJ167" s="1056"/>
      <c r="LK167" s="1056"/>
      <c r="LL167" s="1056"/>
      <c r="LM167" s="1056"/>
      <c r="LN167" s="1056"/>
      <c r="LO167" s="1056"/>
      <c r="LP167" s="1056"/>
      <c r="LQ167" s="1056"/>
      <c r="LR167" s="1056"/>
      <c r="LS167" s="1056"/>
      <c r="LT167" s="1056"/>
      <c r="LU167" s="1056"/>
      <c r="LV167" s="1056"/>
      <c r="LW167" s="1056"/>
      <c r="LX167" s="1056"/>
      <c r="LY167" s="1056"/>
      <c r="LZ167" s="1056"/>
      <c r="MA167" s="1056"/>
      <c r="MB167" s="1056"/>
      <c r="MC167" s="1056"/>
      <c r="MD167" s="1056"/>
      <c r="ME167" s="1056"/>
      <c r="MF167" s="1056"/>
      <c r="MG167" s="1056"/>
      <c r="MH167" s="1056"/>
      <c r="MI167" s="1056"/>
      <c r="MJ167" s="1056"/>
      <c r="MK167" s="1056"/>
      <c r="ML167" s="1056"/>
      <c r="MM167" s="1056"/>
      <c r="MN167" s="1056"/>
      <c r="MO167" s="1056"/>
      <c r="MP167" s="1056"/>
      <c r="MQ167" s="1056"/>
      <c r="MR167" s="1056"/>
      <c r="MS167" s="1056"/>
      <c r="MT167" s="1056"/>
      <c r="MU167" s="1056"/>
      <c r="MV167" s="1056"/>
      <c r="MW167" s="1056"/>
      <c r="MX167" s="1056"/>
      <c r="MY167" s="1056"/>
      <c r="MZ167" s="1056"/>
      <c r="NA167" s="1056"/>
      <c r="NB167" s="1056"/>
      <c r="NC167" s="1056"/>
      <c r="ND167" s="1056"/>
      <c r="NE167" s="1056"/>
      <c r="NF167" s="1056"/>
      <c r="NG167" s="1056"/>
      <c r="NH167" s="1056"/>
      <c r="NI167" s="1056"/>
      <c r="NJ167" s="1056"/>
      <c r="NK167" s="1056"/>
      <c r="NL167" s="1056"/>
      <c r="NM167" s="1056"/>
      <c r="NN167" s="1056"/>
      <c r="NO167" s="1056"/>
      <c r="NP167" s="1056"/>
      <c r="NQ167" s="1056"/>
      <c r="NR167" s="1056"/>
      <c r="NS167" s="1056"/>
      <c r="NT167" s="1056"/>
      <c r="NU167" s="1056"/>
      <c r="NV167" s="1056"/>
      <c r="NW167" s="1056"/>
      <c r="NX167" s="1056"/>
      <c r="NY167" s="1056"/>
      <c r="NZ167" s="1056"/>
      <c r="OA167" s="1056"/>
      <c r="OB167" s="1056"/>
      <c r="OC167" s="1056"/>
      <c r="OD167" s="1056"/>
      <c r="OE167" s="1056"/>
      <c r="OF167" s="1056"/>
      <c r="OG167" s="1056"/>
      <c r="OH167" s="1056"/>
      <c r="OI167" s="1056"/>
      <c r="OJ167" s="1056"/>
      <c r="OK167" s="1056"/>
      <c r="OL167" s="1056"/>
      <c r="OM167" s="1056"/>
      <c r="ON167" s="1056"/>
      <c r="OO167" s="1056"/>
      <c r="OP167" s="1056"/>
      <c r="OQ167" s="1056"/>
      <c r="OR167" s="1056"/>
      <c r="OS167" s="1056"/>
      <c r="OT167" s="1056"/>
      <c r="OU167" s="1056"/>
      <c r="OV167" s="1056"/>
      <c r="OW167" s="1056"/>
      <c r="OX167" s="1056"/>
      <c r="OY167" s="1056"/>
      <c r="OZ167" s="1056"/>
      <c r="PA167" s="1056"/>
      <c r="PB167" s="1056"/>
      <c r="PC167" s="1056"/>
      <c r="PD167" s="1056"/>
      <c r="PE167" s="1056"/>
      <c r="PF167" s="1056"/>
      <c r="PG167" s="1056"/>
      <c r="PH167" s="1056"/>
      <c r="PI167" s="1056"/>
      <c r="PJ167" s="1056"/>
      <c r="PK167" s="1056"/>
      <c r="PL167" s="1056"/>
      <c r="PM167" s="1056"/>
      <c r="PN167" s="1056"/>
      <c r="PO167" s="1056"/>
      <c r="PP167" s="1056"/>
      <c r="PQ167" s="1056"/>
      <c r="PR167" s="1056"/>
      <c r="PS167" s="1056"/>
      <c r="PT167" s="1056"/>
      <c r="PU167" s="1056"/>
      <c r="PV167" s="1056"/>
      <c r="PW167" s="1056"/>
      <c r="PX167" s="1056"/>
      <c r="PY167" s="1056"/>
      <c r="PZ167" s="1056"/>
      <c r="QA167" s="1056"/>
      <c r="QB167" s="1056"/>
      <c r="QC167" s="1056"/>
      <c r="QD167" s="1056"/>
      <c r="QE167" s="1056"/>
      <c r="QF167" s="1056"/>
      <c r="QG167" s="1056"/>
      <c r="QH167" s="1056"/>
      <c r="QI167" s="1056"/>
      <c r="QJ167" s="1056"/>
      <c r="QK167" s="1056"/>
      <c r="QL167" s="1056"/>
      <c r="QM167" s="1056"/>
      <c r="QN167" s="1056"/>
      <c r="QO167" s="1056"/>
      <c r="QP167" s="1056"/>
      <c r="QQ167" s="1056"/>
      <c r="QR167" s="1056"/>
      <c r="QS167" s="1056"/>
      <c r="QT167" s="1056"/>
      <c r="QU167" s="1056"/>
      <c r="QV167" s="1056"/>
      <c r="QW167" s="1056"/>
      <c r="QX167" s="1056"/>
      <c r="QY167" s="1056"/>
      <c r="QZ167" s="1056"/>
      <c r="RA167" s="1056"/>
      <c r="RB167" s="1056"/>
      <c r="RC167" s="1056"/>
      <c r="RD167" s="1056"/>
      <c r="RE167" s="1056"/>
      <c r="RF167" s="1056"/>
      <c r="RG167" s="1056"/>
      <c r="RH167" s="1056"/>
      <c r="RI167" s="1056"/>
      <c r="RJ167" s="1056"/>
      <c r="RK167" s="1056"/>
      <c r="RL167" s="1056"/>
      <c r="RM167" s="1056"/>
      <c r="RN167" s="1056"/>
      <c r="RO167" s="1056"/>
      <c r="RP167" s="1056"/>
      <c r="RQ167" s="1056"/>
      <c r="RR167" s="1056"/>
      <c r="RS167" s="1056"/>
      <c r="RT167" s="1056"/>
      <c r="RU167" s="1056"/>
      <c r="RV167" s="1056"/>
      <c r="RW167" s="1056"/>
      <c r="RX167" s="1056"/>
      <c r="RY167" s="1056"/>
      <c r="RZ167" s="1056"/>
      <c r="SA167" s="1056"/>
      <c r="SB167" s="1056"/>
      <c r="SC167" s="1056"/>
      <c r="SD167" s="1056"/>
      <c r="SE167" s="1056"/>
      <c r="SF167" s="1056"/>
      <c r="SG167" s="1056"/>
      <c r="SH167" s="1056"/>
      <c r="SI167" s="1056"/>
      <c r="SJ167" s="1056"/>
      <c r="SK167" s="1056"/>
      <c r="SL167" s="1056"/>
      <c r="SM167" s="1056"/>
      <c r="SN167" s="1056"/>
      <c r="SO167" s="1056"/>
      <c r="SP167" s="1056"/>
      <c r="SQ167" s="1056"/>
      <c r="SR167" s="1056"/>
      <c r="SS167" s="1056"/>
      <c r="ST167" s="1056"/>
      <c r="SU167" s="1056"/>
      <c r="SV167" s="1056"/>
      <c r="SW167" s="1056"/>
      <c r="SX167" s="1056"/>
      <c r="SY167" s="1056"/>
      <c r="SZ167" s="1056"/>
      <c r="TA167" s="1056"/>
      <c r="TB167" s="1056"/>
      <c r="TC167" s="1056"/>
      <c r="TD167" s="1056"/>
      <c r="TE167" s="1056"/>
      <c r="TF167" s="1056"/>
      <c r="TG167" s="1056"/>
      <c r="TH167" s="1056"/>
      <c r="TI167" s="1056"/>
      <c r="TJ167" s="1056"/>
      <c r="TK167" s="1056"/>
      <c r="TL167" s="1056"/>
      <c r="TM167" s="1056"/>
      <c r="TN167" s="1056"/>
      <c r="TO167" s="1056"/>
      <c r="TP167" s="1056"/>
      <c r="TQ167" s="1056"/>
      <c r="TR167" s="1056"/>
      <c r="TS167" s="1056"/>
      <c r="TT167" s="1056"/>
      <c r="TU167" s="1056"/>
      <c r="TV167" s="1056"/>
      <c r="TW167" s="1056"/>
      <c r="TX167" s="1056"/>
      <c r="TY167" s="1056"/>
      <c r="TZ167" s="1056"/>
      <c r="UA167" s="1056"/>
      <c r="UB167" s="1056"/>
      <c r="UC167" s="1056"/>
      <c r="UD167" s="1056"/>
      <c r="UE167" s="1056"/>
      <c r="UF167" s="1056"/>
      <c r="UG167" s="1056"/>
      <c r="UH167" s="1056"/>
      <c r="UI167" s="1056"/>
      <c r="UJ167" s="1056"/>
      <c r="UK167" s="1056"/>
      <c r="UL167" s="1056"/>
      <c r="UM167" s="1056"/>
      <c r="UN167" s="1056"/>
      <c r="UO167" s="1056"/>
      <c r="UP167" s="1056"/>
      <c r="UQ167" s="1056"/>
      <c r="UR167" s="1056"/>
      <c r="US167" s="1056"/>
      <c r="UT167" s="1056"/>
      <c r="UU167" s="1056"/>
      <c r="UV167" s="1056"/>
      <c r="UW167" s="1056"/>
      <c r="UX167" s="1056"/>
      <c r="UY167" s="1056"/>
      <c r="UZ167" s="1056"/>
      <c r="VA167" s="1056"/>
      <c r="VB167" s="1056"/>
      <c r="VC167" s="1056"/>
      <c r="VD167" s="1056"/>
      <c r="VE167" s="1056"/>
      <c r="VF167" s="1056"/>
      <c r="VG167" s="1056"/>
      <c r="VH167" s="1056"/>
      <c r="VI167" s="1056"/>
      <c r="VJ167" s="1056"/>
      <c r="VK167" s="1056"/>
      <c r="VL167" s="1056"/>
      <c r="VM167" s="1056"/>
      <c r="VN167" s="1056"/>
      <c r="VO167" s="1056"/>
      <c r="VP167" s="1056"/>
      <c r="VQ167" s="1056"/>
      <c r="VR167" s="1056"/>
      <c r="VS167" s="1056"/>
      <c r="VT167" s="1056"/>
      <c r="VU167" s="1056"/>
      <c r="VV167" s="1056"/>
      <c r="VW167" s="1056"/>
      <c r="VX167" s="1056"/>
      <c r="VY167" s="1056"/>
      <c r="VZ167" s="1056"/>
      <c r="WA167" s="1056"/>
      <c r="WB167" s="1056"/>
      <c r="WC167" s="1056"/>
      <c r="WD167" s="1056"/>
      <c r="WE167" s="1056"/>
      <c r="WF167" s="1056"/>
      <c r="WG167" s="1056"/>
      <c r="WH167" s="1056"/>
      <c r="WI167" s="1056"/>
      <c r="WJ167" s="1056"/>
      <c r="WK167" s="1056"/>
      <c r="WL167" s="1056"/>
      <c r="WM167" s="1056"/>
      <c r="WN167" s="1056"/>
      <c r="WO167" s="1056"/>
      <c r="WP167" s="1056"/>
      <c r="WQ167" s="1056"/>
      <c r="WR167" s="1056"/>
      <c r="WS167" s="1056"/>
      <c r="WT167" s="1056"/>
      <c r="WU167" s="1056"/>
      <c r="WV167" s="1056"/>
      <c r="WW167" s="1056"/>
      <c r="WX167" s="1056"/>
      <c r="WY167" s="1056"/>
      <c r="WZ167" s="1056"/>
      <c r="XA167" s="1056"/>
      <c r="XB167" s="1056"/>
      <c r="XC167" s="1056"/>
      <c r="XD167" s="1056"/>
      <c r="XE167" s="1056"/>
      <c r="XF167" s="1056"/>
      <c r="XG167" s="1056"/>
      <c r="XH167" s="1056"/>
      <c r="XI167" s="1056"/>
      <c r="XJ167" s="1056"/>
      <c r="XK167" s="1056"/>
      <c r="XL167" s="1056"/>
      <c r="XM167" s="1056"/>
      <c r="XN167" s="1056"/>
      <c r="XO167" s="1056"/>
      <c r="XP167" s="1056"/>
      <c r="XQ167" s="1056"/>
      <c r="XR167" s="1056"/>
      <c r="XS167" s="1056"/>
      <c r="XT167" s="1056"/>
      <c r="XU167" s="1056"/>
      <c r="XV167" s="1056"/>
      <c r="XW167" s="1056"/>
      <c r="XX167" s="1056"/>
      <c r="XY167" s="1056"/>
      <c r="XZ167" s="1056"/>
      <c r="YA167" s="1056"/>
      <c r="YB167" s="1056"/>
      <c r="YC167" s="1056"/>
      <c r="YD167" s="1056"/>
      <c r="YE167" s="1056"/>
      <c r="YF167" s="1056"/>
      <c r="YG167" s="1056"/>
      <c r="YH167" s="1056"/>
      <c r="YI167" s="1056"/>
      <c r="YJ167" s="1056"/>
      <c r="YK167" s="1056"/>
      <c r="YL167" s="1056"/>
      <c r="YM167" s="1056"/>
      <c r="YN167" s="1056"/>
      <c r="YO167" s="1056"/>
      <c r="YP167" s="1056"/>
      <c r="YQ167" s="1056"/>
      <c r="YR167" s="1056"/>
      <c r="YS167" s="1056"/>
      <c r="YT167" s="1056"/>
      <c r="YU167" s="1056"/>
      <c r="YV167" s="1056"/>
      <c r="YW167" s="1056"/>
      <c r="YX167" s="1056"/>
      <c r="YY167" s="1056"/>
      <c r="YZ167" s="1056"/>
      <c r="ZA167" s="1056"/>
      <c r="ZB167" s="1056"/>
      <c r="ZC167" s="1056"/>
      <c r="ZD167" s="1056"/>
      <c r="ZE167" s="1056"/>
      <c r="ZF167" s="1056"/>
      <c r="ZG167" s="1056"/>
      <c r="ZH167" s="1056"/>
      <c r="ZI167" s="1056"/>
      <c r="ZJ167" s="1056"/>
      <c r="ZK167" s="1056"/>
      <c r="ZL167" s="1056"/>
      <c r="ZM167" s="1056"/>
      <c r="ZN167" s="1056"/>
      <c r="ZO167" s="1056"/>
      <c r="ZP167" s="1056"/>
      <c r="ZQ167" s="1056"/>
      <c r="ZR167" s="1056"/>
      <c r="ZS167" s="1056"/>
      <c r="ZT167" s="1056"/>
      <c r="ZU167" s="1056"/>
      <c r="ZV167" s="1056"/>
      <c r="ZW167" s="1056"/>
      <c r="ZX167" s="1056"/>
      <c r="ZY167" s="1056"/>
      <c r="ZZ167" s="1056"/>
      <c r="AAA167" s="1056"/>
      <c r="AAB167" s="1056"/>
      <c r="AAC167" s="1056"/>
      <c r="AAD167" s="1056"/>
      <c r="AAE167" s="1056"/>
      <c r="AAF167" s="1056"/>
      <c r="AAG167" s="1056"/>
      <c r="AAH167" s="1056"/>
      <c r="AAI167" s="1056"/>
      <c r="AAJ167" s="1056"/>
      <c r="AAK167" s="1056"/>
      <c r="AAL167" s="1056"/>
      <c r="AAM167" s="1056"/>
      <c r="AAN167" s="1056"/>
      <c r="AAO167" s="1056"/>
      <c r="AAP167" s="1056"/>
      <c r="AAQ167" s="1056"/>
      <c r="AAR167" s="1056"/>
      <c r="AAS167" s="1056"/>
      <c r="AAT167" s="1056"/>
      <c r="AAU167" s="1056"/>
      <c r="AAV167" s="1056"/>
      <c r="AAW167" s="1056"/>
      <c r="AAX167" s="1056"/>
      <c r="AAY167" s="1056"/>
      <c r="AAZ167" s="1056"/>
      <c r="ABA167" s="1056"/>
      <c r="ABB167" s="1056"/>
      <c r="ABC167" s="1056"/>
      <c r="ABD167" s="1056"/>
      <c r="ABE167" s="1056"/>
      <c r="ABF167" s="1056"/>
      <c r="ABG167" s="1056"/>
      <c r="ABH167" s="1056"/>
      <c r="ABI167" s="1056"/>
      <c r="ABJ167" s="1056"/>
      <c r="ABK167" s="1056"/>
      <c r="ABL167" s="1056"/>
      <c r="ABM167" s="1056"/>
      <c r="ABN167" s="1056"/>
      <c r="ABO167" s="1056"/>
      <c r="ABP167" s="1056"/>
      <c r="ABQ167" s="1056"/>
      <c r="ABR167" s="1056"/>
      <c r="ABS167" s="1056"/>
      <c r="ABT167" s="1056"/>
      <c r="ABU167" s="1056"/>
      <c r="ABV167" s="1056"/>
      <c r="ABW167" s="1056"/>
      <c r="ABX167" s="1056"/>
      <c r="ABY167" s="1056"/>
      <c r="ABZ167" s="1056"/>
      <c r="ACA167" s="1056"/>
      <c r="ACB167" s="1056"/>
      <c r="ACC167" s="1056"/>
      <c r="ACD167" s="1056"/>
      <c r="ACE167" s="1056"/>
      <c r="ACF167" s="1056"/>
      <c r="ACG167" s="1056"/>
      <c r="ACH167" s="1056"/>
      <c r="ACI167" s="1056"/>
      <c r="ACJ167" s="1056"/>
      <c r="ACK167" s="1056"/>
      <c r="ACL167" s="1056"/>
      <c r="ACM167" s="1056"/>
      <c r="ACN167" s="1056"/>
      <c r="ACO167" s="1056"/>
      <c r="ACP167" s="1056"/>
      <c r="ACQ167" s="1056"/>
      <c r="ACR167" s="1056"/>
      <c r="ACS167" s="1056"/>
      <c r="ACT167" s="1056"/>
      <c r="ACU167" s="1056"/>
      <c r="ACV167" s="1056"/>
      <c r="ACW167" s="1056"/>
      <c r="ACX167" s="1056"/>
      <c r="ACY167" s="1056"/>
      <c r="ACZ167" s="1056"/>
      <c r="ADA167" s="1056"/>
      <c r="ADB167" s="1056"/>
      <c r="ADC167" s="1056"/>
      <c r="ADD167" s="1056"/>
      <c r="ADE167" s="1056"/>
      <c r="ADF167" s="1056"/>
      <c r="ADG167" s="1056"/>
      <c r="ADH167" s="1056"/>
      <c r="ADI167" s="1056"/>
      <c r="ADJ167" s="1056"/>
      <c r="ADK167" s="1056"/>
      <c r="ADL167" s="1056"/>
      <c r="ADM167" s="1056"/>
      <c r="ADN167" s="1056"/>
      <c r="ADO167" s="1056"/>
      <c r="ADP167" s="1056"/>
      <c r="ADQ167" s="1056"/>
      <c r="ADR167" s="1056"/>
      <c r="ADS167" s="1056"/>
      <c r="ADT167" s="1056"/>
      <c r="ADU167" s="1056"/>
      <c r="ADV167" s="1056"/>
      <c r="ADW167" s="1056"/>
      <c r="ADX167" s="1056"/>
      <c r="ADY167" s="1056"/>
      <c r="ADZ167" s="1056"/>
      <c r="AEA167" s="1056"/>
      <c r="AEB167" s="1056"/>
      <c r="AEC167" s="1056"/>
      <c r="AED167" s="1056"/>
      <c r="AEE167" s="1056"/>
      <c r="AEF167" s="1056"/>
      <c r="AEG167" s="1056"/>
      <c r="AEH167" s="1056"/>
      <c r="AEI167" s="1056"/>
      <c r="AEJ167" s="1056"/>
      <c r="AEK167" s="1056"/>
      <c r="AEL167" s="1056"/>
      <c r="AEM167" s="1056"/>
      <c r="AEN167" s="1056"/>
      <c r="AEO167" s="1056"/>
      <c r="AEP167" s="1056"/>
      <c r="AEQ167" s="1056"/>
      <c r="AER167" s="1056"/>
      <c r="AES167" s="1056"/>
      <c r="AET167" s="1056"/>
      <c r="AEU167" s="1056"/>
      <c r="AEV167" s="1056"/>
      <c r="AEW167" s="1056"/>
      <c r="AEX167" s="1056"/>
      <c r="AEY167" s="1056"/>
      <c r="AEZ167" s="1056"/>
      <c r="AFA167" s="1056"/>
      <c r="AFB167" s="1056"/>
      <c r="AFC167" s="1056"/>
      <c r="AFD167" s="1056"/>
      <c r="AFE167" s="1056"/>
      <c r="AFF167" s="1056"/>
      <c r="AFG167" s="1056"/>
      <c r="AFH167" s="1056"/>
      <c r="AFI167" s="1056"/>
      <c r="AFJ167" s="1056"/>
      <c r="AFK167" s="1056"/>
      <c r="AFL167" s="1056"/>
      <c r="AFM167" s="1056"/>
      <c r="AFN167" s="1056"/>
      <c r="AFO167" s="1056"/>
      <c r="AFP167" s="1056"/>
      <c r="AFQ167" s="1056"/>
      <c r="AFR167" s="1056"/>
      <c r="AFS167" s="1056"/>
      <c r="AFT167" s="1056"/>
      <c r="AFU167" s="1056"/>
      <c r="AFV167" s="1056"/>
      <c r="AFW167" s="1056"/>
      <c r="AFX167" s="1056"/>
      <c r="AFY167" s="1056"/>
      <c r="AFZ167" s="1056"/>
      <c r="AGA167" s="1056"/>
      <c r="AGB167" s="1056"/>
      <c r="AGC167" s="1056"/>
      <c r="AGD167" s="1056"/>
      <c r="AGE167" s="1056"/>
      <c r="AGF167" s="1056"/>
      <c r="AGG167" s="1056"/>
      <c r="AGH167" s="1056"/>
      <c r="AGI167" s="1056"/>
      <c r="AGJ167" s="1056"/>
      <c r="AGK167" s="1056"/>
      <c r="AGL167" s="1056"/>
      <c r="AGM167" s="1056"/>
      <c r="AGN167" s="1056"/>
      <c r="AGO167" s="1056"/>
      <c r="AGP167" s="1056"/>
      <c r="AGQ167" s="1056"/>
      <c r="AGR167" s="1056"/>
      <c r="AGS167" s="1056"/>
      <c r="AGT167" s="1056"/>
      <c r="AGU167" s="1056"/>
      <c r="AGV167" s="1056"/>
      <c r="AGW167" s="1056"/>
      <c r="AGX167" s="1056"/>
      <c r="AGY167" s="1056"/>
      <c r="AGZ167" s="1056"/>
      <c r="AHA167" s="1056"/>
      <c r="AHB167" s="1056"/>
      <c r="AHC167" s="1056"/>
      <c r="AHD167" s="1056"/>
      <c r="AHE167" s="1056"/>
      <c r="AHF167" s="1056"/>
      <c r="AHG167" s="1056"/>
      <c r="AHH167" s="1056"/>
      <c r="AHI167" s="1056"/>
      <c r="AHJ167" s="1056"/>
      <c r="AHK167" s="1056"/>
      <c r="AHL167" s="1056"/>
      <c r="AHM167" s="1056"/>
      <c r="AHN167" s="1056"/>
      <c r="AHO167" s="1056"/>
      <c r="AHP167" s="1056"/>
      <c r="AHQ167" s="1056"/>
      <c r="AHR167" s="1056"/>
      <c r="AHS167" s="1056"/>
      <c r="AHT167" s="1056"/>
      <c r="AHU167" s="1056"/>
      <c r="AHV167" s="1056"/>
      <c r="AHW167" s="1056"/>
      <c r="AHX167" s="1056"/>
      <c r="AHY167" s="1056"/>
      <c r="AHZ167" s="1056"/>
      <c r="AIA167" s="1056"/>
      <c r="AIB167" s="1056"/>
      <c r="AIC167" s="1056"/>
      <c r="AID167" s="1056"/>
      <c r="AIE167" s="1056"/>
      <c r="AIF167" s="1056"/>
      <c r="AIG167" s="1056"/>
      <c r="AIH167" s="1056"/>
      <c r="AII167" s="1056"/>
      <c r="AIJ167" s="1056"/>
      <c r="AIK167" s="1056"/>
      <c r="AIL167" s="1056"/>
      <c r="AIM167" s="1056"/>
      <c r="AIN167" s="1056"/>
      <c r="AIO167" s="1056"/>
      <c r="AIP167" s="1056"/>
      <c r="AIQ167" s="1056"/>
      <c r="AIR167" s="1056"/>
      <c r="AIS167" s="1056"/>
      <c r="AIT167" s="1056"/>
      <c r="AIU167" s="1056"/>
      <c r="AIV167" s="1056"/>
      <c r="AIW167" s="1056"/>
      <c r="AIX167" s="1056"/>
      <c r="AIY167" s="1056"/>
      <c r="AIZ167" s="1056"/>
      <c r="AJA167" s="1056"/>
      <c r="AJB167" s="1056"/>
      <c r="AJC167" s="1056"/>
      <c r="AJD167" s="1056"/>
      <c r="AJE167" s="1056"/>
      <c r="AJF167" s="1056"/>
      <c r="AJG167" s="1056"/>
      <c r="AJH167" s="1056"/>
      <c r="AJI167" s="1056"/>
      <c r="AJJ167" s="1056"/>
      <c r="AJK167" s="1056"/>
      <c r="AJL167" s="1056"/>
      <c r="AJM167" s="1056"/>
      <c r="AJN167" s="1056"/>
      <c r="AJO167" s="1056"/>
      <c r="AJP167" s="1056"/>
      <c r="AJQ167" s="1056"/>
      <c r="AJR167" s="1056"/>
      <c r="AJS167" s="1056"/>
      <c r="AJT167" s="1056"/>
      <c r="AJU167" s="1056"/>
      <c r="AJV167" s="1056"/>
      <c r="AJW167" s="1056"/>
      <c r="AJX167" s="1056"/>
      <c r="AJY167" s="1056"/>
      <c r="AJZ167" s="1056"/>
      <c r="AKA167" s="1056"/>
      <c r="AKB167" s="1056"/>
      <c r="AKC167" s="1056"/>
      <c r="AKD167" s="1056"/>
      <c r="AKE167" s="1056"/>
      <c r="AKF167" s="1056"/>
      <c r="AKG167" s="1056"/>
      <c r="AKH167" s="1056"/>
      <c r="AKI167" s="1056"/>
      <c r="AKJ167" s="1056"/>
      <c r="AKK167" s="1056"/>
      <c r="AKL167" s="1056"/>
      <c r="AKM167" s="1056"/>
      <c r="AKN167" s="1056"/>
      <c r="AKO167" s="1056"/>
      <c r="AKP167" s="1056"/>
      <c r="AKQ167" s="1056"/>
      <c r="AKR167" s="1056"/>
      <c r="AKS167" s="1056"/>
      <c r="AKT167" s="1056"/>
      <c r="AKU167" s="1056"/>
      <c r="AKV167" s="1056"/>
      <c r="AKW167" s="1056"/>
      <c r="AKX167" s="1056"/>
      <c r="AKY167" s="1056"/>
      <c r="AKZ167" s="1056"/>
      <c r="ALA167" s="1056"/>
      <c r="ALB167" s="1056"/>
      <c r="ALC167" s="1056"/>
      <c r="ALD167" s="1056"/>
      <c r="ALE167" s="1056"/>
      <c r="ALF167" s="1056"/>
      <c r="ALG167" s="1056"/>
      <c r="ALH167" s="1056"/>
      <c r="ALI167" s="1056"/>
      <c r="ALJ167" s="1056"/>
      <c r="ALK167" s="1056"/>
      <c r="ALL167" s="1056"/>
      <c r="ALM167" s="1056"/>
      <c r="ALN167" s="1056"/>
      <c r="ALO167" s="1056"/>
      <c r="ALP167" s="1056"/>
      <c r="ALQ167" s="1056"/>
      <c r="ALR167" s="1056"/>
      <c r="ALS167" s="1056"/>
      <c r="ALT167" s="1056"/>
      <c r="ALU167" s="1056"/>
      <c r="ALV167" s="1056"/>
      <c r="ALW167" s="1056"/>
      <c r="ALX167" s="1056"/>
      <c r="ALY167" s="1056"/>
      <c r="ALZ167" s="1056"/>
      <c r="AMA167" s="1056"/>
      <c r="AMB167" s="1056"/>
      <c r="AMC167" s="1056"/>
      <c r="AMD167" s="1056"/>
      <c r="AME167" s="1056"/>
      <c r="AMF167" s="1056"/>
      <c r="AMG167" s="1056"/>
      <c r="AMH167" s="1056"/>
      <c r="AMI167" s="1056"/>
      <c r="AMJ167" s="1056"/>
      <c r="AMK167" s="1056"/>
      <c r="AML167" s="1056"/>
      <c r="AMM167" s="1056"/>
      <c r="AMN167" s="1056"/>
      <c r="AMO167" s="1056"/>
      <c r="AMP167" s="1056"/>
      <c r="AMQ167" s="1056"/>
      <c r="AMR167" s="1056"/>
      <c r="AMS167" s="1056"/>
      <c r="AMT167" s="1056"/>
      <c r="AMU167" s="1056"/>
      <c r="AMV167" s="1056"/>
      <c r="AMW167" s="1056"/>
      <c r="AMX167" s="1056"/>
      <c r="AMY167" s="1056"/>
      <c r="AMZ167" s="1056"/>
      <c r="ANA167" s="1056"/>
      <c r="ANB167" s="1056"/>
      <c r="ANC167" s="1056"/>
      <c r="AND167" s="1056"/>
      <c r="ANE167" s="1056"/>
      <c r="ANF167" s="1056"/>
      <c r="ANG167" s="1056"/>
      <c r="ANH167" s="1056"/>
      <c r="ANI167" s="1056"/>
      <c r="ANJ167" s="1056"/>
      <c r="ANK167" s="1056"/>
      <c r="ANL167" s="1056"/>
      <c r="ANM167" s="1056"/>
      <c r="ANN167" s="1056"/>
      <c r="ANO167" s="1056"/>
      <c r="ANP167" s="1056"/>
      <c r="ANQ167" s="1056"/>
      <c r="ANR167" s="1056"/>
      <c r="ANS167" s="1056"/>
      <c r="ANT167" s="1056"/>
      <c r="ANU167" s="1056"/>
      <c r="ANV167" s="1056"/>
      <c r="ANW167" s="1056"/>
      <c r="ANX167" s="1056"/>
      <c r="ANY167" s="1056"/>
      <c r="ANZ167" s="1056"/>
      <c r="AOA167" s="1056"/>
      <c r="AOB167" s="1056"/>
      <c r="AOC167" s="1056"/>
      <c r="AOD167" s="1056"/>
      <c r="AOE167" s="1056"/>
      <c r="AOF167" s="1056"/>
      <c r="AOG167" s="1056"/>
      <c r="AOH167" s="1056"/>
      <c r="AOI167" s="1056"/>
      <c r="AOJ167" s="1056"/>
      <c r="AOK167" s="1056"/>
      <c r="AOL167" s="1056"/>
      <c r="AOM167" s="1056"/>
      <c r="AON167" s="1056"/>
      <c r="AOO167" s="1056"/>
      <c r="AOP167" s="1056"/>
      <c r="AOQ167" s="1056"/>
      <c r="AOR167" s="1056"/>
      <c r="AOS167" s="1056"/>
      <c r="AOT167" s="1056"/>
      <c r="AOU167" s="1056"/>
      <c r="AOV167" s="1056"/>
      <c r="AOW167" s="1056"/>
      <c r="AOX167" s="1056"/>
      <c r="AOY167" s="1056"/>
      <c r="AOZ167" s="1056"/>
      <c r="APA167" s="1056"/>
      <c r="APB167" s="1056"/>
      <c r="APC167" s="1056"/>
      <c r="APD167" s="1056"/>
      <c r="APE167" s="1056"/>
      <c r="APF167" s="1056"/>
      <c r="APG167" s="1056"/>
      <c r="APH167" s="1056"/>
      <c r="API167" s="1056"/>
      <c r="APJ167" s="1056"/>
      <c r="APK167" s="1056"/>
      <c r="APL167" s="1056"/>
      <c r="APM167" s="1056"/>
      <c r="APN167" s="1056"/>
      <c r="APO167" s="1056"/>
      <c r="APP167" s="1056"/>
      <c r="APQ167" s="1056"/>
      <c r="APR167" s="1056"/>
      <c r="APS167" s="1056"/>
      <c r="APT167" s="1056"/>
      <c r="APU167" s="1056"/>
      <c r="APV167" s="1056"/>
      <c r="APW167" s="1056"/>
      <c r="APX167" s="1056"/>
      <c r="APY167" s="1056"/>
      <c r="APZ167" s="1056"/>
      <c r="AQA167" s="1056"/>
      <c r="AQB167" s="1056"/>
      <c r="AQC167" s="1056"/>
      <c r="AQD167" s="1056"/>
      <c r="AQE167" s="1056"/>
      <c r="AQF167" s="1056"/>
      <c r="AQG167" s="1056"/>
      <c r="AQH167" s="1056"/>
      <c r="AQI167" s="1056"/>
      <c r="AQJ167" s="1056"/>
      <c r="AQK167" s="1056"/>
      <c r="AQL167" s="1056"/>
      <c r="AQM167" s="1056"/>
      <c r="AQN167" s="1056"/>
      <c r="AQO167" s="1056"/>
      <c r="AQP167" s="1056"/>
      <c r="AQQ167" s="1056"/>
      <c r="AQR167" s="1056"/>
      <c r="AQS167" s="1056"/>
      <c r="AQT167" s="1056"/>
      <c r="AQU167" s="1056"/>
      <c r="AQV167" s="1056"/>
      <c r="AQW167" s="1056"/>
      <c r="AQX167" s="1056"/>
      <c r="AQY167" s="1056"/>
      <c r="AQZ167" s="1056"/>
      <c r="ARA167" s="1056"/>
      <c r="ARB167" s="1056"/>
      <c r="ARC167" s="1056"/>
      <c r="ARD167" s="1056"/>
      <c r="ARE167" s="1056"/>
      <c r="ARF167" s="1056"/>
      <c r="ARG167" s="1056"/>
      <c r="ARH167" s="1056"/>
      <c r="ARI167" s="1056"/>
      <c r="ARJ167" s="1056"/>
      <c r="ARK167" s="1056"/>
      <c r="ARL167" s="1056"/>
      <c r="ARM167" s="1056"/>
      <c r="ARN167" s="1056"/>
      <c r="ARO167" s="1056"/>
      <c r="ARP167" s="1056"/>
      <c r="ARQ167" s="1056"/>
      <c r="ARR167" s="1056"/>
      <c r="ARS167" s="1056"/>
      <c r="ART167" s="1056"/>
      <c r="ARU167" s="1056"/>
      <c r="ARV167" s="1056"/>
      <c r="ARW167" s="1056"/>
      <c r="ARX167" s="1056"/>
      <c r="ARY167" s="1056"/>
      <c r="ARZ167" s="1056"/>
      <c r="ASA167" s="1056"/>
      <c r="ASB167" s="1056"/>
      <c r="ASC167" s="1056"/>
      <c r="ASD167" s="1056"/>
      <c r="ASE167" s="1056"/>
      <c r="ASF167" s="1056"/>
      <c r="ASG167" s="1056"/>
      <c r="ASH167" s="1056"/>
      <c r="ASI167" s="1056"/>
      <c r="ASJ167" s="1056"/>
      <c r="ASK167" s="1056"/>
      <c r="ASL167" s="1056"/>
      <c r="ASM167" s="1056"/>
      <c r="ASN167" s="1056"/>
      <c r="ASO167" s="1056"/>
      <c r="ASP167" s="1056"/>
      <c r="ASQ167" s="1056"/>
      <c r="ASR167" s="1056"/>
      <c r="ASS167" s="1056"/>
      <c r="AST167" s="1056"/>
      <c r="ASU167" s="1056"/>
      <c r="ASV167" s="1056"/>
      <c r="ASW167" s="1056"/>
      <c r="ASX167" s="1056"/>
      <c r="ASY167" s="1056"/>
      <c r="ASZ167" s="1056"/>
      <c r="ATA167" s="1056"/>
      <c r="ATB167" s="1056"/>
      <c r="ATC167" s="1056"/>
      <c r="ATD167" s="1056"/>
      <c r="ATE167" s="1056"/>
      <c r="ATF167" s="1056"/>
      <c r="ATG167" s="1056"/>
      <c r="ATH167" s="1056"/>
      <c r="ATI167" s="1056"/>
      <c r="ATJ167" s="1056"/>
      <c r="ATK167" s="1056"/>
      <c r="ATL167" s="1056"/>
      <c r="ATM167" s="1056"/>
      <c r="ATN167" s="1056"/>
      <c r="ATO167" s="1056"/>
      <c r="ATP167" s="1056"/>
      <c r="ATQ167" s="1056"/>
      <c r="ATR167" s="1056"/>
      <c r="ATS167" s="1056"/>
      <c r="ATT167" s="1056"/>
      <c r="ATU167" s="1056"/>
      <c r="ATV167" s="1056"/>
      <c r="ATW167" s="1056"/>
      <c r="ATX167" s="1056"/>
      <c r="ATY167" s="1056"/>
      <c r="ATZ167" s="1056"/>
      <c r="AUA167" s="1056"/>
      <c r="AUB167" s="1056"/>
      <c r="AUC167" s="1056"/>
      <c r="AUD167" s="1056"/>
      <c r="AUE167" s="1056"/>
      <c r="AUF167" s="1056"/>
      <c r="AUG167" s="1056"/>
      <c r="AUH167" s="1056"/>
      <c r="AUI167" s="1056"/>
      <c r="AUJ167" s="1056"/>
      <c r="AUK167" s="1056"/>
      <c r="AUL167" s="1056"/>
      <c r="AUM167" s="1056"/>
      <c r="AUN167" s="1056"/>
      <c r="AUO167" s="1056"/>
      <c r="AUP167" s="1056"/>
      <c r="AUQ167" s="1056"/>
      <c r="AUR167" s="1056"/>
      <c r="AUS167" s="1056"/>
      <c r="AUT167" s="1056"/>
      <c r="AUU167" s="1056"/>
      <c r="AUV167" s="1056"/>
      <c r="AUW167" s="1056"/>
      <c r="AUX167" s="1056"/>
      <c r="AUY167" s="1056"/>
      <c r="AUZ167" s="1056"/>
      <c r="AVA167" s="1056"/>
      <c r="AVB167" s="1056"/>
      <c r="AVC167" s="1056"/>
      <c r="AVD167" s="1056"/>
      <c r="AVE167" s="1056"/>
      <c r="AVF167" s="1056"/>
      <c r="AVG167" s="1056"/>
      <c r="AVH167" s="1056"/>
      <c r="AVI167" s="1056"/>
      <c r="AVJ167" s="1056"/>
      <c r="AVK167" s="1056"/>
      <c r="AVL167" s="1056"/>
      <c r="AVM167" s="1056"/>
      <c r="AVN167" s="1056"/>
      <c r="AVO167" s="1056"/>
      <c r="AVP167" s="1056"/>
      <c r="AVQ167" s="1056"/>
      <c r="AVR167" s="1056"/>
      <c r="AVS167" s="1056"/>
      <c r="AVT167" s="1056"/>
      <c r="AVU167" s="1056"/>
      <c r="AVV167" s="1056"/>
      <c r="AVW167" s="1056"/>
      <c r="AVX167" s="1056"/>
      <c r="AVY167" s="1056"/>
      <c r="AVZ167" s="1056"/>
      <c r="AWA167" s="1056"/>
      <c r="AWB167" s="1056"/>
      <c r="AWC167" s="1056"/>
      <c r="AWD167" s="1056"/>
      <c r="AWE167" s="1056"/>
      <c r="AWF167" s="1056"/>
      <c r="AWG167" s="1056"/>
      <c r="AWH167" s="1056"/>
      <c r="AWI167" s="1056"/>
      <c r="AWJ167" s="1056"/>
      <c r="AWK167" s="1056"/>
      <c r="AWL167" s="1056"/>
      <c r="AWM167" s="1056"/>
      <c r="AWN167" s="1056"/>
      <c r="AWO167" s="1056"/>
      <c r="AWP167" s="1056"/>
      <c r="AWQ167" s="1056"/>
      <c r="AWR167" s="1056"/>
      <c r="AWS167" s="1056"/>
      <c r="AWT167" s="1056"/>
      <c r="AWU167" s="1056"/>
      <c r="AWV167" s="1056"/>
      <c r="AWW167" s="1056"/>
      <c r="AWX167" s="1056"/>
      <c r="AWY167" s="1056"/>
      <c r="AWZ167" s="1056"/>
      <c r="AXA167" s="1056"/>
      <c r="AXB167" s="1056"/>
      <c r="AXC167" s="1056"/>
      <c r="AXD167" s="1056"/>
      <c r="AXE167" s="1056"/>
      <c r="AXF167" s="1056"/>
      <c r="AXG167" s="1056"/>
      <c r="AXH167" s="1056"/>
      <c r="AXI167" s="1056"/>
      <c r="AXJ167" s="1056"/>
      <c r="AXK167" s="1056"/>
      <c r="AXL167" s="1056"/>
      <c r="AXM167" s="1056"/>
      <c r="AXN167" s="1056"/>
      <c r="AXO167" s="1056"/>
      <c r="AXP167" s="1056"/>
      <c r="AXQ167" s="1056"/>
      <c r="AXR167" s="1056"/>
      <c r="AXS167" s="1056"/>
      <c r="AXT167" s="1056"/>
      <c r="AXU167" s="1056"/>
      <c r="AXV167" s="1056"/>
      <c r="AXW167" s="1056"/>
      <c r="AXX167" s="1056"/>
      <c r="AXY167" s="1056"/>
      <c r="AXZ167" s="1056"/>
      <c r="AYA167" s="1056"/>
      <c r="AYB167" s="1056"/>
      <c r="AYC167" s="1056"/>
      <c r="AYD167" s="1056"/>
      <c r="AYE167" s="1056"/>
      <c r="AYF167" s="1056"/>
      <c r="AYG167" s="1056"/>
      <c r="AYH167" s="1056"/>
      <c r="AYI167" s="1056"/>
      <c r="AYJ167" s="1056"/>
      <c r="AYK167" s="1056"/>
      <c r="AYL167" s="1056"/>
      <c r="AYM167" s="1056"/>
      <c r="AYN167" s="1056"/>
      <c r="AYO167" s="1056"/>
      <c r="AYP167" s="1056"/>
      <c r="AYQ167" s="1056"/>
      <c r="AYR167" s="1056"/>
      <c r="AYS167" s="1056"/>
      <c r="AYT167" s="1056"/>
      <c r="AYU167" s="1056"/>
      <c r="AYV167" s="1056"/>
      <c r="AYW167" s="1056"/>
      <c r="AYX167" s="1056"/>
      <c r="AYY167" s="1056"/>
      <c r="AYZ167" s="1056"/>
      <c r="AZA167" s="1056"/>
      <c r="AZB167" s="1056"/>
      <c r="AZC167" s="1056"/>
      <c r="AZD167" s="1056"/>
      <c r="AZE167" s="1056"/>
      <c r="AZF167" s="1056"/>
      <c r="AZG167" s="1056"/>
      <c r="AZH167" s="1056"/>
      <c r="AZI167" s="1056"/>
      <c r="AZJ167" s="1056"/>
      <c r="AZK167" s="1056"/>
      <c r="AZL167" s="1056"/>
      <c r="AZM167" s="1056"/>
      <c r="AZN167" s="1056"/>
      <c r="AZO167" s="1056"/>
      <c r="AZP167" s="1056"/>
      <c r="AZQ167" s="1056"/>
      <c r="AZR167" s="1056"/>
      <c r="AZS167" s="1056"/>
      <c r="AZT167" s="1056"/>
      <c r="AZU167" s="1056"/>
      <c r="AZV167" s="1056"/>
      <c r="AZW167" s="1056"/>
      <c r="AZX167" s="1056"/>
      <c r="AZY167" s="1056"/>
      <c r="AZZ167" s="1056"/>
      <c r="BAA167" s="1056"/>
      <c r="BAB167" s="1056"/>
      <c r="BAC167" s="1056"/>
      <c r="BAD167" s="1056"/>
      <c r="BAE167" s="1056"/>
      <c r="BAF167" s="1056"/>
      <c r="BAG167" s="1056"/>
      <c r="BAH167" s="1056"/>
      <c r="BAI167" s="1056"/>
      <c r="BAJ167" s="1056"/>
      <c r="BAK167" s="1056"/>
      <c r="BAL167" s="1056"/>
      <c r="BAM167" s="1056"/>
      <c r="BAN167" s="1056"/>
      <c r="BAO167" s="1056"/>
      <c r="BAP167" s="1056"/>
      <c r="BAQ167" s="1056"/>
      <c r="BAR167" s="1056"/>
      <c r="BAS167" s="1056"/>
      <c r="BAT167" s="1056"/>
      <c r="BAU167" s="1056"/>
      <c r="BAV167" s="1056"/>
      <c r="BAW167" s="1056"/>
      <c r="BAX167" s="1056"/>
      <c r="BAY167" s="1056"/>
      <c r="BAZ167" s="1056"/>
      <c r="BBA167" s="1056"/>
      <c r="BBB167" s="1056"/>
      <c r="BBC167" s="1056"/>
      <c r="BBD167" s="1056"/>
      <c r="BBE167" s="1056"/>
      <c r="BBF167" s="1056"/>
      <c r="BBG167" s="1056"/>
      <c r="BBH167" s="1056"/>
      <c r="BBI167" s="1056"/>
      <c r="BBJ167" s="1056"/>
      <c r="BBK167" s="1056"/>
      <c r="BBL167" s="1056"/>
      <c r="BBM167" s="1056"/>
      <c r="BBN167" s="1056"/>
      <c r="BBO167" s="1056"/>
      <c r="BBP167" s="1056"/>
      <c r="BBQ167" s="1056"/>
      <c r="BBR167" s="1056"/>
      <c r="BBS167" s="1056"/>
      <c r="BBT167" s="1056"/>
      <c r="BBU167" s="1056"/>
      <c r="BBV167" s="1056"/>
      <c r="BBW167" s="1056"/>
      <c r="BBX167" s="1056"/>
      <c r="BBY167" s="1056"/>
      <c r="BBZ167" s="1056"/>
      <c r="BCA167" s="1056"/>
      <c r="BCB167" s="1056"/>
      <c r="BCC167" s="1056"/>
      <c r="BCD167" s="1056"/>
      <c r="BCE167" s="1056"/>
      <c r="BCF167" s="1056"/>
      <c r="BCG167" s="1056"/>
      <c r="BCH167" s="1056"/>
      <c r="BCI167" s="1056"/>
      <c r="BCJ167" s="1056"/>
      <c r="BCK167" s="1056"/>
      <c r="BCL167" s="1056"/>
      <c r="BCM167" s="1056"/>
      <c r="BCN167" s="1056"/>
      <c r="BCO167" s="1056"/>
      <c r="BCP167" s="1056"/>
      <c r="BCQ167" s="1056"/>
      <c r="BCR167" s="1056"/>
      <c r="BCS167" s="1056"/>
      <c r="BCT167" s="1056"/>
      <c r="BCU167" s="1056"/>
      <c r="BCV167" s="1056"/>
      <c r="BCW167" s="1056"/>
      <c r="BCX167" s="1056"/>
      <c r="BCY167" s="1056"/>
      <c r="BCZ167" s="1056"/>
      <c r="BDA167" s="1056"/>
      <c r="BDB167" s="1056"/>
      <c r="BDC167" s="1056"/>
      <c r="BDD167" s="1056"/>
      <c r="BDE167" s="1056"/>
      <c r="BDF167" s="1056"/>
      <c r="BDG167" s="1056"/>
      <c r="BDH167" s="1056"/>
      <c r="BDI167" s="1056"/>
      <c r="BDJ167" s="1056"/>
      <c r="BDK167" s="1056"/>
      <c r="BDL167" s="1056"/>
      <c r="BDM167" s="1056"/>
      <c r="BDN167" s="1056"/>
      <c r="BDO167" s="1056"/>
      <c r="BDP167" s="1056"/>
      <c r="BDQ167" s="1056"/>
      <c r="BDR167" s="1056"/>
      <c r="BDS167" s="1056"/>
      <c r="BDT167" s="1056"/>
      <c r="BDU167" s="1056"/>
      <c r="BDV167" s="1056"/>
      <c r="BDW167" s="1056"/>
      <c r="BDX167" s="1056"/>
      <c r="BDY167" s="1056"/>
      <c r="BDZ167" s="1056"/>
      <c r="BEA167" s="1056"/>
      <c r="BEB167" s="1056"/>
      <c r="BEC167" s="1056"/>
      <c r="BED167" s="1056"/>
      <c r="BEE167" s="1056"/>
      <c r="BEF167" s="1056"/>
      <c r="BEG167" s="1056"/>
      <c r="BEH167" s="1056"/>
      <c r="BEI167" s="1056"/>
      <c r="BEJ167" s="1056"/>
      <c r="BEK167" s="1056"/>
      <c r="BEL167" s="1056"/>
      <c r="BEM167" s="1056"/>
      <c r="BEN167" s="1056"/>
      <c r="BEO167" s="1056"/>
      <c r="BEP167" s="1056"/>
      <c r="BEQ167" s="1056"/>
      <c r="BER167" s="1056"/>
      <c r="BES167" s="1056"/>
      <c r="BET167" s="1056"/>
      <c r="BEU167" s="1056"/>
      <c r="BEV167" s="1056"/>
      <c r="BEW167" s="1056"/>
      <c r="BEX167" s="1056"/>
      <c r="BEY167" s="1056"/>
      <c r="BEZ167" s="1056"/>
      <c r="BFA167" s="1056"/>
      <c r="BFB167" s="1056"/>
      <c r="BFC167" s="1056"/>
      <c r="BFD167" s="1056"/>
      <c r="BFE167" s="1056"/>
      <c r="BFF167" s="1056"/>
      <c r="BFG167" s="1056"/>
      <c r="BFH167" s="1056"/>
      <c r="BFI167" s="1056"/>
      <c r="BFJ167" s="1056"/>
      <c r="BFK167" s="1056"/>
      <c r="BFL167" s="1056"/>
      <c r="BFM167" s="1056"/>
      <c r="BFN167" s="1056"/>
      <c r="BFO167" s="1056"/>
      <c r="BFP167" s="1056"/>
      <c r="BFQ167" s="1056"/>
      <c r="BFR167" s="1056"/>
      <c r="BFS167" s="1056"/>
      <c r="BFT167" s="1056"/>
      <c r="BFU167" s="1056"/>
      <c r="BFV167" s="1056"/>
      <c r="BFW167" s="1056"/>
      <c r="BFX167" s="1056"/>
      <c r="BFY167" s="1056"/>
      <c r="BFZ167" s="1056"/>
      <c r="BGA167" s="1056"/>
      <c r="BGB167" s="1056"/>
      <c r="BGC167" s="1056"/>
      <c r="BGD167" s="1056"/>
      <c r="BGE167" s="1056"/>
      <c r="BGF167" s="1056"/>
      <c r="BGG167" s="1056"/>
      <c r="BGH167" s="1056"/>
      <c r="BGI167" s="1056"/>
      <c r="BGJ167" s="1056"/>
      <c r="BGK167" s="1056"/>
      <c r="BGL167" s="1056"/>
      <c r="BGM167" s="1056"/>
      <c r="BGN167" s="1056"/>
      <c r="BGO167" s="1056"/>
      <c r="BGP167" s="1056"/>
      <c r="BGQ167" s="1056"/>
      <c r="BGR167" s="1056"/>
      <c r="BGS167" s="1056"/>
      <c r="BGT167" s="1056"/>
      <c r="BGU167" s="1056"/>
      <c r="BGV167" s="1056"/>
      <c r="BGW167" s="1056"/>
      <c r="BGX167" s="1056"/>
      <c r="BGY167" s="1056"/>
      <c r="BGZ167" s="1056"/>
      <c r="BHA167" s="1056"/>
      <c r="BHB167" s="1056"/>
      <c r="BHC167" s="1056"/>
      <c r="BHD167" s="1056"/>
      <c r="BHE167" s="1056"/>
      <c r="BHF167" s="1056"/>
      <c r="BHG167" s="1056"/>
      <c r="BHH167" s="1056"/>
      <c r="BHI167" s="1056"/>
      <c r="BHJ167" s="1056"/>
      <c r="BHK167" s="1056"/>
      <c r="BHL167" s="1056"/>
      <c r="BHM167" s="1056"/>
      <c r="BHN167" s="1056"/>
      <c r="BHO167" s="1056"/>
      <c r="BHP167" s="1056"/>
      <c r="BHQ167" s="1056"/>
      <c r="BHR167" s="1056"/>
      <c r="BHS167" s="1056"/>
      <c r="BHT167" s="1056"/>
      <c r="BHU167" s="1056"/>
      <c r="BHV167" s="1056"/>
      <c r="BHW167" s="1056"/>
      <c r="BHX167" s="1056"/>
      <c r="BHY167" s="1056"/>
      <c r="BHZ167" s="1056"/>
      <c r="BIA167" s="1056"/>
      <c r="BIB167" s="1056"/>
      <c r="BIC167" s="1056"/>
      <c r="BID167" s="1056"/>
      <c r="BIE167" s="1056"/>
      <c r="BIF167" s="1056"/>
      <c r="BIG167" s="1056"/>
      <c r="BIH167" s="1056"/>
      <c r="BII167" s="1056"/>
      <c r="BIJ167" s="1056"/>
      <c r="BIK167" s="1056"/>
      <c r="BIL167" s="1056"/>
      <c r="BIM167" s="1056"/>
      <c r="BIN167" s="1056"/>
      <c r="BIO167" s="1056"/>
      <c r="BIP167" s="1056"/>
      <c r="BIQ167" s="1056"/>
      <c r="BIR167" s="1056"/>
      <c r="BIS167" s="1056"/>
      <c r="BIT167" s="1056"/>
      <c r="BIU167" s="1056"/>
      <c r="BIV167" s="1056"/>
      <c r="BIW167" s="1056"/>
      <c r="BIX167" s="1056"/>
      <c r="BIY167" s="1056"/>
      <c r="BIZ167" s="1056"/>
      <c r="BJA167" s="1056"/>
      <c r="BJB167" s="1056"/>
      <c r="BJC167" s="1056"/>
      <c r="BJD167" s="1056"/>
      <c r="BJE167" s="1056"/>
      <c r="BJF167" s="1056"/>
      <c r="BJG167" s="1056"/>
      <c r="BJH167" s="1056"/>
      <c r="BJI167" s="1056"/>
      <c r="BJJ167" s="1056"/>
      <c r="BJK167" s="1056"/>
      <c r="BJL167" s="1056"/>
      <c r="BJM167" s="1056"/>
      <c r="BJN167" s="1056"/>
      <c r="BJO167" s="1056"/>
      <c r="BJP167" s="1056"/>
      <c r="BJQ167" s="1056"/>
      <c r="BJR167" s="1056"/>
      <c r="BJS167" s="1056"/>
      <c r="BJT167" s="1056"/>
      <c r="BJU167" s="1056"/>
      <c r="BJV167" s="1056"/>
      <c r="BJW167" s="1056"/>
      <c r="BJX167" s="1056"/>
      <c r="BJY167" s="1056"/>
      <c r="BJZ167" s="1056"/>
      <c r="BKA167" s="1056"/>
      <c r="BKB167" s="1056"/>
      <c r="BKC167" s="1056"/>
      <c r="BKD167" s="1056"/>
      <c r="BKE167" s="1056"/>
      <c r="BKF167" s="1056"/>
      <c r="BKG167" s="1056"/>
      <c r="BKH167" s="1056"/>
      <c r="BKI167" s="1056"/>
      <c r="BKJ167" s="1056"/>
      <c r="BKK167" s="1056"/>
      <c r="BKL167" s="1056"/>
      <c r="BKM167" s="1056"/>
      <c r="BKN167" s="1056"/>
      <c r="BKO167" s="1056"/>
      <c r="BKP167" s="1056"/>
      <c r="BKQ167" s="1056"/>
      <c r="BKR167" s="1056"/>
      <c r="BKS167" s="1056"/>
      <c r="BKT167" s="1056"/>
      <c r="BKU167" s="1056"/>
      <c r="BKV167" s="1056"/>
      <c r="BKW167" s="1056"/>
      <c r="BKX167" s="1056"/>
      <c r="BKY167" s="1056"/>
      <c r="BKZ167" s="1056"/>
      <c r="BLA167" s="1056"/>
      <c r="BLB167" s="1056"/>
      <c r="BLC167" s="1056"/>
      <c r="BLD167" s="1056"/>
      <c r="BLE167" s="1056"/>
      <c r="BLF167" s="1056"/>
      <c r="BLG167" s="1056"/>
      <c r="BLH167" s="1056"/>
      <c r="BLI167" s="1056"/>
      <c r="BLJ167" s="1056"/>
      <c r="BLK167" s="1056"/>
      <c r="BLL167" s="1056"/>
      <c r="BLM167" s="1056"/>
      <c r="BLN167" s="1056"/>
      <c r="BLO167" s="1056"/>
      <c r="BLP167" s="1056"/>
      <c r="BLQ167" s="1056"/>
      <c r="BLR167" s="1056"/>
      <c r="BLS167" s="1056"/>
      <c r="BLT167" s="1056"/>
      <c r="BLU167" s="1056"/>
      <c r="BLV167" s="1056"/>
      <c r="BLW167" s="1056"/>
      <c r="BLX167" s="1056"/>
      <c r="BLY167" s="1056"/>
      <c r="BLZ167" s="1056"/>
      <c r="BMA167" s="1056"/>
      <c r="BMB167" s="1056"/>
      <c r="BMC167" s="1056"/>
      <c r="BMD167" s="1056"/>
      <c r="BME167" s="1056"/>
      <c r="BMF167" s="1056"/>
      <c r="BMG167" s="1056"/>
      <c r="BMH167" s="1056"/>
      <c r="BMI167" s="1056"/>
      <c r="BMJ167" s="1056"/>
      <c r="BMK167" s="1056"/>
      <c r="BML167" s="1056"/>
      <c r="BMM167" s="1056"/>
      <c r="BMN167" s="1056"/>
      <c r="BMO167" s="1056"/>
      <c r="BMP167" s="1056"/>
      <c r="BMQ167" s="1056"/>
      <c r="BMR167" s="1056"/>
      <c r="BMS167" s="1056"/>
      <c r="BMT167" s="1056"/>
      <c r="BMU167" s="1056"/>
      <c r="BMV167" s="1056"/>
      <c r="BMW167" s="1056"/>
      <c r="BMX167" s="1056"/>
      <c r="BMY167" s="1056"/>
      <c r="BMZ167" s="1056"/>
      <c r="BNA167" s="1056"/>
      <c r="BNB167" s="1056"/>
      <c r="BNC167" s="1056"/>
      <c r="BND167" s="1056"/>
      <c r="BNE167" s="1056"/>
      <c r="BNF167" s="1056"/>
      <c r="BNG167" s="1056"/>
      <c r="BNH167" s="1056"/>
      <c r="BNI167" s="1056"/>
      <c r="BNJ167" s="1056"/>
      <c r="BNK167" s="1056"/>
      <c r="BNL167" s="1056"/>
      <c r="BNM167" s="1056"/>
      <c r="BNN167" s="1056"/>
      <c r="BNO167" s="1056"/>
      <c r="BNP167" s="1056"/>
      <c r="BNQ167" s="1056"/>
      <c r="BNR167" s="1056"/>
      <c r="BNS167" s="1056"/>
      <c r="BNT167" s="1056"/>
      <c r="BNU167" s="1056"/>
      <c r="BNV167" s="1056"/>
      <c r="BNW167" s="1056"/>
      <c r="BNX167" s="1056"/>
      <c r="BNY167" s="1056"/>
      <c r="BNZ167" s="1056"/>
      <c r="BOA167" s="1056"/>
      <c r="BOB167" s="1056"/>
      <c r="BOC167" s="1056"/>
      <c r="BOD167" s="1056"/>
      <c r="BOE167" s="1056"/>
      <c r="BOF167" s="1056"/>
      <c r="BOG167" s="1056"/>
      <c r="BOH167" s="1056"/>
      <c r="BOI167" s="1056"/>
      <c r="BOJ167" s="1056"/>
      <c r="BOK167" s="1056"/>
      <c r="BOL167" s="1056"/>
      <c r="BOM167" s="1056"/>
      <c r="BON167" s="1056"/>
      <c r="BOO167" s="1056"/>
      <c r="BOP167" s="1056"/>
      <c r="BOQ167" s="1056"/>
      <c r="BOR167" s="1056"/>
      <c r="BOS167" s="1056"/>
      <c r="BOT167" s="1056"/>
      <c r="BOU167" s="1056"/>
      <c r="BOV167" s="1056"/>
      <c r="BOW167" s="1056"/>
      <c r="BOX167" s="1056"/>
      <c r="BOY167" s="1056"/>
      <c r="BOZ167" s="1056"/>
      <c r="BPA167" s="1056"/>
      <c r="BPB167" s="1056"/>
      <c r="BPC167" s="1056"/>
      <c r="BPD167" s="1056"/>
      <c r="BPE167" s="1056"/>
      <c r="BPF167" s="1056"/>
      <c r="BPG167" s="1056"/>
      <c r="BPH167" s="1056"/>
      <c r="BPI167" s="1056"/>
      <c r="BPJ167" s="1056"/>
      <c r="BPK167" s="1056"/>
      <c r="BPL167" s="1056"/>
      <c r="BPM167" s="1056"/>
      <c r="BPN167" s="1056"/>
      <c r="BPO167" s="1056"/>
      <c r="BPP167" s="1056"/>
      <c r="BPQ167" s="1056"/>
      <c r="BPR167" s="1056"/>
      <c r="BPS167" s="1056"/>
      <c r="BPT167" s="1056"/>
      <c r="BPU167" s="1056"/>
      <c r="BPV167" s="1056"/>
      <c r="BPW167" s="1056"/>
      <c r="BPX167" s="1056"/>
      <c r="BPY167" s="1056"/>
      <c r="BPZ167" s="1056"/>
      <c r="BQA167" s="1056"/>
      <c r="BQB167" s="1056"/>
      <c r="BQC167" s="1056"/>
      <c r="BQD167" s="1056"/>
      <c r="BQE167" s="1056"/>
      <c r="BQF167" s="1056"/>
      <c r="BQG167" s="1056"/>
      <c r="BQH167" s="1056"/>
      <c r="BQI167" s="1056"/>
      <c r="BQJ167" s="1056"/>
      <c r="BQK167" s="1056"/>
      <c r="BQL167" s="1056"/>
      <c r="BQM167" s="1056"/>
      <c r="BQN167" s="1056"/>
      <c r="BQO167" s="1056"/>
      <c r="BQP167" s="1056"/>
      <c r="BQQ167" s="1056"/>
      <c r="BQR167" s="1056"/>
      <c r="BQS167" s="1056"/>
      <c r="BQT167" s="1056"/>
      <c r="BQU167" s="1056"/>
      <c r="BQV167" s="1056"/>
      <c r="BQW167" s="1056"/>
      <c r="BQX167" s="1056"/>
      <c r="BQY167" s="1056"/>
      <c r="BQZ167" s="1056"/>
      <c r="BRA167" s="1056"/>
      <c r="BRB167" s="1056"/>
      <c r="BRC167" s="1056"/>
      <c r="BRD167" s="1056"/>
      <c r="BRE167" s="1056"/>
      <c r="BRF167" s="1056"/>
      <c r="BRG167" s="1056"/>
      <c r="BRH167" s="1056"/>
      <c r="BRI167" s="1056"/>
      <c r="BRJ167" s="1056"/>
      <c r="BRK167" s="1056"/>
      <c r="BRL167" s="1056"/>
      <c r="BRM167" s="1056"/>
      <c r="BRN167" s="1056"/>
      <c r="BRO167" s="1056"/>
      <c r="BRP167" s="1056"/>
      <c r="BRQ167" s="1056"/>
      <c r="BRR167" s="1056"/>
      <c r="BRS167" s="1056"/>
      <c r="BRT167" s="1056"/>
      <c r="BRU167" s="1056"/>
      <c r="BRV167" s="1056"/>
      <c r="BRW167" s="1056"/>
      <c r="BRX167" s="1056"/>
      <c r="BRY167" s="1056"/>
      <c r="BRZ167" s="1056"/>
      <c r="BSA167" s="1056"/>
      <c r="BSB167" s="1056"/>
      <c r="BSC167" s="1056"/>
      <c r="BSD167" s="1056"/>
      <c r="BSE167" s="1056"/>
      <c r="BSF167" s="1056"/>
      <c r="BSG167" s="1056"/>
      <c r="BSH167" s="1056"/>
      <c r="BSI167" s="1056"/>
      <c r="BSJ167" s="1056"/>
      <c r="BSK167" s="1056"/>
      <c r="BSL167" s="1056"/>
      <c r="BSM167" s="1056"/>
      <c r="BSN167" s="1056"/>
      <c r="BSO167" s="1056"/>
      <c r="BSP167" s="1056"/>
      <c r="BSQ167" s="1056"/>
      <c r="BSR167" s="1056"/>
      <c r="BSS167" s="1056"/>
      <c r="BST167" s="1056"/>
      <c r="BSU167" s="1056"/>
      <c r="BSV167" s="1056"/>
      <c r="BSW167" s="1056"/>
      <c r="BSX167" s="1056"/>
      <c r="BSY167" s="1056"/>
      <c r="BSZ167" s="1056"/>
      <c r="BTA167" s="1056"/>
      <c r="BTB167" s="1056"/>
      <c r="BTC167" s="1056"/>
      <c r="BTD167" s="1056"/>
      <c r="BTE167" s="1056"/>
      <c r="BTF167" s="1056"/>
      <c r="BTG167" s="1056"/>
      <c r="BTH167" s="1056"/>
      <c r="BTI167" s="1056"/>
    </row>
    <row r="168" spans="1:1881" s="1060" customFormat="1" ht="54" hidden="1" customHeight="1" x14ac:dyDescent="0.3">
      <c r="A168" s="1059">
        <v>362</v>
      </c>
      <c r="B168" s="808" t="s">
        <v>56</v>
      </c>
      <c r="C168" s="808" t="s">
        <v>1400</v>
      </c>
      <c r="D168" s="1095" t="s">
        <v>158</v>
      </c>
      <c r="E168" s="1053" t="e">
        <f>HLOOKUP($D$2,'2020 Data(H)'!$C$1:$AI$426,123,FALSE)</f>
        <v>#N/A</v>
      </c>
      <c r="F168" s="287">
        <v>0</v>
      </c>
      <c r="G168" s="722">
        <f>IF(H168=0,,"Error: Total assets less total liabilities do not equal total net position. Account numbers 382-360-362=0  The amount of the formula is in the cell to the right")</f>
        <v>0</v>
      </c>
      <c r="H168" s="1054">
        <f>F157-F158-F168</f>
        <v>0</v>
      </c>
      <c r="I168" s="1055"/>
      <c r="J168" s="1056"/>
      <c r="K168" s="1056"/>
      <c r="L168" s="1056"/>
      <c r="M168" s="1056"/>
      <c r="N168" s="1058"/>
      <c r="O168" s="1056"/>
      <c r="P168" s="1056"/>
      <c r="Q168" s="1056"/>
      <c r="R168" s="1056"/>
      <c r="S168" s="1056"/>
      <c r="T168" s="1056"/>
      <c r="U168" s="1056"/>
      <c r="V168" s="1056"/>
      <c r="W168" s="1056"/>
      <c r="X168" s="1056"/>
      <c r="Y168" s="1056"/>
      <c r="Z168" s="1059"/>
      <c r="AA168" s="1059"/>
      <c r="AB168" s="1059"/>
      <c r="AC168" s="1059"/>
      <c r="AD168" s="1059"/>
      <c r="AE168" s="1059"/>
      <c r="AF168" s="1059"/>
      <c r="AG168" s="1059"/>
      <c r="AH168" s="1059"/>
      <c r="AI168" s="1059"/>
      <c r="AJ168" s="1059"/>
      <c r="AK168" s="1059"/>
      <c r="AL168" s="1059"/>
      <c r="AM168" s="1059"/>
      <c r="AN168" s="1059"/>
      <c r="AO168" s="1059"/>
      <c r="AP168" s="1059"/>
      <c r="AQ168" s="1059"/>
      <c r="AR168" s="1059"/>
      <c r="AS168" s="1056"/>
      <c r="AT168" s="1056"/>
      <c r="AU168" s="1056"/>
      <c r="AV168" s="1056"/>
      <c r="AW168" s="1056"/>
      <c r="AX168" s="1056"/>
      <c r="AY168" s="1056"/>
      <c r="AZ168" s="1056"/>
      <c r="BA168" s="1056"/>
      <c r="BB168" s="1056"/>
      <c r="BC168" s="1056"/>
      <c r="BD168" s="1056"/>
      <c r="BE168" s="1056"/>
      <c r="BF168" s="1056"/>
      <c r="BG168" s="1056"/>
      <c r="BH168" s="1056"/>
      <c r="BI168" s="1056"/>
      <c r="BJ168" s="1056"/>
      <c r="BK168" s="1056"/>
      <c r="BL168" s="1056"/>
      <c r="BM168" s="1056"/>
      <c r="BN168" s="1056"/>
      <c r="BO168" s="1056"/>
      <c r="BP168" s="1056"/>
      <c r="BQ168" s="1056"/>
      <c r="BR168" s="1056"/>
      <c r="BS168" s="1056"/>
      <c r="BT168" s="1056"/>
      <c r="BU168" s="1056"/>
      <c r="BV168" s="1056"/>
      <c r="BW168" s="1056"/>
      <c r="BX168" s="1056"/>
      <c r="BY168" s="1056"/>
      <c r="BZ168" s="1056"/>
      <c r="CA168" s="1056"/>
      <c r="CB168" s="1056"/>
      <c r="CC168" s="1056"/>
      <c r="CD168" s="1056"/>
      <c r="CE168" s="1056"/>
      <c r="CF168" s="1056"/>
      <c r="CG168" s="1056"/>
      <c r="CH168" s="1056"/>
      <c r="CI168" s="1056"/>
      <c r="CJ168" s="1056"/>
      <c r="CK168" s="1056"/>
      <c r="CL168" s="1056"/>
      <c r="CM168" s="1056"/>
      <c r="CN168" s="1056"/>
      <c r="CO168" s="1056"/>
      <c r="CP168" s="1056"/>
      <c r="CQ168" s="1056"/>
      <c r="CR168" s="1056"/>
      <c r="CS168" s="1056"/>
      <c r="CT168" s="1056"/>
      <c r="CU168" s="1056"/>
      <c r="CV168" s="1056"/>
      <c r="CW168" s="1056"/>
      <c r="CX168" s="1056"/>
      <c r="CY168" s="1056"/>
      <c r="CZ168" s="1056"/>
      <c r="DA168" s="1056"/>
      <c r="DB168" s="1056"/>
      <c r="DC168" s="1056"/>
      <c r="DD168" s="1056"/>
      <c r="DE168" s="1056"/>
      <c r="DF168" s="1056"/>
      <c r="DG168" s="1056"/>
      <c r="DH168" s="1056"/>
      <c r="DI168" s="1056"/>
      <c r="DJ168" s="1056"/>
      <c r="DK168" s="1056"/>
      <c r="DL168" s="1056"/>
      <c r="DM168" s="1056"/>
      <c r="DN168" s="1056"/>
      <c r="DO168" s="1056"/>
      <c r="DP168" s="1056"/>
      <c r="DQ168" s="1056"/>
      <c r="DR168" s="1056"/>
      <c r="DS168" s="1056"/>
      <c r="DT168" s="1056"/>
      <c r="DU168" s="1056"/>
      <c r="DV168" s="1056"/>
      <c r="DW168" s="1056"/>
      <c r="DX168" s="1056"/>
      <c r="DY168" s="1056"/>
      <c r="DZ168" s="1056"/>
      <c r="EA168" s="1056"/>
      <c r="EB168" s="1056"/>
      <c r="EC168" s="1056"/>
      <c r="ED168" s="1056"/>
      <c r="EE168" s="1056"/>
      <c r="EF168" s="1056"/>
      <c r="EG168" s="1056"/>
      <c r="EH168" s="1056"/>
      <c r="EI168" s="1056"/>
      <c r="EJ168" s="1056"/>
      <c r="EK168" s="1056"/>
      <c r="EL168" s="1056"/>
      <c r="EM168" s="1056"/>
      <c r="EN168" s="1056"/>
      <c r="EO168" s="1056"/>
      <c r="EP168" s="1056"/>
      <c r="EQ168" s="1056"/>
      <c r="ER168" s="1056"/>
      <c r="ES168" s="1056"/>
      <c r="ET168" s="1056"/>
      <c r="EU168" s="1056"/>
      <c r="EV168" s="1056"/>
      <c r="EW168" s="1056"/>
      <c r="EX168" s="1056"/>
      <c r="EY168" s="1056"/>
      <c r="EZ168" s="1056"/>
      <c r="FA168" s="1056"/>
      <c r="FB168" s="1056"/>
      <c r="FC168" s="1056"/>
      <c r="FD168" s="1056"/>
      <c r="FE168" s="1056"/>
      <c r="FF168" s="1056"/>
      <c r="FG168" s="1056"/>
      <c r="FH168" s="1056"/>
      <c r="FI168" s="1056"/>
      <c r="FJ168" s="1056"/>
      <c r="FK168" s="1056"/>
      <c r="FL168" s="1056"/>
      <c r="FM168" s="1056"/>
      <c r="FN168" s="1056"/>
      <c r="FO168" s="1056"/>
      <c r="FP168" s="1056"/>
      <c r="FQ168" s="1056"/>
      <c r="FR168" s="1056"/>
      <c r="FS168" s="1056"/>
      <c r="FT168" s="1056"/>
      <c r="FU168" s="1056"/>
      <c r="FV168" s="1056"/>
      <c r="FW168" s="1056"/>
      <c r="FX168" s="1056"/>
      <c r="FY168" s="1056"/>
      <c r="FZ168" s="1056"/>
      <c r="GA168" s="1056"/>
      <c r="GB168" s="1056"/>
      <c r="GC168" s="1056"/>
      <c r="GD168" s="1056"/>
      <c r="GE168" s="1056"/>
      <c r="GF168" s="1056"/>
      <c r="GG168" s="1056"/>
      <c r="GH168" s="1056"/>
      <c r="GI168" s="1056"/>
      <c r="GJ168" s="1056"/>
      <c r="GK168" s="1056"/>
      <c r="GL168" s="1056"/>
      <c r="GM168" s="1056"/>
      <c r="GN168" s="1056"/>
      <c r="GO168" s="1056"/>
      <c r="GP168" s="1056"/>
      <c r="GQ168" s="1056"/>
      <c r="GR168" s="1056"/>
      <c r="GS168" s="1056"/>
      <c r="GT168" s="1056"/>
      <c r="GU168" s="1056"/>
      <c r="GV168" s="1056"/>
      <c r="GW168" s="1056"/>
      <c r="GX168" s="1056"/>
      <c r="GY168" s="1056"/>
      <c r="GZ168" s="1056"/>
      <c r="HA168" s="1056"/>
      <c r="HB168" s="1056"/>
      <c r="HC168" s="1056"/>
      <c r="HD168" s="1056"/>
      <c r="HE168" s="1056"/>
      <c r="HF168" s="1056"/>
      <c r="HG168" s="1056"/>
      <c r="HH168" s="1056"/>
      <c r="HI168" s="1056"/>
      <c r="HJ168" s="1056"/>
      <c r="HK168" s="1056"/>
      <c r="HL168" s="1056"/>
      <c r="HM168" s="1056"/>
      <c r="HN168" s="1056"/>
      <c r="HO168" s="1056"/>
      <c r="HP168" s="1056"/>
      <c r="HQ168" s="1056"/>
      <c r="HR168" s="1056"/>
      <c r="HS168" s="1056"/>
      <c r="HT168" s="1056"/>
      <c r="HU168" s="1056"/>
      <c r="HV168" s="1056"/>
      <c r="HW168" s="1056"/>
      <c r="HX168" s="1056"/>
      <c r="HY168" s="1056"/>
      <c r="HZ168" s="1056"/>
      <c r="IA168" s="1056"/>
      <c r="IB168" s="1056"/>
      <c r="IC168" s="1056"/>
      <c r="ID168" s="1056"/>
      <c r="IE168" s="1056"/>
      <c r="IF168" s="1056"/>
      <c r="IG168" s="1056"/>
      <c r="IH168" s="1056"/>
      <c r="II168" s="1056"/>
      <c r="IJ168" s="1056"/>
      <c r="IK168" s="1056"/>
      <c r="IL168" s="1056"/>
      <c r="IM168" s="1056"/>
      <c r="IN168" s="1056"/>
      <c r="IO168" s="1056"/>
      <c r="IP168" s="1056"/>
      <c r="IQ168" s="1056"/>
      <c r="IR168" s="1056"/>
      <c r="IS168" s="1056"/>
      <c r="IT168" s="1056"/>
      <c r="IU168" s="1056"/>
      <c r="IV168" s="1056"/>
      <c r="IW168" s="1056"/>
      <c r="IX168" s="1056"/>
      <c r="IY168" s="1056"/>
      <c r="IZ168" s="1056"/>
      <c r="JA168" s="1056"/>
      <c r="JB168" s="1056"/>
      <c r="JC168" s="1056"/>
      <c r="JD168" s="1056"/>
      <c r="JE168" s="1056"/>
      <c r="JF168" s="1056"/>
      <c r="JG168" s="1056"/>
      <c r="JH168" s="1056"/>
      <c r="JI168" s="1056"/>
      <c r="JJ168" s="1056"/>
      <c r="JK168" s="1056"/>
      <c r="JL168" s="1056"/>
      <c r="JM168" s="1056"/>
      <c r="JN168" s="1056"/>
      <c r="JO168" s="1056"/>
      <c r="JP168" s="1056"/>
      <c r="JQ168" s="1056"/>
      <c r="JR168" s="1056"/>
      <c r="JS168" s="1056"/>
      <c r="JT168" s="1056"/>
      <c r="JU168" s="1056"/>
      <c r="JV168" s="1056"/>
      <c r="JW168" s="1056"/>
      <c r="JX168" s="1056"/>
      <c r="JY168" s="1056"/>
      <c r="JZ168" s="1056"/>
      <c r="KA168" s="1056"/>
      <c r="KB168" s="1056"/>
      <c r="KC168" s="1056"/>
      <c r="KD168" s="1056"/>
      <c r="KE168" s="1056"/>
      <c r="KF168" s="1056"/>
      <c r="KG168" s="1056"/>
      <c r="KH168" s="1056"/>
      <c r="KI168" s="1056"/>
      <c r="KJ168" s="1056"/>
      <c r="KK168" s="1056"/>
      <c r="KL168" s="1056"/>
      <c r="KM168" s="1056"/>
      <c r="KN168" s="1056"/>
      <c r="KO168" s="1056"/>
      <c r="KP168" s="1056"/>
      <c r="KQ168" s="1056"/>
      <c r="KR168" s="1056"/>
      <c r="KS168" s="1056"/>
      <c r="KT168" s="1056"/>
      <c r="KU168" s="1056"/>
      <c r="KV168" s="1056"/>
      <c r="KW168" s="1056"/>
      <c r="KX168" s="1056"/>
      <c r="KY168" s="1056"/>
      <c r="KZ168" s="1056"/>
      <c r="LA168" s="1056"/>
      <c r="LB168" s="1056"/>
      <c r="LC168" s="1056"/>
      <c r="LD168" s="1056"/>
      <c r="LE168" s="1056"/>
      <c r="LF168" s="1056"/>
      <c r="LG168" s="1056"/>
      <c r="LH168" s="1056"/>
      <c r="LI168" s="1056"/>
      <c r="LJ168" s="1056"/>
      <c r="LK168" s="1056"/>
      <c r="LL168" s="1056"/>
      <c r="LM168" s="1056"/>
      <c r="LN168" s="1056"/>
      <c r="LO168" s="1056"/>
      <c r="LP168" s="1056"/>
      <c r="LQ168" s="1056"/>
      <c r="LR168" s="1056"/>
      <c r="LS168" s="1056"/>
      <c r="LT168" s="1056"/>
      <c r="LU168" s="1056"/>
      <c r="LV168" s="1056"/>
      <c r="LW168" s="1056"/>
      <c r="LX168" s="1056"/>
      <c r="LY168" s="1056"/>
      <c r="LZ168" s="1056"/>
      <c r="MA168" s="1056"/>
      <c r="MB168" s="1056"/>
      <c r="MC168" s="1056"/>
      <c r="MD168" s="1056"/>
      <c r="ME168" s="1056"/>
      <c r="MF168" s="1056"/>
      <c r="MG168" s="1056"/>
      <c r="MH168" s="1056"/>
      <c r="MI168" s="1056"/>
      <c r="MJ168" s="1056"/>
      <c r="MK168" s="1056"/>
      <c r="ML168" s="1056"/>
      <c r="MM168" s="1056"/>
      <c r="MN168" s="1056"/>
      <c r="MO168" s="1056"/>
      <c r="MP168" s="1056"/>
      <c r="MQ168" s="1056"/>
      <c r="MR168" s="1056"/>
      <c r="MS168" s="1056"/>
      <c r="MT168" s="1056"/>
      <c r="MU168" s="1056"/>
      <c r="MV168" s="1056"/>
      <c r="MW168" s="1056"/>
      <c r="MX168" s="1056"/>
      <c r="MY168" s="1056"/>
      <c r="MZ168" s="1056"/>
      <c r="NA168" s="1056"/>
      <c r="NB168" s="1056"/>
      <c r="NC168" s="1056"/>
      <c r="ND168" s="1056"/>
      <c r="NE168" s="1056"/>
      <c r="NF168" s="1056"/>
      <c r="NG168" s="1056"/>
      <c r="NH168" s="1056"/>
      <c r="NI168" s="1056"/>
      <c r="NJ168" s="1056"/>
      <c r="NK168" s="1056"/>
      <c r="NL168" s="1056"/>
      <c r="NM168" s="1056"/>
      <c r="NN168" s="1056"/>
      <c r="NO168" s="1056"/>
      <c r="NP168" s="1056"/>
      <c r="NQ168" s="1056"/>
      <c r="NR168" s="1056"/>
      <c r="NS168" s="1056"/>
      <c r="NT168" s="1056"/>
      <c r="NU168" s="1056"/>
      <c r="NV168" s="1056"/>
      <c r="NW168" s="1056"/>
      <c r="NX168" s="1056"/>
      <c r="NY168" s="1056"/>
      <c r="NZ168" s="1056"/>
      <c r="OA168" s="1056"/>
      <c r="OB168" s="1056"/>
      <c r="OC168" s="1056"/>
      <c r="OD168" s="1056"/>
      <c r="OE168" s="1056"/>
      <c r="OF168" s="1056"/>
      <c r="OG168" s="1056"/>
      <c r="OH168" s="1056"/>
      <c r="OI168" s="1056"/>
      <c r="OJ168" s="1056"/>
      <c r="OK168" s="1056"/>
      <c r="OL168" s="1056"/>
      <c r="OM168" s="1056"/>
      <c r="ON168" s="1056"/>
      <c r="OO168" s="1056"/>
      <c r="OP168" s="1056"/>
      <c r="OQ168" s="1056"/>
      <c r="OR168" s="1056"/>
      <c r="OS168" s="1056"/>
      <c r="OT168" s="1056"/>
      <c r="OU168" s="1056"/>
      <c r="OV168" s="1056"/>
      <c r="OW168" s="1056"/>
      <c r="OX168" s="1056"/>
      <c r="OY168" s="1056"/>
      <c r="OZ168" s="1056"/>
      <c r="PA168" s="1056"/>
      <c r="PB168" s="1056"/>
      <c r="PC168" s="1056"/>
      <c r="PD168" s="1056"/>
      <c r="PE168" s="1056"/>
      <c r="PF168" s="1056"/>
      <c r="PG168" s="1056"/>
      <c r="PH168" s="1056"/>
      <c r="PI168" s="1056"/>
      <c r="PJ168" s="1056"/>
      <c r="PK168" s="1056"/>
      <c r="PL168" s="1056"/>
      <c r="PM168" s="1056"/>
      <c r="PN168" s="1056"/>
      <c r="PO168" s="1056"/>
      <c r="PP168" s="1056"/>
      <c r="PQ168" s="1056"/>
      <c r="PR168" s="1056"/>
      <c r="PS168" s="1056"/>
      <c r="PT168" s="1056"/>
      <c r="PU168" s="1056"/>
      <c r="PV168" s="1056"/>
      <c r="PW168" s="1056"/>
      <c r="PX168" s="1056"/>
      <c r="PY168" s="1056"/>
      <c r="PZ168" s="1056"/>
      <c r="QA168" s="1056"/>
      <c r="QB168" s="1056"/>
      <c r="QC168" s="1056"/>
      <c r="QD168" s="1056"/>
      <c r="QE168" s="1056"/>
      <c r="QF168" s="1056"/>
      <c r="QG168" s="1056"/>
      <c r="QH168" s="1056"/>
      <c r="QI168" s="1056"/>
      <c r="QJ168" s="1056"/>
      <c r="QK168" s="1056"/>
      <c r="QL168" s="1056"/>
      <c r="QM168" s="1056"/>
      <c r="QN168" s="1056"/>
      <c r="QO168" s="1056"/>
      <c r="QP168" s="1056"/>
      <c r="QQ168" s="1056"/>
      <c r="QR168" s="1056"/>
      <c r="QS168" s="1056"/>
      <c r="QT168" s="1056"/>
      <c r="QU168" s="1056"/>
      <c r="QV168" s="1056"/>
      <c r="QW168" s="1056"/>
      <c r="QX168" s="1056"/>
      <c r="QY168" s="1056"/>
      <c r="QZ168" s="1056"/>
      <c r="RA168" s="1056"/>
      <c r="RB168" s="1056"/>
      <c r="RC168" s="1056"/>
      <c r="RD168" s="1056"/>
      <c r="RE168" s="1056"/>
      <c r="RF168" s="1056"/>
      <c r="RG168" s="1056"/>
      <c r="RH168" s="1056"/>
      <c r="RI168" s="1056"/>
      <c r="RJ168" s="1056"/>
      <c r="RK168" s="1056"/>
      <c r="RL168" s="1056"/>
      <c r="RM168" s="1056"/>
      <c r="RN168" s="1056"/>
      <c r="RO168" s="1056"/>
      <c r="RP168" s="1056"/>
      <c r="RQ168" s="1056"/>
      <c r="RR168" s="1056"/>
      <c r="RS168" s="1056"/>
      <c r="RT168" s="1056"/>
      <c r="RU168" s="1056"/>
      <c r="RV168" s="1056"/>
      <c r="RW168" s="1056"/>
      <c r="RX168" s="1056"/>
      <c r="RY168" s="1056"/>
      <c r="RZ168" s="1056"/>
      <c r="SA168" s="1056"/>
      <c r="SB168" s="1056"/>
      <c r="SC168" s="1056"/>
      <c r="SD168" s="1056"/>
      <c r="SE168" s="1056"/>
      <c r="SF168" s="1056"/>
      <c r="SG168" s="1056"/>
      <c r="SH168" s="1056"/>
      <c r="SI168" s="1056"/>
      <c r="SJ168" s="1056"/>
      <c r="SK168" s="1056"/>
      <c r="SL168" s="1056"/>
      <c r="SM168" s="1056"/>
      <c r="SN168" s="1056"/>
      <c r="SO168" s="1056"/>
      <c r="SP168" s="1056"/>
      <c r="SQ168" s="1056"/>
      <c r="SR168" s="1056"/>
      <c r="SS168" s="1056"/>
      <c r="ST168" s="1056"/>
      <c r="SU168" s="1056"/>
      <c r="SV168" s="1056"/>
      <c r="SW168" s="1056"/>
      <c r="SX168" s="1056"/>
      <c r="SY168" s="1056"/>
      <c r="SZ168" s="1056"/>
      <c r="TA168" s="1056"/>
      <c r="TB168" s="1056"/>
      <c r="TC168" s="1056"/>
      <c r="TD168" s="1056"/>
      <c r="TE168" s="1056"/>
      <c r="TF168" s="1056"/>
      <c r="TG168" s="1056"/>
      <c r="TH168" s="1056"/>
      <c r="TI168" s="1056"/>
      <c r="TJ168" s="1056"/>
      <c r="TK168" s="1056"/>
      <c r="TL168" s="1056"/>
      <c r="TM168" s="1056"/>
      <c r="TN168" s="1056"/>
      <c r="TO168" s="1056"/>
      <c r="TP168" s="1056"/>
      <c r="TQ168" s="1056"/>
      <c r="TR168" s="1056"/>
      <c r="TS168" s="1056"/>
      <c r="TT168" s="1056"/>
      <c r="TU168" s="1056"/>
      <c r="TV168" s="1056"/>
      <c r="TW168" s="1056"/>
      <c r="TX168" s="1056"/>
      <c r="TY168" s="1056"/>
      <c r="TZ168" s="1056"/>
      <c r="UA168" s="1056"/>
      <c r="UB168" s="1056"/>
      <c r="UC168" s="1056"/>
      <c r="UD168" s="1056"/>
      <c r="UE168" s="1056"/>
      <c r="UF168" s="1056"/>
      <c r="UG168" s="1056"/>
      <c r="UH168" s="1056"/>
      <c r="UI168" s="1056"/>
      <c r="UJ168" s="1056"/>
      <c r="UK168" s="1056"/>
      <c r="UL168" s="1056"/>
      <c r="UM168" s="1056"/>
      <c r="UN168" s="1056"/>
      <c r="UO168" s="1056"/>
      <c r="UP168" s="1056"/>
      <c r="UQ168" s="1056"/>
      <c r="UR168" s="1056"/>
      <c r="US168" s="1056"/>
      <c r="UT168" s="1056"/>
      <c r="UU168" s="1056"/>
      <c r="UV168" s="1056"/>
      <c r="UW168" s="1056"/>
      <c r="UX168" s="1056"/>
      <c r="UY168" s="1056"/>
      <c r="UZ168" s="1056"/>
      <c r="VA168" s="1056"/>
      <c r="VB168" s="1056"/>
      <c r="VC168" s="1056"/>
      <c r="VD168" s="1056"/>
      <c r="VE168" s="1056"/>
      <c r="VF168" s="1056"/>
      <c r="VG168" s="1056"/>
      <c r="VH168" s="1056"/>
      <c r="VI168" s="1056"/>
      <c r="VJ168" s="1056"/>
      <c r="VK168" s="1056"/>
      <c r="VL168" s="1056"/>
      <c r="VM168" s="1056"/>
      <c r="VN168" s="1056"/>
      <c r="VO168" s="1056"/>
      <c r="VP168" s="1056"/>
      <c r="VQ168" s="1056"/>
      <c r="VR168" s="1056"/>
      <c r="VS168" s="1056"/>
      <c r="VT168" s="1056"/>
      <c r="VU168" s="1056"/>
      <c r="VV168" s="1056"/>
      <c r="VW168" s="1056"/>
      <c r="VX168" s="1056"/>
      <c r="VY168" s="1056"/>
      <c r="VZ168" s="1056"/>
      <c r="WA168" s="1056"/>
      <c r="WB168" s="1056"/>
      <c r="WC168" s="1056"/>
      <c r="WD168" s="1056"/>
      <c r="WE168" s="1056"/>
      <c r="WF168" s="1056"/>
      <c r="WG168" s="1056"/>
      <c r="WH168" s="1056"/>
      <c r="WI168" s="1056"/>
      <c r="WJ168" s="1056"/>
      <c r="WK168" s="1056"/>
      <c r="WL168" s="1056"/>
      <c r="WM168" s="1056"/>
      <c r="WN168" s="1056"/>
      <c r="WO168" s="1056"/>
      <c r="WP168" s="1056"/>
      <c r="WQ168" s="1056"/>
      <c r="WR168" s="1056"/>
      <c r="WS168" s="1056"/>
      <c r="WT168" s="1056"/>
      <c r="WU168" s="1056"/>
      <c r="WV168" s="1056"/>
      <c r="WW168" s="1056"/>
      <c r="WX168" s="1056"/>
      <c r="WY168" s="1056"/>
      <c r="WZ168" s="1056"/>
      <c r="XA168" s="1056"/>
      <c r="XB168" s="1056"/>
      <c r="XC168" s="1056"/>
      <c r="XD168" s="1056"/>
      <c r="XE168" s="1056"/>
      <c r="XF168" s="1056"/>
      <c r="XG168" s="1056"/>
      <c r="XH168" s="1056"/>
      <c r="XI168" s="1056"/>
      <c r="XJ168" s="1056"/>
      <c r="XK168" s="1056"/>
      <c r="XL168" s="1056"/>
      <c r="XM168" s="1056"/>
      <c r="XN168" s="1056"/>
      <c r="XO168" s="1056"/>
      <c r="XP168" s="1056"/>
      <c r="XQ168" s="1056"/>
      <c r="XR168" s="1056"/>
      <c r="XS168" s="1056"/>
      <c r="XT168" s="1056"/>
      <c r="XU168" s="1056"/>
      <c r="XV168" s="1056"/>
      <c r="XW168" s="1056"/>
      <c r="XX168" s="1056"/>
      <c r="XY168" s="1056"/>
      <c r="XZ168" s="1056"/>
      <c r="YA168" s="1056"/>
      <c r="YB168" s="1056"/>
      <c r="YC168" s="1056"/>
      <c r="YD168" s="1056"/>
      <c r="YE168" s="1056"/>
      <c r="YF168" s="1056"/>
      <c r="YG168" s="1056"/>
      <c r="YH168" s="1056"/>
      <c r="YI168" s="1056"/>
      <c r="YJ168" s="1056"/>
      <c r="YK168" s="1056"/>
      <c r="YL168" s="1056"/>
      <c r="YM168" s="1056"/>
      <c r="YN168" s="1056"/>
      <c r="YO168" s="1056"/>
      <c r="YP168" s="1056"/>
      <c r="YQ168" s="1056"/>
      <c r="YR168" s="1056"/>
      <c r="YS168" s="1056"/>
      <c r="YT168" s="1056"/>
      <c r="YU168" s="1056"/>
      <c r="YV168" s="1056"/>
      <c r="YW168" s="1056"/>
      <c r="YX168" s="1056"/>
      <c r="YY168" s="1056"/>
      <c r="YZ168" s="1056"/>
      <c r="ZA168" s="1056"/>
      <c r="ZB168" s="1056"/>
      <c r="ZC168" s="1056"/>
      <c r="ZD168" s="1056"/>
      <c r="ZE168" s="1056"/>
      <c r="ZF168" s="1056"/>
      <c r="ZG168" s="1056"/>
      <c r="ZH168" s="1056"/>
      <c r="ZI168" s="1056"/>
      <c r="ZJ168" s="1056"/>
      <c r="ZK168" s="1056"/>
      <c r="ZL168" s="1056"/>
      <c r="ZM168" s="1056"/>
      <c r="ZN168" s="1056"/>
      <c r="ZO168" s="1056"/>
      <c r="ZP168" s="1056"/>
      <c r="ZQ168" s="1056"/>
      <c r="ZR168" s="1056"/>
      <c r="ZS168" s="1056"/>
      <c r="ZT168" s="1056"/>
      <c r="ZU168" s="1056"/>
      <c r="ZV168" s="1056"/>
      <c r="ZW168" s="1056"/>
      <c r="ZX168" s="1056"/>
      <c r="ZY168" s="1056"/>
      <c r="ZZ168" s="1056"/>
      <c r="AAA168" s="1056"/>
      <c r="AAB168" s="1056"/>
      <c r="AAC168" s="1056"/>
      <c r="AAD168" s="1056"/>
      <c r="AAE168" s="1056"/>
      <c r="AAF168" s="1056"/>
      <c r="AAG168" s="1056"/>
      <c r="AAH168" s="1056"/>
      <c r="AAI168" s="1056"/>
      <c r="AAJ168" s="1056"/>
      <c r="AAK168" s="1056"/>
      <c r="AAL168" s="1056"/>
      <c r="AAM168" s="1056"/>
      <c r="AAN168" s="1056"/>
      <c r="AAO168" s="1056"/>
      <c r="AAP168" s="1056"/>
      <c r="AAQ168" s="1056"/>
      <c r="AAR168" s="1056"/>
      <c r="AAS168" s="1056"/>
      <c r="AAT168" s="1056"/>
      <c r="AAU168" s="1056"/>
      <c r="AAV168" s="1056"/>
      <c r="AAW168" s="1056"/>
      <c r="AAX168" s="1056"/>
      <c r="AAY168" s="1056"/>
      <c r="AAZ168" s="1056"/>
      <c r="ABA168" s="1056"/>
      <c r="ABB168" s="1056"/>
      <c r="ABC168" s="1056"/>
      <c r="ABD168" s="1056"/>
      <c r="ABE168" s="1056"/>
      <c r="ABF168" s="1056"/>
      <c r="ABG168" s="1056"/>
      <c r="ABH168" s="1056"/>
      <c r="ABI168" s="1056"/>
      <c r="ABJ168" s="1056"/>
      <c r="ABK168" s="1056"/>
      <c r="ABL168" s="1056"/>
      <c r="ABM168" s="1056"/>
      <c r="ABN168" s="1056"/>
      <c r="ABO168" s="1056"/>
      <c r="ABP168" s="1056"/>
      <c r="ABQ168" s="1056"/>
      <c r="ABR168" s="1056"/>
      <c r="ABS168" s="1056"/>
      <c r="ABT168" s="1056"/>
      <c r="ABU168" s="1056"/>
      <c r="ABV168" s="1056"/>
      <c r="ABW168" s="1056"/>
      <c r="ABX168" s="1056"/>
      <c r="ABY168" s="1056"/>
      <c r="ABZ168" s="1056"/>
      <c r="ACA168" s="1056"/>
      <c r="ACB168" s="1056"/>
      <c r="ACC168" s="1056"/>
      <c r="ACD168" s="1056"/>
      <c r="ACE168" s="1056"/>
      <c r="ACF168" s="1056"/>
      <c r="ACG168" s="1056"/>
      <c r="ACH168" s="1056"/>
      <c r="ACI168" s="1056"/>
      <c r="ACJ168" s="1056"/>
      <c r="ACK168" s="1056"/>
      <c r="ACL168" s="1056"/>
      <c r="ACM168" s="1056"/>
      <c r="ACN168" s="1056"/>
      <c r="ACO168" s="1056"/>
      <c r="ACP168" s="1056"/>
      <c r="ACQ168" s="1056"/>
      <c r="ACR168" s="1056"/>
      <c r="ACS168" s="1056"/>
      <c r="ACT168" s="1056"/>
      <c r="ACU168" s="1056"/>
      <c r="ACV168" s="1056"/>
      <c r="ACW168" s="1056"/>
      <c r="ACX168" s="1056"/>
      <c r="ACY168" s="1056"/>
      <c r="ACZ168" s="1056"/>
      <c r="ADA168" s="1056"/>
      <c r="ADB168" s="1056"/>
      <c r="ADC168" s="1056"/>
      <c r="ADD168" s="1056"/>
      <c r="ADE168" s="1056"/>
      <c r="ADF168" s="1056"/>
      <c r="ADG168" s="1056"/>
      <c r="ADH168" s="1056"/>
      <c r="ADI168" s="1056"/>
      <c r="ADJ168" s="1056"/>
      <c r="ADK168" s="1056"/>
      <c r="ADL168" s="1056"/>
      <c r="ADM168" s="1056"/>
      <c r="ADN168" s="1056"/>
      <c r="ADO168" s="1056"/>
      <c r="ADP168" s="1056"/>
      <c r="ADQ168" s="1056"/>
      <c r="ADR168" s="1056"/>
      <c r="ADS168" s="1056"/>
      <c r="ADT168" s="1056"/>
      <c r="ADU168" s="1056"/>
      <c r="ADV168" s="1056"/>
      <c r="ADW168" s="1056"/>
      <c r="ADX168" s="1056"/>
      <c r="ADY168" s="1056"/>
      <c r="ADZ168" s="1056"/>
      <c r="AEA168" s="1056"/>
      <c r="AEB168" s="1056"/>
      <c r="AEC168" s="1056"/>
      <c r="AED168" s="1056"/>
      <c r="AEE168" s="1056"/>
      <c r="AEF168" s="1056"/>
      <c r="AEG168" s="1056"/>
      <c r="AEH168" s="1056"/>
      <c r="AEI168" s="1056"/>
      <c r="AEJ168" s="1056"/>
      <c r="AEK168" s="1056"/>
      <c r="AEL168" s="1056"/>
      <c r="AEM168" s="1056"/>
      <c r="AEN168" s="1056"/>
      <c r="AEO168" s="1056"/>
      <c r="AEP168" s="1056"/>
      <c r="AEQ168" s="1056"/>
      <c r="AER168" s="1056"/>
      <c r="AES168" s="1056"/>
      <c r="AET168" s="1056"/>
      <c r="AEU168" s="1056"/>
      <c r="AEV168" s="1056"/>
      <c r="AEW168" s="1056"/>
      <c r="AEX168" s="1056"/>
      <c r="AEY168" s="1056"/>
      <c r="AEZ168" s="1056"/>
      <c r="AFA168" s="1056"/>
      <c r="AFB168" s="1056"/>
      <c r="AFC168" s="1056"/>
      <c r="AFD168" s="1056"/>
      <c r="AFE168" s="1056"/>
      <c r="AFF168" s="1056"/>
      <c r="AFG168" s="1056"/>
      <c r="AFH168" s="1056"/>
      <c r="AFI168" s="1056"/>
      <c r="AFJ168" s="1056"/>
      <c r="AFK168" s="1056"/>
      <c r="AFL168" s="1056"/>
      <c r="AFM168" s="1056"/>
      <c r="AFN168" s="1056"/>
      <c r="AFO168" s="1056"/>
      <c r="AFP168" s="1056"/>
      <c r="AFQ168" s="1056"/>
      <c r="AFR168" s="1056"/>
      <c r="AFS168" s="1056"/>
      <c r="AFT168" s="1056"/>
      <c r="AFU168" s="1056"/>
      <c r="AFV168" s="1056"/>
      <c r="AFW168" s="1056"/>
      <c r="AFX168" s="1056"/>
      <c r="AFY168" s="1056"/>
      <c r="AFZ168" s="1056"/>
      <c r="AGA168" s="1056"/>
      <c r="AGB168" s="1056"/>
      <c r="AGC168" s="1056"/>
      <c r="AGD168" s="1056"/>
      <c r="AGE168" s="1056"/>
      <c r="AGF168" s="1056"/>
      <c r="AGG168" s="1056"/>
      <c r="AGH168" s="1056"/>
      <c r="AGI168" s="1056"/>
      <c r="AGJ168" s="1056"/>
      <c r="AGK168" s="1056"/>
      <c r="AGL168" s="1056"/>
      <c r="AGM168" s="1056"/>
      <c r="AGN168" s="1056"/>
      <c r="AGO168" s="1056"/>
      <c r="AGP168" s="1056"/>
      <c r="AGQ168" s="1056"/>
      <c r="AGR168" s="1056"/>
      <c r="AGS168" s="1056"/>
      <c r="AGT168" s="1056"/>
      <c r="AGU168" s="1056"/>
      <c r="AGV168" s="1056"/>
      <c r="AGW168" s="1056"/>
      <c r="AGX168" s="1056"/>
      <c r="AGY168" s="1056"/>
      <c r="AGZ168" s="1056"/>
      <c r="AHA168" s="1056"/>
      <c r="AHB168" s="1056"/>
      <c r="AHC168" s="1056"/>
      <c r="AHD168" s="1056"/>
      <c r="AHE168" s="1056"/>
      <c r="AHF168" s="1056"/>
      <c r="AHG168" s="1056"/>
      <c r="AHH168" s="1056"/>
      <c r="AHI168" s="1056"/>
      <c r="AHJ168" s="1056"/>
      <c r="AHK168" s="1056"/>
      <c r="AHL168" s="1056"/>
      <c r="AHM168" s="1056"/>
      <c r="AHN168" s="1056"/>
      <c r="AHO168" s="1056"/>
      <c r="AHP168" s="1056"/>
      <c r="AHQ168" s="1056"/>
      <c r="AHR168" s="1056"/>
      <c r="AHS168" s="1056"/>
      <c r="AHT168" s="1056"/>
      <c r="AHU168" s="1056"/>
      <c r="AHV168" s="1056"/>
      <c r="AHW168" s="1056"/>
      <c r="AHX168" s="1056"/>
      <c r="AHY168" s="1056"/>
      <c r="AHZ168" s="1056"/>
      <c r="AIA168" s="1056"/>
      <c r="AIB168" s="1056"/>
      <c r="AIC168" s="1056"/>
      <c r="AID168" s="1056"/>
      <c r="AIE168" s="1056"/>
      <c r="AIF168" s="1056"/>
      <c r="AIG168" s="1056"/>
      <c r="AIH168" s="1056"/>
      <c r="AII168" s="1056"/>
      <c r="AIJ168" s="1056"/>
      <c r="AIK168" s="1056"/>
      <c r="AIL168" s="1056"/>
      <c r="AIM168" s="1056"/>
      <c r="AIN168" s="1056"/>
      <c r="AIO168" s="1056"/>
      <c r="AIP168" s="1056"/>
      <c r="AIQ168" s="1056"/>
      <c r="AIR168" s="1056"/>
      <c r="AIS168" s="1056"/>
      <c r="AIT168" s="1056"/>
      <c r="AIU168" s="1056"/>
      <c r="AIV168" s="1056"/>
      <c r="AIW168" s="1056"/>
      <c r="AIX168" s="1056"/>
      <c r="AIY168" s="1056"/>
      <c r="AIZ168" s="1056"/>
      <c r="AJA168" s="1056"/>
      <c r="AJB168" s="1056"/>
      <c r="AJC168" s="1056"/>
      <c r="AJD168" s="1056"/>
      <c r="AJE168" s="1056"/>
      <c r="AJF168" s="1056"/>
      <c r="AJG168" s="1056"/>
      <c r="AJH168" s="1056"/>
      <c r="AJI168" s="1056"/>
      <c r="AJJ168" s="1056"/>
      <c r="AJK168" s="1056"/>
      <c r="AJL168" s="1056"/>
      <c r="AJM168" s="1056"/>
      <c r="AJN168" s="1056"/>
      <c r="AJO168" s="1056"/>
      <c r="AJP168" s="1056"/>
      <c r="AJQ168" s="1056"/>
      <c r="AJR168" s="1056"/>
      <c r="AJS168" s="1056"/>
      <c r="AJT168" s="1056"/>
      <c r="AJU168" s="1056"/>
      <c r="AJV168" s="1056"/>
      <c r="AJW168" s="1056"/>
      <c r="AJX168" s="1056"/>
      <c r="AJY168" s="1056"/>
      <c r="AJZ168" s="1056"/>
      <c r="AKA168" s="1056"/>
      <c r="AKB168" s="1056"/>
      <c r="AKC168" s="1056"/>
      <c r="AKD168" s="1056"/>
      <c r="AKE168" s="1056"/>
      <c r="AKF168" s="1056"/>
      <c r="AKG168" s="1056"/>
      <c r="AKH168" s="1056"/>
      <c r="AKI168" s="1056"/>
      <c r="AKJ168" s="1056"/>
      <c r="AKK168" s="1056"/>
      <c r="AKL168" s="1056"/>
      <c r="AKM168" s="1056"/>
      <c r="AKN168" s="1056"/>
      <c r="AKO168" s="1056"/>
      <c r="AKP168" s="1056"/>
      <c r="AKQ168" s="1056"/>
      <c r="AKR168" s="1056"/>
      <c r="AKS168" s="1056"/>
      <c r="AKT168" s="1056"/>
      <c r="AKU168" s="1056"/>
      <c r="AKV168" s="1056"/>
      <c r="AKW168" s="1056"/>
      <c r="AKX168" s="1056"/>
      <c r="AKY168" s="1056"/>
      <c r="AKZ168" s="1056"/>
      <c r="ALA168" s="1056"/>
      <c r="ALB168" s="1056"/>
      <c r="ALC168" s="1056"/>
      <c r="ALD168" s="1056"/>
      <c r="ALE168" s="1056"/>
      <c r="ALF168" s="1056"/>
      <c r="ALG168" s="1056"/>
      <c r="ALH168" s="1056"/>
      <c r="ALI168" s="1056"/>
      <c r="ALJ168" s="1056"/>
      <c r="ALK168" s="1056"/>
      <c r="ALL168" s="1056"/>
      <c r="ALM168" s="1056"/>
      <c r="ALN168" s="1056"/>
      <c r="ALO168" s="1056"/>
      <c r="ALP168" s="1056"/>
      <c r="ALQ168" s="1056"/>
      <c r="ALR168" s="1056"/>
      <c r="ALS168" s="1056"/>
      <c r="ALT168" s="1056"/>
      <c r="ALU168" s="1056"/>
      <c r="ALV168" s="1056"/>
      <c r="ALW168" s="1056"/>
      <c r="ALX168" s="1056"/>
      <c r="ALY168" s="1056"/>
      <c r="ALZ168" s="1056"/>
      <c r="AMA168" s="1056"/>
      <c r="AMB168" s="1056"/>
      <c r="AMC168" s="1056"/>
      <c r="AMD168" s="1056"/>
      <c r="AME168" s="1056"/>
      <c r="AMF168" s="1056"/>
      <c r="AMG168" s="1056"/>
      <c r="AMH168" s="1056"/>
      <c r="AMI168" s="1056"/>
      <c r="AMJ168" s="1056"/>
      <c r="AMK168" s="1056"/>
      <c r="AML168" s="1056"/>
      <c r="AMM168" s="1056"/>
      <c r="AMN168" s="1056"/>
      <c r="AMO168" s="1056"/>
      <c r="AMP168" s="1056"/>
      <c r="AMQ168" s="1056"/>
      <c r="AMR168" s="1056"/>
      <c r="AMS168" s="1056"/>
      <c r="AMT168" s="1056"/>
      <c r="AMU168" s="1056"/>
      <c r="AMV168" s="1056"/>
      <c r="AMW168" s="1056"/>
      <c r="AMX168" s="1056"/>
      <c r="AMY168" s="1056"/>
      <c r="AMZ168" s="1056"/>
      <c r="ANA168" s="1056"/>
      <c r="ANB168" s="1056"/>
      <c r="ANC168" s="1056"/>
      <c r="AND168" s="1056"/>
      <c r="ANE168" s="1056"/>
      <c r="ANF168" s="1056"/>
      <c r="ANG168" s="1056"/>
      <c r="ANH168" s="1056"/>
      <c r="ANI168" s="1056"/>
      <c r="ANJ168" s="1056"/>
      <c r="ANK168" s="1056"/>
      <c r="ANL168" s="1056"/>
      <c r="ANM168" s="1056"/>
      <c r="ANN168" s="1056"/>
      <c r="ANO168" s="1056"/>
      <c r="ANP168" s="1056"/>
      <c r="ANQ168" s="1056"/>
      <c r="ANR168" s="1056"/>
      <c r="ANS168" s="1056"/>
      <c r="ANT168" s="1056"/>
      <c r="ANU168" s="1056"/>
      <c r="ANV168" s="1056"/>
      <c r="ANW168" s="1056"/>
      <c r="ANX168" s="1056"/>
      <c r="ANY168" s="1056"/>
      <c r="ANZ168" s="1056"/>
      <c r="AOA168" s="1056"/>
      <c r="AOB168" s="1056"/>
      <c r="AOC168" s="1056"/>
      <c r="AOD168" s="1056"/>
      <c r="AOE168" s="1056"/>
      <c r="AOF168" s="1056"/>
      <c r="AOG168" s="1056"/>
      <c r="AOH168" s="1056"/>
      <c r="AOI168" s="1056"/>
      <c r="AOJ168" s="1056"/>
      <c r="AOK168" s="1056"/>
      <c r="AOL168" s="1056"/>
      <c r="AOM168" s="1056"/>
      <c r="AON168" s="1056"/>
      <c r="AOO168" s="1056"/>
      <c r="AOP168" s="1056"/>
      <c r="AOQ168" s="1056"/>
      <c r="AOR168" s="1056"/>
      <c r="AOS168" s="1056"/>
      <c r="AOT168" s="1056"/>
      <c r="AOU168" s="1056"/>
      <c r="AOV168" s="1056"/>
      <c r="AOW168" s="1056"/>
      <c r="AOX168" s="1056"/>
      <c r="AOY168" s="1056"/>
      <c r="AOZ168" s="1056"/>
      <c r="APA168" s="1056"/>
      <c r="APB168" s="1056"/>
      <c r="APC168" s="1056"/>
      <c r="APD168" s="1056"/>
      <c r="APE168" s="1056"/>
      <c r="APF168" s="1056"/>
      <c r="APG168" s="1056"/>
      <c r="APH168" s="1056"/>
      <c r="API168" s="1056"/>
      <c r="APJ168" s="1056"/>
      <c r="APK168" s="1056"/>
      <c r="APL168" s="1056"/>
      <c r="APM168" s="1056"/>
      <c r="APN168" s="1056"/>
      <c r="APO168" s="1056"/>
      <c r="APP168" s="1056"/>
      <c r="APQ168" s="1056"/>
      <c r="APR168" s="1056"/>
      <c r="APS168" s="1056"/>
      <c r="APT168" s="1056"/>
      <c r="APU168" s="1056"/>
      <c r="APV168" s="1056"/>
      <c r="APW168" s="1056"/>
      <c r="APX168" s="1056"/>
      <c r="APY168" s="1056"/>
      <c r="APZ168" s="1056"/>
      <c r="AQA168" s="1056"/>
      <c r="AQB168" s="1056"/>
      <c r="AQC168" s="1056"/>
      <c r="AQD168" s="1056"/>
      <c r="AQE168" s="1056"/>
      <c r="AQF168" s="1056"/>
      <c r="AQG168" s="1056"/>
      <c r="AQH168" s="1056"/>
      <c r="AQI168" s="1056"/>
      <c r="AQJ168" s="1056"/>
      <c r="AQK168" s="1056"/>
      <c r="AQL168" s="1056"/>
      <c r="AQM168" s="1056"/>
      <c r="AQN168" s="1056"/>
      <c r="AQO168" s="1056"/>
      <c r="AQP168" s="1056"/>
      <c r="AQQ168" s="1056"/>
      <c r="AQR168" s="1056"/>
      <c r="AQS168" s="1056"/>
      <c r="AQT168" s="1056"/>
      <c r="AQU168" s="1056"/>
      <c r="AQV168" s="1056"/>
      <c r="AQW168" s="1056"/>
      <c r="AQX168" s="1056"/>
      <c r="AQY168" s="1056"/>
      <c r="AQZ168" s="1056"/>
      <c r="ARA168" s="1056"/>
      <c r="ARB168" s="1056"/>
      <c r="ARC168" s="1056"/>
      <c r="ARD168" s="1056"/>
      <c r="ARE168" s="1056"/>
      <c r="ARF168" s="1056"/>
      <c r="ARG168" s="1056"/>
      <c r="ARH168" s="1056"/>
      <c r="ARI168" s="1056"/>
      <c r="ARJ168" s="1056"/>
      <c r="ARK168" s="1056"/>
      <c r="ARL168" s="1056"/>
      <c r="ARM168" s="1056"/>
      <c r="ARN168" s="1056"/>
      <c r="ARO168" s="1056"/>
      <c r="ARP168" s="1056"/>
      <c r="ARQ168" s="1056"/>
      <c r="ARR168" s="1056"/>
      <c r="ARS168" s="1056"/>
      <c r="ART168" s="1056"/>
      <c r="ARU168" s="1056"/>
      <c r="ARV168" s="1056"/>
      <c r="ARW168" s="1056"/>
      <c r="ARX168" s="1056"/>
      <c r="ARY168" s="1056"/>
      <c r="ARZ168" s="1056"/>
      <c r="ASA168" s="1056"/>
      <c r="ASB168" s="1056"/>
      <c r="ASC168" s="1056"/>
      <c r="ASD168" s="1056"/>
      <c r="ASE168" s="1056"/>
      <c r="ASF168" s="1056"/>
      <c r="ASG168" s="1056"/>
      <c r="ASH168" s="1056"/>
      <c r="ASI168" s="1056"/>
      <c r="ASJ168" s="1056"/>
      <c r="ASK168" s="1056"/>
      <c r="ASL168" s="1056"/>
      <c r="ASM168" s="1056"/>
      <c r="ASN168" s="1056"/>
      <c r="ASO168" s="1056"/>
      <c r="ASP168" s="1056"/>
      <c r="ASQ168" s="1056"/>
      <c r="ASR168" s="1056"/>
      <c r="ASS168" s="1056"/>
      <c r="AST168" s="1056"/>
      <c r="ASU168" s="1056"/>
      <c r="ASV168" s="1056"/>
      <c r="ASW168" s="1056"/>
      <c r="ASX168" s="1056"/>
      <c r="ASY168" s="1056"/>
      <c r="ASZ168" s="1056"/>
      <c r="ATA168" s="1056"/>
      <c r="ATB168" s="1056"/>
      <c r="ATC168" s="1056"/>
      <c r="ATD168" s="1056"/>
      <c r="ATE168" s="1056"/>
      <c r="ATF168" s="1056"/>
      <c r="ATG168" s="1056"/>
      <c r="ATH168" s="1056"/>
      <c r="ATI168" s="1056"/>
      <c r="ATJ168" s="1056"/>
      <c r="ATK168" s="1056"/>
      <c r="ATL168" s="1056"/>
      <c r="ATM168" s="1056"/>
      <c r="ATN168" s="1056"/>
      <c r="ATO168" s="1056"/>
      <c r="ATP168" s="1056"/>
      <c r="ATQ168" s="1056"/>
      <c r="ATR168" s="1056"/>
      <c r="ATS168" s="1056"/>
      <c r="ATT168" s="1056"/>
      <c r="ATU168" s="1056"/>
      <c r="ATV168" s="1056"/>
      <c r="ATW168" s="1056"/>
      <c r="ATX168" s="1056"/>
      <c r="ATY168" s="1056"/>
      <c r="ATZ168" s="1056"/>
      <c r="AUA168" s="1056"/>
      <c r="AUB168" s="1056"/>
      <c r="AUC168" s="1056"/>
      <c r="AUD168" s="1056"/>
      <c r="AUE168" s="1056"/>
      <c r="AUF168" s="1056"/>
      <c r="AUG168" s="1056"/>
      <c r="AUH168" s="1056"/>
      <c r="AUI168" s="1056"/>
      <c r="AUJ168" s="1056"/>
      <c r="AUK168" s="1056"/>
      <c r="AUL168" s="1056"/>
      <c r="AUM168" s="1056"/>
      <c r="AUN168" s="1056"/>
      <c r="AUO168" s="1056"/>
      <c r="AUP168" s="1056"/>
      <c r="AUQ168" s="1056"/>
      <c r="AUR168" s="1056"/>
      <c r="AUS168" s="1056"/>
      <c r="AUT168" s="1056"/>
      <c r="AUU168" s="1056"/>
      <c r="AUV168" s="1056"/>
      <c r="AUW168" s="1056"/>
      <c r="AUX168" s="1056"/>
      <c r="AUY168" s="1056"/>
      <c r="AUZ168" s="1056"/>
      <c r="AVA168" s="1056"/>
      <c r="AVB168" s="1056"/>
      <c r="AVC168" s="1056"/>
      <c r="AVD168" s="1056"/>
      <c r="AVE168" s="1056"/>
      <c r="AVF168" s="1056"/>
      <c r="AVG168" s="1056"/>
      <c r="AVH168" s="1056"/>
      <c r="AVI168" s="1056"/>
      <c r="AVJ168" s="1056"/>
      <c r="AVK168" s="1056"/>
      <c r="AVL168" s="1056"/>
      <c r="AVM168" s="1056"/>
      <c r="AVN168" s="1056"/>
      <c r="AVO168" s="1056"/>
      <c r="AVP168" s="1056"/>
      <c r="AVQ168" s="1056"/>
      <c r="AVR168" s="1056"/>
      <c r="AVS168" s="1056"/>
      <c r="AVT168" s="1056"/>
      <c r="AVU168" s="1056"/>
      <c r="AVV168" s="1056"/>
      <c r="AVW168" s="1056"/>
      <c r="AVX168" s="1056"/>
      <c r="AVY168" s="1056"/>
      <c r="AVZ168" s="1056"/>
      <c r="AWA168" s="1056"/>
      <c r="AWB168" s="1056"/>
      <c r="AWC168" s="1056"/>
      <c r="AWD168" s="1056"/>
      <c r="AWE168" s="1056"/>
      <c r="AWF168" s="1056"/>
      <c r="AWG168" s="1056"/>
      <c r="AWH168" s="1056"/>
      <c r="AWI168" s="1056"/>
      <c r="AWJ168" s="1056"/>
      <c r="AWK168" s="1056"/>
      <c r="AWL168" s="1056"/>
      <c r="AWM168" s="1056"/>
      <c r="AWN168" s="1056"/>
      <c r="AWO168" s="1056"/>
      <c r="AWP168" s="1056"/>
      <c r="AWQ168" s="1056"/>
      <c r="AWR168" s="1056"/>
      <c r="AWS168" s="1056"/>
      <c r="AWT168" s="1056"/>
      <c r="AWU168" s="1056"/>
      <c r="AWV168" s="1056"/>
      <c r="AWW168" s="1056"/>
      <c r="AWX168" s="1056"/>
      <c r="AWY168" s="1056"/>
      <c r="AWZ168" s="1056"/>
      <c r="AXA168" s="1056"/>
      <c r="AXB168" s="1056"/>
      <c r="AXC168" s="1056"/>
      <c r="AXD168" s="1056"/>
      <c r="AXE168" s="1056"/>
      <c r="AXF168" s="1056"/>
      <c r="AXG168" s="1056"/>
      <c r="AXH168" s="1056"/>
      <c r="AXI168" s="1056"/>
      <c r="AXJ168" s="1056"/>
      <c r="AXK168" s="1056"/>
      <c r="AXL168" s="1056"/>
      <c r="AXM168" s="1056"/>
      <c r="AXN168" s="1056"/>
      <c r="AXO168" s="1056"/>
      <c r="AXP168" s="1056"/>
      <c r="AXQ168" s="1056"/>
      <c r="AXR168" s="1056"/>
      <c r="AXS168" s="1056"/>
      <c r="AXT168" s="1056"/>
      <c r="AXU168" s="1056"/>
      <c r="AXV168" s="1056"/>
      <c r="AXW168" s="1056"/>
      <c r="AXX168" s="1056"/>
      <c r="AXY168" s="1056"/>
      <c r="AXZ168" s="1056"/>
      <c r="AYA168" s="1056"/>
      <c r="AYB168" s="1056"/>
      <c r="AYC168" s="1056"/>
      <c r="AYD168" s="1056"/>
      <c r="AYE168" s="1056"/>
      <c r="AYF168" s="1056"/>
      <c r="AYG168" s="1056"/>
      <c r="AYH168" s="1056"/>
      <c r="AYI168" s="1056"/>
      <c r="AYJ168" s="1056"/>
      <c r="AYK168" s="1056"/>
      <c r="AYL168" s="1056"/>
      <c r="AYM168" s="1056"/>
      <c r="AYN168" s="1056"/>
      <c r="AYO168" s="1056"/>
      <c r="AYP168" s="1056"/>
      <c r="AYQ168" s="1056"/>
      <c r="AYR168" s="1056"/>
      <c r="AYS168" s="1056"/>
      <c r="AYT168" s="1056"/>
      <c r="AYU168" s="1056"/>
      <c r="AYV168" s="1056"/>
      <c r="AYW168" s="1056"/>
      <c r="AYX168" s="1056"/>
      <c r="AYY168" s="1056"/>
      <c r="AYZ168" s="1056"/>
      <c r="AZA168" s="1056"/>
      <c r="AZB168" s="1056"/>
      <c r="AZC168" s="1056"/>
      <c r="AZD168" s="1056"/>
      <c r="AZE168" s="1056"/>
      <c r="AZF168" s="1056"/>
      <c r="AZG168" s="1056"/>
      <c r="AZH168" s="1056"/>
      <c r="AZI168" s="1056"/>
      <c r="AZJ168" s="1056"/>
      <c r="AZK168" s="1056"/>
      <c r="AZL168" s="1056"/>
      <c r="AZM168" s="1056"/>
      <c r="AZN168" s="1056"/>
      <c r="AZO168" s="1056"/>
      <c r="AZP168" s="1056"/>
      <c r="AZQ168" s="1056"/>
      <c r="AZR168" s="1056"/>
      <c r="AZS168" s="1056"/>
      <c r="AZT168" s="1056"/>
      <c r="AZU168" s="1056"/>
      <c r="AZV168" s="1056"/>
      <c r="AZW168" s="1056"/>
      <c r="AZX168" s="1056"/>
      <c r="AZY168" s="1056"/>
      <c r="AZZ168" s="1056"/>
      <c r="BAA168" s="1056"/>
      <c r="BAB168" s="1056"/>
      <c r="BAC168" s="1056"/>
      <c r="BAD168" s="1056"/>
      <c r="BAE168" s="1056"/>
      <c r="BAF168" s="1056"/>
      <c r="BAG168" s="1056"/>
      <c r="BAH168" s="1056"/>
      <c r="BAI168" s="1056"/>
      <c r="BAJ168" s="1056"/>
      <c r="BAK168" s="1056"/>
      <c r="BAL168" s="1056"/>
      <c r="BAM168" s="1056"/>
      <c r="BAN168" s="1056"/>
      <c r="BAO168" s="1056"/>
      <c r="BAP168" s="1056"/>
      <c r="BAQ168" s="1056"/>
      <c r="BAR168" s="1056"/>
      <c r="BAS168" s="1056"/>
      <c r="BAT168" s="1056"/>
      <c r="BAU168" s="1056"/>
      <c r="BAV168" s="1056"/>
      <c r="BAW168" s="1056"/>
      <c r="BAX168" s="1056"/>
      <c r="BAY168" s="1056"/>
      <c r="BAZ168" s="1056"/>
      <c r="BBA168" s="1056"/>
      <c r="BBB168" s="1056"/>
      <c r="BBC168" s="1056"/>
      <c r="BBD168" s="1056"/>
      <c r="BBE168" s="1056"/>
      <c r="BBF168" s="1056"/>
      <c r="BBG168" s="1056"/>
      <c r="BBH168" s="1056"/>
      <c r="BBI168" s="1056"/>
      <c r="BBJ168" s="1056"/>
      <c r="BBK168" s="1056"/>
      <c r="BBL168" s="1056"/>
      <c r="BBM168" s="1056"/>
      <c r="BBN168" s="1056"/>
      <c r="BBO168" s="1056"/>
      <c r="BBP168" s="1056"/>
      <c r="BBQ168" s="1056"/>
      <c r="BBR168" s="1056"/>
      <c r="BBS168" s="1056"/>
      <c r="BBT168" s="1056"/>
      <c r="BBU168" s="1056"/>
      <c r="BBV168" s="1056"/>
      <c r="BBW168" s="1056"/>
      <c r="BBX168" s="1056"/>
      <c r="BBY168" s="1056"/>
      <c r="BBZ168" s="1056"/>
      <c r="BCA168" s="1056"/>
      <c r="BCB168" s="1056"/>
      <c r="BCC168" s="1056"/>
      <c r="BCD168" s="1056"/>
      <c r="BCE168" s="1056"/>
      <c r="BCF168" s="1056"/>
      <c r="BCG168" s="1056"/>
      <c r="BCH168" s="1056"/>
      <c r="BCI168" s="1056"/>
      <c r="BCJ168" s="1056"/>
      <c r="BCK168" s="1056"/>
      <c r="BCL168" s="1056"/>
      <c r="BCM168" s="1056"/>
      <c r="BCN168" s="1056"/>
      <c r="BCO168" s="1056"/>
      <c r="BCP168" s="1056"/>
      <c r="BCQ168" s="1056"/>
      <c r="BCR168" s="1056"/>
      <c r="BCS168" s="1056"/>
      <c r="BCT168" s="1056"/>
      <c r="BCU168" s="1056"/>
      <c r="BCV168" s="1056"/>
      <c r="BCW168" s="1056"/>
      <c r="BCX168" s="1056"/>
      <c r="BCY168" s="1056"/>
      <c r="BCZ168" s="1056"/>
      <c r="BDA168" s="1056"/>
      <c r="BDB168" s="1056"/>
      <c r="BDC168" s="1056"/>
      <c r="BDD168" s="1056"/>
      <c r="BDE168" s="1056"/>
      <c r="BDF168" s="1056"/>
      <c r="BDG168" s="1056"/>
      <c r="BDH168" s="1056"/>
      <c r="BDI168" s="1056"/>
      <c r="BDJ168" s="1056"/>
      <c r="BDK168" s="1056"/>
      <c r="BDL168" s="1056"/>
      <c r="BDM168" s="1056"/>
      <c r="BDN168" s="1056"/>
      <c r="BDO168" s="1056"/>
      <c r="BDP168" s="1056"/>
      <c r="BDQ168" s="1056"/>
      <c r="BDR168" s="1056"/>
      <c r="BDS168" s="1056"/>
      <c r="BDT168" s="1056"/>
      <c r="BDU168" s="1056"/>
      <c r="BDV168" s="1056"/>
      <c r="BDW168" s="1056"/>
      <c r="BDX168" s="1056"/>
      <c r="BDY168" s="1056"/>
      <c r="BDZ168" s="1056"/>
      <c r="BEA168" s="1056"/>
      <c r="BEB168" s="1056"/>
      <c r="BEC168" s="1056"/>
      <c r="BED168" s="1056"/>
      <c r="BEE168" s="1056"/>
      <c r="BEF168" s="1056"/>
      <c r="BEG168" s="1056"/>
      <c r="BEH168" s="1056"/>
      <c r="BEI168" s="1056"/>
      <c r="BEJ168" s="1056"/>
      <c r="BEK168" s="1056"/>
      <c r="BEL168" s="1056"/>
      <c r="BEM168" s="1056"/>
      <c r="BEN168" s="1056"/>
      <c r="BEO168" s="1056"/>
      <c r="BEP168" s="1056"/>
      <c r="BEQ168" s="1056"/>
      <c r="BER168" s="1056"/>
      <c r="BES168" s="1056"/>
      <c r="BET168" s="1056"/>
      <c r="BEU168" s="1056"/>
      <c r="BEV168" s="1056"/>
      <c r="BEW168" s="1056"/>
      <c r="BEX168" s="1056"/>
      <c r="BEY168" s="1056"/>
      <c r="BEZ168" s="1056"/>
      <c r="BFA168" s="1056"/>
      <c r="BFB168" s="1056"/>
      <c r="BFC168" s="1056"/>
      <c r="BFD168" s="1056"/>
      <c r="BFE168" s="1056"/>
      <c r="BFF168" s="1056"/>
      <c r="BFG168" s="1056"/>
      <c r="BFH168" s="1056"/>
      <c r="BFI168" s="1056"/>
      <c r="BFJ168" s="1056"/>
      <c r="BFK168" s="1056"/>
      <c r="BFL168" s="1056"/>
      <c r="BFM168" s="1056"/>
      <c r="BFN168" s="1056"/>
      <c r="BFO168" s="1056"/>
      <c r="BFP168" s="1056"/>
      <c r="BFQ168" s="1056"/>
      <c r="BFR168" s="1056"/>
      <c r="BFS168" s="1056"/>
      <c r="BFT168" s="1056"/>
      <c r="BFU168" s="1056"/>
      <c r="BFV168" s="1056"/>
      <c r="BFW168" s="1056"/>
      <c r="BFX168" s="1056"/>
      <c r="BFY168" s="1056"/>
      <c r="BFZ168" s="1056"/>
      <c r="BGA168" s="1056"/>
      <c r="BGB168" s="1056"/>
      <c r="BGC168" s="1056"/>
      <c r="BGD168" s="1056"/>
      <c r="BGE168" s="1056"/>
      <c r="BGF168" s="1056"/>
      <c r="BGG168" s="1056"/>
      <c r="BGH168" s="1056"/>
      <c r="BGI168" s="1056"/>
      <c r="BGJ168" s="1056"/>
      <c r="BGK168" s="1056"/>
      <c r="BGL168" s="1056"/>
      <c r="BGM168" s="1056"/>
      <c r="BGN168" s="1056"/>
      <c r="BGO168" s="1056"/>
      <c r="BGP168" s="1056"/>
      <c r="BGQ168" s="1056"/>
      <c r="BGR168" s="1056"/>
      <c r="BGS168" s="1056"/>
      <c r="BGT168" s="1056"/>
      <c r="BGU168" s="1056"/>
      <c r="BGV168" s="1056"/>
      <c r="BGW168" s="1056"/>
      <c r="BGX168" s="1056"/>
      <c r="BGY168" s="1056"/>
      <c r="BGZ168" s="1056"/>
      <c r="BHA168" s="1056"/>
      <c r="BHB168" s="1056"/>
      <c r="BHC168" s="1056"/>
      <c r="BHD168" s="1056"/>
      <c r="BHE168" s="1056"/>
      <c r="BHF168" s="1056"/>
      <c r="BHG168" s="1056"/>
      <c r="BHH168" s="1056"/>
      <c r="BHI168" s="1056"/>
      <c r="BHJ168" s="1056"/>
      <c r="BHK168" s="1056"/>
      <c r="BHL168" s="1056"/>
      <c r="BHM168" s="1056"/>
      <c r="BHN168" s="1056"/>
      <c r="BHO168" s="1056"/>
      <c r="BHP168" s="1056"/>
      <c r="BHQ168" s="1056"/>
      <c r="BHR168" s="1056"/>
      <c r="BHS168" s="1056"/>
      <c r="BHT168" s="1056"/>
      <c r="BHU168" s="1056"/>
      <c r="BHV168" s="1056"/>
      <c r="BHW168" s="1056"/>
      <c r="BHX168" s="1056"/>
      <c r="BHY168" s="1056"/>
      <c r="BHZ168" s="1056"/>
      <c r="BIA168" s="1056"/>
      <c r="BIB168" s="1056"/>
      <c r="BIC168" s="1056"/>
      <c r="BID168" s="1056"/>
      <c r="BIE168" s="1056"/>
      <c r="BIF168" s="1056"/>
      <c r="BIG168" s="1056"/>
      <c r="BIH168" s="1056"/>
      <c r="BII168" s="1056"/>
      <c r="BIJ168" s="1056"/>
      <c r="BIK168" s="1056"/>
      <c r="BIL168" s="1056"/>
      <c r="BIM168" s="1056"/>
      <c r="BIN168" s="1056"/>
      <c r="BIO168" s="1056"/>
      <c r="BIP168" s="1056"/>
      <c r="BIQ168" s="1056"/>
      <c r="BIR168" s="1056"/>
      <c r="BIS168" s="1056"/>
      <c r="BIT168" s="1056"/>
      <c r="BIU168" s="1056"/>
      <c r="BIV168" s="1056"/>
      <c r="BIW168" s="1056"/>
      <c r="BIX168" s="1056"/>
      <c r="BIY168" s="1056"/>
      <c r="BIZ168" s="1056"/>
      <c r="BJA168" s="1056"/>
      <c r="BJB168" s="1056"/>
      <c r="BJC168" s="1056"/>
      <c r="BJD168" s="1056"/>
      <c r="BJE168" s="1056"/>
      <c r="BJF168" s="1056"/>
      <c r="BJG168" s="1056"/>
      <c r="BJH168" s="1056"/>
      <c r="BJI168" s="1056"/>
      <c r="BJJ168" s="1056"/>
      <c r="BJK168" s="1056"/>
      <c r="BJL168" s="1056"/>
      <c r="BJM168" s="1056"/>
      <c r="BJN168" s="1056"/>
      <c r="BJO168" s="1056"/>
      <c r="BJP168" s="1056"/>
      <c r="BJQ168" s="1056"/>
      <c r="BJR168" s="1056"/>
      <c r="BJS168" s="1056"/>
      <c r="BJT168" s="1056"/>
      <c r="BJU168" s="1056"/>
      <c r="BJV168" s="1056"/>
      <c r="BJW168" s="1056"/>
      <c r="BJX168" s="1056"/>
      <c r="BJY168" s="1056"/>
      <c r="BJZ168" s="1056"/>
      <c r="BKA168" s="1056"/>
      <c r="BKB168" s="1056"/>
      <c r="BKC168" s="1056"/>
      <c r="BKD168" s="1056"/>
      <c r="BKE168" s="1056"/>
      <c r="BKF168" s="1056"/>
      <c r="BKG168" s="1056"/>
      <c r="BKH168" s="1056"/>
      <c r="BKI168" s="1056"/>
      <c r="BKJ168" s="1056"/>
      <c r="BKK168" s="1056"/>
      <c r="BKL168" s="1056"/>
      <c r="BKM168" s="1056"/>
      <c r="BKN168" s="1056"/>
      <c r="BKO168" s="1056"/>
      <c r="BKP168" s="1056"/>
      <c r="BKQ168" s="1056"/>
      <c r="BKR168" s="1056"/>
      <c r="BKS168" s="1056"/>
      <c r="BKT168" s="1056"/>
      <c r="BKU168" s="1056"/>
      <c r="BKV168" s="1056"/>
      <c r="BKW168" s="1056"/>
      <c r="BKX168" s="1056"/>
      <c r="BKY168" s="1056"/>
      <c r="BKZ168" s="1056"/>
      <c r="BLA168" s="1056"/>
      <c r="BLB168" s="1056"/>
      <c r="BLC168" s="1056"/>
      <c r="BLD168" s="1056"/>
      <c r="BLE168" s="1056"/>
      <c r="BLF168" s="1056"/>
      <c r="BLG168" s="1056"/>
      <c r="BLH168" s="1056"/>
      <c r="BLI168" s="1056"/>
      <c r="BLJ168" s="1056"/>
      <c r="BLK168" s="1056"/>
      <c r="BLL168" s="1056"/>
      <c r="BLM168" s="1056"/>
      <c r="BLN168" s="1056"/>
      <c r="BLO168" s="1056"/>
      <c r="BLP168" s="1056"/>
      <c r="BLQ168" s="1056"/>
      <c r="BLR168" s="1056"/>
      <c r="BLS168" s="1056"/>
      <c r="BLT168" s="1056"/>
      <c r="BLU168" s="1056"/>
      <c r="BLV168" s="1056"/>
      <c r="BLW168" s="1056"/>
      <c r="BLX168" s="1056"/>
      <c r="BLY168" s="1056"/>
      <c r="BLZ168" s="1056"/>
      <c r="BMA168" s="1056"/>
      <c r="BMB168" s="1056"/>
      <c r="BMC168" s="1056"/>
      <c r="BMD168" s="1056"/>
      <c r="BME168" s="1056"/>
      <c r="BMF168" s="1056"/>
      <c r="BMG168" s="1056"/>
      <c r="BMH168" s="1056"/>
      <c r="BMI168" s="1056"/>
      <c r="BMJ168" s="1056"/>
      <c r="BMK168" s="1056"/>
      <c r="BML168" s="1056"/>
      <c r="BMM168" s="1056"/>
      <c r="BMN168" s="1056"/>
      <c r="BMO168" s="1056"/>
      <c r="BMP168" s="1056"/>
      <c r="BMQ168" s="1056"/>
      <c r="BMR168" s="1056"/>
      <c r="BMS168" s="1056"/>
      <c r="BMT168" s="1056"/>
      <c r="BMU168" s="1056"/>
      <c r="BMV168" s="1056"/>
      <c r="BMW168" s="1056"/>
      <c r="BMX168" s="1056"/>
      <c r="BMY168" s="1056"/>
      <c r="BMZ168" s="1056"/>
      <c r="BNA168" s="1056"/>
      <c r="BNB168" s="1056"/>
      <c r="BNC168" s="1056"/>
      <c r="BND168" s="1056"/>
      <c r="BNE168" s="1056"/>
      <c r="BNF168" s="1056"/>
      <c r="BNG168" s="1056"/>
      <c r="BNH168" s="1056"/>
      <c r="BNI168" s="1056"/>
      <c r="BNJ168" s="1056"/>
      <c r="BNK168" s="1056"/>
      <c r="BNL168" s="1056"/>
      <c r="BNM168" s="1056"/>
      <c r="BNN168" s="1056"/>
      <c r="BNO168" s="1056"/>
      <c r="BNP168" s="1056"/>
      <c r="BNQ168" s="1056"/>
      <c r="BNR168" s="1056"/>
      <c r="BNS168" s="1056"/>
      <c r="BNT168" s="1056"/>
      <c r="BNU168" s="1056"/>
      <c r="BNV168" s="1056"/>
      <c r="BNW168" s="1056"/>
      <c r="BNX168" s="1056"/>
      <c r="BNY168" s="1056"/>
      <c r="BNZ168" s="1056"/>
      <c r="BOA168" s="1056"/>
      <c r="BOB168" s="1056"/>
      <c r="BOC168" s="1056"/>
      <c r="BOD168" s="1056"/>
      <c r="BOE168" s="1056"/>
      <c r="BOF168" s="1056"/>
      <c r="BOG168" s="1056"/>
      <c r="BOH168" s="1056"/>
      <c r="BOI168" s="1056"/>
      <c r="BOJ168" s="1056"/>
      <c r="BOK168" s="1056"/>
      <c r="BOL168" s="1056"/>
      <c r="BOM168" s="1056"/>
      <c r="BON168" s="1056"/>
      <c r="BOO168" s="1056"/>
      <c r="BOP168" s="1056"/>
      <c r="BOQ168" s="1056"/>
      <c r="BOR168" s="1056"/>
      <c r="BOS168" s="1056"/>
      <c r="BOT168" s="1056"/>
      <c r="BOU168" s="1056"/>
      <c r="BOV168" s="1056"/>
      <c r="BOW168" s="1056"/>
      <c r="BOX168" s="1056"/>
      <c r="BOY168" s="1056"/>
      <c r="BOZ168" s="1056"/>
      <c r="BPA168" s="1056"/>
      <c r="BPB168" s="1056"/>
      <c r="BPC168" s="1056"/>
      <c r="BPD168" s="1056"/>
      <c r="BPE168" s="1056"/>
      <c r="BPF168" s="1056"/>
      <c r="BPG168" s="1056"/>
      <c r="BPH168" s="1056"/>
      <c r="BPI168" s="1056"/>
      <c r="BPJ168" s="1056"/>
      <c r="BPK168" s="1056"/>
      <c r="BPL168" s="1056"/>
      <c r="BPM168" s="1056"/>
      <c r="BPN168" s="1056"/>
      <c r="BPO168" s="1056"/>
      <c r="BPP168" s="1056"/>
      <c r="BPQ168" s="1056"/>
      <c r="BPR168" s="1056"/>
      <c r="BPS168" s="1056"/>
      <c r="BPT168" s="1056"/>
      <c r="BPU168" s="1056"/>
      <c r="BPV168" s="1056"/>
      <c r="BPW168" s="1056"/>
      <c r="BPX168" s="1056"/>
      <c r="BPY168" s="1056"/>
      <c r="BPZ168" s="1056"/>
      <c r="BQA168" s="1056"/>
      <c r="BQB168" s="1056"/>
      <c r="BQC168" s="1056"/>
      <c r="BQD168" s="1056"/>
      <c r="BQE168" s="1056"/>
      <c r="BQF168" s="1056"/>
      <c r="BQG168" s="1056"/>
      <c r="BQH168" s="1056"/>
      <c r="BQI168" s="1056"/>
      <c r="BQJ168" s="1056"/>
      <c r="BQK168" s="1056"/>
      <c r="BQL168" s="1056"/>
      <c r="BQM168" s="1056"/>
      <c r="BQN168" s="1056"/>
      <c r="BQO168" s="1056"/>
      <c r="BQP168" s="1056"/>
      <c r="BQQ168" s="1056"/>
      <c r="BQR168" s="1056"/>
      <c r="BQS168" s="1056"/>
      <c r="BQT168" s="1056"/>
      <c r="BQU168" s="1056"/>
      <c r="BQV168" s="1056"/>
      <c r="BQW168" s="1056"/>
      <c r="BQX168" s="1056"/>
      <c r="BQY168" s="1056"/>
      <c r="BQZ168" s="1056"/>
      <c r="BRA168" s="1056"/>
      <c r="BRB168" s="1056"/>
      <c r="BRC168" s="1056"/>
      <c r="BRD168" s="1056"/>
      <c r="BRE168" s="1056"/>
      <c r="BRF168" s="1056"/>
      <c r="BRG168" s="1056"/>
      <c r="BRH168" s="1056"/>
      <c r="BRI168" s="1056"/>
      <c r="BRJ168" s="1056"/>
      <c r="BRK168" s="1056"/>
      <c r="BRL168" s="1056"/>
      <c r="BRM168" s="1056"/>
      <c r="BRN168" s="1056"/>
      <c r="BRO168" s="1056"/>
      <c r="BRP168" s="1056"/>
      <c r="BRQ168" s="1056"/>
      <c r="BRR168" s="1056"/>
      <c r="BRS168" s="1056"/>
      <c r="BRT168" s="1056"/>
      <c r="BRU168" s="1056"/>
      <c r="BRV168" s="1056"/>
      <c r="BRW168" s="1056"/>
      <c r="BRX168" s="1056"/>
      <c r="BRY168" s="1056"/>
      <c r="BRZ168" s="1056"/>
      <c r="BSA168" s="1056"/>
      <c r="BSB168" s="1056"/>
      <c r="BSC168" s="1056"/>
      <c r="BSD168" s="1056"/>
      <c r="BSE168" s="1056"/>
      <c r="BSF168" s="1056"/>
      <c r="BSG168" s="1056"/>
      <c r="BSH168" s="1056"/>
      <c r="BSI168" s="1056"/>
      <c r="BSJ168" s="1056"/>
      <c r="BSK168" s="1056"/>
      <c r="BSL168" s="1056"/>
      <c r="BSM168" s="1056"/>
      <c r="BSN168" s="1056"/>
      <c r="BSO168" s="1056"/>
      <c r="BSP168" s="1056"/>
      <c r="BSQ168" s="1056"/>
      <c r="BSR168" s="1056"/>
      <c r="BSS168" s="1056"/>
      <c r="BST168" s="1056"/>
      <c r="BSU168" s="1056"/>
      <c r="BSV168" s="1056"/>
      <c r="BSW168" s="1056"/>
      <c r="BSX168" s="1056"/>
      <c r="BSY168" s="1056"/>
      <c r="BSZ168" s="1056"/>
      <c r="BTA168" s="1056"/>
      <c r="BTB168" s="1056"/>
      <c r="BTC168" s="1056"/>
      <c r="BTD168" s="1056"/>
      <c r="BTE168" s="1056"/>
      <c r="BTF168" s="1056"/>
      <c r="BTG168" s="1056"/>
      <c r="BTH168" s="1056"/>
      <c r="BTI168" s="1056"/>
    </row>
    <row r="169" spans="1:1881" s="1060" customFormat="1" ht="26.25" hidden="1" customHeight="1" x14ac:dyDescent="0.3">
      <c r="A169" s="1059"/>
      <c r="B169" s="832" t="s">
        <v>182</v>
      </c>
      <c r="C169" s="832"/>
      <c r="D169" s="845"/>
      <c r="E169" s="1098"/>
      <c r="F169" s="831"/>
      <c r="G169" s="831"/>
      <c r="H169" s="764"/>
      <c r="I169" s="1055"/>
      <c r="J169" s="1056"/>
      <c r="K169" s="1056"/>
      <c r="L169" s="1056"/>
      <c r="M169" s="1056"/>
      <c r="N169" s="1058"/>
      <c r="O169" s="1056"/>
      <c r="P169" s="1056"/>
      <c r="Q169" s="1056"/>
      <c r="R169" s="1056"/>
      <c r="S169" s="1056"/>
      <c r="T169" s="1056"/>
      <c r="U169" s="1056"/>
      <c r="V169" s="1056"/>
      <c r="W169" s="1056"/>
      <c r="X169" s="1056"/>
      <c r="Y169" s="1056"/>
      <c r="Z169" s="1059"/>
      <c r="AA169" s="1059"/>
      <c r="AB169" s="1059"/>
      <c r="AC169" s="1059"/>
      <c r="AD169" s="1059"/>
      <c r="AE169" s="1059"/>
      <c r="AF169" s="1059"/>
      <c r="AG169" s="1059"/>
      <c r="AH169" s="1059"/>
      <c r="AI169" s="1059"/>
      <c r="AJ169" s="1059"/>
      <c r="AK169" s="1059"/>
      <c r="AL169" s="1059"/>
      <c r="AM169" s="1059"/>
      <c r="AN169" s="1059"/>
      <c r="AO169" s="1059"/>
      <c r="AP169" s="1059"/>
      <c r="AQ169" s="1059"/>
      <c r="AR169" s="1059"/>
      <c r="AS169" s="1056"/>
      <c r="AT169" s="1056"/>
      <c r="AU169" s="1056"/>
      <c r="AV169" s="1056"/>
      <c r="AW169" s="1056"/>
      <c r="AX169" s="1056"/>
      <c r="AY169" s="1056"/>
      <c r="AZ169" s="1056"/>
      <c r="BA169" s="1056"/>
      <c r="BB169" s="1056"/>
      <c r="BC169" s="1056"/>
      <c r="BD169" s="1056"/>
      <c r="BE169" s="1056"/>
      <c r="BF169" s="1056"/>
      <c r="BG169" s="1056"/>
      <c r="BH169" s="1056"/>
      <c r="BI169" s="1056"/>
      <c r="BJ169" s="1056"/>
      <c r="BK169" s="1056"/>
      <c r="BL169" s="1056"/>
      <c r="BM169" s="1056"/>
      <c r="BN169" s="1056"/>
      <c r="BO169" s="1056"/>
      <c r="BP169" s="1056"/>
      <c r="BQ169" s="1056"/>
      <c r="BR169" s="1056"/>
      <c r="BS169" s="1056"/>
      <c r="BT169" s="1056"/>
      <c r="BU169" s="1056"/>
      <c r="BV169" s="1056"/>
      <c r="BW169" s="1056"/>
      <c r="BX169" s="1056"/>
      <c r="BY169" s="1056"/>
      <c r="BZ169" s="1056"/>
      <c r="CA169" s="1056"/>
      <c r="CB169" s="1056"/>
      <c r="CC169" s="1056"/>
      <c r="CD169" s="1056"/>
      <c r="CE169" s="1056"/>
      <c r="CF169" s="1056"/>
      <c r="CG169" s="1056"/>
      <c r="CH169" s="1056"/>
      <c r="CI169" s="1056"/>
      <c r="CJ169" s="1056"/>
      <c r="CK169" s="1056"/>
      <c r="CL169" s="1056"/>
      <c r="CM169" s="1056"/>
      <c r="CN169" s="1056"/>
      <c r="CO169" s="1056"/>
      <c r="CP169" s="1056"/>
      <c r="CQ169" s="1056"/>
      <c r="CR169" s="1056"/>
      <c r="CS169" s="1056"/>
      <c r="CT169" s="1056"/>
      <c r="CU169" s="1056"/>
      <c r="CV169" s="1056"/>
      <c r="CW169" s="1056"/>
      <c r="CX169" s="1056"/>
      <c r="CY169" s="1056"/>
      <c r="CZ169" s="1056"/>
      <c r="DA169" s="1056"/>
      <c r="DB169" s="1056"/>
      <c r="DC169" s="1056"/>
      <c r="DD169" s="1056"/>
      <c r="DE169" s="1056"/>
      <c r="DF169" s="1056"/>
      <c r="DG169" s="1056"/>
      <c r="DH169" s="1056"/>
      <c r="DI169" s="1056"/>
      <c r="DJ169" s="1056"/>
      <c r="DK169" s="1056"/>
      <c r="DL169" s="1056"/>
      <c r="DM169" s="1056"/>
      <c r="DN169" s="1056"/>
      <c r="DO169" s="1056"/>
      <c r="DP169" s="1056"/>
      <c r="DQ169" s="1056"/>
      <c r="DR169" s="1056"/>
      <c r="DS169" s="1056"/>
      <c r="DT169" s="1056"/>
      <c r="DU169" s="1056"/>
      <c r="DV169" s="1056"/>
      <c r="DW169" s="1056"/>
      <c r="DX169" s="1056"/>
      <c r="DY169" s="1056"/>
      <c r="DZ169" s="1056"/>
      <c r="EA169" s="1056"/>
      <c r="EB169" s="1056"/>
      <c r="EC169" s="1056"/>
      <c r="ED169" s="1056"/>
      <c r="EE169" s="1056"/>
      <c r="EF169" s="1056"/>
      <c r="EG169" s="1056"/>
      <c r="EH169" s="1056"/>
      <c r="EI169" s="1056"/>
      <c r="EJ169" s="1056"/>
      <c r="EK169" s="1056"/>
      <c r="EL169" s="1056"/>
      <c r="EM169" s="1056"/>
      <c r="EN169" s="1056"/>
      <c r="EO169" s="1056"/>
      <c r="EP169" s="1056"/>
      <c r="EQ169" s="1056"/>
      <c r="ER169" s="1056"/>
      <c r="ES169" s="1056"/>
      <c r="ET169" s="1056"/>
      <c r="EU169" s="1056"/>
      <c r="EV169" s="1056"/>
      <c r="EW169" s="1056"/>
      <c r="EX169" s="1056"/>
      <c r="EY169" s="1056"/>
      <c r="EZ169" s="1056"/>
      <c r="FA169" s="1056"/>
      <c r="FB169" s="1056"/>
      <c r="FC169" s="1056"/>
      <c r="FD169" s="1056"/>
      <c r="FE169" s="1056"/>
      <c r="FF169" s="1056"/>
      <c r="FG169" s="1056"/>
      <c r="FH169" s="1056"/>
      <c r="FI169" s="1056"/>
      <c r="FJ169" s="1056"/>
      <c r="FK169" s="1056"/>
      <c r="FL169" s="1056"/>
      <c r="FM169" s="1056"/>
      <c r="FN169" s="1056"/>
      <c r="FO169" s="1056"/>
      <c r="FP169" s="1056"/>
      <c r="FQ169" s="1056"/>
      <c r="FR169" s="1056"/>
      <c r="FS169" s="1056"/>
      <c r="FT169" s="1056"/>
      <c r="FU169" s="1056"/>
      <c r="FV169" s="1056"/>
      <c r="FW169" s="1056"/>
      <c r="FX169" s="1056"/>
      <c r="FY169" s="1056"/>
      <c r="FZ169" s="1056"/>
      <c r="GA169" s="1056"/>
      <c r="GB169" s="1056"/>
      <c r="GC169" s="1056"/>
      <c r="GD169" s="1056"/>
      <c r="GE169" s="1056"/>
      <c r="GF169" s="1056"/>
      <c r="GG169" s="1056"/>
      <c r="GH169" s="1056"/>
      <c r="GI169" s="1056"/>
      <c r="GJ169" s="1056"/>
      <c r="GK169" s="1056"/>
      <c r="GL169" s="1056"/>
      <c r="GM169" s="1056"/>
      <c r="GN169" s="1056"/>
      <c r="GO169" s="1056"/>
      <c r="GP169" s="1056"/>
      <c r="GQ169" s="1056"/>
      <c r="GR169" s="1056"/>
      <c r="GS169" s="1056"/>
      <c r="GT169" s="1056"/>
      <c r="GU169" s="1056"/>
      <c r="GV169" s="1056"/>
      <c r="GW169" s="1056"/>
      <c r="GX169" s="1056"/>
      <c r="GY169" s="1056"/>
      <c r="GZ169" s="1056"/>
      <c r="HA169" s="1056"/>
      <c r="HB169" s="1056"/>
      <c r="HC169" s="1056"/>
      <c r="HD169" s="1056"/>
      <c r="HE169" s="1056"/>
      <c r="HF169" s="1056"/>
      <c r="HG169" s="1056"/>
      <c r="HH169" s="1056"/>
      <c r="HI169" s="1056"/>
      <c r="HJ169" s="1056"/>
      <c r="HK169" s="1056"/>
      <c r="HL169" s="1056"/>
      <c r="HM169" s="1056"/>
      <c r="HN169" s="1056"/>
      <c r="HO169" s="1056"/>
      <c r="HP169" s="1056"/>
      <c r="HQ169" s="1056"/>
      <c r="HR169" s="1056"/>
      <c r="HS169" s="1056"/>
      <c r="HT169" s="1056"/>
      <c r="HU169" s="1056"/>
      <c r="HV169" s="1056"/>
      <c r="HW169" s="1056"/>
      <c r="HX169" s="1056"/>
      <c r="HY169" s="1056"/>
      <c r="HZ169" s="1056"/>
      <c r="IA169" s="1056"/>
      <c r="IB169" s="1056"/>
      <c r="IC169" s="1056"/>
      <c r="ID169" s="1056"/>
      <c r="IE169" s="1056"/>
      <c r="IF169" s="1056"/>
      <c r="IG169" s="1056"/>
      <c r="IH169" s="1056"/>
      <c r="II169" s="1056"/>
      <c r="IJ169" s="1056"/>
      <c r="IK169" s="1056"/>
      <c r="IL169" s="1056"/>
      <c r="IM169" s="1056"/>
      <c r="IN169" s="1056"/>
      <c r="IO169" s="1056"/>
      <c r="IP169" s="1056"/>
      <c r="IQ169" s="1056"/>
      <c r="IR169" s="1056"/>
      <c r="IS169" s="1056"/>
      <c r="IT169" s="1056"/>
      <c r="IU169" s="1056"/>
      <c r="IV169" s="1056"/>
      <c r="IW169" s="1056"/>
      <c r="IX169" s="1056"/>
      <c r="IY169" s="1056"/>
      <c r="IZ169" s="1056"/>
      <c r="JA169" s="1056"/>
      <c r="JB169" s="1056"/>
      <c r="JC169" s="1056"/>
      <c r="JD169" s="1056"/>
      <c r="JE169" s="1056"/>
      <c r="JF169" s="1056"/>
      <c r="JG169" s="1056"/>
      <c r="JH169" s="1056"/>
      <c r="JI169" s="1056"/>
      <c r="JJ169" s="1056"/>
      <c r="JK169" s="1056"/>
      <c r="JL169" s="1056"/>
      <c r="JM169" s="1056"/>
      <c r="JN169" s="1056"/>
      <c r="JO169" s="1056"/>
      <c r="JP169" s="1056"/>
      <c r="JQ169" s="1056"/>
      <c r="JR169" s="1056"/>
      <c r="JS169" s="1056"/>
      <c r="JT169" s="1056"/>
      <c r="JU169" s="1056"/>
      <c r="JV169" s="1056"/>
      <c r="JW169" s="1056"/>
      <c r="JX169" s="1056"/>
      <c r="JY169" s="1056"/>
      <c r="JZ169" s="1056"/>
      <c r="KA169" s="1056"/>
      <c r="KB169" s="1056"/>
      <c r="KC169" s="1056"/>
      <c r="KD169" s="1056"/>
      <c r="KE169" s="1056"/>
      <c r="KF169" s="1056"/>
      <c r="KG169" s="1056"/>
      <c r="KH169" s="1056"/>
      <c r="KI169" s="1056"/>
      <c r="KJ169" s="1056"/>
      <c r="KK169" s="1056"/>
      <c r="KL169" s="1056"/>
      <c r="KM169" s="1056"/>
      <c r="KN169" s="1056"/>
      <c r="KO169" s="1056"/>
      <c r="KP169" s="1056"/>
      <c r="KQ169" s="1056"/>
      <c r="KR169" s="1056"/>
      <c r="KS169" s="1056"/>
      <c r="KT169" s="1056"/>
      <c r="KU169" s="1056"/>
      <c r="KV169" s="1056"/>
      <c r="KW169" s="1056"/>
      <c r="KX169" s="1056"/>
      <c r="KY169" s="1056"/>
      <c r="KZ169" s="1056"/>
      <c r="LA169" s="1056"/>
      <c r="LB169" s="1056"/>
      <c r="LC169" s="1056"/>
      <c r="LD169" s="1056"/>
      <c r="LE169" s="1056"/>
      <c r="LF169" s="1056"/>
      <c r="LG169" s="1056"/>
      <c r="LH169" s="1056"/>
      <c r="LI169" s="1056"/>
      <c r="LJ169" s="1056"/>
      <c r="LK169" s="1056"/>
      <c r="LL169" s="1056"/>
      <c r="LM169" s="1056"/>
      <c r="LN169" s="1056"/>
      <c r="LO169" s="1056"/>
      <c r="LP169" s="1056"/>
      <c r="LQ169" s="1056"/>
      <c r="LR169" s="1056"/>
      <c r="LS169" s="1056"/>
      <c r="LT169" s="1056"/>
      <c r="LU169" s="1056"/>
      <c r="LV169" s="1056"/>
      <c r="LW169" s="1056"/>
      <c r="LX169" s="1056"/>
      <c r="LY169" s="1056"/>
      <c r="LZ169" s="1056"/>
      <c r="MA169" s="1056"/>
      <c r="MB169" s="1056"/>
      <c r="MC169" s="1056"/>
      <c r="MD169" s="1056"/>
      <c r="ME169" s="1056"/>
      <c r="MF169" s="1056"/>
      <c r="MG169" s="1056"/>
      <c r="MH169" s="1056"/>
      <c r="MI169" s="1056"/>
      <c r="MJ169" s="1056"/>
      <c r="MK169" s="1056"/>
      <c r="ML169" s="1056"/>
      <c r="MM169" s="1056"/>
      <c r="MN169" s="1056"/>
      <c r="MO169" s="1056"/>
      <c r="MP169" s="1056"/>
      <c r="MQ169" s="1056"/>
      <c r="MR169" s="1056"/>
      <c r="MS169" s="1056"/>
      <c r="MT169" s="1056"/>
      <c r="MU169" s="1056"/>
      <c r="MV169" s="1056"/>
      <c r="MW169" s="1056"/>
      <c r="MX169" s="1056"/>
      <c r="MY169" s="1056"/>
      <c r="MZ169" s="1056"/>
      <c r="NA169" s="1056"/>
      <c r="NB169" s="1056"/>
      <c r="NC169" s="1056"/>
      <c r="ND169" s="1056"/>
      <c r="NE169" s="1056"/>
      <c r="NF169" s="1056"/>
      <c r="NG169" s="1056"/>
      <c r="NH169" s="1056"/>
      <c r="NI169" s="1056"/>
      <c r="NJ169" s="1056"/>
      <c r="NK169" s="1056"/>
      <c r="NL169" s="1056"/>
      <c r="NM169" s="1056"/>
      <c r="NN169" s="1056"/>
      <c r="NO169" s="1056"/>
      <c r="NP169" s="1056"/>
      <c r="NQ169" s="1056"/>
      <c r="NR169" s="1056"/>
      <c r="NS169" s="1056"/>
      <c r="NT169" s="1056"/>
      <c r="NU169" s="1056"/>
      <c r="NV169" s="1056"/>
      <c r="NW169" s="1056"/>
      <c r="NX169" s="1056"/>
      <c r="NY169" s="1056"/>
      <c r="NZ169" s="1056"/>
      <c r="OA169" s="1056"/>
      <c r="OB169" s="1056"/>
      <c r="OC169" s="1056"/>
      <c r="OD169" s="1056"/>
      <c r="OE169" s="1056"/>
      <c r="OF169" s="1056"/>
      <c r="OG169" s="1056"/>
      <c r="OH169" s="1056"/>
      <c r="OI169" s="1056"/>
      <c r="OJ169" s="1056"/>
      <c r="OK169" s="1056"/>
      <c r="OL169" s="1056"/>
      <c r="OM169" s="1056"/>
      <c r="ON169" s="1056"/>
      <c r="OO169" s="1056"/>
      <c r="OP169" s="1056"/>
      <c r="OQ169" s="1056"/>
      <c r="OR169" s="1056"/>
      <c r="OS169" s="1056"/>
      <c r="OT169" s="1056"/>
      <c r="OU169" s="1056"/>
      <c r="OV169" s="1056"/>
      <c r="OW169" s="1056"/>
      <c r="OX169" s="1056"/>
      <c r="OY169" s="1056"/>
      <c r="OZ169" s="1056"/>
      <c r="PA169" s="1056"/>
      <c r="PB169" s="1056"/>
      <c r="PC169" s="1056"/>
      <c r="PD169" s="1056"/>
      <c r="PE169" s="1056"/>
      <c r="PF169" s="1056"/>
      <c r="PG169" s="1056"/>
      <c r="PH169" s="1056"/>
      <c r="PI169" s="1056"/>
      <c r="PJ169" s="1056"/>
      <c r="PK169" s="1056"/>
      <c r="PL169" s="1056"/>
      <c r="PM169" s="1056"/>
      <c r="PN169" s="1056"/>
      <c r="PO169" s="1056"/>
      <c r="PP169" s="1056"/>
      <c r="PQ169" s="1056"/>
      <c r="PR169" s="1056"/>
      <c r="PS169" s="1056"/>
      <c r="PT169" s="1056"/>
      <c r="PU169" s="1056"/>
      <c r="PV169" s="1056"/>
      <c r="PW169" s="1056"/>
      <c r="PX169" s="1056"/>
      <c r="PY169" s="1056"/>
      <c r="PZ169" s="1056"/>
      <c r="QA169" s="1056"/>
      <c r="QB169" s="1056"/>
      <c r="QC169" s="1056"/>
      <c r="QD169" s="1056"/>
      <c r="QE169" s="1056"/>
      <c r="QF169" s="1056"/>
      <c r="QG169" s="1056"/>
      <c r="QH169" s="1056"/>
      <c r="QI169" s="1056"/>
      <c r="QJ169" s="1056"/>
      <c r="QK169" s="1056"/>
      <c r="QL169" s="1056"/>
      <c r="QM169" s="1056"/>
      <c r="QN169" s="1056"/>
      <c r="QO169" s="1056"/>
      <c r="QP169" s="1056"/>
      <c r="QQ169" s="1056"/>
      <c r="QR169" s="1056"/>
      <c r="QS169" s="1056"/>
      <c r="QT169" s="1056"/>
      <c r="QU169" s="1056"/>
      <c r="QV169" s="1056"/>
      <c r="QW169" s="1056"/>
      <c r="QX169" s="1056"/>
      <c r="QY169" s="1056"/>
      <c r="QZ169" s="1056"/>
      <c r="RA169" s="1056"/>
      <c r="RB169" s="1056"/>
      <c r="RC169" s="1056"/>
      <c r="RD169" s="1056"/>
      <c r="RE169" s="1056"/>
      <c r="RF169" s="1056"/>
      <c r="RG169" s="1056"/>
      <c r="RH169" s="1056"/>
      <c r="RI169" s="1056"/>
      <c r="RJ169" s="1056"/>
      <c r="RK169" s="1056"/>
      <c r="RL169" s="1056"/>
      <c r="RM169" s="1056"/>
      <c r="RN169" s="1056"/>
      <c r="RO169" s="1056"/>
      <c r="RP169" s="1056"/>
      <c r="RQ169" s="1056"/>
      <c r="RR169" s="1056"/>
      <c r="RS169" s="1056"/>
      <c r="RT169" s="1056"/>
      <c r="RU169" s="1056"/>
      <c r="RV169" s="1056"/>
      <c r="RW169" s="1056"/>
      <c r="RX169" s="1056"/>
      <c r="RY169" s="1056"/>
      <c r="RZ169" s="1056"/>
      <c r="SA169" s="1056"/>
      <c r="SB169" s="1056"/>
      <c r="SC169" s="1056"/>
      <c r="SD169" s="1056"/>
      <c r="SE169" s="1056"/>
      <c r="SF169" s="1056"/>
      <c r="SG169" s="1056"/>
      <c r="SH169" s="1056"/>
      <c r="SI169" s="1056"/>
      <c r="SJ169" s="1056"/>
      <c r="SK169" s="1056"/>
      <c r="SL169" s="1056"/>
      <c r="SM169" s="1056"/>
      <c r="SN169" s="1056"/>
      <c r="SO169" s="1056"/>
      <c r="SP169" s="1056"/>
      <c r="SQ169" s="1056"/>
      <c r="SR169" s="1056"/>
      <c r="SS169" s="1056"/>
      <c r="ST169" s="1056"/>
      <c r="SU169" s="1056"/>
      <c r="SV169" s="1056"/>
      <c r="SW169" s="1056"/>
      <c r="SX169" s="1056"/>
      <c r="SY169" s="1056"/>
      <c r="SZ169" s="1056"/>
      <c r="TA169" s="1056"/>
      <c r="TB169" s="1056"/>
      <c r="TC169" s="1056"/>
      <c r="TD169" s="1056"/>
      <c r="TE169" s="1056"/>
      <c r="TF169" s="1056"/>
      <c r="TG169" s="1056"/>
      <c r="TH169" s="1056"/>
      <c r="TI169" s="1056"/>
      <c r="TJ169" s="1056"/>
      <c r="TK169" s="1056"/>
      <c r="TL169" s="1056"/>
      <c r="TM169" s="1056"/>
      <c r="TN169" s="1056"/>
      <c r="TO169" s="1056"/>
      <c r="TP169" s="1056"/>
      <c r="TQ169" s="1056"/>
      <c r="TR169" s="1056"/>
      <c r="TS169" s="1056"/>
      <c r="TT169" s="1056"/>
      <c r="TU169" s="1056"/>
      <c r="TV169" s="1056"/>
      <c r="TW169" s="1056"/>
      <c r="TX169" s="1056"/>
      <c r="TY169" s="1056"/>
      <c r="TZ169" s="1056"/>
      <c r="UA169" s="1056"/>
      <c r="UB169" s="1056"/>
      <c r="UC169" s="1056"/>
      <c r="UD169" s="1056"/>
      <c r="UE169" s="1056"/>
      <c r="UF169" s="1056"/>
      <c r="UG169" s="1056"/>
      <c r="UH169" s="1056"/>
      <c r="UI169" s="1056"/>
      <c r="UJ169" s="1056"/>
      <c r="UK169" s="1056"/>
      <c r="UL169" s="1056"/>
      <c r="UM169" s="1056"/>
      <c r="UN169" s="1056"/>
      <c r="UO169" s="1056"/>
      <c r="UP169" s="1056"/>
      <c r="UQ169" s="1056"/>
      <c r="UR169" s="1056"/>
      <c r="US169" s="1056"/>
      <c r="UT169" s="1056"/>
      <c r="UU169" s="1056"/>
      <c r="UV169" s="1056"/>
      <c r="UW169" s="1056"/>
      <c r="UX169" s="1056"/>
      <c r="UY169" s="1056"/>
      <c r="UZ169" s="1056"/>
      <c r="VA169" s="1056"/>
      <c r="VB169" s="1056"/>
      <c r="VC169" s="1056"/>
      <c r="VD169" s="1056"/>
      <c r="VE169" s="1056"/>
      <c r="VF169" s="1056"/>
      <c r="VG169" s="1056"/>
      <c r="VH169" s="1056"/>
      <c r="VI169" s="1056"/>
      <c r="VJ169" s="1056"/>
      <c r="VK169" s="1056"/>
      <c r="VL169" s="1056"/>
      <c r="VM169" s="1056"/>
      <c r="VN169" s="1056"/>
      <c r="VO169" s="1056"/>
      <c r="VP169" s="1056"/>
      <c r="VQ169" s="1056"/>
      <c r="VR169" s="1056"/>
      <c r="VS169" s="1056"/>
      <c r="VT169" s="1056"/>
      <c r="VU169" s="1056"/>
      <c r="VV169" s="1056"/>
      <c r="VW169" s="1056"/>
      <c r="VX169" s="1056"/>
      <c r="VY169" s="1056"/>
      <c r="VZ169" s="1056"/>
      <c r="WA169" s="1056"/>
      <c r="WB169" s="1056"/>
      <c r="WC169" s="1056"/>
      <c r="WD169" s="1056"/>
      <c r="WE169" s="1056"/>
      <c r="WF169" s="1056"/>
      <c r="WG169" s="1056"/>
      <c r="WH169" s="1056"/>
      <c r="WI169" s="1056"/>
      <c r="WJ169" s="1056"/>
      <c r="WK169" s="1056"/>
      <c r="WL169" s="1056"/>
      <c r="WM169" s="1056"/>
      <c r="WN169" s="1056"/>
      <c r="WO169" s="1056"/>
      <c r="WP169" s="1056"/>
      <c r="WQ169" s="1056"/>
      <c r="WR169" s="1056"/>
      <c r="WS169" s="1056"/>
      <c r="WT169" s="1056"/>
      <c r="WU169" s="1056"/>
      <c r="WV169" s="1056"/>
      <c r="WW169" s="1056"/>
      <c r="WX169" s="1056"/>
      <c r="WY169" s="1056"/>
      <c r="WZ169" s="1056"/>
      <c r="XA169" s="1056"/>
      <c r="XB169" s="1056"/>
      <c r="XC169" s="1056"/>
      <c r="XD169" s="1056"/>
      <c r="XE169" s="1056"/>
      <c r="XF169" s="1056"/>
      <c r="XG169" s="1056"/>
      <c r="XH169" s="1056"/>
      <c r="XI169" s="1056"/>
      <c r="XJ169" s="1056"/>
      <c r="XK169" s="1056"/>
      <c r="XL169" s="1056"/>
      <c r="XM169" s="1056"/>
      <c r="XN169" s="1056"/>
      <c r="XO169" s="1056"/>
      <c r="XP169" s="1056"/>
      <c r="XQ169" s="1056"/>
      <c r="XR169" s="1056"/>
      <c r="XS169" s="1056"/>
      <c r="XT169" s="1056"/>
      <c r="XU169" s="1056"/>
      <c r="XV169" s="1056"/>
      <c r="XW169" s="1056"/>
      <c r="XX169" s="1056"/>
      <c r="XY169" s="1056"/>
      <c r="XZ169" s="1056"/>
      <c r="YA169" s="1056"/>
      <c r="YB169" s="1056"/>
      <c r="YC169" s="1056"/>
      <c r="YD169" s="1056"/>
      <c r="YE169" s="1056"/>
      <c r="YF169" s="1056"/>
      <c r="YG169" s="1056"/>
      <c r="YH169" s="1056"/>
      <c r="YI169" s="1056"/>
      <c r="YJ169" s="1056"/>
      <c r="YK169" s="1056"/>
      <c r="YL169" s="1056"/>
      <c r="YM169" s="1056"/>
      <c r="YN169" s="1056"/>
      <c r="YO169" s="1056"/>
      <c r="YP169" s="1056"/>
      <c r="YQ169" s="1056"/>
      <c r="YR169" s="1056"/>
      <c r="YS169" s="1056"/>
      <c r="YT169" s="1056"/>
      <c r="YU169" s="1056"/>
      <c r="YV169" s="1056"/>
      <c r="YW169" s="1056"/>
      <c r="YX169" s="1056"/>
      <c r="YY169" s="1056"/>
      <c r="YZ169" s="1056"/>
      <c r="ZA169" s="1056"/>
      <c r="ZB169" s="1056"/>
      <c r="ZC169" s="1056"/>
      <c r="ZD169" s="1056"/>
      <c r="ZE169" s="1056"/>
      <c r="ZF169" s="1056"/>
      <c r="ZG169" s="1056"/>
      <c r="ZH169" s="1056"/>
      <c r="ZI169" s="1056"/>
      <c r="ZJ169" s="1056"/>
      <c r="ZK169" s="1056"/>
      <c r="ZL169" s="1056"/>
      <c r="ZM169" s="1056"/>
      <c r="ZN169" s="1056"/>
      <c r="ZO169" s="1056"/>
      <c r="ZP169" s="1056"/>
      <c r="ZQ169" s="1056"/>
      <c r="ZR169" s="1056"/>
      <c r="ZS169" s="1056"/>
      <c r="ZT169" s="1056"/>
      <c r="ZU169" s="1056"/>
      <c r="ZV169" s="1056"/>
      <c r="ZW169" s="1056"/>
      <c r="ZX169" s="1056"/>
      <c r="ZY169" s="1056"/>
      <c r="ZZ169" s="1056"/>
      <c r="AAA169" s="1056"/>
      <c r="AAB169" s="1056"/>
      <c r="AAC169" s="1056"/>
      <c r="AAD169" s="1056"/>
      <c r="AAE169" s="1056"/>
      <c r="AAF169" s="1056"/>
      <c r="AAG169" s="1056"/>
      <c r="AAH169" s="1056"/>
      <c r="AAI169" s="1056"/>
      <c r="AAJ169" s="1056"/>
      <c r="AAK169" s="1056"/>
      <c r="AAL169" s="1056"/>
      <c r="AAM169" s="1056"/>
      <c r="AAN169" s="1056"/>
      <c r="AAO169" s="1056"/>
      <c r="AAP169" s="1056"/>
      <c r="AAQ169" s="1056"/>
      <c r="AAR169" s="1056"/>
      <c r="AAS169" s="1056"/>
      <c r="AAT169" s="1056"/>
      <c r="AAU169" s="1056"/>
      <c r="AAV169" s="1056"/>
      <c r="AAW169" s="1056"/>
      <c r="AAX169" s="1056"/>
      <c r="AAY169" s="1056"/>
      <c r="AAZ169" s="1056"/>
      <c r="ABA169" s="1056"/>
      <c r="ABB169" s="1056"/>
      <c r="ABC169" s="1056"/>
      <c r="ABD169" s="1056"/>
      <c r="ABE169" s="1056"/>
      <c r="ABF169" s="1056"/>
      <c r="ABG169" s="1056"/>
      <c r="ABH169" s="1056"/>
      <c r="ABI169" s="1056"/>
      <c r="ABJ169" s="1056"/>
      <c r="ABK169" s="1056"/>
      <c r="ABL169" s="1056"/>
      <c r="ABM169" s="1056"/>
      <c r="ABN169" s="1056"/>
      <c r="ABO169" s="1056"/>
      <c r="ABP169" s="1056"/>
      <c r="ABQ169" s="1056"/>
      <c r="ABR169" s="1056"/>
      <c r="ABS169" s="1056"/>
      <c r="ABT169" s="1056"/>
      <c r="ABU169" s="1056"/>
      <c r="ABV169" s="1056"/>
      <c r="ABW169" s="1056"/>
      <c r="ABX169" s="1056"/>
      <c r="ABY169" s="1056"/>
      <c r="ABZ169" s="1056"/>
      <c r="ACA169" s="1056"/>
      <c r="ACB169" s="1056"/>
      <c r="ACC169" s="1056"/>
      <c r="ACD169" s="1056"/>
      <c r="ACE169" s="1056"/>
      <c r="ACF169" s="1056"/>
      <c r="ACG169" s="1056"/>
      <c r="ACH169" s="1056"/>
      <c r="ACI169" s="1056"/>
      <c r="ACJ169" s="1056"/>
      <c r="ACK169" s="1056"/>
      <c r="ACL169" s="1056"/>
      <c r="ACM169" s="1056"/>
      <c r="ACN169" s="1056"/>
      <c r="ACO169" s="1056"/>
      <c r="ACP169" s="1056"/>
      <c r="ACQ169" s="1056"/>
      <c r="ACR169" s="1056"/>
      <c r="ACS169" s="1056"/>
      <c r="ACT169" s="1056"/>
      <c r="ACU169" s="1056"/>
      <c r="ACV169" s="1056"/>
      <c r="ACW169" s="1056"/>
      <c r="ACX169" s="1056"/>
      <c r="ACY169" s="1056"/>
      <c r="ACZ169" s="1056"/>
      <c r="ADA169" s="1056"/>
      <c r="ADB169" s="1056"/>
      <c r="ADC169" s="1056"/>
      <c r="ADD169" s="1056"/>
      <c r="ADE169" s="1056"/>
      <c r="ADF169" s="1056"/>
      <c r="ADG169" s="1056"/>
      <c r="ADH169" s="1056"/>
      <c r="ADI169" s="1056"/>
      <c r="ADJ169" s="1056"/>
      <c r="ADK169" s="1056"/>
      <c r="ADL169" s="1056"/>
      <c r="ADM169" s="1056"/>
      <c r="ADN169" s="1056"/>
      <c r="ADO169" s="1056"/>
      <c r="ADP169" s="1056"/>
      <c r="ADQ169" s="1056"/>
      <c r="ADR169" s="1056"/>
      <c r="ADS169" s="1056"/>
      <c r="ADT169" s="1056"/>
      <c r="ADU169" s="1056"/>
      <c r="ADV169" s="1056"/>
      <c r="ADW169" s="1056"/>
      <c r="ADX169" s="1056"/>
      <c r="ADY169" s="1056"/>
      <c r="ADZ169" s="1056"/>
      <c r="AEA169" s="1056"/>
      <c r="AEB169" s="1056"/>
      <c r="AEC169" s="1056"/>
      <c r="AED169" s="1056"/>
      <c r="AEE169" s="1056"/>
      <c r="AEF169" s="1056"/>
      <c r="AEG169" s="1056"/>
      <c r="AEH169" s="1056"/>
      <c r="AEI169" s="1056"/>
      <c r="AEJ169" s="1056"/>
      <c r="AEK169" s="1056"/>
      <c r="AEL169" s="1056"/>
      <c r="AEM169" s="1056"/>
      <c r="AEN169" s="1056"/>
      <c r="AEO169" s="1056"/>
      <c r="AEP169" s="1056"/>
      <c r="AEQ169" s="1056"/>
      <c r="AER169" s="1056"/>
      <c r="AES169" s="1056"/>
      <c r="AET169" s="1056"/>
      <c r="AEU169" s="1056"/>
      <c r="AEV169" s="1056"/>
      <c r="AEW169" s="1056"/>
      <c r="AEX169" s="1056"/>
      <c r="AEY169" s="1056"/>
      <c r="AEZ169" s="1056"/>
      <c r="AFA169" s="1056"/>
      <c r="AFB169" s="1056"/>
      <c r="AFC169" s="1056"/>
      <c r="AFD169" s="1056"/>
      <c r="AFE169" s="1056"/>
      <c r="AFF169" s="1056"/>
      <c r="AFG169" s="1056"/>
      <c r="AFH169" s="1056"/>
      <c r="AFI169" s="1056"/>
      <c r="AFJ169" s="1056"/>
      <c r="AFK169" s="1056"/>
      <c r="AFL169" s="1056"/>
      <c r="AFM169" s="1056"/>
      <c r="AFN169" s="1056"/>
      <c r="AFO169" s="1056"/>
      <c r="AFP169" s="1056"/>
      <c r="AFQ169" s="1056"/>
      <c r="AFR169" s="1056"/>
      <c r="AFS169" s="1056"/>
      <c r="AFT169" s="1056"/>
      <c r="AFU169" s="1056"/>
      <c r="AFV169" s="1056"/>
      <c r="AFW169" s="1056"/>
      <c r="AFX169" s="1056"/>
      <c r="AFY169" s="1056"/>
      <c r="AFZ169" s="1056"/>
      <c r="AGA169" s="1056"/>
      <c r="AGB169" s="1056"/>
      <c r="AGC169" s="1056"/>
      <c r="AGD169" s="1056"/>
      <c r="AGE169" s="1056"/>
      <c r="AGF169" s="1056"/>
      <c r="AGG169" s="1056"/>
      <c r="AGH169" s="1056"/>
      <c r="AGI169" s="1056"/>
      <c r="AGJ169" s="1056"/>
      <c r="AGK169" s="1056"/>
      <c r="AGL169" s="1056"/>
      <c r="AGM169" s="1056"/>
      <c r="AGN169" s="1056"/>
      <c r="AGO169" s="1056"/>
      <c r="AGP169" s="1056"/>
      <c r="AGQ169" s="1056"/>
      <c r="AGR169" s="1056"/>
      <c r="AGS169" s="1056"/>
      <c r="AGT169" s="1056"/>
      <c r="AGU169" s="1056"/>
      <c r="AGV169" s="1056"/>
      <c r="AGW169" s="1056"/>
      <c r="AGX169" s="1056"/>
      <c r="AGY169" s="1056"/>
      <c r="AGZ169" s="1056"/>
      <c r="AHA169" s="1056"/>
      <c r="AHB169" s="1056"/>
      <c r="AHC169" s="1056"/>
      <c r="AHD169" s="1056"/>
      <c r="AHE169" s="1056"/>
      <c r="AHF169" s="1056"/>
      <c r="AHG169" s="1056"/>
      <c r="AHH169" s="1056"/>
      <c r="AHI169" s="1056"/>
      <c r="AHJ169" s="1056"/>
      <c r="AHK169" s="1056"/>
      <c r="AHL169" s="1056"/>
      <c r="AHM169" s="1056"/>
      <c r="AHN169" s="1056"/>
      <c r="AHO169" s="1056"/>
      <c r="AHP169" s="1056"/>
      <c r="AHQ169" s="1056"/>
      <c r="AHR169" s="1056"/>
      <c r="AHS169" s="1056"/>
      <c r="AHT169" s="1056"/>
      <c r="AHU169" s="1056"/>
      <c r="AHV169" s="1056"/>
      <c r="AHW169" s="1056"/>
      <c r="AHX169" s="1056"/>
      <c r="AHY169" s="1056"/>
      <c r="AHZ169" s="1056"/>
      <c r="AIA169" s="1056"/>
      <c r="AIB169" s="1056"/>
      <c r="AIC169" s="1056"/>
      <c r="AID169" s="1056"/>
      <c r="AIE169" s="1056"/>
      <c r="AIF169" s="1056"/>
      <c r="AIG169" s="1056"/>
      <c r="AIH169" s="1056"/>
      <c r="AII169" s="1056"/>
      <c r="AIJ169" s="1056"/>
      <c r="AIK169" s="1056"/>
      <c r="AIL169" s="1056"/>
      <c r="AIM169" s="1056"/>
      <c r="AIN169" s="1056"/>
      <c r="AIO169" s="1056"/>
      <c r="AIP169" s="1056"/>
      <c r="AIQ169" s="1056"/>
      <c r="AIR169" s="1056"/>
      <c r="AIS169" s="1056"/>
      <c r="AIT169" s="1056"/>
      <c r="AIU169" s="1056"/>
      <c r="AIV169" s="1056"/>
      <c r="AIW169" s="1056"/>
      <c r="AIX169" s="1056"/>
      <c r="AIY169" s="1056"/>
      <c r="AIZ169" s="1056"/>
      <c r="AJA169" s="1056"/>
      <c r="AJB169" s="1056"/>
      <c r="AJC169" s="1056"/>
      <c r="AJD169" s="1056"/>
      <c r="AJE169" s="1056"/>
      <c r="AJF169" s="1056"/>
      <c r="AJG169" s="1056"/>
      <c r="AJH169" s="1056"/>
      <c r="AJI169" s="1056"/>
      <c r="AJJ169" s="1056"/>
      <c r="AJK169" s="1056"/>
      <c r="AJL169" s="1056"/>
      <c r="AJM169" s="1056"/>
      <c r="AJN169" s="1056"/>
      <c r="AJO169" s="1056"/>
      <c r="AJP169" s="1056"/>
      <c r="AJQ169" s="1056"/>
      <c r="AJR169" s="1056"/>
      <c r="AJS169" s="1056"/>
      <c r="AJT169" s="1056"/>
      <c r="AJU169" s="1056"/>
      <c r="AJV169" s="1056"/>
      <c r="AJW169" s="1056"/>
      <c r="AJX169" s="1056"/>
      <c r="AJY169" s="1056"/>
      <c r="AJZ169" s="1056"/>
      <c r="AKA169" s="1056"/>
      <c r="AKB169" s="1056"/>
      <c r="AKC169" s="1056"/>
      <c r="AKD169" s="1056"/>
      <c r="AKE169" s="1056"/>
      <c r="AKF169" s="1056"/>
      <c r="AKG169" s="1056"/>
      <c r="AKH169" s="1056"/>
      <c r="AKI169" s="1056"/>
      <c r="AKJ169" s="1056"/>
      <c r="AKK169" s="1056"/>
      <c r="AKL169" s="1056"/>
      <c r="AKM169" s="1056"/>
      <c r="AKN169" s="1056"/>
      <c r="AKO169" s="1056"/>
      <c r="AKP169" s="1056"/>
      <c r="AKQ169" s="1056"/>
      <c r="AKR169" s="1056"/>
      <c r="AKS169" s="1056"/>
      <c r="AKT169" s="1056"/>
      <c r="AKU169" s="1056"/>
      <c r="AKV169" s="1056"/>
      <c r="AKW169" s="1056"/>
      <c r="AKX169" s="1056"/>
      <c r="AKY169" s="1056"/>
      <c r="AKZ169" s="1056"/>
      <c r="ALA169" s="1056"/>
      <c r="ALB169" s="1056"/>
      <c r="ALC169" s="1056"/>
      <c r="ALD169" s="1056"/>
      <c r="ALE169" s="1056"/>
      <c r="ALF169" s="1056"/>
      <c r="ALG169" s="1056"/>
      <c r="ALH169" s="1056"/>
      <c r="ALI169" s="1056"/>
      <c r="ALJ169" s="1056"/>
      <c r="ALK169" s="1056"/>
      <c r="ALL169" s="1056"/>
      <c r="ALM169" s="1056"/>
      <c r="ALN169" s="1056"/>
      <c r="ALO169" s="1056"/>
      <c r="ALP169" s="1056"/>
      <c r="ALQ169" s="1056"/>
      <c r="ALR169" s="1056"/>
      <c r="ALS169" s="1056"/>
      <c r="ALT169" s="1056"/>
      <c r="ALU169" s="1056"/>
      <c r="ALV169" s="1056"/>
      <c r="ALW169" s="1056"/>
      <c r="ALX169" s="1056"/>
      <c r="ALY169" s="1056"/>
      <c r="ALZ169" s="1056"/>
      <c r="AMA169" s="1056"/>
      <c r="AMB169" s="1056"/>
      <c r="AMC169" s="1056"/>
      <c r="AMD169" s="1056"/>
      <c r="AME169" s="1056"/>
      <c r="AMF169" s="1056"/>
      <c r="AMG169" s="1056"/>
      <c r="AMH169" s="1056"/>
      <c r="AMI169" s="1056"/>
      <c r="AMJ169" s="1056"/>
      <c r="AMK169" s="1056"/>
      <c r="AML169" s="1056"/>
      <c r="AMM169" s="1056"/>
      <c r="AMN169" s="1056"/>
      <c r="AMO169" s="1056"/>
      <c r="AMP169" s="1056"/>
      <c r="AMQ169" s="1056"/>
      <c r="AMR169" s="1056"/>
      <c r="AMS169" s="1056"/>
      <c r="AMT169" s="1056"/>
      <c r="AMU169" s="1056"/>
      <c r="AMV169" s="1056"/>
      <c r="AMW169" s="1056"/>
      <c r="AMX169" s="1056"/>
      <c r="AMY169" s="1056"/>
      <c r="AMZ169" s="1056"/>
      <c r="ANA169" s="1056"/>
      <c r="ANB169" s="1056"/>
      <c r="ANC169" s="1056"/>
      <c r="AND169" s="1056"/>
      <c r="ANE169" s="1056"/>
      <c r="ANF169" s="1056"/>
      <c r="ANG169" s="1056"/>
      <c r="ANH169" s="1056"/>
      <c r="ANI169" s="1056"/>
      <c r="ANJ169" s="1056"/>
      <c r="ANK169" s="1056"/>
      <c r="ANL169" s="1056"/>
      <c r="ANM169" s="1056"/>
      <c r="ANN169" s="1056"/>
      <c r="ANO169" s="1056"/>
      <c r="ANP169" s="1056"/>
      <c r="ANQ169" s="1056"/>
      <c r="ANR169" s="1056"/>
      <c r="ANS169" s="1056"/>
      <c r="ANT169" s="1056"/>
      <c r="ANU169" s="1056"/>
      <c r="ANV169" s="1056"/>
      <c r="ANW169" s="1056"/>
      <c r="ANX169" s="1056"/>
      <c r="ANY169" s="1056"/>
      <c r="ANZ169" s="1056"/>
      <c r="AOA169" s="1056"/>
      <c r="AOB169" s="1056"/>
      <c r="AOC169" s="1056"/>
      <c r="AOD169" s="1056"/>
      <c r="AOE169" s="1056"/>
      <c r="AOF169" s="1056"/>
      <c r="AOG169" s="1056"/>
      <c r="AOH169" s="1056"/>
      <c r="AOI169" s="1056"/>
      <c r="AOJ169" s="1056"/>
      <c r="AOK169" s="1056"/>
      <c r="AOL169" s="1056"/>
      <c r="AOM169" s="1056"/>
      <c r="AON169" s="1056"/>
      <c r="AOO169" s="1056"/>
      <c r="AOP169" s="1056"/>
      <c r="AOQ169" s="1056"/>
      <c r="AOR169" s="1056"/>
      <c r="AOS169" s="1056"/>
      <c r="AOT169" s="1056"/>
      <c r="AOU169" s="1056"/>
      <c r="AOV169" s="1056"/>
      <c r="AOW169" s="1056"/>
      <c r="AOX169" s="1056"/>
      <c r="AOY169" s="1056"/>
      <c r="AOZ169" s="1056"/>
      <c r="APA169" s="1056"/>
      <c r="APB169" s="1056"/>
      <c r="APC169" s="1056"/>
      <c r="APD169" s="1056"/>
      <c r="APE169" s="1056"/>
      <c r="APF169" s="1056"/>
      <c r="APG169" s="1056"/>
      <c r="APH169" s="1056"/>
      <c r="API169" s="1056"/>
      <c r="APJ169" s="1056"/>
      <c r="APK169" s="1056"/>
      <c r="APL169" s="1056"/>
      <c r="APM169" s="1056"/>
      <c r="APN169" s="1056"/>
      <c r="APO169" s="1056"/>
      <c r="APP169" s="1056"/>
      <c r="APQ169" s="1056"/>
      <c r="APR169" s="1056"/>
      <c r="APS169" s="1056"/>
      <c r="APT169" s="1056"/>
      <c r="APU169" s="1056"/>
      <c r="APV169" s="1056"/>
      <c r="APW169" s="1056"/>
      <c r="APX169" s="1056"/>
      <c r="APY169" s="1056"/>
      <c r="APZ169" s="1056"/>
      <c r="AQA169" s="1056"/>
      <c r="AQB169" s="1056"/>
      <c r="AQC169" s="1056"/>
      <c r="AQD169" s="1056"/>
      <c r="AQE169" s="1056"/>
      <c r="AQF169" s="1056"/>
      <c r="AQG169" s="1056"/>
      <c r="AQH169" s="1056"/>
      <c r="AQI169" s="1056"/>
      <c r="AQJ169" s="1056"/>
      <c r="AQK169" s="1056"/>
      <c r="AQL169" s="1056"/>
      <c r="AQM169" s="1056"/>
      <c r="AQN169" s="1056"/>
      <c r="AQO169" s="1056"/>
      <c r="AQP169" s="1056"/>
      <c r="AQQ169" s="1056"/>
      <c r="AQR169" s="1056"/>
      <c r="AQS169" s="1056"/>
      <c r="AQT169" s="1056"/>
      <c r="AQU169" s="1056"/>
      <c r="AQV169" s="1056"/>
      <c r="AQW169" s="1056"/>
      <c r="AQX169" s="1056"/>
      <c r="AQY169" s="1056"/>
      <c r="AQZ169" s="1056"/>
      <c r="ARA169" s="1056"/>
      <c r="ARB169" s="1056"/>
      <c r="ARC169" s="1056"/>
      <c r="ARD169" s="1056"/>
      <c r="ARE169" s="1056"/>
      <c r="ARF169" s="1056"/>
      <c r="ARG169" s="1056"/>
      <c r="ARH169" s="1056"/>
      <c r="ARI169" s="1056"/>
      <c r="ARJ169" s="1056"/>
      <c r="ARK169" s="1056"/>
      <c r="ARL169" s="1056"/>
      <c r="ARM169" s="1056"/>
      <c r="ARN169" s="1056"/>
      <c r="ARO169" s="1056"/>
      <c r="ARP169" s="1056"/>
      <c r="ARQ169" s="1056"/>
      <c r="ARR169" s="1056"/>
      <c r="ARS169" s="1056"/>
      <c r="ART169" s="1056"/>
      <c r="ARU169" s="1056"/>
      <c r="ARV169" s="1056"/>
      <c r="ARW169" s="1056"/>
      <c r="ARX169" s="1056"/>
      <c r="ARY169" s="1056"/>
      <c r="ARZ169" s="1056"/>
      <c r="ASA169" s="1056"/>
      <c r="ASB169" s="1056"/>
      <c r="ASC169" s="1056"/>
      <c r="ASD169" s="1056"/>
      <c r="ASE169" s="1056"/>
      <c r="ASF169" s="1056"/>
      <c r="ASG169" s="1056"/>
      <c r="ASH169" s="1056"/>
      <c r="ASI169" s="1056"/>
      <c r="ASJ169" s="1056"/>
      <c r="ASK169" s="1056"/>
      <c r="ASL169" s="1056"/>
      <c r="ASM169" s="1056"/>
      <c r="ASN169" s="1056"/>
      <c r="ASO169" s="1056"/>
      <c r="ASP169" s="1056"/>
      <c r="ASQ169" s="1056"/>
      <c r="ASR169" s="1056"/>
      <c r="ASS169" s="1056"/>
      <c r="AST169" s="1056"/>
      <c r="ASU169" s="1056"/>
      <c r="ASV169" s="1056"/>
      <c r="ASW169" s="1056"/>
      <c r="ASX169" s="1056"/>
      <c r="ASY169" s="1056"/>
      <c r="ASZ169" s="1056"/>
      <c r="ATA169" s="1056"/>
      <c r="ATB169" s="1056"/>
      <c r="ATC169" s="1056"/>
      <c r="ATD169" s="1056"/>
      <c r="ATE169" s="1056"/>
      <c r="ATF169" s="1056"/>
      <c r="ATG169" s="1056"/>
      <c r="ATH169" s="1056"/>
      <c r="ATI169" s="1056"/>
      <c r="ATJ169" s="1056"/>
      <c r="ATK169" s="1056"/>
      <c r="ATL169" s="1056"/>
      <c r="ATM169" s="1056"/>
      <c r="ATN169" s="1056"/>
      <c r="ATO169" s="1056"/>
      <c r="ATP169" s="1056"/>
      <c r="ATQ169" s="1056"/>
      <c r="ATR169" s="1056"/>
      <c r="ATS169" s="1056"/>
      <c r="ATT169" s="1056"/>
      <c r="ATU169" s="1056"/>
      <c r="ATV169" s="1056"/>
      <c r="ATW169" s="1056"/>
      <c r="ATX169" s="1056"/>
      <c r="ATY169" s="1056"/>
      <c r="ATZ169" s="1056"/>
      <c r="AUA169" s="1056"/>
      <c r="AUB169" s="1056"/>
      <c r="AUC169" s="1056"/>
      <c r="AUD169" s="1056"/>
      <c r="AUE169" s="1056"/>
      <c r="AUF169" s="1056"/>
      <c r="AUG169" s="1056"/>
      <c r="AUH169" s="1056"/>
      <c r="AUI169" s="1056"/>
      <c r="AUJ169" s="1056"/>
      <c r="AUK169" s="1056"/>
      <c r="AUL169" s="1056"/>
      <c r="AUM169" s="1056"/>
      <c r="AUN169" s="1056"/>
      <c r="AUO169" s="1056"/>
      <c r="AUP169" s="1056"/>
      <c r="AUQ169" s="1056"/>
      <c r="AUR169" s="1056"/>
      <c r="AUS169" s="1056"/>
      <c r="AUT169" s="1056"/>
      <c r="AUU169" s="1056"/>
      <c r="AUV169" s="1056"/>
      <c r="AUW169" s="1056"/>
      <c r="AUX169" s="1056"/>
      <c r="AUY169" s="1056"/>
      <c r="AUZ169" s="1056"/>
      <c r="AVA169" s="1056"/>
      <c r="AVB169" s="1056"/>
      <c r="AVC169" s="1056"/>
      <c r="AVD169" s="1056"/>
      <c r="AVE169" s="1056"/>
      <c r="AVF169" s="1056"/>
      <c r="AVG169" s="1056"/>
      <c r="AVH169" s="1056"/>
      <c r="AVI169" s="1056"/>
      <c r="AVJ169" s="1056"/>
      <c r="AVK169" s="1056"/>
      <c r="AVL169" s="1056"/>
      <c r="AVM169" s="1056"/>
      <c r="AVN169" s="1056"/>
      <c r="AVO169" s="1056"/>
      <c r="AVP169" s="1056"/>
      <c r="AVQ169" s="1056"/>
      <c r="AVR169" s="1056"/>
      <c r="AVS169" s="1056"/>
      <c r="AVT169" s="1056"/>
      <c r="AVU169" s="1056"/>
      <c r="AVV169" s="1056"/>
      <c r="AVW169" s="1056"/>
      <c r="AVX169" s="1056"/>
      <c r="AVY169" s="1056"/>
      <c r="AVZ169" s="1056"/>
      <c r="AWA169" s="1056"/>
      <c r="AWB169" s="1056"/>
      <c r="AWC169" s="1056"/>
      <c r="AWD169" s="1056"/>
      <c r="AWE169" s="1056"/>
      <c r="AWF169" s="1056"/>
      <c r="AWG169" s="1056"/>
      <c r="AWH169" s="1056"/>
      <c r="AWI169" s="1056"/>
      <c r="AWJ169" s="1056"/>
      <c r="AWK169" s="1056"/>
      <c r="AWL169" s="1056"/>
      <c r="AWM169" s="1056"/>
      <c r="AWN169" s="1056"/>
      <c r="AWO169" s="1056"/>
      <c r="AWP169" s="1056"/>
      <c r="AWQ169" s="1056"/>
      <c r="AWR169" s="1056"/>
      <c r="AWS169" s="1056"/>
      <c r="AWT169" s="1056"/>
      <c r="AWU169" s="1056"/>
      <c r="AWV169" s="1056"/>
      <c r="AWW169" s="1056"/>
      <c r="AWX169" s="1056"/>
      <c r="AWY169" s="1056"/>
      <c r="AWZ169" s="1056"/>
      <c r="AXA169" s="1056"/>
      <c r="AXB169" s="1056"/>
      <c r="AXC169" s="1056"/>
      <c r="AXD169" s="1056"/>
      <c r="AXE169" s="1056"/>
      <c r="AXF169" s="1056"/>
      <c r="AXG169" s="1056"/>
      <c r="AXH169" s="1056"/>
      <c r="AXI169" s="1056"/>
      <c r="AXJ169" s="1056"/>
      <c r="AXK169" s="1056"/>
      <c r="AXL169" s="1056"/>
      <c r="AXM169" s="1056"/>
      <c r="AXN169" s="1056"/>
      <c r="AXO169" s="1056"/>
      <c r="AXP169" s="1056"/>
      <c r="AXQ169" s="1056"/>
      <c r="AXR169" s="1056"/>
      <c r="AXS169" s="1056"/>
      <c r="AXT169" s="1056"/>
      <c r="AXU169" s="1056"/>
      <c r="AXV169" s="1056"/>
      <c r="AXW169" s="1056"/>
      <c r="AXX169" s="1056"/>
      <c r="AXY169" s="1056"/>
      <c r="AXZ169" s="1056"/>
      <c r="AYA169" s="1056"/>
      <c r="AYB169" s="1056"/>
      <c r="AYC169" s="1056"/>
      <c r="AYD169" s="1056"/>
      <c r="AYE169" s="1056"/>
      <c r="AYF169" s="1056"/>
      <c r="AYG169" s="1056"/>
      <c r="AYH169" s="1056"/>
      <c r="AYI169" s="1056"/>
      <c r="AYJ169" s="1056"/>
      <c r="AYK169" s="1056"/>
      <c r="AYL169" s="1056"/>
      <c r="AYM169" s="1056"/>
      <c r="AYN169" s="1056"/>
      <c r="AYO169" s="1056"/>
      <c r="AYP169" s="1056"/>
      <c r="AYQ169" s="1056"/>
      <c r="AYR169" s="1056"/>
      <c r="AYS169" s="1056"/>
      <c r="AYT169" s="1056"/>
      <c r="AYU169" s="1056"/>
      <c r="AYV169" s="1056"/>
      <c r="AYW169" s="1056"/>
      <c r="AYX169" s="1056"/>
      <c r="AYY169" s="1056"/>
      <c r="AYZ169" s="1056"/>
      <c r="AZA169" s="1056"/>
      <c r="AZB169" s="1056"/>
      <c r="AZC169" s="1056"/>
      <c r="AZD169" s="1056"/>
      <c r="AZE169" s="1056"/>
      <c r="AZF169" s="1056"/>
      <c r="AZG169" s="1056"/>
      <c r="AZH169" s="1056"/>
      <c r="AZI169" s="1056"/>
      <c r="AZJ169" s="1056"/>
      <c r="AZK169" s="1056"/>
      <c r="AZL169" s="1056"/>
      <c r="AZM169" s="1056"/>
      <c r="AZN169" s="1056"/>
      <c r="AZO169" s="1056"/>
      <c r="AZP169" s="1056"/>
      <c r="AZQ169" s="1056"/>
      <c r="AZR169" s="1056"/>
      <c r="AZS169" s="1056"/>
      <c r="AZT169" s="1056"/>
      <c r="AZU169" s="1056"/>
      <c r="AZV169" s="1056"/>
      <c r="AZW169" s="1056"/>
      <c r="AZX169" s="1056"/>
      <c r="AZY169" s="1056"/>
      <c r="AZZ169" s="1056"/>
      <c r="BAA169" s="1056"/>
      <c r="BAB169" s="1056"/>
      <c r="BAC169" s="1056"/>
      <c r="BAD169" s="1056"/>
      <c r="BAE169" s="1056"/>
      <c r="BAF169" s="1056"/>
      <c r="BAG169" s="1056"/>
      <c r="BAH169" s="1056"/>
      <c r="BAI169" s="1056"/>
      <c r="BAJ169" s="1056"/>
      <c r="BAK169" s="1056"/>
      <c r="BAL169" s="1056"/>
      <c r="BAM169" s="1056"/>
      <c r="BAN169" s="1056"/>
      <c r="BAO169" s="1056"/>
      <c r="BAP169" s="1056"/>
      <c r="BAQ169" s="1056"/>
      <c r="BAR169" s="1056"/>
      <c r="BAS169" s="1056"/>
      <c r="BAT169" s="1056"/>
      <c r="BAU169" s="1056"/>
      <c r="BAV169" s="1056"/>
      <c r="BAW169" s="1056"/>
      <c r="BAX169" s="1056"/>
      <c r="BAY169" s="1056"/>
      <c r="BAZ169" s="1056"/>
      <c r="BBA169" s="1056"/>
      <c r="BBB169" s="1056"/>
      <c r="BBC169" s="1056"/>
      <c r="BBD169" s="1056"/>
      <c r="BBE169" s="1056"/>
      <c r="BBF169" s="1056"/>
      <c r="BBG169" s="1056"/>
      <c r="BBH169" s="1056"/>
      <c r="BBI169" s="1056"/>
      <c r="BBJ169" s="1056"/>
      <c r="BBK169" s="1056"/>
      <c r="BBL169" s="1056"/>
      <c r="BBM169" s="1056"/>
      <c r="BBN169" s="1056"/>
      <c r="BBO169" s="1056"/>
      <c r="BBP169" s="1056"/>
      <c r="BBQ169" s="1056"/>
      <c r="BBR169" s="1056"/>
      <c r="BBS169" s="1056"/>
      <c r="BBT169" s="1056"/>
      <c r="BBU169" s="1056"/>
      <c r="BBV169" s="1056"/>
      <c r="BBW169" s="1056"/>
      <c r="BBX169" s="1056"/>
      <c r="BBY169" s="1056"/>
      <c r="BBZ169" s="1056"/>
      <c r="BCA169" s="1056"/>
      <c r="BCB169" s="1056"/>
      <c r="BCC169" s="1056"/>
      <c r="BCD169" s="1056"/>
      <c r="BCE169" s="1056"/>
      <c r="BCF169" s="1056"/>
      <c r="BCG169" s="1056"/>
      <c r="BCH169" s="1056"/>
      <c r="BCI169" s="1056"/>
      <c r="BCJ169" s="1056"/>
      <c r="BCK169" s="1056"/>
      <c r="BCL169" s="1056"/>
      <c r="BCM169" s="1056"/>
      <c r="BCN169" s="1056"/>
      <c r="BCO169" s="1056"/>
      <c r="BCP169" s="1056"/>
      <c r="BCQ169" s="1056"/>
      <c r="BCR169" s="1056"/>
      <c r="BCS169" s="1056"/>
      <c r="BCT169" s="1056"/>
      <c r="BCU169" s="1056"/>
      <c r="BCV169" s="1056"/>
      <c r="BCW169" s="1056"/>
      <c r="BCX169" s="1056"/>
      <c r="BCY169" s="1056"/>
      <c r="BCZ169" s="1056"/>
      <c r="BDA169" s="1056"/>
      <c r="BDB169" s="1056"/>
      <c r="BDC169" s="1056"/>
      <c r="BDD169" s="1056"/>
      <c r="BDE169" s="1056"/>
      <c r="BDF169" s="1056"/>
      <c r="BDG169" s="1056"/>
      <c r="BDH169" s="1056"/>
      <c r="BDI169" s="1056"/>
      <c r="BDJ169" s="1056"/>
      <c r="BDK169" s="1056"/>
      <c r="BDL169" s="1056"/>
      <c r="BDM169" s="1056"/>
      <c r="BDN169" s="1056"/>
      <c r="BDO169" s="1056"/>
      <c r="BDP169" s="1056"/>
      <c r="BDQ169" s="1056"/>
      <c r="BDR169" s="1056"/>
      <c r="BDS169" s="1056"/>
      <c r="BDT169" s="1056"/>
      <c r="BDU169" s="1056"/>
      <c r="BDV169" s="1056"/>
      <c r="BDW169" s="1056"/>
      <c r="BDX169" s="1056"/>
      <c r="BDY169" s="1056"/>
      <c r="BDZ169" s="1056"/>
      <c r="BEA169" s="1056"/>
      <c r="BEB169" s="1056"/>
      <c r="BEC169" s="1056"/>
      <c r="BED169" s="1056"/>
      <c r="BEE169" s="1056"/>
      <c r="BEF169" s="1056"/>
      <c r="BEG169" s="1056"/>
      <c r="BEH169" s="1056"/>
      <c r="BEI169" s="1056"/>
      <c r="BEJ169" s="1056"/>
      <c r="BEK169" s="1056"/>
      <c r="BEL169" s="1056"/>
      <c r="BEM169" s="1056"/>
      <c r="BEN169" s="1056"/>
      <c r="BEO169" s="1056"/>
      <c r="BEP169" s="1056"/>
      <c r="BEQ169" s="1056"/>
      <c r="BER169" s="1056"/>
      <c r="BES169" s="1056"/>
      <c r="BET169" s="1056"/>
      <c r="BEU169" s="1056"/>
      <c r="BEV169" s="1056"/>
      <c r="BEW169" s="1056"/>
      <c r="BEX169" s="1056"/>
      <c r="BEY169" s="1056"/>
      <c r="BEZ169" s="1056"/>
      <c r="BFA169" s="1056"/>
      <c r="BFB169" s="1056"/>
      <c r="BFC169" s="1056"/>
      <c r="BFD169" s="1056"/>
      <c r="BFE169" s="1056"/>
      <c r="BFF169" s="1056"/>
      <c r="BFG169" s="1056"/>
      <c r="BFH169" s="1056"/>
      <c r="BFI169" s="1056"/>
      <c r="BFJ169" s="1056"/>
      <c r="BFK169" s="1056"/>
      <c r="BFL169" s="1056"/>
      <c r="BFM169" s="1056"/>
      <c r="BFN169" s="1056"/>
      <c r="BFO169" s="1056"/>
      <c r="BFP169" s="1056"/>
      <c r="BFQ169" s="1056"/>
      <c r="BFR169" s="1056"/>
      <c r="BFS169" s="1056"/>
      <c r="BFT169" s="1056"/>
      <c r="BFU169" s="1056"/>
      <c r="BFV169" s="1056"/>
      <c r="BFW169" s="1056"/>
      <c r="BFX169" s="1056"/>
      <c r="BFY169" s="1056"/>
      <c r="BFZ169" s="1056"/>
      <c r="BGA169" s="1056"/>
      <c r="BGB169" s="1056"/>
      <c r="BGC169" s="1056"/>
      <c r="BGD169" s="1056"/>
      <c r="BGE169" s="1056"/>
      <c r="BGF169" s="1056"/>
      <c r="BGG169" s="1056"/>
      <c r="BGH169" s="1056"/>
      <c r="BGI169" s="1056"/>
      <c r="BGJ169" s="1056"/>
      <c r="BGK169" s="1056"/>
      <c r="BGL169" s="1056"/>
      <c r="BGM169" s="1056"/>
      <c r="BGN169" s="1056"/>
      <c r="BGO169" s="1056"/>
      <c r="BGP169" s="1056"/>
      <c r="BGQ169" s="1056"/>
      <c r="BGR169" s="1056"/>
      <c r="BGS169" s="1056"/>
      <c r="BGT169" s="1056"/>
      <c r="BGU169" s="1056"/>
      <c r="BGV169" s="1056"/>
      <c r="BGW169" s="1056"/>
      <c r="BGX169" s="1056"/>
      <c r="BGY169" s="1056"/>
      <c r="BGZ169" s="1056"/>
      <c r="BHA169" s="1056"/>
      <c r="BHB169" s="1056"/>
      <c r="BHC169" s="1056"/>
      <c r="BHD169" s="1056"/>
      <c r="BHE169" s="1056"/>
      <c r="BHF169" s="1056"/>
      <c r="BHG169" s="1056"/>
      <c r="BHH169" s="1056"/>
      <c r="BHI169" s="1056"/>
      <c r="BHJ169" s="1056"/>
      <c r="BHK169" s="1056"/>
      <c r="BHL169" s="1056"/>
      <c r="BHM169" s="1056"/>
      <c r="BHN169" s="1056"/>
      <c r="BHO169" s="1056"/>
      <c r="BHP169" s="1056"/>
      <c r="BHQ169" s="1056"/>
      <c r="BHR169" s="1056"/>
      <c r="BHS169" s="1056"/>
      <c r="BHT169" s="1056"/>
      <c r="BHU169" s="1056"/>
      <c r="BHV169" s="1056"/>
      <c r="BHW169" s="1056"/>
      <c r="BHX169" s="1056"/>
      <c r="BHY169" s="1056"/>
      <c r="BHZ169" s="1056"/>
      <c r="BIA169" s="1056"/>
      <c r="BIB169" s="1056"/>
      <c r="BIC169" s="1056"/>
      <c r="BID169" s="1056"/>
      <c r="BIE169" s="1056"/>
      <c r="BIF169" s="1056"/>
      <c r="BIG169" s="1056"/>
      <c r="BIH169" s="1056"/>
      <c r="BII169" s="1056"/>
      <c r="BIJ169" s="1056"/>
      <c r="BIK169" s="1056"/>
      <c r="BIL169" s="1056"/>
      <c r="BIM169" s="1056"/>
      <c r="BIN169" s="1056"/>
      <c r="BIO169" s="1056"/>
      <c r="BIP169" s="1056"/>
      <c r="BIQ169" s="1056"/>
      <c r="BIR169" s="1056"/>
      <c r="BIS169" s="1056"/>
      <c r="BIT169" s="1056"/>
      <c r="BIU169" s="1056"/>
      <c r="BIV169" s="1056"/>
      <c r="BIW169" s="1056"/>
      <c r="BIX169" s="1056"/>
      <c r="BIY169" s="1056"/>
      <c r="BIZ169" s="1056"/>
      <c r="BJA169" s="1056"/>
      <c r="BJB169" s="1056"/>
      <c r="BJC169" s="1056"/>
      <c r="BJD169" s="1056"/>
      <c r="BJE169" s="1056"/>
      <c r="BJF169" s="1056"/>
      <c r="BJG169" s="1056"/>
      <c r="BJH169" s="1056"/>
      <c r="BJI169" s="1056"/>
      <c r="BJJ169" s="1056"/>
      <c r="BJK169" s="1056"/>
      <c r="BJL169" s="1056"/>
      <c r="BJM169" s="1056"/>
      <c r="BJN169" s="1056"/>
      <c r="BJO169" s="1056"/>
      <c r="BJP169" s="1056"/>
      <c r="BJQ169" s="1056"/>
      <c r="BJR169" s="1056"/>
      <c r="BJS169" s="1056"/>
      <c r="BJT169" s="1056"/>
      <c r="BJU169" s="1056"/>
      <c r="BJV169" s="1056"/>
      <c r="BJW169" s="1056"/>
      <c r="BJX169" s="1056"/>
      <c r="BJY169" s="1056"/>
      <c r="BJZ169" s="1056"/>
      <c r="BKA169" s="1056"/>
      <c r="BKB169" s="1056"/>
      <c r="BKC169" s="1056"/>
      <c r="BKD169" s="1056"/>
      <c r="BKE169" s="1056"/>
      <c r="BKF169" s="1056"/>
      <c r="BKG169" s="1056"/>
      <c r="BKH169" s="1056"/>
      <c r="BKI169" s="1056"/>
      <c r="BKJ169" s="1056"/>
      <c r="BKK169" s="1056"/>
      <c r="BKL169" s="1056"/>
      <c r="BKM169" s="1056"/>
      <c r="BKN169" s="1056"/>
      <c r="BKO169" s="1056"/>
      <c r="BKP169" s="1056"/>
      <c r="BKQ169" s="1056"/>
      <c r="BKR169" s="1056"/>
      <c r="BKS169" s="1056"/>
      <c r="BKT169" s="1056"/>
      <c r="BKU169" s="1056"/>
      <c r="BKV169" s="1056"/>
      <c r="BKW169" s="1056"/>
      <c r="BKX169" s="1056"/>
      <c r="BKY169" s="1056"/>
      <c r="BKZ169" s="1056"/>
      <c r="BLA169" s="1056"/>
      <c r="BLB169" s="1056"/>
      <c r="BLC169" s="1056"/>
      <c r="BLD169" s="1056"/>
      <c r="BLE169" s="1056"/>
      <c r="BLF169" s="1056"/>
      <c r="BLG169" s="1056"/>
      <c r="BLH169" s="1056"/>
      <c r="BLI169" s="1056"/>
      <c r="BLJ169" s="1056"/>
      <c r="BLK169" s="1056"/>
      <c r="BLL169" s="1056"/>
      <c r="BLM169" s="1056"/>
      <c r="BLN169" s="1056"/>
      <c r="BLO169" s="1056"/>
      <c r="BLP169" s="1056"/>
      <c r="BLQ169" s="1056"/>
      <c r="BLR169" s="1056"/>
      <c r="BLS169" s="1056"/>
      <c r="BLT169" s="1056"/>
      <c r="BLU169" s="1056"/>
      <c r="BLV169" s="1056"/>
      <c r="BLW169" s="1056"/>
      <c r="BLX169" s="1056"/>
      <c r="BLY169" s="1056"/>
      <c r="BLZ169" s="1056"/>
      <c r="BMA169" s="1056"/>
      <c r="BMB169" s="1056"/>
      <c r="BMC169" s="1056"/>
      <c r="BMD169" s="1056"/>
      <c r="BME169" s="1056"/>
      <c r="BMF169" s="1056"/>
      <c r="BMG169" s="1056"/>
      <c r="BMH169" s="1056"/>
      <c r="BMI169" s="1056"/>
      <c r="BMJ169" s="1056"/>
      <c r="BMK169" s="1056"/>
      <c r="BML169" s="1056"/>
      <c r="BMM169" s="1056"/>
      <c r="BMN169" s="1056"/>
      <c r="BMO169" s="1056"/>
      <c r="BMP169" s="1056"/>
      <c r="BMQ169" s="1056"/>
      <c r="BMR169" s="1056"/>
      <c r="BMS169" s="1056"/>
      <c r="BMT169" s="1056"/>
      <c r="BMU169" s="1056"/>
      <c r="BMV169" s="1056"/>
      <c r="BMW169" s="1056"/>
      <c r="BMX169" s="1056"/>
      <c r="BMY169" s="1056"/>
      <c r="BMZ169" s="1056"/>
      <c r="BNA169" s="1056"/>
      <c r="BNB169" s="1056"/>
      <c r="BNC169" s="1056"/>
      <c r="BND169" s="1056"/>
      <c r="BNE169" s="1056"/>
      <c r="BNF169" s="1056"/>
      <c r="BNG169" s="1056"/>
      <c r="BNH169" s="1056"/>
      <c r="BNI169" s="1056"/>
      <c r="BNJ169" s="1056"/>
      <c r="BNK169" s="1056"/>
      <c r="BNL169" s="1056"/>
      <c r="BNM169" s="1056"/>
      <c r="BNN169" s="1056"/>
      <c r="BNO169" s="1056"/>
      <c r="BNP169" s="1056"/>
      <c r="BNQ169" s="1056"/>
      <c r="BNR169" s="1056"/>
      <c r="BNS169" s="1056"/>
      <c r="BNT169" s="1056"/>
      <c r="BNU169" s="1056"/>
      <c r="BNV169" s="1056"/>
      <c r="BNW169" s="1056"/>
      <c r="BNX169" s="1056"/>
      <c r="BNY169" s="1056"/>
      <c r="BNZ169" s="1056"/>
      <c r="BOA169" s="1056"/>
      <c r="BOB169" s="1056"/>
      <c r="BOC169" s="1056"/>
      <c r="BOD169" s="1056"/>
      <c r="BOE169" s="1056"/>
      <c r="BOF169" s="1056"/>
      <c r="BOG169" s="1056"/>
      <c r="BOH169" s="1056"/>
      <c r="BOI169" s="1056"/>
      <c r="BOJ169" s="1056"/>
      <c r="BOK169" s="1056"/>
      <c r="BOL169" s="1056"/>
      <c r="BOM169" s="1056"/>
      <c r="BON169" s="1056"/>
      <c r="BOO169" s="1056"/>
      <c r="BOP169" s="1056"/>
      <c r="BOQ169" s="1056"/>
      <c r="BOR169" s="1056"/>
      <c r="BOS169" s="1056"/>
      <c r="BOT169" s="1056"/>
      <c r="BOU169" s="1056"/>
      <c r="BOV169" s="1056"/>
      <c r="BOW169" s="1056"/>
      <c r="BOX169" s="1056"/>
      <c r="BOY169" s="1056"/>
      <c r="BOZ169" s="1056"/>
      <c r="BPA169" s="1056"/>
      <c r="BPB169" s="1056"/>
      <c r="BPC169" s="1056"/>
      <c r="BPD169" s="1056"/>
      <c r="BPE169" s="1056"/>
      <c r="BPF169" s="1056"/>
      <c r="BPG169" s="1056"/>
      <c r="BPH169" s="1056"/>
      <c r="BPI169" s="1056"/>
      <c r="BPJ169" s="1056"/>
      <c r="BPK169" s="1056"/>
      <c r="BPL169" s="1056"/>
      <c r="BPM169" s="1056"/>
      <c r="BPN169" s="1056"/>
      <c r="BPO169" s="1056"/>
      <c r="BPP169" s="1056"/>
      <c r="BPQ169" s="1056"/>
      <c r="BPR169" s="1056"/>
      <c r="BPS169" s="1056"/>
      <c r="BPT169" s="1056"/>
      <c r="BPU169" s="1056"/>
      <c r="BPV169" s="1056"/>
      <c r="BPW169" s="1056"/>
      <c r="BPX169" s="1056"/>
      <c r="BPY169" s="1056"/>
      <c r="BPZ169" s="1056"/>
      <c r="BQA169" s="1056"/>
      <c r="BQB169" s="1056"/>
      <c r="BQC169" s="1056"/>
      <c r="BQD169" s="1056"/>
      <c r="BQE169" s="1056"/>
      <c r="BQF169" s="1056"/>
      <c r="BQG169" s="1056"/>
      <c r="BQH169" s="1056"/>
      <c r="BQI169" s="1056"/>
      <c r="BQJ169" s="1056"/>
      <c r="BQK169" s="1056"/>
      <c r="BQL169" s="1056"/>
      <c r="BQM169" s="1056"/>
      <c r="BQN169" s="1056"/>
      <c r="BQO169" s="1056"/>
      <c r="BQP169" s="1056"/>
      <c r="BQQ169" s="1056"/>
      <c r="BQR169" s="1056"/>
      <c r="BQS169" s="1056"/>
      <c r="BQT169" s="1056"/>
      <c r="BQU169" s="1056"/>
      <c r="BQV169" s="1056"/>
      <c r="BQW169" s="1056"/>
      <c r="BQX169" s="1056"/>
      <c r="BQY169" s="1056"/>
      <c r="BQZ169" s="1056"/>
      <c r="BRA169" s="1056"/>
      <c r="BRB169" s="1056"/>
      <c r="BRC169" s="1056"/>
      <c r="BRD169" s="1056"/>
      <c r="BRE169" s="1056"/>
      <c r="BRF169" s="1056"/>
      <c r="BRG169" s="1056"/>
      <c r="BRH169" s="1056"/>
      <c r="BRI169" s="1056"/>
      <c r="BRJ169" s="1056"/>
      <c r="BRK169" s="1056"/>
      <c r="BRL169" s="1056"/>
      <c r="BRM169" s="1056"/>
      <c r="BRN169" s="1056"/>
      <c r="BRO169" s="1056"/>
      <c r="BRP169" s="1056"/>
      <c r="BRQ169" s="1056"/>
      <c r="BRR169" s="1056"/>
      <c r="BRS169" s="1056"/>
      <c r="BRT169" s="1056"/>
      <c r="BRU169" s="1056"/>
      <c r="BRV169" s="1056"/>
      <c r="BRW169" s="1056"/>
      <c r="BRX169" s="1056"/>
      <c r="BRY169" s="1056"/>
      <c r="BRZ169" s="1056"/>
      <c r="BSA169" s="1056"/>
      <c r="BSB169" s="1056"/>
      <c r="BSC169" s="1056"/>
      <c r="BSD169" s="1056"/>
      <c r="BSE169" s="1056"/>
      <c r="BSF169" s="1056"/>
      <c r="BSG169" s="1056"/>
      <c r="BSH169" s="1056"/>
      <c r="BSI169" s="1056"/>
      <c r="BSJ169" s="1056"/>
      <c r="BSK169" s="1056"/>
      <c r="BSL169" s="1056"/>
      <c r="BSM169" s="1056"/>
      <c r="BSN169" s="1056"/>
      <c r="BSO169" s="1056"/>
      <c r="BSP169" s="1056"/>
      <c r="BSQ169" s="1056"/>
      <c r="BSR169" s="1056"/>
      <c r="BSS169" s="1056"/>
      <c r="BST169" s="1056"/>
      <c r="BSU169" s="1056"/>
      <c r="BSV169" s="1056"/>
      <c r="BSW169" s="1056"/>
      <c r="BSX169" s="1056"/>
      <c r="BSY169" s="1056"/>
      <c r="BSZ169" s="1056"/>
      <c r="BTA169" s="1056"/>
      <c r="BTB169" s="1056"/>
      <c r="BTC169" s="1056"/>
      <c r="BTD169" s="1056"/>
      <c r="BTE169" s="1056"/>
      <c r="BTF169" s="1056"/>
      <c r="BTG169" s="1056"/>
      <c r="BTH169" s="1056"/>
      <c r="BTI169" s="1056"/>
    </row>
    <row r="170" spans="1:1881" s="1056" customFormat="1" ht="99.75" hidden="1" customHeight="1" x14ac:dyDescent="0.3">
      <c r="A170" s="1059"/>
      <c r="B170" s="1138" t="s">
        <v>1412</v>
      </c>
      <c r="C170" s="1138"/>
      <c r="D170" s="1138"/>
      <c r="E170" s="819"/>
      <c r="F170" s="840"/>
      <c r="G170" s="840"/>
      <c r="H170" s="764"/>
      <c r="I170" s="1055"/>
      <c r="N170" s="1058"/>
      <c r="Z170" s="1059"/>
      <c r="AA170" s="1059"/>
      <c r="AB170" s="1059"/>
      <c r="AC170" s="1059"/>
      <c r="AD170" s="1059"/>
      <c r="AE170" s="1059"/>
      <c r="AF170" s="1059"/>
      <c r="AG170" s="1059"/>
      <c r="AH170" s="1059"/>
      <c r="AI170" s="1059"/>
      <c r="AJ170" s="1059"/>
      <c r="AK170" s="1059"/>
      <c r="AL170" s="1059"/>
      <c r="AM170" s="1059"/>
      <c r="AN170" s="1059"/>
      <c r="AO170" s="1059"/>
      <c r="AP170" s="1059"/>
      <c r="AQ170" s="1059"/>
      <c r="AR170" s="1059"/>
    </row>
    <row r="171" spans="1:1881" s="1060" customFormat="1" ht="87" hidden="1" customHeight="1" x14ac:dyDescent="0.3">
      <c r="A171" s="1059">
        <v>88</v>
      </c>
      <c r="B171" s="808" t="s">
        <v>61</v>
      </c>
      <c r="C171" s="808" t="s">
        <v>1413</v>
      </c>
      <c r="D171" s="746" t="s">
        <v>1414</v>
      </c>
      <c r="E171" s="1053" t="e">
        <f>HLOOKUP($D$2,'2020 Data(H)'!$C$1:$AI$426,50,FALSE)</f>
        <v>#N/A</v>
      </c>
      <c r="F171" s="287">
        <v>0</v>
      </c>
      <c r="G171" s="722"/>
      <c r="H171" s="764"/>
      <c r="I171" s="1055"/>
      <c r="J171" s="1056"/>
      <c r="K171" s="1056"/>
      <c r="L171" s="1056"/>
      <c r="M171" s="1056"/>
      <c r="N171" s="1058"/>
      <c r="O171" s="1056"/>
      <c r="P171" s="1056"/>
      <c r="Q171" s="1056"/>
      <c r="R171" s="1056"/>
      <c r="S171" s="1056"/>
      <c r="T171" s="1056"/>
      <c r="U171" s="1056"/>
      <c r="V171" s="1056"/>
      <c r="W171" s="1056"/>
      <c r="X171" s="1056"/>
      <c r="Y171" s="1056"/>
      <c r="Z171" s="1059"/>
      <c r="AA171" s="1059"/>
      <c r="AB171" s="1059"/>
      <c r="AC171" s="1059"/>
      <c r="AD171" s="1059"/>
      <c r="AE171" s="1059"/>
      <c r="AF171" s="1059"/>
      <c r="AG171" s="1059"/>
      <c r="AH171" s="1059"/>
      <c r="AI171" s="1059"/>
      <c r="AJ171" s="1059"/>
      <c r="AK171" s="1059"/>
      <c r="AL171" s="1059"/>
      <c r="AM171" s="1059"/>
      <c r="AN171" s="1059"/>
      <c r="AO171" s="1059"/>
      <c r="AP171" s="1059"/>
      <c r="AQ171" s="1059"/>
      <c r="AR171" s="1059"/>
      <c r="AS171" s="1056"/>
      <c r="AT171" s="1056"/>
      <c r="AU171" s="1056"/>
      <c r="AV171" s="1056"/>
      <c r="AW171" s="1056"/>
      <c r="AX171" s="1056"/>
      <c r="AY171" s="1056"/>
      <c r="AZ171" s="1056"/>
      <c r="BA171" s="1056"/>
      <c r="BB171" s="1056"/>
      <c r="BC171" s="1056"/>
      <c r="BD171" s="1056"/>
      <c r="BE171" s="1056"/>
      <c r="BF171" s="1056"/>
      <c r="BG171" s="1056"/>
      <c r="BH171" s="1056"/>
      <c r="BI171" s="1056"/>
      <c r="BJ171" s="1056"/>
      <c r="BK171" s="1056"/>
      <c r="BL171" s="1056"/>
      <c r="BM171" s="1056"/>
      <c r="BN171" s="1056"/>
      <c r="BO171" s="1056"/>
      <c r="BP171" s="1056"/>
      <c r="BQ171" s="1056"/>
      <c r="BR171" s="1056"/>
      <c r="BS171" s="1056"/>
      <c r="BT171" s="1056"/>
      <c r="BU171" s="1056"/>
      <c r="BV171" s="1056"/>
      <c r="BW171" s="1056"/>
      <c r="BX171" s="1056"/>
      <c r="BY171" s="1056"/>
      <c r="BZ171" s="1056"/>
      <c r="CA171" s="1056"/>
      <c r="CB171" s="1056"/>
      <c r="CC171" s="1056"/>
      <c r="CD171" s="1056"/>
      <c r="CE171" s="1056"/>
      <c r="CF171" s="1056"/>
      <c r="CG171" s="1056"/>
      <c r="CH171" s="1056"/>
      <c r="CI171" s="1056"/>
      <c r="CJ171" s="1056"/>
      <c r="CK171" s="1056"/>
      <c r="CL171" s="1056"/>
      <c r="CM171" s="1056"/>
      <c r="CN171" s="1056"/>
      <c r="CO171" s="1056"/>
      <c r="CP171" s="1056"/>
      <c r="CQ171" s="1056"/>
      <c r="CR171" s="1056"/>
      <c r="CS171" s="1056"/>
      <c r="CT171" s="1056"/>
      <c r="CU171" s="1056"/>
      <c r="CV171" s="1056"/>
      <c r="CW171" s="1056"/>
      <c r="CX171" s="1056"/>
      <c r="CY171" s="1056"/>
      <c r="CZ171" s="1056"/>
      <c r="DA171" s="1056"/>
      <c r="DB171" s="1056"/>
      <c r="DC171" s="1056"/>
      <c r="DD171" s="1056"/>
      <c r="DE171" s="1056"/>
      <c r="DF171" s="1056"/>
      <c r="DG171" s="1056"/>
      <c r="DH171" s="1056"/>
      <c r="DI171" s="1056"/>
      <c r="DJ171" s="1056"/>
      <c r="DK171" s="1056"/>
      <c r="DL171" s="1056"/>
      <c r="DM171" s="1056"/>
      <c r="DN171" s="1056"/>
      <c r="DO171" s="1056"/>
      <c r="DP171" s="1056"/>
      <c r="DQ171" s="1056"/>
      <c r="DR171" s="1056"/>
      <c r="DS171" s="1056"/>
      <c r="DT171" s="1056"/>
      <c r="DU171" s="1056"/>
      <c r="DV171" s="1056"/>
      <c r="DW171" s="1056"/>
      <c r="DX171" s="1056"/>
      <c r="DY171" s="1056"/>
      <c r="DZ171" s="1056"/>
      <c r="EA171" s="1056"/>
      <c r="EB171" s="1056"/>
      <c r="EC171" s="1056"/>
      <c r="ED171" s="1056"/>
      <c r="EE171" s="1056"/>
      <c r="EF171" s="1056"/>
      <c r="EG171" s="1056"/>
      <c r="EH171" s="1056"/>
      <c r="EI171" s="1056"/>
      <c r="EJ171" s="1056"/>
      <c r="EK171" s="1056"/>
      <c r="EL171" s="1056"/>
      <c r="EM171" s="1056"/>
      <c r="EN171" s="1056"/>
      <c r="EO171" s="1056"/>
      <c r="EP171" s="1056"/>
      <c r="EQ171" s="1056"/>
      <c r="ER171" s="1056"/>
      <c r="ES171" s="1056"/>
      <c r="ET171" s="1056"/>
      <c r="EU171" s="1056"/>
      <c r="EV171" s="1056"/>
      <c r="EW171" s="1056"/>
      <c r="EX171" s="1056"/>
      <c r="EY171" s="1056"/>
      <c r="EZ171" s="1056"/>
      <c r="FA171" s="1056"/>
      <c r="FB171" s="1056"/>
      <c r="FC171" s="1056"/>
      <c r="FD171" s="1056"/>
      <c r="FE171" s="1056"/>
      <c r="FF171" s="1056"/>
      <c r="FG171" s="1056"/>
      <c r="FH171" s="1056"/>
      <c r="FI171" s="1056"/>
      <c r="FJ171" s="1056"/>
      <c r="FK171" s="1056"/>
      <c r="FL171" s="1056"/>
      <c r="FM171" s="1056"/>
      <c r="FN171" s="1056"/>
      <c r="FO171" s="1056"/>
      <c r="FP171" s="1056"/>
      <c r="FQ171" s="1056"/>
      <c r="FR171" s="1056"/>
      <c r="FS171" s="1056"/>
      <c r="FT171" s="1056"/>
      <c r="FU171" s="1056"/>
      <c r="FV171" s="1056"/>
      <c r="FW171" s="1056"/>
      <c r="FX171" s="1056"/>
      <c r="FY171" s="1056"/>
      <c r="FZ171" s="1056"/>
      <c r="GA171" s="1056"/>
      <c r="GB171" s="1056"/>
      <c r="GC171" s="1056"/>
      <c r="GD171" s="1056"/>
      <c r="GE171" s="1056"/>
      <c r="GF171" s="1056"/>
      <c r="GG171" s="1056"/>
      <c r="GH171" s="1056"/>
      <c r="GI171" s="1056"/>
      <c r="GJ171" s="1056"/>
      <c r="GK171" s="1056"/>
      <c r="GL171" s="1056"/>
      <c r="GM171" s="1056"/>
      <c r="GN171" s="1056"/>
      <c r="GO171" s="1056"/>
      <c r="GP171" s="1056"/>
      <c r="GQ171" s="1056"/>
      <c r="GR171" s="1056"/>
      <c r="GS171" s="1056"/>
      <c r="GT171" s="1056"/>
      <c r="GU171" s="1056"/>
      <c r="GV171" s="1056"/>
      <c r="GW171" s="1056"/>
      <c r="GX171" s="1056"/>
      <c r="GY171" s="1056"/>
      <c r="GZ171" s="1056"/>
      <c r="HA171" s="1056"/>
      <c r="HB171" s="1056"/>
      <c r="HC171" s="1056"/>
      <c r="HD171" s="1056"/>
      <c r="HE171" s="1056"/>
      <c r="HF171" s="1056"/>
      <c r="HG171" s="1056"/>
      <c r="HH171" s="1056"/>
      <c r="HI171" s="1056"/>
      <c r="HJ171" s="1056"/>
      <c r="HK171" s="1056"/>
      <c r="HL171" s="1056"/>
      <c r="HM171" s="1056"/>
      <c r="HN171" s="1056"/>
      <c r="HO171" s="1056"/>
      <c r="HP171" s="1056"/>
      <c r="HQ171" s="1056"/>
      <c r="HR171" s="1056"/>
      <c r="HS171" s="1056"/>
      <c r="HT171" s="1056"/>
      <c r="HU171" s="1056"/>
      <c r="HV171" s="1056"/>
      <c r="HW171" s="1056"/>
      <c r="HX171" s="1056"/>
      <c r="HY171" s="1056"/>
      <c r="HZ171" s="1056"/>
      <c r="IA171" s="1056"/>
      <c r="IB171" s="1056"/>
      <c r="IC171" s="1056"/>
      <c r="ID171" s="1056"/>
      <c r="IE171" s="1056"/>
      <c r="IF171" s="1056"/>
      <c r="IG171" s="1056"/>
      <c r="IH171" s="1056"/>
      <c r="II171" s="1056"/>
      <c r="IJ171" s="1056"/>
      <c r="IK171" s="1056"/>
      <c r="IL171" s="1056"/>
      <c r="IM171" s="1056"/>
      <c r="IN171" s="1056"/>
      <c r="IO171" s="1056"/>
      <c r="IP171" s="1056"/>
      <c r="IQ171" s="1056"/>
      <c r="IR171" s="1056"/>
      <c r="IS171" s="1056"/>
      <c r="IT171" s="1056"/>
      <c r="IU171" s="1056"/>
      <c r="IV171" s="1056"/>
      <c r="IW171" s="1056"/>
      <c r="IX171" s="1056"/>
      <c r="IY171" s="1056"/>
      <c r="IZ171" s="1056"/>
      <c r="JA171" s="1056"/>
      <c r="JB171" s="1056"/>
      <c r="JC171" s="1056"/>
      <c r="JD171" s="1056"/>
      <c r="JE171" s="1056"/>
      <c r="JF171" s="1056"/>
      <c r="JG171" s="1056"/>
      <c r="JH171" s="1056"/>
      <c r="JI171" s="1056"/>
      <c r="JJ171" s="1056"/>
      <c r="JK171" s="1056"/>
      <c r="JL171" s="1056"/>
      <c r="JM171" s="1056"/>
      <c r="JN171" s="1056"/>
      <c r="JO171" s="1056"/>
      <c r="JP171" s="1056"/>
      <c r="JQ171" s="1056"/>
      <c r="JR171" s="1056"/>
      <c r="JS171" s="1056"/>
      <c r="JT171" s="1056"/>
      <c r="JU171" s="1056"/>
      <c r="JV171" s="1056"/>
      <c r="JW171" s="1056"/>
      <c r="JX171" s="1056"/>
      <c r="JY171" s="1056"/>
      <c r="JZ171" s="1056"/>
      <c r="KA171" s="1056"/>
      <c r="KB171" s="1056"/>
      <c r="KC171" s="1056"/>
      <c r="KD171" s="1056"/>
      <c r="KE171" s="1056"/>
      <c r="KF171" s="1056"/>
      <c r="KG171" s="1056"/>
      <c r="KH171" s="1056"/>
      <c r="KI171" s="1056"/>
      <c r="KJ171" s="1056"/>
      <c r="KK171" s="1056"/>
      <c r="KL171" s="1056"/>
      <c r="KM171" s="1056"/>
      <c r="KN171" s="1056"/>
      <c r="KO171" s="1056"/>
      <c r="KP171" s="1056"/>
      <c r="KQ171" s="1056"/>
      <c r="KR171" s="1056"/>
      <c r="KS171" s="1056"/>
      <c r="KT171" s="1056"/>
      <c r="KU171" s="1056"/>
      <c r="KV171" s="1056"/>
      <c r="KW171" s="1056"/>
      <c r="KX171" s="1056"/>
      <c r="KY171" s="1056"/>
      <c r="KZ171" s="1056"/>
      <c r="LA171" s="1056"/>
      <c r="LB171" s="1056"/>
      <c r="LC171" s="1056"/>
      <c r="LD171" s="1056"/>
      <c r="LE171" s="1056"/>
      <c r="LF171" s="1056"/>
      <c r="LG171" s="1056"/>
      <c r="LH171" s="1056"/>
      <c r="LI171" s="1056"/>
      <c r="LJ171" s="1056"/>
      <c r="LK171" s="1056"/>
      <c r="LL171" s="1056"/>
      <c r="LM171" s="1056"/>
      <c r="LN171" s="1056"/>
      <c r="LO171" s="1056"/>
      <c r="LP171" s="1056"/>
      <c r="LQ171" s="1056"/>
      <c r="LR171" s="1056"/>
      <c r="LS171" s="1056"/>
      <c r="LT171" s="1056"/>
      <c r="LU171" s="1056"/>
      <c r="LV171" s="1056"/>
      <c r="LW171" s="1056"/>
      <c r="LX171" s="1056"/>
      <c r="LY171" s="1056"/>
      <c r="LZ171" s="1056"/>
      <c r="MA171" s="1056"/>
      <c r="MB171" s="1056"/>
      <c r="MC171" s="1056"/>
      <c r="MD171" s="1056"/>
      <c r="ME171" s="1056"/>
      <c r="MF171" s="1056"/>
      <c r="MG171" s="1056"/>
      <c r="MH171" s="1056"/>
      <c r="MI171" s="1056"/>
      <c r="MJ171" s="1056"/>
      <c r="MK171" s="1056"/>
      <c r="ML171" s="1056"/>
      <c r="MM171" s="1056"/>
      <c r="MN171" s="1056"/>
      <c r="MO171" s="1056"/>
      <c r="MP171" s="1056"/>
      <c r="MQ171" s="1056"/>
      <c r="MR171" s="1056"/>
      <c r="MS171" s="1056"/>
      <c r="MT171" s="1056"/>
      <c r="MU171" s="1056"/>
      <c r="MV171" s="1056"/>
      <c r="MW171" s="1056"/>
      <c r="MX171" s="1056"/>
      <c r="MY171" s="1056"/>
      <c r="MZ171" s="1056"/>
      <c r="NA171" s="1056"/>
      <c r="NB171" s="1056"/>
      <c r="NC171" s="1056"/>
      <c r="ND171" s="1056"/>
      <c r="NE171" s="1056"/>
      <c r="NF171" s="1056"/>
      <c r="NG171" s="1056"/>
      <c r="NH171" s="1056"/>
      <c r="NI171" s="1056"/>
      <c r="NJ171" s="1056"/>
      <c r="NK171" s="1056"/>
      <c r="NL171" s="1056"/>
      <c r="NM171" s="1056"/>
      <c r="NN171" s="1056"/>
      <c r="NO171" s="1056"/>
      <c r="NP171" s="1056"/>
      <c r="NQ171" s="1056"/>
      <c r="NR171" s="1056"/>
      <c r="NS171" s="1056"/>
      <c r="NT171" s="1056"/>
      <c r="NU171" s="1056"/>
      <c r="NV171" s="1056"/>
      <c r="NW171" s="1056"/>
      <c r="NX171" s="1056"/>
      <c r="NY171" s="1056"/>
      <c r="NZ171" s="1056"/>
      <c r="OA171" s="1056"/>
      <c r="OB171" s="1056"/>
      <c r="OC171" s="1056"/>
      <c r="OD171" s="1056"/>
      <c r="OE171" s="1056"/>
      <c r="OF171" s="1056"/>
      <c r="OG171" s="1056"/>
      <c r="OH171" s="1056"/>
      <c r="OI171" s="1056"/>
      <c r="OJ171" s="1056"/>
      <c r="OK171" s="1056"/>
      <c r="OL171" s="1056"/>
      <c r="OM171" s="1056"/>
      <c r="ON171" s="1056"/>
      <c r="OO171" s="1056"/>
      <c r="OP171" s="1056"/>
      <c r="OQ171" s="1056"/>
      <c r="OR171" s="1056"/>
      <c r="OS171" s="1056"/>
      <c r="OT171" s="1056"/>
      <c r="OU171" s="1056"/>
      <c r="OV171" s="1056"/>
      <c r="OW171" s="1056"/>
      <c r="OX171" s="1056"/>
      <c r="OY171" s="1056"/>
      <c r="OZ171" s="1056"/>
      <c r="PA171" s="1056"/>
      <c r="PB171" s="1056"/>
      <c r="PC171" s="1056"/>
      <c r="PD171" s="1056"/>
      <c r="PE171" s="1056"/>
      <c r="PF171" s="1056"/>
      <c r="PG171" s="1056"/>
      <c r="PH171" s="1056"/>
      <c r="PI171" s="1056"/>
      <c r="PJ171" s="1056"/>
      <c r="PK171" s="1056"/>
      <c r="PL171" s="1056"/>
      <c r="PM171" s="1056"/>
      <c r="PN171" s="1056"/>
      <c r="PO171" s="1056"/>
      <c r="PP171" s="1056"/>
      <c r="PQ171" s="1056"/>
      <c r="PR171" s="1056"/>
      <c r="PS171" s="1056"/>
      <c r="PT171" s="1056"/>
      <c r="PU171" s="1056"/>
      <c r="PV171" s="1056"/>
      <c r="PW171" s="1056"/>
      <c r="PX171" s="1056"/>
      <c r="PY171" s="1056"/>
      <c r="PZ171" s="1056"/>
      <c r="QA171" s="1056"/>
      <c r="QB171" s="1056"/>
      <c r="QC171" s="1056"/>
      <c r="QD171" s="1056"/>
      <c r="QE171" s="1056"/>
      <c r="QF171" s="1056"/>
      <c r="QG171" s="1056"/>
      <c r="QH171" s="1056"/>
      <c r="QI171" s="1056"/>
      <c r="QJ171" s="1056"/>
      <c r="QK171" s="1056"/>
      <c r="QL171" s="1056"/>
      <c r="QM171" s="1056"/>
      <c r="QN171" s="1056"/>
      <c r="QO171" s="1056"/>
      <c r="QP171" s="1056"/>
      <c r="QQ171" s="1056"/>
      <c r="QR171" s="1056"/>
      <c r="QS171" s="1056"/>
      <c r="QT171" s="1056"/>
      <c r="QU171" s="1056"/>
      <c r="QV171" s="1056"/>
      <c r="QW171" s="1056"/>
      <c r="QX171" s="1056"/>
      <c r="QY171" s="1056"/>
      <c r="QZ171" s="1056"/>
      <c r="RA171" s="1056"/>
      <c r="RB171" s="1056"/>
      <c r="RC171" s="1056"/>
      <c r="RD171" s="1056"/>
      <c r="RE171" s="1056"/>
      <c r="RF171" s="1056"/>
      <c r="RG171" s="1056"/>
      <c r="RH171" s="1056"/>
      <c r="RI171" s="1056"/>
      <c r="RJ171" s="1056"/>
      <c r="RK171" s="1056"/>
      <c r="RL171" s="1056"/>
      <c r="RM171" s="1056"/>
      <c r="RN171" s="1056"/>
      <c r="RO171" s="1056"/>
      <c r="RP171" s="1056"/>
      <c r="RQ171" s="1056"/>
      <c r="RR171" s="1056"/>
      <c r="RS171" s="1056"/>
      <c r="RT171" s="1056"/>
      <c r="RU171" s="1056"/>
      <c r="RV171" s="1056"/>
      <c r="RW171" s="1056"/>
      <c r="RX171" s="1056"/>
      <c r="RY171" s="1056"/>
      <c r="RZ171" s="1056"/>
      <c r="SA171" s="1056"/>
      <c r="SB171" s="1056"/>
      <c r="SC171" s="1056"/>
      <c r="SD171" s="1056"/>
      <c r="SE171" s="1056"/>
      <c r="SF171" s="1056"/>
      <c r="SG171" s="1056"/>
      <c r="SH171" s="1056"/>
      <c r="SI171" s="1056"/>
      <c r="SJ171" s="1056"/>
      <c r="SK171" s="1056"/>
      <c r="SL171" s="1056"/>
      <c r="SM171" s="1056"/>
      <c r="SN171" s="1056"/>
      <c r="SO171" s="1056"/>
      <c r="SP171" s="1056"/>
      <c r="SQ171" s="1056"/>
      <c r="SR171" s="1056"/>
      <c r="SS171" s="1056"/>
      <c r="ST171" s="1056"/>
      <c r="SU171" s="1056"/>
      <c r="SV171" s="1056"/>
      <c r="SW171" s="1056"/>
      <c r="SX171" s="1056"/>
      <c r="SY171" s="1056"/>
      <c r="SZ171" s="1056"/>
      <c r="TA171" s="1056"/>
      <c r="TB171" s="1056"/>
      <c r="TC171" s="1056"/>
      <c r="TD171" s="1056"/>
      <c r="TE171" s="1056"/>
      <c r="TF171" s="1056"/>
      <c r="TG171" s="1056"/>
      <c r="TH171" s="1056"/>
      <c r="TI171" s="1056"/>
      <c r="TJ171" s="1056"/>
      <c r="TK171" s="1056"/>
      <c r="TL171" s="1056"/>
      <c r="TM171" s="1056"/>
      <c r="TN171" s="1056"/>
      <c r="TO171" s="1056"/>
      <c r="TP171" s="1056"/>
      <c r="TQ171" s="1056"/>
      <c r="TR171" s="1056"/>
      <c r="TS171" s="1056"/>
      <c r="TT171" s="1056"/>
      <c r="TU171" s="1056"/>
      <c r="TV171" s="1056"/>
      <c r="TW171" s="1056"/>
      <c r="TX171" s="1056"/>
      <c r="TY171" s="1056"/>
      <c r="TZ171" s="1056"/>
      <c r="UA171" s="1056"/>
      <c r="UB171" s="1056"/>
      <c r="UC171" s="1056"/>
      <c r="UD171" s="1056"/>
      <c r="UE171" s="1056"/>
      <c r="UF171" s="1056"/>
      <c r="UG171" s="1056"/>
      <c r="UH171" s="1056"/>
      <c r="UI171" s="1056"/>
      <c r="UJ171" s="1056"/>
      <c r="UK171" s="1056"/>
      <c r="UL171" s="1056"/>
      <c r="UM171" s="1056"/>
      <c r="UN171" s="1056"/>
      <c r="UO171" s="1056"/>
      <c r="UP171" s="1056"/>
      <c r="UQ171" s="1056"/>
      <c r="UR171" s="1056"/>
      <c r="US171" s="1056"/>
      <c r="UT171" s="1056"/>
      <c r="UU171" s="1056"/>
      <c r="UV171" s="1056"/>
      <c r="UW171" s="1056"/>
      <c r="UX171" s="1056"/>
      <c r="UY171" s="1056"/>
      <c r="UZ171" s="1056"/>
      <c r="VA171" s="1056"/>
      <c r="VB171" s="1056"/>
      <c r="VC171" s="1056"/>
      <c r="VD171" s="1056"/>
      <c r="VE171" s="1056"/>
      <c r="VF171" s="1056"/>
      <c r="VG171" s="1056"/>
      <c r="VH171" s="1056"/>
      <c r="VI171" s="1056"/>
      <c r="VJ171" s="1056"/>
      <c r="VK171" s="1056"/>
      <c r="VL171" s="1056"/>
      <c r="VM171" s="1056"/>
      <c r="VN171" s="1056"/>
      <c r="VO171" s="1056"/>
      <c r="VP171" s="1056"/>
      <c r="VQ171" s="1056"/>
      <c r="VR171" s="1056"/>
      <c r="VS171" s="1056"/>
      <c r="VT171" s="1056"/>
      <c r="VU171" s="1056"/>
      <c r="VV171" s="1056"/>
      <c r="VW171" s="1056"/>
      <c r="VX171" s="1056"/>
      <c r="VY171" s="1056"/>
      <c r="VZ171" s="1056"/>
      <c r="WA171" s="1056"/>
      <c r="WB171" s="1056"/>
      <c r="WC171" s="1056"/>
      <c r="WD171" s="1056"/>
      <c r="WE171" s="1056"/>
      <c r="WF171" s="1056"/>
      <c r="WG171" s="1056"/>
      <c r="WH171" s="1056"/>
      <c r="WI171" s="1056"/>
      <c r="WJ171" s="1056"/>
      <c r="WK171" s="1056"/>
      <c r="WL171" s="1056"/>
      <c r="WM171" s="1056"/>
      <c r="WN171" s="1056"/>
      <c r="WO171" s="1056"/>
      <c r="WP171" s="1056"/>
      <c r="WQ171" s="1056"/>
      <c r="WR171" s="1056"/>
      <c r="WS171" s="1056"/>
      <c r="WT171" s="1056"/>
      <c r="WU171" s="1056"/>
      <c r="WV171" s="1056"/>
      <c r="WW171" s="1056"/>
      <c r="WX171" s="1056"/>
      <c r="WY171" s="1056"/>
      <c r="WZ171" s="1056"/>
      <c r="XA171" s="1056"/>
      <c r="XB171" s="1056"/>
      <c r="XC171" s="1056"/>
      <c r="XD171" s="1056"/>
      <c r="XE171" s="1056"/>
      <c r="XF171" s="1056"/>
      <c r="XG171" s="1056"/>
      <c r="XH171" s="1056"/>
      <c r="XI171" s="1056"/>
      <c r="XJ171" s="1056"/>
      <c r="XK171" s="1056"/>
      <c r="XL171" s="1056"/>
      <c r="XM171" s="1056"/>
      <c r="XN171" s="1056"/>
      <c r="XO171" s="1056"/>
      <c r="XP171" s="1056"/>
      <c r="XQ171" s="1056"/>
      <c r="XR171" s="1056"/>
      <c r="XS171" s="1056"/>
      <c r="XT171" s="1056"/>
      <c r="XU171" s="1056"/>
      <c r="XV171" s="1056"/>
      <c r="XW171" s="1056"/>
      <c r="XX171" s="1056"/>
      <c r="XY171" s="1056"/>
      <c r="XZ171" s="1056"/>
      <c r="YA171" s="1056"/>
      <c r="YB171" s="1056"/>
      <c r="YC171" s="1056"/>
      <c r="YD171" s="1056"/>
      <c r="YE171" s="1056"/>
      <c r="YF171" s="1056"/>
      <c r="YG171" s="1056"/>
      <c r="YH171" s="1056"/>
      <c r="YI171" s="1056"/>
      <c r="YJ171" s="1056"/>
      <c r="YK171" s="1056"/>
      <c r="YL171" s="1056"/>
      <c r="YM171" s="1056"/>
      <c r="YN171" s="1056"/>
      <c r="YO171" s="1056"/>
      <c r="YP171" s="1056"/>
      <c r="YQ171" s="1056"/>
      <c r="YR171" s="1056"/>
      <c r="YS171" s="1056"/>
      <c r="YT171" s="1056"/>
      <c r="YU171" s="1056"/>
      <c r="YV171" s="1056"/>
      <c r="YW171" s="1056"/>
      <c r="YX171" s="1056"/>
      <c r="YY171" s="1056"/>
      <c r="YZ171" s="1056"/>
      <c r="ZA171" s="1056"/>
      <c r="ZB171" s="1056"/>
      <c r="ZC171" s="1056"/>
      <c r="ZD171" s="1056"/>
      <c r="ZE171" s="1056"/>
      <c r="ZF171" s="1056"/>
      <c r="ZG171" s="1056"/>
      <c r="ZH171" s="1056"/>
      <c r="ZI171" s="1056"/>
      <c r="ZJ171" s="1056"/>
      <c r="ZK171" s="1056"/>
      <c r="ZL171" s="1056"/>
      <c r="ZM171" s="1056"/>
      <c r="ZN171" s="1056"/>
      <c r="ZO171" s="1056"/>
      <c r="ZP171" s="1056"/>
      <c r="ZQ171" s="1056"/>
      <c r="ZR171" s="1056"/>
      <c r="ZS171" s="1056"/>
      <c r="ZT171" s="1056"/>
      <c r="ZU171" s="1056"/>
      <c r="ZV171" s="1056"/>
      <c r="ZW171" s="1056"/>
      <c r="ZX171" s="1056"/>
      <c r="ZY171" s="1056"/>
      <c r="ZZ171" s="1056"/>
      <c r="AAA171" s="1056"/>
      <c r="AAB171" s="1056"/>
      <c r="AAC171" s="1056"/>
      <c r="AAD171" s="1056"/>
      <c r="AAE171" s="1056"/>
      <c r="AAF171" s="1056"/>
      <c r="AAG171" s="1056"/>
      <c r="AAH171" s="1056"/>
      <c r="AAI171" s="1056"/>
      <c r="AAJ171" s="1056"/>
      <c r="AAK171" s="1056"/>
      <c r="AAL171" s="1056"/>
      <c r="AAM171" s="1056"/>
      <c r="AAN171" s="1056"/>
      <c r="AAO171" s="1056"/>
      <c r="AAP171" s="1056"/>
      <c r="AAQ171" s="1056"/>
      <c r="AAR171" s="1056"/>
      <c r="AAS171" s="1056"/>
      <c r="AAT171" s="1056"/>
      <c r="AAU171" s="1056"/>
      <c r="AAV171" s="1056"/>
      <c r="AAW171" s="1056"/>
      <c r="AAX171" s="1056"/>
      <c r="AAY171" s="1056"/>
      <c r="AAZ171" s="1056"/>
      <c r="ABA171" s="1056"/>
      <c r="ABB171" s="1056"/>
      <c r="ABC171" s="1056"/>
      <c r="ABD171" s="1056"/>
      <c r="ABE171" s="1056"/>
      <c r="ABF171" s="1056"/>
      <c r="ABG171" s="1056"/>
      <c r="ABH171" s="1056"/>
      <c r="ABI171" s="1056"/>
      <c r="ABJ171" s="1056"/>
      <c r="ABK171" s="1056"/>
      <c r="ABL171" s="1056"/>
      <c r="ABM171" s="1056"/>
      <c r="ABN171" s="1056"/>
      <c r="ABO171" s="1056"/>
      <c r="ABP171" s="1056"/>
      <c r="ABQ171" s="1056"/>
      <c r="ABR171" s="1056"/>
      <c r="ABS171" s="1056"/>
      <c r="ABT171" s="1056"/>
      <c r="ABU171" s="1056"/>
      <c r="ABV171" s="1056"/>
      <c r="ABW171" s="1056"/>
      <c r="ABX171" s="1056"/>
      <c r="ABY171" s="1056"/>
      <c r="ABZ171" s="1056"/>
      <c r="ACA171" s="1056"/>
      <c r="ACB171" s="1056"/>
      <c r="ACC171" s="1056"/>
      <c r="ACD171" s="1056"/>
      <c r="ACE171" s="1056"/>
      <c r="ACF171" s="1056"/>
      <c r="ACG171" s="1056"/>
      <c r="ACH171" s="1056"/>
      <c r="ACI171" s="1056"/>
      <c r="ACJ171" s="1056"/>
      <c r="ACK171" s="1056"/>
      <c r="ACL171" s="1056"/>
      <c r="ACM171" s="1056"/>
      <c r="ACN171" s="1056"/>
      <c r="ACO171" s="1056"/>
      <c r="ACP171" s="1056"/>
      <c r="ACQ171" s="1056"/>
      <c r="ACR171" s="1056"/>
      <c r="ACS171" s="1056"/>
      <c r="ACT171" s="1056"/>
      <c r="ACU171" s="1056"/>
      <c r="ACV171" s="1056"/>
      <c r="ACW171" s="1056"/>
      <c r="ACX171" s="1056"/>
      <c r="ACY171" s="1056"/>
      <c r="ACZ171" s="1056"/>
      <c r="ADA171" s="1056"/>
      <c r="ADB171" s="1056"/>
      <c r="ADC171" s="1056"/>
      <c r="ADD171" s="1056"/>
      <c r="ADE171" s="1056"/>
      <c r="ADF171" s="1056"/>
      <c r="ADG171" s="1056"/>
      <c r="ADH171" s="1056"/>
      <c r="ADI171" s="1056"/>
      <c r="ADJ171" s="1056"/>
      <c r="ADK171" s="1056"/>
      <c r="ADL171" s="1056"/>
      <c r="ADM171" s="1056"/>
      <c r="ADN171" s="1056"/>
      <c r="ADO171" s="1056"/>
      <c r="ADP171" s="1056"/>
      <c r="ADQ171" s="1056"/>
      <c r="ADR171" s="1056"/>
      <c r="ADS171" s="1056"/>
      <c r="ADT171" s="1056"/>
      <c r="ADU171" s="1056"/>
      <c r="ADV171" s="1056"/>
      <c r="ADW171" s="1056"/>
      <c r="ADX171" s="1056"/>
      <c r="ADY171" s="1056"/>
      <c r="ADZ171" s="1056"/>
      <c r="AEA171" s="1056"/>
      <c r="AEB171" s="1056"/>
      <c r="AEC171" s="1056"/>
      <c r="AED171" s="1056"/>
      <c r="AEE171" s="1056"/>
      <c r="AEF171" s="1056"/>
      <c r="AEG171" s="1056"/>
      <c r="AEH171" s="1056"/>
      <c r="AEI171" s="1056"/>
      <c r="AEJ171" s="1056"/>
      <c r="AEK171" s="1056"/>
      <c r="AEL171" s="1056"/>
      <c r="AEM171" s="1056"/>
      <c r="AEN171" s="1056"/>
      <c r="AEO171" s="1056"/>
      <c r="AEP171" s="1056"/>
      <c r="AEQ171" s="1056"/>
      <c r="AER171" s="1056"/>
      <c r="AES171" s="1056"/>
      <c r="AET171" s="1056"/>
      <c r="AEU171" s="1056"/>
      <c r="AEV171" s="1056"/>
      <c r="AEW171" s="1056"/>
      <c r="AEX171" s="1056"/>
      <c r="AEY171" s="1056"/>
      <c r="AEZ171" s="1056"/>
      <c r="AFA171" s="1056"/>
      <c r="AFB171" s="1056"/>
      <c r="AFC171" s="1056"/>
      <c r="AFD171" s="1056"/>
      <c r="AFE171" s="1056"/>
      <c r="AFF171" s="1056"/>
      <c r="AFG171" s="1056"/>
      <c r="AFH171" s="1056"/>
      <c r="AFI171" s="1056"/>
      <c r="AFJ171" s="1056"/>
      <c r="AFK171" s="1056"/>
      <c r="AFL171" s="1056"/>
      <c r="AFM171" s="1056"/>
      <c r="AFN171" s="1056"/>
      <c r="AFO171" s="1056"/>
      <c r="AFP171" s="1056"/>
      <c r="AFQ171" s="1056"/>
      <c r="AFR171" s="1056"/>
      <c r="AFS171" s="1056"/>
      <c r="AFT171" s="1056"/>
      <c r="AFU171" s="1056"/>
      <c r="AFV171" s="1056"/>
      <c r="AFW171" s="1056"/>
      <c r="AFX171" s="1056"/>
      <c r="AFY171" s="1056"/>
      <c r="AFZ171" s="1056"/>
      <c r="AGA171" s="1056"/>
      <c r="AGB171" s="1056"/>
      <c r="AGC171" s="1056"/>
      <c r="AGD171" s="1056"/>
      <c r="AGE171" s="1056"/>
      <c r="AGF171" s="1056"/>
      <c r="AGG171" s="1056"/>
      <c r="AGH171" s="1056"/>
      <c r="AGI171" s="1056"/>
      <c r="AGJ171" s="1056"/>
      <c r="AGK171" s="1056"/>
      <c r="AGL171" s="1056"/>
      <c r="AGM171" s="1056"/>
      <c r="AGN171" s="1056"/>
      <c r="AGO171" s="1056"/>
      <c r="AGP171" s="1056"/>
      <c r="AGQ171" s="1056"/>
      <c r="AGR171" s="1056"/>
      <c r="AGS171" s="1056"/>
      <c r="AGT171" s="1056"/>
      <c r="AGU171" s="1056"/>
      <c r="AGV171" s="1056"/>
      <c r="AGW171" s="1056"/>
      <c r="AGX171" s="1056"/>
      <c r="AGY171" s="1056"/>
      <c r="AGZ171" s="1056"/>
      <c r="AHA171" s="1056"/>
      <c r="AHB171" s="1056"/>
      <c r="AHC171" s="1056"/>
      <c r="AHD171" s="1056"/>
      <c r="AHE171" s="1056"/>
      <c r="AHF171" s="1056"/>
      <c r="AHG171" s="1056"/>
      <c r="AHH171" s="1056"/>
      <c r="AHI171" s="1056"/>
      <c r="AHJ171" s="1056"/>
      <c r="AHK171" s="1056"/>
      <c r="AHL171" s="1056"/>
      <c r="AHM171" s="1056"/>
      <c r="AHN171" s="1056"/>
      <c r="AHO171" s="1056"/>
      <c r="AHP171" s="1056"/>
      <c r="AHQ171" s="1056"/>
      <c r="AHR171" s="1056"/>
      <c r="AHS171" s="1056"/>
      <c r="AHT171" s="1056"/>
      <c r="AHU171" s="1056"/>
      <c r="AHV171" s="1056"/>
      <c r="AHW171" s="1056"/>
      <c r="AHX171" s="1056"/>
      <c r="AHY171" s="1056"/>
      <c r="AHZ171" s="1056"/>
      <c r="AIA171" s="1056"/>
      <c r="AIB171" s="1056"/>
      <c r="AIC171" s="1056"/>
      <c r="AID171" s="1056"/>
      <c r="AIE171" s="1056"/>
      <c r="AIF171" s="1056"/>
      <c r="AIG171" s="1056"/>
      <c r="AIH171" s="1056"/>
      <c r="AII171" s="1056"/>
      <c r="AIJ171" s="1056"/>
      <c r="AIK171" s="1056"/>
      <c r="AIL171" s="1056"/>
      <c r="AIM171" s="1056"/>
      <c r="AIN171" s="1056"/>
      <c r="AIO171" s="1056"/>
      <c r="AIP171" s="1056"/>
      <c r="AIQ171" s="1056"/>
      <c r="AIR171" s="1056"/>
      <c r="AIS171" s="1056"/>
      <c r="AIT171" s="1056"/>
      <c r="AIU171" s="1056"/>
      <c r="AIV171" s="1056"/>
      <c r="AIW171" s="1056"/>
      <c r="AIX171" s="1056"/>
      <c r="AIY171" s="1056"/>
      <c r="AIZ171" s="1056"/>
      <c r="AJA171" s="1056"/>
      <c r="AJB171" s="1056"/>
      <c r="AJC171" s="1056"/>
      <c r="AJD171" s="1056"/>
      <c r="AJE171" s="1056"/>
      <c r="AJF171" s="1056"/>
      <c r="AJG171" s="1056"/>
      <c r="AJH171" s="1056"/>
      <c r="AJI171" s="1056"/>
      <c r="AJJ171" s="1056"/>
      <c r="AJK171" s="1056"/>
      <c r="AJL171" s="1056"/>
      <c r="AJM171" s="1056"/>
      <c r="AJN171" s="1056"/>
      <c r="AJO171" s="1056"/>
      <c r="AJP171" s="1056"/>
      <c r="AJQ171" s="1056"/>
      <c r="AJR171" s="1056"/>
      <c r="AJS171" s="1056"/>
      <c r="AJT171" s="1056"/>
      <c r="AJU171" s="1056"/>
      <c r="AJV171" s="1056"/>
      <c r="AJW171" s="1056"/>
      <c r="AJX171" s="1056"/>
      <c r="AJY171" s="1056"/>
      <c r="AJZ171" s="1056"/>
      <c r="AKA171" s="1056"/>
      <c r="AKB171" s="1056"/>
      <c r="AKC171" s="1056"/>
      <c r="AKD171" s="1056"/>
      <c r="AKE171" s="1056"/>
      <c r="AKF171" s="1056"/>
      <c r="AKG171" s="1056"/>
      <c r="AKH171" s="1056"/>
      <c r="AKI171" s="1056"/>
      <c r="AKJ171" s="1056"/>
      <c r="AKK171" s="1056"/>
      <c r="AKL171" s="1056"/>
      <c r="AKM171" s="1056"/>
      <c r="AKN171" s="1056"/>
      <c r="AKO171" s="1056"/>
      <c r="AKP171" s="1056"/>
      <c r="AKQ171" s="1056"/>
      <c r="AKR171" s="1056"/>
      <c r="AKS171" s="1056"/>
      <c r="AKT171" s="1056"/>
      <c r="AKU171" s="1056"/>
      <c r="AKV171" s="1056"/>
      <c r="AKW171" s="1056"/>
      <c r="AKX171" s="1056"/>
      <c r="AKY171" s="1056"/>
      <c r="AKZ171" s="1056"/>
      <c r="ALA171" s="1056"/>
      <c r="ALB171" s="1056"/>
      <c r="ALC171" s="1056"/>
      <c r="ALD171" s="1056"/>
      <c r="ALE171" s="1056"/>
      <c r="ALF171" s="1056"/>
      <c r="ALG171" s="1056"/>
      <c r="ALH171" s="1056"/>
      <c r="ALI171" s="1056"/>
      <c r="ALJ171" s="1056"/>
      <c r="ALK171" s="1056"/>
      <c r="ALL171" s="1056"/>
      <c r="ALM171" s="1056"/>
      <c r="ALN171" s="1056"/>
      <c r="ALO171" s="1056"/>
      <c r="ALP171" s="1056"/>
      <c r="ALQ171" s="1056"/>
      <c r="ALR171" s="1056"/>
      <c r="ALS171" s="1056"/>
      <c r="ALT171" s="1056"/>
      <c r="ALU171" s="1056"/>
      <c r="ALV171" s="1056"/>
      <c r="ALW171" s="1056"/>
      <c r="ALX171" s="1056"/>
      <c r="ALY171" s="1056"/>
      <c r="ALZ171" s="1056"/>
      <c r="AMA171" s="1056"/>
      <c r="AMB171" s="1056"/>
      <c r="AMC171" s="1056"/>
      <c r="AMD171" s="1056"/>
      <c r="AME171" s="1056"/>
      <c r="AMF171" s="1056"/>
      <c r="AMG171" s="1056"/>
      <c r="AMH171" s="1056"/>
      <c r="AMI171" s="1056"/>
      <c r="AMJ171" s="1056"/>
      <c r="AMK171" s="1056"/>
      <c r="AML171" s="1056"/>
      <c r="AMM171" s="1056"/>
      <c r="AMN171" s="1056"/>
      <c r="AMO171" s="1056"/>
      <c r="AMP171" s="1056"/>
      <c r="AMQ171" s="1056"/>
      <c r="AMR171" s="1056"/>
      <c r="AMS171" s="1056"/>
      <c r="AMT171" s="1056"/>
      <c r="AMU171" s="1056"/>
      <c r="AMV171" s="1056"/>
      <c r="AMW171" s="1056"/>
      <c r="AMX171" s="1056"/>
      <c r="AMY171" s="1056"/>
      <c r="AMZ171" s="1056"/>
      <c r="ANA171" s="1056"/>
      <c r="ANB171" s="1056"/>
      <c r="ANC171" s="1056"/>
      <c r="AND171" s="1056"/>
      <c r="ANE171" s="1056"/>
      <c r="ANF171" s="1056"/>
      <c r="ANG171" s="1056"/>
      <c r="ANH171" s="1056"/>
      <c r="ANI171" s="1056"/>
      <c r="ANJ171" s="1056"/>
      <c r="ANK171" s="1056"/>
      <c r="ANL171" s="1056"/>
      <c r="ANM171" s="1056"/>
      <c r="ANN171" s="1056"/>
      <c r="ANO171" s="1056"/>
      <c r="ANP171" s="1056"/>
      <c r="ANQ171" s="1056"/>
      <c r="ANR171" s="1056"/>
      <c r="ANS171" s="1056"/>
      <c r="ANT171" s="1056"/>
      <c r="ANU171" s="1056"/>
      <c r="ANV171" s="1056"/>
      <c r="ANW171" s="1056"/>
      <c r="ANX171" s="1056"/>
      <c r="ANY171" s="1056"/>
      <c r="ANZ171" s="1056"/>
      <c r="AOA171" s="1056"/>
      <c r="AOB171" s="1056"/>
      <c r="AOC171" s="1056"/>
      <c r="AOD171" s="1056"/>
      <c r="AOE171" s="1056"/>
      <c r="AOF171" s="1056"/>
      <c r="AOG171" s="1056"/>
      <c r="AOH171" s="1056"/>
      <c r="AOI171" s="1056"/>
      <c r="AOJ171" s="1056"/>
      <c r="AOK171" s="1056"/>
      <c r="AOL171" s="1056"/>
      <c r="AOM171" s="1056"/>
      <c r="AON171" s="1056"/>
      <c r="AOO171" s="1056"/>
      <c r="AOP171" s="1056"/>
      <c r="AOQ171" s="1056"/>
      <c r="AOR171" s="1056"/>
      <c r="AOS171" s="1056"/>
      <c r="AOT171" s="1056"/>
      <c r="AOU171" s="1056"/>
      <c r="AOV171" s="1056"/>
      <c r="AOW171" s="1056"/>
      <c r="AOX171" s="1056"/>
      <c r="AOY171" s="1056"/>
      <c r="AOZ171" s="1056"/>
      <c r="APA171" s="1056"/>
      <c r="APB171" s="1056"/>
      <c r="APC171" s="1056"/>
      <c r="APD171" s="1056"/>
      <c r="APE171" s="1056"/>
      <c r="APF171" s="1056"/>
      <c r="APG171" s="1056"/>
      <c r="APH171" s="1056"/>
      <c r="API171" s="1056"/>
      <c r="APJ171" s="1056"/>
      <c r="APK171" s="1056"/>
      <c r="APL171" s="1056"/>
      <c r="APM171" s="1056"/>
      <c r="APN171" s="1056"/>
      <c r="APO171" s="1056"/>
      <c r="APP171" s="1056"/>
      <c r="APQ171" s="1056"/>
      <c r="APR171" s="1056"/>
      <c r="APS171" s="1056"/>
      <c r="APT171" s="1056"/>
      <c r="APU171" s="1056"/>
      <c r="APV171" s="1056"/>
      <c r="APW171" s="1056"/>
      <c r="APX171" s="1056"/>
      <c r="APY171" s="1056"/>
      <c r="APZ171" s="1056"/>
      <c r="AQA171" s="1056"/>
      <c r="AQB171" s="1056"/>
      <c r="AQC171" s="1056"/>
      <c r="AQD171" s="1056"/>
      <c r="AQE171" s="1056"/>
      <c r="AQF171" s="1056"/>
      <c r="AQG171" s="1056"/>
      <c r="AQH171" s="1056"/>
      <c r="AQI171" s="1056"/>
      <c r="AQJ171" s="1056"/>
      <c r="AQK171" s="1056"/>
      <c r="AQL171" s="1056"/>
      <c r="AQM171" s="1056"/>
      <c r="AQN171" s="1056"/>
      <c r="AQO171" s="1056"/>
      <c r="AQP171" s="1056"/>
      <c r="AQQ171" s="1056"/>
      <c r="AQR171" s="1056"/>
      <c r="AQS171" s="1056"/>
      <c r="AQT171" s="1056"/>
      <c r="AQU171" s="1056"/>
      <c r="AQV171" s="1056"/>
      <c r="AQW171" s="1056"/>
      <c r="AQX171" s="1056"/>
      <c r="AQY171" s="1056"/>
      <c r="AQZ171" s="1056"/>
      <c r="ARA171" s="1056"/>
      <c r="ARB171" s="1056"/>
      <c r="ARC171" s="1056"/>
      <c r="ARD171" s="1056"/>
      <c r="ARE171" s="1056"/>
      <c r="ARF171" s="1056"/>
      <c r="ARG171" s="1056"/>
      <c r="ARH171" s="1056"/>
      <c r="ARI171" s="1056"/>
      <c r="ARJ171" s="1056"/>
      <c r="ARK171" s="1056"/>
      <c r="ARL171" s="1056"/>
      <c r="ARM171" s="1056"/>
      <c r="ARN171" s="1056"/>
      <c r="ARO171" s="1056"/>
      <c r="ARP171" s="1056"/>
      <c r="ARQ171" s="1056"/>
      <c r="ARR171" s="1056"/>
      <c r="ARS171" s="1056"/>
      <c r="ART171" s="1056"/>
      <c r="ARU171" s="1056"/>
      <c r="ARV171" s="1056"/>
      <c r="ARW171" s="1056"/>
      <c r="ARX171" s="1056"/>
      <c r="ARY171" s="1056"/>
      <c r="ARZ171" s="1056"/>
      <c r="ASA171" s="1056"/>
      <c r="ASB171" s="1056"/>
      <c r="ASC171" s="1056"/>
      <c r="ASD171" s="1056"/>
      <c r="ASE171" s="1056"/>
      <c r="ASF171" s="1056"/>
      <c r="ASG171" s="1056"/>
      <c r="ASH171" s="1056"/>
      <c r="ASI171" s="1056"/>
      <c r="ASJ171" s="1056"/>
      <c r="ASK171" s="1056"/>
      <c r="ASL171" s="1056"/>
      <c r="ASM171" s="1056"/>
      <c r="ASN171" s="1056"/>
      <c r="ASO171" s="1056"/>
      <c r="ASP171" s="1056"/>
      <c r="ASQ171" s="1056"/>
      <c r="ASR171" s="1056"/>
      <c r="ASS171" s="1056"/>
      <c r="AST171" s="1056"/>
      <c r="ASU171" s="1056"/>
      <c r="ASV171" s="1056"/>
      <c r="ASW171" s="1056"/>
      <c r="ASX171" s="1056"/>
      <c r="ASY171" s="1056"/>
      <c r="ASZ171" s="1056"/>
      <c r="ATA171" s="1056"/>
      <c r="ATB171" s="1056"/>
      <c r="ATC171" s="1056"/>
      <c r="ATD171" s="1056"/>
      <c r="ATE171" s="1056"/>
      <c r="ATF171" s="1056"/>
      <c r="ATG171" s="1056"/>
      <c r="ATH171" s="1056"/>
      <c r="ATI171" s="1056"/>
      <c r="ATJ171" s="1056"/>
      <c r="ATK171" s="1056"/>
      <c r="ATL171" s="1056"/>
      <c r="ATM171" s="1056"/>
      <c r="ATN171" s="1056"/>
      <c r="ATO171" s="1056"/>
      <c r="ATP171" s="1056"/>
      <c r="ATQ171" s="1056"/>
      <c r="ATR171" s="1056"/>
      <c r="ATS171" s="1056"/>
      <c r="ATT171" s="1056"/>
      <c r="ATU171" s="1056"/>
      <c r="ATV171" s="1056"/>
      <c r="ATW171" s="1056"/>
      <c r="ATX171" s="1056"/>
      <c r="ATY171" s="1056"/>
      <c r="ATZ171" s="1056"/>
      <c r="AUA171" s="1056"/>
      <c r="AUB171" s="1056"/>
      <c r="AUC171" s="1056"/>
      <c r="AUD171" s="1056"/>
      <c r="AUE171" s="1056"/>
      <c r="AUF171" s="1056"/>
      <c r="AUG171" s="1056"/>
      <c r="AUH171" s="1056"/>
      <c r="AUI171" s="1056"/>
      <c r="AUJ171" s="1056"/>
      <c r="AUK171" s="1056"/>
      <c r="AUL171" s="1056"/>
      <c r="AUM171" s="1056"/>
      <c r="AUN171" s="1056"/>
      <c r="AUO171" s="1056"/>
      <c r="AUP171" s="1056"/>
      <c r="AUQ171" s="1056"/>
      <c r="AUR171" s="1056"/>
      <c r="AUS171" s="1056"/>
      <c r="AUT171" s="1056"/>
      <c r="AUU171" s="1056"/>
      <c r="AUV171" s="1056"/>
      <c r="AUW171" s="1056"/>
      <c r="AUX171" s="1056"/>
      <c r="AUY171" s="1056"/>
      <c r="AUZ171" s="1056"/>
      <c r="AVA171" s="1056"/>
      <c r="AVB171" s="1056"/>
      <c r="AVC171" s="1056"/>
      <c r="AVD171" s="1056"/>
      <c r="AVE171" s="1056"/>
      <c r="AVF171" s="1056"/>
      <c r="AVG171" s="1056"/>
      <c r="AVH171" s="1056"/>
      <c r="AVI171" s="1056"/>
      <c r="AVJ171" s="1056"/>
      <c r="AVK171" s="1056"/>
      <c r="AVL171" s="1056"/>
      <c r="AVM171" s="1056"/>
      <c r="AVN171" s="1056"/>
      <c r="AVO171" s="1056"/>
      <c r="AVP171" s="1056"/>
      <c r="AVQ171" s="1056"/>
      <c r="AVR171" s="1056"/>
      <c r="AVS171" s="1056"/>
      <c r="AVT171" s="1056"/>
      <c r="AVU171" s="1056"/>
      <c r="AVV171" s="1056"/>
      <c r="AVW171" s="1056"/>
      <c r="AVX171" s="1056"/>
      <c r="AVY171" s="1056"/>
      <c r="AVZ171" s="1056"/>
      <c r="AWA171" s="1056"/>
      <c r="AWB171" s="1056"/>
      <c r="AWC171" s="1056"/>
      <c r="AWD171" s="1056"/>
      <c r="AWE171" s="1056"/>
      <c r="AWF171" s="1056"/>
      <c r="AWG171" s="1056"/>
      <c r="AWH171" s="1056"/>
      <c r="AWI171" s="1056"/>
      <c r="AWJ171" s="1056"/>
      <c r="AWK171" s="1056"/>
      <c r="AWL171" s="1056"/>
      <c r="AWM171" s="1056"/>
      <c r="AWN171" s="1056"/>
      <c r="AWO171" s="1056"/>
      <c r="AWP171" s="1056"/>
      <c r="AWQ171" s="1056"/>
      <c r="AWR171" s="1056"/>
      <c r="AWS171" s="1056"/>
      <c r="AWT171" s="1056"/>
      <c r="AWU171" s="1056"/>
      <c r="AWV171" s="1056"/>
      <c r="AWW171" s="1056"/>
      <c r="AWX171" s="1056"/>
      <c r="AWY171" s="1056"/>
      <c r="AWZ171" s="1056"/>
      <c r="AXA171" s="1056"/>
      <c r="AXB171" s="1056"/>
      <c r="AXC171" s="1056"/>
      <c r="AXD171" s="1056"/>
      <c r="AXE171" s="1056"/>
      <c r="AXF171" s="1056"/>
      <c r="AXG171" s="1056"/>
      <c r="AXH171" s="1056"/>
      <c r="AXI171" s="1056"/>
      <c r="AXJ171" s="1056"/>
      <c r="AXK171" s="1056"/>
      <c r="AXL171" s="1056"/>
      <c r="AXM171" s="1056"/>
      <c r="AXN171" s="1056"/>
      <c r="AXO171" s="1056"/>
      <c r="AXP171" s="1056"/>
      <c r="AXQ171" s="1056"/>
      <c r="AXR171" s="1056"/>
      <c r="AXS171" s="1056"/>
      <c r="AXT171" s="1056"/>
      <c r="AXU171" s="1056"/>
      <c r="AXV171" s="1056"/>
      <c r="AXW171" s="1056"/>
      <c r="AXX171" s="1056"/>
      <c r="AXY171" s="1056"/>
      <c r="AXZ171" s="1056"/>
      <c r="AYA171" s="1056"/>
      <c r="AYB171" s="1056"/>
      <c r="AYC171" s="1056"/>
      <c r="AYD171" s="1056"/>
      <c r="AYE171" s="1056"/>
      <c r="AYF171" s="1056"/>
      <c r="AYG171" s="1056"/>
      <c r="AYH171" s="1056"/>
      <c r="AYI171" s="1056"/>
      <c r="AYJ171" s="1056"/>
      <c r="AYK171" s="1056"/>
      <c r="AYL171" s="1056"/>
      <c r="AYM171" s="1056"/>
      <c r="AYN171" s="1056"/>
      <c r="AYO171" s="1056"/>
      <c r="AYP171" s="1056"/>
      <c r="AYQ171" s="1056"/>
      <c r="AYR171" s="1056"/>
      <c r="AYS171" s="1056"/>
      <c r="AYT171" s="1056"/>
      <c r="AYU171" s="1056"/>
      <c r="AYV171" s="1056"/>
      <c r="AYW171" s="1056"/>
      <c r="AYX171" s="1056"/>
      <c r="AYY171" s="1056"/>
      <c r="AYZ171" s="1056"/>
      <c r="AZA171" s="1056"/>
      <c r="AZB171" s="1056"/>
      <c r="AZC171" s="1056"/>
      <c r="AZD171" s="1056"/>
      <c r="AZE171" s="1056"/>
      <c r="AZF171" s="1056"/>
      <c r="AZG171" s="1056"/>
      <c r="AZH171" s="1056"/>
      <c r="AZI171" s="1056"/>
      <c r="AZJ171" s="1056"/>
      <c r="AZK171" s="1056"/>
      <c r="AZL171" s="1056"/>
      <c r="AZM171" s="1056"/>
      <c r="AZN171" s="1056"/>
      <c r="AZO171" s="1056"/>
      <c r="AZP171" s="1056"/>
      <c r="AZQ171" s="1056"/>
      <c r="AZR171" s="1056"/>
      <c r="AZS171" s="1056"/>
      <c r="AZT171" s="1056"/>
      <c r="AZU171" s="1056"/>
      <c r="AZV171" s="1056"/>
      <c r="AZW171" s="1056"/>
      <c r="AZX171" s="1056"/>
      <c r="AZY171" s="1056"/>
      <c r="AZZ171" s="1056"/>
      <c r="BAA171" s="1056"/>
      <c r="BAB171" s="1056"/>
      <c r="BAC171" s="1056"/>
      <c r="BAD171" s="1056"/>
      <c r="BAE171" s="1056"/>
      <c r="BAF171" s="1056"/>
      <c r="BAG171" s="1056"/>
      <c r="BAH171" s="1056"/>
      <c r="BAI171" s="1056"/>
      <c r="BAJ171" s="1056"/>
      <c r="BAK171" s="1056"/>
      <c r="BAL171" s="1056"/>
      <c r="BAM171" s="1056"/>
      <c r="BAN171" s="1056"/>
      <c r="BAO171" s="1056"/>
      <c r="BAP171" s="1056"/>
      <c r="BAQ171" s="1056"/>
      <c r="BAR171" s="1056"/>
      <c r="BAS171" s="1056"/>
      <c r="BAT171" s="1056"/>
      <c r="BAU171" s="1056"/>
      <c r="BAV171" s="1056"/>
      <c r="BAW171" s="1056"/>
      <c r="BAX171" s="1056"/>
      <c r="BAY171" s="1056"/>
      <c r="BAZ171" s="1056"/>
      <c r="BBA171" s="1056"/>
      <c r="BBB171" s="1056"/>
      <c r="BBC171" s="1056"/>
      <c r="BBD171" s="1056"/>
      <c r="BBE171" s="1056"/>
      <c r="BBF171" s="1056"/>
      <c r="BBG171" s="1056"/>
      <c r="BBH171" s="1056"/>
      <c r="BBI171" s="1056"/>
      <c r="BBJ171" s="1056"/>
      <c r="BBK171" s="1056"/>
      <c r="BBL171" s="1056"/>
      <c r="BBM171" s="1056"/>
      <c r="BBN171" s="1056"/>
      <c r="BBO171" s="1056"/>
      <c r="BBP171" s="1056"/>
      <c r="BBQ171" s="1056"/>
      <c r="BBR171" s="1056"/>
      <c r="BBS171" s="1056"/>
      <c r="BBT171" s="1056"/>
      <c r="BBU171" s="1056"/>
      <c r="BBV171" s="1056"/>
      <c r="BBW171" s="1056"/>
      <c r="BBX171" s="1056"/>
      <c r="BBY171" s="1056"/>
      <c r="BBZ171" s="1056"/>
      <c r="BCA171" s="1056"/>
      <c r="BCB171" s="1056"/>
      <c r="BCC171" s="1056"/>
      <c r="BCD171" s="1056"/>
      <c r="BCE171" s="1056"/>
      <c r="BCF171" s="1056"/>
      <c r="BCG171" s="1056"/>
      <c r="BCH171" s="1056"/>
      <c r="BCI171" s="1056"/>
      <c r="BCJ171" s="1056"/>
      <c r="BCK171" s="1056"/>
      <c r="BCL171" s="1056"/>
      <c r="BCM171" s="1056"/>
      <c r="BCN171" s="1056"/>
      <c r="BCO171" s="1056"/>
      <c r="BCP171" s="1056"/>
      <c r="BCQ171" s="1056"/>
      <c r="BCR171" s="1056"/>
      <c r="BCS171" s="1056"/>
      <c r="BCT171" s="1056"/>
      <c r="BCU171" s="1056"/>
      <c r="BCV171" s="1056"/>
      <c r="BCW171" s="1056"/>
      <c r="BCX171" s="1056"/>
      <c r="BCY171" s="1056"/>
      <c r="BCZ171" s="1056"/>
      <c r="BDA171" s="1056"/>
      <c r="BDB171" s="1056"/>
      <c r="BDC171" s="1056"/>
      <c r="BDD171" s="1056"/>
      <c r="BDE171" s="1056"/>
      <c r="BDF171" s="1056"/>
      <c r="BDG171" s="1056"/>
      <c r="BDH171" s="1056"/>
      <c r="BDI171" s="1056"/>
      <c r="BDJ171" s="1056"/>
      <c r="BDK171" s="1056"/>
      <c r="BDL171" s="1056"/>
      <c r="BDM171" s="1056"/>
      <c r="BDN171" s="1056"/>
      <c r="BDO171" s="1056"/>
      <c r="BDP171" s="1056"/>
      <c r="BDQ171" s="1056"/>
      <c r="BDR171" s="1056"/>
      <c r="BDS171" s="1056"/>
      <c r="BDT171" s="1056"/>
      <c r="BDU171" s="1056"/>
      <c r="BDV171" s="1056"/>
      <c r="BDW171" s="1056"/>
      <c r="BDX171" s="1056"/>
      <c r="BDY171" s="1056"/>
      <c r="BDZ171" s="1056"/>
      <c r="BEA171" s="1056"/>
      <c r="BEB171" s="1056"/>
      <c r="BEC171" s="1056"/>
      <c r="BED171" s="1056"/>
      <c r="BEE171" s="1056"/>
      <c r="BEF171" s="1056"/>
      <c r="BEG171" s="1056"/>
      <c r="BEH171" s="1056"/>
      <c r="BEI171" s="1056"/>
      <c r="BEJ171" s="1056"/>
      <c r="BEK171" s="1056"/>
      <c r="BEL171" s="1056"/>
      <c r="BEM171" s="1056"/>
      <c r="BEN171" s="1056"/>
      <c r="BEO171" s="1056"/>
      <c r="BEP171" s="1056"/>
      <c r="BEQ171" s="1056"/>
      <c r="BER171" s="1056"/>
      <c r="BES171" s="1056"/>
      <c r="BET171" s="1056"/>
      <c r="BEU171" s="1056"/>
      <c r="BEV171" s="1056"/>
      <c r="BEW171" s="1056"/>
      <c r="BEX171" s="1056"/>
      <c r="BEY171" s="1056"/>
      <c r="BEZ171" s="1056"/>
      <c r="BFA171" s="1056"/>
      <c r="BFB171" s="1056"/>
      <c r="BFC171" s="1056"/>
      <c r="BFD171" s="1056"/>
      <c r="BFE171" s="1056"/>
      <c r="BFF171" s="1056"/>
      <c r="BFG171" s="1056"/>
      <c r="BFH171" s="1056"/>
      <c r="BFI171" s="1056"/>
      <c r="BFJ171" s="1056"/>
      <c r="BFK171" s="1056"/>
      <c r="BFL171" s="1056"/>
      <c r="BFM171" s="1056"/>
      <c r="BFN171" s="1056"/>
      <c r="BFO171" s="1056"/>
      <c r="BFP171" s="1056"/>
      <c r="BFQ171" s="1056"/>
      <c r="BFR171" s="1056"/>
      <c r="BFS171" s="1056"/>
      <c r="BFT171" s="1056"/>
      <c r="BFU171" s="1056"/>
      <c r="BFV171" s="1056"/>
      <c r="BFW171" s="1056"/>
      <c r="BFX171" s="1056"/>
      <c r="BFY171" s="1056"/>
      <c r="BFZ171" s="1056"/>
      <c r="BGA171" s="1056"/>
      <c r="BGB171" s="1056"/>
      <c r="BGC171" s="1056"/>
      <c r="BGD171" s="1056"/>
      <c r="BGE171" s="1056"/>
      <c r="BGF171" s="1056"/>
      <c r="BGG171" s="1056"/>
      <c r="BGH171" s="1056"/>
      <c r="BGI171" s="1056"/>
      <c r="BGJ171" s="1056"/>
      <c r="BGK171" s="1056"/>
      <c r="BGL171" s="1056"/>
      <c r="BGM171" s="1056"/>
      <c r="BGN171" s="1056"/>
      <c r="BGO171" s="1056"/>
      <c r="BGP171" s="1056"/>
      <c r="BGQ171" s="1056"/>
      <c r="BGR171" s="1056"/>
      <c r="BGS171" s="1056"/>
      <c r="BGT171" s="1056"/>
      <c r="BGU171" s="1056"/>
      <c r="BGV171" s="1056"/>
      <c r="BGW171" s="1056"/>
      <c r="BGX171" s="1056"/>
      <c r="BGY171" s="1056"/>
      <c r="BGZ171" s="1056"/>
      <c r="BHA171" s="1056"/>
      <c r="BHB171" s="1056"/>
      <c r="BHC171" s="1056"/>
      <c r="BHD171" s="1056"/>
      <c r="BHE171" s="1056"/>
      <c r="BHF171" s="1056"/>
      <c r="BHG171" s="1056"/>
      <c r="BHH171" s="1056"/>
      <c r="BHI171" s="1056"/>
      <c r="BHJ171" s="1056"/>
      <c r="BHK171" s="1056"/>
      <c r="BHL171" s="1056"/>
      <c r="BHM171" s="1056"/>
      <c r="BHN171" s="1056"/>
      <c r="BHO171" s="1056"/>
      <c r="BHP171" s="1056"/>
      <c r="BHQ171" s="1056"/>
      <c r="BHR171" s="1056"/>
      <c r="BHS171" s="1056"/>
      <c r="BHT171" s="1056"/>
      <c r="BHU171" s="1056"/>
      <c r="BHV171" s="1056"/>
      <c r="BHW171" s="1056"/>
      <c r="BHX171" s="1056"/>
      <c r="BHY171" s="1056"/>
      <c r="BHZ171" s="1056"/>
      <c r="BIA171" s="1056"/>
      <c r="BIB171" s="1056"/>
      <c r="BIC171" s="1056"/>
      <c r="BID171" s="1056"/>
      <c r="BIE171" s="1056"/>
      <c r="BIF171" s="1056"/>
      <c r="BIG171" s="1056"/>
      <c r="BIH171" s="1056"/>
      <c r="BII171" s="1056"/>
      <c r="BIJ171" s="1056"/>
      <c r="BIK171" s="1056"/>
      <c r="BIL171" s="1056"/>
      <c r="BIM171" s="1056"/>
      <c r="BIN171" s="1056"/>
      <c r="BIO171" s="1056"/>
      <c r="BIP171" s="1056"/>
      <c r="BIQ171" s="1056"/>
      <c r="BIR171" s="1056"/>
      <c r="BIS171" s="1056"/>
      <c r="BIT171" s="1056"/>
      <c r="BIU171" s="1056"/>
      <c r="BIV171" s="1056"/>
      <c r="BIW171" s="1056"/>
      <c r="BIX171" s="1056"/>
      <c r="BIY171" s="1056"/>
      <c r="BIZ171" s="1056"/>
      <c r="BJA171" s="1056"/>
      <c r="BJB171" s="1056"/>
      <c r="BJC171" s="1056"/>
      <c r="BJD171" s="1056"/>
      <c r="BJE171" s="1056"/>
      <c r="BJF171" s="1056"/>
      <c r="BJG171" s="1056"/>
      <c r="BJH171" s="1056"/>
      <c r="BJI171" s="1056"/>
      <c r="BJJ171" s="1056"/>
      <c r="BJK171" s="1056"/>
      <c r="BJL171" s="1056"/>
      <c r="BJM171" s="1056"/>
      <c r="BJN171" s="1056"/>
      <c r="BJO171" s="1056"/>
      <c r="BJP171" s="1056"/>
      <c r="BJQ171" s="1056"/>
      <c r="BJR171" s="1056"/>
      <c r="BJS171" s="1056"/>
      <c r="BJT171" s="1056"/>
      <c r="BJU171" s="1056"/>
      <c r="BJV171" s="1056"/>
      <c r="BJW171" s="1056"/>
      <c r="BJX171" s="1056"/>
      <c r="BJY171" s="1056"/>
      <c r="BJZ171" s="1056"/>
      <c r="BKA171" s="1056"/>
      <c r="BKB171" s="1056"/>
      <c r="BKC171" s="1056"/>
      <c r="BKD171" s="1056"/>
      <c r="BKE171" s="1056"/>
      <c r="BKF171" s="1056"/>
      <c r="BKG171" s="1056"/>
      <c r="BKH171" s="1056"/>
      <c r="BKI171" s="1056"/>
      <c r="BKJ171" s="1056"/>
      <c r="BKK171" s="1056"/>
      <c r="BKL171" s="1056"/>
      <c r="BKM171" s="1056"/>
      <c r="BKN171" s="1056"/>
      <c r="BKO171" s="1056"/>
      <c r="BKP171" s="1056"/>
      <c r="BKQ171" s="1056"/>
      <c r="BKR171" s="1056"/>
      <c r="BKS171" s="1056"/>
      <c r="BKT171" s="1056"/>
      <c r="BKU171" s="1056"/>
      <c r="BKV171" s="1056"/>
      <c r="BKW171" s="1056"/>
      <c r="BKX171" s="1056"/>
      <c r="BKY171" s="1056"/>
      <c r="BKZ171" s="1056"/>
      <c r="BLA171" s="1056"/>
      <c r="BLB171" s="1056"/>
      <c r="BLC171" s="1056"/>
      <c r="BLD171" s="1056"/>
      <c r="BLE171" s="1056"/>
      <c r="BLF171" s="1056"/>
      <c r="BLG171" s="1056"/>
      <c r="BLH171" s="1056"/>
      <c r="BLI171" s="1056"/>
      <c r="BLJ171" s="1056"/>
      <c r="BLK171" s="1056"/>
      <c r="BLL171" s="1056"/>
      <c r="BLM171" s="1056"/>
      <c r="BLN171" s="1056"/>
      <c r="BLO171" s="1056"/>
      <c r="BLP171" s="1056"/>
      <c r="BLQ171" s="1056"/>
      <c r="BLR171" s="1056"/>
      <c r="BLS171" s="1056"/>
      <c r="BLT171" s="1056"/>
      <c r="BLU171" s="1056"/>
      <c r="BLV171" s="1056"/>
      <c r="BLW171" s="1056"/>
      <c r="BLX171" s="1056"/>
      <c r="BLY171" s="1056"/>
      <c r="BLZ171" s="1056"/>
      <c r="BMA171" s="1056"/>
      <c r="BMB171" s="1056"/>
      <c r="BMC171" s="1056"/>
      <c r="BMD171" s="1056"/>
      <c r="BME171" s="1056"/>
      <c r="BMF171" s="1056"/>
      <c r="BMG171" s="1056"/>
      <c r="BMH171" s="1056"/>
      <c r="BMI171" s="1056"/>
      <c r="BMJ171" s="1056"/>
      <c r="BMK171" s="1056"/>
      <c r="BML171" s="1056"/>
      <c r="BMM171" s="1056"/>
      <c r="BMN171" s="1056"/>
      <c r="BMO171" s="1056"/>
      <c r="BMP171" s="1056"/>
      <c r="BMQ171" s="1056"/>
      <c r="BMR171" s="1056"/>
      <c r="BMS171" s="1056"/>
      <c r="BMT171" s="1056"/>
      <c r="BMU171" s="1056"/>
      <c r="BMV171" s="1056"/>
      <c r="BMW171" s="1056"/>
      <c r="BMX171" s="1056"/>
      <c r="BMY171" s="1056"/>
      <c r="BMZ171" s="1056"/>
      <c r="BNA171" s="1056"/>
      <c r="BNB171" s="1056"/>
      <c r="BNC171" s="1056"/>
      <c r="BND171" s="1056"/>
      <c r="BNE171" s="1056"/>
      <c r="BNF171" s="1056"/>
      <c r="BNG171" s="1056"/>
      <c r="BNH171" s="1056"/>
      <c r="BNI171" s="1056"/>
      <c r="BNJ171" s="1056"/>
      <c r="BNK171" s="1056"/>
      <c r="BNL171" s="1056"/>
      <c r="BNM171" s="1056"/>
      <c r="BNN171" s="1056"/>
      <c r="BNO171" s="1056"/>
      <c r="BNP171" s="1056"/>
      <c r="BNQ171" s="1056"/>
      <c r="BNR171" s="1056"/>
      <c r="BNS171" s="1056"/>
      <c r="BNT171" s="1056"/>
      <c r="BNU171" s="1056"/>
      <c r="BNV171" s="1056"/>
      <c r="BNW171" s="1056"/>
      <c r="BNX171" s="1056"/>
      <c r="BNY171" s="1056"/>
      <c r="BNZ171" s="1056"/>
      <c r="BOA171" s="1056"/>
      <c r="BOB171" s="1056"/>
      <c r="BOC171" s="1056"/>
      <c r="BOD171" s="1056"/>
      <c r="BOE171" s="1056"/>
      <c r="BOF171" s="1056"/>
      <c r="BOG171" s="1056"/>
      <c r="BOH171" s="1056"/>
      <c r="BOI171" s="1056"/>
      <c r="BOJ171" s="1056"/>
      <c r="BOK171" s="1056"/>
      <c r="BOL171" s="1056"/>
      <c r="BOM171" s="1056"/>
      <c r="BON171" s="1056"/>
      <c r="BOO171" s="1056"/>
      <c r="BOP171" s="1056"/>
      <c r="BOQ171" s="1056"/>
      <c r="BOR171" s="1056"/>
      <c r="BOS171" s="1056"/>
      <c r="BOT171" s="1056"/>
      <c r="BOU171" s="1056"/>
      <c r="BOV171" s="1056"/>
      <c r="BOW171" s="1056"/>
      <c r="BOX171" s="1056"/>
      <c r="BOY171" s="1056"/>
      <c r="BOZ171" s="1056"/>
      <c r="BPA171" s="1056"/>
      <c r="BPB171" s="1056"/>
      <c r="BPC171" s="1056"/>
      <c r="BPD171" s="1056"/>
      <c r="BPE171" s="1056"/>
      <c r="BPF171" s="1056"/>
      <c r="BPG171" s="1056"/>
      <c r="BPH171" s="1056"/>
      <c r="BPI171" s="1056"/>
      <c r="BPJ171" s="1056"/>
      <c r="BPK171" s="1056"/>
      <c r="BPL171" s="1056"/>
      <c r="BPM171" s="1056"/>
      <c r="BPN171" s="1056"/>
      <c r="BPO171" s="1056"/>
      <c r="BPP171" s="1056"/>
      <c r="BPQ171" s="1056"/>
      <c r="BPR171" s="1056"/>
      <c r="BPS171" s="1056"/>
      <c r="BPT171" s="1056"/>
      <c r="BPU171" s="1056"/>
      <c r="BPV171" s="1056"/>
      <c r="BPW171" s="1056"/>
      <c r="BPX171" s="1056"/>
      <c r="BPY171" s="1056"/>
      <c r="BPZ171" s="1056"/>
      <c r="BQA171" s="1056"/>
      <c r="BQB171" s="1056"/>
      <c r="BQC171" s="1056"/>
      <c r="BQD171" s="1056"/>
      <c r="BQE171" s="1056"/>
      <c r="BQF171" s="1056"/>
      <c r="BQG171" s="1056"/>
      <c r="BQH171" s="1056"/>
      <c r="BQI171" s="1056"/>
      <c r="BQJ171" s="1056"/>
      <c r="BQK171" s="1056"/>
      <c r="BQL171" s="1056"/>
      <c r="BQM171" s="1056"/>
      <c r="BQN171" s="1056"/>
      <c r="BQO171" s="1056"/>
      <c r="BQP171" s="1056"/>
      <c r="BQQ171" s="1056"/>
      <c r="BQR171" s="1056"/>
      <c r="BQS171" s="1056"/>
      <c r="BQT171" s="1056"/>
      <c r="BQU171" s="1056"/>
      <c r="BQV171" s="1056"/>
      <c r="BQW171" s="1056"/>
      <c r="BQX171" s="1056"/>
      <c r="BQY171" s="1056"/>
      <c r="BQZ171" s="1056"/>
      <c r="BRA171" s="1056"/>
      <c r="BRB171" s="1056"/>
      <c r="BRC171" s="1056"/>
      <c r="BRD171" s="1056"/>
      <c r="BRE171" s="1056"/>
      <c r="BRF171" s="1056"/>
      <c r="BRG171" s="1056"/>
      <c r="BRH171" s="1056"/>
      <c r="BRI171" s="1056"/>
      <c r="BRJ171" s="1056"/>
      <c r="BRK171" s="1056"/>
      <c r="BRL171" s="1056"/>
      <c r="BRM171" s="1056"/>
      <c r="BRN171" s="1056"/>
      <c r="BRO171" s="1056"/>
      <c r="BRP171" s="1056"/>
      <c r="BRQ171" s="1056"/>
      <c r="BRR171" s="1056"/>
      <c r="BRS171" s="1056"/>
      <c r="BRT171" s="1056"/>
      <c r="BRU171" s="1056"/>
      <c r="BRV171" s="1056"/>
      <c r="BRW171" s="1056"/>
      <c r="BRX171" s="1056"/>
      <c r="BRY171" s="1056"/>
      <c r="BRZ171" s="1056"/>
      <c r="BSA171" s="1056"/>
      <c r="BSB171" s="1056"/>
      <c r="BSC171" s="1056"/>
      <c r="BSD171" s="1056"/>
      <c r="BSE171" s="1056"/>
      <c r="BSF171" s="1056"/>
      <c r="BSG171" s="1056"/>
      <c r="BSH171" s="1056"/>
      <c r="BSI171" s="1056"/>
      <c r="BSJ171" s="1056"/>
      <c r="BSK171" s="1056"/>
      <c r="BSL171" s="1056"/>
      <c r="BSM171" s="1056"/>
      <c r="BSN171" s="1056"/>
      <c r="BSO171" s="1056"/>
      <c r="BSP171" s="1056"/>
      <c r="BSQ171" s="1056"/>
      <c r="BSR171" s="1056"/>
      <c r="BSS171" s="1056"/>
      <c r="BST171" s="1056"/>
      <c r="BSU171" s="1056"/>
      <c r="BSV171" s="1056"/>
      <c r="BSW171" s="1056"/>
      <c r="BSX171" s="1056"/>
      <c r="BSY171" s="1056"/>
      <c r="BSZ171" s="1056"/>
      <c r="BTA171" s="1056"/>
      <c r="BTB171" s="1056"/>
      <c r="BTC171" s="1056"/>
      <c r="BTD171" s="1056"/>
      <c r="BTE171" s="1056"/>
      <c r="BTF171" s="1056"/>
      <c r="BTG171" s="1056"/>
      <c r="BTH171" s="1056"/>
      <c r="BTI171" s="1056"/>
    </row>
    <row r="172" spans="1:1881" s="1060" customFormat="1" ht="94.5" hidden="1" customHeight="1" x14ac:dyDescent="0.3">
      <c r="A172" s="1059">
        <v>84</v>
      </c>
      <c r="B172" s="808" t="s">
        <v>61</v>
      </c>
      <c r="C172" s="808" t="s">
        <v>1413</v>
      </c>
      <c r="D172" s="1084" t="s">
        <v>159</v>
      </c>
      <c r="E172" s="1053" t="e">
        <f>HLOOKUP($D$2,'2020 Data(H)'!$C$1:$AI$426,48,FALSE)</f>
        <v>#N/A</v>
      </c>
      <c r="F172" s="287">
        <v>0</v>
      </c>
      <c r="G172" s="722">
        <f>IF(F172&gt;=F171,,"Error: Charges for services exceed total operating revenues. Account numbers 84&gt;=88")</f>
        <v>0</v>
      </c>
      <c r="H172" s="764"/>
      <c r="I172" s="1055"/>
      <c r="J172" s="1056"/>
      <c r="K172" s="1056"/>
      <c r="L172" s="1056"/>
      <c r="M172" s="1056"/>
      <c r="N172" s="1058"/>
      <c r="O172" s="1056"/>
      <c r="P172" s="1056"/>
      <c r="Q172" s="1056"/>
      <c r="R172" s="1056"/>
      <c r="S172" s="1056"/>
      <c r="T172" s="1056"/>
      <c r="U172" s="1056"/>
      <c r="V172" s="1056"/>
      <c r="W172" s="1056"/>
      <c r="X172" s="1056"/>
      <c r="Y172" s="1056"/>
      <c r="Z172" s="1059"/>
      <c r="AA172" s="1059"/>
      <c r="AB172" s="1059"/>
      <c r="AC172" s="1059"/>
      <c r="AD172" s="1059"/>
      <c r="AE172" s="1059"/>
      <c r="AF172" s="1059"/>
      <c r="AG172" s="1059"/>
      <c r="AH172" s="1059"/>
      <c r="AI172" s="1059"/>
      <c r="AJ172" s="1059"/>
      <c r="AK172" s="1059"/>
      <c r="AL172" s="1059"/>
      <c r="AM172" s="1059"/>
      <c r="AN172" s="1059"/>
      <c r="AO172" s="1059"/>
      <c r="AP172" s="1059"/>
      <c r="AQ172" s="1059"/>
      <c r="AR172" s="1059"/>
      <c r="AS172" s="1056"/>
      <c r="AT172" s="1056"/>
      <c r="AU172" s="1056"/>
      <c r="AV172" s="1056"/>
      <c r="AW172" s="1056"/>
      <c r="AX172" s="1056"/>
      <c r="AY172" s="1056"/>
      <c r="AZ172" s="1056"/>
      <c r="BA172" s="1056"/>
      <c r="BB172" s="1056"/>
      <c r="BC172" s="1056"/>
      <c r="BD172" s="1056"/>
      <c r="BE172" s="1056"/>
      <c r="BF172" s="1056"/>
      <c r="BG172" s="1056"/>
      <c r="BH172" s="1056"/>
      <c r="BI172" s="1056"/>
      <c r="BJ172" s="1056"/>
      <c r="BK172" s="1056"/>
      <c r="BL172" s="1056"/>
      <c r="BM172" s="1056"/>
      <c r="BN172" s="1056"/>
      <c r="BO172" s="1056"/>
      <c r="BP172" s="1056"/>
      <c r="BQ172" s="1056"/>
      <c r="BR172" s="1056"/>
      <c r="BS172" s="1056"/>
      <c r="BT172" s="1056"/>
      <c r="BU172" s="1056"/>
      <c r="BV172" s="1056"/>
      <c r="BW172" s="1056"/>
      <c r="BX172" s="1056"/>
      <c r="BY172" s="1056"/>
      <c r="BZ172" s="1056"/>
      <c r="CA172" s="1056"/>
      <c r="CB172" s="1056"/>
      <c r="CC172" s="1056"/>
      <c r="CD172" s="1056"/>
      <c r="CE172" s="1056"/>
      <c r="CF172" s="1056"/>
      <c r="CG172" s="1056"/>
      <c r="CH172" s="1056"/>
      <c r="CI172" s="1056"/>
      <c r="CJ172" s="1056"/>
      <c r="CK172" s="1056"/>
      <c r="CL172" s="1056"/>
      <c r="CM172" s="1056"/>
      <c r="CN172" s="1056"/>
      <c r="CO172" s="1056"/>
      <c r="CP172" s="1056"/>
      <c r="CQ172" s="1056"/>
      <c r="CR172" s="1056"/>
      <c r="CS172" s="1056"/>
      <c r="CT172" s="1056"/>
      <c r="CU172" s="1056"/>
      <c r="CV172" s="1056"/>
      <c r="CW172" s="1056"/>
      <c r="CX172" s="1056"/>
      <c r="CY172" s="1056"/>
      <c r="CZ172" s="1056"/>
      <c r="DA172" s="1056"/>
      <c r="DB172" s="1056"/>
      <c r="DC172" s="1056"/>
      <c r="DD172" s="1056"/>
      <c r="DE172" s="1056"/>
      <c r="DF172" s="1056"/>
      <c r="DG172" s="1056"/>
      <c r="DH172" s="1056"/>
      <c r="DI172" s="1056"/>
      <c r="DJ172" s="1056"/>
      <c r="DK172" s="1056"/>
      <c r="DL172" s="1056"/>
      <c r="DM172" s="1056"/>
      <c r="DN172" s="1056"/>
      <c r="DO172" s="1056"/>
      <c r="DP172" s="1056"/>
      <c r="DQ172" s="1056"/>
      <c r="DR172" s="1056"/>
      <c r="DS172" s="1056"/>
      <c r="DT172" s="1056"/>
      <c r="DU172" s="1056"/>
      <c r="DV172" s="1056"/>
      <c r="DW172" s="1056"/>
      <c r="DX172" s="1056"/>
      <c r="DY172" s="1056"/>
      <c r="DZ172" s="1056"/>
      <c r="EA172" s="1056"/>
      <c r="EB172" s="1056"/>
      <c r="EC172" s="1056"/>
      <c r="ED172" s="1056"/>
      <c r="EE172" s="1056"/>
      <c r="EF172" s="1056"/>
      <c r="EG172" s="1056"/>
      <c r="EH172" s="1056"/>
      <c r="EI172" s="1056"/>
      <c r="EJ172" s="1056"/>
      <c r="EK172" s="1056"/>
      <c r="EL172" s="1056"/>
      <c r="EM172" s="1056"/>
      <c r="EN172" s="1056"/>
      <c r="EO172" s="1056"/>
      <c r="EP172" s="1056"/>
      <c r="EQ172" s="1056"/>
      <c r="ER172" s="1056"/>
      <c r="ES172" s="1056"/>
      <c r="ET172" s="1056"/>
      <c r="EU172" s="1056"/>
      <c r="EV172" s="1056"/>
      <c r="EW172" s="1056"/>
      <c r="EX172" s="1056"/>
      <c r="EY172" s="1056"/>
      <c r="EZ172" s="1056"/>
      <c r="FA172" s="1056"/>
      <c r="FB172" s="1056"/>
      <c r="FC172" s="1056"/>
      <c r="FD172" s="1056"/>
      <c r="FE172" s="1056"/>
      <c r="FF172" s="1056"/>
      <c r="FG172" s="1056"/>
      <c r="FH172" s="1056"/>
      <c r="FI172" s="1056"/>
      <c r="FJ172" s="1056"/>
      <c r="FK172" s="1056"/>
      <c r="FL172" s="1056"/>
      <c r="FM172" s="1056"/>
      <c r="FN172" s="1056"/>
      <c r="FO172" s="1056"/>
      <c r="FP172" s="1056"/>
      <c r="FQ172" s="1056"/>
      <c r="FR172" s="1056"/>
      <c r="FS172" s="1056"/>
      <c r="FT172" s="1056"/>
      <c r="FU172" s="1056"/>
      <c r="FV172" s="1056"/>
      <c r="FW172" s="1056"/>
      <c r="FX172" s="1056"/>
      <c r="FY172" s="1056"/>
      <c r="FZ172" s="1056"/>
      <c r="GA172" s="1056"/>
      <c r="GB172" s="1056"/>
      <c r="GC172" s="1056"/>
      <c r="GD172" s="1056"/>
      <c r="GE172" s="1056"/>
      <c r="GF172" s="1056"/>
      <c r="GG172" s="1056"/>
      <c r="GH172" s="1056"/>
      <c r="GI172" s="1056"/>
      <c r="GJ172" s="1056"/>
      <c r="GK172" s="1056"/>
      <c r="GL172" s="1056"/>
      <c r="GM172" s="1056"/>
      <c r="GN172" s="1056"/>
      <c r="GO172" s="1056"/>
      <c r="GP172" s="1056"/>
      <c r="GQ172" s="1056"/>
      <c r="GR172" s="1056"/>
      <c r="GS172" s="1056"/>
      <c r="GT172" s="1056"/>
      <c r="GU172" s="1056"/>
      <c r="GV172" s="1056"/>
      <c r="GW172" s="1056"/>
      <c r="GX172" s="1056"/>
      <c r="GY172" s="1056"/>
      <c r="GZ172" s="1056"/>
      <c r="HA172" s="1056"/>
      <c r="HB172" s="1056"/>
      <c r="HC172" s="1056"/>
      <c r="HD172" s="1056"/>
      <c r="HE172" s="1056"/>
      <c r="HF172" s="1056"/>
      <c r="HG172" s="1056"/>
      <c r="HH172" s="1056"/>
      <c r="HI172" s="1056"/>
      <c r="HJ172" s="1056"/>
      <c r="HK172" s="1056"/>
      <c r="HL172" s="1056"/>
      <c r="HM172" s="1056"/>
      <c r="HN172" s="1056"/>
      <c r="HO172" s="1056"/>
      <c r="HP172" s="1056"/>
      <c r="HQ172" s="1056"/>
      <c r="HR172" s="1056"/>
      <c r="HS172" s="1056"/>
      <c r="HT172" s="1056"/>
      <c r="HU172" s="1056"/>
      <c r="HV172" s="1056"/>
      <c r="HW172" s="1056"/>
      <c r="HX172" s="1056"/>
      <c r="HY172" s="1056"/>
      <c r="HZ172" s="1056"/>
      <c r="IA172" s="1056"/>
      <c r="IB172" s="1056"/>
      <c r="IC172" s="1056"/>
      <c r="ID172" s="1056"/>
      <c r="IE172" s="1056"/>
      <c r="IF172" s="1056"/>
      <c r="IG172" s="1056"/>
      <c r="IH172" s="1056"/>
      <c r="II172" s="1056"/>
      <c r="IJ172" s="1056"/>
      <c r="IK172" s="1056"/>
      <c r="IL172" s="1056"/>
      <c r="IM172" s="1056"/>
      <c r="IN172" s="1056"/>
      <c r="IO172" s="1056"/>
      <c r="IP172" s="1056"/>
      <c r="IQ172" s="1056"/>
      <c r="IR172" s="1056"/>
      <c r="IS172" s="1056"/>
      <c r="IT172" s="1056"/>
      <c r="IU172" s="1056"/>
      <c r="IV172" s="1056"/>
      <c r="IW172" s="1056"/>
      <c r="IX172" s="1056"/>
      <c r="IY172" s="1056"/>
      <c r="IZ172" s="1056"/>
      <c r="JA172" s="1056"/>
      <c r="JB172" s="1056"/>
      <c r="JC172" s="1056"/>
      <c r="JD172" s="1056"/>
      <c r="JE172" s="1056"/>
      <c r="JF172" s="1056"/>
      <c r="JG172" s="1056"/>
      <c r="JH172" s="1056"/>
      <c r="JI172" s="1056"/>
      <c r="JJ172" s="1056"/>
      <c r="JK172" s="1056"/>
      <c r="JL172" s="1056"/>
      <c r="JM172" s="1056"/>
      <c r="JN172" s="1056"/>
      <c r="JO172" s="1056"/>
      <c r="JP172" s="1056"/>
      <c r="JQ172" s="1056"/>
      <c r="JR172" s="1056"/>
      <c r="JS172" s="1056"/>
      <c r="JT172" s="1056"/>
      <c r="JU172" s="1056"/>
      <c r="JV172" s="1056"/>
      <c r="JW172" s="1056"/>
      <c r="JX172" s="1056"/>
      <c r="JY172" s="1056"/>
      <c r="JZ172" s="1056"/>
      <c r="KA172" s="1056"/>
      <c r="KB172" s="1056"/>
      <c r="KC172" s="1056"/>
      <c r="KD172" s="1056"/>
      <c r="KE172" s="1056"/>
      <c r="KF172" s="1056"/>
      <c r="KG172" s="1056"/>
      <c r="KH172" s="1056"/>
      <c r="KI172" s="1056"/>
      <c r="KJ172" s="1056"/>
      <c r="KK172" s="1056"/>
      <c r="KL172" s="1056"/>
      <c r="KM172" s="1056"/>
      <c r="KN172" s="1056"/>
      <c r="KO172" s="1056"/>
      <c r="KP172" s="1056"/>
      <c r="KQ172" s="1056"/>
      <c r="KR172" s="1056"/>
      <c r="KS172" s="1056"/>
      <c r="KT172" s="1056"/>
      <c r="KU172" s="1056"/>
      <c r="KV172" s="1056"/>
      <c r="KW172" s="1056"/>
      <c r="KX172" s="1056"/>
      <c r="KY172" s="1056"/>
      <c r="KZ172" s="1056"/>
      <c r="LA172" s="1056"/>
      <c r="LB172" s="1056"/>
      <c r="LC172" s="1056"/>
      <c r="LD172" s="1056"/>
      <c r="LE172" s="1056"/>
      <c r="LF172" s="1056"/>
      <c r="LG172" s="1056"/>
      <c r="LH172" s="1056"/>
      <c r="LI172" s="1056"/>
      <c r="LJ172" s="1056"/>
      <c r="LK172" s="1056"/>
      <c r="LL172" s="1056"/>
      <c r="LM172" s="1056"/>
      <c r="LN172" s="1056"/>
      <c r="LO172" s="1056"/>
      <c r="LP172" s="1056"/>
      <c r="LQ172" s="1056"/>
      <c r="LR172" s="1056"/>
      <c r="LS172" s="1056"/>
      <c r="LT172" s="1056"/>
      <c r="LU172" s="1056"/>
      <c r="LV172" s="1056"/>
      <c r="LW172" s="1056"/>
      <c r="LX172" s="1056"/>
      <c r="LY172" s="1056"/>
      <c r="LZ172" s="1056"/>
      <c r="MA172" s="1056"/>
      <c r="MB172" s="1056"/>
      <c r="MC172" s="1056"/>
      <c r="MD172" s="1056"/>
      <c r="ME172" s="1056"/>
      <c r="MF172" s="1056"/>
      <c r="MG172" s="1056"/>
      <c r="MH172" s="1056"/>
      <c r="MI172" s="1056"/>
      <c r="MJ172" s="1056"/>
      <c r="MK172" s="1056"/>
      <c r="ML172" s="1056"/>
      <c r="MM172" s="1056"/>
      <c r="MN172" s="1056"/>
      <c r="MO172" s="1056"/>
      <c r="MP172" s="1056"/>
      <c r="MQ172" s="1056"/>
      <c r="MR172" s="1056"/>
      <c r="MS172" s="1056"/>
      <c r="MT172" s="1056"/>
      <c r="MU172" s="1056"/>
      <c r="MV172" s="1056"/>
      <c r="MW172" s="1056"/>
      <c r="MX172" s="1056"/>
      <c r="MY172" s="1056"/>
      <c r="MZ172" s="1056"/>
      <c r="NA172" s="1056"/>
      <c r="NB172" s="1056"/>
      <c r="NC172" s="1056"/>
      <c r="ND172" s="1056"/>
      <c r="NE172" s="1056"/>
      <c r="NF172" s="1056"/>
      <c r="NG172" s="1056"/>
      <c r="NH172" s="1056"/>
      <c r="NI172" s="1056"/>
      <c r="NJ172" s="1056"/>
      <c r="NK172" s="1056"/>
      <c r="NL172" s="1056"/>
      <c r="NM172" s="1056"/>
      <c r="NN172" s="1056"/>
      <c r="NO172" s="1056"/>
      <c r="NP172" s="1056"/>
      <c r="NQ172" s="1056"/>
      <c r="NR172" s="1056"/>
      <c r="NS172" s="1056"/>
      <c r="NT172" s="1056"/>
      <c r="NU172" s="1056"/>
      <c r="NV172" s="1056"/>
      <c r="NW172" s="1056"/>
      <c r="NX172" s="1056"/>
      <c r="NY172" s="1056"/>
      <c r="NZ172" s="1056"/>
      <c r="OA172" s="1056"/>
      <c r="OB172" s="1056"/>
      <c r="OC172" s="1056"/>
      <c r="OD172" s="1056"/>
      <c r="OE172" s="1056"/>
      <c r="OF172" s="1056"/>
      <c r="OG172" s="1056"/>
      <c r="OH172" s="1056"/>
      <c r="OI172" s="1056"/>
      <c r="OJ172" s="1056"/>
      <c r="OK172" s="1056"/>
      <c r="OL172" s="1056"/>
      <c r="OM172" s="1056"/>
      <c r="ON172" s="1056"/>
      <c r="OO172" s="1056"/>
      <c r="OP172" s="1056"/>
      <c r="OQ172" s="1056"/>
      <c r="OR172" s="1056"/>
      <c r="OS172" s="1056"/>
      <c r="OT172" s="1056"/>
      <c r="OU172" s="1056"/>
      <c r="OV172" s="1056"/>
      <c r="OW172" s="1056"/>
      <c r="OX172" s="1056"/>
      <c r="OY172" s="1056"/>
      <c r="OZ172" s="1056"/>
      <c r="PA172" s="1056"/>
      <c r="PB172" s="1056"/>
      <c r="PC172" s="1056"/>
      <c r="PD172" s="1056"/>
      <c r="PE172" s="1056"/>
      <c r="PF172" s="1056"/>
      <c r="PG172" s="1056"/>
      <c r="PH172" s="1056"/>
      <c r="PI172" s="1056"/>
      <c r="PJ172" s="1056"/>
      <c r="PK172" s="1056"/>
      <c r="PL172" s="1056"/>
      <c r="PM172" s="1056"/>
      <c r="PN172" s="1056"/>
      <c r="PO172" s="1056"/>
      <c r="PP172" s="1056"/>
      <c r="PQ172" s="1056"/>
      <c r="PR172" s="1056"/>
      <c r="PS172" s="1056"/>
      <c r="PT172" s="1056"/>
      <c r="PU172" s="1056"/>
      <c r="PV172" s="1056"/>
      <c r="PW172" s="1056"/>
      <c r="PX172" s="1056"/>
      <c r="PY172" s="1056"/>
      <c r="PZ172" s="1056"/>
      <c r="QA172" s="1056"/>
      <c r="QB172" s="1056"/>
      <c r="QC172" s="1056"/>
      <c r="QD172" s="1056"/>
      <c r="QE172" s="1056"/>
      <c r="QF172" s="1056"/>
      <c r="QG172" s="1056"/>
      <c r="QH172" s="1056"/>
      <c r="QI172" s="1056"/>
      <c r="QJ172" s="1056"/>
      <c r="QK172" s="1056"/>
      <c r="QL172" s="1056"/>
      <c r="QM172" s="1056"/>
      <c r="QN172" s="1056"/>
      <c r="QO172" s="1056"/>
      <c r="QP172" s="1056"/>
      <c r="QQ172" s="1056"/>
      <c r="QR172" s="1056"/>
      <c r="QS172" s="1056"/>
      <c r="QT172" s="1056"/>
      <c r="QU172" s="1056"/>
      <c r="QV172" s="1056"/>
      <c r="QW172" s="1056"/>
      <c r="QX172" s="1056"/>
      <c r="QY172" s="1056"/>
      <c r="QZ172" s="1056"/>
      <c r="RA172" s="1056"/>
      <c r="RB172" s="1056"/>
      <c r="RC172" s="1056"/>
      <c r="RD172" s="1056"/>
      <c r="RE172" s="1056"/>
      <c r="RF172" s="1056"/>
      <c r="RG172" s="1056"/>
      <c r="RH172" s="1056"/>
      <c r="RI172" s="1056"/>
      <c r="RJ172" s="1056"/>
      <c r="RK172" s="1056"/>
      <c r="RL172" s="1056"/>
      <c r="RM172" s="1056"/>
      <c r="RN172" s="1056"/>
      <c r="RO172" s="1056"/>
      <c r="RP172" s="1056"/>
      <c r="RQ172" s="1056"/>
      <c r="RR172" s="1056"/>
      <c r="RS172" s="1056"/>
      <c r="RT172" s="1056"/>
      <c r="RU172" s="1056"/>
      <c r="RV172" s="1056"/>
      <c r="RW172" s="1056"/>
      <c r="RX172" s="1056"/>
      <c r="RY172" s="1056"/>
      <c r="RZ172" s="1056"/>
      <c r="SA172" s="1056"/>
      <c r="SB172" s="1056"/>
      <c r="SC172" s="1056"/>
      <c r="SD172" s="1056"/>
      <c r="SE172" s="1056"/>
      <c r="SF172" s="1056"/>
      <c r="SG172" s="1056"/>
      <c r="SH172" s="1056"/>
      <c r="SI172" s="1056"/>
      <c r="SJ172" s="1056"/>
      <c r="SK172" s="1056"/>
      <c r="SL172" s="1056"/>
      <c r="SM172" s="1056"/>
      <c r="SN172" s="1056"/>
      <c r="SO172" s="1056"/>
      <c r="SP172" s="1056"/>
      <c r="SQ172" s="1056"/>
      <c r="SR172" s="1056"/>
      <c r="SS172" s="1056"/>
      <c r="ST172" s="1056"/>
      <c r="SU172" s="1056"/>
      <c r="SV172" s="1056"/>
      <c r="SW172" s="1056"/>
      <c r="SX172" s="1056"/>
      <c r="SY172" s="1056"/>
      <c r="SZ172" s="1056"/>
      <c r="TA172" s="1056"/>
      <c r="TB172" s="1056"/>
      <c r="TC172" s="1056"/>
      <c r="TD172" s="1056"/>
      <c r="TE172" s="1056"/>
      <c r="TF172" s="1056"/>
      <c r="TG172" s="1056"/>
      <c r="TH172" s="1056"/>
      <c r="TI172" s="1056"/>
      <c r="TJ172" s="1056"/>
      <c r="TK172" s="1056"/>
      <c r="TL172" s="1056"/>
      <c r="TM172" s="1056"/>
      <c r="TN172" s="1056"/>
      <c r="TO172" s="1056"/>
      <c r="TP172" s="1056"/>
      <c r="TQ172" s="1056"/>
      <c r="TR172" s="1056"/>
      <c r="TS172" s="1056"/>
      <c r="TT172" s="1056"/>
      <c r="TU172" s="1056"/>
      <c r="TV172" s="1056"/>
      <c r="TW172" s="1056"/>
      <c r="TX172" s="1056"/>
      <c r="TY172" s="1056"/>
      <c r="TZ172" s="1056"/>
      <c r="UA172" s="1056"/>
      <c r="UB172" s="1056"/>
      <c r="UC172" s="1056"/>
      <c r="UD172" s="1056"/>
      <c r="UE172" s="1056"/>
      <c r="UF172" s="1056"/>
      <c r="UG172" s="1056"/>
      <c r="UH172" s="1056"/>
      <c r="UI172" s="1056"/>
      <c r="UJ172" s="1056"/>
      <c r="UK172" s="1056"/>
      <c r="UL172" s="1056"/>
      <c r="UM172" s="1056"/>
      <c r="UN172" s="1056"/>
      <c r="UO172" s="1056"/>
      <c r="UP172" s="1056"/>
      <c r="UQ172" s="1056"/>
      <c r="UR172" s="1056"/>
      <c r="US172" s="1056"/>
      <c r="UT172" s="1056"/>
      <c r="UU172" s="1056"/>
      <c r="UV172" s="1056"/>
      <c r="UW172" s="1056"/>
      <c r="UX172" s="1056"/>
      <c r="UY172" s="1056"/>
      <c r="UZ172" s="1056"/>
      <c r="VA172" s="1056"/>
      <c r="VB172" s="1056"/>
      <c r="VC172" s="1056"/>
      <c r="VD172" s="1056"/>
      <c r="VE172" s="1056"/>
      <c r="VF172" s="1056"/>
      <c r="VG172" s="1056"/>
      <c r="VH172" s="1056"/>
      <c r="VI172" s="1056"/>
      <c r="VJ172" s="1056"/>
      <c r="VK172" s="1056"/>
      <c r="VL172" s="1056"/>
      <c r="VM172" s="1056"/>
      <c r="VN172" s="1056"/>
      <c r="VO172" s="1056"/>
      <c r="VP172" s="1056"/>
      <c r="VQ172" s="1056"/>
      <c r="VR172" s="1056"/>
      <c r="VS172" s="1056"/>
      <c r="VT172" s="1056"/>
      <c r="VU172" s="1056"/>
      <c r="VV172" s="1056"/>
      <c r="VW172" s="1056"/>
      <c r="VX172" s="1056"/>
      <c r="VY172" s="1056"/>
      <c r="VZ172" s="1056"/>
      <c r="WA172" s="1056"/>
      <c r="WB172" s="1056"/>
      <c r="WC172" s="1056"/>
      <c r="WD172" s="1056"/>
      <c r="WE172" s="1056"/>
      <c r="WF172" s="1056"/>
      <c r="WG172" s="1056"/>
      <c r="WH172" s="1056"/>
      <c r="WI172" s="1056"/>
      <c r="WJ172" s="1056"/>
      <c r="WK172" s="1056"/>
      <c r="WL172" s="1056"/>
      <c r="WM172" s="1056"/>
      <c r="WN172" s="1056"/>
      <c r="WO172" s="1056"/>
      <c r="WP172" s="1056"/>
      <c r="WQ172" s="1056"/>
      <c r="WR172" s="1056"/>
      <c r="WS172" s="1056"/>
      <c r="WT172" s="1056"/>
      <c r="WU172" s="1056"/>
      <c r="WV172" s="1056"/>
      <c r="WW172" s="1056"/>
      <c r="WX172" s="1056"/>
      <c r="WY172" s="1056"/>
      <c r="WZ172" s="1056"/>
      <c r="XA172" s="1056"/>
      <c r="XB172" s="1056"/>
      <c r="XC172" s="1056"/>
      <c r="XD172" s="1056"/>
      <c r="XE172" s="1056"/>
      <c r="XF172" s="1056"/>
      <c r="XG172" s="1056"/>
      <c r="XH172" s="1056"/>
      <c r="XI172" s="1056"/>
      <c r="XJ172" s="1056"/>
      <c r="XK172" s="1056"/>
      <c r="XL172" s="1056"/>
      <c r="XM172" s="1056"/>
      <c r="XN172" s="1056"/>
      <c r="XO172" s="1056"/>
      <c r="XP172" s="1056"/>
      <c r="XQ172" s="1056"/>
      <c r="XR172" s="1056"/>
      <c r="XS172" s="1056"/>
      <c r="XT172" s="1056"/>
      <c r="XU172" s="1056"/>
      <c r="XV172" s="1056"/>
      <c r="XW172" s="1056"/>
      <c r="XX172" s="1056"/>
      <c r="XY172" s="1056"/>
      <c r="XZ172" s="1056"/>
      <c r="YA172" s="1056"/>
      <c r="YB172" s="1056"/>
      <c r="YC172" s="1056"/>
      <c r="YD172" s="1056"/>
      <c r="YE172" s="1056"/>
      <c r="YF172" s="1056"/>
      <c r="YG172" s="1056"/>
      <c r="YH172" s="1056"/>
      <c r="YI172" s="1056"/>
      <c r="YJ172" s="1056"/>
      <c r="YK172" s="1056"/>
      <c r="YL172" s="1056"/>
      <c r="YM172" s="1056"/>
      <c r="YN172" s="1056"/>
      <c r="YO172" s="1056"/>
      <c r="YP172" s="1056"/>
      <c r="YQ172" s="1056"/>
      <c r="YR172" s="1056"/>
      <c r="YS172" s="1056"/>
      <c r="YT172" s="1056"/>
      <c r="YU172" s="1056"/>
      <c r="YV172" s="1056"/>
      <c r="YW172" s="1056"/>
      <c r="YX172" s="1056"/>
      <c r="YY172" s="1056"/>
      <c r="YZ172" s="1056"/>
      <c r="ZA172" s="1056"/>
      <c r="ZB172" s="1056"/>
      <c r="ZC172" s="1056"/>
      <c r="ZD172" s="1056"/>
      <c r="ZE172" s="1056"/>
      <c r="ZF172" s="1056"/>
      <c r="ZG172" s="1056"/>
      <c r="ZH172" s="1056"/>
      <c r="ZI172" s="1056"/>
      <c r="ZJ172" s="1056"/>
      <c r="ZK172" s="1056"/>
      <c r="ZL172" s="1056"/>
      <c r="ZM172" s="1056"/>
      <c r="ZN172" s="1056"/>
      <c r="ZO172" s="1056"/>
      <c r="ZP172" s="1056"/>
      <c r="ZQ172" s="1056"/>
      <c r="ZR172" s="1056"/>
      <c r="ZS172" s="1056"/>
      <c r="ZT172" s="1056"/>
      <c r="ZU172" s="1056"/>
      <c r="ZV172" s="1056"/>
      <c r="ZW172" s="1056"/>
      <c r="ZX172" s="1056"/>
      <c r="ZY172" s="1056"/>
      <c r="ZZ172" s="1056"/>
      <c r="AAA172" s="1056"/>
      <c r="AAB172" s="1056"/>
      <c r="AAC172" s="1056"/>
      <c r="AAD172" s="1056"/>
      <c r="AAE172" s="1056"/>
      <c r="AAF172" s="1056"/>
      <c r="AAG172" s="1056"/>
      <c r="AAH172" s="1056"/>
      <c r="AAI172" s="1056"/>
      <c r="AAJ172" s="1056"/>
      <c r="AAK172" s="1056"/>
      <c r="AAL172" s="1056"/>
      <c r="AAM172" s="1056"/>
      <c r="AAN172" s="1056"/>
      <c r="AAO172" s="1056"/>
      <c r="AAP172" s="1056"/>
      <c r="AAQ172" s="1056"/>
      <c r="AAR172" s="1056"/>
      <c r="AAS172" s="1056"/>
      <c r="AAT172" s="1056"/>
      <c r="AAU172" s="1056"/>
      <c r="AAV172" s="1056"/>
      <c r="AAW172" s="1056"/>
      <c r="AAX172" s="1056"/>
      <c r="AAY172" s="1056"/>
      <c r="AAZ172" s="1056"/>
      <c r="ABA172" s="1056"/>
      <c r="ABB172" s="1056"/>
      <c r="ABC172" s="1056"/>
      <c r="ABD172" s="1056"/>
      <c r="ABE172" s="1056"/>
      <c r="ABF172" s="1056"/>
      <c r="ABG172" s="1056"/>
      <c r="ABH172" s="1056"/>
      <c r="ABI172" s="1056"/>
      <c r="ABJ172" s="1056"/>
      <c r="ABK172" s="1056"/>
      <c r="ABL172" s="1056"/>
      <c r="ABM172" s="1056"/>
      <c r="ABN172" s="1056"/>
      <c r="ABO172" s="1056"/>
      <c r="ABP172" s="1056"/>
      <c r="ABQ172" s="1056"/>
      <c r="ABR172" s="1056"/>
      <c r="ABS172" s="1056"/>
      <c r="ABT172" s="1056"/>
      <c r="ABU172" s="1056"/>
      <c r="ABV172" s="1056"/>
      <c r="ABW172" s="1056"/>
      <c r="ABX172" s="1056"/>
      <c r="ABY172" s="1056"/>
      <c r="ABZ172" s="1056"/>
      <c r="ACA172" s="1056"/>
      <c r="ACB172" s="1056"/>
      <c r="ACC172" s="1056"/>
      <c r="ACD172" s="1056"/>
      <c r="ACE172" s="1056"/>
      <c r="ACF172" s="1056"/>
      <c r="ACG172" s="1056"/>
      <c r="ACH172" s="1056"/>
      <c r="ACI172" s="1056"/>
      <c r="ACJ172" s="1056"/>
      <c r="ACK172" s="1056"/>
      <c r="ACL172" s="1056"/>
      <c r="ACM172" s="1056"/>
      <c r="ACN172" s="1056"/>
      <c r="ACO172" s="1056"/>
      <c r="ACP172" s="1056"/>
      <c r="ACQ172" s="1056"/>
      <c r="ACR172" s="1056"/>
      <c r="ACS172" s="1056"/>
      <c r="ACT172" s="1056"/>
      <c r="ACU172" s="1056"/>
      <c r="ACV172" s="1056"/>
      <c r="ACW172" s="1056"/>
      <c r="ACX172" s="1056"/>
      <c r="ACY172" s="1056"/>
      <c r="ACZ172" s="1056"/>
      <c r="ADA172" s="1056"/>
      <c r="ADB172" s="1056"/>
      <c r="ADC172" s="1056"/>
      <c r="ADD172" s="1056"/>
      <c r="ADE172" s="1056"/>
      <c r="ADF172" s="1056"/>
      <c r="ADG172" s="1056"/>
      <c r="ADH172" s="1056"/>
      <c r="ADI172" s="1056"/>
      <c r="ADJ172" s="1056"/>
      <c r="ADK172" s="1056"/>
      <c r="ADL172" s="1056"/>
      <c r="ADM172" s="1056"/>
      <c r="ADN172" s="1056"/>
      <c r="ADO172" s="1056"/>
      <c r="ADP172" s="1056"/>
      <c r="ADQ172" s="1056"/>
      <c r="ADR172" s="1056"/>
      <c r="ADS172" s="1056"/>
      <c r="ADT172" s="1056"/>
      <c r="ADU172" s="1056"/>
      <c r="ADV172" s="1056"/>
      <c r="ADW172" s="1056"/>
      <c r="ADX172" s="1056"/>
      <c r="ADY172" s="1056"/>
      <c r="ADZ172" s="1056"/>
      <c r="AEA172" s="1056"/>
      <c r="AEB172" s="1056"/>
      <c r="AEC172" s="1056"/>
      <c r="AED172" s="1056"/>
      <c r="AEE172" s="1056"/>
      <c r="AEF172" s="1056"/>
      <c r="AEG172" s="1056"/>
      <c r="AEH172" s="1056"/>
      <c r="AEI172" s="1056"/>
      <c r="AEJ172" s="1056"/>
      <c r="AEK172" s="1056"/>
      <c r="AEL172" s="1056"/>
      <c r="AEM172" s="1056"/>
      <c r="AEN172" s="1056"/>
      <c r="AEO172" s="1056"/>
      <c r="AEP172" s="1056"/>
      <c r="AEQ172" s="1056"/>
      <c r="AER172" s="1056"/>
      <c r="AES172" s="1056"/>
      <c r="AET172" s="1056"/>
      <c r="AEU172" s="1056"/>
      <c r="AEV172" s="1056"/>
      <c r="AEW172" s="1056"/>
      <c r="AEX172" s="1056"/>
      <c r="AEY172" s="1056"/>
      <c r="AEZ172" s="1056"/>
      <c r="AFA172" s="1056"/>
      <c r="AFB172" s="1056"/>
      <c r="AFC172" s="1056"/>
      <c r="AFD172" s="1056"/>
      <c r="AFE172" s="1056"/>
      <c r="AFF172" s="1056"/>
      <c r="AFG172" s="1056"/>
      <c r="AFH172" s="1056"/>
      <c r="AFI172" s="1056"/>
      <c r="AFJ172" s="1056"/>
      <c r="AFK172" s="1056"/>
      <c r="AFL172" s="1056"/>
      <c r="AFM172" s="1056"/>
      <c r="AFN172" s="1056"/>
      <c r="AFO172" s="1056"/>
      <c r="AFP172" s="1056"/>
      <c r="AFQ172" s="1056"/>
      <c r="AFR172" s="1056"/>
      <c r="AFS172" s="1056"/>
      <c r="AFT172" s="1056"/>
      <c r="AFU172" s="1056"/>
      <c r="AFV172" s="1056"/>
      <c r="AFW172" s="1056"/>
      <c r="AFX172" s="1056"/>
      <c r="AFY172" s="1056"/>
      <c r="AFZ172" s="1056"/>
      <c r="AGA172" s="1056"/>
      <c r="AGB172" s="1056"/>
      <c r="AGC172" s="1056"/>
      <c r="AGD172" s="1056"/>
      <c r="AGE172" s="1056"/>
      <c r="AGF172" s="1056"/>
      <c r="AGG172" s="1056"/>
      <c r="AGH172" s="1056"/>
      <c r="AGI172" s="1056"/>
      <c r="AGJ172" s="1056"/>
      <c r="AGK172" s="1056"/>
      <c r="AGL172" s="1056"/>
      <c r="AGM172" s="1056"/>
      <c r="AGN172" s="1056"/>
      <c r="AGO172" s="1056"/>
      <c r="AGP172" s="1056"/>
      <c r="AGQ172" s="1056"/>
      <c r="AGR172" s="1056"/>
      <c r="AGS172" s="1056"/>
      <c r="AGT172" s="1056"/>
      <c r="AGU172" s="1056"/>
      <c r="AGV172" s="1056"/>
      <c r="AGW172" s="1056"/>
      <c r="AGX172" s="1056"/>
      <c r="AGY172" s="1056"/>
      <c r="AGZ172" s="1056"/>
      <c r="AHA172" s="1056"/>
      <c r="AHB172" s="1056"/>
      <c r="AHC172" s="1056"/>
      <c r="AHD172" s="1056"/>
      <c r="AHE172" s="1056"/>
      <c r="AHF172" s="1056"/>
      <c r="AHG172" s="1056"/>
      <c r="AHH172" s="1056"/>
      <c r="AHI172" s="1056"/>
      <c r="AHJ172" s="1056"/>
      <c r="AHK172" s="1056"/>
      <c r="AHL172" s="1056"/>
      <c r="AHM172" s="1056"/>
      <c r="AHN172" s="1056"/>
      <c r="AHO172" s="1056"/>
      <c r="AHP172" s="1056"/>
      <c r="AHQ172" s="1056"/>
      <c r="AHR172" s="1056"/>
      <c r="AHS172" s="1056"/>
      <c r="AHT172" s="1056"/>
      <c r="AHU172" s="1056"/>
      <c r="AHV172" s="1056"/>
      <c r="AHW172" s="1056"/>
      <c r="AHX172" s="1056"/>
      <c r="AHY172" s="1056"/>
      <c r="AHZ172" s="1056"/>
      <c r="AIA172" s="1056"/>
      <c r="AIB172" s="1056"/>
      <c r="AIC172" s="1056"/>
      <c r="AID172" s="1056"/>
      <c r="AIE172" s="1056"/>
      <c r="AIF172" s="1056"/>
      <c r="AIG172" s="1056"/>
      <c r="AIH172" s="1056"/>
      <c r="AII172" s="1056"/>
      <c r="AIJ172" s="1056"/>
      <c r="AIK172" s="1056"/>
      <c r="AIL172" s="1056"/>
      <c r="AIM172" s="1056"/>
      <c r="AIN172" s="1056"/>
      <c r="AIO172" s="1056"/>
      <c r="AIP172" s="1056"/>
      <c r="AIQ172" s="1056"/>
      <c r="AIR172" s="1056"/>
      <c r="AIS172" s="1056"/>
      <c r="AIT172" s="1056"/>
      <c r="AIU172" s="1056"/>
      <c r="AIV172" s="1056"/>
      <c r="AIW172" s="1056"/>
      <c r="AIX172" s="1056"/>
      <c r="AIY172" s="1056"/>
      <c r="AIZ172" s="1056"/>
      <c r="AJA172" s="1056"/>
      <c r="AJB172" s="1056"/>
      <c r="AJC172" s="1056"/>
      <c r="AJD172" s="1056"/>
      <c r="AJE172" s="1056"/>
      <c r="AJF172" s="1056"/>
      <c r="AJG172" s="1056"/>
      <c r="AJH172" s="1056"/>
      <c r="AJI172" s="1056"/>
      <c r="AJJ172" s="1056"/>
      <c r="AJK172" s="1056"/>
      <c r="AJL172" s="1056"/>
      <c r="AJM172" s="1056"/>
      <c r="AJN172" s="1056"/>
      <c r="AJO172" s="1056"/>
      <c r="AJP172" s="1056"/>
      <c r="AJQ172" s="1056"/>
      <c r="AJR172" s="1056"/>
      <c r="AJS172" s="1056"/>
      <c r="AJT172" s="1056"/>
      <c r="AJU172" s="1056"/>
      <c r="AJV172" s="1056"/>
      <c r="AJW172" s="1056"/>
      <c r="AJX172" s="1056"/>
      <c r="AJY172" s="1056"/>
      <c r="AJZ172" s="1056"/>
      <c r="AKA172" s="1056"/>
      <c r="AKB172" s="1056"/>
      <c r="AKC172" s="1056"/>
      <c r="AKD172" s="1056"/>
      <c r="AKE172" s="1056"/>
      <c r="AKF172" s="1056"/>
      <c r="AKG172" s="1056"/>
      <c r="AKH172" s="1056"/>
      <c r="AKI172" s="1056"/>
      <c r="AKJ172" s="1056"/>
      <c r="AKK172" s="1056"/>
      <c r="AKL172" s="1056"/>
      <c r="AKM172" s="1056"/>
      <c r="AKN172" s="1056"/>
      <c r="AKO172" s="1056"/>
      <c r="AKP172" s="1056"/>
      <c r="AKQ172" s="1056"/>
      <c r="AKR172" s="1056"/>
      <c r="AKS172" s="1056"/>
      <c r="AKT172" s="1056"/>
      <c r="AKU172" s="1056"/>
      <c r="AKV172" s="1056"/>
      <c r="AKW172" s="1056"/>
      <c r="AKX172" s="1056"/>
      <c r="AKY172" s="1056"/>
      <c r="AKZ172" s="1056"/>
      <c r="ALA172" s="1056"/>
      <c r="ALB172" s="1056"/>
      <c r="ALC172" s="1056"/>
      <c r="ALD172" s="1056"/>
      <c r="ALE172" s="1056"/>
      <c r="ALF172" s="1056"/>
      <c r="ALG172" s="1056"/>
      <c r="ALH172" s="1056"/>
      <c r="ALI172" s="1056"/>
      <c r="ALJ172" s="1056"/>
      <c r="ALK172" s="1056"/>
      <c r="ALL172" s="1056"/>
      <c r="ALM172" s="1056"/>
      <c r="ALN172" s="1056"/>
      <c r="ALO172" s="1056"/>
      <c r="ALP172" s="1056"/>
      <c r="ALQ172" s="1056"/>
      <c r="ALR172" s="1056"/>
      <c r="ALS172" s="1056"/>
      <c r="ALT172" s="1056"/>
      <c r="ALU172" s="1056"/>
      <c r="ALV172" s="1056"/>
      <c r="ALW172" s="1056"/>
      <c r="ALX172" s="1056"/>
      <c r="ALY172" s="1056"/>
      <c r="ALZ172" s="1056"/>
      <c r="AMA172" s="1056"/>
      <c r="AMB172" s="1056"/>
      <c r="AMC172" s="1056"/>
      <c r="AMD172" s="1056"/>
      <c r="AME172" s="1056"/>
      <c r="AMF172" s="1056"/>
      <c r="AMG172" s="1056"/>
      <c r="AMH172" s="1056"/>
      <c r="AMI172" s="1056"/>
      <c r="AMJ172" s="1056"/>
      <c r="AMK172" s="1056"/>
      <c r="AML172" s="1056"/>
      <c r="AMM172" s="1056"/>
      <c r="AMN172" s="1056"/>
      <c r="AMO172" s="1056"/>
      <c r="AMP172" s="1056"/>
      <c r="AMQ172" s="1056"/>
      <c r="AMR172" s="1056"/>
      <c r="AMS172" s="1056"/>
      <c r="AMT172" s="1056"/>
      <c r="AMU172" s="1056"/>
      <c r="AMV172" s="1056"/>
      <c r="AMW172" s="1056"/>
      <c r="AMX172" s="1056"/>
      <c r="AMY172" s="1056"/>
      <c r="AMZ172" s="1056"/>
      <c r="ANA172" s="1056"/>
      <c r="ANB172" s="1056"/>
      <c r="ANC172" s="1056"/>
      <c r="AND172" s="1056"/>
      <c r="ANE172" s="1056"/>
      <c r="ANF172" s="1056"/>
      <c r="ANG172" s="1056"/>
      <c r="ANH172" s="1056"/>
      <c r="ANI172" s="1056"/>
      <c r="ANJ172" s="1056"/>
      <c r="ANK172" s="1056"/>
      <c r="ANL172" s="1056"/>
      <c r="ANM172" s="1056"/>
      <c r="ANN172" s="1056"/>
      <c r="ANO172" s="1056"/>
      <c r="ANP172" s="1056"/>
      <c r="ANQ172" s="1056"/>
      <c r="ANR172" s="1056"/>
      <c r="ANS172" s="1056"/>
      <c r="ANT172" s="1056"/>
      <c r="ANU172" s="1056"/>
      <c r="ANV172" s="1056"/>
      <c r="ANW172" s="1056"/>
      <c r="ANX172" s="1056"/>
      <c r="ANY172" s="1056"/>
      <c r="ANZ172" s="1056"/>
      <c r="AOA172" s="1056"/>
      <c r="AOB172" s="1056"/>
      <c r="AOC172" s="1056"/>
      <c r="AOD172" s="1056"/>
      <c r="AOE172" s="1056"/>
      <c r="AOF172" s="1056"/>
      <c r="AOG172" s="1056"/>
      <c r="AOH172" s="1056"/>
      <c r="AOI172" s="1056"/>
      <c r="AOJ172" s="1056"/>
      <c r="AOK172" s="1056"/>
      <c r="AOL172" s="1056"/>
      <c r="AOM172" s="1056"/>
      <c r="AON172" s="1056"/>
      <c r="AOO172" s="1056"/>
      <c r="AOP172" s="1056"/>
      <c r="AOQ172" s="1056"/>
      <c r="AOR172" s="1056"/>
      <c r="AOS172" s="1056"/>
      <c r="AOT172" s="1056"/>
      <c r="AOU172" s="1056"/>
      <c r="AOV172" s="1056"/>
      <c r="AOW172" s="1056"/>
      <c r="AOX172" s="1056"/>
      <c r="AOY172" s="1056"/>
      <c r="AOZ172" s="1056"/>
      <c r="APA172" s="1056"/>
      <c r="APB172" s="1056"/>
      <c r="APC172" s="1056"/>
      <c r="APD172" s="1056"/>
      <c r="APE172" s="1056"/>
      <c r="APF172" s="1056"/>
      <c r="APG172" s="1056"/>
      <c r="APH172" s="1056"/>
      <c r="API172" s="1056"/>
      <c r="APJ172" s="1056"/>
      <c r="APK172" s="1056"/>
      <c r="APL172" s="1056"/>
      <c r="APM172" s="1056"/>
      <c r="APN172" s="1056"/>
      <c r="APO172" s="1056"/>
      <c r="APP172" s="1056"/>
      <c r="APQ172" s="1056"/>
      <c r="APR172" s="1056"/>
      <c r="APS172" s="1056"/>
      <c r="APT172" s="1056"/>
      <c r="APU172" s="1056"/>
      <c r="APV172" s="1056"/>
      <c r="APW172" s="1056"/>
      <c r="APX172" s="1056"/>
      <c r="APY172" s="1056"/>
      <c r="APZ172" s="1056"/>
      <c r="AQA172" s="1056"/>
      <c r="AQB172" s="1056"/>
      <c r="AQC172" s="1056"/>
      <c r="AQD172" s="1056"/>
      <c r="AQE172" s="1056"/>
      <c r="AQF172" s="1056"/>
      <c r="AQG172" s="1056"/>
      <c r="AQH172" s="1056"/>
      <c r="AQI172" s="1056"/>
      <c r="AQJ172" s="1056"/>
      <c r="AQK172" s="1056"/>
      <c r="AQL172" s="1056"/>
      <c r="AQM172" s="1056"/>
      <c r="AQN172" s="1056"/>
      <c r="AQO172" s="1056"/>
      <c r="AQP172" s="1056"/>
      <c r="AQQ172" s="1056"/>
      <c r="AQR172" s="1056"/>
      <c r="AQS172" s="1056"/>
      <c r="AQT172" s="1056"/>
      <c r="AQU172" s="1056"/>
      <c r="AQV172" s="1056"/>
      <c r="AQW172" s="1056"/>
      <c r="AQX172" s="1056"/>
      <c r="AQY172" s="1056"/>
      <c r="AQZ172" s="1056"/>
      <c r="ARA172" s="1056"/>
      <c r="ARB172" s="1056"/>
      <c r="ARC172" s="1056"/>
      <c r="ARD172" s="1056"/>
      <c r="ARE172" s="1056"/>
      <c r="ARF172" s="1056"/>
      <c r="ARG172" s="1056"/>
      <c r="ARH172" s="1056"/>
      <c r="ARI172" s="1056"/>
      <c r="ARJ172" s="1056"/>
      <c r="ARK172" s="1056"/>
      <c r="ARL172" s="1056"/>
      <c r="ARM172" s="1056"/>
      <c r="ARN172" s="1056"/>
      <c r="ARO172" s="1056"/>
      <c r="ARP172" s="1056"/>
      <c r="ARQ172" s="1056"/>
      <c r="ARR172" s="1056"/>
      <c r="ARS172" s="1056"/>
      <c r="ART172" s="1056"/>
      <c r="ARU172" s="1056"/>
      <c r="ARV172" s="1056"/>
      <c r="ARW172" s="1056"/>
      <c r="ARX172" s="1056"/>
      <c r="ARY172" s="1056"/>
      <c r="ARZ172" s="1056"/>
      <c r="ASA172" s="1056"/>
      <c r="ASB172" s="1056"/>
      <c r="ASC172" s="1056"/>
      <c r="ASD172" s="1056"/>
      <c r="ASE172" s="1056"/>
      <c r="ASF172" s="1056"/>
      <c r="ASG172" s="1056"/>
      <c r="ASH172" s="1056"/>
      <c r="ASI172" s="1056"/>
      <c r="ASJ172" s="1056"/>
      <c r="ASK172" s="1056"/>
      <c r="ASL172" s="1056"/>
      <c r="ASM172" s="1056"/>
      <c r="ASN172" s="1056"/>
      <c r="ASO172" s="1056"/>
      <c r="ASP172" s="1056"/>
      <c r="ASQ172" s="1056"/>
      <c r="ASR172" s="1056"/>
      <c r="ASS172" s="1056"/>
      <c r="AST172" s="1056"/>
      <c r="ASU172" s="1056"/>
      <c r="ASV172" s="1056"/>
      <c r="ASW172" s="1056"/>
      <c r="ASX172" s="1056"/>
      <c r="ASY172" s="1056"/>
      <c r="ASZ172" s="1056"/>
      <c r="ATA172" s="1056"/>
      <c r="ATB172" s="1056"/>
      <c r="ATC172" s="1056"/>
      <c r="ATD172" s="1056"/>
      <c r="ATE172" s="1056"/>
      <c r="ATF172" s="1056"/>
      <c r="ATG172" s="1056"/>
      <c r="ATH172" s="1056"/>
      <c r="ATI172" s="1056"/>
      <c r="ATJ172" s="1056"/>
      <c r="ATK172" s="1056"/>
      <c r="ATL172" s="1056"/>
      <c r="ATM172" s="1056"/>
      <c r="ATN172" s="1056"/>
      <c r="ATO172" s="1056"/>
      <c r="ATP172" s="1056"/>
      <c r="ATQ172" s="1056"/>
      <c r="ATR172" s="1056"/>
      <c r="ATS172" s="1056"/>
      <c r="ATT172" s="1056"/>
      <c r="ATU172" s="1056"/>
      <c r="ATV172" s="1056"/>
      <c r="ATW172" s="1056"/>
      <c r="ATX172" s="1056"/>
      <c r="ATY172" s="1056"/>
      <c r="ATZ172" s="1056"/>
      <c r="AUA172" s="1056"/>
      <c r="AUB172" s="1056"/>
      <c r="AUC172" s="1056"/>
      <c r="AUD172" s="1056"/>
      <c r="AUE172" s="1056"/>
      <c r="AUF172" s="1056"/>
      <c r="AUG172" s="1056"/>
      <c r="AUH172" s="1056"/>
      <c r="AUI172" s="1056"/>
      <c r="AUJ172" s="1056"/>
      <c r="AUK172" s="1056"/>
      <c r="AUL172" s="1056"/>
      <c r="AUM172" s="1056"/>
      <c r="AUN172" s="1056"/>
      <c r="AUO172" s="1056"/>
      <c r="AUP172" s="1056"/>
      <c r="AUQ172" s="1056"/>
      <c r="AUR172" s="1056"/>
      <c r="AUS172" s="1056"/>
      <c r="AUT172" s="1056"/>
      <c r="AUU172" s="1056"/>
      <c r="AUV172" s="1056"/>
      <c r="AUW172" s="1056"/>
      <c r="AUX172" s="1056"/>
      <c r="AUY172" s="1056"/>
      <c r="AUZ172" s="1056"/>
      <c r="AVA172" s="1056"/>
      <c r="AVB172" s="1056"/>
      <c r="AVC172" s="1056"/>
      <c r="AVD172" s="1056"/>
      <c r="AVE172" s="1056"/>
      <c r="AVF172" s="1056"/>
      <c r="AVG172" s="1056"/>
      <c r="AVH172" s="1056"/>
      <c r="AVI172" s="1056"/>
      <c r="AVJ172" s="1056"/>
      <c r="AVK172" s="1056"/>
      <c r="AVL172" s="1056"/>
      <c r="AVM172" s="1056"/>
      <c r="AVN172" s="1056"/>
      <c r="AVO172" s="1056"/>
      <c r="AVP172" s="1056"/>
      <c r="AVQ172" s="1056"/>
      <c r="AVR172" s="1056"/>
      <c r="AVS172" s="1056"/>
      <c r="AVT172" s="1056"/>
      <c r="AVU172" s="1056"/>
      <c r="AVV172" s="1056"/>
      <c r="AVW172" s="1056"/>
      <c r="AVX172" s="1056"/>
      <c r="AVY172" s="1056"/>
      <c r="AVZ172" s="1056"/>
      <c r="AWA172" s="1056"/>
      <c r="AWB172" s="1056"/>
      <c r="AWC172" s="1056"/>
      <c r="AWD172" s="1056"/>
      <c r="AWE172" s="1056"/>
      <c r="AWF172" s="1056"/>
      <c r="AWG172" s="1056"/>
      <c r="AWH172" s="1056"/>
      <c r="AWI172" s="1056"/>
      <c r="AWJ172" s="1056"/>
      <c r="AWK172" s="1056"/>
      <c r="AWL172" s="1056"/>
      <c r="AWM172" s="1056"/>
      <c r="AWN172" s="1056"/>
      <c r="AWO172" s="1056"/>
      <c r="AWP172" s="1056"/>
      <c r="AWQ172" s="1056"/>
      <c r="AWR172" s="1056"/>
      <c r="AWS172" s="1056"/>
      <c r="AWT172" s="1056"/>
      <c r="AWU172" s="1056"/>
      <c r="AWV172" s="1056"/>
      <c r="AWW172" s="1056"/>
      <c r="AWX172" s="1056"/>
      <c r="AWY172" s="1056"/>
      <c r="AWZ172" s="1056"/>
      <c r="AXA172" s="1056"/>
      <c r="AXB172" s="1056"/>
      <c r="AXC172" s="1056"/>
      <c r="AXD172" s="1056"/>
      <c r="AXE172" s="1056"/>
      <c r="AXF172" s="1056"/>
      <c r="AXG172" s="1056"/>
      <c r="AXH172" s="1056"/>
      <c r="AXI172" s="1056"/>
      <c r="AXJ172" s="1056"/>
      <c r="AXK172" s="1056"/>
      <c r="AXL172" s="1056"/>
      <c r="AXM172" s="1056"/>
      <c r="AXN172" s="1056"/>
      <c r="AXO172" s="1056"/>
      <c r="AXP172" s="1056"/>
      <c r="AXQ172" s="1056"/>
      <c r="AXR172" s="1056"/>
      <c r="AXS172" s="1056"/>
      <c r="AXT172" s="1056"/>
      <c r="AXU172" s="1056"/>
      <c r="AXV172" s="1056"/>
      <c r="AXW172" s="1056"/>
      <c r="AXX172" s="1056"/>
      <c r="AXY172" s="1056"/>
      <c r="AXZ172" s="1056"/>
      <c r="AYA172" s="1056"/>
      <c r="AYB172" s="1056"/>
      <c r="AYC172" s="1056"/>
      <c r="AYD172" s="1056"/>
      <c r="AYE172" s="1056"/>
      <c r="AYF172" s="1056"/>
      <c r="AYG172" s="1056"/>
      <c r="AYH172" s="1056"/>
      <c r="AYI172" s="1056"/>
      <c r="AYJ172" s="1056"/>
      <c r="AYK172" s="1056"/>
      <c r="AYL172" s="1056"/>
      <c r="AYM172" s="1056"/>
      <c r="AYN172" s="1056"/>
      <c r="AYO172" s="1056"/>
      <c r="AYP172" s="1056"/>
      <c r="AYQ172" s="1056"/>
      <c r="AYR172" s="1056"/>
      <c r="AYS172" s="1056"/>
      <c r="AYT172" s="1056"/>
      <c r="AYU172" s="1056"/>
      <c r="AYV172" s="1056"/>
      <c r="AYW172" s="1056"/>
      <c r="AYX172" s="1056"/>
      <c r="AYY172" s="1056"/>
      <c r="AYZ172" s="1056"/>
      <c r="AZA172" s="1056"/>
      <c r="AZB172" s="1056"/>
      <c r="AZC172" s="1056"/>
      <c r="AZD172" s="1056"/>
      <c r="AZE172" s="1056"/>
      <c r="AZF172" s="1056"/>
      <c r="AZG172" s="1056"/>
      <c r="AZH172" s="1056"/>
      <c r="AZI172" s="1056"/>
      <c r="AZJ172" s="1056"/>
      <c r="AZK172" s="1056"/>
      <c r="AZL172" s="1056"/>
      <c r="AZM172" s="1056"/>
      <c r="AZN172" s="1056"/>
      <c r="AZO172" s="1056"/>
      <c r="AZP172" s="1056"/>
      <c r="AZQ172" s="1056"/>
      <c r="AZR172" s="1056"/>
      <c r="AZS172" s="1056"/>
      <c r="AZT172" s="1056"/>
      <c r="AZU172" s="1056"/>
      <c r="AZV172" s="1056"/>
      <c r="AZW172" s="1056"/>
      <c r="AZX172" s="1056"/>
      <c r="AZY172" s="1056"/>
      <c r="AZZ172" s="1056"/>
      <c r="BAA172" s="1056"/>
      <c r="BAB172" s="1056"/>
      <c r="BAC172" s="1056"/>
      <c r="BAD172" s="1056"/>
      <c r="BAE172" s="1056"/>
      <c r="BAF172" s="1056"/>
      <c r="BAG172" s="1056"/>
      <c r="BAH172" s="1056"/>
      <c r="BAI172" s="1056"/>
      <c r="BAJ172" s="1056"/>
      <c r="BAK172" s="1056"/>
      <c r="BAL172" s="1056"/>
      <c r="BAM172" s="1056"/>
      <c r="BAN172" s="1056"/>
      <c r="BAO172" s="1056"/>
      <c r="BAP172" s="1056"/>
      <c r="BAQ172" s="1056"/>
      <c r="BAR172" s="1056"/>
      <c r="BAS172" s="1056"/>
      <c r="BAT172" s="1056"/>
      <c r="BAU172" s="1056"/>
      <c r="BAV172" s="1056"/>
      <c r="BAW172" s="1056"/>
      <c r="BAX172" s="1056"/>
      <c r="BAY172" s="1056"/>
      <c r="BAZ172" s="1056"/>
      <c r="BBA172" s="1056"/>
      <c r="BBB172" s="1056"/>
      <c r="BBC172" s="1056"/>
      <c r="BBD172" s="1056"/>
      <c r="BBE172" s="1056"/>
      <c r="BBF172" s="1056"/>
      <c r="BBG172" s="1056"/>
      <c r="BBH172" s="1056"/>
      <c r="BBI172" s="1056"/>
      <c r="BBJ172" s="1056"/>
      <c r="BBK172" s="1056"/>
      <c r="BBL172" s="1056"/>
      <c r="BBM172" s="1056"/>
      <c r="BBN172" s="1056"/>
      <c r="BBO172" s="1056"/>
      <c r="BBP172" s="1056"/>
      <c r="BBQ172" s="1056"/>
      <c r="BBR172" s="1056"/>
      <c r="BBS172" s="1056"/>
      <c r="BBT172" s="1056"/>
      <c r="BBU172" s="1056"/>
      <c r="BBV172" s="1056"/>
      <c r="BBW172" s="1056"/>
      <c r="BBX172" s="1056"/>
      <c r="BBY172" s="1056"/>
      <c r="BBZ172" s="1056"/>
      <c r="BCA172" s="1056"/>
      <c r="BCB172" s="1056"/>
      <c r="BCC172" s="1056"/>
      <c r="BCD172" s="1056"/>
      <c r="BCE172" s="1056"/>
      <c r="BCF172" s="1056"/>
      <c r="BCG172" s="1056"/>
      <c r="BCH172" s="1056"/>
      <c r="BCI172" s="1056"/>
      <c r="BCJ172" s="1056"/>
      <c r="BCK172" s="1056"/>
      <c r="BCL172" s="1056"/>
      <c r="BCM172" s="1056"/>
      <c r="BCN172" s="1056"/>
      <c r="BCO172" s="1056"/>
      <c r="BCP172" s="1056"/>
      <c r="BCQ172" s="1056"/>
      <c r="BCR172" s="1056"/>
      <c r="BCS172" s="1056"/>
      <c r="BCT172" s="1056"/>
      <c r="BCU172" s="1056"/>
      <c r="BCV172" s="1056"/>
      <c r="BCW172" s="1056"/>
      <c r="BCX172" s="1056"/>
      <c r="BCY172" s="1056"/>
      <c r="BCZ172" s="1056"/>
      <c r="BDA172" s="1056"/>
      <c r="BDB172" s="1056"/>
      <c r="BDC172" s="1056"/>
      <c r="BDD172" s="1056"/>
      <c r="BDE172" s="1056"/>
      <c r="BDF172" s="1056"/>
      <c r="BDG172" s="1056"/>
      <c r="BDH172" s="1056"/>
      <c r="BDI172" s="1056"/>
      <c r="BDJ172" s="1056"/>
      <c r="BDK172" s="1056"/>
      <c r="BDL172" s="1056"/>
      <c r="BDM172" s="1056"/>
      <c r="BDN172" s="1056"/>
      <c r="BDO172" s="1056"/>
      <c r="BDP172" s="1056"/>
      <c r="BDQ172" s="1056"/>
      <c r="BDR172" s="1056"/>
      <c r="BDS172" s="1056"/>
      <c r="BDT172" s="1056"/>
      <c r="BDU172" s="1056"/>
      <c r="BDV172" s="1056"/>
      <c r="BDW172" s="1056"/>
      <c r="BDX172" s="1056"/>
      <c r="BDY172" s="1056"/>
      <c r="BDZ172" s="1056"/>
      <c r="BEA172" s="1056"/>
      <c r="BEB172" s="1056"/>
      <c r="BEC172" s="1056"/>
      <c r="BED172" s="1056"/>
      <c r="BEE172" s="1056"/>
      <c r="BEF172" s="1056"/>
      <c r="BEG172" s="1056"/>
      <c r="BEH172" s="1056"/>
      <c r="BEI172" s="1056"/>
      <c r="BEJ172" s="1056"/>
      <c r="BEK172" s="1056"/>
      <c r="BEL172" s="1056"/>
      <c r="BEM172" s="1056"/>
      <c r="BEN172" s="1056"/>
      <c r="BEO172" s="1056"/>
      <c r="BEP172" s="1056"/>
      <c r="BEQ172" s="1056"/>
      <c r="BER172" s="1056"/>
      <c r="BES172" s="1056"/>
      <c r="BET172" s="1056"/>
      <c r="BEU172" s="1056"/>
      <c r="BEV172" s="1056"/>
      <c r="BEW172" s="1056"/>
      <c r="BEX172" s="1056"/>
      <c r="BEY172" s="1056"/>
      <c r="BEZ172" s="1056"/>
      <c r="BFA172" s="1056"/>
      <c r="BFB172" s="1056"/>
      <c r="BFC172" s="1056"/>
      <c r="BFD172" s="1056"/>
      <c r="BFE172" s="1056"/>
      <c r="BFF172" s="1056"/>
      <c r="BFG172" s="1056"/>
      <c r="BFH172" s="1056"/>
      <c r="BFI172" s="1056"/>
      <c r="BFJ172" s="1056"/>
      <c r="BFK172" s="1056"/>
      <c r="BFL172" s="1056"/>
      <c r="BFM172" s="1056"/>
      <c r="BFN172" s="1056"/>
      <c r="BFO172" s="1056"/>
      <c r="BFP172" s="1056"/>
      <c r="BFQ172" s="1056"/>
      <c r="BFR172" s="1056"/>
      <c r="BFS172" s="1056"/>
      <c r="BFT172" s="1056"/>
      <c r="BFU172" s="1056"/>
      <c r="BFV172" s="1056"/>
      <c r="BFW172" s="1056"/>
      <c r="BFX172" s="1056"/>
      <c r="BFY172" s="1056"/>
      <c r="BFZ172" s="1056"/>
      <c r="BGA172" s="1056"/>
      <c r="BGB172" s="1056"/>
      <c r="BGC172" s="1056"/>
      <c r="BGD172" s="1056"/>
      <c r="BGE172" s="1056"/>
      <c r="BGF172" s="1056"/>
      <c r="BGG172" s="1056"/>
      <c r="BGH172" s="1056"/>
      <c r="BGI172" s="1056"/>
      <c r="BGJ172" s="1056"/>
      <c r="BGK172" s="1056"/>
      <c r="BGL172" s="1056"/>
      <c r="BGM172" s="1056"/>
      <c r="BGN172" s="1056"/>
      <c r="BGO172" s="1056"/>
      <c r="BGP172" s="1056"/>
      <c r="BGQ172" s="1056"/>
      <c r="BGR172" s="1056"/>
      <c r="BGS172" s="1056"/>
      <c r="BGT172" s="1056"/>
      <c r="BGU172" s="1056"/>
      <c r="BGV172" s="1056"/>
      <c r="BGW172" s="1056"/>
      <c r="BGX172" s="1056"/>
      <c r="BGY172" s="1056"/>
      <c r="BGZ172" s="1056"/>
      <c r="BHA172" s="1056"/>
      <c r="BHB172" s="1056"/>
      <c r="BHC172" s="1056"/>
      <c r="BHD172" s="1056"/>
      <c r="BHE172" s="1056"/>
      <c r="BHF172" s="1056"/>
      <c r="BHG172" s="1056"/>
      <c r="BHH172" s="1056"/>
      <c r="BHI172" s="1056"/>
      <c r="BHJ172" s="1056"/>
      <c r="BHK172" s="1056"/>
      <c r="BHL172" s="1056"/>
      <c r="BHM172" s="1056"/>
      <c r="BHN172" s="1056"/>
      <c r="BHO172" s="1056"/>
      <c r="BHP172" s="1056"/>
      <c r="BHQ172" s="1056"/>
      <c r="BHR172" s="1056"/>
      <c r="BHS172" s="1056"/>
      <c r="BHT172" s="1056"/>
      <c r="BHU172" s="1056"/>
      <c r="BHV172" s="1056"/>
      <c r="BHW172" s="1056"/>
      <c r="BHX172" s="1056"/>
      <c r="BHY172" s="1056"/>
      <c r="BHZ172" s="1056"/>
      <c r="BIA172" s="1056"/>
      <c r="BIB172" s="1056"/>
      <c r="BIC172" s="1056"/>
      <c r="BID172" s="1056"/>
      <c r="BIE172" s="1056"/>
      <c r="BIF172" s="1056"/>
      <c r="BIG172" s="1056"/>
      <c r="BIH172" s="1056"/>
      <c r="BII172" s="1056"/>
      <c r="BIJ172" s="1056"/>
      <c r="BIK172" s="1056"/>
      <c r="BIL172" s="1056"/>
      <c r="BIM172" s="1056"/>
      <c r="BIN172" s="1056"/>
      <c r="BIO172" s="1056"/>
      <c r="BIP172" s="1056"/>
      <c r="BIQ172" s="1056"/>
      <c r="BIR172" s="1056"/>
      <c r="BIS172" s="1056"/>
      <c r="BIT172" s="1056"/>
      <c r="BIU172" s="1056"/>
      <c r="BIV172" s="1056"/>
      <c r="BIW172" s="1056"/>
      <c r="BIX172" s="1056"/>
      <c r="BIY172" s="1056"/>
      <c r="BIZ172" s="1056"/>
      <c r="BJA172" s="1056"/>
      <c r="BJB172" s="1056"/>
      <c r="BJC172" s="1056"/>
      <c r="BJD172" s="1056"/>
      <c r="BJE172" s="1056"/>
      <c r="BJF172" s="1056"/>
      <c r="BJG172" s="1056"/>
      <c r="BJH172" s="1056"/>
      <c r="BJI172" s="1056"/>
      <c r="BJJ172" s="1056"/>
      <c r="BJK172" s="1056"/>
      <c r="BJL172" s="1056"/>
      <c r="BJM172" s="1056"/>
      <c r="BJN172" s="1056"/>
      <c r="BJO172" s="1056"/>
      <c r="BJP172" s="1056"/>
      <c r="BJQ172" s="1056"/>
      <c r="BJR172" s="1056"/>
      <c r="BJS172" s="1056"/>
      <c r="BJT172" s="1056"/>
      <c r="BJU172" s="1056"/>
      <c r="BJV172" s="1056"/>
      <c r="BJW172" s="1056"/>
      <c r="BJX172" s="1056"/>
      <c r="BJY172" s="1056"/>
      <c r="BJZ172" s="1056"/>
      <c r="BKA172" s="1056"/>
      <c r="BKB172" s="1056"/>
      <c r="BKC172" s="1056"/>
      <c r="BKD172" s="1056"/>
      <c r="BKE172" s="1056"/>
      <c r="BKF172" s="1056"/>
      <c r="BKG172" s="1056"/>
      <c r="BKH172" s="1056"/>
      <c r="BKI172" s="1056"/>
      <c r="BKJ172" s="1056"/>
      <c r="BKK172" s="1056"/>
      <c r="BKL172" s="1056"/>
      <c r="BKM172" s="1056"/>
      <c r="BKN172" s="1056"/>
      <c r="BKO172" s="1056"/>
      <c r="BKP172" s="1056"/>
      <c r="BKQ172" s="1056"/>
      <c r="BKR172" s="1056"/>
      <c r="BKS172" s="1056"/>
      <c r="BKT172" s="1056"/>
      <c r="BKU172" s="1056"/>
      <c r="BKV172" s="1056"/>
      <c r="BKW172" s="1056"/>
      <c r="BKX172" s="1056"/>
      <c r="BKY172" s="1056"/>
      <c r="BKZ172" s="1056"/>
      <c r="BLA172" s="1056"/>
      <c r="BLB172" s="1056"/>
      <c r="BLC172" s="1056"/>
      <c r="BLD172" s="1056"/>
      <c r="BLE172" s="1056"/>
      <c r="BLF172" s="1056"/>
      <c r="BLG172" s="1056"/>
      <c r="BLH172" s="1056"/>
      <c r="BLI172" s="1056"/>
      <c r="BLJ172" s="1056"/>
      <c r="BLK172" s="1056"/>
      <c r="BLL172" s="1056"/>
      <c r="BLM172" s="1056"/>
      <c r="BLN172" s="1056"/>
      <c r="BLO172" s="1056"/>
      <c r="BLP172" s="1056"/>
      <c r="BLQ172" s="1056"/>
      <c r="BLR172" s="1056"/>
      <c r="BLS172" s="1056"/>
      <c r="BLT172" s="1056"/>
      <c r="BLU172" s="1056"/>
      <c r="BLV172" s="1056"/>
      <c r="BLW172" s="1056"/>
      <c r="BLX172" s="1056"/>
      <c r="BLY172" s="1056"/>
      <c r="BLZ172" s="1056"/>
      <c r="BMA172" s="1056"/>
      <c r="BMB172" s="1056"/>
      <c r="BMC172" s="1056"/>
      <c r="BMD172" s="1056"/>
      <c r="BME172" s="1056"/>
      <c r="BMF172" s="1056"/>
      <c r="BMG172" s="1056"/>
      <c r="BMH172" s="1056"/>
      <c r="BMI172" s="1056"/>
      <c r="BMJ172" s="1056"/>
      <c r="BMK172" s="1056"/>
      <c r="BML172" s="1056"/>
      <c r="BMM172" s="1056"/>
      <c r="BMN172" s="1056"/>
      <c r="BMO172" s="1056"/>
      <c r="BMP172" s="1056"/>
      <c r="BMQ172" s="1056"/>
      <c r="BMR172" s="1056"/>
      <c r="BMS172" s="1056"/>
      <c r="BMT172" s="1056"/>
      <c r="BMU172" s="1056"/>
      <c r="BMV172" s="1056"/>
      <c r="BMW172" s="1056"/>
      <c r="BMX172" s="1056"/>
      <c r="BMY172" s="1056"/>
      <c r="BMZ172" s="1056"/>
      <c r="BNA172" s="1056"/>
      <c r="BNB172" s="1056"/>
      <c r="BNC172" s="1056"/>
      <c r="BND172" s="1056"/>
      <c r="BNE172" s="1056"/>
      <c r="BNF172" s="1056"/>
      <c r="BNG172" s="1056"/>
      <c r="BNH172" s="1056"/>
      <c r="BNI172" s="1056"/>
      <c r="BNJ172" s="1056"/>
      <c r="BNK172" s="1056"/>
      <c r="BNL172" s="1056"/>
      <c r="BNM172" s="1056"/>
      <c r="BNN172" s="1056"/>
      <c r="BNO172" s="1056"/>
      <c r="BNP172" s="1056"/>
      <c r="BNQ172" s="1056"/>
      <c r="BNR172" s="1056"/>
      <c r="BNS172" s="1056"/>
      <c r="BNT172" s="1056"/>
      <c r="BNU172" s="1056"/>
      <c r="BNV172" s="1056"/>
      <c r="BNW172" s="1056"/>
      <c r="BNX172" s="1056"/>
      <c r="BNY172" s="1056"/>
      <c r="BNZ172" s="1056"/>
      <c r="BOA172" s="1056"/>
      <c r="BOB172" s="1056"/>
      <c r="BOC172" s="1056"/>
      <c r="BOD172" s="1056"/>
      <c r="BOE172" s="1056"/>
      <c r="BOF172" s="1056"/>
      <c r="BOG172" s="1056"/>
      <c r="BOH172" s="1056"/>
      <c r="BOI172" s="1056"/>
      <c r="BOJ172" s="1056"/>
      <c r="BOK172" s="1056"/>
      <c r="BOL172" s="1056"/>
      <c r="BOM172" s="1056"/>
      <c r="BON172" s="1056"/>
      <c r="BOO172" s="1056"/>
      <c r="BOP172" s="1056"/>
      <c r="BOQ172" s="1056"/>
      <c r="BOR172" s="1056"/>
      <c r="BOS172" s="1056"/>
      <c r="BOT172" s="1056"/>
      <c r="BOU172" s="1056"/>
      <c r="BOV172" s="1056"/>
      <c r="BOW172" s="1056"/>
      <c r="BOX172" s="1056"/>
      <c r="BOY172" s="1056"/>
      <c r="BOZ172" s="1056"/>
      <c r="BPA172" s="1056"/>
      <c r="BPB172" s="1056"/>
      <c r="BPC172" s="1056"/>
      <c r="BPD172" s="1056"/>
      <c r="BPE172" s="1056"/>
      <c r="BPF172" s="1056"/>
      <c r="BPG172" s="1056"/>
      <c r="BPH172" s="1056"/>
      <c r="BPI172" s="1056"/>
      <c r="BPJ172" s="1056"/>
      <c r="BPK172" s="1056"/>
      <c r="BPL172" s="1056"/>
      <c r="BPM172" s="1056"/>
      <c r="BPN172" s="1056"/>
      <c r="BPO172" s="1056"/>
      <c r="BPP172" s="1056"/>
      <c r="BPQ172" s="1056"/>
      <c r="BPR172" s="1056"/>
      <c r="BPS172" s="1056"/>
      <c r="BPT172" s="1056"/>
      <c r="BPU172" s="1056"/>
      <c r="BPV172" s="1056"/>
      <c r="BPW172" s="1056"/>
      <c r="BPX172" s="1056"/>
      <c r="BPY172" s="1056"/>
      <c r="BPZ172" s="1056"/>
      <c r="BQA172" s="1056"/>
      <c r="BQB172" s="1056"/>
      <c r="BQC172" s="1056"/>
      <c r="BQD172" s="1056"/>
      <c r="BQE172" s="1056"/>
      <c r="BQF172" s="1056"/>
      <c r="BQG172" s="1056"/>
      <c r="BQH172" s="1056"/>
      <c r="BQI172" s="1056"/>
      <c r="BQJ172" s="1056"/>
      <c r="BQK172" s="1056"/>
      <c r="BQL172" s="1056"/>
      <c r="BQM172" s="1056"/>
      <c r="BQN172" s="1056"/>
      <c r="BQO172" s="1056"/>
      <c r="BQP172" s="1056"/>
      <c r="BQQ172" s="1056"/>
      <c r="BQR172" s="1056"/>
      <c r="BQS172" s="1056"/>
      <c r="BQT172" s="1056"/>
      <c r="BQU172" s="1056"/>
      <c r="BQV172" s="1056"/>
      <c r="BQW172" s="1056"/>
      <c r="BQX172" s="1056"/>
      <c r="BQY172" s="1056"/>
      <c r="BQZ172" s="1056"/>
      <c r="BRA172" s="1056"/>
      <c r="BRB172" s="1056"/>
      <c r="BRC172" s="1056"/>
      <c r="BRD172" s="1056"/>
      <c r="BRE172" s="1056"/>
      <c r="BRF172" s="1056"/>
      <c r="BRG172" s="1056"/>
      <c r="BRH172" s="1056"/>
      <c r="BRI172" s="1056"/>
      <c r="BRJ172" s="1056"/>
      <c r="BRK172" s="1056"/>
      <c r="BRL172" s="1056"/>
      <c r="BRM172" s="1056"/>
      <c r="BRN172" s="1056"/>
      <c r="BRO172" s="1056"/>
      <c r="BRP172" s="1056"/>
      <c r="BRQ172" s="1056"/>
      <c r="BRR172" s="1056"/>
      <c r="BRS172" s="1056"/>
      <c r="BRT172" s="1056"/>
      <c r="BRU172" s="1056"/>
      <c r="BRV172" s="1056"/>
      <c r="BRW172" s="1056"/>
      <c r="BRX172" s="1056"/>
      <c r="BRY172" s="1056"/>
      <c r="BRZ172" s="1056"/>
      <c r="BSA172" s="1056"/>
      <c r="BSB172" s="1056"/>
      <c r="BSC172" s="1056"/>
      <c r="BSD172" s="1056"/>
      <c r="BSE172" s="1056"/>
      <c r="BSF172" s="1056"/>
      <c r="BSG172" s="1056"/>
      <c r="BSH172" s="1056"/>
      <c r="BSI172" s="1056"/>
      <c r="BSJ172" s="1056"/>
      <c r="BSK172" s="1056"/>
      <c r="BSL172" s="1056"/>
      <c r="BSM172" s="1056"/>
      <c r="BSN172" s="1056"/>
      <c r="BSO172" s="1056"/>
      <c r="BSP172" s="1056"/>
      <c r="BSQ172" s="1056"/>
      <c r="BSR172" s="1056"/>
      <c r="BSS172" s="1056"/>
      <c r="BST172" s="1056"/>
      <c r="BSU172" s="1056"/>
      <c r="BSV172" s="1056"/>
      <c r="BSW172" s="1056"/>
      <c r="BSX172" s="1056"/>
      <c r="BSY172" s="1056"/>
      <c r="BSZ172" s="1056"/>
      <c r="BTA172" s="1056"/>
      <c r="BTB172" s="1056"/>
      <c r="BTC172" s="1056"/>
      <c r="BTD172" s="1056"/>
      <c r="BTE172" s="1056"/>
      <c r="BTF172" s="1056"/>
      <c r="BTG172" s="1056"/>
      <c r="BTH172" s="1056"/>
      <c r="BTI172" s="1056"/>
    </row>
    <row r="173" spans="1:1881" s="1060" customFormat="1" ht="90" hidden="1" customHeight="1" x14ac:dyDescent="0.3">
      <c r="A173" s="1059">
        <v>49</v>
      </c>
      <c r="B173" s="808" t="s">
        <v>57</v>
      </c>
      <c r="C173" s="808" t="s">
        <v>1413</v>
      </c>
      <c r="D173" s="1084" t="s">
        <v>160</v>
      </c>
      <c r="E173" s="1053" t="e">
        <f>HLOOKUP($D$2,'2020 Data(H)'!$C$1:$AI$426,36,FALSE)</f>
        <v>#N/A</v>
      </c>
      <c r="F173" s="287">
        <v>0</v>
      </c>
      <c r="G173" s="722">
        <f>IF(F173&lt;0,"Error: Enter as positive.",)</f>
        <v>0</v>
      </c>
      <c r="H173" s="764"/>
      <c r="I173" s="1055"/>
      <c r="J173" s="1056"/>
      <c r="K173" s="1056"/>
      <c r="L173" s="1056"/>
      <c r="M173" s="1056"/>
      <c r="N173" s="1058"/>
      <c r="O173" s="1056"/>
      <c r="P173" s="1056"/>
      <c r="Q173" s="1056"/>
      <c r="R173" s="1056"/>
      <c r="S173" s="1056"/>
      <c r="T173" s="1056"/>
      <c r="U173" s="1056"/>
      <c r="V173" s="1056"/>
      <c r="W173" s="1056"/>
      <c r="X173" s="1056"/>
      <c r="Y173" s="1056"/>
      <c r="Z173" s="1059"/>
      <c r="AA173" s="1059"/>
      <c r="AB173" s="1059"/>
      <c r="AC173" s="1059"/>
      <c r="AD173" s="1059"/>
      <c r="AE173" s="1059"/>
      <c r="AF173" s="1059"/>
      <c r="AG173" s="1059"/>
      <c r="AH173" s="1059"/>
      <c r="AI173" s="1059"/>
      <c r="AJ173" s="1059"/>
      <c r="AK173" s="1059"/>
      <c r="AL173" s="1059"/>
      <c r="AM173" s="1059"/>
      <c r="AN173" s="1059"/>
      <c r="AO173" s="1059"/>
      <c r="AP173" s="1059"/>
      <c r="AQ173" s="1059"/>
      <c r="AR173" s="1059"/>
      <c r="AS173" s="1056"/>
      <c r="AT173" s="1056"/>
      <c r="AU173" s="1056"/>
      <c r="AV173" s="1056"/>
      <c r="AW173" s="1056"/>
      <c r="AX173" s="1056"/>
      <c r="AY173" s="1056"/>
      <c r="AZ173" s="1056"/>
      <c r="BA173" s="1056"/>
      <c r="BB173" s="1056"/>
      <c r="BC173" s="1056"/>
      <c r="BD173" s="1056"/>
      <c r="BE173" s="1056"/>
      <c r="BF173" s="1056"/>
      <c r="BG173" s="1056"/>
      <c r="BH173" s="1056"/>
      <c r="BI173" s="1056"/>
      <c r="BJ173" s="1056"/>
      <c r="BK173" s="1056"/>
      <c r="BL173" s="1056"/>
      <c r="BM173" s="1056"/>
      <c r="BN173" s="1056"/>
      <c r="BO173" s="1056"/>
      <c r="BP173" s="1056"/>
      <c r="BQ173" s="1056"/>
      <c r="BR173" s="1056"/>
      <c r="BS173" s="1056"/>
      <c r="BT173" s="1056"/>
      <c r="BU173" s="1056"/>
      <c r="BV173" s="1056"/>
      <c r="BW173" s="1056"/>
      <c r="BX173" s="1056"/>
      <c r="BY173" s="1056"/>
      <c r="BZ173" s="1056"/>
      <c r="CA173" s="1056"/>
      <c r="CB173" s="1056"/>
      <c r="CC173" s="1056"/>
      <c r="CD173" s="1056"/>
      <c r="CE173" s="1056"/>
      <c r="CF173" s="1056"/>
      <c r="CG173" s="1056"/>
      <c r="CH173" s="1056"/>
      <c r="CI173" s="1056"/>
      <c r="CJ173" s="1056"/>
      <c r="CK173" s="1056"/>
      <c r="CL173" s="1056"/>
      <c r="CM173" s="1056"/>
      <c r="CN173" s="1056"/>
      <c r="CO173" s="1056"/>
      <c r="CP173" s="1056"/>
      <c r="CQ173" s="1056"/>
      <c r="CR173" s="1056"/>
      <c r="CS173" s="1056"/>
      <c r="CT173" s="1056"/>
      <c r="CU173" s="1056"/>
      <c r="CV173" s="1056"/>
      <c r="CW173" s="1056"/>
      <c r="CX173" s="1056"/>
      <c r="CY173" s="1056"/>
      <c r="CZ173" s="1056"/>
      <c r="DA173" s="1056"/>
      <c r="DB173" s="1056"/>
      <c r="DC173" s="1056"/>
      <c r="DD173" s="1056"/>
      <c r="DE173" s="1056"/>
      <c r="DF173" s="1056"/>
      <c r="DG173" s="1056"/>
      <c r="DH173" s="1056"/>
      <c r="DI173" s="1056"/>
      <c r="DJ173" s="1056"/>
      <c r="DK173" s="1056"/>
      <c r="DL173" s="1056"/>
      <c r="DM173" s="1056"/>
      <c r="DN173" s="1056"/>
      <c r="DO173" s="1056"/>
      <c r="DP173" s="1056"/>
      <c r="DQ173" s="1056"/>
      <c r="DR173" s="1056"/>
      <c r="DS173" s="1056"/>
      <c r="DT173" s="1056"/>
      <c r="DU173" s="1056"/>
      <c r="DV173" s="1056"/>
      <c r="DW173" s="1056"/>
      <c r="DX173" s="1056"/>
      <c r="DY173" s="1056"/>
      <c r="DZ173" s="1056"/>
      <c r="EA173" s="1056"/>
      <c r="EB173" s="1056"/>
      <c r="EC173" s="1056"/>
      <c r="ED173" s="1056"/>
      <c r="EE173" s="1056"/>
      <c r="EF173" s="1056"/>
      <c r="EG173" s="1056"/>
      <c r="EH173" s="1056"/>
      <c r="EI173" s="1056"/>
      <c r="EJ173" s="1056"/>
      <c r="EK173" s="1056"/>
      <c r="EL173" s="1056"/>
      <c r="EM173" s="1056"/>
      <c r="EN173" s="1056"/>
      <c r="EO173" s="1056"/>
      <c r="EP173" s="1056"/>
      <c r="EQ173" s="1056"/>
      <c r="ER173" s="1056"/>
      <c r="ES173" s="1056"/>
      <c r="ET173" s="1056"/>
      <c r="EU173" s="1056"/>
      <c r="EV173" s="1056"/>
      <c r="EW173" s="1056"/>
      <c r="EX173" s="1056"/>
      <c r="EY173" s="1056"/>
      <c r="EZ173" s="1056"/>
      <c r="FA173" s="1056"/>
      <c r="FB173" s="1056"/>
      <c r="FC173" s="1056"/>
      <c r="FD173" s="1056"/>
      <c r="FE173" s="1056"/>
      <c r="FF173" s="1056"/>
      <c r="FG173" s="1056"/>
      <c r="FH173" s="1056"/>
      <c r="FI173" s="1056"/>
      <c r="FJ173" s="1056"/>
      <c r="FK173" s="1056"/>
      <c r="FL173" s="1056"/>
      <c r="FM173" s="1056"/>
      <c r="FN173" s="1056"/>
      <c r="FO173" s="1056"/>
      <c r="FP173" s="1056"/>
      <c r="FQ173" s="1056"/>
      <c r="FR173" s="1056"/>
      <c r="FS173" s="1056"/>
      <c r="FT173" s="1056"/>
      <c r="FU173" s="1056"/>
      <c r="FV173" s="1056"/>
      <c r="FW173" s="1056"/>
      <c r="FX173" s="1056"/>
      <c r="FY173" s="1056"/>
      <c r="FZ173" s="1056"/>
      <c r="GA173" s="1056"/>
      <c r="GB173" s="1056"/>
      <c r="GC173" s="1056"/>
      <c r="GD173" s="1056"/>
      <c r="GE173" s="1056"/>
      <c r="GF173" s="1056"/>
      <c r="GG173" s="1056"/>
      <c r="GH173" s="1056"/>
      <c r="GI173" s="1056"/>
      <c r="GJ173" s="1056"/>
      <c r="GK173" s="1056"/>
      <c r="GL173" s="1056"/>
      <c r="GM173" s="1056"/>
      <c r="GN173" s="1056"/>
      <c r="GO173" s="1056"/>
      <c r="GP173" s="1056"/>
      <c r="GQ173" s="1056"/>
      <c r="GR173" s="1056"/>
      <c r="GS173" s="1056"/>
      <c r="GT173" s="1056"/>
      <c r="GU173" s="1056"/>
      <c r="GV173" s="1056"/>
      <c r="GW173" s="1056"/>
      <c r="GX173" s="1056"/>
      <c r="GY173" s="1056"/>
      <c r="GZ173" s="1056"/>
      <c r="HA173" s="1056"/>
      <c r="HB173" s="1056"/>
      <c r="HC173" s="1056"/>
      <c r="HD173" s="1056"/>
      <c r="HE173" s="1056"/>
      <c r="HF173" s="1056"/>
      <c r="HG173" s="1056"/>
      <c r="HH173" s="1056"/>
      <c r="HI173" s="1056"/>
      <c r="HJ173" s="1056"/>
      <c r="HK173" s="1056"/>
      <c r="HL173" s="1056"/>
      <c r="HM173" s="1056"/>
      <c r="HN173" s="1056"/>
      <c r="HO173" s="1056"/>
      <c r="HP173" s="1056"/>
      <c r="HQ173" s="1056"/>
      <c r="HR173" s="1056"/>
      <c r="HS173" s="1056"/>
      <c r="HT173" s="1056"/>
      <c r="HU173" s="1056"/>
      <c r="HV173" s="1056"/>
      <c r="HW173" s="1056"/>
      <c r="HX173" s="1056"/>
      <c r="HY173" s="1056"/>
      <c r="HZ173" s="1056"/>
      <c r="IA173" s="1056"/>
      <c r="IB173" s="1056"/>
      <c r="IC173" s="1056"/>
      <c r="ID173" s="1056"/>
      <c r="IE173" s="1056"/>
      <c r="IF173" s="1056"/>
      <c r="IG173" s="1056"/>
      <c r="IH173" s="1056"/>
      <c r="II173" s="1056"/>
      <c r="IJ173" s="1056"/>
      <c r="IK173" s="1056"/>
      <c r="IL173" s="1056"/>
      <c r="IM173" s="1056"/>
      <c r="IN173" s="1056"/>
      <c r="IO173" s="1056"/>
      <c r="IP173" s="1056"/>
      <c r="IQ173" s="1056"/>
      <c r="IR173" s="1056"/>
      <c r="IS173" s="1056"/>
      <c r="IT173" s="1056"/>
      <c r="IU173" s="1056"/>
      <c r="IV173" s="1056"/>
      <c r="IW173" s="1056"/>
      <c r="IX173" s="1056"/>
      <c r="IY173" s="1056"/>
      <c r="IZ173" s="1056"/>
      <c r="JA173" s="1056"/>
      <c r="JB173" s="1056"/>
      <c r="JC173" s="1056"/>
      <c r="JD173" s="1056"/>
      <c r="JE173" s="1056"/>
      <c r="JF173" s="1056"/>
      <c r="JG173" s="1056"/>
      <c r="JH173" s="1056"/>
      <c r="JI173" s="1056"/>
      <c r="JJ173" s="1056"/>
      <c r="JK173" s="1056"/>
      <c r="JL173" s="1056"/>
      <c r="JM173" s="1056"/>
      <c r="JN173" s="1056"/>
      <c r="JO173" s="1056"/>
      <c r="JP173" s="1056"/>
      <c r="JQ173" s="1056"/>
      <c r="JR173" s="1056"/>
      <c r="JS173" s="1056"/>
      <c r="JT173" s="1056"/>
      <c r="JU173" s="1056"/>
      <c r="JV173" s="1056"/>
      <c r="JW173" s="1056"/>
      <c r="JX173" s="1056"/>
      <c r="JY173" s="1056"/>
      <c r="JZ173" s="1056"/>
      <c r="KA173" s="1056"/>
      <c r="KB173" s="1056"/>
      <c r="KC173" s="1056"/>
      <c r="KD173" s="1056"/>
      <c r="KE173" s="1056"/>
      <c r="KF173" s="1056"/>
      <c r="KG173" s="1056"/>
      <c r="KH173" s="1056"/>
      <c r="KI173" s="1056"/>
      <c r="KJ173" s="1056"/>
      <c r="KK173" s="1056"/>
      <c r="KL173" s="1056"/>
      <c r="KM173" s="1056"/>
      <c r="KN173" s="1056"/>
      <c r="KO173" s="1056"/>
      <c r="KP173" s="1056"/>
      <c r="KQ173" s="1056"/>
      <c r="KR173" s="1056"/>
      <c r="KS173" s="1056"/>
      <c r="KT173" s="1056"/>
      <c r="KU173" s="1056"/>
      <c r="KV173" s="1056"/>
      <c r="KW173" s="1056"/>
      <c r="KX173" s="1056"/>
      <c r="KY173" s="1056"/>
      <c r="KZ173" s="1056"/>
      <c r="LA173" s="1056"/>
      <c r="LB173" s="1056"/>
      <c r="LC173" s="1056"/>
      <c r="LD173" s="1056"/>
      <c r="LE173" s="1056"/>
      <c r="LF173" s="1056"/>
      <c r="LG173" s="1056"/>
      <c r="LH173" s="1056"/>
      <c r="LI173" s="1056"/>
      <c r="LJ173" s="1056"/>
      <c r="LK173" s="1056"/>
      <c r="LL173" s="1056"/>
      <c r="LM173" s="1056"/>
      <c r="LN173" s="1056"/>
      <c r="LO173" s="1056"/>
      <c r="LP173" s="1056"/>
      <c r="LQ173" s="1056"/>
      <c r="LR173" s="1056"/>
      <c r="LS173" s="1056"/>
      <c r="LT173" s="1056"/>
      <c r="LU173" s="1056"/>
      <c r="LV173" s="1056"/>
      <c r="LW173" s="1056"/>
      <c r="LX173" s="1056"/>
      <c r="LY173" s="1056"/>
      <c r="LZ173" s="1056"/>
      <c r="MA173" s="1056"/>
      <c r="MB173" s="1056"/>
      <c r="MC173" s="1056"/>
      <c r="MD173" s="1056"/>
      <c r="ME173" s="1056"/>
      <c r="MF173" s="1056"/>
      <c r="MG173" s="1056"/>
      <c r="MH173" s="1056"/>
      <c r="MI173" s="1056"/>
      <c r="MJ173" s="1056"/>
      <c r="MK173" s="1056"/>
      <c r="ML173" s="1056"/>
      <c r="MM173" s="1056"/>
      <c r="MN173" s="1056"/>
      <c r="MO173" s="1056"/>
      <c r="MP173" s="1056"/>
      <c r="MQ173" s="1056"/>
      <c r="MR173" s="1056"/>
      <c r="MS173" s="1056"/>
      <c r="MT173" s="1056"/>
      <c r="MU173" s="1056"/>
      <c r="MV173" s="1056"/>
      <c r="MW173" s="1056"/>
      <c r="MX173" s="1056"/>
      <c r="MY173" s="1056"/>
      <c r="MZ173" s="1056"/>
      <c r="NA173" s="1056"/>
      <c r="NB173" s="1056"/>
      <c r="NC173" s="1056"/>
      <c r="ND173" s="1056"/>
      <c r="NE173" s="1056"/>
      <c r="NF173" s="1056"/>
      <c r="NG173" s="1056"/>
      <c r="NH173" s="1056"/>
      <c r="NI173" s="1056"/>
      <c r="NJ173" s="1056"/>
      <c r="NK173" s="1056"/>
      <c r="NL173" s="1056"/>
      <c r="NM173" s="1056"/>
      <c r="NN173" s="1056"/>
      <c r="NO173" s="1056"/>
      <c r="NP173" s="1056"/>
      <c r="NQ173" s="1056"/>
      <c r="NR173" s="1056"/>
      <c r="NS173" s="1056"/>
      <c r="NT173" s="1056"/>
      <c r="NU173" s="1056"/>
      <c r="NV173" s="1056"/>
      <c r="NW173" s="1056"/>
      <c r="NX173" s="1056"/>
      <c r="NY173" s="1056"/>
      <c r="NZ173" s="1056"/>
      <c r="OA173" s="1056"/>
      <c r="OB173" s="1056"/>
      <c r="OC173" s="1056"/>
      <c r="OD173" s="1056"/>
      <c r="OE173" s="1056"/>
      <c r="OF173" s="1056"/>
      <c r="OG173" s="1056"/>
      <c r="OH173" s="1056"/>
      <c r="OI173" s="1056"/>
      <c r="OJ173" s="1056"/>
      <c r="OK173" s="1056"/>
      <c r="OL173" s="1056"/>
      <c r="OM173" s="1056"/>
      <c r="ON173" s="1056"/>
      <c r="OO173" s="1056"/>
      <c r="OP173" s="1056"/>
      <c r="OQ173" s="1056"/>
      <c r="OR173" s="1056"/>
      <c r="OS173" s="1056"/>
      <c r="OT173" s="1056"/>
      <c r="OU173" s="1056"/>
      <c r="OV173" s="1056"/>
      <c r="OW173" s="1056"/>
      <c r="OX173" s="1056"/>
      <c r="OY173" s="1056"/>
      <c r="OZ173" s="1056"/>
      <c r="PA173" s="1056"/>
      <c r="PB173" s="1056"/>
      <c r="PC173" s="1056"/>
      <c r="PD173" s="1056"/>
      <c r="PE173" s="1056"/>
      <c r="PF173" s="1056"/>
      <c r="PG173" s="1056"/>
      <c r="PH173" s="1056"/>
      <c r="PI173" s="1056"/>
      <c r="PJ173" s="1056"/>
      <c r="PK173" s="1056"/>
      <c r="PL173" s="1056"/>
      <c r="PM173" s="1056"/>
      <c r="PN173" s="1056"/>
      <c r="PO173" s="1056"/>
      <c r="PP173" s="1056"/>
      <c r="PQ173" s="1056"/>
      <c r="PR173" s="1056"/>
      <c r="PS173" s="1056"/>
      <c r="PT173" s="1056"/>
      <c r="PU173" s="1056"/>
      <c r="PV173" s="1056"/>
      <c r="PW173" s="1056"/>
      <c r="PX173" s="1056"/>
      <c r="PY173" s="1056"/>
      <c r="PZ173" s="1056"/>
      <c r="QA173" s="1056"/>
      <c r="QB173" s="1056"/>
      <c r="QC173" s="1056"/>
      <c r="QD173" s="1056"/>
      <c r="QE173" s="1056"/>
      <c r="QF173" s="1056"/>
      <c r="QG173" s="1056"/>
      <c r="QH173" s="1056"/>
      <c r="QI173" s="1056"/>
      <c r="QJ173" s="1056"/>
      <c r="QK173" s="1056"/>
      <c r="QL173" s="1056"/>
      <c r="QM173" s="1056"/>
      <c r="QN173" s="1056"/>
      <c r="QO173" s="1056"/>
      <c r="QP173" s="1056"/>
      <c r="QQ173" s="1056"/>
      <c r="QR173" s="1056"/>
      <c r="QS173" s="1056"/>
      <c r="QT173" s="1056"/>
      <c r="QU173" s="1056"/>
      <c r="QV173" s="1056"/>
      <c r="QW173" s="1056"/>
      <c r="QX173" s="1056"/>
      <c r="QY173" s="1056"/>
      <c r="QZ173" s="1056"/>
      <c r="RA173" s="1056"/>
      <c r="RB173" s="1056"/>
      <c r="RC173" s="1056"/>
      <c r="RD173" s="1056"/>
      <c r="RE173" s="1056"/>
      <c r="RF173" s="1056"/>
      <c r="RG173" s="1056"/>
      <c r="RH173" s="1056"/>
      <c r="RI173" s="1056"/>
      <c r="RJ173" s="1056"/>
      <c r="RK173" s="1056"/>
      <c r="RL173" s="1056"/>
      <c r="RM173" s="1056"/>
      <c r="RN173" s="1056"/>
      <c r="RO173" s="1056"/>
      <c r="RP173" s="1056"/>
      <c r="RQ173" s="1056"/>
      <c r="RR173" s="1056"/>
      <c r="RS173" s="1056"/>
      <c r="RT173" s="1056"/>
      <c r="RU173" s="1056"/>
      <c r="RV173" s="1056"/>
      <c r="RW173" s="1056"/>
      <c r="RX173" s="1056"/>
      <c r="RY173" s="1056"/>
      <c r="RZ173" s="1056"/>
      <c r="SA173" s="1056"/>
      <c r="SB173" s="1056"/>
      <c r="SC173" s="1056"/>
      <c r="SD173" s="1056"/>
      <c r="SE173" s="1056"/>
      <c r="SF173" s="1056"/>
      <c r="SG173" s="1056"/>
      <c r="SH173" s="1056"/>
      <c r="SI173" s="1056"/>
      <c r="SJ173" s="1056"/>
      <c r="SK173" s="1056"/>
      <c r="SL173" s="1056"/>
      <c r="SM173" s="1056"/>
      <c r="SN173" s="1056"/>
      <c r="SO173" s="1056"/>
      <c r="SP173" s="1056"/>
      <c r="SQ173" s="1056"/>
      <c r="SR173" s="1056"/>
      <c r="SS173" s="1056"/>
      <c r="ST173" s="1056"/>
      <c r="SU173" s="1056"/>
      <c r="SV173" s="1056"/>
      <c r="SW173" s="1056"/>
      <c r="SX173" s="1056"/>
      <c r="SY173" s="1056"/>
      <c r="SZ173" s="1056"/>
      <c r="TA173" s="1056"/>
      <c r="TB173" s="1056"/>
      <c r="TC173" s="1056"/>
      <c r="TD173" s="1056"/>
      <c r="TE173" s="1056"/>
      <c r="TF173" s="1056"/>
      <c r="TG173" s="1056"/>
      <c r="TH173" s="1056"/>
      <c r="TI173" s="1056"/>
      <c r="TJ173" s="1056"/>
      <c r="TK173" s="1056"/>
      <c r="TL173" s="1056"/>
      <c r="TM173" s="1056"/>
      <c r="TN173" s="1056"/>
      <c r="TO173" s="1056"/>
      <c r="TP173" s="1056"/>
      <c r="TQ173" s="1056"/>
      <c r="TR173" s="1056"/>
      <c r="TS173" s="1056"/>
      <c r="TT173" s="1056"/>
      <c r="TU173" s="1056"/>
      <c r="TV173" s="1056"/>
      <c r="TW173" s="1056"/>
      <c r="TX173" s="1056"/>
      <c r="TY173" s="1056"/>
      <c r="TZ173" s="1056"/>
      <c r="UA173" s="1056"/>
      <c r="UB173" s="1056"/>
      <c r="UC173" s="1056"/>
      <c r="UD173" s="1056"/>
      <c r="UE173" s="1056"/>
      <c r="UF173" s="1056"/>
      <c r="UG173" s="1056"/>
      <c r="UH173" s="1056"/>
      <c r="UI173" s="1056"/>
      <c r="UJ173" s="1056"/>
      <c r="UK173" s="1056"/>
      <c r="UL173" s="1056"/>
      <c r="UM173" s="1056"/>
      <c r="UN173" s="1056"/>
      <c r="UO173" s="1056"/>
      <c r="UP173" s="1056"/>
      <c r="UQ173" s="1056"/>
      <c r="UR173" s="1056"/>
      <c r="US173" s="1056"/>
      <c r="UT173" s="1056"/>
      <c r="UU173" s="1056"/>
      <c r="UV173" s="1056"/>
      <c r="UW173" s="1056"/>
      <c r="UX173" s="1056"/>
      <c r="UY173" s="1056"/>
      <c r="UZ173" s="1056"/>
      <c r="VA173" s="1056"/>
      <c r="VB173" s="1056"/>
      <c r="VC173" s="1056"/>
      <c r="VD173" s="1056"/>
      <c r="VE173" s="1056"/>
      <c r="VF173" s="1056"/>
      <c r="VG173" s="1056"/>
      <c r="VH173" s="1056"/>
      <c r="VI173" s="1056"/>
      <c r="VJ173" s="1056"/>
      <c r="VK173" s="1056"/>
      <c r="VL173" s="1056"/>
      <c r="VM173" s="1056"/>
      <c r="VN173" s="1056"/>
      <c r="VO173" s="1056"/>
      <c r="VP173" s="1056"/>
      <c r="VQ173" s="1056"/>
      <c r="VR173" s="1056"/>
      <c r="VS173" s="1056"/>
      <c r="VT173" s="1056"/>
      <c r="VU173" s="1056"/>
      <c r="VV173" s="1056"/>
      <c r="VW173" s="1056"/>
      <c r="VX173" s="1056"/>
      <c r="VY173" s="1056"/>
      <c r="VZ173" s="1056"/>
      <c r="WA173" s="1056"/>
      <c r="WB173" s="1056"/>
      <c r="WC173" s="1056"/>
      <c r="WD173" s="1056"/>
      <c r="WE173" s="1056"/>
      <c r="WF173" s="1056"/>
      <c r="WG173" s="1056"/>
      <c r="WH173" s="1056"/>
      <c r="WI173" s="1056"/>
      <c r="WJ173" s="1056"/>
      <c r="WK173" s="1056"/>
      <c r="WL173" s="1056"/>
      <c r="WM173" s="1056"/>
      <c r="WN173" s="1056"/>
      <c r="WO173" s="1056"/>
      <c r="WP173" s="1056"/>
      <c r="WQ173" s="1056"/>
      <c r="WR173" s="1056"/>
      <c r="WS173" s="1056"/>
      <c r="WT173" s="1056"/>
      <c r="WU173" s="1056"/>
      <c r="WV173" s="1056"/>
      <c r="WW173" s="1056"/>
      <c r="WX173" s="1056"/>
      <c r="WY173" s="1056"/>
      <c r="WZ173" s="1056"/>
      <c r="XA173" s="1056"/>
      <c r="XB173" s="1056"/>
      <c r="XC173" s="1056"/>
      <c r="XD173" s="1056"/>
      <c r="XE173" s="1056"/>
      <c r="XF173" s="1056"/>
      <c r="XG173" s="1056"/>
      <c r="XH173" s="1056"/>
      <c r="XI173" s="1056"/>
      <c r="XJ173" s="1056"/>
      <c r="XK173" s="1056"/>
      <c r="XL173" s="1056"/>
      <c r="XM173" s="1056"/>
      <c r="XN173" s="1056"/>
      <c r="XO173" s="1056"/>
      <c r="XP173" s="1056"/>
      <c r="XQ173" s="1056"/>
      <c r="XR173" s="1056"/>
      <c r="XS173" s="1056"/>
      <c r="XT173" s="1056"/>
      <c r="XU173" s="1056"/>
      <c r="XV173" s="1056"/>
      <c r="XW173" s="1056"/>
      <c r="XX173" s="1056"/>
      <c r="XY173" s="1056"/>
      <c r="XZ173" s="1056"/>
      <c r="YA173" s="1056"/>
      <c r="YB173" s="1056"/>
      <c r="YC173" s="1056"/>
      <c r="YD173" s="1056"/>
      <c r="YE173" s="1056"/>
      <c r="YF173" s="1056"/>
      <c r="YG173" s="1056"/>
      <c r="YH173" s="1056"/>
      <c r="YI173" s="1056"/>
      <c r="YJ173" s="1056"/>
      <c r="YK173" s="1056"/>
      <c r="YL173" s="1056"/>
      <c r="YM173" s="1056"/>
      <c r="YN173" s="1056"/>
      <c r="YO173" s="1056"/>
      <c r="YP173" s="1056"/>
      <c r="YQ173" s="1056"/>
      <c r="YR173" s="1056"/>
      <c r="YS173" s="1056"/>
      <c r="YT173" s="1056"/>
      <c r="YU173" s="1056"/>
      <c r="YV173" s="1056"/>
      <c r="YW173" s="1056"/>
      <c r="YX173" s="1056"/>
      <c r="YY173" s="1056"/>
      <c r="YZ173" s="1056"/>
      <c r="ZA173" s="1056"/>
      <c r="ZB173" s="1056"/>
      <c r="ZC173" s="1056"/>
      <c r="ZD173" s="1056"/>
      <c r="ZE173" s="1056"/>
      <c r="ZF173" s="1056"/>
      <c r="ZG173" s="1056"/>
      <c r="ZH173" s="1056"/>
      <c r="ZI173" s="1056"/>
      <c r="ZJ173" s="1056"/>
      <c r="ZK173" s="1056"/>
      <c r="ZL173" s="1056"/>
      <c r="ZM173" s="1056"/>
      <c r="ZN173" s="1056"/>
      <c r="ZO173" s="1056"/>
      <c r="ZP173" s="1056"/>
      <c r="ZQ173" s="1056"/>
      <c r="ZR173" s="1056"/>
      <c r="ZS173" s="1056"/>
      <c r="ZT173" s="1056"/>
      <c r="ZU173" s="1056"/>
      <c r="ZV173" s="1056"/>
      <c r="ZW173" s="1056"/>
      <c r="ZX173" s="1056"/>
      <c r="ZY173" s="1056"/>
      <c r="ZZ173" s="1056"/>
      <c r="AAA173" s="1056"/>
      <c r="AAB173" s="1056"/>
      <c r="AAC173" s="1056"/>
      <c r="AAD173" s="1056"/>
      <c r="AAE173" s="1056"/>
      <c r="AAF173" s="1056"/>
      <c r="AAG173" s="1056"/>
      <c r="AAH173" s="1056"/>
      <c r="AAI173" s="1056"/>
      <c r="AAJ173" s="1056"/>
      <c r="AAK173" s="1056"/>
      <c r="AAL173" s="1056"/>
      <c r="AAM173" s="1056"/>
      <c r="AAN173" s="1056"/>
      <c r="AAO173" s="1056"/>
      <c r="AAP173" s="1056"/>
      <c r="AAQ173" s="1056"/>
      <c r="AAR173" s="1056"/>
      <c r="AAS173" s="1056"/>
      <c r="AAT173" s="1056"/>
      <c r="AAU173" s="1056"/>
      <c r="AAV173" s="1056"/>
      <c r="AAW173" s="1056"/>
      <c r="AAX173" s="1056"/>
      <c r="AAY173" s="1056"/>
      <c r="AAZ173" s="1056"/>
      <c r="ABA173" s="1056"/>
      <c r="ABB173" s="1056"/>
      <c r="ABC173" s="1056"/>
      <c r="ABD173" s="1056"/>
      <c r="ABE173" s="1056"/>
      <c r="ABF173" s="1056"/>
      <c r="ABG173" s="1056"/>
      <c r="ABH173" s="1056"/>
      <c r="ABI173" s="1056"/>
      <c r="ABJ173" s="1056"/>
      <c r="ABK173" s="1056"/>
      <c r="ABL173" s="1056"/>
      <c r="ABM173" s="1056"/>
      <c r="ABN173" s="1056"/>
      <c r="ABO173" s="1056"/>
      <c r="ABP173" s="1056"/>
      <c r="ABQ173" s="1056"/>
      <c r="ABR173" s="1056"/>
      <c r="ABS173" s="1056"/>
      <c r="ABT173" s="1056"/>
      <c r="ABU173" s="1056"/>
      <c r="ABV173" s="1056"/>
      <c r="ABW173" s="1056"/>
      <c r="ABX173" s="1056"/>
      <c r="ABY173" s="1056"/>
      <c r="ABZ173" s="1056"/>
      <c r="ACA173" s="1056"/>
      <c r="ACB173" s="1056"/>
      <c r="ACC173" s="1056"/>
      <c r="ACD173" s="1056"/>
      <c r="ACE173" s="1056"/>
      <c r="ACF173" s="1056"/>
      <c r="ACG173" s="1056"/>
      <c r="ACH173" s="1056"/>
      <c r="ACI173" s="1056"/>
      <c r="ACJ173" s="1056"/>
      <c r="ACK173" s="1056"/>
      <c r="ACL173" s="1056"/>
      <c r="ACM173" s="1056"/>
      <c r="ACN173" s="1056"/>
      <c r="ACO173" s="1056"/>
      <c r="ACP173" s="1056"/>
      <c r="ACQ173" s="1056"/>
      <c r="ACR173" s="1056"/>
      <c r="ACS173" s="1056"/>
      <c r="ACT173" s="1056"/>
      <c r="ACU173" s="1056"/>
      <c r="ACV173" s="1056"/>
      <c r="ACW173" s="1056"/>
      <c r="ACX173" s="1056"/>
      <c r="ACY173" s="1056"/>
      <c r="ACZ173" s="1056"/>
      <c r="ADA173" s="1056"/>
      <c r="ADB173" s="1056"/>
      <c r="ADC173" s="1056"/>
      <c r="ADD173" s="1056"/>
      <c r="ADE173" s="1056"/>
      <c r="ADF173" s="1056"/>
      <c r="ADG173" s="1056"/>
      <c r="ADH173" s="1056"/>
      <c r="ADI173" s="1056"/>
      <c r="ADJ173" s="1056"/>
      <c r="ADK173" s="1056"/>
      <c r="ADL173" s="1056"/>
      <c r="ADM173" s="1056"/>
      <c r="ADN173" s="1056"/>
      <c r="ADO173" s="1056"/>
      <c r="ADP173" s="1056"/>
      <c r="ADQ173" s="1056"/>
      <c r="ADR173" s="1056"/>
      <c r="ADS173" s="1056"/>
      <c r="ADT173" s="1056"/>
      <c r="ADU173" s="1056"/>
      <c r="ADV173" s="1056"/>
      <c r="ADW173" s="1056"/>
      <c r="ADX173" s="1056"/>
      <c r="ADY173" s="1056"/>
      <c r="ADZ173" s="1056"/>
      <c r="AEA173" s="1056"/>
      <c r="AEB173" s="1056"/>
      <c r="AEC173" s="1056"/>
      <c r="AED173" s="1056"/>
      <c r="AEE173" s="1056"/>
      <c r="AEF173" s="1056"/>
      <c r="AEG173" s="1056"/>
      <c r="AEH173" s="1056"/>
      <c r="AEI173" s="1056"/>
      <c r="AEJ173" s="1056"/>
      <c r="AEK173" s="1056"/>
      <c r="AEL173" s="1056"/>
      <c r="AEM173" s="1056"/>
      <c r="AEN173" s="1056"/>
      <c r="AEO173" s="1056"/>
      <c r="AEP173" s="1056"/>
      <c r="AEQ173" s="1056"/>
      <c r="AER173" s="1056"/>
      <c r="AES173" s="1056"/>
      <c r="AET173" s="1056"/>
      <c r="AEU173" s="1056"/>
      <c r="AEV173" s="1056"/>
      <c r="AEW173" s="1056"/>
      <c r="AEX173" s="1056"/>
      <c r="AEY173" s="1056"/>
      <c r="AEZ173" s="1056"/>
      <c r="AFA173" s="1056"/>
      <c r="AFB173" s="1056"/>
      <c r="AFC173" s="1056"/>
      <c r="AFD173" s="1056"/>
      <c r="AFE173" s="1056"/>
      <c r="AFF173" s="1056"/>
      <c r="AFG173" s="1056"/>
      <c r="AFH173" s="1056"/>
      <c r="AFI173" s="1056"/>
      <c r="AFJ173" s="1056"/>
      <c r="AFK173" s="1056"/>
      <c r="AFL173" s="1056"/>
      <c r="AFM173" s="1056"/>
      <c r="AFN173" s="1056"/>
      <c r="AFO173" s="1056"/>
      <c r="AFP173" s="1056"/>
      <c r="AFQ173" s="1056"/>
      <c r="AFR173" s="1056"/>
      <c r="AFS173" s="1056"/>
      <c r="AFT173" s="1056"/>
      <c r="AFU173" s="1056"/>
      <c r="AFV173" s="1056"/>
      <c r="AFW173" s="1056"/>
      <c r="AFX173" s="1056"/>
      <c r="AFY173" s="1056"/>
      <c r="AFZ173" s="1056"/>
      <c r="AGA173" s="1056"/>
      <c r="AGB173" s="1056"/>
      <c r="AGC173" s="1056"/>
      <c r="AGD173" s="1056"/>
      <c r="AGE173" s="1056"/>
      <c r="AGF173" s="1056"/>
      <c r="AGG173" s="1056"/>
      <c r="AGH173" s="1056"/>
      <c r="AGI173" s="1056"/>
      <c r="AGJ173" s="1056"/>
      <c r="AGK173" s="1056"/>
      <c r="AGL173" s="1056"/>
      <c r="AGM173" s="1056"/>
      <c r="AGN173" s="1056"/>
      <c r="AGO173" s="1056"/>
      <c r="AGP173" s="1056"/>
      <c r="AGQ173" s="1056"/>
      <c r="AGR173" s="1056"/>
      <c r="AGS173" s="1056"/>
      <c r="AGT173" s="1056"/>
      <c r="AGU173" s="1056"/>
      <c r="AGV173" s="1056"/>
      <c r="AGW173" s="1056"/>
      <c r="AGX173" s="1056"/>
      <c r="AGY173" s="1056"/>
      <c r="AGZ173" s="1056"/>
      <c r="AHA173" s="1056"/>
      <c r="AHB173" s="1056"/>
      <c r="AHC173" s="1056"/>
      <c r="AHD173" s="1056"/>
      <c r="AHE173" s="1056"/>
      <c r="AHF173" s="1056"/>
      <c r="AHG173" s="1056"/>
      <c r="AHH173" s="1056"/>
      <c r="AHI173" s="1056"/>
      <c r="AHJ173" s="1056"/>
      <c r="AHK173" s="1056"/>
      <c r="AHL173" s="1056"/>
      <c r="AHM173" s="1056"/>
      <c r="AHN173" s="1056"/>
      <c r="AHO173" s="1056"/>
      <c r="AHP173" s="1056"/>
      <c r="AHQ173" s="1056"/>
      <c r="AHR173" s="1056"/>
      <c r="AHS173" s="1056"/>
      <c r="AHT173" s="1056"/>
      <c r="AHU173" s="1056"/>
      <c r="AHV173" s="1056"/>
      <c r="AHW173" s="1056"/>
      <c r="AHX173" s="1056"/>
      <c r="AHY173" s="1056"/>
      <c r="AHZ173" s="1056"/>
      <c r="AIA173" s="1056"/>
      <c r="AIB173" s="1056"/>
      <c r="AIC173" s="1056"/>
      <c r="AID173" s="1056"/>
      <c r="AIE173" s="1056"/>
      <c r="AIF173" s="1056"/>
      <c r="AIG173" s="1056"/>
      <c r="AIH173" s="1056"/>
      <c r="AII173" s="1056"/>
      <c r="AIJ173" s="1056"/>
      <c r="AIK173" s="1056"/>
      <c r="AIL173" s="1056"/>
      <c r="AIM173" s="1056"/>
      <c r="AIN173" s="1056"/>
      <c r="AIO173" s="1056"/>
      <c r="AIP173" s="1056"/>
      <c r="AIQ173" s="1056"/>
      <c r="AIR173" s="1056"/>
      <c r="AIS173" s="1056"/>
      <c r="AIT173" s="1056"/>
      <c r="AIU173" s="1056"/>
      <c r="AIV173" s="1056"/>
      <c r="AIW173" s="1056"/>
      <c r="AIX173" s="1056"/>
      <c r="AIY173" s="1056"/>
      <c r="AIZ173" s="1056"/>
      <c r="AJA173" s="1056"/>
      <c r="AJB173" s="1056"/>
      <c r="AJC173" s="1056"/>
      <c r="AJD173" s="1056"/>
      <c r="AJE173" s="1056"/>
      <c r="AJF173" s="1056"/>
      <c r="AJG173" s="1056"/>
      <c r="AJH173" s="1056"/>
      <c r="AJI173" s="1056"/>
      <c r="AJJ173" s="1056"/>
      <c r="AJK173" s="1056"/>
      <c r="AJL173" s="1056"/>
      <c r="AJM173" s="1056"/>
      <c r="AJN173" s="1056"/>
      <c r="AJO173" s="1056"/>
      <c r="AJP173" s="1056"/>
      <c r="AJQ173" s="1056"/>
      <c r="AJR173" s="1056"/>
      <c r="AJS173" s="1056"/>
      <c r="AJT173" s="1056"/>
      <c r="AJU173" s="1056"/>
      <c r="AJV173" s="1056"/>
      <c r="AJW173" s="1056"/>
      <c r="AJX173" s="1056"/>
      <c r="AJY173" s="1056"/>
      <c r="AJZ173" s="1056"/>
      <c r="AKA173" s="1056"/>
      <c r="AKB173" s="1056"/>
      <c r="AKC173" s="1056"/>
      <c r="AKD173" s="1056"/>
      <c r="AKE173" s="1056"/>
      <c r="AKF173" s="1056"/>
      <c r="AKG173" s="1056"/>
      <c r="AKH173" s="1056"/>
      <c r="AKI173" s="1056"/>
      <c r="AKJ173" s="1056"/>
      <c r="AKK173" s="1056"/>
      <c r="AKL173" s="1056"/>
      <c r="AKM173" s="1056"/>
      <c r="AKN173" s="1056"/>
      <c r="AKO173" s="1056"/>
      <c r="AKP173" s="1056"/>
      <c r="AKQ173" s="1056"/>
      <c r="AKR173" s="1056"/>
      <c r="AKS173" s="1056"/>
      <c r="AKT173" s="1056"/>
      <c r="AKU173" s="1056"/>
      <c r="AKV173" s="1056"/>
      <c r="AKW173" s="1056"/>
      <c r="AKX173" s="1056"/>
      <c r="AKY173" s="1056"/>
      <c r="AKZ173" s="1056"/>
      <c r="ALA173" s="1056"/>
      <c r="ALB173" s="1056"/>
      <c r="ALC173" s="1056"/>
      <c r="ALD173" s="1056"/>
      <c r="ALE173" s="1056"/>
      <c r="ALF173" s="1056"/>
      <c r="ALG173" s="1056"/>
      <c r="ALH173" s="1056"/>
      <c r="ALI173" s="1056"/>
      <c r="ALJ173" s="1056"/>
      <c r="ALK173" s="1056"/>
      <c r="ALL173" s="1056"/>
      <c r="ALM173" s="1056"/>
      <c r="ALN173" s="1056"/>
      <c r="ALO173" s="1056"/>
      <c r="ALP173" s="1056"/>
      <c r="ALQ173" s="1056"/>
      <c r="ALR173" s="1056"/>
      <c r="ALS173" s="1056"/>
      <c r="ALT173" s="1056"/>
      <c r="ALU173" s="1056"/>
      <c r="ALV173" s="1056"/>
      <c r="ALW173" s="1056"/>
      <c r="ALX173" s="1056"/>
      <c r="ALY173" s="1056"/>
      <c r="ALZ173" s="1056"/>
      <c r="AMA173" s="1056"/>
      <c r="AMB173" s="1056"/>
      <c r="AMC173" s="1056"/>
      <c r="AMD173" s="1056"/>
      <c r="AME173" s="1056"/>
      <c r="AMF173" s="1056"/>
      <c r="AMG173" s="1056"/>
      <c r="AMH173" s="1056"/>
      <c r="AMI173" s="1056"/>
      <c r="AMJ173" s="1056"/>
      <c r="AMK173" s="1056"/>
      <c r="AML173" s="1056"/>
      <c r="AMM173" s="1056"/>
      <c r="AMN173" s="1056"/>
      <c r="AMO173" s="1056"/>
      <c r="AMP173" s="1056"/>
      <c r="AMQ173" s="1056"/>
      <c r="AMR173" s="1056"/>
      <c r="AMS173" s="1056"/>
      <c r="AMT173" s="1056"/>
      <c r="AMU173" s="1056"/>
      <c r="AMV173" s="1056"/>
      <c r="AMW173" s="1056"/>
      <c r="AMX173" s="1056"/>
      <c r="AMY173" s="1056"/>
      <c r="AMZ173" s="1056"/>
      <c r="ANA173" s="1056"/>
      <c r="ANB173" s="1056"/>
      <c r="ANC173" s="1056"/>
      <c r="AND173" s="1056"/>
      <c r="ANE173" s="1056"/>
      <c r="ANF173" s="1056"/>
      <c r="ANG173" s="1056"/>
      <c r="ANH173" s="1056"/>
      <c r="ANI173" s="1056"/>
      <c r="ANJ173" s="1056"/>
      <c r="ANK173" s="1056"/>
      <c r="ANL173" s="1056"/>
      <c r="ANM173" s="1056"/>
      <c r="ANN173" s="1056"/>
      <c r="ANO173" s="1056"/>
      <c r="ANP173" s="1056"/>
      <c r="ANQ173" s="1056"/>
      <c r="ANR173" s="1056"/>
      <c r="ANS173" s="1056"/>
      <c r="ANT173" s="1056"/>
      <c r="ANU173" s="1056"/>
      <c r="ANV173" s="1056"/>
      <c r="ANW173" s="1056"/>
      <c r="ANX173" s="1056"/>
      <c r="ANY173" s="1056"/>
      <c r="ANZ173" s="1056"/>
      <c r="AOA173" s="1056"/>
      <c r="AOB173" s="1056"/>
      <c r="AOC173" s="1056"/>
      <c r="AOD173" s="1056"/>
      <c r="AOE173" s="1056"/>
      <c r="AOF173" s="1056"/>
      <c r="AOG173" s="1056"/>
      <c r="AOH173" s="1056"/>
      <c r="AOI173" s="1056"/>
      <c r="AOJ173" s="1056"/>
      <c r="AOK173" s="1056"/>
      <c r="AOL173" s="1056"/>
      <c r="AOM173" s="1056"/>
      <c r="AON173" s="1056"/>
      <c r="AOO173" s="1056"/>
      <c r="AOP173" s="1056"/>
      <c r="AOQ173" s="1056"/>
      <c r="AOR173" s="1056"/>
      <c r="AOS173" s="1056"/>
      <c r="AOT173" s="1056"/>
      <c r="AOU173" s="1056"/>
      <c r="AOV173" s="1056"/>
      <c r="AOW173" s="1056"/>
      <c r="AOX173" s="1056"/>
      <c r="AOY173" s="1056"/>
      <c r="AOZ173" s="1056"/>
      <c r="APA173" s="1056"/>
      <c r="APB173" s="1056"/>
      <c r="APC173" s="1056"/>
      <c r="APD173" s="1056"/>
      <c r="APE173" s="1056"/>
      <c r="APF173" s="1056"/>
      <c r="APG173" s="1056"/>
      <c r="APH173" s="1056"/>
      <c r="API173" s="1056"/>
      <c r="APJ173" s="1056"/>
      <c r="APK173" s="1056"/>
      <c r="APL173" s="1056"/>
      <c r="APM173" s="1056"/>
      <c r="APN173" s="1056"/>
      <c r="APO173" s="1056"/>
      <c r="APP173" s="1056"/>
      <c r="APQ173" s="1056"/>
      <c r="APR173" s="1056"/>
      <c r="APS173" s="1056"/>
      <c r="APT173" s="1056"/>
      <c r="APU173" s="1056"/>
      <c r="APV173" s="1056"/>
      <c r="APW173" s="1056"/>
      <c r="APX173" s="1056"/>
      <c r="APY173" s="1056"/>
      <c r="APZ173" s="1056"/>
      <c r="AQA173" s="1056"/>
      <c r="AQB173" s="1056"/>
      <c r="AQC173" s="1056"/>
      <c r="AQD173" s="1056"/>
      <c r="AQE173" s="1056"/>
      <c r="AQF173" s="1056"/>
      <c r="AQG173" s="1056"/>
      <c r="AQH173" s="1056"/>
      <c r="AQI173" s="1056"/>
      <c r="AQJ173" s="1056"/>
      <c r="AQK173" s="1056"/>
      <c r="AQL173" s="1056"/>
      <c r="AQM173" s="1056"/>
      <c r="AQN173" s="1056"/>
      <c r="AQO173" s="1056"/>
      <c r="AQP173" s="1056"/>
      <c r="AQQ173" s="1056"/>
      <c r="AQR173" s="1056"/>
      <c r="AQS173" s="1056"/>
      <c r="AQT173" s="1056"/>
      <c r="AQU173" s="1056"/>
      <c r="AQV173" s="1056"/>
      <c r="AQW173" s="1056"/>
      <c r="AQX173" s="1056"/>
      <c r="AQY173" s="1056"/>
      <c r="AQZ173" s="1056"/>
      <c r="ARA173" s="1056"/>
      <c r="ARB173" s="1056"/>
      <c r="ARC173" s="1056"/>
      <c r="ARD173" s="1056"/>
      <c r="ARE173" s="1056"/>
      <c r="ARF173" s="1056"/>
      <c r="ARG173" s="1056"/>
      <c r="ARH173" s="1056"/>
      <c r="ARI173" s="1056"/>
      <c r="ARJ173" s="1056"/>
      <c r="ARK173" s="1056"/>
      <c r="ARL173" s="1056"/>
      <c r="ARM173" s="1056"/>
      <c r="ARN173" s="1056"/>
      <c r="ARO173" s="1056"/>
      <c r="ARP173" s="1056"/>
      <c r="ARQ173" s="1056"/>
      <c r="ARR173" s="1056"/>
      <c r="ARS173" s="1056"/>
      <c r="ART173" s="1056"/>
      <c r="ARU173" s="1056"/>
      <c r="ARV173" s="1056"/>
      <c r="ARW173" s="1056"/>
      <c r="ARX173" s="1056"/>
      <c r="ARY173" s="1056"/>
      <c r="ARZ173" s="1056"/>
      <c r="ASA173" s="1056"/>
      <c r="ASB173" s="1056"/>
      <c r="ASC173" s="1056"/>
      <c r="ASD173" s="1056"/>
      <c r="ASE173" s="1056"/>
      <c r="ASF173" s="1056"/>
      <c r="ASG173" s="1056"/>
      <c r="ASH173" s="1056"/>
      <c r="ASI173" s="1056"/>
      <c r="ASJ173" s="1056"/>
      <c r="ASK173" s="1056"/>
      <c r="ASL173" s="1056"/>
      <c r="ASM173" s="1056"/>
      <c r="ASN173" s="1056"/>
      <c r="ASO173" s="1056"/>
      <c r="ASP173" s="1056"/>
      <c r="ASQ173" s="1056"/>
      <c r="ASR173" s="1056"/>
      <c r="ASS173" s="1056"/>
      <c r="AST173" s="1056"/>
      <c r="ASU173" s="1056"/>
      <c r="ASV173" s="1056"/>
      <c r="ASW173" s="1056"/>
      <c r="ASX173" s="1056"/>
      <c r="ASY173" s="1056"/>
      <c r="ASZ173" s="1056"/>
      <c r="ATA173" s="1056"/>
      <c r="ATB173" s="1056"/>
      <c r="ATC173" s="1056"/>
      <c r="ATD173" s="1056"/>
      <c r="ATE173" s="1056"/>
      <c r="ATF173" s="1056"/>
      <c r="ATG173" s="1056"/>
      <c r="ATH173" s="1056"/>
      <c r="ATI173" s="1056"/>
      <c r="ATJ173" s="1056"/>
      <c r="ATK173" s="1056"/>
      <c r="ATL173" s="1056"/>
      <c r="ATM173" s="1056"/>
      <c r="ATN173" s="1056"/>
      <c r="ATO173" s="1056"/>
      <c r="ATP173" s="1056"/>
      <c r="ATQ173" s="1056"/>
      <c r="ATR173" s="1056"/>
      <c r="ATS173" s="1056"/>
      <c r="ATT173" s="1056"/>
      <c r="ATU173" s="1056"/>
      <c r="ATV173" s="1056"/>
      <c r="ATW173" s="1056"/>
      <c r="ATX173" s="1056"/>
      <c r="ATY173" s="1056"/>
      <c r="ATZ173" s="1056"/>
      <c r="AUA173" s="1056"/>
      <c r="AUB173" s="1056"/>
      <c r="AUC173" s="1056"/>
      <c r="AUD173" s="1056"/>
      <c r="AUE173" s="1056"/>
      <c r="AUF173" s="1056"/>
      <c r="AUG173" s="1056"/>
      <c r="AUH173" s="1056"/>
      <c r="AUI173" s="1056"/>
      <c r="AUJ173" s="1056"/>
      <c r="AUK173" s="1056"/>
      <c r="AUL173" s="1056"/>
      <c r="AUM173" s="1056"/>
      <c r="AUN173" s="1056"/>
      <c r="AUO173" s="1056"/>
      <c r="AUP173" s="1056"/>
      <c r="AUQ173" s="1056"/>
      <c r="AUR173" s="1056"/>
      <c r="AUS173" s="1056"/>
      <c r="AUT173" s="1056"/>
      <c r="AUU173" s="1056"/>
      <c r="AUV173" s="1056"/>
      <c r="AUW173" s="1056"/>
      <c r="AUX173" s="1056"/>
      <c r="AUY173" s="1056"/>
      <c r="AUZ173" s="1056"/>
      <c r="AVA173" s="1056"/>
      <c r="AVB173" s="1056"/>
      <c r="AVC173" s="1056"/>
      <c r="AVD173" s="1056"/>
      <c r="AVE173" s="1056"/>
      <c r="AVF173" s="1056"/>
      <c r="AVG173" s="1056"/>
      <c r="AVH173" s="1056"/>
      <c r="AVI173" s="1056"/>
      <c r="AVJ173" s="1056"/>
      <c r="AVK173" s="1056"/>
      <c r="AVL173" s="1056"/>
      <c r="AVM173" s="1056"/>
      <c r="AVN173" s="1056"/>
      <c r="AVO173" s="1056"/>
      <c r="AVP173" s="1056"/>
      <c r="AVQ173" s="1056"/>
      <c r="AVR173" s="1056"/>
      <c r="AVS173" s="1056"/>
      <c r="AVT173" s="1056"/>
      <c r="AVU173" s="1056"/>
      <c r="AVV173" s="1056"/>
      <c r="AVW173" s="1056"/>
      <c r="AVX173" s="1056"/>
      <c r="AVY173" s="1056"/>
      <c r="AVZ173" s="1056"/>
      <c r="AWA173" s="1056"/>
      <c r="AWB173" s="1056"/>
      <c r="AWC173" s="1056"/>
      <c r="AWD173" s="1056"/>
      <c r="AWE173" s="1056"/>
      <c r="AWF173" s="1056"/>
      <c r="AWG173" s="1056"/>
      <c r="AWH173" s="1056"/>
      <c r="AWI173" s="1056"/>
      <c r="AWJ173" s="1056"/>
      <c r="AWK173" s="1056"/>
      <c r="AWL173" s="1056"/>
      <c r="AWM173" s="1056"/>
      <c r="AWN173" s="1056"/>
      <c r="AWO173" s="1056"/>
      <c r="AWP173" s="1056"/>
      <c r="AWQ173" s="1056"/>
      <c r="AWR173" s="1056"/>
      <c r="AWS173" s="1056"/>
      <c r="AWT173" s="1056"/>
      <c r="AWU173" s="1056"/>
      <c r="AWV173" s="1056"/>
      <c r="AWW173" s="1056"/>
      <c r="AWX173" s="1056"/>
      <c r="AWY173" s="1056"/>
      <c r="AWZ173" s="1056"/>
      <c r="AXA173" s="1056"/>
      <c r="AXB173" s="1056"/>
      <c r="AXC173" s="1056"/>
      <c r="AXD173" s="1056"/>
      <c r="AXE173" s="1056"/>
      <c r="AXF173" s="1056"/>
      <c r="AXG173" s="1056"/>
      <c r="AXH173" s="1056"/>
      <c r="AXI173" s="1056"/>
      <c r="AXJ173" s="1056"/>
      <c r="AXK173" s="1056"/>
      <c r="AXL173" s="1056"/>
      <c r="AXM173" s="1056"/>
      <c r="AXN173" s="1056"/>
      <c r="AXO173" s="1056"/>
      <c r="AXP173" s="1056"/>
      <c r="AXQ173" s="1056"/>
      <c r="AXR173" s="1056"/>
      <c r="AXS173" s="1056"/>
      <c r="AXT173" s="1056"/>
      <c r="AXU173" s="1056"/>
      <c r="AXV173" s="1056"/>
      <c r="AXW173" s="1056"/>
      <c r="AXX173" s="1056"/>
      <c r="AXY173" s="1056"/>
      <c r="AXZ173" s="1056"/>
      <c r="AYA173" s="1056"/>
      <c r="AYB173" s="1056"/>
      <c r="AYC173" s="1056"/>
      <c r="AYD173" s="1056"/>
      <c r="AYE173" s="1056"/>
      <c r="AYF173" s="1056"/>
      <c r="AYG173" s="1056"/>
      <c r="AYH173" s="1056"/>
      <c r="AYI173" s="1056"/>
      <c r="AYJ173" s="1056"/>
      <c r="AYK173" s="1056"/>
      <c r="AYL173" s="1056"/>
      <c r="AYM173" s="1056"/>
      <c r="AYN173" s="1056"/>
      <c r="AYO173" s="1056"/>
      <c r="AYP173" s="1056"/>
      <c r="AYQ173" s="1056"/>
      <c r="AYR173" s="1056"/>
      <c r="AYS173" s="1056"/>
      <c r="AYT173" s="1056"/>
      <c r="AYU173" s="1056"/>
      <c r="AYV173" s="1056"/>
      <c r="AYW173" s="1056"/>
      <c r="AYX173" s="1056"/>
      <c r="AYY173" s="1056"/>
      <c r="AYZ173" s="1056"/>
      <c r="AZA173" s="1056"/>
      <c r="AZB173" s="1056"/>
      <c r="AZC173" s="1056"/>
      <c r="AZD173" s="1056"/>
      <c r="AZE173" s="1056"/>
      <c r="AZF173" s="1056"/>
      <c r="AZG173" s="1056"/>
      <c r="AZH173" s="1056"/>
      <c r="AZI173" s="1056"/>
      <c r="AZJ173" s="1056"/>
      <c r="AZK173" s="1056"/>
      <c r="AZL173" s="1056"/>
      <c r="AZM173" s="1056"/>
      <c r="AZN173" s="1056"/>
      <c r="AZO173" s="1056"/>
      <c r="AZP173" s="1056"/>
      <c r="AZQ173" s="1056"/>
      <c r="AZR173" s="1056"/>
      <c r="AZS173" s="1056"/>
      <c r="AZT173" s="1056"/>
      <c r="AZU173" s="1056"/>
      <c r="AZV173" s="1056"/>
      <c r="AZW173" s="1056"/>
      <c r="AZX173" s="1056"/>
      <c r="AZY173" s="1056"/>
      <c r="AZZ173" s="1056"/>
      <c r="BAA173" s="1056"/>
      <c r="BAB173" s="1056"/>
      <c r="BAC173" s="1056"/>
      <c r="BAD173" s="1056"/>
      <c r="BAE173" s="1056"/>
      <c r="BAF173" s="1056"/>
      <c r="BAG173" s="1056"/>
      <c r="BAH173" s="1056"/>
      <c r="BAI173" s="1056"/>
      <c r="BAJ173" s="1056"/>
      <c r="BAK173" s="1056"/>
      <c r="BAL173" s="1056"/>
      <c r="BAM173" s="1056"/>
      <c r="BAN173" s="1056"/>
      <c r="BAO173" s="1056"/>
      <c r="BAP173" s="1056"/>
      <c r="BAQ173" s="1056"/>
      <c r="BAR173" s="1056"/>
      <c r="BAS173" s="1056"/>
      <c r="BAT173" s="1056"/>
      <c r="BAU173" s="1056"/>
      <c r="BAV173" s="1056"/>
      <c r="BAW173" s="1056"/>
      <c r="BAX173" s="1056"/>
      <c r="BAY173" s="1056"/>
      <c r="BAZ173" s="1056"/>
      <c r="BBA173" s="1056"/>
      <c r="BBB173" s="1056"/>
      <c r="BBC173" s="1056"/>
      <c r="BBD173" s="1056"/>
      <c r="BBE173" s="1056"/>
      <c r="BBF173" s="1056"/>
      <c r="BBG173" s="1056"/>
      <c r="BBH173" s="1056"/>
      <c r="BBI173" s="1056"/>
      <c r="BBJ173" s="1056"/>
      <c r="BBK173" s="1056"/>
      <c r="BBL173" s="1056"/>
      <c r="BBM173" s="1056"/>
      <c r="BBN173" s="1056"/>
      <c r="BBO173" s="1056"/>
      <c r="BBP173" s="1056"/>
      <c r="BBQ173" s="1056"/>
      <c r="BBR173" s="1056"/>
      <c r="BBS173" s="1056"/>
      <c r="BBT173" s="1056"/>
      <c r="BBU173" s="1056"/>
      <c r="BBV173" s="1056"/>
      <c r="BBW173" s="1056"/>
      <c r="BBX173" s="1056"/>
      <c r="BBY173" s="1056"/>
      <c r="BBZ173" s="1056"/>
      <c r="BCA173" s="1056"/>
      <c r="BCB173" s="1056"/>
      <c r="BCC173" s="1056"/>
      <c r="BCD173" s="1056"/>
      <c r="BCE173" s="1056"/>
      <c r="BCF173" s="1056"/>
      <c r="BCG173" s="1056"/>
      <c r="BCH173" s="1056"/>
      <c r="BCI173" s="1056"/>
      <c r="BCJ173" s="1056"/>
      <c r="BCK173" s="1056"/>
      <c r="BCL173" s="1056"/>
      <c r="BCM173" s="1056"/>
      <c r="BCN173" s="1056"/>
      <c r="BCO173" s="1056"/>
      <c r="BCP173" s="1056"/>
      <c r="BCQ173" s="1056"/>
      <c r="BCR173" s="1056"/>
      <c r="BCS173" s="1056"/>
      <c r="BCT173" s="1056"/>
      <c r="BCU173" s="1056"/>
      <c r="BCV173" s="1056"/>
      <c r="BCW173" s="1056"/>
      <c r="BCX173" s="1056"/>
      <c r="BCY173" s="1056"/>
      <c r="BCZ173" s="1056"/>
      <c r="BDA173" s="1056"/>
      <c r="BDB173" s="1056"/>
      <c r="BDC173" s="1056"/>
      <c r="BDD173" s="1056"/>
      <c r="BDE173" s="1056"/>
      <c r="BDF173" s="1056"/>
      <c r="BDG173" s="1056"/>
      <c r="BDH173" s="1056"/>
      <c r="BDI173" s="1056"/>
      <c r="BDJ173" s="1056"/>
      <c r="BDK173" s="1056"/>
      <c r="BDL173" s="1056"/>
      <c r="BDM173" s="1056"/>
      <c r="BDN173" s="1056"/>
      <c r="BDO173" s="1056"/>
      <c r="BDP173" s="1056"/>
      <c r="BDQ173" s="1056"/>
      <c r="BDR173" s="1056"/>
      <c r="BDS173" s="1056"/>
      <c r="BDT173" s="1056"/>
      <c r="BDU173" s="1056"/>
      <c r="BDV173" s="1056"/>
      <c r="BDW173" s="1056"/>
      <c r="BDX173" s="1056"/>
      <c r="BDY173" s="1056"/>
      <c r="BDZ173" s="1056"/>
      <c r="BEA173" s="1056"/>
      <c r="BEB173" s="1056"/>
      <c r="BEC173" s="1056"/>
      <c r="BED173" s="1056"/>
      <c r="BEE173" s="1056"/>
      <c r="BEF173" s="1056"/>
      <c r="BEG173" s="1056"/>
      <c r="BEH173" s="1056"/>
      <c r="BEI173" s="1056"/>
      <c r="BEJ173" s="1056"/>
      <c r="BEK173" s="1056"/>
      <c r="BEL173" s="1056"/>
      <c r="BEM173" s="1056"/>
      <c r="BEN173" s="1056"/>
      <c r="BEO173" s="1056"/>
      <c r="BEP173" s="1056"/>
      <c r="BEQ173" s="1056"/>
      <c r="BER173" s="1056"/>
      <c r="BES173" s="1056"/>
      <c r="BET173" s="1056"/>
      <c r="BEU173" s="1056"/>
      <c r="BEV173" s="1056"/>
      <c r="BEW173" s="1056"/>
      <c r="BEX173" s="1056"/>
      <c r="BEY173" s="1056"/>
      <c r="BEZ173" s="1056"/>
      <c r="BFA173" s="1056"/>
      <c r="BFB173" s="1056"/>
      <c r="BFC173" s="1056"/>
      <c r="BFD173" s="1056"/>
      <c r="BFE173" s="1056"/>
      <c r="BFF173" s="1056"/>
      <c r="BFG173" s="1056"/>
      <c r="BFH173" s="1056"/>
      <c r="BFI173" s="1056"/>
      <c r="BFJ173" s="1056"/>
      <c r="BFK173" s="1056"/>
      <c r="BFL173" s="1056"/>
      <c r="BFM173" s="1056"/>
      <c r="BFN173" s="1056"/>
      <c r="BFO173" s="1056"/>
      <c r="BFP173" s="1056"/>
      <c r="BFQ173" s="1056"/>
      <c r="BFR173" s="1056"/>
      <c r="BFS173" s="1056"/>
      <c r="BFT173" s="1056"/>
      <c r="BFU173" s="1056"/>
      <c r="BFV173" s="1056"/>
      <c r="BFW173" s="1056"/>
      <c r="BFX173" s="1056"/>
      <c r="BFY173" s="1056"/>
      <c r="BFZ173" s="1056"/>
      <c r="BGA173" s="1056"/>
      <c r="BGB173" s="1056"/>
      <c r="BGC173" s="1056"/>
      <c r="BGD173" s="1056"/>
      <c r="BGE173" s="1056"/>
      <c r="BGF173" s="1056"/>
      <c r="BGG173" s="1056"/>
      <c r="BGH173" s="1056"/>
      <c r="BGI173" s="1056"/>
      <c r="BGJ173" s="1056"/>
      <c r="BGK173" s="1056"/>
      <c r="BGL173" s="1056"/>
      <c r="BGM173" s="1056"/>
      <c r="BGN173" s="1056"/>
      <c r="BGO173" s="1056"/>
      <c r="BGP173" s="1056"/>
      <c r="BGQ173" s="1056"/>
      <c r="BGR173" s="1056"/>
      <c r="BGS173" s="1056"/>
      <c r="BGT173" s="1056"/>
      <c r="BGU173" s="1056"/>
      <c r="BGV173" s="1056"/>
      <c r="BGW173" s="1056"/>
      <c r="BGX173" s="1056"/>
      <c r="BGY173" s="1056"/>
      <c r="BGZ173" s="1056"/>
      <c r="BHA173" s="1056"/>
      <c r="BHB173" s="1056"/>
      <c r="BHC173" s="1056"/>
      <c r="BHD173" s="1056"/>
      <c r="BHE173" s="1056"/>
      <c r="BHF173" s="1056"/>
      <c r="BHG173" s="1056"/>
      <c r="BHH173" s="1056"/>
      <c r="BHI173" s="1056"/>
      <c r="BHJ173" s="1056"/>
      <c r="BHK173" s="1056"/>
      <c r="BHL173" s="1056"/>
      <c r="BHM173" s="1056"/>
      <c r="BHN173" s="1056"/>
      <c r="BHO173" s="1056"/>
      <c r="BHP173" s="1056"/>
      <c r="BHQ173" s="1056"/>
      <c r="BHR173" s="1056"/>
      <c r="BHS173" s="1056"/>
      <c r="BHT173" s="1056"/>
      <c r="BHU173" s="1056"/>
      <c r="BHV173" s="1056"/>
      <c r="BHW173" s="1056"/>
      <c r="BHX173" s="1056"/>
      <c r="BHY173" s="1056"/>
      <c r="BHZ173" s="1056"/>
      <c r="BIA173" s="1056"/>
      <c r="BIB173" s="1056"/>
      <c r="BIC173" s="1056"/>
      <c r="BID173" s="1056"/>
      <c r="BIE173" s="1056"/>
      <c r="BIF173" s="1056"/>
      <c r="BIG173" s="1056"/>
      <c r="BIH173" s="1056"/>
      <c r="BII173" s="1056"/>
      <c r="BIJ173" s="1056"/>
      <c r="BIK173" s="1056"/>
      <c r="BIL173" s="1056"/>
      <c r="BIM173" s="1056"/>
      <c r="BIN173" s="1056"/>
      <c r="BIO173" s="1056"/>
      <c r="BIP173" s="1056"/>
      <c r="BIQ173" s="1056"/>
      <c r="BIR173" s="1056"/>
      <c r="BIS173" s="1056"/>
      <c r="BIT173" s="1056"/>
      <c r="BIU173" s="1056"/>
      <c r="BIV173" s="1056"/>
      <c r="BIW173" s="1056"/>
      <c r="BIX173" s="1056"/>
      <c r="BIY173" s="1056"/>
      <c r="BIZ173" s="1056"/>
      <c r="BJA173" s="1056"/>
      <c r="BJB173" s="1056"/>
      <c r="BJC173" s="1056"/>
      <c r="BJD173" s="1056"/>
      <c r="BJE173" s="1056"/>
      <c r="BJF173" s="1056"/>
      <c r="BJG173" s="1056"/>
      <c r="BJH173" s="1056"/>
      <c r="BJI173" s="1056"/>
      <c r="BJJ173" s="1056"/>
      <c r="BJK173" s="1056"/>
      <c r="BJL173" s="1056"/>
      <c r="BJM173" s="1056"/>
      <c r="BJN173" s="1056"/>
      <c r="BJO173" s="1056"/>
      <c r="BJP173" s="1056"/>
      <c r="BJQ173" s="1056"/>
      <c r="BJR173" s="1056"/>
      <c r="BJS173" s="1056"/>
      <c r="BJT173" s="1056"/>
      <c r="BJU173" s="1056"/>
      <c r="BJV173" s="1056"/>
      <c r="BJW173" s="1056"/>
      <c r="BJX173" s="1056"/>
      <c r="BJY173" s="1056"/>
      <c r="BJZ173" s="1056"/>
      <c r="BKA173" s="1056"/>
      <c r="BKB173" s="1056"/>
      <c r="BKC173" s="1056"/>
      <c r="BKD173" s="1056"/>
      <c r="BKE173" s="1056"/>
      <c r="BKF173" s="1056"/>
      <c r="BKG173" s="1056"/>
      <c r="BKH173" s="1056"/>
      <c r="BKI173" s="1056"/>
      <c r="BKJ173" s="1056"/>
      <c r="BKK173" s="1056"/>
      <c r="BKL173" s="1056"/>
      <c r="BKM173" s="1056"/>
      <c r="BKN173" s="1056"/>
      <c r="BKO173" s="1056"/>
      <c r="BKP173" s="1056"/>
      <c r="BKQ173" s="1056"/>
      <c r="BKR173" s="1056"/>
      <c r="BKS173" s="1056"/>
      <c r="BKT173" s="1056"/>
      <c r="BKU173" s="1056"/>
      <c r="BKV173" s="1056"/>
      <c r="BKW173" s="1056"/>
      <c r="BKX173" s="1056"/>
      <c r="BKY173" s="1056"/>
      <c r="BKZ173" s="1056"/>
      <c r="BLA173" s="1056"/>
      <c r="BLB173" s="1056"/>
      <c r="BLC173" s="1056"/>
      <c r="BLD173" s="1056"/>
      <c r="BLE173" s="1056"/>
      <c r="BLF173" s="1056"/>
      <c r="BLG173" s="1056"/>
      <c r="BLH173" s="1056"/>
      <c r="BLI173" s="1056"/>
      <c r="BLJ173" s="1056"/>
      <c r="BLK173" s="1056"/>
      <c r="BLL173" s="1056"/>
      <c r="BLM173" s="1056"/>
      <c r="BLN173" s="1056"/>
      <c r="BLO173" s="1056"/>
      <c r="BLP173" s="1056"/>
      <c r="BLQ173" s="1056"/>
      <c r="BLR173" s="1056"/>
      <c r="BLS173" s="1056"/>
      <c r="BLT173" s="1056"/>
      <c r="BLU173" s="1056"/>
      <c r="BLV173" s="1056"/>
      <c r="BLW173" s="1056"/>
      <c r="BLX173" s="1056"/>
      <c r="BLY173" s="1056"/>
      <c r="BLZ173" s="1056"/>
      <c r="BMA173" s="1056"/>
      <c r="BMB173" s="1056"/>
      <c r="BMC173" s="1056"/>
      <c r="BMD173" s="1056"/>
      <c r="BME173" s="1056"/>
      <c r="BMF173" s="1056"/>
      <c r="BMG173" s="1056"/>
      <c r="BMH173" s="1056"/>
      <c r="BMI173" s="1056"/>
      <c r="BMJ173" s="1056"/>
      <c r="BMK173" s="1056"/>
      <c r="BML173" s="1056"/>
      <c r="BMM173" s="1056"/>
      <c r="BMN173" s="1056"/>
      <c r="BMO173" s="1056"/>
      <c r="BMP173" s="1056"/>
      <c r="BMQ173" s="1056"/>
      <c r="BMR173" s="1056"/>
      <c r="BMS173" s="1056"/>
      <c r="BMT173" s="1056"/>
      <c r="BMU173" s="1056"/>
      <c r="BMV173" s="1056"/>
      <c r="BMW173" s="1056"/>
      <c r="BMX173" s="1056"/>
      <c r="BMY173" s="1056"/>
      <c r="BMZ173" s="1056"/>
      <c r="BNA173" s="1056"/>
      <c r="BNB173" s="1056"/>
      <c r="BNC173" s="1056"/>
      <c r="BND173" s="1056"/>
      <c r="BNE173" s="1056"/>
      <c r="BNF173" s="1056"/>
      <c r="BNG173" s="1056"/>
      <c r="BNH173" s="1056"/>
      <c r="BNI173" s="1056"/>
      <c r="BNJ173" s="1056"/>
      <c r="BNK173" s="1056"/>
      <c r="BNL173" s="1056"/>
      <c r="BNM173" s="1056"/>
      <c r="BNN173" s="1056"/>
      <c r="BNO173" s="1056"/>
      <c r="BNP173" s="1056"/>
      <c r="BNQ173" s="1056"/>
      <c r="BNR173" s="1056"/>
      <c r="BNS173" s="1056"/>
      <c r="BNT173" s="1056"/>
      <c r="BNU173" s="1056"/>
      <c r="BNV173" s="1056"/>
      <c r="BNW173" s="1056"/>
      <c r="BNX173" s="1056"/>
      <c r="BNY173" s="1056"/>
      <c r="BNZ173" s="1056"/>
      <c r="BOA173" s="1056"/>
      <c r="BOB173" s="1056"/>
      <c r="BOC173" s="1056"/>
      <c r="BOD173" s="1056"/>
      <c r="BOE173" s="1056"/>
      <c r="BOF173" s="1056"/>
      <c r="BOG173" s="1056"/>
      <c r="BOH173" s="1056"/>
      <c r="BOI173" s="1056"/>
      <c r="BOJ173" s="1056"/>
      <c r="BOK173" s="1056"/>
      <c r="BOL173" s="1056"/>
      <c r="BOM173" s="1056"/>
      <c r="BON173" s="1056"/>
      <c r="BOO173" s="1056"/>
      <c r="BOP173" s="1056"/>
      <c r="BOQ173" s="1056"/>
      <c r="BOR173" s="1056"/>
      <c r="BOS173" s="1056"/>
      <c r="BOT173" s="1056"/>
      <c r="BOU173" s="1056"/>
      <c r="BOV173" s="1056"/>
      <c r="BOW173" s="1056"/>
      <c r="BOX173" s="1056"/>
      <c r="BOY173" s="1056"/>
      <c r="BOZ173" s="1056"/>
      <c r="BPA173" s="1056"/>
      <c r="BPB173" s="1056"/>
      <c r="BPC173" s="1056"/>
      <c r="BPD173" s="1056"/>
      <c r="BPE173" s="1056"/>
      <c r="BPF173" s="1056"/>
      <c r="BPG173" s="1056"/>
      <c r="BPH173" s="1056"/>
      <c r="BPI173" s="1056"/>
      <c r="BPJ173" s="1056"/>
      <c r="BPK173" s="1056"/>
      <c r="BPL173" s="1056"/>
      <c r="BPM173" s="1056"/>
      <c r="BPN173" s="1056"/>
      <c r="BPO173" s="1056"/>
      <c r="BPP173" s="1056"/>
      <c r="BPQ173" s="1056"/>
      <c r="BPR173" s="1056"/>
      <c r="BPS173" s="1056"/>
      <c r="BPT173" s="1056"/>
      <c r="BPU173" s="1056"/>
      <c r="BPV173" s="1056"/>
      <c r="BPW173" s="1056"/>
      <c r="BPX173" s="1056"/>
      <c r="BPY173" s="1056"/>
      <c r="BPZ173" s="1056"/>
      <c r="BQA173" s="1056"/>
      <c r="BQB173" s="1056"/>
      <c r="BQC173" s="1056"/>
      <c r="BQD173" s="1056"/>
      <c r="BQE173" s="1056"/>
      <c r="BQF173" s="1056"/>
      <c r="BQG173" s="1056"/>
      <c r="BQH173" s="1056"/>
      <c r="BQI173" s="1056"/>
      <c r="BQJ173" s="1056"/>
      <c r="BQK173" s="1056"/>
      <c r="BQL173" s="1056"/>
      <c r="BQM173" s="1056"/>
      <c r="BQN173" s="1056"/>
      <c r="BQO173" s="1056"/>
      <c r="BQP173" s="1056"/>
      <c r="BQQ173" s="1056"/>
      <c r="BQR173" s="1056"/>
      <c r="BQS173" s="1056"/>
      <c r="BQT173" s="1056"/>
      <c r="BQU173" s="1056"/>
      <c r="BQV173" s="1056"/>
      <c r="BQW173" s="1056"/>
      <c r="BQX173" s="1056"/>
      <c r="BQY173" s="1056"/>
      <c r="BQZ173" s="1056"/>
      <c r="BRA173" s="1056"/>
      <c r="BRB173" s="1056"/>
      <c r="BRC173" s="1056"/>
      <c r="BRD173" s="1056"/>
      <c r="BRE173" s="1056"/>
      <c r="BRF173" s="1056"/>
      <c r="BRG173" s="1056"/>
      <c r="BRH173" s="1056"/>
      <c r="BRI173" s="1056"/>
      <c r="BRJ173" s="1056"/>
      <c r="BRK173" s="1056"/>
      <c r="BRL173" s="1056"/>
      <c r="BRM173" s="1056"/>
      <c r="BRN173" s="1056"/>
      <c r="BRO173" s="1056"/>
      <c r="BRP173" s="1056"/>
      <c r="BRQ173" s="1056"/>
      <c r="BRR173" s="1056"/>
      <c r="BRS173" s="1056"/>
      <c r="BRT173" s="1056"/>
      <c r="BRU173" s="1056"/>
      <c r="BRV173" s="1056"/>
      <c r="BRW173" s="1056"/>
      <c r="BRX173" s="1056"/>
      <c r="BRY173" s="1056"/>
      <c r="BRZ173" s="1056"/>
      <c r="BSA173" s="1056"/>
      <c r="BSB173" s="1056"/>
      <c r="BSC173" s="1056"/>
      <c r="BSD173" s="1056"/>
      <c r="BSE173" s="1056"/>
      <c r="BSF173" s="1056"/>
      <c r="BSG173" s="1056"/>
      <c r="BSH173" s="1056"/>
      <c r="BSI173" s="1056"/>
      <c r="BSJ173" s="1056"/>
      <c r="BSK173" s="1056"/>
      <c r="BSL173" s="1056"/>
      <c r="BSM173" s="1056"/>
      <c r="BSN173" s="1056"/>
      <c r="BSO173" s="1056"/>
      <c r="BSP173" s="1056"/>
      <c r="BSQ173" s="1056"/>
      <c r="BSR173" s="1056"/>
      <c r="BSS173" s="1056"/>
      <c r="BST173" s="1056"/>
      <c r="BSU173" s="1056"/>
      <c r="BSV173" s="1056"/>
      <c r="BSW173" s="1056"/>
      <c r="BSX173" s="1056"/>
      <c r="BSY173" s="1056"/>
      <c r="BSZ173" s="1056"/>
      <c r="BTA173" s="1056"/>
      <c r="BTB173" s="1056"/>
      <c r="BTC173" s="1056"/>
      <c r="BTD173" s="1056"/>
      <c r="BTE173" s="1056"/>
      <c r="BTF173" s="1056"/>
      <c r="BTG173" s="1056"/>
      <c r="BTH173" s="1056"/>
      <c r="BTI173" s="1056"/>
    </row>
    <row r="174" spans="1:1881" s="1060" customFormat="1" ht="106.5" hidden="1" customHeight="1" x14ac:dyDescent="0.3">
      <c r="A174" s="1059">
        <v>85</v>
      </c>
      <c r="B174" s="808" t="s">
        <v>68</v>
      </c>
      <c r="C174" s="808" t="s">
        <v>1413</v>
      </c>
      <c r="D174" s="1084" t="s">
        <v>161</v>
      </c>
      <c r="E174" s="1053" t="e">
        <f>HLOOKUP($D$2,'2020 Data(H)'!$C$1:$AI$426,49,FALSE)</f>
        <v>#N/A</v>
      </c>
      <c r="F174" s="287">
        <v>0</v>
      </c>
      <c r="G174" s="722">
        <f>IF(F174&lt;0,"Error: Enter as positive.",)</f>
        <v>0</v>
      </c>
      <c r="H174" s="764"/>
      <c r="I174" s="1055"/>
      <c r="J174" s="1056"/>
      <c r="K174" s="1056"/>
      <c r="L174" s="1056"/>
      <c r="M174" s="1056"/>
      <c r="N174" s="1058"/>
      <c r="O174" s="1056"/>
      <c r="P174" s="1056"/>
      <c r="Q174" s="1056"/>
      <c r="R174" s="1056"/>
      <c r="S174" s="1056"/>
      <c r="T174" s="1056"/>
      <c r="U174" s="1056"/>
      <c r="V174" s="1056"/>
      <c r="W174" s="1056"/>
      <c r="X174" s="1056"/>
      <c r="Y174" s="1056"/>
      <c r="Z174" s="1059"/>
      <c r="AA174" s="1059"/>
      <c r="AB174" s="1059"/>
      <c r="AC174" s="1059"/>
      <c r="AD174" s="1059"/>
      <c r="AE174" s="1059"/>
      <c r="AF174" s="1059"/>
      <c r="AG174" s="1059"/>
      <c r="AH174" s="1059"/>
      <c r="AI174" s="1059"/>
      <c r="AJ174" s="1059"/>
      <c r="AK174" s="1059"/>
      <c r="AL174" s="1059"/>
      <c r="AM174" s="1059"/>
      <c r="AN174" s="1059"/>
      <c r="AO174" s="1059"/>
      <c r="AP174" s="1059"/>
      <c r="AQ174" s="1059"/>
      <c r="AR174" s="1059"/>
      <c r="AS174" s="1056"/>
      <c r="AT174" s="1056"/>
      <c r="AU174" s="1056"/>
      <c r="AV174" s="1056"/>
      <c r="AW174" s="1056"/>
      <c r="AX174" s="1056"/>
      <c r="AY174" s="1056"/>
      <c r="AZ174" s="1056"/>
      <c r="BA174" s="1056"/>
      <c r="BB174" s="1056"/>
      <c r="BC174" s="1056"/>
      <c r="BD174" s="1056"/>
      <c r="BE174" s="1056"/>
      <c r="BF174" s="1056"/>
      <c r="BG174" s="1056"/>
      <c r="BH174" s="1056"/>
      <c r="BI174" s="1056"/>
      <c r="BJ174" s="1056"/>
      <c r="BK174" s="1056"/>
      <c r="BL174" s="1056"/>
      <c r="BM174" s="1056"/>
      <c r="BN174" s="1056"/>
      <c r="BO174" s="1056"/>
      <c r="BP174" s="1056"/>
      <c r="BQ174" s="1056"/>
      <c r="BR174" s="1056"/>
      <c r="BS174" s="1056"/>
      <c r="BT174" s="1056"/>
      <c r="BU174" s="1056"/>
      <c r="BV174" s="1056"/>
      <c r="BW174" s="1056"/>
      <c r="BX174" s="1056"/>
      <c r="BY174" s="1056"/>
      <c r="BZ174" s="1056"/>
      <c r="CA174" s="1056"/>
      <c r="CB174" s="1056"/>
      <c r="CC174" s="1056"/>
      <c r="CD174" s="1056"/>
      <c r="CE174" s="1056"/>
      <c r="CF174" s="1056"/>
      <c r="CG174" s="1056"/>
      <c r="CH174" s="1056"/>
      <c r="CI174" s="1056"/>
      <c r="CJ174" s="1056"/>
      <c r="CK174" s="1056"/>
      <c r="CL174" s="1056"/>
      <c r="CM174" s="1056"/>
      <c r="CN174" s="1056"/>
      <c r="CO174" s="1056"/>
      <c r="CP174" s="1056"/>
      <c r="CQ174" s="1056"/>
      <c r="CR174" s="1056"/>
      <c r="CS174" s="1056"/>
      <c r="CT174" s="1056"/>
      <c r="CU174" s="1056"/>
      <c r="CV174" s="1056"/>
      <c r="CW174" s="1056"/>
      <c r="CX174" s="1056"/>
      <c r="CY174" s="1056"/>
      <c r="CZ174" s="1056"/>
      <c r="DA174" s="1056"/>
      <c r="DB174" s="1056"/>
      <c r="DC174" s="1056"/>
      <c r="DD174" s="1056"/>
      <c r="DE174" s="1056"/>
      <c r="DF174" s="1056"/>
      <c r="DG174" s="1056"/>
      <c r="DH174" s="1056"/>
      <c r="DI174" s="1056"/>
      <c r="DJ174" s="1056"/>
      <c r="DK174" s="1056"/>
      <c r="DL174" s="1056"/>
      <c r="DM174" s="1056"/>
      <c r="DN174" s="1056"/>
      <c r="DO174" s="1056"/>
      <c r="DP174" s="1056"/>
      <c r="DQ174" s="1056"/>
      <c r="DR174" s="1056"/>
      <c r="DS174" s="1056"/>
      <c r="DT174" s="1056"/>
      <c r="DU174" s="1056"/>
      <c r="DV174" s="1056"/>
      <c r="DW174" s="1056"/>
      <c r="DX174" s="1056"/>
      <c r="DY174" s="1056"/>
      <c r="DZ174" s="1056"/>
      <c r="EA174" s="1056"/>
      <c r="EB174" s="1056"/>
      <c r="EC174" s="1056"/>
      <c r="ED174" s="1056"/>
      <c r="EE174" s="1056"/>
      <c r="EF174" s="1056"/>
      <c r="EG174" s="1056"/>
      <c r="EH174" s="1056"/>
      <c r="EI174" s="1056"/>
      <c r="EJ174" s="1056"/>
      <c r="EK174" s="1056"/>
      <c r="EL174" s="1056"/>
      <c r="EM174" s="1056"/>
      <c r="EN174" s="1056"/>
      <c r="EO174" s="1056"/>
      <c r="EP174" s="1056"/>
      <c r="EQ174" s="1056"/>
      <c r="ER174" s="1056"/>
      <c r="ES174" s="1056"/>
      <c r="ET174" s="1056"/>
      <c r="EU174" s="1056"/>
      <c r="EV174" s="1056"/>
      <c r="EW174" s="1056"/>
      <c r="EX174" s="1056"/>
      <c r="EY174" s="1056"/>
      <c r="EZ174" s="1056"/>
      <c r="FA174" s="1056"/>
      <c r="FB174" s="1056"/>
      <c r="FC174" s="1056"/>
      <c r="FD174" s="1056"/>
      <c r="FE174" s="1056"/>
      <c r="FF174" s="1056"/>
      <c r="FG174" s="1056"/>
      <c r="FH174" s="1056"/>
      <c r="FI174" s="1056"/>
      <c r="FJ174" s="1056"/>
      <c r="FK174" s="1056"/>
      <c r="FL174" s="1056"/>
      <c r="FM174" s="1056"/>
      <c r="FN174" s="1056"/>
      <c r="FO174" s="1056"/>
      <c r="FP174" s="1056"/>
      <c r="FQ174" s="1056"/>
      <c r="FR174" s="1056"/>
      <c r="FS174" s="1056"/>
      <c r="FT174" s="1056"/>
      <c r="FU174" s="1056"/>
      <c r="FV174" s="1056"/>
      <c r="FW174" s="1056"/>
      <c r="FX174" s="1056"/>
      <c r="FY174" s="1056"/>
      <c r="FZ174" s="1056"/>
      <c r="GA174" s="1056"/>
      <c r="GB174" s="1056"/>
      <c r="GC174" s="1056"/>
      <c r="GD174" s="1056"/>
      <c r="GE174" s="1056"/>
      <c r="GF174" s="1056"/>
      <c r="GG174" s="1056"/>
      <c r="GH174" s="1056"/>
      <c r="GI174" s="1056"/>
      <c r="GJ174" s="1056"/>
      <c r="GK174" s="1056"/>
      <c r="GL174" s="1056"/>
      <c r="GM174" s="1056"/>
      <c r="GN174" s="1056"/>
      <c r="GO174" s="1056"/>
      <c r="GP174" s="1056"/>
      <c r="GQ174" s="1056"/>
      <c r="GR174" s="1056"/>
      <c r="GS174" s="1056"/>
      <c r="GT174" s="1056"/>
      <c r="GU174" s="1056"/>
      <c r="GV174" s="1056"/>
      <c r="GW174" s="1056"/>
      <c r="GX174" s="1056"/>
      <c r="GY174" s="1056"/>
      <c r="GZ174" s="1056"/>
      <c r="HA174" s="1056"/>
      <c r="HB174" s="1056"/>
      <c r="HC174" s="1056"/>
      <c r="HD174" s="1056"/>
      <c r="HE174" s="1056"/>
      <c r="HF174" s="1056"/>
      <c r="HG174" s="1056"/>
      <c r="HH174" s="1056"/>
      <c r="HI174" s="1056"/>
      <c r="HJ174" s="1056"/>
      <c r="HK174" s="1056"/>
      <c r="HL174" s="1056"/>
      <c r="HM174" s="1056"/>
      <c r="HN174" s="1056"/>
      <c r="HO174" s="1056"/>
      <c r="HP174" s="1056"/>
      <c r="HQ174" s="1056"/>
      <c r="HR174" s="1056"/>
      <c r="HS174" s="1056"/>
      <c r="HT174" s="1056"/>
      <c r="HU174" s="1056"/>
      <c r="HV174" s="1056"/>
      <c r="HW174" s="1056"/>
      <c r="HX174" s="1056"/>
      <c r="HY174" s="1056"/>
      <c r="HZ174" s="1056"/>
      <c r="IA174" s="1056"/>
      <c r="IB174" s="1056"/>
      <c r="IC174" s="1056"/>
      <c r="ID174" s="1056"/>
      <c r="IE174" s="1056"/>
      <c r="IF174" s="1056"/>
      <c r="IG174" s="1056"/>
      <c r="IH174" s="1056"/>
      <c r="II174" s="1056"/>
      <c r="IJ174" s="1056"/>
      <c r="IK174" s="1056"/>
      <c r="IL174" s="1056"/>
      <c r="IM174" s="1056"/>
      <c r="IN174" s="1056"/>
      <c r="IO174" s="1056"/>
      <c r="IP174" s="1056"/>
      <c r="IQ174" s="1056"/>
      <c r="IR174" s="1056"/>
      <c r="IS174" s="1056"/>
      <c r="IT174" s="1056"/>
      <c r="IU174" s="1056"/>
      <c r="IV174" s="1056"/>
      <c r="IW174" s="1056"/>
      <c r="IX174" s="1056"/>
      <c r="IY174" s="1056"/>
      <c r="IZ174" s="1056"/>
      <c r="JA174" s="1056"/>
      <c r="JB174" s="1056"/>
      <c r="JC174" s="1056"/>
      <c r="JD174" s="1056"/>
      <c r="JE174" s="1056"/>
      <c r="JF174" s="1056"/>
      <c r="JG174" s="1056"/>
      <c r="JH174" s="1056"/>
      <c r="JI174" s="1056"/>
      <c r="JJ174" s="1056"/>
      <c r="JK174" s="1056"/>
      <c r="JL174" s="1056"/>
      <c r="JM174" s="1056"/>
      <c r="JN174" s="1056"/>
      <c r="JO174" s="1056"/>
      <c r="JP174" s="1056"/>
      <c r="JQ174" s="1056"/>
      <c r="JR174" s="1056"/>
      <c r="JS174" s="1056"/>
      <c r="JT174" s="1056"/>
      <c r="JU174" s="1056"/>
      <c r="JV174" s="1056"/>
      <c r="JW174" s="1056"/>
      <c r="JX174" s="1056"/>
      <c r="JY174" s="1056"/>
      <c r="JZ174" s="1056"/>
      <c r="KA174" s="1056"/>
      <c r="KB174" s="1056"/>
      <c r="KC174" s="1056"/>
      <c r="KD174" s="1056"/>
      <c r="KE174" s="1056"/>
      <c r="KF174" s="1056"/>
      <c r="KG174" s="1056"/>
      <c r="KH174" s="1056"/>
      <c r="KI174" s="1056"/>
      <c r="KJ174" s="1056"/>
      <c r="KK174" s="1056"/>
      <c r="KL174" s="1056"/>
      <c r="KM174" s="1056"/>
      <c r="KN174" s="1056"/>
      <c r="KO174" s="1056"/>
      <c r="KP174" s="1056"/>
      <c r="KQ174" s="1056"/>
      <c r="KR174" s="1056"/>
      <c r="KS174" s="1056"/>
      <c r="KT174" s="1056"/>
      <c r="KU174" s="1056"/>
      <c r="KV174" s="1056"/>
      <c r="KW174" s="1056"/>
      <c r="KX174" s="1056"/>
      <c r="KY174" s="1056"/>
      <c r="KZ174" s="1056"/>
      <c r="LA174" s="1056"/>
      <c r="LB174" s="1056"/>
      <c r="LC174" s="1056"/>
      <c r="LD174" s="1056"/>
      <c r="LE174" s="1056"/>
      <c r="LF174" s="1056"/>
      <c r="LG174" s="1056"/>
      <c r="LH174" s="1056"/>
      <c r="LI174" s="1056"/>
      <c r="LJ174" s="1056"/>
      <c r="LK174" s="1056"/>
      <c r="LL174" s="1056"/>
      <c r="LM174" s="1056"/>
      <c r="LN174" s="1056"/>
      <c r="LO174" s="1056"/>
      <c r="LP174" s="1056"/>
      <c r="LQ174" s="1056"/>
      <c r="LR174" s="1056"/>
      <c r="LS174" s="1056"/>
      <c r="LT174" s="1056"/>
      <c r="LU174" s="1056"/>
      <c r="LV174" s="1056"/>
      <c r="LW174" s="1056"/>
      <c r="LX174" s="1056"/>
      <c r="LY174" s="1056"/>
      <c r="LZ174" s="1056"/>
      <c r="MA174" s="1056"/>
      <c r="MB174" s="1056"/>
      <c r="MC174" s="1056"/>
      <c r="MD174" s="1056"/>
      <c r="ME174" s="1056"/>
      <c r="MF174" s="1056"/>
      <c r="MG174" s="1056"/>
      <c r="MH174" s="1056"/>
      <c r="MI174" s="1056"/>
      <c r="MJ174" s="1056"/>
      <c r="MK174" s="1056"/>
      <c r="ML174" s="1056"/>
      <c r="MM174" s="1056"/>
      <c r="MN174" s="1056"/>
      <c r="MO174" s="1056"/>
      <c r="MP174" s="1056"/>
      <c r="MQ174" s="1056"/>
      <c r="MR174" s="1056"/>
      <c r="MS174" s="1056"/>
      <c r="MT174" s="1056"/>
      <c r="MU174" s="1056"/>
      <c r="MV174" s="1056"/>
      <c r="MW174" s="1056"/>
      <c r="MX174" s="1056"/>
      <c r="MY174" s="1056"/>
      <c r="MZ174" s="1056"/>
      <c r="NA174" s="1056"/>
      <c r="NB174" s="1056"/>
      <c r="NC174" s="1056"/>
      <c r="ND174" s="1056"/>
      <c r="NE174" s="1056"/>
      <c r="NF174" s="1056"/>
      <c r="NG174" s="1056"/>
      <c r="NH174" s="1056"/>
      <c r="NI174" s="1056"/>
      <c r="NJ174" s="1056"/>
      <c r="NK174" s="1056"/>
      <c r="NL174" s="1056"/>
      <c r="NM174" s="1056"/>
      <c r="NN174" s="1056"/>
      <c r="NO174" s="1056"/>
      <c r="NP174" s="1056"/>
      <c r="NQ174" s="1056"/>
      <c r="NR174" s="1056"/>
      <c r="NS174" s="1056"/>
      <c r="NT174" s="1056"/>
      <c r="NU174" s="1056"/>
      <c r="NV174" s="1056"/>
      <c r="NW174" s="1056"/>
      <c r="NX174" s="1056"/>
      <c r="NY174" s="1056"/>
      <c r="NZ174" s="1056"/>
      <c r="OA174" s="1056"/>
      <c r="OB174" s="1056"/>
      <c r="OC174" s="1056"/>
      <c r="OD174" s="1056"/>
      <c r="OE174" s="1056"/>
      <c r="OF174" s="1056"/>
      <c r="OG174" s="1056"/>
      <c r="OH174" s="1056"/>
      <c r="OI174" s="1056"/>
      <c r="OJ174" s="1056"/>
      <c r="OK174" s="1056"/>
      <c r="OL174" s="1056"/>
      <c r="OM174" s="1056"/>
      <c r="ON174" s="1056"/>
      <c r="OO174" s="1056"/>
      <c r="OP174" s="1056"/>
      <c r="OQ174" s="1056"/>
      <c r="OR174" s="1056"/>
      <c r="OS174" s="1056"/>
      <c r="OT174" s="1056"/>
      <c r="OU174" s="1056"/>
      <c r="OV174" s="1056"/>
      <c r="OW174" s="1056"/>
      <c r="OX174" s="1056"/>
      <c r="OY174" s="1056"/>
      <c r="OZ174" s="1056"/>
      <c r="PA174" s="1056"/>
      <c r="PB174" s="1056"/>
      <c r="PC174" s="1056"/>
      <c r="PD174" s="1056"/>
      <c r="PE174" s="1056"/>
      <c r="PF174" s="1056"/>
      <c r="PG174" s="1056"/>
      <c r="PH174" s="1056"/>
      <c r="PI174" s="1056"/>
      <c r="PJ174" s="1056"/>
      <c r="PK174" s="1056"/>
      <c r="PL174" s="1056"/>
      <c r="PM174" s="1056"/>
      <c r="PN174" s="1056"/>
      <c r="PO174" s="1056"/>
      <c r="PP174" s="1056"/>
      <c r="PQ174" s="1056"/>
      <c r="PR174" s="1056"/>
      <c r="PS174" s="1056"/>
      <c r="PT174" s="1056"/>
      <c r="PU174" s="1056"/>
      <c r="PV174" s="1056"/>
      <c r="PW174" s="1056"/>
      <c r="PX174" s="1056"/>
      <c r="PY174" s="1056"/>
      <c r="PZ174" s="1056"/>
      <c r="QA174" s="1056"/>
      <c r="QB174" s="1056"/>
      <c r="QC174" s="1056"/>
      <c r="QD174" s="1056"/>
      <c r="QE174" s="1056"/>
      <c r="QF174" s="1056"/>
      <c r="QG174" s="1056"/>
      <c r="QH174" s="1056"/>
      <c r="QI174" s="1056"/>
      <c r="QJ174" s="1056"/>
      <c r="QK174" s="1056"/>
      <c r="QL174" s="1056"/>
      <c r="QM174" s="1056"/>
      <c r="QN174" s="1056"/>
      <c r="QO174" s="1056"/>
      <c r="QP174" s="1056"/>
      <c r="QQ174" s="1056"/>
      <c r="QR174" s="1056"/>
      <c r="QS174" s="1056"/>
      <c r="QT174" s="1056"/>
      <c r="QU174" s="1056"/>
      <c r="QV174" s="1056"/>
      <c r="QW174" s="1056"/>
      <c r="QX174" s="1056"/>
      <c r="QY174" s="1056"/>
      <c r="QZ174" s="1056"/>
      <c r="RA174" s="1056"/>
      <c r="RB174" s="1056"/>
      <c r="RC174" s="1056"/>
      <c r="RD174" s="1056"/>
      <c r="RE174" s="1056"/>
      <c r="RF174" s="1056"/>
      <c r="RG174" s="1056"/>
      <c r="RH174" s="1056"/>
      <c r="RI174" s="1056"/>
      <c r="RJ174" s="1056"/>
      <c r="RK174" s="1056"/>
      <c r="RL174" s="1056"/>
      <c r="RM174" s="1056"/>
      <c r="RN174" s="1056"/>
      <c r="RO174" s="1056"/>
      <c r="RP174" s="1056"/>
      <c r="RQ174" s="1056"/>
      <c r="RR174" s="1056"/>
      <c r="RS174" s="1056"/>
      <c r="RT174" s="1056"/>
      <c r="RU174" s="1056"/>
      <c r="RV174" s="1056"/>
      <c r="RW174" s="1056"/>
      <c r="RX174" s="1056"/>
      <c r="RY174" s="1056"/>
      <c r="RZ174" s="1056"/>
      <c r="SA174" s="1056"/>
      <c r="SB174" s="1056"/>
      <c r="SC174" s="1056"/>
      <c r="SD174" s="1056"/>
      <c r="SE174" s="1056"/>
      <c r="SF174" s="1056"/>
      <c r="SG174" s="1056"/>
      <c r="SH174" s="1056"/>
      <c r="SI174" s="1056"/>
      <c r="SJ174" s="1056"/>
      <c r="SK174" s="1056"/>
      <c r="SL174" s="1056"/>
      <c r="SM174" s="1056"/>
      <c r="SN174" s="1056"/>
      <c r="SO174" s="1056"/>
      <c r="SP174" s="1056"/>
      <c r="SQ174" s="1056"/>
      <c r="SR174" s="1056"/>
      <c r="SS174" s="1056"/>
      <c r="ST174" s="1056"/>
      <c r="SU174" s="1056"/>
      <c r="SV174" s="1056"/>
      <c r="SW174" s="1056"/>
      <c r="SX174" s="1056"/>
      <c r="SY174" s="1056"/>
      <c r="SZ174" s="1056"/>
      <c r="TA174" s="1056"/>
      <c r="TB174" s="1056"/>
      <c r="TC174" s="1056"/>
      <c r="TD174" s="1056"/>
      <c r="TE174" s="1056"/>
      <c r="TF174" s="1056"/>
      <c r="TG174" s="1056"/>
      <c r="TH174" s="1056"/>
      <c r="TI174" s="1056"/>
      <c r="TJ174" s="1056"/>
      <c r="TK174" s="1056"/>
      <c r="TL174" s="1056"/>
      <c r="TM174" s="1056"/>
      <c r="TN174" s="1056"/>
      <c r="TO174" s="1056"/>
      <c r="TP174" s="1056"/>
      <c r="TQ174" s="1056"/>
      <c r="TR174" s="1056"/>
      <c r="TS174" s="1056"/>
      <c r="TT174" s="1056"/>
      <c r="TU174" s="1056"/>
      <c r="TV174" s="1056"/>
      <c r="TW174" s="1056"/>
      <c r="TX174" s="1056"/>
      <c r="TY174" s="1056"/>
      <c r="TZ174" s="1056"/>
      <c r="UA174" s="1056"/>
      <c r="UB174" s="1056"/>
      <c r="UC174" s="1056"/>
      <c r="UD174" s="1056"/>
      <c r="UE174" s="1056"/>
      <c r="UF174" s="1056"/>
      <c r="UG174" s="1056"/>
      <c r="UH174" s="1056"/>
      <c r="UI174" s="1056"/>
      <c r="UJ174" s="1056"/>
      <c r="UK174" s="1056"/>
      <c r="UL174" s="1056"/>
      <c r="UM174" s="1056"/>
      <c r="UN174" s="1056"/>
      <c r="UO174" s="1056"/>
      <c r="UP174" s="1056"/>
      <c r="UQ174" s="1056"/>
      <c r="UR174" s="1056"/>
      <c r="US174" s="1056"/>
      <c r="UT174" s="1056"/>
      <c r="UU174" s="1056"/>
      <c r="UV174" s="1056"/>
      <c r="UW174" s="1056"/>
      <c r="UX174" s="1056"/>
      <c r="UY174" s="1056"/>
      <c r="UZ174" s="1056"/>
      <c r="VA174" s="1056"/>
      <c r="VB174" s="1056"/>
      <c r="VC174" s="1056"/>
      <c r="VD174" s="1056"/>
      <c r="VE174" s="1056"/>
      <c r="VF174" s="1056"/>
      <c r="VG174" s="1056"/>
      <c r="VH174" s="1056"/>
      <c r="VI174" s="1056"/>
      <c r="VJ174" s="1056"/>
      <c r="VK174" s="1056"/>
      <c r="VL174" s="1056"/>
      <c r="VM174" s="1056"/>
      <c r="VN174" s="1056"/>
      <c r="VO174" s="1056"/>
      <c r="VP174" s="1056"/>
      <c r="VQ174" s="1056"/>
      <c r="VR174" s="1056"/>
      <c r="VS174" s="1056"/>
      <c r="VT174" s="1056"/>
      <c r="VU174" s="1056"/>
      <c r="VV174" s="1056"/>
      <c r="VW174" s="1056"/>
      <c r="VX174" s="1056"/>
      <c r="VY174" s="1056"/>
      <c r="VZ174" s="1056"/>
      <c r="WA174" s="1056"/>
      <c r="WB174" s="1056"/>
      <c r="WC174" s="1056"/>
      <c r="WD174" s="1056"/>
      <c r="WE174" s="1056"/>
      <c r="WF174" s="1056"/>
      <c r="WG174" s="1056"/>
      <c r="WH174" s="1056"/>
      <c r="WI174" s="1056"/>
      <c r="WJ174" s="1056"/>
      <c r="WK174" s="1056"/>
      <c r="WL174" s="1056"/>
      <c r="WM174" s="1056"/>
      <c r="WN174" s="1056"/>
      <c r="WO174" s="1056"/>
      <c r="WP174" s="1056"/>
      <c r="WQ174" s="1056"/>
      <c r="WR174" s="1056"/>
      <c r="WS174" s="1056"/>
      <c r="WT174" s="1056"/>
      <c r="WU174" s="1056"/>
      <c r="WV174" s="1056"/>
      <c r="WW174" s="1056"/>
      <c r="WX174" s="1056"/>
      <c r="WY174" s="1056"/>
      <c r="WZ174" s="1056"/>
      <c r="XA174" s="1056"/>
      <c r="XB174" s="1056"/>
      <c r="XC174" s="1056"/>
      <c r="XD174" s="1056"/>
      <c r="XE174" s="1056"/>
      <c r="XF174" s="1056"/>
      <c r="XG174" s="1056"/>
      <c r="XH174" s="1056"/>
      <c r="XI174" s="1056"/>
      <c r="XJ174" s="1056"/>
      <c r="XK174" s="1056"/>
      <c r="XL174" s="1056"/>
      <c r="XM174" s="1056"/>
      <c r="XN174" s="1056"/>
      <c r="XO174" s="1056"/>
      <c r="XP174" s="1056"/>
      <c r="XQ174" s="1056"/>
      <c r="XR174" s="1056"/>
      <c r="XS174" s="1056"/>
      <c r="XT174" s="1056"/>
      <c r="XU174" s="1056"/>
      <c r="XV174" s="1056"/>
      <c r="XW174" s="1056"/>
      <c r="XX174" s="1056"/>
      <c r="XY174" s="1056"/>
      <c r="XZ174" s="1056"/>
      <c r="YA174" s="1056"/>
      <c r="YB174" s="1056"/>
      <c r="YC174" s="1056"/>
      <c r="YD174" s="1056"/>
      <c r="YE174" s="1056"/>
      <c r="YF174" s="1056"/>
      <c r="YG174" s="1056"/>
      <c r="YH174" s="1056"/>
      <c r="YI174" s="1056"/>
      <c r="YJ174" s="1056"/>
      <c r="YK174" s="1056"/>
      <c r="YL174" s="1056"/>
      <c r="YM174" s="1056"/>
      <c r="YN174" s="1056"/>
      <c r="YO174" s="1056"/>
      <c r="YP174" s="1056"/>
      <c r="YQ174" s="1056"/>
      <c r="YR174" s="1056"/>
      <c r="YS174" s="1056"/>
      <c r="YT174" s="1056"/>
      <c r="YU174" s="1056"/>
      <c r="YV174" s="1056"/>
      <c r="YW174" s="1056"/>
      <c r="YX174" s="1056"/>
      <c r="YY174" s="1056"/>
      <c r="YZ174" s="1056"/>
      <c r="ZA174" s="1056"/>
      <c r="ZB174" s="1056"/>
      <c r="ZC174" s="1056"/>
      <c r="ZD174" s="1056"/>
      <c r="ZE174" s="1056"/>
      <c r="ZF174" s="1056"/>
      <c r="ZG174" s="1056"/>
      <c r="ZH174" s="1056"/>
      <c r="ZI174" s="1056"/>
      <c r="ZJ174" s="1056"/>
      <c r="ZK174" s="1056"/>
      <c r="ZL174" s="1056"/>
      <c r="ZM174" s="1056"/>
      <c r="ZN174" s="1056"/>
      <c r="ZO174" s="1056"/>
      <c r="ZP174" s="1056"/>
      <c r="ZQ174" s="1056"/>
      <c r="ZR174" s="1056"/>
      <c r="ZS174" s="1056"/>
      <c r="ZT174" s="1056"/>
      <c r="ZU174" s="1056"/>
      <c r="ZV174" s="1056"/>
      <c r="ZW174" s="1056"/>
      <c r="ZX174" s="1056"/>
      <c r="ZY174" s="1056"/>
      <c r="ZZ174" s="1056"/>
      <c r="AAA174" s="1056"/>
      <c r="AAB174" s="1056"/>
      <c r="AAC174" s="1056"/>
      <c r="AAD174" s="1056"/>
      <c r="AAE174" s="1056"/>
      <c r="AAF174" s="1056"/>
      <c r="AAG174" s="1056"/>
      <c r="AAH174" s="1056"/>
      <c r="AAI174" s="1056"/>
      <c r="AAJ174" s="1056"/>
      <c r="AAK174" s="1056"/>
      <c r="AAL174" s="1056"/>
      <c r="AAM174" s="1056"/>
      <c r="AAN174" s="1056"/>
      <c r="AAO174" s="1056"/>
      <c r="AAP174" s="1056"/>
      <c r="AAQ174" s="1056"/>
      <c r="AAR174" s="1056"/>
      <c r="AAS174" s="1056"/>
      <c r="AAT174" s="1056"/>
      <c r="AAU174" s="1056"/>
      <c r="AAV174" s="1056"/>
      <c r="AAW174" s="1056"/>
      <c r="AAX174" s="1056"/>
      <c r="AAY174" s="1056"/>
      <c r="AAZ174" s="1056"/>
      <c r="ABA174" s="1056"/>
      <c r="ABB174" s="1056"/>
      <c r="ABC174" s="1056"/>
      <c r="ABD174" s="1056"/>
      <c r="ABE174" s="1056"/>
      <c r="ABF174" s="1056"/>
      <c r="ABG174" s="1056"/>
      <c r="ABH174" s="1056"/>
      <c r="ABI174" s="1056"/>
      <c r="ABJ174" s="1056"/>
      <c r="ABK174" s="1056"/>
      <c r="ABL174" s="1056"/>
      <c r="ABM174" s="1056"/>
      <c r="ABN174" s="1056"/>
      <c r="ABO174" s="1056"/>
      <c r="ABP174" s="1056"/>
      <c r="ABQ174" s="1056"/>
      <c r="ABR174" s="1056"/>
      <c r="ABS174" s="1056"/>
      <c r="ABT174" s="1056"/>
      <c r="ABU174" s="1056"/>
      <c r="ABV174" s="1056"/>
      <c r="ABW174" s="1056"/>
      <c r="ABX174" s="1056"/>
      <c r="ABY174" s="1056"/>
      <c r="ABZ174" s="1056"/>
      <c r="ACA174" s="1056"/>
      <c r="ACB174" s="1056"/>
      <c r="ACC174" s="1056"/>
      <c r="ACD174" s="1056"/>
      <c r="ACE174" s="1056"/>
      <c r="ACF174" s="1056"/>
      <c r="ACG174" s="1056"/>
      <c r="ACH174" s="1056"/>
      <c r="ACI174" s="1056"/>
      <c r="ACJ174" s="1056"/>
      <c r="ACK174" s="1056"/>
      <c r="ACL174" s="1056"/>
      <c r="ACM174" s="1056"/>
      <c r="ACN174" s="1056"/>
      <c r="ACO174" s="1056"/>
      <c r="ACP174" s="1056"/>
      <c r="ACQ174" s="1056"/>
      <c r="ACR174" s="1056"/>
      <c r="ACS174" s="1056"/>
      <c r="ACT174" s="1056"/>
      <c r="ACU174" s="1056"/>
      <c r="ACV174" s="1056"/>
      <c r="ACW174" s="1056"/>
      <c r="ACX174" s="1056"/>
      <c r="ACY174" s="1056"/>
      <c r="ACZ174" s="1056"/>
      <c r="ADA174" s="1056"/>
      <c r="ADB174" s="1056"/>
      <c r="ADC174" s="1056"/>
      <c r="ADD174" s="1056"/>
      <c r="ADE174" s="1056"/>
      <c r="ADF174" s="1056"/>
      <c r="ADG174" s="1056"/>
      <c r="ADH174" s="1056"/>
      <c r="ADI174" s="1056"/>
      <c r="ADJ174" s="1056"/>
      <c r="ADK174" s="1056"/>
      <c r="ADL174" s="1056"/>
      <c r="ADM174" s="1056"/>
      <c r="ADN174" s="1056"/>
      <c r="ADO174" s="1056"/>
      <c r="ADP174" s="1056"/>
      <c r="ADQ174" s="1056"/>
      <c r="ADR174" s="1056"/>
      <c r="ADS174" s="1056"/>
      <c r="ADT174" s="1056"/>
      <c r="ADU174" s="1056"/>
      <c r="ADV174" s="1056"/>
      <c r="ADW174" s="1056"/>
      <c r="ADX174" s="1056"/>
      <c r="ADY174" s="1056"/>
      <c r="ADZ174" s="1056"/>
      <c r="AEA174" s="1056"/>
      <c r="AEB174" s="1056"/>
      <c r="AEC174" s="1056"/>
      <c r="AED174" s="1056"/>
      <c r="AEE174" s="1056"/>
      <c r="AEF174" s="1056"/>
      <c r="AEG174" s="1056"/>
      <c r="AEH174" s="1056"/>
      <c r="AEI174" s="1056"/>
      <c r="AEJ174" s="1056"/>
      <c r="AEK174" s="1056"/>
      <c r="AEL174" s="1056"/>
      <c r="AEM174" s="1056"/>
      <c r="AEN174" s="1056"/>
      <c r="AEO174" s="1056"/>
      <c r="AEP174" s="1056"/>
      <c r="AEQ174" s="1056"/>
      <c r="AER174" s="1056"/>
      <c r="AES174" s="1056"/>
      <c r="AET174" s="1056"/>
      <c r="AEU174" s="1056"/>
      <c r="AEV174" s="1056"/>
      <c r="AEW174" s="1056"/>
      <c r="AEX174" s="1056"/>
      <c r="AEY174" s="1056"/>
      <c r="AEZ174" s="1056"/>
      <c r="AFA174" s="1056"/>
      <c r="AFB174" s="1056"/>
      <c r="AFC174" s="1056"/>
      <c r="AFD174" s="1056"/>
      <c r="AFE174" s="1056"/>
      <c r="AFF174" s="1056"/>
      <c r="AFG174" s="1056"/>
      <c r="AFH174" s="1056"/>
      <c r="AFI174" s="1056"/>
      <c r="AFJ174" s="1056"/>
      <c r="AFK174" s="1056"/>
      <c r="AFL174" s="1056"/>
      <c r="AFM174" s="1056"/>
      <c r="AFN174" s="1056"/>
      <c r="AFO174" s="1056"/>
      <c r="AFP174" s="1056"/>
      <c r="AFQ174" s="1056"/>
      <c r="AFR174" s="1056"/>
      <c r="AFS174" s="1056"/>
      <c r="AFT174" s="1056"/>
      <c r="AFU174" s="1056"/>
      <c r="AFV174" s="1056"/>
      <c r="AFW174" s="1056"/>
      <c r="AFX174" s="1056"/>
      <c r="AFY174" s="1056"/>
      <c r="AFZ174" s="1056"/>
      <c r="AGA174" s="1056"/>
      <c r="AGB174" s="1056"/>
      <c r="AGC174" s="1056"/>
      <c r="AGD174" s="1056"/>
      <c r="AGE174" s="1056"/>
      <c r="AGF174" s="1056"/>
      <c r="AGG174" s="1056"/>
      <c r="AGH174" s="1056"/>
      <c r="AGI174" s="1056"/>
      <c r="AGJ174" s="1056"/>
      <c r="AGK174" s="1056"/>
      <c r="AGL174" s="1056"/>
      <c r="AGM174" s="1056"/>
      <c r="AGN174" s="1056"/>
      <c r="AGO174" s="1056"/>
      <c r="AGP174" s="1056"/>
      <c r="AGQ174" s="1056"/>
      <c r="AGR174" s="1056"/>
      <c r="AGS174" s="1056"/>
      <c r="AGT174" s="1056"/>
      <c r="AGU174" s="1056"/>
      <c r="AGV174" s="1056"/>
      <c r="AGW174" s="1056"/>
      <c r="AGX174" s="1056"/>
      <c r="AGY174" s="1056"/>
      <c r="AGZ174" s="1056"/>
      <c r="AHA174" s="1056"/>
      <c r="AHB174" s="1056"/>
      <c r="AHC174" s="1056"/>
      <c r="AHD174" s="1056"/>
      <c r="AHE174" s="1056"/>
      <c r="AHF174" s="1056"/>
      <c r="AHG174" s="1056"/>
      <c r="AHH174" s="1056"/>
      <c r="AHI174" s="1056"/>
      <c r="AHJ174" s="1056"/>
      <c r="AHK174" s="1056"/>
      <c r="AHL174" s="1056"/>
      <c r="AHM174" s="1056"/>
      <c r="AHN174" s="1056"/>
      <c r="AHO174" s="1056"/>
      <c r="AHP174" s="1056"/>
      <c r="AHQ174" s="1056"/>
      <c r="AHR174" s="1056"/>
      <c r="AHS174" s="1056"/>
      <c r="AHT174" s="1056"/>
      <c r="AHU174" s="1056"/>
      <c r="AHV174" s="1056"/>
      <c r="AHW174" s="1056"/>
      <c r="AHX174" s="1056"/>
      <c r="AHY174" s="1056"/>
      <c r="AHZ174" s="1056"/>
      <c r="AIA174" s="1056"/>
      <c r="AIB174" s="1056"/>
      <c r="AIC174" s="1056"/>
      <c r="AID174" s="1056"/>
      <c r="AIE174" s="1056"/>
      <c r="AIF174" s="1056"/>
      <c r="AIG174" s="1056"/>
      <c r="AIH174" s="1056"/>
      <c r="AII174" s="1056"/>
      <c r="AIJ174" s="1056"/>
      <c r="AIK174" s="1056"/>
      <c r="AIL174" s="1056"/>
      <c r="AIM174" s="1056"/>
      <c r="AIN174" s="1056"/>
      <c r="AIO174" s="1056"/>
      <c r="AIP174" s="1056"/>
      <c r="AIQ174" s="1056"/>
      <c r="AIR174" s="1056"/>
      <c r="AIS174" s="1056"/>
      <c r="AIT174" s="1056"/>
      <c r="AIU174" s="1056"/>
      <c r="AIV174" s="1056"/>
      <c r="AIW174" s="1056"/>
      <c r="AIX174" s="1056"/>
      <c r="AIY174" s="1056"/>
      <c r="AIZ174" s="1056"/>
      <c r="AJA174" s="1056"/>
      <c r="AJB174" s="1056"/>
      <c r="AJC174" s="1056"/>
      <c r="AJD174" s="1056"/>
      <c r="AJE174" s="1056"/>
      <c r="AJF174" s="1056"/>
      <c r="AJG174" s="1056"/>
      <c r="AJH174" s="1056"/>
      <c r="AJI174" s="1056"/>
      <c r="AJJ174" s="1056"/>
      <c r="AJK174" s="1056"/>
      <c r="AJL174" s="1056"/>
      <c r="AJM174" s="1056"/>
      <c r="AJN174" s="1056"/>
      <c r="AJO174" s="1056"/>
      <c r="AJP174" s="1056"/>
      <c r="AJQ174" s="1056"/>
      <c r="AJR174" s="1056"/>
      <c r="AJS174" s="1056"/>
      <c r="AJT174" s="1056"/>
      <c r="AJU174" s="1056"/>
      <c r="AJV174" s="1056"/>
      <c r="AJW174" s="1056"/>
      <c r="AJX174" s="1056"/>
      <c r="AJY174" s="1056"/>
      <c r="AJZ174" s="1056"/>
      <c r="AKA174" s="1056"/>
      <c r="AKB174" s="1056"/>
      <c r="AKC174" s="1056"/>
      <c r="AKD174" s="1056"/>
      <c r="AKE174" s="1056"/>
      <c r="AKF174" s="1056"/>
      <c r="AKG174" s="1056"/>
      <c r="AKH174" s="1056"/>
      <c r="AKI174" s="1056"/>
      <c r="AKJ174" s="1056"/>
      <c r="AKK174" s="1056"/>
      <c r="AKL174" s="1056"/>
      <c r="AKM174" s="1056"/>
      <c r="AKN174" s="1056"/>
      <c r="AKO174" s="1056"/>
      <c r="AKP174" s="1056"/>
      <c r="AKQ174" s="1056"/>
      <c r="AKR174" s="1056"/>
      <c r="AKS174" s="1056"/>
      <c r="AKT174" s="1056"/>
      <c r="AKU174" s="1056"/>
      <c r="AKV174" s="1056"/>
      <c r="AKW174" s="1056"/>
      <c r="AKX174" s="1056"/>
      <c r="AKY174" s="1056"/>
      <c r="AKZ174" s="1056"/>
      <c r="ALA174" s="1056"/>
      <c r="ALB174" s="1056"/>
      <c r="ALC174" s="1056"/>
      <c r="ALD174" s="1056"/>
      <c r="ALE174" s="1056"/>
      <c r="ALF174" s="1056"/>
      <c r="ALG174" s="1056"/>
      <c r="ALH174" s="1056"/>
      <c r="ALI174" s="1056"/>
      <c r="ALJ174" s="1056"/>
      <c r="ALK174" s="1056"/>
      <c r="ALL174" s="1056"/>
      <c r="ALM174" s="1056"/>
      <c r="ALN174" s="1056"/>
      <c r="ALO174" s="1056"/>
      <c r="ALP174" s="1056"/>
      <c r="ALQ174" s="1056"/>
      <c r="ALR174" s="1056"/>
      <c r="ALS174" s="1056"/>
      <c r="ALT174" s="1056"/>
      <c r="ALU174" s="1056"/>
      <c r="ALV174" s="1056"/>
      <c r="ALW174" s="1056"/>
      <c r="ALX174" s="1056"/>
      <c r="ALY174" s="1056"/>
      <c r="ALZ174" s="1056"/>
      <c r="AMA174" s="1056"/>
      <c r="AMB174" s="1056"/>
      <c r="AMC174" s="1056"/>
      <c r="AMD174" s="1056"/>
      <c r="AME174" s="1056"/>
      <c r="AMF174" s="1056"/>
      <c r="AMG174" s="1056"/>
      <c r="AMH174" s="1056"/>
      <c r="AMI174" s="1056"/>
      <c r="AMJ174" s="1056"/>
      <c r="AMK174" s="1056"/>
      <c r="AML174" s="1056"/>
      <c r="AMM174" s="1056"/>
      <c r="AMN174" s="1056"/>
      <c r="AMO174" s="1056"/>
      <c r="AMP174" s="1056"/>
      <c r="AMQ174" s="1056"/>
      <c r="AMR174" s="1056"/>
      <c r="AMS174" s="1056"/>
      <c r="AMT174" s="1056"/>
      <c r="AMU174" s="1056"/>
      <c r="AMV174" s="1056"/>
      <c r="AMW174" s="1056"/>
      <c r="AMX174" s="1056"/>
      <c r="AMY174" s="1056"/>
      <c r="AMZ174" s="1056"/>
      <c r="ANA174" s="1056"/>
      <c r="ANB174" s="1056"/>
      <c r="ANC174" s="1056"/>
      <c r="AND174" s="1056"/>
      <c r="ANE174" s="1056"/>
      <c r="ANF174" s="1056"/>
      <c r="ANG174" s="1056"/>
      <c r="ANH174" s="1056"/>
      <c r="ANI174" s="1056"/>
      <c r="ANJ174" s="1056"/>
      <c r="ANK174" s="1056"/>
      <c r="ANL174" s="1056"/>
      <c r="ANM174" s="1056"/>
      <c r="ANN174" s="1056"/>
      <c r="ANO174" s="1056"/>
      <c r="ANP174" s="1056"/>
      <c r="ANQ174" s="1056"/>
      <c r="ANR174" s="1056"/>
      <c r="ANS174" s="1056"/>
      <c r="ANT174" s="1056"/>
      <c r="ANU174" s="1056"/>
      <c r="ANV174" s="1056"/>
      <c r="ANW174" s="1056"/>
      <c r="ANX174" s="1056"/>
      <c r="ANY174" s="1056"/>
      <c r="ANZ174" s="1056"/>
      <c r="AOA174" s="1056"/>
      <c r="AOB174" s="1056"/>
      <c r="AOC174" s="1056"/>
      <c r="AOD174" s="1056"/>
      <c r="AOE174" s="1056"/>
      <c r="AOF174" s="1056"/>
      <c r="AOG174" s="1056"/>
      <c r="AOH174" s="1056"/>
      <c r="AOI174" s="1056"/>
      <c r="AOJ174" s="1056"/>
      <c r="AOK174" s="1056"/>
      <c r="AOL174" s="1056"/>
      <c r="AOM174" s="1056"/>
      <c r="AON174" s="1056"/>
      <c r="AOO174" s="1056"/>
      <c r="AOP174" s="1056"/>
      <c r="AOQ174" s="1056"/>
      <c r="AOR174" s="1056"/>
      <c r="AOS174" s="1056"/>
      <c r="AOT174" s="1056"/>
      <c r="AOU174" s="1056"/>
      <c r="AOV174" s="1056"/>
      <c r="AOW174" s="1056"/>
      <c r="AOX174" s="1056"/>
      <c r="AOY174" s="1056"/>
      <c r="AOZ174" s="1056"/>
      <c r="APA174" s="1056"/>
      <c r="APB174" s="1056"/>
      <c r="APC174" s="1056"/>
      <c r="APD174" s="1056"/>
      <c r="APE174" s="1056"/>
      <c r="APF174" s="1056"/>
      <c r="APG174" s="1056"/>
      <c r="APH174" s="1056"/>
      <c r="API174" s="1056"/>
      <c r="APJ174" s="1056"/>
      <c r="APK174" s="1056"/>
      <c r="APL174" s="1056"/>
      <c r="APM174" s="1056"/>
      <c r="APN174" s="1056"/>
      <c r="APO174" s="1056"/>
      <c r="APP174" s="1056"/>
      <c r="APQ174" s="1056"/>
      <c r="APR174" s="1056"/>
      <c r="APS174" s="1056"/>
      <c r="APT174" s="1056"/>
      <c r="APU174" s="1056"/>
      <c r="APV174" s="1056"/>
      <c r="APW174" s="1056"/>
      <c r="APX174" s="1056"/>
      <c r="APY174" s="1056"/>
      <c r="APZ174" s="1056"/>
      <c r="AQA174" s="1056"/>
      <c r="AQB174" s="1056"/>
      <c r="AQC174" s="1056"/>
      <c r="AQD174" s="1056"/>
      <c r="AQE174" s="1056"/>
      <c r="AQF174" s="1056"/>
      <c r="AQG174" s="1056"/>
      <c r="AQH174" s="1056"/>
      <c r="AQI174" s="1056"/>
      <c r="AQJ174" s="1056"/>
      <c r="AQK174" s="1056"/>
      <c r="AQL174" s="1056"/>
      <c r="AQM174" s="1056"/>
      <c r="AQN174" s="1056"/>
      <c r="AQO174" s="1056"/>
      <c r="AQP174" s="1056"/>
      <c r="AQQ174" s="1056"/>
      <c r="AQR174" s="1056"/>
      <c r="AQS174" s="1056"/>
      <c r="AQT174" s="1056"/>
      <c r="AQU174" s="1056"/>
      <c r="AQV174" s="1056"/>
      <c r="AQW174" s="1056"/>
      <c r="AQX174" s="1056"/>
      <c r="AQY174" s="1056"/>
      <c r="AQZ174" s="1056"/>
      <c r="ARA174" s="1056"/>
      <c r="ARB174" s="1056"/>
      <c r="ARC174" s="1056"/>
      <c r="ARD174" s="1056"/>
      <c r="ARE174" s="1056"/>
      <c r="ARF174" s="1056"/>
      <c r="ARG174" s="1056"/>
      <c r="ARH174" s="1056"/>
      <c r="ARI174" s="1056"/>
      <c r="ARJ174" s="1056"/>
      <c r="ARK174" s="1056"/>
      <c r="ARL174" s="1056"/>
      <c r="ARM174" s="1056"/>
      <c r="ARN174" s="1056"/>
      <c r="ARO174" s="1056"/>
      <c r="ARP174" s="1056"/>
      <c r="ARQ174" s="1056"/>
      <c r="ARR174" s="1056"/>
      <c r="ARS174" s="1056"/>
      <c r="ART174" s="1056"/>
      <c r="ARU174" s="1056"/>
      <c r="ARV174" s="1056"/>
      <c r="ARW174" s="1056"/>
      <c r="ARX174" s="1056"/>
      <c r="ARY174" s="1056"/>
      <c r="ARZ174" s="1056"/>
      <c r="ASA174" s="1056"/>
      <c r="ASB174" s="1056"/>
      <c r="ASC174" s="1056"/>
      <c r="ASD174" s="1056"/>
      <c r="ASE174" s="1056"/>
      <c r="ASF174" s="1056"/>
      <c r="ASG174" s="1056"/>
      <c r="ASH174" s="1056"/>
      <c r="ASI174" s="1056"/>
      <c r="ASJ174" s="1056"/>
      <c r="ASK174" s="1056"/>
      <c r="ASL174" s="1056"/>
      <c r="ASM174" s="1056"/>
      <c r="ASN174" s="1056"/>
      <c r="ASO174" s="1056"/>
      <c r="ASP174" s="1056"/>
      <c r="ASQ174" s="1056"/>
      <c r="ASR174" s="1056"/>
      <c r="ASS174" s="1056"/>
      <c r="AST174" s="1056"/>
      <c r="ASU174" s="1056"/>
      <c r="ASV174" s="1056"/>
      <c r="ASW174" s="1056"/>
      <c r="ASX174" s="1056"/>
      <c r="ASY174" s="1056"/>
      <c r="ASZ174" s="1056"/>
      <c r="ATA174" s="1056"/>
      <c r="ATB174" s="1056"/>
      <c r="ATC174" s="1056"/>
      <c r="ATD174" s="1056"/>
      <c r="ATE174" s="1056"/>
      <c r="ATF174" s="1056"/>
      <c r="ATG174" s="1056"/>
      <c r="ATH174" s="1056"/>
      <c r="ATI174" s="1056"/>
      <c r="ATJ174" s="1056"/>
      <c r="ATK174" s="1056"/>
      <c r="ATL174" s="1056"/>
      <c r="ATM174" s="1056"/>
      <c r="ATN174" s="1056"/>
      <c r="ATO174" s="1056"/>
      <c r="ATP174" s="1056"/>
      <c r="ATQ174" s="1056"/>
      <c r="ATR174" s="1056"/>
      <c r="ATS174" s="1056"/>
      <c r="ATT174" s="1056"/>
      <c r="ATU174" s="1056"/>
      <c r="ATV174" s="1056"/>
      <c r="ATW174" s="1056"/>
      <c r="ATX174" s="1056"/>
      <c r="ATY174" s="1056"/>
      <c r="ATZ174" s="1056"/>
      <c r="AUA174" s="1056"/>
      <c r="AUB174" s="1056"/>
      <c r="AUC174" s="1056"/>
      <c r="AUD174" s="1056"/>
      <c r="AUE174" s="1056"/>
      <c r="AUF174" s="1056"/>
      <c r="AUG174" s="1056"/>
      <c r="AUH174" s="1056"/>
      <c r="AUI174" s="1056"/>
      <c r="AUJ174" s="1056"/>
      <c r="AUK174" s="1056"/>
      <c r="AUL174" s="1056"/>
      <c r="AUM174" s="1056"/>
      <c r="AUN174" s="1056"/>
      <c r="AUO174" s="1056"/>
      <c r="AUP174" s="1056"/>
      <c r="AUQ174" s="1056"/>
      <c r="AUR174" s="1056"/>
      <c r="AUS174" s="1056"/>
      <c r="AUT174" s="1056"/>
      <c r="AUU174" s="1056"/>
      <c r="AUV174" s="1056"/>
      <c r="AUW174" s="1056"/>
      <c r="AUX174" s="1056"/>
      <c r="AUY174" s="1056"/>
      <c r="AUZ174" s="1056"/>
      <c r="AVA174" s="1056"/>
      <c r="AVB174" s="1056"/>
      <c r="AVC174" s="1056"/>
      <c r="AVD174" s="1056"/>
      <c r="AVE174" s="1056"/>
      <c r="AVF174" s="1056"/>
      <c r="AVG174" s="1056"/>
      <c r="AVH174" s="1056"/>
      <c r="AVI174" s="1056"/>
      <c r="AVJ174" s="1056"/>
      <c r="AVK174" s="1056"/>
      <c r="AVL174" s="1056"/>
      <c r="AVM174" s="1056"/>
      <c r="AVN174" s="1056"/>
      <c r="AVO174" s="1056"/>
      <c r="AVP174" s="1056"/>
      <c r="AVQ174" s="1056"/>
      <c r="AVR174" s="1056"/>
      <c r="AVS174" s="1056"/>
      <c r="AVT174" s="1056"/>
      <c r="AVU174" s="1056"/>
      <c r="AVV174" s="1056"/>
      <c r="AVW174" s="1056"/>
      <c r="AVX174" s="1056"/>
      <c r="AVY174" s="1056"/>
      <c r="AVZ174" s="1056"/>
      <c r="AWA174" s="1056"/>
      <c r="AWB174" s="1056"/>
      <c r="AWC174" s="1056"/>
      <c r="AWD174" s="1056"/>
      <c r="AWE174" s="1056"/>
      <c r="AWF174" s="1056"/>
      <c r="AWG174" s="1056"/>
      <c r="AWH174" s="1056"/>
      <c r="AWI174" s="1056"/>
      <c r="AWJ174" s="1056"/>
      <c r="AWK174" s="1056"/>
      <c r="AWL174" s="1056"/>
      <c r="AWM174" s="1056"/>
      <c r="AWN174" s="1056"/>
      <c r="AWO174" s="1056"/>
      <c r="AWP174" s="1056"/>
      <c r="AWQ174" s="1056"/>
      <c r="AWR174" s="1056"/>
      <c r="AWS174" s="1056"/>
      <c r="AWT174" s="1056"/>
      <c r="AWU174" s="1056"/>
      <c r="AWV174" s="1056"/>
      <c r="AWW174" s="1056"/>
      <c r="AWX174" s="1056"/>
      <c r="AWY174" s="1056"/>
      <c r="AWZ174" s="1056"/>
      <c r="AXA174" s="1056"/>
      <c r="AXB174" s="1056"/>
      <c r="AXC174" s="1056"/>
      <c r="AXD174" s="1056"/>
      <c r="AXE174" s="1056"/>
      <c r="AXF174" s="1056"/>
      <c r="AXG174" s="1056"/>
      <c r="AXH174" s="1056"/>
      <c r="AXI174" s="1056"/>
      <c r="AXJ174" s="1056"/>
      <c r="AXK174" s="1056"/>
      <c r="AXL174" s="1056"/>
      <c r="AXM174" s="1056"/>
      <c r="AXN174" s="1056"/>
      <c r="AXO174" s="1056"/>
      <c r="AXP174" s="1056"/>
      <c r="AXQ174" s="1056"/>
      <c r="AXR174" s="1056"/>
      <c r="AXS174" s="1056"/>
      <c r="AXT174" s="1056"/>
      <c r="AXU174" s="1056"/>
      <c r="AXV174" s="1056"/>
      <c r="AXW174" s="1056"/>
      <c r="AXX174" s="1056"/>
      <c r="AXY174" s="1056"/>
      <c r="AXZ174" s="1056"/>
      <c r="AYA174" s="1056"/>
      <c r="AYB174" s="1056"/>
      <c r="AYC174" s="1056"/>
      <c r="AYD174" s="1056"/>
      <c r="AYE174" s="1056"/>
      <c r="AYF174" s="1056"/>
      <c r="AYG174" s="1056"/>
      <c r="AYH174" s="1056"/>
      <c r="AYI174" s="1056"/>
      <c r="AYJ174" s="1056"/>
      <c r="AYK174" s="1056"/>
      <c r="AYL174" s="1056"/>
      <c r="AYM174" s="1056"/>
      <c r="AYN174" s="1056"/>
      <c r="AYO174" s="1056"/>
      <c r="AYP174" s="1056"/>
      <c r="AYQ174" s="1056"/>
      <c r="AYR174" s="1056"/>
      <c r="AYS174" s="1056"/>
      <c r="AYT174" s="1056"/>
      <c r="AYU174" s="1056"/>
      <c r="AYV174" s="1056"/>
      <c r="AYW174" s="1056"/>
      <c r="AYX174" s="1056"/>
      <c r="AYY174" s="1056"/>
      <c r="AYZ174" s="1056"/>
      <c r="AZA174" s="1056"/>
      <c r="AZB174" s="1056"/>
      <c r="AZC174" s="1056"/>
      <c r="AZD174" s="1056"/>
      <c r="AZE174" s="1056"/>
      <c r="AZF174" s="1056"/>
      <c r="AZG174" s="1056"/>
      <c r="AZH174" s="1056"/>
      <c r="AZI174" s="1056"/>
      <c r="AZJ174" s="1056"/>
      <c r="AZK174" s="1056"/>
      <c r="AZL174" s="1056"/>
      <c r="AZM174" s="1056"/>
      <c r="AZN174" s="1056"/>
      <c r="AZO174" s="1056"/>
      <c r="AZP174" s="1056"/>
      <c r="AZQ174" s="1056"/>
      <c r="AZR174" s="1056"/>
      <c r="AZS174" s="1056"/>
      <c r="AZT174" s="1056"/>
      <c r="AZU174" s="1056"/>
      <c r="AZV174" s="1056"/>
      <c r="AZW174" s="1056"/>
      <c r="AZX174" s="1056"/>
      <c r="AZY174" s="1056"/>
      <c r="AZZ174" s="1056"/>
      <c r="BAA174" s="1056"/>
      <c r="BAB174" s="1056"/>
      <c r="BAC174" s="1056"/>
      <c r="BAD174" s="1056"/>
      <c r="BAE174" s="1056"/>
      <c r="BAF174" s="1056"/>
      <c r="BAG174" s="1056"/>
      <c r="BAH174" s="1056"/>
      <c r="BAI174" s="1056"/>
      <c r="BAJ174" s="1056"/>
      <c r="BAK174" s="1056"/>
      <c r="BAL174" s="1056"/>
      <c r="BAM174" s="1056"/>
      <c r="BAN174" s="1056"/>
      <c r="BAO174" s="1056"/>
      <c r="BAP174" s="1056"/>
      <c r="BAQ174" s="1056"/>
      <c r="BAR174" s="1056"/>
      <c r="BAS174" s="1056"/>
      <c r="BAT174" s="1056"/>
      <c r="BAU174" s="1056"/>
      <c r="BAV174" s="1056"/>
      <c r="BAW174" s="1056"/>
      <c r="BAX174" s="1056"/>
      <c r="BAY174" s="1056"/>
      <c r="BAZ174" s="1056"/>
      <c r="BBA174" s="1056"/>
      <c r="BBB174" s="1056"/>
      <c r="BBC174" s="1056"/>
      <c r="BBD174" s="1056"/>
      <c r="BBE174" s="1056"/>
      <c r="BBF174" s="1056"/>
      <c r="BBG174" s="1056"/>
      <c r="BBH174" s="1056"/>
      <c r="BBI174" s="1056"/>
      <c r="BBJ174" s="1056"/>
      <c r="BBK174" s="1056"/>
      <c r="BBL174" s="1056"/>
      <c r="BBM174" s="1056"/>
      <c r="BBN174" s="1056"/>
      <c r="BBO174" s="1056"/>
      <c r="BBP174" s="1056"/>
      <c r="BBQ174" s="1056"/>
      <c r="BBR174" s="1056"/>
      <c r="BBS174" s="1056"/>
      <c r="BBT174" s="1056"/>
      <c r="BBU174" s="1056"/>
      <c r="BBV174" s="1056"/>
      <c r="BBW174" s="1056"/>
      <c r="BBX174" s="1056"/>
      <c r="BBY174" s="1056"/>
      <c r="BBZ174" s="1056"/>
      <c r="BCA174" s="1056"/>
      <c r="BCB174" s="1056"/>
      <c r="BCC174" s="1056"/>
      <c r="BCD174" s="1056"/>
      <c r="BCE174" s="1056"/>
      <c r="BCF174" s="1056"/>
      <c r="BCG174" s="1056"/>
      <c r="BCH174" s="1056"/>
      <c r="BCI174" s="1056"/>
      <c r="BCJ174" s="1056"/>
      <c r="BCK174" s="1056"/>
      <c r="BCL174" s="1056"/>
      <c r="BCM174" s="1056"/>
      <c r="BCN174" s="1056"/>
      <c r="BCO174" s="1056"/>
      <c r="BCP174" s="1056"/>
      <c r="BCQ174" s="1056"/>
      <c r="BCR174" s="1056"/>
      <c r="BCS174" s="1056"/>
      <c r="BCT174" s="1056"/>
      <c r="BCU174" s="1056"/>
      <c r="BCV174" s="1056"/>
      <c r="BCW174" s="1056"/>
      <c r="BCX174" s="1056"/>
      <c r="BCY174" s="1056"/>
      <c r="BCZ174" s="1056"/>
      <c r="BDA174" s="1056"/>
      <c r="BDB174" s="1056"/>
      <c r="BDC174" s="1056"/>
      <c r="BDD174" s="1056"/>
      <c r="BDE174" s="1056"/>
      <c r="BDF174" s="1056"/>
      <c r="BDG174" s="1056"/>
      <c r="BDH174" s="1056"/>
      <c r="BDI174" s="1056"/>
      <c r="BDJ174" s="1056"/>
      <c r="BDK174" s="1056"/>
      <c r="BDL174" s="1056"/>
      <c r="BDM174" s="1056"/>
      <c r="BDN174" s="1056"/>
      <c r="BDO174" s="1056"/>
      <c r="BDP174" s="1056"/>
      <c r="BDQ174" s="1056"/>
      <c r="BDR174" s="1056"/>
      <c r="BDS174" s="1056"/>
      <c r="BDT174" s="1056"/>
      <c r="BDU174" s="1056"/>
      <c r="BDV174" s="1056"/>
      <c r="BDW174" s="1056"/>
      <c r="BDX174" s="1056"/>
      <c r="BDY174" s="1056"/>
      <c r="BDZ174" s="1056"/>
      <c r="BEA174" s="1056"/>
      <c r="BEB174" s="1056"/>
      <c r="BEC174" s="1056"/>
      <c r="BED174" s="1056"/>
      <c r="BEE174" s="1056"/>
      <c r="BEF174" s="1056"/>
      <c r="BEG174" s="1056"/>
      <c r="BEH174" s="1056"/>
      <c r="BEI174" s="1056"/>
      <c r="BEJ174" s="1056"/>
      <c r="BEK174" s="1056"/>
      <c r="BEL174" s="1056"/>
      <c r="BEM174" s="1056"/>
      <c r="BEN174" s="1056"/>
      <c r="BEO174" s="1056"/>
      <c r="BEP174" s="1056"/>
      <c r="BEQ174" s="1056"/>
      <c r="BER174" s="1056"/>
      <c r="BES174" s="1056"/>
      <c r="BET174" s="1056"/>
      <c r="BEU174" s="1056"/>
      <c r="BEV174" s="1056"/>
      <c r="BEW174" s="1056"/>
      <c r="BEX174" s="1056"/>
      <c r="BEY174" s="1056"/>
      <c r="BEZ174" s="1056"/>
      <c r="BFA174" s="1056"/>
      <c r="BFB174" s="1056"/>
      <c r="BFC174" s="1056"/>
      <c r="BFD174" s="1056"/>
      <c r="BFE174" s="1056"/>
      <c r="BFF174" s="1056"/>
      <c r="BFG174" s="1056"/>
      <c r="BFH174" s="1056"/>
      <c r="BFI174" s="1056"/>
      <c r="BFJ174" s="1056"/>
      <c r="BFK174" s="1056"/>
      <c r="BFL174" s="1056"/>
      <c r="BFM174" s="1056"/>
      <c r="BFN174" s="1056"/>
      <c r="BFO174" s="1056"/>
      <c r="BFP174" s="1056"/>
      <c r="BFQ174" s="1056"/>
      <c r="BFR174" s="1056"/>
      <c r="BFS174" s="1056"/>
      <c r="BFT174" s="1056"/>
      <c r="BFU174" s="1056"/>
      <c r="BFV174" s="1056"/>
      <c r="BFW174" s="1056"/>
      <c r="BFX174" s="1056"/>
      <c r="BFY174" s="1056"/>
      <c r="BFZ174" s="1056"/>
      <c r="BGA174" s="1056"/>
      <c r="BGB174" s="1056"/>
      <c r="BGC174" s="1056"/>
      <c r="BGD174" s="1056"/>
      <c r="BGE174" s="1056"/>
      <c r="BGF174" s="1056"/>
      <c r="BGG174" s="1056"/>
      <c r="BGH174" s="1056"/>
      <c r="BGI174" s="1056"/>
      <c r="BGJ174" s="1056"/>
      <c r="BGK174" s="1056"/>
      <c r="BGL174" s="1056"/>
      <c r="BGM174" s="1056"/>
      <c r="BGN174" s="1056"/>
      <c r="BGO174" s="1056"/>
      <c r="BGP174" s="1056"/>
      <c r="BGQ174" s="1056"/>
      <c r="BGR174" s="1056"/>
      <c r="BGS174" s="1056"/>
      <c r="BGT174" s="1056"/>
      <c r="BGU174" s="1056"/>
      <c r="BGV174" s="1056"/>
      <c r="BGW174" s="1056"/>
      <c r="BGX174" s="1056"/>
      <c r="BGY174" s="1056"/>
      <c r="BGZ174" s="1056"/>
      <c r="BHA174" s="1056"/>
      <c r="BHB174" s="1056"/>
      <c r="BHC174" s="1056"/>
      <c r="BHD174" s="1056"/>
      <c r="BHE174" s="1056"/>
      <c r="BHF174" s="1056"/>
      <c r="BHG174" s="1056"/>
      <c r="BHH174" s="1056"/>
      <c r="BHI174" s="1056"/>
      <c r="BHJ174" s="1056"/>
      <c r="BHK174" s="1056"/>
      <c r="BHL174" s="1056"/>
      <c r="BHM174" s="1056"/>
      <c r="BHN174" s="1056"/>
      <c r="BHO174" s="1056"/>
      <c r="BHP174" s="1056"/>
      <c r="BHQ174" s="1056"/>
      <c r="BHR174" s="1056"/>
      <c r="BHS174" s="1056"/>
      <c r="BHT174" s="1056"/>
      <c r="BHU174" s="1056"/>
      <c r="BHV174" s="1056"/>
      <c r="BHW174" s="1056"/>
      <c r="BHX174" s="1056"/>
      <c r="BHY174" s="1056"/>
      <c r="BHZ174" s="1056"/>
      <c r="BIA174" s="1056"/>
      <c r="BIB174" s="1056"/>
      <c r="BIC174" s="1056"/>
      <c r="BID174" s="1056"/>
      <c r="BIE174" s="1056"/>
      <c r="BIF174" s="1056"/>
      <c r="BIG174" s="1056"/>
      <c r="BIH174" s="1056"/>
      <c r="BII174" s="1056"/>
      <c r="BIJ174" s="1056"/>
      <c r="BIK174" s="1056"/>
      <c r="BIL174" s="1056"/>
      <c r="BIM174" s="1056"/>
      <c r="BIN174" s="1056"/>
      <c r="BIO174" s="1056"/>
      <c r="BIP174" s="1056"/>
      <c r="BIQ174" s="1056"/>
      <c r="BIR174" s="1056"/>
      <c r="BIS174" s="1056"/>
      <c r="BIT174" s="1056"/>
      <c r="BIU174" s="1056"/>
      <c r="BIV174" s="1056"/>
      <c r="BIW174" s="1056"/>
      <c r="BIX174" s="1056"/>
      <c r="BIY174" s="1056"/>
      <c r="BIZ174" s="1056"/>
      <c r="BJA174" s="1056"/>
      <c r="BJB174" s="1056"/>
      <c r="BJC174" s="1056"/>
      <c r="BJD174" s="1056"/>
      <c r="BJE174" s="1056"/>
      <c r="BJF174" s="1056"/>
      <c r="BJG174" s="1056"/>
      <c r="BJH174" s="1056"/>
      <c r="BJI174" s="1056"/>
      <c r="BJJ174" s="1056"/>
      <c r="BJK174" s="1056"/>
      <c r="BJL174" s="1056"/>
      <c r="BJM174" s="1056"/>
      <c r="BJN174" s="1056"/>
      <c r="BJO174" s="1056"/>
      <c r="BJP174" s="1056"/>
      <c r="BJQ174" s="1056"/>
      <c r="BJR174" s="1056"/>
      <c r="BJS174" s="1056"/>
      <c r="BJT174" s="1056"/>
      <c r="BJU174" s="1056"/>
      <c r="BJV174" s="1056"/>
      <c r="BJW174" s="1056"/>
      <c r="BJX174" s="1056"/>
      <c r="BJY174" s="1056"/>
      <c r="BJZ174" s="1056"/>
      <c r="BKA174" s="1056"/>
      <c r="BKB174" s="1056"/>
      <c r="BKC174" s="1056"/>
      <c r="BKD174" s="1056"/>
      <c r="BKE174" s="1056"/>
      <c r="BKF174" s="1056"/>
      <c r="BKG174" s="1056"/>
      <c r="BKH174" s="1056"/>
      <c r="BKI174" s="1056"/>
      <c r="BKJ174" s="1056"/>
      <c r="BKK174" s="1056"/>
      <c r="BKL174" s="1056"/>
      <c r="BKM174" s="1056"/>
      <c r="BKN174" s="1056"/>
      <c r="BKO174" s="1056"/>
      <c r="BKP174" s="1056"/>
      <c r="BKQ174" s="1056"/>
      <c r="BKR174" s="1056"/>
      <c r="BKS174" s="1056"/>
      <c r="BKT174" s="1056"/>
      <c r="BKU174" s="1056"/>
      <c r="BKV174" s="1056"/>
      <c r="BKW174" s="1056"/>
      <c r="BKX174" s="1056"/>
      <c r="BKY174" s="1056"/>
      <c r="BKZ174" s="1056"/>
      <c r="BLA174" s="1056"/>
      <c r="BLB174" s="1056"/>
      <c r="BLC174" s="1056"/>
      <c r="BLD174" s="1056"/>
      <c r="BLE174" s="1056"/>
      <c r="BLF174" s="1056"/>
      <c r="BLG174" s="1056"/>
      <c r="BLH174" s="1056"/>
      <c r="BLI174" s="1056"/>
      <c r="BLJ174" s="1056"/>
      <c r="BLK174" s="1056"/>
      <c r="BLL174" s="1056"/>
      <c r="BLM174" s="1056"/>
      <c r="BLN174" s="1056"/>
      <c r="BLO174" s="1056"/>
      <c r="BLP174" s="1056"/>
      <c r="BLQ174" s="1056"/>
      <c r="BLR174" s="1056"/>
      <c r="BLS174" s="1056"/>
      <c r="BLT174" s="1056"/>
      <c r="BLU174" s="1056"/>
      <c r="BLV174" s="1056"/>
      <c r="BLW174" s="1056"/>
      <c r="BLX174" s="1056"/>
      <c r="BLY174" s="1056"/>
      <c r="BLZ174" s="1056"/>
      <c r="BMA174" s="1056"/>
      <c r="BMB174" s="1056"/>
      <c r="BMC174" s="1056"/>
      <c r="BMD174" s="1056"/>
      <c r="BME174" s="1056"/>
      <c r="BMF174" s="1056"/>
      <c r="BMG174" s="1056"/>
      <c r="BMH174" s="1056"/>
      <c r="BMI174" s="1056"/>
      <c r="BMJ174" s="1056"/>
      <c r="BMK174" s="1056"/>
      <c r="BML174" s="1056"/>
      <c r="BMM174" s="1056"/>
      <c r="BMN174" s="1056"/>
      <c r="BMO174" s="1056"/>
      <c r="BMP174" s="1056"/>
      <c r="BMQ174" s="1056"/>
      <c r="BMR174" s="1056"/>
      <c r="BMS174" s="1056"/>
      <c r="BMT174" s="1056"/>
      <c r="BMU174" s="1056"/>
      <c r="BMV174" s="1056"/>
      <c r="BMW174" s="1056"/>
      <c r="BMX174" s="1056"/>
      <c r="BMY174" s="1056"/>
      <c r="BMZ174" s="1056"/>
      <c r="BNA174" s="1056"/>
      <c r="BNB174" s="1056"/>
      <c r="BNC174" s="1056"/>
      <c r="BND174" s="1056"/>
      <c r="BNE174" s="1056"/>
      <c r="BNF174" s="1056"/>
      <c r="BNG174" s="1056"/>
      <c r="BNH174" s="1056"/>
      <c r="BNI174" s="1056"/>
      <c r="BNJ174" s="1056"/>
      <c r="BNK174" s="1056"/>
      <c r="BNL174" s="1056"/>
      <c r="BNM174" s="1056"/>
      <c r="BNN174" s="1056"/>
      <c r="BNO174" s="1056"/>
      <c r="BNP174" s="1056"/>
      <c r="BNQ174" s="1056"/>
      <c r="BNR174" s="1056"/>
      <c r="BNS174" s="1056"/>
      <c r="BNT174" s="1056"/>
      <c r="BNU174" s="1056"/>
      <c r="BNV174" s="1056"/>
      <c r="BNW174" s="1056"/>
      <c r="BNX174" s="1056"/>
      <c r="BNY174" s="1056"/>
      <c r="BNZ174" s="1056"/>
      <c r="BOA174" s="1056"/>
      <c r="BOB174" s="1056"/>
      <c r="BOC174" s="1056"/>
      <c r="BOD174" s="1056"/>
      <c r="BOE174" s="1056"/>
      <c r="BOF174" s="1056"/>
      <c r="BOG174" s="1056"/>
      <c r="BOH174" s="1056"/>
      <c r="BOI174" s="1056"/>
      <c r="BOJ174" s="1056"/>
      <c r="BOK174" s="1056"/>
      <c r="BOL174" s="1056"/>
      <c r="BOM174" s="1056"/>
      <c r="BON174" s="1056"/>
      <c r="BOO174" s="1056"/>
      <c r="BOP174" s="1056"/>
      <c r="BOQ174" s="1056"/>
      <c r="BOR174" s="1056"/>
      <c r="BOS174" s="1056"/>
      <c r="BOT174" s="1056"/>
      <c r="BOU174" s="1056"/>
      <c r="BOV174" s="1056"/>
      <c r="BOW174" s="1056"/>
      <c r="BOX174" s="1056"/>
      <c r="BOY174" s="1056"/>
      <c r="BOZ174" s="1056"/>
      <c r="BPA174" s="1056"/>
      <c r="BPB174" s="1056"/>
      <c r="BPC174" s="1056"/>
      <c r="BPD174" s="1056"/>
      <c r="BPE174" s="1056"/>
      <c r="BPF174" s="1056"/>
      <c r="BPG174" s="1056"/>
      <c r="BPH174" s="1056"/>
      <c r="BPI174" s="1056"/>
      <c r="BPJ174" s="1056"/>
      <c r="BPK174" s="1056"/>
      <c r="BPL174" s="1056"/>
      <c r="BPM174" s="1056"/>
      <c r="BPN174" s="1056"/>
      <c r="BPO174" s="1056"/>
      <c r="BPP174" s="1056"/>
      <c r="BPQ174" s="1056"/>
      <c r="BPR174" s="1056"/>
      <c r="BPS174" s="1056"/>
      <c r="BPT174" s="1056"/>
      <c r="BPU174" s="1056"/>
      <c r="BPV174" s="1056"/>
      <c r="BPW174" s="1056"/>
      <c r="BPX174" s="1056"/>
      <c r="BPY174" s="1056"/>
      <c r="BPZ174" s="1056"/>
      <c r="BQA174" s="1056"/>
      <c r="BQB174" s="1056"/>
      <c r="BQC174" s="1056"/>
      <c r="BQD174" s="1056"/>
      <c r="BQE174" s="1056"/>
      <c r="BQF174" s="1056"/>
      <c r="BQG174" s="1056"/>
      <c r="BQH174" s="1056"/>
      <c r="BQI174" s="1056"/>
      <c r="BQJ174" s="1056"/>
      <c r="BQK174" s="1056"/>
      <c r="BQL174" s="1056"/>
      <c r="BQM174" s="1056"/>
      <c r="BQN174" s="1056"/>
      <c r="BQO174" s="1056"/>
      <c r="BQP174" s="1056"/>
      <c r="BQQ174" s="1056"/>
      <c r="BQR174" s="1056"/>
      <c r="BQS174" s="1056"/>
      <c r="BQT174" s="1056"/>
      <c r="BQU174" s="1056"/>
      <c r="BQV174" s="1056"/>
      <c r="BQW174" s="1056"/>
      <c r="BQX174" s="1056"/>
      <c r="BQY174" s="1056"/>
      <c r="BQZ174" s="1056"/>
      <c r="BRA174" s="1056"/>
      <c r="BRB174" s="1056"/>
      <c r="BRC174" s="1056"/>
      <c r="BRD174" s="1056"/>
      <c r="BRE174" s="1056"/>
      <c r="BRF174" s="1056"/>
      <c r="BRG174" s="1056"/>
      <c r="BRH174" s="1056"/>
      <c r="BRI174" s="1056"/>
      <c r="BRJ174" s="1056"/>
      <c r="BRK174" s="1056"/>
      <c r="BRL174" s="1056"/>
      <c r="BRM174" s="1056"/>
      <c r="BRN174" s="1056"/>
      <c r="BRO174" s="1056"/>
      <c r="BRP174" s="1056"/>
      <c r="BRQ174" s="1056"/>
      <c r="BRR174" s="1056"/>
      <c r="BRS174" s="1056"/>
      <c r="BRT174" s="1056"/>
      <c r="BRU174" s="1056"/>
      <c r="BRV174" s="1056"/>
      <c r="BRW174" s="1056"/>
      <c r="BRX174" s="1056"/>
      <c r="BRY174" s="1056"/>
      <c r="BRZ174" s="1056"/>
      <c r="BSA174" s="1056"/>
      <c r="BSB174" s="1056"/>
      <c r="BSC174" s="1056"/>
      <c r="BSD174" s="1056"/>
      <c r="BSE174" s="1056"/>
      <c r="BSF174" s="1056"/>
      <c r="BSG174" s="1056"/>
      <c r="BSH174" s="1056"/>
      <c r="BSI174" s="1056"/>
      <c r="BSJ174" s="1056"/>
      <c r="BSK174" s="1056"/>
      <c r="BSL174" s="1056"/>
      <c r="BSM174" s="1056"/>
      <c r="BSN174" s="1056"/>
      <c r="BSO174" s="1056"/>
      <c r="BSP174" s="1056"/>
      <c r="BSQ174" s="1056"/>
      <c r="BSR174" s="1056"/>
      <c r="BSS174" s="1056"/>
      <c r="BST174" s="1056"/>
      <c r="BSU174" s="1056"/>
      <c r="BSV174" s="1056"/>
      <c r="BSW174" s="1056"/>
      <c r="BSX174" s="1056"/>
      <c r="BSY174" s="1056"/>
      <c r="BSZ174" s="1056"/>
      <c r="BTA174" s="1056"/>
      <c r="BTB174" s="1056"/>
      <c r="BTC174" s="1056"/>
      <c r="BTD174" s="1056"/>
      <c r="BTE174" s="1056"/>
      <c r="BTF174" s="1056"/>
      <c r="BTG174" s="1056"/>
      <c r="BTH174" s="1056"/>
      <c r="BTI174" s="1056"/>
    </row>
    <row r="175" spans="1:1881" s="1060" customFormat="1" ht="88.5" hidden="1" customHeight="1" x14ac:dyDescent="0.3">
      <c r="A175" s="1059">
        <v>89</v>
      </c>
      <c r="B175" s="808" t="s">
        <v>56</v>
      </c>
      <c r="C175" s="808" t="s">
        <v>1413</v>
      </c>
      <c r="D175" s="1084" t="s">
        <v>162</v>
      </c>
      <c r="E175" s="1053" t="e">
        <f>HLOOKUP($D$2,'2020 Data(H)'!$C$1:$AI$426,51,FALSE)</f>
        <v>#N/A</v>
      </c>
      <c r="F175" s="287">
        <v>0</v>
      </c>
      <c r="G175" s="722">
        <f>IF(F175&lt;0,"Error: Enter as positive.",)</f>
        <v>0</v>
      </c>
      <c r="H175" s="764"/>
      <c r="I175" s="1055"/>
      <c r="J175" s="1056"/>
      <c r="K175" s="1056"/>
      <c r="L175" s="1056"/>
      <c r="M175" s="1056"/>
      <c r="N175" s="1058"/>
      <c r="O175" s="1056"/>
      <c r="P175" s="1056"/>
      <c r="Q175" s="1056"/>
      <c r="R175" s="1056"/>
      <c r="S175" s="1056"/>
      <c r="T175" s="1056"/>
      <c r="U175" s="1056"/>
      <c r="V175" s="1056"/>
      <c r="W175" s="1056"/>
      <c r="X175" s="1056"/>
      <c r="Y175" s="1056"/>
      <c r="Z175" s="1059"/>
      <c r="AA175" s="1059"/>
      <c r="AB175" s="1059"/>
      <c r="AC175" s="1059"/>
      <c r="AD175" s="1059"/>
      <c r="AE175" s="1059"/>
      <c r="AF175" s="1059"/>
      <c r="AG175" s="1059"/>
      <c r="AH175" s="1059"/>
      <c r="AI175" s="1059"/>
      <c r="AJ175" s="1059"/>
      <c r="AK175" s="1059"/>
      <c r="AL175" s="1059"/>
      <c r="AM175" s="1059"/>
      <c r="AN175" s="1059"/>
      <c r="AO175" s="1059"/>
      <c r="AP175" s="1059"/>
      <c r="AQ175" s="1059"/>
      <c r="AR175" s="1059"/>
      <c r="AS175" s="1056"/>
      <c r="AT175" s="1056"/>
      <c r="AU175" s="1056"/>
      <c r="AV175" s="1056"/>
      <c r="AW175" s="1056"/>
      <c r="AX175" s="1056"/>
      <c r="AY175" s="1056"/>
      <c r="AZ175" s="1056"/>
      <c r="BA175" s="1056"/>
      <c r="BB175" s="1056"/>
      <c r="BC175" s="1056"/>
      <c r="BD175" s="1056"/>
      <c r="BE175" s="1056"/>
      <c r="BF175" s="1056"/>
      <c r="BG175" s="1056"/>
      <c r="BH175" s="1056"/>
      <c r="BI175" s="1056"/>
      <c r="BJ175" s="1056"/>
      <c r="BK175" s="1056"/>
      <c r="BL175" s="1056"/>
      <c r="BM175" s="1056"/>
      <c r="BN175" s="1056"/>
      <c r="BO175" s="1056"/>
      <c r="BP175" s="1056"/>
      <c r="BQ175" s="1056"/>
      <c r="BR175" s="1056"/>
      <c r="BS175" s="1056"/>
      <c r="BT175" s="1056"/>
      <c r="BU175" s="1056"/>
      <c r="BV175" s="1056"/>
      <c r="BW175" s="1056"/>
      <c r="BX175" s="1056"/>
      <c r="BY175" s="1056"/>
      <c r="BZ175" s="1056"/>
      <c r="CA175" s="1056"/>
      <c r="CB175" s="1056"/>
      <c r="CC175" s="1056"/>
      <c r="CD175" s="1056"/>
      <c r="CE175" s="1056"/>
      <c r="CF175" s="1056"/>
      <c r="CG175" s="1056"/>
      <c r="CH175" s="1056"/>
      <c r="CI175" s="1056"/>
      <c r="CJ175" s="1056"/>
      <c r="CK175" s="1056"/>
      <c r="CL175" s="1056"/>
      <c r="CM175" s="1056"/>
      <c r="CN175" s="1056"/>
      <c r="CO175" s="1056"/>
      <c r="CP175" s="1056"/>
      <c r="CQ175" s="1056"/>
      <c r="CR175" s="1056"/>
      <c r="CS175" s="1056"/>
      <c r="CT175" s="1056"/>
      <c r="CU175" s="1056"/>
      <c r="CV175" s="1056"/>
      <c r="CW175" s="1056"/>
      <c r="CX175" s="1056"/>
      <c r="CY175" s="1056"/>
      <c r="CZ175" s="1056"/>
      <c r="DA175" s="1056"/>
      <c r="DB175" s="1056"/>
      <c r="DC175" s="1056"/>
      <c r="DD175" s="1056"/>
      <c r="DE175" s="1056"/>
      <c r="DF175" s="1056"/>
      <c r="DG175" s="1056"/>
      <c r="DH175" s="1056"/>
      <c r="DI175" s="1056"/>
      <c r="DJ175" s="1056"/>
      <c r="DK175" s="1056"/>
      <c r="DL175" s="1056"/>
      <c r="DM175" s="1056"/>
      <c r="DN175" s="1056"/>
      <c r="DO175" s="1056"/>
      <c r="DP175" s="1056"/>
      <c r="DQ175" s="1056"/>
      <c r="DR175" s="1056"/>
      <c r="DS175" s="1056"/>
      <c r="DT175" s="1056"/>
      <c r="DU175" s="1056"/>
      <c r="DV175" s="1056"/>
      <c r="DW175" s="1056"/>
      <c r="DX175" s="1056"/>
      <c r="DY175" s="1056"/>
      <c r="DZ175" s="1056"/>
      <c r="EA175" s="1056"/>
      <c r="EB175" s="1056"/>
      <c r="EC175" s="1056"/>
      <c r="ED175" s="1056"/>
      <c r="EE175" s="1056"/>
      <c r="EF175" s="1056"/>
      <c r="EG175" s="1056"/>
      <c r="EH175" s="1056"/>
      <c r="EI175" s="1056"/>
      <c r="EJ175" s="1056"/>
      <c r="EK175" s="1056"/>
      <c r="EL175" s="1056"/>
      <c r="EM175" s="1056"/>
      <c r="EN175" s="1056"/>
      <c r="EO175" s="1056"/>
      <c r="EP175" s="1056"/>
      <c r="EQ175" s="1056"/>
      <c r="ER175" s="1056"/>
      <c r="ES175" s="1056"/>
      <c r="ET175" s="1056"/>
      <c r="EU175" s="1056"/>
      <c r="EV175" s="1056"/>
      <c r="EW175" s="1056"/>
      <c r="EX175" s="1056"/>
      <c r="EY175" s="1056"/>
      <c r="EZ175" s="1056"/>
      <c r="FA175" s="1056"/>
      <c r="FB175" s="1056"/>
      <c r="FC175" s="1056"/>
      <c r="FD175" s="1056"/>
      <c r="FE175" s="1056"/>
      <c r="FF175" s="1056"/>
      <c r="FG175" s="1056"/>
      <c r="FH175" s="1056"/>
      <c r="FI175" s="1056"/>
      <c r="FJ175" s="1056"/>
      <c r="FK175" s="1056"/>
      <c r="FL175" s="1056"/>
      <c r="FM175" s="1056"/>
      <c r="FN175" s="1056"/>
      <c r="FO175" s="1056"/>
      <c r="FP175" s="1056"/>
      <c r="FQ175" s="1056"/>
      <c r="FR175" s="1056"/>
      <c r="FS175" s="1056"/>
      <c r="FT175" s="1056"/>
      <c r="FU175" s="1056"/>
      <c r="FV175" s="1056"/>
      <c r="FW175" s="1056"/>
      <c r="FX175" s="1056"/>
      <c r="FY175" s="1056"/>
      <c r="FZ175" s="1056"/>
      <c r="GA175" s="1056"/>
      <c r="GB175" s="1056"/>
      <c r="GC175" s="1056"/>
      <c r="GD175" s="1056"/>
      <c r="GE175" s="1056"/>
      <c r="GF175" s="1056"/>
      <c r="GG175" s="1056"/>
      <c r="GH175" s="1056"/>
      <c r="GI175" s="1056"/>
      <c r="GJ175" s="1056"/>
      <c r="GK175" s="1056"/>
      <c r="GL175" s="1056"/>
      <c r="GM175" s="1056"/>
      <c r="GN175" s="1056"/>
      <c r="GO175" s="1056"/>
      <c r="GP175" s="1056"/>
      <c r="GQ175" s="1056"/>
      <c r="GR175" s="1056"/>
      <c r="GS175" s="1056"/>
      <c r="GT175" s="1056"/>
      <c r="GU175" s="1056"/>
      <c r="GV175" s="1056"/>
      <c r="GW175" s="1056"/>
      <c r="GX175" s="1056"/>
      <c r="GY175" s="1056"/>
      <c r="GZ175" s="1056"/>
      <c r="HA175" s="1056"/>
      <c r="HB175" s="1056"/>
      <c r="HC175" s="1056"/>
      <c r="HD175" s="1056"/>
      <c r="HE175" s="1056"/>
      <c r="HF175" s="1056"/>
      <c r="HG175" s="1056"/>
      <c r="HH175" s="1056"/>
      <c r="HI175" s="1056"/>
      <c r="HJ175" s="1056"/>
      <c r="HK175" s="1056"/>
      <c r="HL175" s="1056"/>
      <c r="HM175" s="1056"/>
      <c r="HN175" s="1056"/>
      <c r="HO175" s="1056"/>
      <c r="HP175" s="1056"/>
      <c r="HQ175" s="1056"/>
      <c r="HR175" s="1056"/>
      <c r="HS175" s="1056"/>
      <c r="HT175" s="1056"/>
      <c r="HU175" s="1056"/>
      <c r="HV175" s="1056"/>
      <c r="HW175" s="1056"/>
      <c r="HX175" s="1056"/>
      <c r="HY175" s="1056"/>
      <c r="HZ175" s="1056"/>
      <c r="IA175" s="1056"/>
      <c r="IB175" s="1056"/>
      <c r="IC175" s="1056"/>
      <c r="ID175" s="1056"/>
      <c r="IE175" s="1056"/>
      <c r="IF175" s="1056"/>
      <c r="IG175" s="1056"/>
      <c r="IH175" s="1056"/>
      <c r="II175" s="1056"/>
      <c r="IJ175" s="1056"/>
      <c r="IK175" s="1056"/>
      <c r="IL175" s="1056"/>
      <c r="IM175" s="1056"/>
      <c r="IN175" s="1056"/>
      <c r="IO175" s="1056"/>
      <c r="IP175" s="1056"/>
      <c r="IQ175" s="1056"/>
      <c r="IR175" s="1056"/>
      <c r="IS175" s="1056"/>
      <c r="IT175" s="1056"/>
      <c r="IU175" s="1056"/>
      <c r="IV175" s="1056"/>
      <c r="IW175" s="1056"/>
      <c r="IX175" s="1056"/>
      <c r="IY175" s="1056"/>
      <c r="IZ175" s="1056"/>
      <c r="JA175" s="1056"/>
      <c r="JB175" s="1056"/>
      <c r="JC175" s="1056"/>
      <c r="JD175" s="1056"/>
      <c r="JE175" s="1056"/>
      <c r="JF175" s="1056"/>
      <c r="JG175" s="1056"/>
      <c r="JH175" s="1056"/>
      <c r="JI175" s="1056"/>
      <c r="JJ175" s="1056"/>
      <c r="JK175" s="1056"/>
      <c r="JL175" s="1056"/>
      <c r="JM175" s="1056"/>
      <c r="JN175" s="1056"/>
      <c r="JO175" s="1056"/>
      <c r="JP175" s="1056"/>
      <c r="JQ175" s="1056"/>
      <c r="JR175" s="1056"/>
      <c r="JS175" s="1056"/>
      <c r="JT175" s="1056"/>
      <c r="JU175" s="1056"/>
      <c r="JV175" s="1056"/>
      <c r="JW175" s="1056"/>
      <c r="JX175" s="1056"/>
      <c r="JY175" s="1056"/>
      <c r="JZ175" s="1056"/>
      <c r="KA175" s="1056"/>
      <c r="KB175" s="1056"/>
      <c r="KC175" s="1056"/>
      <c r="KD175" s="1056"/>
      <c r="KE175" s="1056"/>
      <c r="KF175" s="1056"/>
      <c r="KG175" s="1056"/>
      <c r="KH175" s="1056"/>
      <c r="KI175" s="1056"/>
      <c r="KJ175" s="1056"/>
      <c r="KK175" s="1056"/>
      <c r="KL175" s="1056"/>
      <c r="KM175" s="1056"/>
      <c r="KN175" s="1056"/>
      <c r="KO175" s="1056"/>
      <c r="KP175" s="1056"/>
      <c r="KQ175" s="1056"/>
      <c r="KR175" s="1056"/>
      <c r="KS175" s="1056"/>
      <c r="KT175" s="1056"/>
      <c r="KU175" s="1056"/>
      <c r="KV175" s="1056"/>
      <c r="KW175" s="1056"/>
      <c r="KX175" s="1056"/>
      <c r="KY175" s="1056"/>
      <c r="KZ175" s="1056"/>
      <c r="LA175" s="1056"/>
      <c r="LB175" s="1056"/>
      <c r="LC175" s="1056"/>
      <c r="LD175" s="1056"/>
      <c r="LE175" s="1056"/>
      <c r="LF175" s="1056"/>
      <c r="LG175" s="1056"/>
      <c r="LH175" s="1056"/>
      <c r="LI175" s="1056"/>
      <c r="LJ175" s="1056"/>
      <c r="LK175" s="1056"/>
      <c r="LL175" s="1056"/>
      <c r="LM175" s="1056"/>
      <c r="LN175" s="1056"/>
      <c r="LO175" s="1056"/>
      <c r="LP175" s="1056"/>
      <c r="LQ175" s="1056"/>
      <c r="LR175" s="1056"/>
      <c r="LS175" s="1056"/>
      <c r="LT175" s="1056"/>
      <c r="LU175" s="1056"/>
      <c r="LV175" s="1056"/>
      <c r="LW175" s="1056"/>
      <c r="LX175" s="1056"/>
      <c r="LY175" s="1056"/>
      <c r="LZ175" s="1056"/>
      <c r="MA175" s="1056"/>
      <c r="MB175" s="1056"/>
      <c r="MC175" s="1056"/>
      <c r="MD175" s="1056"/>
      <c r="ME175" s="1056"/>
      <c r="MF175" s="1056"/>
      <c r="MG175" s="1056"/>
      <c r="MH175" s="1056"/>
      <c r="MI175" s="1056"/>
      <c r="MJ175" s="1056"/>
      <c r="MK175" s="1056"/>
      <c r="ML175" s="1056"/>
      <c r="MM175" s="1056"/>
      <c r="MN175" s="1056"/>
      <c r="MO175" s="1056"/>
      <c r="MP175" s="1056"/>
      <c r="MQ175" s="1056"/>
      <c r="MR175" s="1056"/>
      <c r="MS175" s="1056"/>
      <c r="MT175" s="1056"/>
      <c r="MU175" s="1056"/>
      <c r="MV175" s="1056"/>
      <c r="MW175" s="1056"/>
      <c r="MX175" s="1056"/>
      <c r="MY175" s="1056"/>
      <c r="MZ175" s="1056"/>
      <c r="NA175" s="1056"/>
      <c r="NB175" s="1056"/>
      <c r="NC175" s="1056"/>
      <c r="ND175" s="1056"/>
      <c r="NE175" s="1056"/>
      <c r="NF175" s="1056"/>
      <c r="NG175" s="1056"/>
      <c r="NH175" s="1056"/>
      <c r="NI175" s="1056"/>
      <c r="NJ175" s="1056"/>
      <c r="NK175" s="1056"/>
      <c r="NL175" s="1056"/>
      <c r="NM175" s="1056"/>
      <c r="NN175" s="1056"/>
      <c r="NO175" s="1056"/>
      <c r="NP175" s="1056"/>
      <c r="NQ175" s="1056"/>
      <c r="NR175" s="1056"/>
      <c r="NS175" s="1056"/>
      <c r="NT175" s="1056"/>
      <c r="NU175" s="1056"/>
      <c r="NV175" s="1056"/>
      <c r="NW175" s="1056"/>
      <c r="NX175" s="1056"/>
      <c r="NY175" s="1056"/>
      <c r="NZ175" s="1056"/>
      <c r="OA175" s="1056"/>
      <c r="OB175" s="1056"/>
      <c r="OC175" s="1056"/>
      <c r="OD175" s="1056"/>
      <c r="OE175" s="1056"/>
      <c r="OF175" s="1056"/>
      <c r="OG175" s="1056"/>
      <c r="OH175" s="1056"/>
      <c r="OI175" s="1056"/>
      <c r="OJ175" s="1056"/>
      <c r="OK175" s="1056"/>
      <c r="OL175" s="1056"/>
      <c r="OM175" s="1056"/>
      <c r="ON175" s="1056"/>
      <c r="OO175" s="1056"/>
      <c r="OP175" s="1056"/>
      <c r="OQ175" s="1056"/>
      <c r="OR175" s="1056"/>
      <c r="OS175" s="1056"/>
      <c r="OT175" s="1056"/>
      <c r="OU175" s="1056"/>
      <c r="OV175" s="1056"/>
      <c r="OW175" s="1056"/>
      <c r="OX175" s="1056"/>
      <c r="OY175" s="1056"/>
      <c r="OZ175" s="1056"/>
      <c r="PA175" s="1056"/>
      <c r="PB175" s="1056"/>
      <c r="PC175" s="1056"/>
      <c r="PD175" s="1056"/>
      <c r="PE175" s="1056"/>
      <c r="PF175" s="1056"/>
      <c r="PG175" s="1056"/>
      <c r="PH175" s="1056"/>
      <c r="PI175" s="1056"/>
      <c r="PJ175" s="1056"/>
      <c r="PK175" s="1056"/>
      <c r="PL175" s="1056"/>
      <c r="PM175" s="1056"/>
      <c r="PN175" s="1056"/>
      <c r="PO175" s="1056"/>
      <c r="PP175" s="1056"/>
      <c r="PQ175" s="1056"/>
      <c r="PR175" s="1056"/>
      <c r="PS175" s="1056"/>
      <c r="PT175" s="1056"/>
      <c r="PU175" s="1056"/>
      <c r="PV175" s="1056"/>
      <c r="PW175" s="1056"/>
      <c r="PX175" s="1056"/>
      <c r="PY175" s="1056"/>
      <c r="PZ175" s="1056"/>
      <c r="QA175" s="1056"/>
      <c r="QB175" s="1056"/>
      <c r="QC175" s="1056"/>
      <c r="QD175" s="1056"/>
      <c r="QE175" s="1056"/>
      <c r="QF175" s="1056"/>
      <c r="QG175" s="1056"/>
      <c r="QH175" s="1056"/>
      <c r="QI175" s="1056"/>
      <c r="QJ175" s="1056"/>
      <c r="QK175" s="1056"/>
      <c r="QL175" s="1056"/>
      <c r="QM175" s="1056"/>
      <c r="QN175" s="1056"/>
      <c r="QO175" s="1056"/>
      <c r="QP175" s="1056"/>
      <c r="QQ175" s="1056"/>
      <c r="QR175" s="1056"/>
      <c r="QS175" s="1056"/>
      <c r="QT175" s="1056"/>
      <c r="QU175" s="1056"/>
      <c r="QV175" s="1056"/>
      <c r="QW175" s="1056"/>
      <c r="QX175" s="1056"/>
      <c r="QY175" s="1056"/>
      <c r="QZ175" s="1056"/>
      <c r="RA175" s="1056"/>
      <c r="RB175" s="1056"/>
      <c r="RC175" s="1056"/>
      <c r="RD175" s="1056"/>
      <c r="RE175" s="1056"/>
      <c r="RF175" s="1056"/>
      <c r="RG175" s="1056"/>
      <c r="RH175" s="1056"/>
      <c r="RI175" s="1056"/>
      <c r="RJ175" s="1056"/>
      <c r="RK175" s="1056"/>
      <c r="RL175" s="1056"/>
      <c r="RM175" s="1056"/>
      <c r="RN175" s="1056"/>
      <c r="RO175" s="1056"/>
      <c r="RP175" s="1056"/>
      <c r="RQ175" s="1056"/>
      <c r="RR175" s="1056"/>
      <c r="RS175" s="1056"/>
      <c r="RT175" s="1056"/>
      <c r="RU175" s="1056"/>
      <c r="RV175" s="1056"/>
      <c r="RW175" s="1056"/>
      <c r="RX175" s="1056"/>
      <c r="RY175" s="1056"/>
      <c r="RZ175" s="1056"/>
      <c r="SA175" s="1056"/>
      <c r="SB175" s="1056"/>
      <c r="SC175" s="1056"/>
      <c r="SD175" s="1056"/>
      <c r="SE175" s="1056"/>
      <c r="SF175" s="1056"/>
      <c r="SG175" s="1056"/>
      <c r="SH175" s="1056"/>
      <c r="SI175" s="1056"/>
      <c r="SJ175" s="1056"/>
      <c r="SK175" s="1056"/>
      <c r="SL175" s="1056"/>
      <c r="SM175" s="1056"/>
      <c r="SN175" s="1056"/>
      <c r="SO175" s="1056"/>
      <c r="SP175" s="1056"/>
      <c r="SQ175" s="1056"/>
      <c r="SR175" s="1056"/>
      <c r="SS175" s="1056"/>
      <c r="ST175" s="1056"/>
      <c r="SU175" s="1056"/>
      <c r="SV175" s="1056"/>
      <c r="SW175" s="1056"/>
      <c r="SX175" s="1056"/>
      <c r="SY175" s="1056"/>
      <c r="SZ175" s="1056"/>
      <c r="TA175" s="1056"/>
      <c r="TB175" s="1056"/>
      <c r="TC175" s="1056"/>
      <c r="TD175" s="1056"/>
      <c r="TE175" s="1056"/>
      <c r="TF175" s="1056"/>
      <c r="TG175" s="1056"/>
      <c r="TH175" s="1056"/>
      <c r="TI175" s="1056"/>
      <c r="TJ175" s="1056"/>
      <c r="TK175" s="1056"/>
      <c r="TL175" s="1056"/>
      <c r="TM175" s="1056"/>
      <c r="TN175" s="1056"/>
      <c r="TO175" s="1056"/>
      <c r="TP175" s="1056"/>
      <c r="TQ175" s="1056"/>
      <c r="TR175" s="1056"/>
      <c r="TS175" s="1056"/>
      <c r="TT175" s="1056"/>
      <c r="TU175" s="1056"/>
      <c r="TV175" s="1056"/>
      <c r="TW175" s="1056"/>
      <c r="TX175" s="1056"/>
      <c r="TY175" s="1056"/>
      <c r="TZ175" s="1056"/>
      <c r="UA175" s="1056"/>
      <c r="UB175" s="1056"/>
      <c r="UC175" s="1056"/>
      <c r="UD175" s="1056"/>
      <c r="UE175" s="1056"/>
      <c r="UF175" s="1056"/>
      <c r="UG175" s="1056"/>
      <c r="UH175" s="1056"/>
      <c r="UI175" s="1056"/>
      <c r="UJ175" s="1056"/>
      <c r="UK175" s="1056"/>
      <c r="UL175" s="1056"/>
      <c r="UM175" s="1056"/>
      <c r="UN175" s="1056"/>
      <c r="UO175" s="1056"/>
      <c r="UP175" s="1056"/>
      <c r="UQ175" s="1056"/>
      <c r="UR175" s="1056"/>
      <c r="US175" s="1056"/>
      <c r="UT175" s="1056"/>
      <c r="UU175" s="1056"/>
      <c r="UV175" s="1056"/>
      <c r="UW175" s="1056"/>
      <c r="UX175" s="1056"/>
      <c r="UY175" s="1056"/>
      <c r="UZ175" s="1056"/>
      <c r="VA175" s="1056"/>
      <c r="VB175" s="1056"/>
      <c r="VC175" s="1056"/>
      <c r="VD175" s="1056"/>
      <c r="VE175" s="1056"/>
      <c r="VF175" s="1056"/>
      <c r="VG175" s="1056"/>
      <c r="VH175" s="1056"/>
      <c r="VI175" s="1056"/>
      <c r="VJ175" s="1056"/>
      <c r="VK175" s="1056"/>
      <c r="VL175" s="1056"/>
      <c r="VM175" s="1056"/>
      <c r="VN175" s="1056"/>
      <c r="VO175" s="1056"/>
      <c r="VP175" s="1056"/>
      <c r="VQ175" s="1056"/>
      <c r="VR175" s="1056"/>
      <c r="VS175" s="1056"/>
      <c r="VT175" s="1056"/>
      <c r="VU175" s="1056"/>
      <c r="VV175" s="1056"/>
      <c r="VW175" s="1056"/>
      <c r="VX175" s="1056"/>
      <c r="VY175" s="1056"/>
      <c r="VZ175" s="1056"/>
      <c r="WA175" s="1056"/>
      <c r="WB175" s="1056"/>
      <c r="WC175" s="1056"/>
      <c r="WD175" s="1056"/>
      <c r="WE175" s="1056"/>
      <c r="WF175" s="1056"/>
      <c r="WG175" s="1056"/>
      <c r="WH175" s="1056"/>
      <c r="WI175" s="1056"/>
      <c r="WJ175" s="1056"/>
      <c r="WK175" s="1056"/>
      <c r="WL175" s="1056"/>
      <c r="WM175" s="1056"/>
      <c r="WN175" s="1056"/>
      <c r="WO175" s="1056"/>
      <c r="WP175" s="1056"/>
      <c r="WQ175" s="1056"/>
      <c r="WR175" s="1056"/>
      <c r="WS175" s="1056"/>
      <c r="WT175" s="1056"/>
      <c r="WU175" s="1056"/>
      <c r="WV175" s="1056"/>
      <c r="WW175" s="1056"/>
      <c r="WX175" s="1056"/>
      <c r="WY175" s="1056"/>
      <c r="WZ175" s="1056"/>
      <c r="XA175" s="1056"/>
      <c r="XB175" s="1056"/>
      <c r="XC175" s="1056"/>
      <c r="XD175" s="1056"/>
      <c r="XE175" s="1056"/>
      <c r="XF175" s="1056"/>
      <c r="XG175" s="1056"/>
      <c r="XH175" s="1056"/>
      <c r="XI175" s="1056"/>
      <c r="XJ175" s="1056"/>
      <c r="XK175" s="1056"/>
      <c r="XL175" s="1056"/>
      <c r="XM175" s="1056"/>
      <c r="XN175" s="1056"/>
      <c r="XO175" s="1056"/>
      <c r="XP175" s="1056"/>
      <c r="XQ175" s="1056"/>
      <c r="XR175" s="1056"/>
      <c r="XS175" s="1056"/>
      <c r="XT175" s="1056"/>
      <c r="XU175" s="1056"/>
      <c r="XV175" s="1056"/>
      <c r="XW175" s="1056"/>
      <c r="XX175" s="1056"/>
      <c r="XY175" s="1056"/>
      <c r="XZ175" s="1056"/>
      <c r="YA175" s="1056"/>
      <c r="YB175" s="1056"/>
      <c r="YC175" s="1056"/>
      <c r="YD175" s="1056"/>
      <c r="YE175" s="1056"/>
      <c r="YF175" s="1056"/>
      <c r="YG175" s="1056"/>
      <c r="YH175" s="1056"/>
      <c r="YI175" s="1056"/>
      <c r="YJ175" s="1056"/>
      <c r="YK175" s="1056"/>
      <c r="YL175" s="1056"/>
      <c r="YM175" s="1056"/>
      <c r="YN175" s="1056"/>
      <c r="YO175" s="1056"/>
      <c r="YP175" s="1056"/>
      <c r="YQ175" s="1056"/>
      <c r="YR175" s="1056"/>
      <c r="YS175" s="1056"/>
      <c r="YT175" s="1056"/>
      <c r="YU175" s="1056"/>
      <c r="YV175" s="1056"/>
      <c r="YW175" s="1056"/>
      <c r="YX175" s="1056"/>
      <c r="YY175" s="1056"/>
      <c r="YZ175" s="1056"/>
      <c r="ZA175" s="1056"/>
      <c r="ZB175" s="1056"/>
      <c r="ZC175" s="1056"/>
      <c r="ZD175" s="1056"/>
      <c r="ZE175" s="1056"/>
      <c r="ZF175" s="1056"/>
      <c r="ZG175" s="1056"/>
      <c r="ZH175" s="1056"/>
      <c r="ZI175" s="1056"/>
      <c r="ZJ175" s="1056"/>
      <c r="ZK175" s="1056"/>
      <c r="ZL175" s="1056"/>
      <c r="ZM175" s="1056"/>
      <c r="ZN175" s="1056"/>
      <c r="ZO175" s="1056"/>
      <c r="ZP175" s="1056"/>
      <c r="ZQ175" s="1056"/>
      <c r="ZR175" s="1056"/>
      <c r="ZS175" s="1056"/>
      <c r="ZT175" s="1056"/>
      <c r="ZU175" s="1056"/>
      <c r="ZV175" s="1056"/>
      <c r="ZW175" s="1056"/>
      <c r="ZX175" s="1056"/>
      <c r="ZY175" s="1056"/>
      <c r="ZZ175" s="1056"/>
      <c r="AAA175" s="1056"/>
      <c r="AAB175" s="1056"/>
      <c r="AAC175" s="1056"/>
      <c r="AAD175" s="1056"/>
      <c r="AAE175" s="1056"/>
      <c r="AAF175" s="1056"/>
      <c r="AAG175" s="1056"/>
      <c r="AAH175" s="1056"/>
      <c r="AAI175" s="1056"/>
      <c r="AAJ175" s="1056"/>
      <c r="AAK175" s="1056"/>
      <c r="AAL175" s="1056"/>
      <c r="AAM175" s="1056"/>
      <c r="AAN175" s="1056"/>
      <c r="AAO175" s="1056"/>
      <c r="AAP175" s="1056"/>
      <c r="AAQ175" s="1056"/>
      <c r="AAR175" s="1056"/>
      <c r="AAS175" s="1056"/>
      <c r="AAT175" s="1056"/>
      <c r="AAU175" s="1056"/>
      <c r="AAV175" s="1056"/>
      <c r="AAW175" s="1056"/>
      <c r="AAX175" s="1056"/>
      <c r="AAY175" s="1056"/>
      <c r="AAZ175" s="1056"/>
      <c r="ABA175" s="1056"/>
      <c r="ABB175" s="1056"/>
      <c r="ABC175" s="1056"/>
      <c r="ABD175" s="1056"/>
      <c r="ABE175" s="1056"/>
      <c r="ABF175" s="1056"/>
      <c r="ABG175" s="1056"/>
      <c r="ABH175" s="1056"/>
      <c r="ABI175" s="1056"/>
      <c r="ABJ175" s="1056"/>
      <c r="ABK175" s="1056"/>
      <c r="ABL175" s="1056"/>
      <c r="ABM175" s="1056"/>
      <c r="ABN175" s="1056"/>
      <c r="ABO175" s="1056"/>
      <c r="ABP175" s="1056"/>
      <c r="ABQ175" s="1056"/>
      <c r="ABR175" s="1056"/>
      <c r="ABS175" s="1056"/>
      <c r="ABT175" s="1056"/>
      <c r="ABU175" s="1056"/>
      <c r="ABV175" s="1056"/>
      <c r="ABW175" s="1056"/>
      <c r="ABX175" s="1056"/>
      <c r="ABY175" s="1056"/>
      <c r="ABZ175" s="1056"/>
      <c r="ACA175" s="1056"/>
      <c r="ACB175" s="1056"/>
      <c r="ACC175" s="1056"/>
      <c r="ACD175" s="1056"/>
      <c r="ACE175" s="1056"/>
      <c r="ACF175" s="1056"/>
      <c r="ACG175" s="1056"/>
      <c r="ACH175" s="1056"/>
      <c r="ACI175" s="1056"/>
      <c r="ACJ175" s="1056"/>
      <c r="ACK175" s="1056"/>
      <c r="ACL175" s="1056"/>
      <c r="ACM175" s="1056"/>
      <c r="ACN175" s="1056"/>
      <c r="ACO175" s="1056"/>
      <c r="ACP175" s="1056"/>
      <c r="ACQ175" s="1056"/>
      <c r="ACR175" s="1056"/>
      <c r="ACS175" s="1056"/>
      <c r="ACT175" s="1056"/>
      <c r="ACU175" s="1056"/>
      <c r="ACV175" s="1056"/>
      <c r="ACW175" s="1056"/>
      <c r="ACX175" s="1056"/>
      <c r="ACY175" s="1056"/>
      <c r="ACZ175" s="1056"/>
      <c r="ADA175" s="1056"/>
      <c r="ADB175" s="1056"/>
      <c r="ADC175" s="1056"/>
      <c r="ADD175" s="1056"/>
      <c r="ADE175" s="1056"/>
      <c r="ADF175" s="1056"/>
      <c r="ADG175" s="1056"/>
      <c r="ADH175" s="1056"/>
      <c r="ADI175" s="1056"/>
      <c r="ADJ175" s="1056"/>
      <c r="ADK175" s="1056"/>
      <c r="ADL175" s="1056"/>
      <c r="ADM175" s="1056"/>
      <c r="ADN175" s="1056"/>
      <c r="ADO175" s="1056"/>
      <c r="ADP175" s="1056"/>
      <c r="ADQ175" s="1056"/>
      <c r="ADR175" s="1056"/>
      <c r="ADS175" s="1056"/>
      <c r="ADT175" s="1056"/>
      <c r="ADU175" s="1056"/>
      <c r="ADV175" s="1056"/>
      <c r="ADW175" s="1056"/>
      <c r="ADX175" s="1056"/>
      <c r="ADY175" s="1056"/>
      <c r="ADZ175" s="1056"/>
      <c r="AEA175" s="1056"/>
      <c r="AEB175" s="1056"/>
      <c r="AEC175" s="1056"/>
      <c r="AED175" s="1056"/>
      <c r="AEE175" s="1056"/>
      <c r="AEF175" s="1056"/>
      <c r="AEG175" s="1056"/>
      <c r="AEH175" s="1056"/>
      <c r="AEI175" s="1056"/>
      <c r="AEJ175" s="1056"/>
      <c r="AEK175" s="1056"/>
      <c r="AEL175" s="1056"/>
      <c r="AEM175" s="1056"/>
      <c r="AEN175" s="1056"/>
      <c r="AEO175" s="1056"/>
      <c r="AEP175" s="1056"/>
      <c r="AEQ175" s="1056"/>
      <c r="AER175" s="1056"/>
      <c r="AES175" s="1056"/>
      <c r="AET175" s="1056"/>
      <c r="AEU175" s="1056"/>
      <c r="AEV175" s="1056"/>
      <c r="AEW175" s="1056"/>
      <c r="AEX175" s="1056"/>
      <c r="AEY175" s="1056"/>
      <c r="AEZ175" s="1056"/>
      <c r="AFA175" s="1056"/>
      <c r="AFB175" s="1056"/>
      <c r="AFC175" s="1056"/>
      <c r="AFD175" s="1056"/>
      <c r="AFE175" s="1056"/>
      <c r="AFF175" s="1056"/>
      <c r="AFG175" s="1056"/>
      <c r="AFH175" s="1056"/>
      <c r="AFI175" s="1056"/>
      <c r="AFJ175" s="1056"/>
      <c r="AFK175" s="1056"/>
      <c r="AFL175" s="1056"/>
      <c r="AFM175" s="1056"/>
      <c r="AFN175" s="1056"/>
      <c r="AFO175" s="1056"/>
      <c r="AFP175" s="1056"/>
      <c r="AFQ175" s="1056"/>
      <c r="AFR175" s="1056"/>
      <c r="AFS175" s="1056"/>
      <c r="AFT175" s="1056"/>
      <c r="AFU175" s="1056"/>
      <c r="AFV175" s="1056"/>
      <c r="AFW175" s="1056"/>
      <c r="AFX175" s="1056"/>
      <c r="AFY175" s="1056"/>
      <c r="AFZ175" s="1056"/>
      <c r="AGA175" s="1056"/>
      <c r="AGB175" s="1056"/>
      <c r="AGC175" s="1056"/>
      <c r="AGD175" s="1056"/>
      <c r="AGE175" s="1056"/>
      <c r="AGF175" s="1056"/>
      <c r="AGG175" s="1056"/>
      <c r="AGH175" s="1056"/>
      <c r="AGI175" s="1056"/>
      <c r="AGJ175" s="1056"/>
      <c r="AGK175" s="1056"/>
      <c r="AGL175" s="1056"/>
      <c r="AGM175" s="1056"/>
      <c r="AGN175" s="1056"/>
      <c r="AGO175" s="1056"/>
      <c r="AGP175" s="1056"/>
      <c r="AGQ175" s="1056"/>
      <c r="AGR175" s="1056"/>
      <c r="AGS175" s="1056"/>
      <c r="AGT175" s="1056"/>
      <c r="AGU175" s="1056"/>
      <c r="AGV175" s="1056"/>
      <c r="AGW175" s="1056"/>
      <c r="AGX175" s="1056"/>
      <c r="AGY175" s="1056"/>
      <c r="AGZ175" s="1056"/>
      <c r="AHA175" s="1056"/>
      <c r="AHB175" s="1056"/>
      <c r="AHC175" s="1056"/>
      <c r="AHD175" s="1056"/>
      <c r="AHE175" s="1056"/>
      <c r="AHF175" s="1056"/>
      <c r="AHG175" s="1056"/>
      <c r="AHH175" s="1056"/>
      <c r="AHI175" s="1056"/>
      <c r="AHJ175" s="1056"/>
      <c r="AHK175" s="1056"/>
      <c r="AHL175" s="1056"/>
      <c r="AHM175" s="1056"/>
      <c r="AHN175" s="1056"/>
      <c r="AHO175" s="1056"/>
      <c r="AHP175" s="1056"/>
      <c r="AHQ175" s="1056"/>
      <c r="AHR175" s="1056"/>
      <c r="AHS175" s="1056"/>
      <c r="AHT175" s="1056"/>
      <c r="AHU175" s="1056"/>
      <c r="AHV175" s="1056"/>
      <c r="AHW175" s="1056"/>
      <c r="AHX175" s="1056"/>
      <c r="AHY175" s="1056"/>
      <c r="AHZ175" s="1056"/>
      <c r="AIA175" s="1056"/>
      <c r="AIB175" s="1056"/>
      <c r="AIC175" s="1056"/>
      <c r="AID175" s="1056"/>
      <c r="AIE175" s="1056"/>
      <c r="AIF175" s="1056"/>
      <c r="AIG175" s="1056"/>
      <c r="AIH175" s="1056"/>
      <c r="AII175" s="1056"/>
      <c r="AIJ175" s="1056"/>
      <c r="AIK175" s="1056"/>
      <c r="AIL175" s="1056"/>
      <c r="AIM175" s="1056"/>
      <c r="AIN175" s="1056"/>
      <c r="AIO175" s="1056"/>
      <c r="AIP175" s="1056"/>
      <c r="AIQ175" s="1056"/>
      <c r="AIR175" s="1056"/>
      <c r="AIS175" s="1056"/>
      <c r="AIT175" s="1056"/>
      <c r="AIU175" s="1056"/>
      <c r="AIV175" s="1056"/>
      <c r="AIW175" s="1056"/>
      <c r="AIX175" s="1056"/>
      <c r="AIY175" s="1056"/>
      <c r="AIZ175" s="1056"/>
      <c r="AJA175" s="1056"/>
      <c r="AJB175" s="1056"/>
      <c r="AJC175" s="1056"/>
      <c r="AJD175" s="1056"/>
      <c r="AJE175" s="1056"/>
      <c r="AJF175" s="1056"/>
      <c r="AJG175" s="1056"/>
      <c r="AJH175" s="1056"/>
      <c r="AJI175" s="1056"/>
      <c r="AJJ175" s="1056"/>
      <c r="AJK175" s="1056"/>
      <c r="AJL175" s="1056"/>
      <c r="AJM175" s="1056"/>
      <c r="AJN175" s="1056"/>
      <c r="AJO175" s="1056"/>
      <c r="AJP175" s="1056"/>
      <c r="AJQ175" s="1056"/>
      <c r="AJR175" s="1056"/>
      <c r="AJS175" s="1056"/>
      <c r="AJT175" s="1056"/>
      <c r="AJU175" s="1056"/>
      <c r="AJV175" s="1056"/>
      <c r="AJW175" s="1056"/>
      <c r="AJX175" s="1056"/>
      <c r="AJY175" s="1056"/>
      <c r="AJZ175" s="1056"/>
      <c r="AKA175" s="1056"/>
      <c r="AKB175" s="1056"/>
      <c r="AKC175" s="1056"/>
      <c r="AKD175" s="1056"/>
      <c r="AKE175" s="1056"/>
      <c r="AKF175" s="1056"/>
      <c r="AKG175" s="1056"/>
      <c r="AKH175" s="1056"/>
      <c r="AKI175" s="1056"/>
      <c r="AKJ175" s="1056"/>
      <c r="AKK175" s="1056"/>
      <c r="AKL175" s="1056"/>
      <c r="AKM175" s="1056"/>
      <c r="AKN175" s="1056"/>
      <c r="AKO175" s="1056"/>
      <c r="AKP175" s="1056"/>
      <c r="AKQ175" s="1056"/>
      <c r="AKR175" s="1056"/>
      <c r="AKS175" s="1056"/>
      <c r="AKT175" s="1056"/>
      <c r="AKU175" s="1056"/>
      <c r="AKV175" s="1056"/>
      <c r="AKW175" s="1056"/>
      <c r="AKX175" s="1056"/>
      <c r="AKY175" s="1056"/>
      <c r="AKZ175" s="1056"/>
      <c r="ALA175" s="1056"/>
      <c r="ALB175" s="1056"/>
      <c r="ALC175" s="1056"/>
      <c r="ALD175" s="1056"/>
      <c r="ALE175" s="1056"/>
      <c r="ALF175" s="1056"/>
      <c r="ALG175" s="1056"/>
      <c r="ALH175" s="1056"/>
      <c r="ALI175" s="1056"/>
      <c r="ALJ175" s="1056"/>
      <c r="ALK175" s="1056"/>
      <c r="ALL175" s="1056"/>
      <c r="ALM175" s="1056"/>
      <c r="ALN175" s="1056"/>
      <c r="ALO175" s="1056"/>
      <c r="ALP175" s="1056"/>
      <c r="ALQ175" s="1056"/>
      <c r="ALR175" s="1056"/>
      <c r="ALS175" s="1056"/>
      <c r="ALT175" s="1056"/>
      <c r="ALU175" s="1056"/>
      <c r="ALV175" s="1056"/>
      <c r="ALW175" s="1056"/>
      <c r="ALX175" s="1056"/>
      <c r="ALY175" s="1056"/>
      <c r="ALZ175" s="1056"/>
      <c r="AMA175" s="1056"/>
      <c r="AMB175" s="1056"/>
      <c r="AMC175" s="1056"/>
      <c r="AMD175" s="1056"/>
      <c r="AME175" s="1056"/>
      <c r="AMF175" s="1056"/>
      <c r="AMG175" s="1056"/>
      <c r="AMH175" s="1056"/>
      <c r="AMI175" s="1056"/>
      <c r="AMJ175" s="1056"/>
      <c r="AMK175" s="1056"/>
      <c r="AML175" s="1056"/>
      <c r="AMM175" s="1056"/>
      <c r="AMN175" s="1056"/>
      <c r="AMO175" s="1056"/>
      <c r="AMP175" s="1056"/>
      <c r="AMQ175" s="1056"/>
      <c r="AMR175" s="1056"/>
      <c r="AMS175" s="1056"/>
      <c r="AMT175" s="1056"/>
      <c r="AMU175" s="1056"/>
      <c r="AMV175" s="1056"/>
      <c r="AMW175" s="1056"/>
      <c r="AMX175" s="1056"/>
      <c r="AMY175" s="1056"/>
      <c r="AMZ175" s="1056"/>
      <c r="ANA175" s="1056"/>
      <c r="ANB175" s="1056"/>
      <c r="ANC175" s="1056"/>
      <c r="AND175" s="1056"/>
      <c r="ANE175" s="1056"/>
      <c r="ANF175" s="1056"/>
      <c r="ANG175" s="1056"/>
      <c r="ANH175" s="1056"/>
      <c r="ANI175" s="1056"/>
      <c r="ANJ175" s="1056"/>
      <c r="ANK175" s="1056"/>
      <c r="ANL175" s="1056"/>
      <c r="ANM175" s="1056"/>
      <c r="ANN175" s="1056"/>
      <c r="ANO175" s="1056"/>
      <c r="ANP175" s="1056"/>
      <c r="ANQ175" s="1056"/>
      <c r="ANR175" s="1056"/>
      <c r="ANS175" s="1056"/>
      <c r="ANT175" s="1056"/>
      <c r="ANU175" s="1056"/>
      <c r="ANV175" s="1056"/>
      <c r="ANW175" s="1056"/>
      <c r="ANX175" s="1056"/>
      <c r="ANY175" s="1056"/>
      <c r="ANZ175" s="1056"/>
      <c r="AOA175" s="1056"/>
      <c r="AOB175" s="1056"/>
      <c r="AOC175" s="1056"/>
      <c r="AOD175" s="1056"/>
      <c r="AOE175" s="1056"/>
      <c r="AOF175" s="1056"/>
      <c r="AOG175" s="1056"/>
      <c r="AOH175" s="1056"/>
      <c r="AOI175" s="1056"/>
      <c r="AOJ175" s="1056"/>
      <c r="AOK175" s="1056"/>
      <c r="AOL175" s="1056"/>
      <c r="AOM175" s="1056"/>
      <c r="AON175" s="1056"/>
      <c r="AOO175" s="1056"/>
      <c r="AOP175" s="1056"/>
      <c r="AOQ175" s="1056"/>
      <c r="AOR175" s="1056"/>
      <c r="AOS175" s="1056"/>
      <c r="AOT175" s="1056"/>
      <c r="AOU175" s="1056"/>
      <c r="AOV175" s="1056"/>
      <c r="AOW175" s="1056"/>
      <c r="AOX175" s="1056"/>
      <c r="AOY175" s="1056"/>
      <c r="AOZ175" s="1056"/>
      <c r="APA175" s="1056"/>
      <c r="APB175" s="1056"/>
      <c r="APC175" s="1056"/>
      <c r="APD175" s="1056"/>
      <c r="APE175" s="1056"/>
      <c r="APF175" s="1056"/>
      <c r="APG175" s="1056"/>
      <c r="APH175" s="1056"/>
      <c r="API175" s="1056"/>
      <c r="APJ175" s="1056"/>
      <c r="APK175" s="1056"/>
      <c r="APL175" s="1056"/>
      <c r="APM175" s="1056"/>
      <c r="APN175" s="1056"/>
      <c r="APO175" s="1056"/>
      <c r="APP175" s="1056"/>
      <c r="APQ175" s="1056"/>
      <c r="APR175" s="1056"/>
      <c r="APS175" s="1056"/>
      <c r="APT175" s="1056"/>
      <c r="APU175" s="1056"/>
      <c r="APV175" s="1056"/>
      <c r="APW175" s="1056"/>
      <c r="APX175" s="1056"/>
      <c r="APY175" s="1056"/>
      <c r="APZ175" s="1056"/>
      <c r="AQA175" s="1056"/>
      <c r="AQB175" s="1056"/>
      <c r="AQC175" s="1056"/>
      <c r="AQD175" s="1056"/>
      <c r="AQE175" s="1056"/>
      <c r="AQF175" s="1056"/>
      <c r="AQG175" s="1056"/>
      <c r="AQH175" s="1056"/>
      <c r="AQI175" s="1056"/>
      <c r="AQJ175" s="1056"/>
      <c r="AQK175" s="1056"/>
      <c r="AQL175" s="1056"/>
      <c r="AQM175" s="1056"/>
      <c r="AQN175" s="1056"/>
      <c r="AQO175" s="1056"/>
      <c r="AQP175" s="1056"/>
      <c r="AQQ175" s="1056"/>
      <c r="AQR175" s="1056"/>
      <c r="AQS175" s="1056"/>
      <c r="AQT175" s="1056"/>
      <c r="AQU175" s="1056"/>
      <c r="AQV175" s="1056"/>
      <c r="AQW175" s="1056"/>
      <c r="AQX175" s="1056"/>
      <c r="AQY175" s="1056"/>
      <c r="AQZ175" s="1056"/>
      <c r="ARA175" s="1056"/>
      <c r="ARB175" s="1056"/>
      <c r="ARC175" s="1056"/>
      <c r="ARD175" s="1056"/>
      <c r="ARE175" s="1056"/>
      <c r="ARF175" s="1056"/>
      <c r="ARG175" s="1056"/>
      <c r="ARH175" s="1056"/>
      <c r="ARI175" s="1056"/>
      <c r="ARJ175" s="1056"/>
      <c r="ARK175" s="1056"/>
      <c r="ARL175" s="1056"/>
      <c r="ARM175" s="1056"/>
      <c r="ARN175" s="1056"/>
      <c r="ARO175" s="1056"/>
      <c r="ARP175" s="1056"/>
      <c r="ARQ175" s="1056"/>
      <c r="ARR175" s="1056"/>
      <c r="ARS175" s="1056"/>
      <c r="ART175" s="1056"/>
      <c r="ARU175" s="1056"/>
      <c r="ARV175" s="1056"/>
      <c r="ARW175" s="1056"/>
      <c r="ARX175" s="1056"/>
      <c r="ARY175" s="1056"/>
      <c r="ARZ175" s="1056"/>
      <c r="ASA175" s="1056"/>
      <c r="ASB175" s="1056"/>
      <c r="ASC175" s="1056"/>
      <c r="ASD175" s="1056"/>
      <c r="ASE175" s="1056"/>
      <c r="ASF175" s="1056"/>
      <c r="ASG175" s="1056"/>
      <c r="ASH175" s="1056"/>
      <c r="ASI175" s="1056"/>
      <c r="ASJ175" s="1056"/>
      <c r="ASK175" s="1056"/>
      <c r="ASL175" s="1056"/>
      <c r="ASM175" s="1056"/>
      <c r="ASN175" s="1056"/>
      <c r="ASO175" s="1056"/>
      <c r="ASP175" s="1056"/>
      <c r="ASQ175" s="1056"/>
      <c r="ASR175" s="1056"/>
      <c r="ASS175" s="1056"/>
      <c r="AST175" s="1056"/>
      <c r="ASU175" s="1056"/>
      <c r="ASV175" s="1056"/>
      <c r="ASW175" s="1056"/>
      <c r="ASX175" s="1056"/>
      <c r="ASY175" s="1056"/>
      <c r="ASZ175" s="1056"/>
      <c r="ATA175" s="1056"/>
      <c r="ATB175" s="1056"/>
      <c r="ATC175" s="1056"/>
      <c r="ATD175" s="1056"/>
      <c r="ATE175" s="1056"/>
      <c r="ATF175" s="1056"/>
      <c r="ATG175" s="1056"/>
      <c r="ATH175" s="1056"/>
      <c r="ATI175" s="1056"/>
      <c r="ATJ175" s="1056"/>
      <c r="ATK175" s="1056"/>
      <c r="ATL175" s="1056"/>
      <c r="ATM175" s="1056"/>
      <c r="ATN175" s="1056"/>
      <c r="ATO175" s="1056"/>
      <c r="ATP175" s="1056"/>
      <c r="ATQ175" s="1056"/>
      <c r="ATR175" s="1056"/>
      <c r="ATS175" s="1056"/>
      <c r="ATT175" s="1056"/>
      <c r="ATU175" s="1056"/>
      <c r="ATV175" s="1056"/>
      <c r="ATW175" s="1056"/>
      <c r="ATX175" s="1056"/>
      <c r="ATY175" s="1056"/>
      <c r="ATZ175" s="1056"/>
      <c r="AUA175" s="1056"/>
      <c r="AUB175" s="1056"/>
      <c r="AUC175" s="1056"/>
      <c r="AUD175" s="1056"/>
      <c r="AUE175" s="1056"/>
      <c r="AUF175" s="1056"/>
      <c r="AUG175" s="1056"/>
      <c r="AUH175" s="1056"/>
      <c r="AUI175" s="1056"/>
      <c r="AUJ175" s="1056"/>
      <c r="AUK175" s="1056"/>
      <c r="AUL175" s="1056"/>
      <c r="AUM175" s="1056"/>
      <c r="AUN175" s="1056"/>
      <c r="AUO175" s="1056"/>
      <c r="AUP175" s="1056"/>
      <c r="AUQ175" s="1056"/>
      <c r="AUR175" s="1056"/>
      <c r="AUS175" s="1056"/>
      <c r="AUT175" s="1056"/>
      <c r="AUU175" s="1056"/>
      <c r="AUV175" s="1056"/>
      <c r="AUW175" s="1056"/>
      <c r="AUX175" s="1056"/>
      <c r="AUY175" s="1056"/>
      <c r="AUZ175" s="1056"/>
      <c r="AVA175" s="1056"/>
      <c r="AVB175" s="1056"/>
      <c r="AVC175" s="1056"/>
      <c r="AVD175" s="1056"/>
      <c r="AVE175" s="1056"/>
      <c r="AVF175" s="1056"/>
      <c r="AVG175" s="1056"/>
      <c r="AVH175" s="1056"/>
      <c r="AVI175" s="1056"/>
      <c r="AVJ175" s="1056"/>
      <c r="AVK175" s="1056"/>
      <c r="AVL175" s="1056"/>
      <c r="AVM175" s="1056"/>
      <c r="AVN175" s="1056"/>
      <c r="AVO175" s="1056"/>
      <c r="AVP175" s="1056"/>
      <c r="AVQ175" s="1056"/>
      <c r="AVR175" s="1056"/>
      <c r="AVS175" s="1056"/>
      <c r="AVT175" s="1056"/>
      <c r="AVU175" s="1056"/>
      <c r="AVV175" s="1056"/>
      <c r="AVW175" s="1056"/>
      <c r="AVX175" s="1056"/>
      <c r="AVY175" s="1056"/>
      <c r="AVZ175" s="1056"/>
      <c r="AWA175" s="1056"/>
      <c r="AWB175" s="1056"/>
      <c r="AWC175" s="1056"/>
      <c r="AWD175" s="1056"/>
      <c r="AWE175" s="1056"/>
      <c r="AWF175" s="1056"/>
      <c r="AWG175" s="1056"/>
      <c r="AWH175" s="1056"/>
      <c r="AWI175" s="1056"/>
      <c r="AWJ175" s="1056"/>
      <c r="AWK175" s="1056"/>
      <c r="AWL175" s="1056"/>
      <c r="AWM175" s="1056"/>
      <c r="AWN175" s="1056"/>
      <c r="AWO175" s="1056"/>
      <c r="AWP175" s="1056"/>
      <c r="AWQ175" s="1056"/>
      <c r="AWR175" s="1056"/>
      <c r="AWS175" s="1056"/>
      <c r="AWT175" s="1056"/>
      <c r="AWU175" s="1056"/>
      <c r="AWV175" s="1056"/>
      <c r="AWW175" s="1056"/>
      <c r="AWX175" s="1056"/>
      <c r="AWY175" s="1056"/>
      <c r="AWZ175" s="1056"/>
      <c r="AXA175" s="1056"/>
      <c r="AXB175" s="1056"/>
      <c r="AXC175" s="1056"/>
      <c r="AXD175" s="1056"/>
      <c r="AXE175" s="1056"/>
      <c r="AXF175" s="1056"/>
      <c r="AXG175" s="1056"/>
      <c r="AXH175" s="1056"/>
      <c r="AXI175" s="1056"/>
      <c r="AXJ175" s="1056"/>
      <c r="AXK175" s="1056"/>
      <c r="AXL175" s="1056"/>
      <c r="AXM175" s="1056"/>
      <c r="AXN175" s="1056"/>
      <c r="AXO175" s="1056"/>
      <c r="AXP175" s="1056"/>
      <c r="AXQ175" s="1056"/>
      <c r="AXR175" s="1056"/>
      <c r="AXS175" s="1056"/>
      <c r="AXT175" s="1056"/>
      <c r="AXU175" s="1056"/>
      <c r="AXV175" s="1056"/>
      <c r="AXW175" s="1056"/>
      <c r="AXX175" s="1056"/>
      <c r="AXY175" s="1056"/>
      <c r="AXZ175" s="1056"/>
      <c r="AYA175" s="1056"/>
      <c r="AYB175" s="1056"/>
      <c r="AYC175" s="1056"/>
      <c r="AYD175" s="1056"/>
      <c r="AYE175" s="1056"/>
      <c r="AYF175" s="1056"/>
      <c r="AYG175" s="1056"/>
      <c r="AYH175" s="1056"/>
      <c r="AYI175" s="1056"/>
      <c r="AYJ175" s="1056"/>
      <c r="AYK175" s="1056"/>
      <c r="AYL175" s="1056"/>
      <c r="AYM175" s="1056"/>
      <c r="AYN175" s="1056"/>
      <c r="AYO175" s="1056"/>
      <c r="AYP175" s="1056"/>
      <c r="AYQ175" s="1056"/>
      <c r="AYR175" s="1056"/>
      <c r="AYS175" s="1056"/>
      <c r="AYT175" s="1056"/>
      <c r="AYU175" s="1056"/>
      <c r="AYV175" s="1056"/>
      <c r="AYW175" s="1056"/>
      <c r="AYX175" s="1056"/>
      <c r="AYY175" s="1056"/>
      <c r="AYZ175" s="1056"/>
      <c r="AZA175" s="1056"/>
      <c r="AZB175" s="1056"/>
      <c r="AZC175" s="1056"/>
      <c r="AZD175" s="1056"/>
      <c r="AZE175" s="1056"/>
      <c r="AZF175" s="1056"/>
      <c r="AZG175" s="1056"/>
      <c r="AZH175" s="1056"/>
      <c r="AZI175" s="1056"/>
      <c r="AZJ175" s="1056"/>
      <c r="AZK175" s="1056"/>
      <c r="AZL175" s="1056"/>
      <c r="AZM175" s="1056"/>
      <c r="AZN175" s="1056"/>
      <c r="AZO175" s="1056"/>
      <c r="AZP175" s="1056"/>
      <c r="AZQ175" s="1056"/>
      <c r="AZR175" s="1056"/>
      <c r="AZS175" s="1056"/>
      <c r="AZT175" s="1056"/>
      <c r="AZU175" s="1056"/>
      <c r="AZV175" s="1056"/>
      <c r="AZW175" s="1056"/>
      <c r="AZX175" s="1056"/>
      <c r="AZY175" s="1056"/>
      <c r="AZZ175" s="1056"/>
      <c r="BAA175" s="1056"/>
      <c r="BAB175" s="1056"/>
      <c r="BAC175" s="1056"/>
      <c r="BAD175" s="1056"/>
      <c r="BAE175" s="1056"/>
      <c r="BAF175" s="1056"/>
      <c r="BAG175" s="1056"/>
      <c r="BAH175" s="1056"/>
      <c r="BAI175" s="1056"/>
      <c r="BAJ175" s="1056"/>
      <c r="BAK175" s="1056"/>
      <c r="BAL175" s="1056"/>
      <c r="BAM175" s="1056"/>
      <c r="BAN175" s="1056"/>
      <c r="BAO175" s="1056"/>
      <c r="BAP175" s="1056"/>
      <c r="BAQ175" s="1056"/>
      <c r="BAR175" s="1056"/>
      <c r="BAS175" s="1056"/>
      <c r="BAT175" s="1056"/>
      <c r="BAU175" s="1056"/>
      <c r="BAV175" s="1056"/>
      <c r="BAW175" s="1056"/>
      <c r="BAX175" s="1056"/>
      <c r="BAY175" s="1056"/>
      <c r="BAZ175" s="1056"/>
      <c r="BBA175" s="1056"/>
      <c r="BBB175" s="1056"/>
      <c r="BBC175" s="1056"/>
      <c r="BBD175" s="1056"/>
      <c r="BBE175" s="1056"/>
      <c r="BBF175" s="1056"/>
      <c r="BBG175" s="1056"/>
      <c r="BBH175" s="1056"/>
      <c r="BBI175" s="1056"/>
      <c r="BBJ175" s="1056"/>
      <c r="BBK175" s="1056"/>
      <c r="BBL175" s="1056"/>
      <c r="BBM175" s="1056"/>
      <c r="BBN175" s="1056"/>
      <c r="BBO175" s="1056"/>
      <c r="BBP175" s="1056"/>
      <c r="BBQ175" s="1056"/>
      <c r="BBR175" s="1056"/>
      <c r="BBS175" s="1056"/>
      <c r="BBT175" s="1056"/>
      <c r="BBU175" s="1056"/>
      <c r="BBV175" s="1056"/>
      <c r="BBW175" s="1056"/>
      <c r="BBX175" s="1056"/>
      <c r="BBY175" s="1056"/>
      <c r="BBZ175" s="1056"/>
      <c r="BCA175" s="1056"/>
      <c r="BCB175" s="1056"/>
      <c r="BCC175" s="1056"/>
      <c r="BCD175" s="1056"/>
      <c r="BCE175" s="1056"/>
      <c r="BCF175" s="1056"/>
      <c r="BCG175" s="1056"/>
      <c r="BCH175" s="1056"/>
      <c r="BCI175" s="1056"/>
      <c r="BCJ175" s="1056"/>
      <c r="BCK175" s="1056"/>
      <c r="BCL175" s="1056"/>
      <c r="BCM175" s="1056"/>
      <c r="BCN175" s="1056"/>
      <c r="BCO175" s="1056"/>
      <c r="BCP175" s="1056"/>
      <c r="BCQ175" s="1056"/>
      <c r="BCR175" s="1056"/>
      <c r="BCS175" s="1056"/>
      <c r="BCT175" s="1056"/>
      <c r="BCU175" s="1056"/>
      <c r="BCV175" s="1056"/>
      <c r="BCW175" s="1056"/>
      <c r="BCX175" s="1056"/>
      <c r="BCY175" s="1056"/>
      <c r="BCZ175" s="1056"/>
      <c r="BDA175" s="1056"/>
      <c r="BDB175" s="1056"/>
      <c r="BDC175" s="1056"/>
      <c r="BDD175" s="1056"/>
      <c r="BDE175" s="1056"/>
      <c r="BDF175" s="1056"/>
      <c r="BDG175" s="1056"/>
      <c r="BDH175" s="1056"/>
      <c r="BDI175" s="1056"/>
      <c r="BDJ175" s="1056"/>
      <c r="BDK175" s="1056"/>
      <c r="BDL175" s="1056"/>
      <c r="BDM175" s="1056"/>
      <c r="BDN175" s="1056"/>
      <c r="BDO175" s="1056"/>
      <c r="BDP175" s="1056"/>
      <c r="BDQ175" s="1056"/>
      <c r="BDR175" s="1056"/>
      <c r="BDS175" s="1056"/>
      <c r="BDT175" s="1056"/>
      <c r="BDU175" s="1056"/>
      <c r="BDV175" s="1056"/>
      <c r="BDW175" s="1056"/>
      <c r="BDX175" s="1056"/>
      <c r="BDY175" s="1056"/>
      <c r="BDZ175" s="1056"/>
      <c r="BEA175" s="1056"/>
      <c r="BEB175" s="1056"/>
      <c r="BEC175" s="1056"/>
      <c r="BED175" s="1056"/>
      <c r="BEE175" s="1056"/>
      <c r="BEF175" s="1056"/>
      <c r="BEG175" s="1056"/>
      <c r="BEH175" s="1056"/>
      <c r="BEI175" s="1056"/>
      <c r="BEJ175" s="1056"/>
      <c r="BEK175" s="1056"/>
      <c r="BEL175" s="1056"/>
      <c r="BEM175" s="1056"/>
      <c r="BEN175" s="1056"/>
      <c r="BEO175" s="1056"/>
      <c r="BEP175" s="1056"/>
      <c r="BEQ175" s="1056"/>
      <c r="BER175" s="1056"/>
      <c r="BES175" s="1056"/>
      <c r="BET175" s="1056"/>
      <c r="BEU175" s="1056"/>
      <c r="BEV175" s="1056"/>
      <c r="BEW175" s="1056"/>
      <c r="BEX175" s="1056"/>
      <c r="BEY175" s="1056"/>
      <c r="BEZ175" s="1056"/>
      <c r="BFA175" s="1056"/>
      <c r="BFB175" s="1056"/>
      <c r="BFC175" s="1056"/>
      <c r="BFD175" s="1056"/>
      <c r="BFE175" s="1056"/>
      <c r="BFF175" s="1056"/>
      <c r="BFG175" s="1056"/>
      <c r="BFH175" s="1056"/>
      <c r="BFI175" s="1056"/>
      <c r="BFJ175" s="1056"/>
      <c r="BFK175" s="1056"/>
      <c r="BFL175" s="1056"/>
      <c r="BFM175" s="1056"/>
      <c r="BFN175" s="1056"/>
      <c r="BFO175" s="1056"/>
      <c r="BFP175" s="1056"/>
      <c r="BFQ175" s="1056"/>
      <c r="BFR175" s="1056"/>
      <c r="BFS175" s="1056"/>
      <c r="BFT175" s="1056"/>
      <c r="BFU175" s="1056"/>
      <c r="BFV175" s="1056"/>
      <c r="BFW175" s="1056"/>
      <c r="BFX175" s="1056"/>
      <c r="BFY175" s="1056"/>
      <c r="BFZ175" s="1056"/>
      <c r="BGA175" s="1056"/>
      <c r="BGB175" s="1056"/>
      <c r="BGC175" s="1056"/>
      <c r="BGD175" s="1056"/>
      <c r="BGE175" s="1056"/>
      <c r="BGF175" s="1056"/>
      <c r="BGG175" s="1056"/>
      <c r="BGH175" s="1056"/>
      <c r="BGI175" s="1056"/>
      <c r="BGJ175" s="1056"/>
      <c r="BGK175" s="1056"/>
      <c r="BGL175" s="1056"/>
      <c r="BGM175" s="1056"/>
      <c r="BGN175" s="1056"/>
      <c r="BGO175" s="1056"/>
      <c r="BGP175" s="1056"/>
      <c r="BGQ175" s="1056"/>
      <c r="BGR175" s="1056"/>
      <c r="BGS175" s="1056"/>
      <c r="BGT175" s="1056"/>
      <c r="BGU175" s="1056"/>
      <c r="BGV175" s="1056"/>
      <c r="BGW175" s="1056"/>
      <c r="BGX175" s="1056"/>
      <c r="BGY175" s="1056"/>
      <c r="BGZ175" s="1056"/>
      <c r="BHA175" s="1056"/>
      <c r="BHB175" s="1056"/>
      <c r="BHC175" s="1056"/>
      <c r="BHD175" s="1056"/>
      <c r="BHE175" s="1056"/>
      <c r="BHF175" s="1056"/>
      <c r="BHG175" s="1056"/>
      <c r="BHH175" s="1056"/>
      <c r="BHI175" s="1056"/>
      <c r="BHJ175" s="1056"/>
      <c r="BHK175" s="1056"/>
      <c r="BHL175" s="1056"/>
      <c r="BHM175" s="1056"/>
      <c r="BHN175" s="1056"/>
      <c r="BHO175" s="1056"/>
      <c r="BHP175" s="1056"/>
      <c r="BHQ175" s="1056"/>
      <c r="BHR175" s="1056"/>
      <c r="BHS175" s="1056"/>
      <c r="BHT175" s="1056"/>
      <c r="BHU175" s="1056"/>
      <c r="BHV175" s="1056"/>
      <c r="BHW175" s="1056"/>
      <c r="BHX175" s="1056"/>
      <c r="BHY175" s="1056"/>
      <c r="BHZ175" s="1056"/>
      <c r="BIA175" s="1056"/>
      <c r="BIB175" s="1056"/>
      <c r="BIC175" s="1056"/>
      <c r="BID175" s="1056"/>
      <c r="BIE175" s="1056"/>
      <c r="BIF175" s="1056"/>
      <c r="BIG175" s="1056"/>
      <c r="BIH175" s="1056"/>
      <c r="BII175" s="1056"/>
      <c r="BIJ175" s="1056"/>
      <c r="BIK175" s="1056"/>
      <c r="BIL175" s="1056"/>
      <c r="BIM175" s="1056"/>
      <c r="BIN175" s="1056"/>
      <c r="BIO175" s="1056"/>
      <c r="BIP175" s="1056"/>
      <c r="BIQ175" s="1056"/>
      <c r="BIR175" s="1056"/>
      <c r="BIS175" s="1056"/>
      <c r="BIT175" s="1056"/>
      <c r="BIU175" s="1056"/>
      <c r="BIV175" s="1056"/>
      <c r="BIW175" s="1056"/>
      <c r="BIX175" s="1056"/>
      <c r="BIY175" s="1056"/>
      <c r="BIZ175" s="1056"/>
      <c r="BJA175" s="1056"/>
      <c r="BJB175" s="1056"/>
      <c r="BJC175" s="1056"/>
      <c r="BJD175" s="1056"/>
      <c r="BJE175" s="1056"/>
      <c r="BJF175" s="1056"/>
      <c r="BJG175" s="1056"/>
      <c r="BJH175" s="1056"/>
      <c r="BJI175" s="1056"/>
      <c r="BJJ175" s="1056"/>
      <c r="BJK175" s="1056"/>
      <c r="BJL175" s="1056"/>
      <c r="BJM175" s="1056"/>
      <c r="BJN175" s="1056"/>
      <c r="BJO175" s="1056"/>
      <c r="BJP175" s="1056"/>
      <c r="BJQ175" s="1056"/>
      <c r="BJR175" s="1056"/>
      <c r="BJS175" s="1056"/>
      <c r="BJT175" s="1056"/>
      <c r="BJU175" s="1056"/>
      <c r="BJV175" s="1056"/>
      <c r="BJW175" s="1056"/>
      <c r="BJX175" s="1056"/>
      <c r="BJY175" s="1056"/>
      <c r="BJZ175" s="1056"/>
      <c r="BKA175" s="1056"/>
      <c r="BKB175" s="1056"/>
      <c r="BKC175" s="1056"/>
      <c r="BKD175" s="1056"/>
      <c r="BKE175" s="1056"/>
      <c r="BKF175" s="1056"/>
      <c r="BKG175" s="1056"/>
      <c r="BKH175" s="1056"/>
      <c r="BKI175" s="1056"/>
      <c r="BKJ175" s="1056"/>
      <c r="BKK175" s="1056"/>
      <c r="BKL175" s="1056"/>
      <c r="BKM175" s="1056"/>
      <c r="BKN175" s="1056"/>
      <c r="BKO175" s="1056"/>
      <c r="BKP175" s="1056"/>
      <c r="BKQ175" s="1056"/>
      <c r="BKR175" s="1056"/>
      <c r="BKS175" s="1056"/>
      <c r="BKT175" s="1056"/>
      <c r="BKU175" s="1056"/>
      <c r="BKV175" s="1056"/>
      <c r="BKW175" s="1056"/>
      <c r="BKX175" s="1056"/>
      <c r="BKY175" s="1056"/>
      <c r="BKZ175" s="1056"/>
      <c r="BLA175" s="1056"/>
      <c r="BLB175" s="1056"/>
      <c r="BLC175" s="1056"/>
      <c r="BLD175" s="1056"/>
      <c r="BLE175" s="1056"/>
      <c r="BLF175" s="1056"/>
      <c r="BLG175" s="1056"/>
      <c r="BLH175" s="1056"/>
      <c r="BLI175" s="1056"/>
      <c r="BLJ175" s="1056"/>
      <c r="BLK175" s="1056"/>
      <c r="BLL175" s="1056"/>
      <c r="BLM175" s="1056"/>
      <c r="BLN175" s="1056"/>
      <c r="BLO175" s="1056"/>
      <c r="BLP175" s="1056"/>
      <c r="BLQ175" s="1056"/>
      <c r="BLR175" s="1056"/>
      <c r="BLS175" s="1056"/>
      <c r="BLT175" s="1056"/>
      <c r="BLU175" s="1056"/>
      <c r="BLV175" s="1056"/>
      <c r="BLW175" s="1056"/>
      <c r="BLX175" s="1056"/>
      <c r="BLY175" s="1056"/>
      <c r="BLZ175" s="1056"/>
      <c r="BMA175" s="1056"/>
      <c r="BMB175" s="1056"/>
      <c r="BMC175" s="1056"/>
      <c r="BMD175" s="1056"/>
      <c r="BME175" s="1056"/>
      <c r="BMF175" s="1056"/>
      <c r="BMG175" s="1056"/>
      <c r="BMH175" s="1056"/>
      <c r="BMI175" s="1056"/>
      <c r="BMJ175" s="1056"/>
      <c r="BMK175" s="1056"/>
      <c r="BML175" s="1056"/>
      <c r="BMM175" s="1056"/>
      <c r="BMN175" s="1056"/>
      <c r="BMO175" s="1056"/>
      <c r="BMP175" s="1056"/>
      <c r="BMQ175" s="1056"/>
      <c r="BMR175" s="1056"/>
      <c r="BMS175" s="1056"/>
      <c r="BMT175" s="1056"/>
      <c r="BMU175" s="1056"/>
      <c r="BMV175" s="1056"/>
      <c r="BMW175" s="1056"/>
      <c r="BMX175" s="1056"/>
      <c r="BMY175" s="1056"/>
      <c r="BMZ175" s="1056"/>
      <c r="BNA175" s="1056"/>
      <c r="BNB175" s="1056"/>
      <c r="BNC175" s="1056"/>
      <c r="BND175" s="1056"/>
      <c r="BNE175" s="1056"/>
      <c r="BNF175" s="1056"/>
      <c r="BNG175" s="1056"/>
      <c r="BNH175" s="1056"/>
      <c r="BNI175" s="1056"/>
      <c r="BNJ175" s="1056"/>
      <c r="BNK175" s="1056"/>
      <c r="BNL175" s="1056"/>
      <c r="BNM175" s="1056"/>
      <c r="BNN175" s="1056"/>
      <c r="BNO175" s="1056"/>
      <c r="BNP175" s="1056"/>
      <c r="BNQ175" s="1056"/>
      <c r="BNR175" s="1056"/>
      <c r="BNS175" s="1056"/>
      <c r="BNT175" s="1056"/>
      <c r="BNU175" s="1056"/>
      <c r="BNV175" s="1056"/>
      <c r="BNW175" s="1056"/>
      <c r="BNX175" s="1056"/>
      <c r="BNY175" s="1056"/>
      <c r="BNZ175" s="1056"/>
      <c r="BOA175" s="1056"/>
      <c r="BOB175" s="1056"/>
      <c r="BOC175" s="1056"/>
      <c r="BOD175" s="1056"/>
      <c r="BOE175" s="1056"/>
      <c r="BOF175" s="1056"/>
      <c r="BOG175" s="1056"/>
      <c r="BOH175" s="1056"/>
      <c r="BOI175" s="1056"/>
      <c r="BOJ175" s="1056"/>
      <c r="BOK175" s="1056"/>
      <c r="BOL175" s="1056"/>
      <c r="BOM175" s="1056"/>
      <c r="BON175" s="1056"/>
      <c r="BOO175" s="1056"/>
      <c r="BOP175" s="1056"/>
      <c r="BOQ175" s="1056"/>
      <c r="BOR175" s="1056"/>
      <c r="BOS175" s="1056"/>
      <c r="BOT175" s="1056"/>
      <c r="BOU175" s="1056"/>
      <c r="BOV175" s="1056"/>
      <c r="BOW175" s="1056"/>
      <c r="BOX175" s="1056"/>
      <c r="BOY175" s="1056"/>
      <c r="BOZ175" s="1056"/>
      <c r="BPA175" s="1056"/>
      <c r="BPB175" s="1056"/>
      <c r="BPC175" s="1056"/>
      <c r="BPD175" s="1056"/>
      <c r="BPE175" s="1056"/>
      <c r="BPF175" s="1056"/>
      <c r="BPG175" s="1056"/>
      <c r="BPH175" s="1056"/>
      <c r="BPI175" s="1056"/>
      <c r="BPJ175" s="1056"/>
      <c r="BPK175" s="1056"/>
      <c r="BPL175" s="1056"/>
      <c r="BPM175" s="1056"/>
      <c r="BPN175" s="1056"/>
      <c r="BPO175" s="1056"/>
      <c r="BPP175" s="1056"/>
      <c r="BPQ175" s="1056"/>
      <c r="BPR175" s="1056"/>
      <c r="BPS175" s="1056"/>
      <c r="BPT175" s="1056"/>
      <c r="BPU175" s="1056"/>
      <c r="BPV175" s="1056"/>
      <c r="BPW175" s="1056"/>
      <c r="BPX175" s="1056"/>
      <c r="BPY175" s="1056"/>
      <c r="BPZ175" s="1056"/>
      <c r="BQA175" s="1056"/>
      <c r="BQB175" s="1056"/>
      <c r="BQC175" s="1056"/>
      <c r="BQD175" s="1056"/>
      <c r="BQE175" s="1056"/>
      <c r="BQF175" s="1056"/>
      <c r="BQG175" s="1056"/>
      <c r="BQH175" s="1056"/>
      <c r="BQI175" s="1056"/>
      <c r="BQJ175" s="1056"/>
      <c r="BQK175" s="1056"/>
      <c r="BQL175" s="1056"/>
      <c r="BQM175" s="1056"/>
      <c r="BQN175" s="1056"/>
      <c r="BQO175" s="1056"/>
      <c r="BQP175" s="1056"/>
      <c r="BQQ175" s="1056"/>
      <c r="BQR175" s="1056"/>
      <c r="BQS175" s="1056"/>
      <c r="BQT175" s="1056"/>
      <c r="BQU175" s="1056"/>
      <c r="BQV175" s="1056"/>
      <c r="BQW175" s="1056"/>
      <c r="BQX175" s="1056"/>
      <c r="BQY175" s="1056"/>
      <c r="BQZ175" s="1056"/>
      <c r="BRA175" s="1056"/>
      <c r="BRB175" s="1056"/>
      <c r="BRC175" s="1056"/>
      <c r="BRD175" s="1056"/>
      <c r="BRE175" s="1056"/>
      <c r="BRF175" s="1056"/>
      <c r="BRG175" s="1056"/>
      <c r="BRH175" s="1056"/>
      <c r="BRI175" s="1056"/>
      <c r="BRJ175" s="1056"/>
      <c r="BRK175" s="1056"/>
      <c r="BRL175" s="1056"/>
      <c r="BRM175" s="1056"/>
      <c r="BRN175" s="1056"/>
      <c r="BRO175" s="1056"/>
      <c r="BRP175" s="1056"/>
      <c r="BRQ175" s="1056"/>
      <c r="BRR175" s="1056"/>
      <c r="BRS175" s="1056"/>
      <c r="BRT175" s="1056"/>
      <c r="BRU175" s="1056"/>
      <c r="BRV175" s="1056"/>
      <c r="BRW175" s="1056"/>
      <c r="BRX175" s="1056"/>
      <c r="BRY175" s="1056"/>
      <c r="BRZ175" s="1056"/>
      <c r="BSA175" s="1056"/>
      <c r="BSB175" s="1056"/>
      <c r="BSC175" s="1056"/>
      <c r="BSD175" s="1056"/>
      <c r="BSE175" s="1056"/>
      <c r="BSF175" s="1056"/>
      <c r="BSG175" s="1056"/>
      <c r="BSH175" s="1056"/>
      <c r="BSI175" s="1056"/>
      <c r="BSJ175" s="1056"/>
      <c r="BSK175" s="1056"/>
      <c r="BSL175" s="1056"/>
      <c r="BSM175" s="1056"/>
      <c r="BSN175" s="1056"/>
      <c r="BSO175" s="1056"/>
      <c r="BSP175" s="1056"/>
      <c r="BSQ175" s="1056"/>
      <c r="BSR175" s="1056"/>
      <c r="BSS175" s="1056"/>
      <c r="BST175" s="1056"/>
      <c r="BSU175" s="1056"/>
      <c r="BSV175" s="1056"/>
      <c r="BSW175" s="1056"/>
      <c r="BSX175" s="1056"/>
      <c r="BSY175" s="1056"/>
      <c r="BSZ175" s="1056"/>
      <c r="BTA175" s="1056"/>
      <c r="BTB175" s="1056"/>
      <c r="BTC175" s="1056"/>
      <c r="BTD175" s="1056"/>
      <c r="BTE175" s="1056"/>
      <c r="BTF175" s="1056"/>
      <c r="BTG175" s="1056"/>
      <c r="BTH175" s="1056"/>
      <c r="BTI175" s="1056"/>
    </row>
    <row r="176" spans="1:1881" s="1060" customFormat="1" ht="100.5" hidden="1" customHeight="1" x14ac:dyDescent="0.3">
      <c r="A176" s="1059">
        <v>350</v>
      </c>
      <c r="B176" s="808" t="s">
        <v>56</v>
      </c>
      <c r="C176" s="808" t="s">
        <v>1413</v>
      </c>
      <c r="D176" s="746" t="s">
        <v>1415</v>
      </c>
      <c r="E176" s="1053" t="e">
        <f>HLOOKUP($D$2,'2020 Data(H)'!$C$1:$AI$426,114,FALSE)</f>
        <v>#N/A</v>
      </c>
      <c r="F176" s="287">
        <v>0</v>
      </c>
      <c r="G176" s="722"/>
      <c r="H176" s="764"/>
      <c r="I176" s="1055"/>
      <c r="J176" s="1056"/>
      <c r="K176" s="1056"/>
      <c r="L176" s="1056"/>
      <c r="M176" s="1056"/>
      <c r="N176" s="1058"/>
      <c r="O176" s="1056"/>
      <c r="P176" s="1056"/>
      <c r="Q176" s="1056"/>
      <c r="R176" s="1056"/>
      <c r="S176" s="1056"/>
      <c r="T176" s="1056"/>
      <c r="U176" s="1056"/>
      <c r="V176" s="1056"/>
      <c r="W176" s="1056"/>
      <c r="X176" s="1056"/>
      <c r="Y176" s="1056"/>
      <c r="Z176" s="1059"/>
      <c r="AA176" s="1059"/>
      <c r="AB176" s="1059"/>
      <c r="AC176" s="1059"/>
      <c r="AD176" s="1059"/>
      <c r="AE176" s="1059"/>
      <c r="AF176" s="1059"/>
      <c r="AG176" s="1059"/>
      <c r="AH176" s="1059"/>
      <c r="AI176" s="1059"/>
      <c r="AJ176" s="1059"/>
      <c r="AK176" s="1059"/>
      <c r="AL176" s="1059"/>
      <c r="AM176" s="1059"/>
      <c r="AN176" s="1059"/>
      <c r="AO176" s="1059"/>
      <c r="AP176" s="1059"/>
      <c r="AQ176" s="1059"/>
      <c r="AR176" s="1059"/>
      <c r="AS176" s="1056"/>
      <c r="AT176" s="1056"/>
      <c r="AU176" s="1056"/>
      <c r="AV176" s="1056"/>
      <c r="AW176" s="1056"/>
      <c r="AX176" s="1056"/>
      <c r="AY176" s="1056"/>
      <c r="AZ176" s="1056"/>
      <c r="BA176" s="1056"/>
      <c r="BB176" s="1056"/>
      <c r="BC176" s="1056"/>
      <c r="BD176" s="1056"/>
      <c r="BE176" s="1056"/>
      <c r="BF176" s="1056"/>
      <c r="BG176" s="1056"/>
      <c r="BH176" s="1056"/>
      <c r="BI176" s="1056"/>
      <c r="BJ176" s="1056"/>
      <c r="BK176" s="1056"/>
      <c r="BL176" s="1056"/>
      <c r="BM176" s="1056"/>
      <c r="BN176" s="1056"/>
      <c r="BO176" s="1056"/>
      <c r="BP176" s="1056"/>
      <c r="BQ176" s="1056"/>
      <c r="BR176" s="1056"/>
      <c r="BS176" s="1056"/>
      <c r="BT176" s="1056"/>
      <c r="BU176" s="1056"/>
      <c r="BV176" s="1056"/>
      <c r="BW176" s="1056"/>
      <c r="BX176" s="1056"/>
      <c r="BY176" s="1056"/>
      <c r="BZ176" s="1056"/>
      <c r="CA176" s="1056"/>
      <c r="CB176" s="1056"/>
      <c r="CC176" s="1056"/>
      <c r="CD176" s="1056"/>
      <c r="CE176" s="1056"/>
      <c r="CF176" s="1056"/>
      <c r="CG176" s="1056"/>
      <c r="CH176" s="1056"/>
      <c r="CI176" s="1056"/>
      <c r="CJ176" s="1056"/>
      <c r="CK176" s="1056"/>
      <c r="CL176" s="1056"/>
      <c r="CM176" s="1056"/>
      <c r="CN176" s="1056"/>
      <c r="CO176" s="1056"/>
      <c r="CP176" s="1056"/>
      <c r="CQ176" s="1056"/>
      <c r="CR176" s="1056"/>
      <c r="CS176" s="1056"/>
      <c r="CT176" s="1056"/>
      <c r="CU176" s="1056"/>
      <c r="CV176" s="1056"/>
      <c r="CW176" s="1056"/>
      <c r="CX176" s="1056"/>
      <c r="CY176" s="1056"/>
      <c r="CZ176" s="1056"/>
      <c r="DA176" s="1056"/>
      <c r="DB176" s="1056"/>
      <c r="DC176" s="1056"/>
      <c r="DD176" s="1056"/>
      <c r="DE176" s="1056"/>
      <c r="DF176" s="1056"/>
      <c r="DG176" s="1056"/>
      <c r="DH176" s="1056"/>
      <c r="DI176" s="1056"/>
      <c r="DJ176" s="1056"/>
      <c r="DK176" s="1056"/>
      <c r="DL176" s="1056"/>
      <c r="DM176" s="1056"/>
      <c r="DN176" s="1056"/>
      <c r="DO176" s="1056"/>
      <c r="DP176" s="1056"/>
      <c r="DQ176" s="1056"/>
      <c r="DR176" s="1056"/>
      <c r="DS176" s="1056"/>
      <c r="DT176" s="1056"/>
      <c r="DU176" s="1056"/>
      <c r="DV176" s="1056"/>
      <c r="DW176" s="1056"/>
      <c r="DX176" s="1056"/>
      <c r="DY176" s="1056"/>
      <c r="DZ176" s="1056"/>
      <c r="EA176" s="1056"/>
      <c r="EB176" s="1056"/>
      <c r="EC176" s="1056"/>
      <c r="ED176" s="1056"/>
      <c r="EE176" s="1056"/>
      <c r="EF176" s="1056"/>
      <c r="EG176" s="1056"/>
      <c r="EH176" s="1056"/>
      <c r="EI176" s="1056"/>
      <c r="EJ176" s="1056"/>
      <c r="EK176" s="1056"/>
      <c r="EL176" s="1056"/>
      <c r="EM176" s="1056"/>
      <c r="EN176" s="1056"/>
      <c r="EO176" s="1056"/>
      <c r="EP176" s="1056"/>
      <c r="EQ176" s="1056"/>
      <c r="ER176" s="1056"/>
      <c r="ES176" s="1056"/>
      <c r="ET176" s="1056"/>
      <c r="EU176" s="1056"/>
      <c r="EV176" s="1056"/>
      <c r="EW176" s="1056"/>
      <c r="EX176" s="1056"/>
      <c r="EY176" s="1056"/>
      <c r="EZ176" s="1056"/>
      <c r="FA176" s="1056"/>
      <c r="FB176" s="1056"/>
      <c r="FC176" s="1056"/>
      <c r="FD176" s="1056"/>
      <c r="FE176" s="1056"/>
      <c r="FF176" s="1056"/>
      <c r="FG176" s="1056"/>
      <c r="FH176" s="1056"/>
      <c r="FI176" s="1056"/>
      <c r="FJ176" s="1056"/>
      <c r="FK176" s="1056"/>
      <c r="FL176" s="1056"/>
      <c r="FM176" s="1056"/>
      <c r="FN176" s="1056"/>
      <c r="FO176" s="1056"/>
      <c r="FP176" s="1056"/>
      <c r="FQ176" s="1056"/>
      <c r="FR176" s="1056"/>
      <c r="FS176" s="1056"/>
      <c r="FT176" s="1056"/>
      <c r="FU176" s="1056"/>
      <c r="FV176" s="1056"/>
      <c r="FW176" s="1056"/>
      <c r="FX176" s="1056"/>
      <c r="FY176" s="1056"/>
      <c r="FZ176" s="1056"/>
      <c r="GA176" s="1056"/>
      <c r="GB176" s="1056"/>
      <c r="GC176" s="1056"/>
      <c r="GD176" s="1056"/>
      <c r="GE176" s="1056"/>
      <c r="GF176" s="1056"/>
      <c r="GG176" s="1056"/>
      <c r="GH176" s="1056"/>
      <c r="GI176" s="1056"/>
      <c r="GJ176" s="1056"/>
      <c r="GK176" s="1056"/>
      <c r="GL176" s="1056"/>
      <c r="GM176" s="1056"/>
      <c r="GN176" s="1056"/>
      <c r="GO176" s="1056"/>
      <c r="GP176" s="1056"/>
      <c r="GQ176" s="1056"/>
      <c r="GR176" s="1056"/>
      <c r="GS176" s="1056"/>
      <c r="GT176" s="1056"/>
      <c r="GU176" s="1056"/>
      <c r="GV176" s="1056"/>
      <c r="GW176" s="1056"/>
      <c r="GX176" s="1056"/>
      <c r="GY176" s="1056"/>
      <c r="GZ176" s="1056"/>
      <c r="HA176" s="1056"/>
      <c r="HB176" s="1056"/>
      <c r="HC176" s="1056"/>
      <c r="HD176" s="1056"/>
      <c r="HE176" s="1056"/>
      <c r="HF176" s="1056"/>
      <c r="HG176" s="1056"/>
      <c r="HH176" s="1056"/>
      <c r="HI176" s="1056"/>
      <c r="HJ176" s="1056"/>
      <c r="HK176" s="1056"/>
      <c r="HL176" s="1056"/>
      <c r="HM176" s="1056"/>
      <c r="HN176" s="1056"/>
      <c r="HO176" s="1056"/>
      <c r="HP176" s="1056"/>
      <c r="HQ176" s="1056"/>
      <c r="HR176" s="1056"/>
      <c r="HS176" s="1056"/>
      <c r="HT176" s="1056"/>
      <c r="HU176" s="1056"/>
      <c r="HV176" s="1056"/>
      <c r="HW176" s="1056"/>
      <c r="HX176" s="1056"/>
      <c r="HY176" s="1056"/>
      <c r="HZ176" s="1056"/>
      <c r="IA176" s="1056"/>
      <c r="IB176" s="1056"/>
      <c r="IC176" s="1056"/>
      <c r="ID176" s="1056"/>
      <c r="IE176" s="1056"/>
      <c r="IF176" s="1056"/>
      <c r="IG176" s="1056"/>
      <c r="IH176" s="1056"/>
      <c r="II176" s="1056"/>
      <c r="IJ176" s="1056"/>
      <c r="IK176" s="1056"/>
      <c r="IL176" s="1056"/>
      <c r="IM176" s="1056"/>
      <c r="IN176" s="1056"/>
      <c r="IO176" s="1056"/>
      <c r="IP176" s="1056"/>
      <c r="IQ176" s="1056"/>
      <c r="IR176" s="1056"/>
      <c r="IS176" s="1056"/>
      <c r="IT176" s="1056"/>
      <c r="IU176" s="1056"/>
      <c r="IV176" s="1056"/>
      <c r="IW176" s="1056"/>
      <c r="IX176" s="1056"/>
      <c r="IY176" s="1056"/>
      <c r="IZ176" s="1056"/>
      <c r="JA176" s="1056"/>
      <c r="JB176" s="1056"/>
      <c r="JC176" s="1056"/>
      <c r="JD176" s="1056"/>
      <c r="JE176" s="1056"/>
      <c r="JF176" s="1056"/>
      <c r="JG176" s="1056"/>
      <c r="JH176" s="1056"/>
      <c r="JI176" s="1056"/>
      <c r="JJ176" s="1056"/>
      <c r="JK176" s="1056"/>
      <c r="JL176" s="1056"/>
      <c r="JM176" s="1056"/>
      <c r="JN176" s="1056"/>
      <c r="JO176" s="1056"/>
      <c r="JP176" s="1056"/>
      <c r="JQ176" s="1056"/>
      <c r="JR176" s="1056"/>
      <c r="JS176" s="1056"/>
      <c r="JT176" s="1056"/>
      <c r="JU176" s="1056"/>
      <c r="JV176" s="1056"/>
      <c r="JW176" s="1056"/>
      <c r="JX176" s="1056"/>
      <c r="JY176" s="1056"/>
      <c r="JZ176" s="1056"/>
      <c r="KA176" s="1056"/>
      <c r="KB176" s="1056"/>
      <c r="KC176" s="1056"/>
      <c r="KD176" s="1056"/>
      <c r="KE176" s="1056"/>
      <c r="KF176" s="1056"/>
      <c r="KG176" s="1056"/>
      <c r="KH176" s="1056"/>
      <c r="KI176" s="1056"/>
      <c r="KJ176" s="1056"/>
      <c r="KK176" s="1056"/>
      <c r="KL176" s="1056"/>
      <c r="KM176" s="1056"/>
      <c r="KN176" s="1056"/>
      <c r="KO176" s="1056"/>
      <c r="KP176" s="1056"/>
      <c r="KQ176" s="1056"/>
      <c r="KR176" s="1056"/>
      <c r="KS176" s="1056"/>
      <c r="KT176" s="1056"/>
      <c r="KU176" s="1056"/>
      <c r="KV176" s="1056"/>
      <c r="KW176" s="1056"/>
      <c r="KX176" s="1056"/>
      <c r="KY176" s="1056"/>
      <c r="KZ176" s="1056"/>
      <c r="LA176" s="1056"/>
      <c r="LB176" s="1056"/>
      <c r="LC176" s="1056"/>
      <c r="LD176" s="1056"/>
      <c r="LE176" s="1056"/>
      <c r="LF176" s="1056"/>
      <c r="LG176" s="1056"/>
      <c r="LH176" s="1056"/>
      <c r="LI176" s="1056"/>
      <c r="LJ176" s="1056"/>
      <c r="LK176" s="1056"/>
      <c r="LL176" s="1056"/>
      <c r="LM176" s="1056"/>
      <c r="LN176" s="1056"/>
      <c r="LO176" s="1056"/>
      <c r="LP176" s="1056"/>
      <c r="LQ176" s="1056"/>
      <c r="LR176" s="1056"/>
      <c r="LS176" s="1056"/>
      <c r="LT176" s="1056"/>
      <c r="LU176" s="1056"/>
      <c r="LV176" s="1056"/>
      <c r="LW176" s="1056"/>
      <c r="LX176" s="1056"/>
      <c r="LY176" s="1056"/>
      <c r="LZ176" s="1056"/>
      <c r="MA176" s="1056"/>
      <c r="MB176" s="1056"/>
      <c r="MC176" s="1056"/>
      <c r="MD176" s="1056"/>
      <c r="ME176" s="1056"/>
      <c r="MF176" s="1056"/>
      <c r="MG176" s="1056"/>
      <c r="MH176" s="1056"/>
      <c r="MI176" s="1056"/>
      <c r="MJ176" s="1056"/>
      <c r="MK176" s="1056"/>
      <c r="ML176" s="1056"/>
      <c r="MM176" s="1056"/>
      <c r="MN176" s="1056"/>
      <c r="MO176" s="1056"/>
      <c r="MP176" s="1056"/>
      <c r="MQ176" s="1056"/>
      <c r="MR176" s="1056"/>
      <c r="MS176" s="1056"/>
      <c r="MT176" s="1056"/>
      <c r="MU176" s="1056"/>
      <c r="MV176" s="1056"/>
      <c r="MW176" s="1056"/>
      <c r="MX176" s="1056"/>
      <c r="MY176" s="1056"/>
      <c r="MZ176" s="1056"/>
      <c r="NA176" s="1056"/>
      <c r="NB176" s="1056"/>
      <c r="NC176" s="1056"/>
      <c r="ND176" s="1056"/>
      <c r="NE176" s="1056"/>
      <c r="NF176" s="1056"/>
      <c r="NG176" s="1056"/>
      <c r="NH176" s="1056"/>
      <c r="NI176" s="1056"/>
      <c r="NJ176" s="1056"/>
      <c r="NK176" s="1056"/>
      <c r="NL176" s="1056"/>
      <c r="NM176" s="1056"/>
      <c r="NN176" s="1056"/>
      <c r="NO176" s="1056"/>
      <c r="NP176" s="1056"/>
      <c r="NQ176" s="1056"/>
      <c r="NR176" s="1056"/>
      <c r="NS176" s="1056"/>
      <c r="NT176" s="1056"/>
      <c r="NU176" s="1056"/>
      <c r="NV176" s="1056"/>
      <c r="NW176" s="1056"/>
      <c r="NX176" s="1056"/>
      <c r="NY176" s="1056"/>
      <c r="NZ176" s="1056"/>
      <c r="OA176" s="1056"/>
      <c r="OB176" s="1056"/>
      <c r="OC176" s="1056"/>
      <c r="OD176" s="1056"/>
      <c r="OE176" s="1056"/>
      <c r="OF176" s="1056"/>
      <c r="OG176" s="1056"/>
      <c r="OH176" s="1056"/>
      <c r="OI176" s="1056"/>
      <c r="OJ176" s="1056"/>
      <c r="OK176" s="1056"/>
      <c r="OL176" s="1056"/>
      <c r="OM176" s="1056"/>
      <c r="ON176" s="1056"/>
      <c r="OO176" s="1056"/>
      <c r="OP176" s="1056"/>
      <c r="OQ176" s="1056"/>
      <c r="OR176" s="1056"/>
      <c r="OS176" s="1056"/>
      <c r="OT176" s="1056"/>
      <c r="OU176" s="1056"/>
      <c r="OV176" s="1056"/>
      <c r="OW176" s="1056"/>
      <c r="OX176" s="1056"/>
      <c r="OY176" s="1056"/>
      <c r="OZ176" s="1056"/>
      <c r="PA176" s="1056"/>
      <c r="PB176" s="1056"/>
      <c r="PC176" s="1056"/>
      <c r="PD176" s="1056"/>
      <c r="PE176" s="1056"/>
      <c r="PF176" s="1056"/>
      <c r="PG176" s="1056"/>
      <c r="PH176" s="1056"/>
      <c r="PI176" s="1056"/>
      <c r="PJ176" s="1056"/>
      <c r="PK176" s="1056"/>
      <c r="PL176" s="1056"/>
      <c r="PM176" s="1056"/>
      <c r="PN176" s="1056"/>
      <c r="PO176" s="1056"/>
      <c r="PP176" s="1056"/>
      <c r="PQ176" s="1056"/>
      <c r="PR176" s="1056"/>
      <c r="PS176" s="1056"/>
      <c r="PT176" s="1056"/>
      <c r="PU176" s="1056"/>
      <c r="PV176" s="1056"/>
      <c r="PW176" s="1056"/>
      <c r="PX176" s="1056"/>
      <c r="PY176" s="1056"/>
      <c r="PZ176" s="1056"/>
      <c r="QA176" s="1056"/>
      <c r="QB176" s="1056"/>
      <c r="QC176" s="1056"/>
      <c r="QD176" s="1056"/>
      <c r="QE176" s="1056"/>
      <c r="QF176" s="1056"/>
      <c r="QG176" s="1056"/>
      <c r="QH176" s="1056"/>
      <c r="QI176" s="1056"/>
      <c r="QJ176" s="1056"/>
      <c r="QK176" s="1056"/>
      <c r="QL176" s="1056"/>
      <c r="QM176" s="1056"/>
      <c r="QN176" s="1056"/>
      <c r="QO176" s="1056"/>
      <c r="QP176" s="1056"/>
      <c r="QQ176" s="1056"/>
      <c r="QR176" s="1056"/>
      <c r="QS176" s="1056"/>
      <c r="QT176" s="1056"/>
      <c r="QU176" s="1056"/>
      <c r="QV176" s="1056"/>
      <c r="QW176" s="1056"/>
      <c r="QX176" s="1056"/>
      <c r="QY176" s="1056"/>
      <c r="QZ176" s="1056"/>
      <c r="RA176" s="1056"/>
      <c r="RB176" s="1056"/>
      <c r="RC176" s="1056"/>
      <c r="RD176" s="1056"/>
      <c r="RE176" s="1056"/>
      <c r="RF176" s="1056"/>
      <c r="RG176" s="1056"/>
      <c r="RH176" s="1056"/>
      <c r="RI176" s="1056"/>
      <c r="RJ176" s="1056"/>
      <c r="RK176" s="1056"/>
      <c r="RL176" s="1056"/>
      <c r="RM176" s="1056"/>
      <c r="RN176" s="1056"/>
      <c r="RO176" s="1056"/>
      <c r="RP176" s="1056"/>
      <c r="RQ176" s="1056"/>
      <c r="RR176" s="1056"/>
      <c r="RS176" s="1056"/>
      <c r="RT176" s="1056"/>
      <c r="RU176" s="1056"/>
      <c r="RV176" s="1056"/>
      <c r="RW176" s="1056"/>
      <c r="RX176" s="1056"/>
      <c r="RY176" s="1056"/>
      <c r="RZ176" s="1056"/>
      <c r="SA176" s="1056"/>
      <c r="SB176" s="1056"/>
      <c r="SC176" s="1056"/>
      <c r="SD176" s="1056"/>
      <c r="SE176" s="1056"/>
      <c r="SF176" s="1056"/>
      <c r="SG176" s="1056"/>
      <c r="SH176" s="1056"/>
      <c r="SI176" s="1056"/>
      <c r="SJ176" s="1056"/>
      <c r="SK176" s="1056"/>
      <c r="SL176" s="1056"/>
      <c r="SM176" s="1056"/>
      <c r="SN176" s="1056"/>
      <c r="SO176" s="1056"/>
      <c r="SP176" s="1056"/>
      <c r="SQ176" s="1056"/>
      <c r="SR176" s="1056"/>
      <c r="SS176" s="1056"/>
      <c r="ST176" s="1056"/>
      <c r="SU176" s="1056"/>
      <c r="SV176" s="1056"/>
      <c r="SW176" s="1056"/>
      <c r="SX176" s="1056"/>
      <c r="SY176" s="1056"/>
      <c r="SZ176" s="1056"/>
      <c r="TA176" s="1056"/>
      <c r="TB176" s="1056"/>
      <c r="TC176" s="1056"/>
      <c r="TD176" s="1056"/>
      <c r="TE176" s="1056"/>
      <c r="TF176" s="1056"/>
      <c r="TG176" s="1056"/>
      <c r="TH176" s="1056"/>
      <c r="TI176" s="1056"/>
      <c r="TJ176" s="1056"/>
      <c r="TK176" s="1056"/>
      <c r="TL176" s="1056"/>
      <c r="TM176" s="1056"/>
      <c r="TN176" s="1056"/>
      <c r="TO176" s="1056"/>
      <c r="TP176" s="1056"/>
      <c r="TQ176" s="1056"/>
      <c r="TR176" s="1056"/>
      <c r="TS176" s="1056"/>
      <c r="TT176" s="1056"/>
      <c r="TU176" s="1056"/>
      <c r="TV176" s="1056"/>
      <c r="TW176" s="1056"/>
      <c r="TX176" s="1056"/>
      <c r="TY176" s="1056"/>
      <c r="TZ176" s="1056"/>
      <c r="UA176" s="1056"/>
      <c r="UB176" s="1056"/>
      <c r="UC176" s="1056"/>
      <c r="UD176" s="1056"/>
      <c r="UE176" s="1056"/>
      <c r="UF176" s="1056"/>
      <c r="UG176" s="1056"/>
      <c r="UH176" s="1056"/>
      <c r="UI176" s="1056"/>
      <c r="UJ176" s="1056"/>
      <c r="UK176" s="1056"/>
      <c r="UL176" s="1056"/>
      <c r="UM176" s="1056"/>
      <c r="UN176" s="1056"/>
      <c r="UO176" s="1056"/>
      <c r="UP176" s="1056"/>
      <c r="UQ176" s="1056"/>
      <c r="UR176" s="1056"/>
      <c r="US176" s="1056"/>
      <c r="UT176" s="1056"/>
      <c r="UU176" s="1056"/>
      <c r="UV176" s="1056"/>
      <c r="UW176" s="1056"/>
      <c r="UX176" s="1056"/>
      <c r="UY176" s="1056"/>
      <c r="UZ176" s="1056"/>
      <c r="VA176" s="1056"/>
      <c r="VB176" s="1056"/>
      <c r="VC176" s="1056"/>
      <c r="VD176" s="1056"/>
      <c r="VE176" s="1056"/>
      <c r="VF176" s="1056"/>
      <c r="VG176" s="1056"/>
      <c r="VH176" s="1056"/>
      <c r="VI176" s="1056"/>
      <c r="VJ176" s="1056"/>
      <c r="VK176" s="1056"/>
      <c r="VL176" s="1056"/>
      <c r="VM176" s="1056"/>
      <c r="VN176" s="1056"/>
      <c r="VO176" s="1056"/>
      <c r="VP176" s="1056"/>
      <c r="VQ176" s="1056"/>
      <c r="VR176" s="1056"/>
      <c r="VS176" s="1056"/>
      <c r="VT176" s="1056"/>
      <c r="VU176" s="1056"/>
      <c r="VV176" s="1056"/>
      <c r="VW176" s="1056"/>
      <c r="VX176" s="1056"/>
      <c r="VY176" s="1056"/>
      <c r="VZ176" s="1056"/>
      <c r="WA176" s="1056"/>
      <c r="WB176" s="1056"/>
      <c r="WC176" s="1056"/>
      <c r="WD176" s="1056"/>
      <c r="WE176" s="1056"/>
      <c r="WF176" s="1056"/>
      <c r="WG176" s="1056"/>
      <c r="WH176" s="1056"/>
      <c r="WI176" s="1056"/>
      <c r="WJ176" s="1056"/>
      <c r="WK176" s="1056"/>
      <c r="WL176" s="1056"/>
      <c r="WM176" s="1056"/>
      <c r="WN176" s="1056"/>
      <c r="WO176" s="1056"/>
      <c r="WP176" s="1056"/>
      <c r="WQ176" s="1056"/>
      <c r="WR176" s="1056"/>
      <c r="WS176" s="1056"/>
      <c r="WT176" s="1056"/>
      <c r="WU176" s="1056"/>
      <c r="WV176" s="1056"/>
      <c r="WW176" s="1056"/>
      <c r="WX176" s="1056"/>
      <c r="WY176" s="1056"/>
      <c r="WZ176" s="1056"/>
      <c r="XA176" s="1056"/>
      <c r="XB176" s="1056"/>
      <c r="XC176" s="1056"/>
      <c r="XD176" s="1056"/>
      <c r="XE176" s="1056"/>
      <c r="XF176" s="1056"/>
      <c r="XG176" s="1056"/>
      <c r="XH176" s="1056"/>
      <c r="XI176" s="1056"/>
      <c r="XJ176" s="1056"/>
      <c r="XK176" s="1056"/>
      <c r="XL176" s="1056"/>
      <c r="XM176" s="1056"/>
      <c r="XN176" s="1056"/>
      <c r="XO176" s="1056"/>
      <c r="XP176" s="1056"/>
      <c r="XQ176" s="1056"/>
      <c r="XR176" s="1056"/>
      <c r="XS176" s="1056"/>
      <c r="XT176" s="1056"/>
      <c r="XU176" s="1056"/>
      <c r="XV176" s="1056"/>
      <c r="XW176" s="1056"/>
      <c r="XX176" s="1056"/>
      <c r="XY176" s="1056"/>
      <c r="XZ176" s="1056"/>
      <c r="YA176" s="1056"/>
      <c r="YB176" s="1056"/>
      <c r="YC176" s="1056"/>
      <c r="YD176" s="1056"/>
      <c r="YE176" s="1056"/>
      <c r="YF176" s="1056"/>
      <c r="YG176" s="1056"/>
      <c r="YH176" s="1056"/>
      <c r="YI176" s="1056"/>
      <c r="YJ176" s="1056"/>
      <c r="YK176" s="1056"/>
      <c r="YL176" s="1056"/>
      <c r="YM176" s="1056"/>
      <c r="YN176" s="1056"/>
      <c r="YO176" s="1056"/>
      <c r="YP176" s="1056"/>
      <c r="YQ176" s="1056"/>
      <c r="YR176" s="1056"/>
      <c r="YS176" s="1056"/>
      <c r="YT176" s="1056"/>
      <c r="YU176" s="1056"/>
      <c r="YV176" s="1056"/>
      <c r="YW176" s="1056"/>
      <c r="YX176" s="1056"/>
      <c r="YY176" s="1056"/>
      <c r="YZ176" s="1056"/>
      <c r="ZA176" s="1056"/>
      <c r="ZB176" s="1056"/>
      <c r="ZC176" s="1056"/>
      <c r="ZD176" s="1056"/>
      <c r="ZE176" s="1056"/>
      <c r="ZF176" s="1056"/>
      <c r="ZG176" s="1056"/>
      <c r="ZH176" s="1056"/>
      <c r="ZI176" s="1056"/>
      <c r="ZJ176" s="1056"/>
      <c r="ZK176" s="1056"/>
      <c r="ZL176" s="1056"/>
      <c r="ZM176" s="1056"/>
      <c r="ZN176" s="1056"/>
      <c r="ZO176" s="1056"/>
      <c r="ZP176" s="1056"/>
      <c r="ZQ176" s="1056"/>
      <c r="ZR176" s="1056"/>
      <c r="ZS176" s="1056"/>
      <c r="ZT176" s="1056"/>
      <c r="ZU176" s="1056"/>
      <c r="ZV176" s="1056"/>
      <c r="ZW176" s="1056"/>
      <c r="ZX176" s="1056"/>
      <c r="ZY176" s="1056"/>
      <c r="ZZ176" s="1056"/>
      <c r="AAA176" s="1056"/>
      <c r="AAB176" s="1056"/>
      <c r="AAC176" s="1056"/>
      <c r="AAD176" s="1056"/>
      <c r="AAE176" s="1056"/>
      <c r="AAF176" s="1056"/>
      <c r="AAG176" s="1056"/>
      <c r="AAH176" s="1056"/>
      <c r="AAI176" s="1056"/>
      <c r="AAJ176" s="1056"/>
      <c r="AAK176" s="1056"/>
      <c r="AAL176" s="1056"/>
      <c r="AAM176" s="1056"/>
      <c r="AAN176" s="1056"/>
      <c r="AAO176" s="1056"/>
      <c r="AAP176" s="1056"/>
      <c r="AAQ176" s="1056"/>
      <c r="AAR176" s="1056"/>
      <c r="AAS176" s="1056"/>
      <c r="AAT176" s="1056"/>
      <c r="AAU176" s="1056"/>
      <c r="AAV176" s="1056"/>
      <c r="AAW176" s="1056"/>
      <c r="AAX176" s="1056"/>
      <c r="AAY176" s="1056"/>
      <c r="AAZ176" s="1056"/>
      <c r="ABA176" s="1056"/>
      <c r="ABB176" s="1056"/>
      <c r="ABC176" s="1056"/>
      <c r="ABD176" s="1056"/>
      <c r="ABE176" s="1056"/>
      <c r="ABF176" s="1056"/>
      <c r="ABG176" s="1056"/>
      <c r="ABH176" s="1056"/>
      <c r="ABI176" s="1056"/>
      <c r="ABJ176" s="1056"/>
      <c r="ABK176" s="1056"/>
      <c r="ABL176" s="1056"/>
      <c r="ABM176" s="1056"/>
      <c r="ABN176" s="1056"/>
      <c r="ABO176" s="1056"/>
      <c r="ABP176" s="1056"/>
      <c r="ABQ176" s="1056"/>
      <c r="ABR176" s="1056"/>
      <c r="ABS176" s="1056"/>
      <c r="ABT176" s="1056"/>
      <c r="ABU176" s="1056"/>
      <c r="ABV176" s="1056"/>
      <c r="ABW176" s="1056"/>
      <c r="ABX176" s="1056"/>
      <c r="ABY176" s="1056"/>
      <c r="ABZ176" s="1056"/>
      <c r="ACA176" s="1056"/>
      <c r="ACB176" s="1056"/>
      <c r="ACC176" s="1056"/>
      <c r="ACD176" s="1056"/>
      <c r="ACE176" s="1056"/>
      <c r="ACF176" s="1056"/>
      <c r="ACG176" s="1056"/>
      <c r="ACH176" s="1056"/>
      <c r="ACI176" s="1056"/>
      <c r="ACJ176" s="1056"/>
      <c r="ACK176" s="1056"/>
      <c r="ACL176" s="1056"/>
      <c r="ACM176" s="1056"/>
      <c r="ACN176" s="1056"/>
      <c r="ACO176" s="1056"/>
      <c r="ACP176" s="1056"/>
      <c r="ACQ176" s="1056"/>
      <c r="ACR176" s="1056"/>
      <c r="ACS176" s="1056"/>
      <c r="ACT176" s="1056"/>
      <c r="ACU176" s="1056"/>
      <c r="ACV176" s="1056"/>
      <c r="ACW176" s="1056"/>
      <c r="ACX176" s="1056"/>
      <c r="ACY176" s="1056"/>
      <c r="ACZ176" s="1056"/>
      <c r="ADA176" s="1056"/>
      <c r="ADB176" s="1056"/>
      <c r="ADC176" s="1056"/>
      <c r="ADD176" s="1056"/>
      <c r="ADE176" s="1056"/>
      <c r="ADF176" s="1056"/>
      <c r="ADG176" s="1056"/>
      <c r="ADH176" s="1056"/>
      <c r="ADI176" s="1056"/>
      <c r="ADJ176" s="1056"/>
      <c r="ADK176" s="1056"/>
      <c r="ADL176" s="1056"/>
      <c r="ADM176" s="1056"/>
      <c r="ADN176" s="1056"/>
      <c r="ADO176" s="1056"/>
      <c r="ADP176" s="1056"/>
      <c r="ADQ176" s="1056"/>
      <c r="ADR176" s="1056"/>
      <c r="ADS176" s="1056"/>
      <c r="ADT176" s="1056"/>
      <c r="ADU176" s="1056"/>
      <c r="ADV176" s="1056"/>
      <c r="ADW176" s="1056"/>
      <c r="ADX176" s="1056"/>
      <c r="ADY176" s="1056"/>
      <c r="ADZ176" s="1056"/>
      <c r="AEA176" s="1056"/>
      <c r="AEB176" s="1056"/>
      <c r="AEC176" s="1056"/>
      <c r="AED176" s="1056"/>
      <c r="AEE176" s="1056"/>
      <c r="AEF176" s="1056"/>
      <c r="AEG176" s="1056"/>
      <c r="AEH176" s="1056"/>
      <c r="AEI176" s="1056"/>
      <c r="AEJ176" s="1056"/>
      <c r="AEK176" s="1056"/>
      <c r="AEL176" s="1056"/>
      <c r="AEM176" s="1056"/>
      <c r="AEN176" s="1056"/>
      <c r="AEO176" s="1056"/>
      <c r="AEP176" s="1056"/>
      <c r="AEQ176" s="1056"/>
      <c r="AER176" s="1056"/>
      <c r="AES176" s="1056"/>
      <c r="AET176" s="1056"/>
      <c r="AEU176" s="1056"/>
      <c r="AEV176" s="1056"/>
      <c r="AEW176" s="1056"/>
      <c r="AEX176" s="1056"/>
      <c r="AEY176" s="1056"/>
      <c r="AEZ176" s="1056"/>
      <c r="AFA176" s="1056"/>
      <c r="AFB176" s="1056"/>
      <c r="AFC176" s="1056"/>
      <c r="AFD176" s="1056"/>
      <c r="AFE176" s="1056"/>
      <c r="AFF176" s="1056"/>
      <c r="AFG176" s="1056"/>
      <c r="AFH176" s="1056"/>
      <c r="AFI176" s="1056"/>
      <c r="AFJ176" s="1056"/>
      <c r="AFK176" s="1056"/>
      <c r="AFL176" s="1056"/>
      <c r="AFM176" s="1056"/>
      <c r="AFN176" s="1056"/>
      <c r="AFO176" s="1056"/>
      <c r="AFP176" s="1056"/>
      <c r="AFQ176" s="1056"/>
      <c r="AFR176" s="1056"/>
      <c r="AFS176" s="1056"/>
      <c r="AFT176" s="1056"/>
      <c r="AFU176" s="1056"/>
      <c r="AFV176" s="1056"/>
      <c r="AFW176" s="1056"/>
      <c r="AFX176" s="1056"/>
      <c r="AFY176" s="1056"/>
      <c r="AFZ176" s="1056"/>
      <c r="AGA176" s="1056"/>
      <c r="AGB176" s="1056"/>
      <c r="AGC176" s="1056"/>
      <c r="AGD176" s="1056"/>
      <c r="AGE176" s="1056"/>
      <c r="AGF176" s="1056"/>
      <c r="AGG176" s="1056"/>
      <c r="AGH176" s="1056"/>
      <c r="AGI176" s="1056"/>
      <c r="AGJ176" s="1056"/>
      <c r="AGK176" s="1056"/>
      <c r="AGL176" s="1056"/>
      <c r="AGM176" s="1056"/>
      <c r="AGN176" s="1056"/>
      <c r="AGO176" s="1056"/>
      <c r="AGP176" s="1056"/>
      <c r="AGQ176" s="1056"/>
      <c r="AGR176" s="1056"/>
      <c r="AGS176" s="1056"/>
      <c r="AGT176" s="1056"/>
      <c r="AGU176" s="1056"/>
      <c r="AGV176" s="1056"/>
      <c r="AGW176" s="1056"/>
      <c r="AGX176" s="1056"/>
      <c r="AGY176" s="1056"/>
      <c r="AGZ176" s="1056"/>
      <c r="AHA176" s="1056"/>
      <c r="AHB176" s="1056"/>
      <c r="AHC176" s="1056"/>
      <c r="AHD176" s="1056"/>
      <c r="AHE176" s="1056"/>
      <c r="AHF176" s="1056"/>
      <c r="AHG176" s="1056"/>
      <c r="AHH176" s="1056"/>
      <c r="AHI176" s="1056"/>
      <c r="AHJ176" s="1056"/>
      <c r="AHK176" s="1056"/>
      <c r="AHL176" s="1056"/>
      <c r="AHM176" s="1056"/>
      <c r="AHN176" s="1056"/>
      <c r="AHO176" s="1056"/>
      <c r="AHP176" s="1056"/>
      <c r="AHQ176" s="1056"/>
      <c r="AHR176" s="1056"/>
      <c r="AHS176" s="1056"/>
      <c r="AHT176" s="1056"/>
      <c r="AHU176" s="1056"/>
      <c r="AHV176" s="1056"/>
      <c r="AHW176" s="1056"/>
      <c r="AHX176" s="1056"/>
      <c r="AHY176" s="1056"/>
      <c r="AHZ176" s="1056"/>
      <c r="AIA176" s="1056"/>
      <c r="AIB176" s="1056"/>
      <c r="AIC176" s="1056"/>
      <c r="AID176" s="1056"/>
      <c r="AIE176" s="1056"/>
      <c r="AIF176" s="1056"/>
      <c r="AIG176" s="1056"/>
      <c r="AIH176" s="1056"/>
      <c r="AII176" s="1056"/>
      <c r="AIJ176" s="1056"/>
      <c r="AIK176" s="1056"/>
      <c r="AIL176" s="1056"/>
      <c r="AIM176" s="1056"/>
      <c r="AIN176" s="1056"/>
      <c r="AIO176" s="1056"/>
      <c r="AIP176" s="1056"/>
      <c r="AIQ176" s="1056"/>
      <c r="AIR176" s="1056"/>
      <c r="AIS176" s="1056"/>
      <c r="AIT176" s="1056"/>
      <c r="AIU176" s="1056"/>
      <c r="AIV176" s="1056"/>
      <c r="AIW176" s="1056"/>
      <c r="AIX176" s="1056"/>
      <c r="AIY176" s="1056"/>
      <c r="AIZ176" s="1056"/>
      <c r="AJA176" s="1056"/>
      <c r="AJB176" s="1056"/>
      <c r="AJC176" s="1056"/>
      <c r="AJD176" s="1056"/>
      <c r="AJE176" s="1056"/>
      <c r="AJF176" s="1056"/>
      <c r="AJG176" s="1056"/>
      <c r="AJH176" s="1056"/>
      <c r="AJI176" s="1056"/>
      <c r="AJJ176" s="1056"/>
      <c r="AJK176" s="1056"/>
      <c r="AJL176" s="1056"/>
      <c r="AJM176" s="1056"/>
      <c r="AJN176" s="1056"/>
      <c r="AJO176" s="1056"/>
      <c r="AJP176" s="1056"/>
      <c r="AJQ176" s="1056"/>
      <c r="AJR176" s="1056"/>
      <c r="AJS176" s="1056"/>
      <c r="AJT176" s="1056"/>
      <c r="AJU176" s="1056"/>
      <c r="AJV176" s="1056"/>
      <c r="AJW176" s="1056"/>
      <c r="AJX176" s="1056"/>
      <c r="AJY176" s="1056"/>
      <c r="AJZ176" s="1056"/>
      <c r="AKA176" s="1056"/>
      <c r="AKB176" s="1056"/>
      <c r="AKC176" s="1056"/>
      <c r="AKD176" s="1056"/>
      <c r="AKE176" s="1056"/>
      <c r="AKF176" s="1056"/>
      <c r="AKG176" s="1056"/>
      <c r="AKH176" s="1056"/>
      <c r="AKI176" s="1056"/>
      <c r="AKJ176" s="1056"/>
      <c r="AKK176" s="1056"/>
      <c r="AKL176" s="1056"/>
      <c r="AKM176" s="1056"/>
      <c r="AKN176" s="1056"/>
      <c r="AKO176" s="1056"/>
      <c r="AKP176" s="1056"/>
      <c r="AKQ176" s="1056"/>
      <c r="AKR176" s="1056"/>
      <c r="AKS176" s="1056"/>
      <c r="AKT176" s="1056"/>
      <c r="AKU176" s="1056"/>
      <c r="AKV176" s="1056"/>
      <c r="AKW176" s="1056"/>
      <c r="AKX176" s="1056"/>
      <c r="AKY176" s="1056"/>
      <c r="AKZ176" s="1056"/>
      <c r="ALA176" s="1056"/>
      <c r="ALB176" s="1056"/>
      <c r="ALC176" s="1056"/>
      <c r="ALD176" s="1056"/>
      <c r="ALE176" s="1056"/>
      <c r="ALF176" s="1056"/>
      <c r="ALG176" s="1056"/>
      <c r="ALH176" s="1056"/>
      <c r="ALI176" s="1056"/>
      <c r="ALJ176" s="1056"/>
      <c r="ALK176" s="1056"/>
      <c r="ALL176" s="1056"/>
      <c r="ALM176" s="1056"/>
      <c r="ALN176" s="1056"/>
      <c r="ALO176" s="1056"/>
      <c r="ALP176" s="1056"/>
      <c r="ALQ176" s="1056"/>
      <c r="ALR176" s="1056"/>
      <c r="ALS176" s="1056"/>
      <c r="ALT176" s="1056"/>
      <c r="ALU176" s="1056"/>
      <c r="ALV176" s="1056"/>
      <c r="ALW176" s="1056"/>
      <c r="ALX176" s="1056"/>
      <c r="ALY176" s="1056"/>
      <c r="ALZ176" s="1056"/>
      <c r="AMA176" s="1056"/>
      <c r="AMB176" s="1056"/>
      <c r="AMC176" s="1056"/>
      <c r="AMD176" s="1056"/>
      <c r="AME176" s="1056"/>
      <c r="AMF176" s="1056"/>
      <c r="AMG176" s="1056"/>
      <c r="AMH176" s="1056"/>
      <c r="AMI176" s="1056"/>
      <c r="AMJ176" s="1056"/>
      <c r="AMK176" s="1056"/>
      <c r="AML176" s="1056"/>
      <c r="AMM176" s="1056"/>
      <c r="AMN176" s="1056"/>
      <c r="AMO176" s="1056"/>
      <c r="AMP176" s="1056"/>
      <c r="AMQ176" s="1056"/>
      <c r="AMR176" s="1056"/>
      <c r="AMS176" s="1056"/>
      <c r="AMT176" s="1056"/>
      <c r="AMU176" s="1056"/>
      <c r="AMV176" s="1056"/>
      <c r="AMW176" s="1056"/>
      <c r="AMX176" s="1056"/>
      <c r="AMY176" s="1056"/>
      <c r="AMZ176" s="1056"/>
      <c r="ANA176" s="1056"/>
      <c r="ANB176" s="1056"/>
      <c r="ANC176" s="1056"/>
      <c r="AND176" s="1056"/>
      <c r="ANE176" s="1056"/>
      <c r="ANF176" s="1056"/>
      <c r="ANG176" s="1056"/>
      <c r="ANH176" s="1056"/>
      <c r="ANI176" s="1056"/>
      <c r="ANJ176" s="1056"/>
      <c r="ANK176" s="1056"/>
      <c r="ANL176" s="1056"/>
      <c r="ANM176" s="1056"/>
      <c r="ANN176" s="1056"/>
      <c r="ANO176" s="1056"/>
      <c r="ANP176" s="1056"/>
      <c r="ANQ176" s="1056"/>
      <c r="ANR176" s="1056"/>
      <c r="ANS176" s="1056"/>
      <c r="ANT176" s="1056"/>
      <c r="ANU176" s="1056"/>
      <c r="ANV176" s="1056"/>
      <c r="ANW176" s="1056"/>
      <c r="ANX176" s="1056"/>
      <c r="ANY176" s="1056"/>
      <c r="ANZ176" s="1056"/>
      <c r="AOA176" s="1056"/>
      <c r="AOB176" s="1056"/>
      <c r="AOC176" s="1056"/>
      <c r="AOD176" s="1056"/>
      <c r="AOE176" s="1056"/>
      <c r="AOF176" s="1056"/>
      <c r="AOG176" s="1056"/>
      <c r="AOH176" s="1056"/>
      <c r="AOI176" s="1056"/>
      <c r="AOJ176" s="1056"/>
      <c r="AOK176" s="1056"/>
      <c r="AOL176" s="1056"/>
      <c r="AOM176" s="1056"/>
      <c r="AON176" s="1056"/>
      <c r="AOO176" s="1056"/>
      <c r="AOP176" s="1056"/>
      <c r="AOQ176" s="1056"/>
      <c r="AOR176" s="1056"/>
      <c r="AOS176" s="1056"/>
      <c r="AOT176" s="1056"/>
      <c r="AOU176" s="1056"/>
      <c r="AOV176" s="1056"/>
      <c r="AOW176" s="1056"/>
      <c r="AOX176" s="1056"/>
      <c r="AOY176" s="1056"/>
      <c r="AOZ176" s="1056"/>
      <c r="APA176" s="1056"/>
      <c r="APB176" s="1056"/>
      <c r="APC176" s="1056"/>
      <c r="APD176" s="1056"/>
      <c r="APE176" s="1056"/>
      <c r="APF176" s="1056"/>
      <c r="APG176" s="1056"/>
      <c r="APH176" s="1056"/>
      <c r="API176" s="1056"/>
      <c r="APJ176" s="1056"/>
      <c r="APK176" s="1056"/>
      <c r="APL176" s="1056"/>
      <c r="APM176" s="1056"/>
      <c r="APN176" s="1056"/>
      <c r="APO176" s="1056"/>
      <c r="APP176" s="1056"/>
      <c r="APQ176" s="1056"/>
      <c r="APR176" s="1056"/>
      <c r="APS176" s="1056"/>
      <c r="APT176" s="1056"/>
      <c r="APU176" s="1056"/>
      <c r="APV176" s="1056"/>
      <c r="APW176" s="1056"/>
      <c r="APX176" s="1056"/>
      <c r="APY176" s="1056"/>
      <c r="APZ176" s="1056"/>
      <c r="AQA176" s="1056"/>
      <c r="AQB176" s="1056"/>
      <c r="AQC176" s="1056"/>
      <c r="AQD176" s="1056"/>
      <c r="AQE176" s="1056"/>
      <c r="AQF176" s="1056"/>
      <c r="AQG176" s="1056"/>
      <c r="AQH176" s="1056"/>
      <c r="AQI176" s="1056"/>
      <c r="AQJ176" s="1056"/>
      <c r="AQK176" s="1056"/>
      <c r="AQL176" s="1056"/>
      <c r="AQM176" s="1056"/>
      <c r="AQN176" s="1056"/>
      <c r="AQO176" s="1056"/>
      <c r="AQP176" s="1056"/>
      <c r="AQQ176" s="1056"/>
      <c r="AQR176" s="1056"/>
      <c r="AQS176" s="1056"/>
      <c r="AQT176" s="1056"/>
      <c r="AQU176" s="1056"/>
      <c r="AQV176" s="1056"/>
      <c r="AQW176" s="1056"/>
      <c r="AQX176" s="1056"/>
      <c r="AQY176" s="1056"/>
      <c r="AQZ176" s="1056"/>
      <c r="ARA176" s="1056"/>
      <c r="ARB176" s="1056"/>
      <c r="ARC176" s="1056"/>
      <c r="ARD176" s="1056"/>
      <c r="ARE176" s="1056"/>
      <c r="ARF176" s="1056"/>
      <c r="ARG176" s="1056"/>
      <c r="ARH176" s="1056"/>
      <c r="ARI176" s="1056"/>
      <c r="ARJ176" s="1056"/>
      <c r="ARK176" s="1056"/>
      <c r="ARL176" s="1056"/>
      <c r="ARM176" s="1056"/>
      <c r="ARN176" s="1056"/>
      <c r="ARO176" s="1056"/>
      <c r="ARP176" s="1056"/>
      <c r="ARQ176" s="1056"/>
      <c r="ARR176" s="1056"/>
      <c r="ARS176" s="1056"/>
      <c r="ART176" s="1056"/>
      <c r="ARU176" s="1056"/>
      <c r="ARV176" s="1056"/>
      <c r="ARW176" s="1056"/>
      <c r="ARX176" s="1056"/>
      <c r="ARY176" s="1056"/>
      <c r="ARZ176" s="1056"/>
      <c r="ASA176" s="1056"/>
      <c r="ASB176" s="1056"/>
      <c r="ASC176" s="1056"/>
      <c r="ASD176" s="1056"/>
      <c r="ASE176" s="1056"/>
      <c r="ASF176" s="1056"/>
      <c r="ASG176" s="1056"/>
      <c r="ASH176" s="1056"/>
      <c r="ASI176" s="1056"/>
      <c r="ASJ176" s="1056"/>
      <c r="ASK176" s="1056"/>
      <c r="ASL176" s="1056"/>
      <c r="ASM176" s="1056"/>
      <c r="ASN176" s="1056"/>
      <c r="ASO176" s="1056"/>
      <c r="ASP176" s="1056"/>
      <c r="ASQ176" s="1056"/>
      <c r="ASR176" s="1056"/>
      <c r="ASS176" s="1056"/>
      <c r="AST176" s="1056"/>
      <c r="ASU176" s="1056"/>
      <c r="ASV176" s="1056"/>
      <c r="ASW176" s="1056"/>
      <c r="ASX176" s="1056"/>
      <c r="ASY176" s="1056"/>
      <c r="ASZ176" s="1056"/>
      <c r="ATA176" s="1056"/>
      <c r="ATB176" s="1056"/>
      <c r="ATC176" s="1056"/>
      <c r="ATD176" s="1056"/>
      <c r="ATE176" s="1056"/>
      <c r="ATF176" s="1056"/>
      <c r="ATG176" s="1056"/>
      <c r="ATH176" s="1056"/>
      <c r="ATI176" s="1056"/>
      <c r="ATJ176" s="1056"/>
      <c r="ATK176" s="1056"/>
      <c r="ATL176" s="1056"/>
      <c r="ATM176" s="1056"/>
      <c r="ATN176" s="1056"/>
      <c r="ATO176" s="1056"/>
      <c r="ATP176" s="1056"/>
      <c r="ATQ176" s="1056"/>
      <c r="ATR176" s="1056"/>
      <c r="ATS176" s="1056"/>
      <c r="ATT176" s="1056"/>
      <c r="ATU176" s="1056"/>
      <c r="ATV176" s="1056"/>
      <c r="ATW176" s="1056"/>
      <c r="ATX176" s="1056"/>
      <c r="ATY176" s="1056"/>
      <c r="ATZ176" s="1056"/>
      <c r="AUA176" s="1056"/>
      <c r="AUB176" s="1056"/>
      <c r="AUC176" s="1056"/>
      <c r="AUD176" s="1056"/>
      <c r="AUE176" s="1056"/>
      <c r="AUF176" s="1056"/>
      <c r="AUG176" s="1056"/>
      <c r="AUH176" s="1056"/>
      <c r="AUI176" s="1056"/>
      <c r="AUJ176" s="1056"/>
      <c r="AUK176" s="1056"/>
      <c r="AUL176" s="1056"/>
      <c r="AUM176" s="1056"/>
      <c r="AUN176" s="1056"/>
      <c r="AUO176" s="1056"/>
      <c r="AUP176" s="1056"/>
      <c r="AUQ176" s="1056"/>
      <c r="AUR176" s="1056"/>
      <c r="AUS176" s="1056"/>
      <c r="AUT176" s="1056"/>
      <c r="AUU176" s="1056"/>
      <c r="AUV176" s="1056"/>
      <c r="AUW176" s="1056"/>
      <c r="AUX176" s="1056"/>
      <c r="AUY176" s="1056"/>
      <c r="AUZ176" s="1056"/>
      <c r="AVA176" s="1056"/>
      <c r="AVB176" s="1056"/>
      <c r="AVC176" s="1056"/>
      <c r="AVD176" s="1056"/>
      <c r="AVE176" s="1056"/>
      <c r="AVF176" s="1056"/>
      <c r="AVG176" s="1056"/>
      <c r="AVH176" s="1056"/>
      <c r="AVI176" s="1056"/>
      <c r="AVJ176" s="1056"/>
      <c r="AVK176" s="1056"/>
      <c r="AVL176" s="1056"/>
      <c r="AVM176" s="1056"/>
      <c r="AVN176" s="1056"/>
      <c r="AVO176" s="1056"/>
      <c r="AVP176" s="1056"/>
      <c r="AVQ176" s="1056"/>
      <c r="AVR176" s="1056"/>
      <c r="AVS176" s="1056"/>
      <c r="AVT176" s="1056"/>
      <c r="AVU176" s="1056"/>
      <c r="AVV176" s="1056"/>
      <c r="AVW176" s="1056"/>
      <c r="AVX176" s="1056"/>
      <c r="AVY176" s="1056"/>
      <c r="AVZ176" s="1056"/>
      <c r="AWA176" s="1056"/>
      <c r="AWB176" s="1056"/>
      <c r="AWC176" s="1056"/>
      <c r="AWD176" s="1056"/>
      <c r="AWE176" s="1056"/>
      <c r="AWF176" s="1056"/>
      <c r="AWG176" s="1056"/>
      <c r="AWH176" s="1056"/>
      <c r="AWI176" s="1056"/>
      <c r="AWJ176" s="1056"/>
      <c r="AWK176" s="1056"/>
      <c r="AWL176" s="1056"/>
      <c r="AWM176" s="1056"/>
      <c r="AWN176" s="1056"/>
      <c r="AWO176" s="1056"/>
      <c r="AWP176" s="1056"/>
      <c r="AWQ176" s="1056"/>
      <c r="AWR176" s="1056"/>
      <c r="AWS176" s="1056"/>
      <c r="AWT176" s="1056"/>
      <c r="AWU176" s="1056"/>
      <c r="AWV176" s="1056"/>
      <c r="AWW176" s="1056"/>
      <c r="AWX176" s="1056"/>
      <c r="AWY176" s="1056"/>
      <c r="AWZ176" s="1056"/>
      <c r="AXA176" s="1056"/>
      <c r="AXB176" s="1056"/>
      <c r="AXC176" s="1056"/>
      <c r="AXD176" s="1056"/>
      <c r="AXE176" s="1056"/>
      <c r="AXF176" s="1056"/>
      <c r="AXG176" s="1056"/>
      <c r="AXH176" s="1056"/>
      <c r="AXI176" s="1056"/>
      <c r="AXJ176" s="1056"/>
      <c r="AXK176" s="1056"/>
      <c r="AXL176" s="1056"/>
      <c r="AXM176" s="1056"/>
      <c r="AXN176" s="1056"/>
      <c r="AXO176" s="1056"/>
      <c r="AXP176" s="1056"/>
      <c r="AXQ176" s="1056"/>
      <c r="AXR176" s="1056"/>
      <c r="AXS176" s="1056"/>
      <c r="AXT176" s="1056"/>
      <c r="AXU176" s="1056"/>
      <c r="AXV176" s="1056"/>
      <c r="AXW176" s="1056"/>
      <c r="AXX176" s="1056"/>
      <c r="AXY176" s="1056"/>
      <c r="AXZ176" s="1056"/>
      <c r="AYA176" s="1056"/>
      <c r="AYB176" s="1056"/>
      <c r="AYC176" s="1056"/>
      <c r="AYD176" s="1056"/>
      <c r="AYE176" s="1056"/>
      <c r="AYF176" s="1056"/>
      <c r="AYG176" s="1056"/>
      <c r="AYH176" s="1056"/>
      <c r="AYI176" s="1056"/>
      <c r="AYJ176" s="1056"/>
      <c r="AYK176" s="1056"/>
      <c r="AYL176" s="1056"/>
      <c r="AYM176" s="1056"/>
      <c r="AYN176" s="1056"/>
      <c r="AYO176" s="1056"/>
      <c r="AYP176" s="1056"/>
      <c r="AYQ176" s="1056"/>
      <c r="AYR176" s="1056"/>
      <c r="AYS176" s="1056"/>
      <c r="AYT176" s="1056"/>
      <c r="AYU176" s="1056"/>
      <c r="AYV176" s="1056"/>
      <c r="AYW176" s="1056"/>
      <c r="AYX176" s="1056"/>
      <c r="AYY176" s="1056"/>
      <c r="AYZ176" s="1056"/>
      <c r="AZA176" s="1056"/>
      <c r="AZB176" s="1056"/>
      <c r="AZC176" s="1056"/>
      <c r="AZD176" s="1056"/>
      <c r="AZE176" s="1056"/>
      <c r="AZF176" s="1056"/>
      <c r="AZG176" s="1056"/>
      <c r="AZH176" s="1056"/>
      <c r="AZI176" s="1056"/>
      <c r="AZJ176" s="1056"/>
      <c r="AZK176" s="1056"/>
      <c r="AZL176" s="1056"/>
      <c r="AZM176" s="1056"/>
      <c r="AZN176" s="1056"/>
      <c r="AZO176" s="1056"/>
      <c r="AZP176" s="1056"/>
      <c r="AZQ176" s="1056"/>
      <c r="AZR176" s="1056"/>
      <c r="AZS176" s="1056"/>
      <c r="AZT176" s="1056"/>
      <c r="AZU176" s="1056"/>
      <c r="AZV176" s="1056"/>
      <c r="AZW176" s="1056"/>
      <c r="AZX176" s="1056"/>
      <c r="AZY176" s="1056"/>
      <c r="AZZ176" s="1056"/>
      <c r="BAA176" s="1056"/>
      <c r="BAB176" s="1056"/>
      <c r="BAC176" s="1056"/>
      <c r="BAD176" s="1056"/>
      <c r="BAE176" s="1056"/>
      <c r="BAF176" s="1056"/>
      <c r="BAG176" s="1056"/>
      <c r="BAH176" s="1056"/>
      <c r="BAI176" s="1056"/>
      <c r="BAJ176" s="1056"/>
      <c r="BAK176" s="1056"/>
      <c r="BAL176" s="1056"/>
      <c r="BAM176" s="1056"/>
      <c r="BAN176" s="1056"/>
      <c r="BAO176" s="1056"/>
      <c r="BAP176" s="1056"/>
      <c r="BAQ176" s="1056"/>
      <c r="BAR176" s="1056"/>
      <c r="BAS176" s="1056"/>
      <c r="BAT176" s="1056"/>
      <c r="BAU176" s="1056"/>
      <c r="BAV176" s="1056"/>
      <c r="BAW176" s="1056"/>
      <c r="BAX176" s="1056"/>
      <c r="BAY176" s="1056"/>
      <c r="BAZ176" s="1056"/>
      <c r="BBA176" s="1056"/>
      <c r="BBB176" s="1056"/>
      <c r="BBC176" s="1056"/>
      <c r="BBD176" s="1056"/>
      <c r="BBE176" s="1056"/>
      <c r="BBF176" s="1056"/>
      <c r="BBG176" s="1056"/>
      <c r="BBH176" s="1056"/>
      <c r="BBI176" s="1056"/>
      <c r="BBJ176" s="1056"/>
      <c r="BBK176" s="1056"/>
      <c r="BBL176" s="1056"/>
      <c r="BBM176" s="1056"/>
      <c r="BBN176" s="1056"/>
      <c r="BBO176" s="1056"/>
      <c r="BBP176" s="1056"/>
      <c r="BBQ176" s="1056"/>
      <c r="BBR176" s="1056"/>
      <c r="BBS176" s="1056"/>
      <c r="BBT176" s="1056"/>
      <c r="BBU176" s="1056"/>
      <c r="BBV176" s="1056"/>
      <c r="BBW176" s="1056"/>
      <c r="BBX176" s="1056"/>
      <c r="BBY176" s="1056"/>
      <c r="BBZ176" s="1056"/>
      <c r="BCA176" s="1056"/>
      <c r="BCB176" s="1056"/>
      <c r="BCC176" s="1056"/>
      <c r="BCD176" s="1056"/>
      <c r="BCE176" s="1056"/>
      <c r="BCF176" s="1056"/>
      <c r="BCG176" s="1056"/>
      <c r="BCH176" s="1056"/>
      <c r="BCI176" s="1056"/>
      <c r="BCJ176" s="1056"/>
      <c r="BCK176" s="1056"/>
      <c r="BCL176" s="1056"/>
      <c r="BCM176" s="1056"/>
      <c r="BCN176" s="1056"/>
      <c r="BCO176" s="1056"/>
      <c r="BCP176" s="1056"/>
      <c r="BCQ176" s="1056"/>
      <c r="BCR176" s="1056"/>
      <c r="BCS176" s="1056"/>
      <c r="BCT176" s="1056"/>
      <c r="BCU176" s="1056"/>
      <c r="BCV176" s="1056"/>
      <c r="BCW176" s="1056"/>
      <c r="BCX176" s="1056"/>
      <c r="BCY176" s="1056"/>
      <c r="BCZ176" s="1056"/>
      <c r="BDA176" s="1056"/>
      <c r="BDB176" s="1056"/>
      <c r="BDC176" s="1056"/>
      <c r="BDD176" s="1056"/>
      <c r="BDE176" s="1056"/>
      <c r="BDF176" s="1056"/>
      <c r="BDG176" s="1056"/>
      <c r="BDH176" s="1056"/>
      <c r="BDI176" s="1056"/>
      <c r="BDJ176" s="1056"/>
      <c r="BDK176" s="1056"/>
      <c r="BDL176" s="1056"/>
      <c r="BDM176" s="1056"/>
      <c r="BDN176" s="1056"/>
      <c r="BDO176" s="1056"/>
      <c r="BDP176" s="1056"/>
      <c r="BDQ176" s="1056"/>
      <c r="BDR176" s="1056"/>
      <c r="BDS176" s="1056"/>
      <c r="BDT176" s="1056"/>
      <c r="BDU176" s="1056"/>
      <c r="BDV176" s="1056"/>
      <c r="BDW176" s="1056"/>
      <c r="BDX176" s="1056"/>
      <c r="BDY176" s="1056"/>
      <c r="BDZ176" s="1056"/>
      <c r="BEA176" s="1056"/>
      <c r="BEB176" s="1056"/>
      <c r="BEC176" s="1056"/>
      <c r="BED176" s="1056"/>
      <c r="BEE176" s="1056"/>
      <c r="BEF176" s="1056"/>
      <c r="BEG176" s="1056"/>
      <c r="BEH176" s="1056"/>
      <c r="BEI176" s="1056"/>
      <c r="BEJ176" s="1056"/>
      <c r="BEK176" s="1056"/>
      <c r="BEL176" s="1056"/>
      <c r="BEM176" s="1056"/>
      <c r="BEN176" s="1056"/>
      <c r="BEO176" s="1056"/>
      <c r="BEP176" s="1056"/>
      <c r="BEQ176" s="1056"/>
      <c r="BER176" s="1056"/>
      <c r="BES176" s="1056"/>
      <c r="BET176" s="1056"/>
      <c r="BEU176" s="1056"/>
      <c r="BEV176" s="1056"/>
      <c r="BEW176" s="1056"/>
      <c r="BEX176" s="1056"/>
      <c r="BEY176" s="1056"/>
      <c r="BEZ176" s="1056"/>
      <c r="BFA176" s="1056"/>
      <c r="BFB176" s="1056"/>
      <c r="BFC176" s="1056"/>
      <c r="BFD176" s="1056"/>
      <c r="BFE176" s="1056"/>
      <c r="BFF176" s="1056"/>
      <c r="BFG176" s="1056"/>
      <c r="BFH176" s="1056"/>
      <c r="BFI176" s="1056"/>
      <c r="BFJ176" s="1056"/>
      <c r="BFK176" s="1056"/>
      <c r="BFL176" s="1056"/>
      <c r="BFM176" s="1056"/>
      <c r="BFN176" s="1056"/>
      <c r="BFO176" s="1056"/>
      <c r="BFP176" s="1056"/>
      <c r="BFQ176" s="1056"/>
      <c r="BFR176" s="1056"/>
      <c r="BFS176" s="1056"/>
      <c r="BFT176" s="1056"/>
      <c r="BFU176" s="1056"/>
      <c r="BFV176" s="1056"/>
      <c r="BFW176" s="1056"/>
      <c r="BFX176" s="1056"/>
      <c r="BFY176" s="1056"/>
      <c r="BFZ176" s="1056"/>
      <c r="BGA176" s="1056"/>
      <c r="BGB176" s="1056"/>
      <c r="BGC176" s="1056"/>
      <c r="BGD176" s="1056"/>
      <c r="BGE176" s="1056"/>
      <c r="BGF176" s="1056"/>
      <c r="BGG176" s="1056"/>
      <c r="BGH176" s="1056"/>
      <c r="BGI176" s="1056"/>
      <c r="BGJ176" s="1056"/>
      <c r="BGK176" s="1056"/>
      <c r="BGL176" s="1056"/>
      <c r="BGM176" s="1056"/>
      <c r="BGN176" s="1056"/>
      <c r="BGO176" s="1056"/>
      <c r="BGP176" s="1056"/>
      <c r="BGQ176" s="1056"/>
      <c r="BGR176" s="1056"/>
      <c r="BGS176" s="1056"/>
      <c r="BGT176" s="1056"/>
      <c r="BGU176" s="1056"/>
      <c r="BGV176" s="1056"/>
      <c r="BGW176" s="1056"/>
      <c r="BGX176" s="1056"/>
      <c r="BGY176" s="1056"/>
      <c r="BGZ176" s="1056"/>
      <c r="BHA176" s="1056"/>
      <c r="BHB176" s="1056"/>
      <c r="BHC176" s="1056"/>
      <c r="BHD176" s="1056"/>
      <c r="BHE176" s="1056"/>
      <c r="BHF176" s="1056"/>
      <c r="BHG176" s="1056"/>
      <c r="BHH176" s="1056"/>
      <c r="BHI176" s="1056"/>
      <c r="BHJ176" s="1056"/>
      <c r="BHK176" s="1056"/>
      <c r="BHL176" s="1056"/>
      <c r="BHM176" s="1056"/>
      <c r="BHN176" s="1056"/>
      <c r="BHO176" s="1056"/>
      <c r="BHP176" s="1056"/>
      <c r="BHQ176" s="1056"/>
      <c r="BHR176" s="1056"/>
      <c r="BHS176" s="1056"/>
      <c r="BHT176" s="1056"/>
      <c r="BHU176" s="1056"/>
      <c r="BHV176" s="1056"/>
      <c r="BHW176" s="1056"/>
      <c r="BHX176" s="1056"/>
      <c r="BHY176" s="1056"/>
      <c r="BHZ176" s="1056"/>
      <c r="BIA176" s="1056"/>
      <c r="BIB176" s="1056"/>
      <c r="BIC176" s="1056"/>
      <c r="BID176" s="1056"/>
      <c r="BIE176" s="1056"/>
      <c r="BIF176" s="1056"/>
      <c r="BIG176" s="1056"/>
      <c r="BIH176" s="1056"/>
      <c r="BII176" s="1056"/>
      <c r="BIJ176" s="1056"/>
      <c r="BIK176" s="1056"/>
      <c r="BIL176" s="1056"/>
      <c r="BIM176" s="1056"/>
      <c r="BIN176" s="1056"/>
      <c r="BIO176" s="1056"/>
      <c r="BIP176" s="1056"/>
      <c r="BIQ176" s="1056"/>
      <c r="BIR176" s="1056"/>
      <c r="BIS176" s="1056"/>
      <c r="BIT176" s="1056"/>
      <c r="BIU176" s="1056"/>
      <c r="BIV176" s="1056"/>
      <c r="BIW176" s="1056"/>
      <c r="BIX176" s="1056"/>
      <c r="BIY176" s="1056"/>
      <c r="BIZ176" s="1056"/>
      <c r="BJA176" s="1056"/>
      <c r="BJB176" s="1056"/>
      <c r="BJC176" s="1056"/>
      <c r="BJD176" s="1056"/>
      <c r="BJE176" s="1056"/>
      <c r="BJF176" s="1056"/>
      <c r="BJG176" s="1056"/>
      <c r="BJH176" s="1056"/>
      <c r="BJI176" s="1056"/>
      <c r="BJJ176" s="1056"/>
      <c r="BJK176" s="1056"/>
      <c r="BJL176" s="1056"/>
      <c r="BJM176" s="1056"/>
      <c r="BJN176" s="1056"/>
      <c r="BJO176" s="1056"/>
      <c r="BJP176" s="1056"/>
      <c r="BJQ176" s="1056"/>
      <c r="BJR176" s="1056"/>
      <c r="BJS176" s="1056"/>
      <c r="BJT176" s="1056"/>
      <c r="BJU176" s="1056"/>
      <c r="BJV176" s="1056"/>
      <c r="BJW176" s="1056"/>
      <c r="BJX176" s="1056"/>
      <c r="BJY176" s="1056"/>
      <c r="BJZ176" s="1056"/>
      <c r="BKA176" s="1056"/>
      <c r="BKB176" s="1056"/>
      <c r="BKC176" s="1056"/>
      <c r="BKD176" s="1056"/>
      <c r="BKE176" s="1056"/>
      <c r="BKF176" s="1056"/>
      <c r="BKG176" s="1056"/>
      <c r="BKH176" s="1056"/>
      <c r="BKI176" s="1056"/>
      <c r="BKJ176" s="1056"/>
      <c r="BKK176" s="1056"/>
      <c r="BKL176" s="1056"/>
      <c r="BKM176" s="1056"/>
      <c r="BKN176" s="1056"/>
      <c r="BKO176" s="1056"/>
      <c r="BKP176" s="1056"/>
      <c r="BKQ176" s="1056"/>
      <c r="BKR176" s="1056"/>
      <c r="BKS176" s="1056"/>
      <c r="BKT176" s="1056"/>
      <c r="BKU176" s="1056"/>
      <c r="BKV176" s="1056"/>
      <c r="BKW176" s="1056"/>
      <c r="BKX176" s="1056"/>
      <c r="BKY176" s="1056"/>
      <c r="BKZ176" s="1056"/>
      <c r="BLA176" s="1056"/>
      <c r="BLB176" s="1056"/>
      <c r="BLC176" s="1056"/>
      <c r="BLD176" s="1056"/>
      <c r="BLE176" s="1056"/>
      <c r="BLF176" s="1056"/>
      <c r="BLG176" s="1056"/>
      <c r="BLH176" s="1056"/>
      <c r="BLI176" s="1056"/>
      <c r="BLJ176" s="1056"/>
      <c r="BLK176" s="1056"/>
      <c r="BLL176" s="1056"/>
      <c r="BLM176" s="1056"/>
      <c r="BLN176" s="1056"/>
      <c r="BLO176" s="1056"/>
      <c r="BLP176" s="1056"/>
      <c r="BLQ176" s="1056"/>
      <c r="BLR176" s="1056"/>
      <c r="BLS176" s="1056"/>
      <c r="BLT176" s="1056"/>
      <c r="BLU176" s="1056"/>
      <c r="BLV176" s="1056"/>
      <c r="BLW176" s="1056"/>
      <c r="BLX176" s="1056"/>
      <c r="BLY176" s="1056"/>
      <c r="BLZ176" s="1056"/>
      <c r="BMA176" s="1056"/>
      <c r="BMB176" s="1056"/>
      <c r="BMC176" s="1056"/>
      <c r="BMD176" s="1056"/>
      <c r="BME176" s="1056"/>
      <c r="BMF176" s="1056"/>
      <c r="BMG176" s="1056"/>
      <c r="BMH176" s="1056"/>
      <c r="BMI176" s="1056"/>
      <c r="BMJ176" s="1056"/>
      <c r="BMK176" s="1056"/>
      <c r="BML176" s="1056"/>
      <c r="BMM176" s="1056"/>
      <c r="BMN176" s="1056"/>
      <c r="BMO176" s="1056"/>
      <c r="BMP176" s="1056"/>
      <c r="BMQ176" s="1056"/>
      <c r="BMR176" s="1056"/>
      <c r="BMS176" s="1056"/>
      <c r="BMT176" s="1056"/>
      <c r="BMU176" s="1056"/>
      <c r="BMV176" s="1056"/>
      <c r="BMW176" s="1056"/>
      <c r="BMX176" s="1056"/>
      <c r="BMY176" s="1056"/>
      <c r="BMZ176" s="1056"/>
      <c r="BNA176" s="1056"/>
      <c r="BNB176" s="1056"/>
      <c r="BNC176" s="1056"/>
      <c r="BND176" s="1056"/>
      <c r="BNE176" s="1056"/>
      <c r="BNF176" s="1056"/>
      <c r="BNG176" s="1056"/>
      <c r="BNH176" s="1056"/>
      <c r="BNI176" s="1056"/>
      <c r="BNJ176" s="1056"/>
      <c r="BNK176" s="1056"/>
      <c r="BNL176" s="1056"/>
      <c r="BNM176" s="1056"/>
      <c r="BNN176" s="1056"/>
      <c r="BNO176" s="1056"/>
      <c r="BNP176" s="1056"/>
      <c r="BNQ176" s="1056"/>
      <c r="BNR176" s="1056"/>
      <c r="BNS176" s="1056"/>
      <c r="BNT176" s="1056"/>
      <c r="BNU176" s="1056"/>
      <c r="BNV176" s="1056"/>
      <c r="BNW176" s="1056"/>
      <c r="BNX176" s="1056"/>
      <c r="BNY176" s="1056"/>
      <c r="BNZ176" s="1056"/>
      <c r="BOA176" s="1056"/>
      <c r="BOB176" s="1056"/>
      <c r="BOC176" s="1056"/>
      <c r="BOD176" s="1056"/>
      <c r="BOE176" s="1056"/>
      <c r="BOF176" s="1056"/>
      <c r="BOG176" s="1056"/>
      <c r="BOH176" s="1056"/>
      <c r="BOI176" s="1056"/>
      <c r="BOJ176" s="1056"/>
      <c r="BOK176" s="1056"/>
      <c r="BOL176" s="1056"/>
      <c r="BOM176" s="1056"/>
      <c r="BON176" s="1056"/>
      <c r="BOO176" s="1056"/>
      <c r="BOP176" s="1056"/>
      <c r="BOQ176" s="1056"/>
      <c r="BOR176" s="1056"/>
      <c r="BOS176" s="1056"/>
      <c r="BOT176" s="1056"/>
      <c r="BOU176" s="1056"/>
      <c r="BOV176" s="1056"/>
      <c r="BOW176" s="1056"/>
      <c r="BOX176" s="1056"/>
      <c r="BOY176" s="1056"/>
      <c r="BOZ176" s="1056"/>
      <c r="BPA176" s="1056"/>
      <c r="BPB176" s="1056"/>
      <c r="BPC176" s="1056"/>
      <c r="BPD176" s="1056"/>
      <c r="BPE176" s="1056"/>
      <c r="BPF176" s="1056"/>
      <c r="BPG176" s="1056"/>
      <c r="BPH176" s="1056"/>
      <c r="BPI176" s="1056"/>
      <c r="BPJ176" s="1056"/>
      <c r="BPK176" s="1056"/>
      <c r="BPL176" s="1056"/>
      <c r="BPM176" s="1056"/>
      <c r="BPN176" s="1056"/>
      <c r="BPO176" s="1056"/>
      <c r="BPP176" s="1056"/>
      <c r="BPQ176" s="1056"/>
      <c r="BPR176" s="1056"/>
      <c r="BPS176" s="1056"/>
      <c r="BPT176" s="1056"/>
      <c r="BPU176" s="1056"/>
      <c r="BPV176" s="1056"/>
      <c r="BPW176" s="1056"/>
      <c r="BPX176" s="1056"/>
      <c r="BPY176" s="1056"/>
      <c r="BPZ176" s="1056"/>
      <c r="BQA176" s="1056"/>
      <c r="BQB176" s="1056"/>
      <c r="BQC176" s="1056"/>
      <c r="BQD176" s="1056"/>
      <c r="BQE176" s="1056"/>
      <c r="BQF176" s="1056"/>
      <c r="BQG176" s="1056"/>
      <c r="BQH176" s="1056"/>
      <c r="BQI176" s="1056"/>
      <c r="BQJ176" s="1056"/>
      <c r="BQK176" s="1056"/>
      <c r="BQL176" s="1056"/>
      <c r="BQM176" s="1056"/>
      <c r="BQN176" s="1056"/>
      <c r="BQO176" s="1056"/>
      <c r="BQP176" s="1056"/>
      <c r="BQQ176" s="1056"/>
      <c r="BQR176" s="1056"/>
      <c r="BQS176" s="1056"/>
      <c r="BQT176" s="1056"/>
      <c r="BQU176" s="1056"/>
      <c r="BQV176" s="1056"/>
      <c r="BQW176" s="1056"/>
      <c r="BQX176" s="1056"/>
      <c r="BQY176" s="1056"/>
      <c r="BQZ176" s="1056"/>
      <c r="BRA176" s="1056"/>
      <c r="BRB176" s="1056"/>
      <c r="BRC176" s="1056"/>
      <c r="BRD176" s="1056"/>
      <c r="BRE176" s="1056"/>
      <c r="BRF176" s="1056"/>
      <c r="BRG176" s="1056"/>
      <c r="BRH176" s="1056"/>
      <c r="BRI176" s="1056"/>
      <c r="BRJ176" s="1056"/>
      <c r="BRK176" s="1056"/>
      <c r="BRL176" s="1056"/>
      <c r="BRM176" s="1056"/>
      <c r="BRN176" s="1056"/>
      <c r="BRO176" s="1056"/>
      <c r="BRP176" s="1056"/>
      <c r="BRQ176" s="1056"/>
      <c r="BRR176" s="1056"/>
      <c r="BRS176" s="1056"/>
      <c r="BRT176" s="1056"/>
      <c r="BRU176" s="1056"/>
      <c r="BRV176" s="1056"/>
      <c r="BRW176" s="1056"/>
      <c r="BRX176" s="1056"/>
      <c r="BRY176" s="1056"/>
      <c r="BRZ176" s="1056"/>
      <c r="BSA176" s="1056"/>
      <c r="BSB176" s="1056"/>
      <c r="BSC176" s="1056"/>
      <c r="BSD176" s="1056"/>
      <c r="BSE176" s="1056"/>
      <c r="BSF176" s="1056"/>
      <c r="BSG176" s="1056"/>
      <c r="BSH176" s="1056"/>
      <c r="BSI176" s="1056"/>
      <c r="BSJ176" s="1056"/>
      <c r="BSK176" s="1056"/>
      <c r="BSL176" s="1056"/>
      <c r="BSM176" s="1056"/>
      <c r="BSN176" s="1056"/>
      <c r="BSO176" s="1056"/>
      <c r="BSP176" s="1056"/>
      <c r="BSQ176" s="1056"/>
      <c r="BSR176" s="1056"/>
      <c r="BSS176" s="1056"/>
      <c r="BST176" s="1056"/>
      <c r="BSU176" s="1056"/>
      <c r="BSV176" s="1056"/>
      <c r="BSW176" s="1056"/>
      <c r="BSX176" s="1056"/>
      <c r="BSY176" s="1056"/>
      <c r="BSZ176" s="1056"/>
      <c r="BTA176" s="1056"/>
      <c r="BTB176" s="1056"/>
      <c r="BTC176" s="1056"/>
      <c r="BTD176" s="1056"/>
      <c r="BTE176" s="1056"/>
      <c r="BTF176" s="1056"/>
      <c r="BTG176" s="1056"/>
      <c r="BTH176" s="1056"/>
      <c r="BTI176" s="1056"/>
    </row>
    <row r="177" spans="1:1881" s="1060" customFormat="1" ht="66" hidden="1" customHeight="1" x14ac:dyDescent="0.3">
      <c r="A177" s="1059">
        <v>351</v>
      </c>
      <c r="B177" s="808" t="s">
        <v>56</v>
      </c>
      <c r="C177" s="808" t="s">
        <v>1413</v>
      </c>
      <c r="D177" s="746" t="s">
        <v>1416</v>
      </c>
      <c r="E177" s="1053" t="e">
        <f>HLOOKUP($D$2,'2020 Data(H)'!$C$1:$AI$426,115,FALSE)</f>
        <v>#N/A</v>
      </c>
      <c r="F177" s="287">
        <v>0</v>
      </c>
      <c r="G177" s="722">
        <f>IF(F177&lt;0,"Error: Enter as positive.",)</f>
        <v>0</v>
      </c>
      <c r="H177" s="764"/>
      <c r="I177" s="1055"/>
      <c r="J177" s="1056"/>
      <c r="K177" s="1056"/>
      <c r="L177" s="1056"/>
      <c r="M177" s="1056"/>
      <c r="N177" s="1058"/>
      <c r="O177" s="1056"/>
      <c r="P177" s="1056"/>
      <c r="Q177" s="1056"/>
      <c r="R177" s="1056"/>
      <c r="S177" s="1056"/>
      <c r="T177" s="1056"/>
      <c r="U177" s="1056"/>
      <c r="V177" s="1056"/>
      <c r="W177" s="1056"/>
      <c r="X177" s="1056"/>
      <c r="Y177" s="1056"/>
      <c r="Z177" s="1059"/>
      <c r="AA177" s="1059"/>
      <c r="AB177" s="1059"/>
      <c r="AC177" s="1059"/>
      <c r="AD177" s="1059"/>
      <c r="AE177" s="1059"/>
      <c r="AF177" s="1059"/>
      <c r="AG177" s="1059"/>
      <c r="AH177" s="1059"/>
      <c r="AI177" s="1059"/>
      <c r="AJ177" s="1059"/>
      <c r="AK177" s="1059"/>
      <c r="AL177" s="1059"/>
      <c r="AM177" s="1059"/>
      <c r="AN177" s="1059"/>
      <c r="AO177" s="1059"/>
      <c r="AP177" s="1059"/>
      <c r="AQ177" s="1059"/>
      <c r="AR177" s="1059"/>
      <c r="AS177" s="1056"/>
      <c r="AT177" s="1056"/>
      <c r="AU177" s="1056"/>
      <c r="AV177" s="1056"/>
      <c r="AW177" s="1056"/>
      <c r="AX177" s="1056"/>
      <c r="AY177" s="1056"/>
      <c r="AZ177" s="1056"/>
      <c r="BA177" s="1056"/>
      <c r="BB177" s="1056"/>
      <c r="BC177" s="1056"/>
      <c r="BD177" s="1056"/>
      <c r="BE177" s="1056"/>
      <c r="BF177" s="1056"/>
      <c r="BG177" s="1056"/>
      <c r="BH177" s="1056"/>
      <c r="BI177" s="1056"/>
      <c r="BJ177" s="1056"/>
      <c r="BK177" s="1056"/>
      <c r="BL177" s="1056"/>
      <c r="BM177" s="1056"/>
      <c r="BN177" s="1056"/>
      <c r="BO177" s="1056"/>
      <c r="BP177" s="1056"/>
      <c r="BQ177" s="1056"/>
      <c r="BR177" s="1056"/>
      <c r="BS177" s="1056"/>
      <c r="BT177" s="1056"/>
      <c r="BU177" s="1056"/>
      <c r="BV177" s="1056"/>
      <c r="BW177" s="1056"/>
      <c r="BX177" s="1056"/>
      <c r="BY177" s="1056"/>
      <c r="BZ177" s="1056"/>
      <c r="CA177" s="1056"/>
      <c r="CB177" s="1056"/>
      <c r="CC177" s="1056"/>
      <c r="CD177" s="1056"/>
      <c r="CE177" s="1056"/>
      <c r="CF177" s="1056"/>
      <c r="CG177" s="1056"/>
      <c r="CH177" s="1056"/>
      <c r="CI177" s="1056"/>
      <c r="CJ177" s="1056"/>
      <c r="CK177" s="1056"/>
      <c r="CL177" s="1056"/>
      <c r="CM177" s="1056"/>
      <c r="CN177" s="1056"/>
      <c r="CO177" s="1056"/>
      <c r="CP177" s="1056"/>
      <c r="CQ177" s="1056"/>
      <c r="CR177" s="1056"/>
      <c r="CS177" s="1056"/>
      <c r="CT177" s="1056"/>
      <c r="CU177" s="1056"/>
      <c r="CV177" s="1056"/>
      <c r="CW177" s="1056"/>
      <c r="CX177" s="1056"/>
      <c r="CY177" s="1056"/>
      <c r="CZ177" s="1056"/>
      <c r="DA177" s="1056"/>
      <c r="DB177" s="1056"/>
      <c r="DC177" s="1056"/>
      <c r="DD177" s="1056"/>
      <c r="DE177" s="1056"/>
      <c r="DF177" s="1056"/>
      <c r="DG177" s="1056"/>
      <c r="DH177" s="1056"/>
      <c r="DI177" s="1056"/>
      <c r="DJ177" s="1056"/>
      <c r="DK177" s="1056"/>
      <c r="DL177" s="1056"/>
      <c r="DM177" s="1056"/>
      <c r="DN177" s="1056"/>
      <c r="DO177" s="1056"/>
      <c r="DP177" s="1056"/>
      <c r="DQ177" s="1056"/>
      <c r="DR177" s="1056"/>
      <c r="DS177" s="1056"/>
      <c r="DT177" s="1056"/>
      <c r="DU177" s="1056"/>
      <c r="DV177" s="1056"/>
      <c r="DW177" s="1056"/>
      <c r="DX177" s="1056"/>
      <c r="DY177" s="1056"/>
      <c r="DZ177" s="1056"/>
      <c r="EA177" s="1056"/>
      <c r="EB177" s="1056"/>
      <c r="EC177" s="1056"/>
      <c r="ED177" s="1056"/>
      <c r="EE177" s="1056"/>
      <c r="EF177" s="1056"/>
      <c r="EG177" s="1056"/>
      <c r="EH177" s="1056"/>
      <c r="EI177" s="1056"/>
      <c r="EJ177" s="1056"/>
      <c r="EK177" s="1056"/>
      <c r="EL177" s="1056"/>
      <c r="EM177" s="1056"/>
      <c r="EN177" s="1056"/>
      <c r="EO177" s="1056"/>
      <c r="EP177" s="1056"/>
      <c r="EQ177" s="1056"/>
      <c r="ER177" s="1056"/>
      <c r="ES177" s="1056"/>
      <c r="ET177" s="1056"/>
      <c r="EU177" s="1056"/>
      <c r="EV177" s="1056"/>
      <c r="EW177" s="1056"/>
      <c r="EX177" s="1056"/>
      <c r="EY177" s="1056"/>
      <c r="EZ177" s="1056"/>
      <c r="FA177" s="1056"/>
      <c r="FB177" s="1056"/>
      <c r="FC177" s="1056"/>
      <c r="FD177" s="1056"/>
      <c r="FE177" s="1056"/>
      <c r="FF177" s="1056"/>
      <c r="FG177" s="1056"/>
      <c r="FH177" s="1056"/>
      <c r="FI177" s="1056"/>
      <c r="FJ177" s="1056"/>
      <c r="FK177" s="1056"/>
      <c r="FL177" s="1056"/>
      <c r="FM177" s="1056"/>
      <c r="FN177" s="1056"/>
      <c r="FO177" s="1056"/>
      <c r="FP177" s="1056"/>
      <c r="FQ177" s="1056"/>
      <c r="FR177" s="1056"/>
      <c r="FS177" s="1056"/>
      <c r="FT177" s="1056"/>
      <c r="FU177" s="1056"/>
      <c r="FV177" s="1056"/>
      <c r="FW177" s="1056"/>
      <c r="FX177" s="1056"/>
      <c r="FY177" s="1056"/>
      <c r="FZ177" s="1056"/>
      <c r="GA177" s="1056"/>
      <c r="GB177" s="1056"/>
      <c r="GC177" s="1056"/>
      <c r="GD177" s="1056"/>
      <c r="GE177" s="1056"/>
      <c r="GF177" s="1056"/>
      <c r="GG177" s="1056"/>
      <c r="GH177" s="1056"/>
      <c r="GI177" s="1056"/>
      <c r="GJ177" s="1056"/>
      <c r="GK177" s="1056"/>
      <c r="GL177" s="1056"/>
      <c r="GM177" s="1056"/>
      <c r="GN177" s="1056"/>
      <c r="GO177" s="1056"/>
      <c r="GP177" s="1056"/>
      <c r="GQ177" s="1056"/>
      <c r="GR177" s="1056"/>
      <c r="GS177" s="1056"/>
      <c r="GT177" s="1056"/>
      <c r="GU177" s="1056"/>
      <c r="GV177" s="1056"/>
      <c r="GW177" s="1056"/>
      <c r="GX177" s="1056"/>
      <c r="GY177" s="1056"/>
      <c r="GZ177" s="1056"/>
      <c r="HA177" s="1056"/>
      <c r="HB177" s="1056"/>
      <c r="HC177" s="1056"/>
      <c r="HD177" s="1056"/>
      <c r="HE177" s="1056"/>
      <c r="HF177" s="1056"/>
      <c r="HG177" s="1056"/>
      <c r="HH177" s="1056"/>
      <c r="HI177" s="1056"/>
      <c r="HJ177" s="1056"/>
      <c r="HK177" s="1056"/>
      <c r="HL177" s="1056"/>
      <c r="HM177" s="1056"/>
      <c r="HN177" s="1056"/>
      <c r="HO177" s="1056"/>
      <c r="HP177" s="1056"/>
      <c r="HQ177" s="1056"/>
      <c r="HR177" s="1056"/>
      <c r="HS177" s="1056"/>
      <c r="HT177" s="1056"/>
      <c r="HU177" s="1056"/>
      <c r="HV177" s="1056"/>
      <c r="HW177" s="1056"/>
      <c r="HX177" s="1056"/>
      <c r="HY177" s="1056"/>
      <c r="HZ177" s="1056"/>
      <c r="IA177" s="1056"/>
      <c r="IB177" s="1056"/>
      <c r="IC177" s="1056"/>
      <c r="ID177" s="1056"/>
      <c r="IE177" s="1056"/>
      <c r="IF177" s="1056"/>
      <c r="IG177" s="1056"/>
      <c r="IH177" s="1056"/>
      <c r="II177" s="1056"/>
      <c r="IJ177" s="1056"/>
      <c r="IK177" s="1056"/>
      <c r="IL177" s="1056"/>
      <c r="IM177" s="1056"/>
      <c r="IN177" s="1056"/>
      <c r="IO177" s="1056"/>
      <c r="IP177" s="1056"/>
      <c r="IQ177" s="1056"/>
      <c r="IR177" s="1056"/>
      <c r="IS177" s="1056"/>
      <c r="IT177" s="1056"/>
      <c r="IU177" s="1056"/>
      <c r="IV177" s="1056"/>
      <c r="IW177" s="1056"/>
      <c r="IX177" s="1056"/>
      <c r="IY177" s="1056"/>
      <c r="IZ177" s="1056"/>
      <c r="JA177" s="1056"/>
      <c r="JB177" s="1056"/>
      <c r="JC177" s="1056"/>
      <c r="JD177" s="1056"/>
      <c r="JE177" s="1056"/>
      <c r="JF177" s="1056"/>
      <c r="JG177" s="1056"/>
      <c r="JH177" s="1056"/>
      <c r="JI177" s="1056"/>
      <c r="JJ177" s="1056"/>
      <c r="JK177" s="1056"/>
      <c r="JL177" s="1056"/>
      <c r="JM177" s="1056"/>
      <c r="JN177" s="1056"/>
      <c r="JO177" s="1056"/>
      <c r="JP177" s="1056"/>
      <c r="JQ177" s="1056"/>
      <c r="JR177" s="1056"/>
      <c r="JS177" s="1056"/>
      <c r="JT177" s="1056"/>
      <c r="JU177" s="1056"/>
      <c r="JV177" s="1056"/>
      <c r="JW177" s="1056"/>
      <c r="JX177" s="1056"/>
      <c r="JY177" s="1056"/>
      <c r="JZ177" s="1056"/>
      <c r="KA177" s="1056"/>
      <c r="KB177" s="1056"/>
      <c r="KC177" s="1056"/>
      <c r="KD177" s="1056"/>
      <c r="KE177" s="1056"/>
      <c r="KF177" s="1056"/>
      <c r="KG177" s="1056"/>
      <c r="KH177" s="1056"/>
      <c r="KI177" s="1056"/>
      <c r="KJ177" s="1056"/>
      <c r="KK177" s="1056"/>
      <c r="KL177" s="1056"/>
      <c r="KM177" s="1056"/>
      <c r="KN177" s="1056"/>
      <c r="KO177" s="1056"/>
      <c r="KP177" s="1056"/>
      <c r="KQ177" s="1056"/>
      <c r="KR177" s="1056"/>
      <c r="KS177" s="1056"/>
      <c r="KT177" s="1056"/>
      <c r="KU177" s="1056"/>
      <c r="KV177" s="1056"/>
      <c r="KW177" s="1056"/>
      <c r="KX177" s="1056"/>
      <c r="KY177" s="1056"/>
      <c r="KZ177" s="1056"/>
      <c r="LA177" s="1056"/>
      <c r="LB177" s="1056"/>
      <c r="LC177" s="1056"/>
      <c r="LD177" s="1056"/>
      <c r="LE177" s="1056"/>
      <c r="LF177" s="1056"/>
      <c r="LG177" s="1056"/>
      <c r="LH177" s="1056"/>
      <c r="LI177" s="1056"/>
      <c r="LJ177" s="1056"/>
      <c r="LK177" s="1056"/>
      <c r="LL177" s="1056"/>
      <c r="LM177" s="1056"/>
      <c r="LN177" s="1056"/>
      <c r="LO177" s="1056"/>
      <c r="LP177" s="1056"/>
      <c r="LQ177" s="1056"/>
      <c r="LR177" s="1056"/>
      <c r="LS177" s="1056"/>
      <c r="LT177" s="1056"/>
      <c r="LU177" s="1056"/>
      <c r="LV177" s="1056"/>
      <c r="LW177" s="1056"/>
      <c r="LX177" s="1056"/>
      <c r="LY177" s="1056"/>
      <c r="LZ177" s="1056"/>
      <c r="MA177" s="1056"/>
      <c r="MB177" s="1056"/>
      <c r="MC177" s="1056"/>
      <c r="MD177" s="1056"/>
      <c r="ME177" s="1056"/>
      <c r="MF177" s="1056"/>
      <c r="MG177" s="1056"/>
      <c r="MH177" s="1056"/>
      <c r="MI177" s="1056"/>
      <c r="MJ177" s="1056"/>
      <c r="MK177" s="1056"/>
      <c r="ML177" s="1056"/>
      <c r="MM177" s="1056"/>
      <c r="MN177" s="1056"/>
      <c r="MO177" s="1056"/>
      <c r="MP177" s="1056"/>
      <c r="MQ177" s="1056"/>
      <c r="MR177" s="1056"/>
      <c r="MS177" s="1056"/>
      <c r="MT177" s="1056"/>
      <c r="MU177" s="1056"/>
      <c r="MV177" s="1056"/>
      <c r="MW177" s="1056"/>
      <c r="MX177" s="1056"/>
      <c r="MY177" s="1056"/>
      <c r="MZ177" s="1056"/>
      <c r="NA177" s="1056"/>
      <c r="NB177" s="1056"/>
      <c r="NC177" s="1056"/>
      <c r="ND177" s="1056"/>
      <c r="NE177" s="1056"/>
      <c r="NF177" s="1056"/>
      <c r="NG177" s="1056"/>
      <c r="NH177" s="1056"/>
      <c r="NI177" s="1056"/>
      <c r="NJ177" s="1056"/>
      <c r="NK177" s="1056"/>
      <c r="NL177" s="1056"/>
      <c r="NM177" s="1056"/>
      <c r="NN177" s="1056"/>
      <c r="NO177" s="1056"/>
      <c r="NP177" s="1056"/>
      <c r="NQ177" s="1056"/>
      <c r="NR177" s="1056"/>
      <c r="NS177" s="1056"/>
      <c r="NT177" s="1056"/>
      <c r="NU177" s="1056"/>
      <c r="NV177" s="1056"/>
      <c r="NW177" s="1056"/>
      <c r="NX177" s="1056"/>
      <c r="NY177" s="1056"/>
      <c r="NZ177" s="1056"/>
      <c r="OA177" s="1056"/>
      <c r="OB177" s="1056"/>
      <c r="OC177" s="1056"/>
      <c r="OD177" s="1056"/>
      <c r="OE177" s="1056"/>
      <c r="OF177" s="1056"/>
      <c r="OG177" s="1056"/>
      <c r="OH177" s="1056"/>
      <c r="OI177" s="1056"/>
      <c r="OJ177" s="1056"/>
      <c r="OK177" s="1056"/>
      <c r="OL177" s="1056"/>
      <c r="OM177" s="1056"/>
      <c r="ON177" s="1056"/>
      <c r="OO177" s="1056"/>
      <c r="OP177" s="1056"/>
      <c r="OQ177" s="1056"/>
      <c r="OR177" s="1056"/>
      <c r="OS177" s="1056"/>
      <c r="OT177" s="1056"/>
      <c r="OU177" s="1056"/>
      <c r="OV177" s="1056"/>
      <c r="OW177" s="1056"/>
      <c r="OX177" s="1056"/>
      <c r="OY177" s="1056"/>
      <c r="OZ177" s="1056"/>
      <c r="PA177" s="1056"/>
      <c r="PB177" s="1056"/>
      <c r="PC177" s="1056"/>
      <c r="PD177" s="1056"/>
      <c r="PE177" s="1056"/>
      <c r="PF177" s="1056"/>
      <c r="PG177" s="1056"/>
      <c r="PH177" s="1056"/>
      <c r="PI177" s="1056"/>
      <c r="PJ177" s="1056"/>
      <c r="PK177" s="1056"/>
      <c r="PL177" s="1056"/>
      <c r="PM177" s="1056"/>
      <c r="PN177" s="1056"/>
      <c r="PO177" s="1056"/>
      <c r="PP177" s="1056"/>
      <c r="PQ177" s="1056"/>
      <c r="PR177" s="1056"/>
      <c r="PS177" s="1056"/>
      <c r="PT177" s="1056"/>
      <c r="PU177" s="1056"/>
      <c r="PV177" s="1056"/>
      <c r="PW177" s="1056"/>
      <c r="PX177" s="1056"/>
      <c r="PY177" s="1056"/>
      <c r="PZ177" s="1056"/>
      <c r="QA177" s="1056"/>
      <c r="QB177" s="1056"/>
      <c r="QC177" s="1056"/>
      <c r="QD177" s="1056"/>
      <c r="QE177" s="1056"/>
      <c r="QF177" s="1056"/>
      <c r="QG177" s="1056"/>
      <c r="QH177" s="1056"/>
      <c r="QI177" s="1056"/>
      <c r="QJ177" s="1056"/>
      <c r="QK177" s="1056"/>
      <c r="QL177" s="1056"/>
      <c r="QM177" s="1056"/>
      <c r="QN177" s="1056"/>
      <c r="QO177" s="1056"/>
      <c r="QP177" s="1056"/>
      <c r="QQ177" s="1056"/>
      <c r="QR177" s="1056"/>
      <c r="QS177" s="1056"/>
      <c r="QT177" s="1056"/>
      <c r="QU177" s="1056"/>
      <c r="QV177" s="1056"/>
      <c r="QW177" s="1056"/>
      <c r="QX177" s="1056"/>
      <c r="QY177" s="1056"/>
      <c r="QZ177" s="1056"/>
      <c r="RA177" s="1056"/>
      <c r="RB177" s="1056"/>
      <c r="RC177" s="1056"/>
      <c r="RD177" s="1056"/>
      <c r="RE177" s="1056"/>
      <c r="RF177" s="1056"/>
      <c r="RG177" s="1056"/>
      <c r="RH177" s="1056"/>
      <c r="RI177" s="1056"/>
      <c r="RJ177" s="1056"/>
      <c r="RK177" s="1056"/>
      <c r="RL177" s="1056"/>
      <c r="RM177" s="1056"/>
      <c r="RN177" s="1056"/>
      <c r="RO177" s="1056"/>
      <c r="RP177" s="1056"/>
      <c r="RQ177" s="1056"/>
      <c r="RR177" s="1056"/>
      <c r="RS177" s="1056"/>
      <c r="RT177" s="1056"/>
      <c r="RU177" s="1056"/>
      <c r="RV177" s="1056"/>
      <c r="RW177" s="1056"/>
      <c r="RX177" s="1056"/>
      <c r="RY177" s="1056"/>
      <c r="RZ177" s="1056"/>
      <c r="SA177" s="1056"/>
      <c r="SB177" s="1056"/>
      <c r="SC177" s="1056"/>
      <c r="SD177" s="1056"/>
      <c r="SE177" s="1056"/>
      <c r="SF177" s="1056"/>
      <c r="SG177" s="1056"/>
      <c r="SH177" s="1056"/>
      <c r="SI177" s="1056"/>
      <c r="SJ177" s="1056"/>
      <c r="SK177" s="1056"/>
      <c r="SL177" s="1056"/>
      <c r="SM177" s="1056"/>
      <c r="SN177" s="1056"/>
      <c r="SO177" s="1056"/>
      <c r="SP177" s="1056"/>
      <c r="SQ177" s="1056"/>
      <c r="SR177" s="1056"/>
      <c r="SS177" s="1056"/>
      <c r="ST177" s="1056"/>
      <c r="SU177" s="1056"/>
      <c r="SV177" s="1056"/>
      <c r="SW177" s="1056"/>
      <c r="SX177" s="1056"/>
      <c r="SY177" s="1056"/>
      <c r="SZ177" s="1056"/>
      <c r="TA177" s="1056"/>
      <c r="TB177" s="1056"/>
      <c r="TC177" s="1056"/>
      <c r="TD177" s="1056"/>
      <c r="TE177" s="1056"/>
      <c r="TF177" s="1056"/>
      <c r="TG177" s="1056"/>
      <c r="TH177" s="1056"/>
      <c r="TI177" s="1056"/>
      <c r="TJ177" s="1056"/>
      <c r="TK177" s="1056"/>
      <c r="TL177" s="1056"/>
      <c r="TM177" s="1056"/>
      <c r="TN177" s="1056"/>
      <c r="TO177" s="1056"/>
      <c r="TP177" s="1056"/>
      <c r="TQ177" s="1056"/>
      <c r="TR177" s="1056"/>
      <c r="TS177" s="1056"/>
      <c r="TT177" s="1056"/>
      <c r="TU177" s="1056"/>
      <c r="TV177" s="1056"/>
      <c r="TW177" s="1056"/>
      <c r="TX177" s="1056"/>
      <c r="TY177" s="1056"/>
      <c r="TZ177" s="1056"/>
      <c r="UA177" s="1056"/>
      <c r="UB177" s="1056"/>
      <c r="UC177" s="1056"/>
      <c r="UD177" s="1056"/>
      <c r="UE177" s="1056"/>
      <c r="UF177" s="1056"/>
      <c r="UG177" s="1056"/>
      <c r="UH177" s="1056"/>
      <c r="UI177" s="1056"/>
      <c r="UJ177" s="1056"/>
      <c r="UK177" s="1056"/>
      <c r="UL177" s="1056"/>
      <c r="UM177" s="1056"/>
      <c r="UN177" s="1056"/>
      <c r="UO177" s="1056"/>
      <c r="UP177" s="1056"/>
      <c r="UQ177" s="1056"/>
      <c r="UR177" s="1056"/>
      <c r="US177" s="1056"/>
      <c r="UT177" s="1056"/>
      <c r="UU177" s="1056"/>
      <c r="UV177" s="1056"/>
      <c r="UW177" s="1056"/>
      <c r="UX177" s="1056"/>
      <c r="UY177" s="1056"/>
      <c r="UZ177" s="1056"/>
      <c r="VA177" s="1056"/>
      <c r="VB177" s="1056"/>
      <c r="VC177" s="1056"/>
      <c r="VD177" s="1056"/>
      <c r="VE177" s="1056"/>
      <c r="VF177" s="1056"/>
      <c r="VG177" s="1056"/>
      <c r="VH177" s="1056"/>
      <c r="VI177" s="1056"/>
      <c r="VJ177" s="1056"/>
      <c r="VK177" s="1056"/>
      <c r="VL177" s="1056"/>
      <c r="VM177" s="1056"/>
      <c r="VN177" s="1056"/>
      <c r="VO177" s="1056"/>
      <c r="VP177" s="1056"/>
      <c r="VQ177" s="1056"/>
      <c r="VR177" s="1056"/>
      <c r="VS177" s="1056"/>
      <c r="VT177" s="1056"/>
      <c r="VU177" s="1056"/>
      <c r="VV177" s="1056"/>
      <c r="VW177" s="1056"/>
      <c r="VX177" s="1056"/>
      <c r="VY177" s="1056"/>
      <c r="VZ177" s="1056"/>
      <c r="WA177" s="1056"/>
      <c r="WB177" s="1056"/>
      <c r="WC177" s="1056"/>
      <c r="WD177" s="1056"/>
      <c r="WE177" s="1056"/>
      <c r="WF177" s="1056"/>
      <c r="WG177" s="1056"/>
      <c r="WH177" s="1056"/>
      <c r="WI177" s="1056"/>
      <c r="WJ177" s="1056"/>
      <c r="WK177" s="1056"/>
      <c r="WL177" s="1056"/>
      <c r="WM177" s="1056"/>
      <c r="WN177" s="1056"/>
      <c r="WO177" s="1056"/>
      <c r="WP177" s="1056"/>
      <c r="WQ177" s="1056"/>
      <c r="WR177" s="1056"/>
      <c r="WS177" s="1056"/>
      <c r="WT177" s="1056"/>
      <c r="WU177" s="1056"/>
      <c r="WV177" s="1056"/>
      <c r="WW177" s="1056"/>
      <c r="WX177" s="1056"/>
      <c r="WY177" s="1056"/>
      <c r="WZ177" s="1056"/>
      <c r="XA177" s="1056"/>
      <c r="XB177" s="1056"/>
      <c r="XC177" s="1056"/>
      <c r="XD177" s="1056"/>
      <c r="XE177" s="1056"/>
      <c r="XF177" s="1056"/>
      <c r="XG177" s="1056"/>
      <c r="XH177" s="1056"/>
      <c r="XI177" s="1056"/>
      <c r="XJ177" s="1056"/>
      <c r="XK177" s="1056"/>
      <c r="XL177" s="1056"/>
      <c r="XM177" s="1056"/>
      <c r="XN177" s="1056"/>
      <c r="XO177" s="1056"/>
      <c r="XP177" s="1056"/>
      <c r="XQ177" s="1056"/>
      <c r="XR177" s="1056"/>
      <c r="XS177" s="1056"/>
      <c r="XT177" s="1056"/>
      <c r="XU177" s="1056"/>
      <c r="XV177" s="1056"/>
      <c r="XW177" s="1056"/>
      <c r="XX177" s="1056"/>
      <c r="XY177" s="1056"/>
      <c r="XZ177" s="1056"/>
      <c r="YA177" s="1056"/>
      <c r="YB177" s="1056"/>
      <c r="YC177" s="1056"/>
      <c r="YD177" s="1056"/>
      <c r="YE177" s="1056"/>
      <c r="YF177" s="1056"/>
      <c r="YG177" s="1056"/>
      <c r="YH177" s="1056"/>
      <c r="YI177" s="1056"/>
      <c r="YJ177" s="1056"/>
      <c r="YK177" s="1056"/>
      <c r="YL177" s="1056"/>
      <c r="YM177" s="1056"/>
      <c r="YN177" s="1056"/>
      <c r="YO177" s="1056"/>
      <c r="YP177" s="1056"/>
      <c r="YQ177" s="1056"/>
      <c r="YR177" s="1056"/>
      <c r="YS177" s="1056"/>
      <c r="YT177" s="1056"/>
      <c r="YU177" s="1056"/>
      <c r="YV177" s="1056"/>
      <c r="YW177" s="1056"/>
      <c r="YX177" s="1056"/>
      <c r="YY177" s="1056"/>
      <c r="YZ177" s="1056"/>
      <c r="ZA177" s="1056"/>
      <c r="ZB177" s="1056"/>
      <c r="ZC177" s="1056"/>
      <c r="ZD177" s="1056"/>
      <c r="ZE177" s="1056"/>
      <c r="ZF177" s="1056"/>
      <c r="ZG177" s="1056"/>
      <c r="ZH177" s="1056"/>
      <c r="ZI177" s="1056"/>
      <c r="ZJ177" s="1056"/>
      <c r="ZK177" s="1056"/>
      <c r="ZL177" s="1056"/>
      <c r="ZM177" s="1056"/>
      <c r="ZN177" s="1056"/>
      <c r="ZO177" s="1056"/>
      <c r="ZP177" s="1056"/>
      <c r="ZQ177" s="1056"/>
      <c r="ZR177" s="1056"/>
      <c r="ZS177" s="1056"/>
      <c r="ZT177" s="1056"/>
      <c r="ZU177" s="1056"/>
      <c r="ZV177" s="1056"/>
      <c r="ZW177" s="1056"/>
      <c r="ZX177" s="1056"/>
      <c r="ZY177" s="1056"/>
      <c r="ZZ177" s="1056"/>
      <c r="AAA177" s="1056"/>
      <c r="AAB177" s="1056"/>
      <c r="AAC177" s="1056"/>
      <c r="AAD177" s="1056"/>
      <c r="AAE177" s="1056"/>
      <c r="AAF177" s="1056"/>
      <c r="AAG177" s="1056"/>
      <c r="AAH177" s="1056"/>
      <c r="AAI177" s="1056"/>
      <c r="AAJ177" s="1056"/>
      <c r="AAK177" s="1056"/>
      <c r="AAL177" s="1056"/>
      <c r="AAM177" s="1056"/>
      <c r="AAN177" s="1056"/>
      <c r="AAO177" s="1056"/>
      <c r="AAP177" s="1056"/>
      <c r="AAQ177" s="1056"/>
      <c r="AAR177" s="1056"/>
      <c r="AAS177" s="1056"/>
      <c r="AAT177" s="1056"/>
      <c r="AAU177" s="1056"/>
      <c r="AAV177" s="1056"/>
      <c r="AAW177" s="1056"/>
      <c r="AAX177" s="1056"/>
      <c r="AAY177" s="1056"/>
      <c r="AAZ177" s="1056"/>
      <c r="ABA177" s="1056"/>
      <c r="ABB177" s="1056"/>
      <c r="ABC177" s="1056"/>
      <c r="ABD177" s="1056"/>
      <c r="ABE177" s="1056"/>
      <c r="ABF177" s="1056"/>
      <c r="ABG177" s="1056"/>
      <c r="ABH177" s="1056"/>
      <c r="ABI177" s="1056"/>
      <c r="ABJ177" s="1056"/>
      <c r="ABK177" s="1056"/>
      <c r="ABL177" s="1056"/>
      <c r="ABM177" s="1056"/>
      <c r="ABN177" s="1056"/>
      <c r="ABO177" s="1056"/>
      <c r="ABP177" s="1056"/>
      <c r="ABQ177" s="1056"/>
      <c r="ABR177" s="1056"/>
      <c r="ABS177" s="1056"/>
      <c r="ABT177" s="1056"/>
      <c r="ABU177" s="1056"/>
      <c r="ABV177" s="1056"/>
      <c r="ABW177" s="1056"/>
      <c r="ABX177" s="1056"/>
      <c r="ABY177" s="1056"/>
      <c r="ABZ177" s="1056"/>
      <c r="ACA177" s="1056"/>
      <c r="ACB177" s="1056"/>
      <c r="ACC177" s="1056"/>
      <c r="ACD177" s="1056"/>
      <c r="ACE177" s="1056"/>
      <c r="ACF177" s="1056"/>
      <c r="ACG177" s="1056"/>
      <c r="ACH177" s="1056"/>
      <c r="ACI177" s="1056"/>
      <c r="ACJ177" s="1056"/>
      <c r="ACK177" s="1056"/>
      <c r="ACL177" s="1056"/>
      <c r="ACM177" s="1056"/>
      <c r="ACN177" s="1056"/>
      <c r="ACO177" s="1056"/>
      <c r="ACP177" s="1056"/>
      <c r="ACQ177" s="1056"/>
      <c r="ACR177" s="1056"/>
      <c r="ACS177" s="1056"/>
      <c r="ACT177" s="1056"/>
      <c r="ACU177" s="1056"/>
      <c r="ACV177" s="1056"/>
      <c r="ACW177" s="1056"/>
      <c r="ACX177" s="1056"/>
      <c r="ACY177" s="1056"/>
      <c r="ACZ177" s="1056"/>
      <c r="ADA177" s="1056"/>
      <c r="ADB177" s="1056"/>
      <c r="ADC177" s="1056"/>
      <c r="ADD177" s="1056"/>
      <c r="ADE177" s="1056"/>
      <c r="ADF177" s="1056"/>
      <c r="ADG177" s="1056"/>
      <c r="ADH177" s="1056"/>
      <c r="ADI177" s="1056"/>
      <c r="ADJ177" s="1056"/>
      <c r="ADK177" s="1056"/>
      <c r="ADL177" s="1056"/>
      <c r="ADM177" s="1056"/>
      <c r="ADN177" s="1056"/>
      <c r="ADO177" s="1056"/>
      <c r="ADP177" s="1056"/>
      <c r="ADQ177" s="1056"/>
      <c r="ADR177" s="1056"/>
      <c r="ADS177" s="1056"/>
      <c r="ADT177" s="1056"/>
      <c r="ADU177" s="1056"/>
      <c r="ADV177" s="1056"/>
      <c r="ADW177" s="1056"/>
      <c r="ADX177" s="1056"/>
      <c r="ADY177" s="1056"/>
      <c r="ADZ177" s="1056"/>
      <c r="AEA177" s="1056"/>
      <c r="AEB177" s="1056"/>
      <c r="AEC177" s="1056"/>
      <c r="AED177" s="1056"/>
      <c r="AEE177" s="1056"/>
      <c r="AEF177" s="1056"/>
      <c r="AEG177" s="1056"/>
      <c r="AEH177" s="1056"/>
      <c r="AEI177" s="1056"/>
      <c r="AEJ177" s="1056"/>
      <c r="AEK177" s="1056"/>
      <c r="AEL177" s="1056"/>
      <c r="AEM177" s="1056"/>
      <c r="AEN177" s="1056"/>
      <c r="AEO177" s="1056"/>
      <c r="AEP177" s="1056"/>
      <c r="AEQ177" s="1056"/>
      <c r="AER177" s="1056"/>
      <c r="AES177" s="1056"/>
      <c r="AET177" s="1056"/>
      <c r="AEU177" s="1056"/>
      <c r="AEV177" s="1056"/>
      <c r="AEW177" s="1056"/>
      <c r="AEX177" s="1056"/>
      <c r="AEY177" s="1056"/>
      <c r="AEZ177" s="1056"/>
      <c r="AFA177" s="1056"/>
      <c r="AFB177" s="1056"/>
      <c r="AFC177" s="1056"/>
      <c r="AFD177" s="1056"/>
      <c r="AFE177" s="1056"/>
      <c r="AFF177" s="1056"/>
      <c r="AFG177" s="1056"/>
      <c r="AFH177" s="1056"/>
      <c r="AFI177" s="1056"/>
      <c r="AFJ177" s="1056"/>
      <c r="AFK177" s="1056"/>
      <c r="AFL177" s="1056"/>
      <c r="AFM177" s="1056"/>
      <c r="AFN177" s="1056"/>
      <c r="AFO177" s="1056"/>
      <c r="AFP177" s="1056"/>
      <c r="AFQ177" s="1056"/>
      <c r="AFR177" s="1056"/>
      <c r="AFS177" s="1056"/>
      <c r="AFT177" s="1056"/>
      <c r="AFU177" s="1056"/>
      <c r="AFV177" s="1056"/>
      <c r="AFW177" s="1056"/>
      <c r="AFX177" s="1056"/>
      <c r="AFY177" s="1056"/>
      <c r="AFZ177" s="1056"/>
      <c r="AGA177" s="1056"/>
      <c r="AGB177" s="1056"/>
      <c r="AGC177" s="1056"/>
      <c r="AGD177" s="1056"/>
      <c r="AGE177" s="1056"/>
      <c r="AGF177" s="1056"/>
      <c r="AGG177" s="1056"/>
      <c r="AGH177" s="1056"/>
      <c r="AGI177" s="1056"/>
      <c r="AGJ177" s="1056"/>
      <c r="AGK177" s="1056"/>
      <c r="AGL177" s="1056"/>
      <c r="AGM177" s="1056"/>
      <c r="AGN177" s="1056"/>
      <c r="AGO177" s="1056"/>
      <c r="AGP177" s="1056"/>
      <c r="AGQ177" s="1056"/>
      <c r="AGR177" s="1056"/>
      <c r="AGS177" s="1056"/>
      <c r="AGT177" s="1056"/>
      <c r="AGU177" s="1056"/>
      <c r="AGV177" s="1056"/>
      <c r="AGW177" s="1056"/>
      <c r="AGX177" s="1056"/>
      <c r="AGY177" s="1056"/>
      <c r="AGZ177" s="1056"/>
      <c r="AHA177" s="1056"/>
      <c r="AHB177" s="1056"/>
      <c r="AHC177" s="1056"/>
      <c r="AHD177" s="1056"/>
      <c r="AHE177" s="1056"/>
      <c r="AHF177" s="1056"/>
      <c r="AHG177" s="1056"/>
      <c r="AHH177" s="1056"/>
      <c r="AHI177" s="1056"/>
      <c r="AHJ177" s="1056"/>
      <c r="AHK177" s="1056"/>
      <c r="AHL177" s="1056"/>
      <c r="AHM177" s="1056"/>
      <c r="AHN177" s="1056"/>
      <c r="AHO177" s="1056"/>
      <c r="AHP177" s="1056"/>
      <c r="AHQ177" s="1056"/>
      <c r="AHR177" s="1056"/>
      <c r="AHS177" s="1056"/>
      <c r="AHT177" s="1056"/>
      <c r="AHU177" s="1056"/>
      <c r="AHV177" s="1056"/>
      <c r="AHW177" s="1056"/>
      <c r="AHX177" s="1056"/>
      <c r="AHY177" s="1056"/>
      <c r="AHZ177" s="1056"/>
      <c r="AIA177" s="1056"/>
      <c r="AIB177" s="1056"/>
      <c r="AIC177" s="1056"/>
      <c r="AID177" s="1056"/>
      <c r="AIE177" s="1056"/>
      <c r="AIF177" s="1056"/>
      <c r="AIG177" s="1056"/>
      <c r="AIH177" s="1056"/>
      <c r="AII177" s="1056"/>
      <c r="AIJ177" s="1056"/>
      <c r="AIK177" s="1056"/>
      <c r="AIL177" s="1056"/>
      <c r="AIM177" s="1056"/>
      <c r="AIN177" s="1056"/>
      <c r="AIO177" s="1056"/>
      <c r="AIP177" s="1056"/>
      <c r="AIQ177" s="1056"/>
      <c r="AIR177" s="1056"/>
      <c r="AIS177" s="1056"/>
      <c r="AIT177" s="1056"/>
      <c r="AIU177" s="1056"/>
      <c r="AIV177" s="1056"/>
      <c r="AIW177" s="1056"/>
      <c r="AIX177" s="1056"/>
      <c r="AIY177" s="1056"/>
      <c r="AIZ177" s="1056"/>
      <c r="AJA177" s="1056"/>
      <c r="AJB177" s="1056"/>
      <c r="AJC177" s="1056"/>
      <c r="AJD177" s="1056"/>
      <c r="AJE177" s="1056"/>
      <c r="AJF177" s="1056"/>
      <c r="AJG177" s="1056"/>
      <c r="AJH177" s="1056"/>
      <c r="AJI177" s="1056"/>
      <c r="AJJ177" s="1056"/>
      <c r="AJK177" s="1056"/>
      <c r="AJL177" s="1056"/>
      <c r="AJM177" s="1056"/>
      <c r="AJN177" s="1056"/>
      <c r="AJO177" s="1056"/>
      <c r="AJP177" s="1056"/>
      <c r="AJQ177" s="1056"/>
      <c r="AJR177" s="1056"/>
      <c r="AJS177" s="1056"/>
      <c r="AJT177" s="1056"/>
      <c r="AJU177" s="1056"/>
      <c r="AJV177" s="1056"/>
      <c r="AJW177" s="1056"/>
      <c r="AJX177" s="1056"/>
      <c r="AJY177" s="1056"/>
      <c r="AJZ177" s="1056"/>
      <c r="AKA177" s="1056"/>
      <c r="AKB177" s="1056"/>
      <c r="AKC177" s="1056"/>
      <c r="AKD177" s="1056"/>
      <c r="AKE177" s="1056"/>
      <c r="AKF177" s="1056"/>
      <c r="AKG177" s="1056"/>
      <c r="AKH177" s="1056"/>
      <c r="AKI177" s="1056"/>
      <c r="AKJ177" s="1056"/>
      <c r="AKK177" s="1056"/>
      <c r="AKL177" s="1056"/>
      <c r="AKM177" s="1056"/>
      <c r="AKN177" s="1056"/>
      <c r="AKO177" s="1056"/>
      <c r="AKP177" s="1056"/>
      <c r="AKQ177" s="1056"/>
      <c r="AKR177" s="1056"/>
      <c r="AKS177" s="1056"/>
      <c r="AKT177" s="1056"/>
      <c r="AKU177" s="1056"/>
      <c r="AKV177" s="1056"/>
      <c r="AKW177" s="1056"/>
      <c r="AKX177" s="1056"/>
      <c r="AKY177" s="1056"/>
      <c r="AKZ177" s="1056"/>
      <c r="ALA177" s="1056"/>
      <c r="ALB177" s="1056"/>
      <c r="ALC177" s="1056"/>
      <c r="ALD177" s="1056"/>
      <c r="ALE177" s="1056"/>
      <c r="ALF177" s="1056"/>
      <c r="ALG177" s="1056"/>
      <c r="ALH177" s="1056"/>
      <c r="ALI177" s="1056"/>
      <c r="ALJ177" s="1056"/>
      <c r="ALK177" s="1056"/>
      <c r="ALL177" s="1056"/>
      <c r="ALM177" s="1056"/>
      <c r="ALN177" s="1056"/>
      <c r="ALO177" s="1056"/>
      <c r="ALP177" s="1056"/>
      <c r="ALQ177" s="1056"/>
      <c r="ALR177" s="1056"/>
      <c r="ALS177" s="1056"/>
      <c r="ALT177" s="1056"/>
      <c r="ALU177" s="1056"/>
      <c r="ALV177" s="1056"/>
      <c r="ALW177" s="1056"/>
      <c r="ALX177" s="1056"/>
      <c r="ALY177" s="1056"/>
      <c r="ALZ177" s="1056"/>
      <c r="AMA177" s="1056"/>
      <c r="AMB177" s="1056"/>
      <c r="AMC177" s="1056"/>
      <c r="AMD177" s="1056"/>
      <c r="AME177" s="1056"/>
      <c r="AMF177" s="1056"/>
      <c r="AMG177" s="1056"/>
      <c r="AMH177" s="1056"/>
      <c r="AMI177" s="1056"/>
      <c r="AMJ177" s="1056"/>
      <c r="AMK177" s="1056"/>
      <c r="AML177" s="1056"/>
      <c r="AMM177" s="1056"/>
      <c r="AMN177" s="1056"/>
      <c r="AMO177" s="1056"/>
      <c r="AMP177" s="1056"/>
      <c r="AMQ177" s="1056"/>
      <c r="AMR177" s="1056"/>
      <c r="AMS177" s="1056"/>
      <c r="AMT177" s="1056"/>
      <c r="AMU177" s="1056"/>
      <c r="AMV177" s="1056"/>
      <c r="AMW177" s="1056"/>
      <c r="AMX177" s="1056"/>
      <c r="AMY177" s="1056"/>
      <c r="AMZ177" s="1056"/>
      <c r="ANA177" s="1056"/>
      <c r="ANB177" s="1056"/>
      <c r="ANC177" s="1056"/>
      <c r="AND177" s="1056"/>
      <c r="ANE177" s="1056"/>
      <c r="ANF177" s="1056"/>
      <c r="ANG177" s="1056"/>
      <c r="ANH177" s="1056"/>
      <c r="ANI177" s="1056"/>
      <c r="ANJ177" s="1056"/>
      <c r="ANK177" s="1056"/>
      <c r="ANL177" s="1056"/>
      <c r="ANM177" s="1056"/>
      <c r="ANN177" s="1056"/>
      <c r="ANO177" s="1056"/>
      <c r="ANP177" s="1056"/>
      <c r="ANQ177" s="1056"/>
      <c r="ANR177" s="1056"/>
      <c r="ANS177" s="1056"/>
      <c r="ANT177" s="1056"/>
      <c r="ANU177" s="1056"/>
      <c r="ANV177" s="1056"/>
      <c r="ANW177" s="1056"/>
      <c r="ANX177" s="1056"/>
      <c r="ANY177" s="1056"/>
      <c r="ANZ177" s="1056"/>
      <c r="AOA177" s="1056"/>
      <c r="AOB177" s="1056"/>
      <c r="AOC177" s="1056"/>
      <c r="AOD177" s="1056"/>
      <c r="AOE177" s="1056"/>
      <c r="AOF177" s="1056"/>
      <c r="AOG177" s="1056"/>
      <c r="AOH177" s="1056"/>
      <c r="AOI177" s="1056"/>
      <c r="AOJ177" s="1056"/>
      <c r="AOK177" s="1056"/>
      <c r="AOL177" s="1056"/>
      <c r="AOM177" s="1056"/>
      <c r="AON177" s="1056"/>
      <c r="AOO177" s="1056"/>
      <c r="AOP177" s="1056"/>
      <c r="AOQ177" s="1056"/>
      <c r="AOR177" s="1056"/>
      <c r="AOS177" s="1056"/>
      <c r="AOT177" s="1056"/>
      <c r="AOU177" s="1056"/>
      <c r="AOV177" s="1056"/>
      <c r="AOW177" s="1056"/>
      <c r="AOX177" s="1056"/>
      <c r="AOY177" s="1056"/>
      <c r="AOZ177" s="1056"/>
      <c r="APA177" s="1056"/>
      <c r="APB177" s="1056"/>
      <c r="APC177" s="1056"/>
      <c r="APD177" s="1056"/>
      <c r="APE177" s="1056"/>
      <c r="APF177" s="1056"/>
      <c r="APG177" s="1056"/>
      <c r="APH177" s="1056"/>
      <c r="API177" s="1056"/>
      <c r="APJ177" s="1056"/>
      <c r="APK177" s="1056"/>
      <c r="APL177" s="1056"/>
      <c r="APM177" s="1056"/>
      <c r="APN177" s="1056"/>
      <c r="APO177" s="1056"/>
      <c r="APP177" s="1056"/>
      <c r="APQ177" s="1056"/>
      <c r="APR177" s="1056"/>
      <c r="APS177" s="1056"/>
      <c r="APT177" s="1056"/>
      <c r="APU177" s="1056"/>
      <c r="APV177" s="1056"/>
      <c r="APW177" s="1056"/>
      <c r="APX177" s="1056"/>
      <c r="APY177" s="1056"/>
      <c r="APZ177" s="1056"/>
      <c r="AQA177" s="1056"/>
      <c r="AQB177" s="1056"/>
      <c r="AQC177" s="1056"/>
      <c r="AQD177" s="1056"/>
      <c r="AQE177" s="1056"/>
      <c r="AQF177" s="1056"/>
      <c r="AQG177" s="1056"/>
      <c r="AQH177" s="1056"/>
      <c r="AQI177" s="1056"/>
      <c r="AQJ177" s="1056"/>
      <c r="AQK177" s="1056"/>
      <c r="AQL177" s="1056"/>
      <c r="AQM177" s="1056"/>
      <c r="AQN177" s="1056"/>
      <c r="AQO177" s="1056"/>
      <c r="AQP177" s="1056"/>
      <c r="AQQ177" s="1056"/>
      <c r="AQR177" s="1056"/>
      <c r="AQS177" s="1056"/>
      <c r="AQT177" s="1056"/>
      <c r="AQU177" s="1056"/>
      <c r="AQV177" s="1056"/>
      <c r="AQW177" s="1056"/>
      <c r="AQX177" s="1056"/>
      <c r="AQY177" s="1056"/>
      <c r="AQZ177" s="1056"/>
      <c r="ARA177" s="1056"/>
      <c r="ARB177" s="1056"/>
      <c r="ARC177" s="1056"/>
      <c r="ARD177" s="1056"/>
      <c r="ARE177" s="1056"/>
      <c r="ARF177" s="1056"/>
      <c r="ARG177" s="1056"/>
      <c r="ARH177" s="1056"/>
      <c r="ARI177" s="1056"/>
      <c r="ARJ177" s="1056"/>
      <c r="ARK177" s="1056"/>
      <c r="ARL177" s="1056"/>
      <c r="ARM177" s="1056"/>
      <c r="ARN177" s="1056"/>
      <c r="ARO177" s="1056"/>
      <c r="ARP177" s="1056"/>
      <c r="ARQ177" s="1056"/>
      <c r="ARR177" s="1056"/>
      <c r="ARS177" s="1056"/>
      <c r="ART177" s="1056"/>
      <c r="ARU177" s="1056"/>
      <c r="ARV177" s="1056"/>
      <c r="ARW177" s="1056"/>
      <c r="ARX177" s="1056"/>
      <c r="ARY177" s="1056"/>
      <c r="ARZ177" s="1056"/>
      <c r="ASA177" s="1056"/>
      <c r="ASB177" s="1056"/>
      <c r="ASC177" s="1056"/>
      <c r="ASD177" s="1056"/>
      <c r="ASE177" s="1056"/>
      <c r="ASF177" s="1056"/>
      <c r="ASG177" s="1056"/>
      <c r="ASH177" s="1056"/>
      <c r="ASI177" s="1056"/>
      <c r="ASJ177" s="1056"/>
      <c r="ASK177" s="1056"/>
      <c r="ASL177" s="1056"/>
      <c r="ASM177" s="1056"/>
      <c r="ASN177" s="1056"/>
      <c r="ASO177" s="1056"/>
      <c r="ASP177" s="1056"/>
      <c r="ASQ177" s="1056"/>
      <c r="ASR177" s="1056"/>
      <c r="ASS177" s="1056"/>
      <c r="AST177" s="1056"/>
      <c r="ASU177" s="1056"/>
      <c r="ASV177" s="1056"/>
      <c r="ASW177" s="1056"/>
      <c r="ASX177" s="1056"/>
      <c r="ASY177" s="1056"/>
      <c r="ASZ177" s="1056"/>
      <c r="ATA177" s="1056"/>
      <c r="ATB177" s="1056"/>
      <c r="ATC177" s="1056"/>
      <c r="ATD177" s="1056"/>
      <c r="ATE177" s="1056"/>
      <c r="ATF177" s="1056"/>
      <c r="ATG177" s="1056"/>
      <c r="ATH177" s="1056"/>
      <c r="ATI177" s="1056"/>
      <c r="ATJ177" s="1056"/>
      <c r="ATK177" s="1056"/>
      <c r="ATL177" s="1056"/>
      <c r="ATM177" s="1056"/>
      <c r="ATN177" s="1056"/>
      <c r="ATO177" s="1056"/>
      <c r="ATP177" s="1056"/>
      <c r="ATQ177" s="1056"/>
      <c r="ATR177" s="1056"/>
      <c r="ATS177" s="1056"/>
      <c r="ATT177" s="1056"/>
      <c r="ATU177" s="1056"/>
      <c r="ATV177" s="1056"/>
      <c r="ATW177" s="1056"/>
      <c r="ATX177" s="1056"/>
      <c r="ATY177" s="1056"/>
      <c r="ATZ177" s="1056"/>
      <c r="AUA177" s="1056"/>
      <c r="AUB177" s="1056"/>
      <c r="AUC177" s="1056"/>
      <c r="AUD177" s="1056"/>
      <c r="AUE177" s="1056"/>
      <c r="AUF177" s="1056"/>
      <c r="AUG177" s="1056"/>
      <c r="AUH177" s="1056"/>
      <c r="AUI177" s="1056"/>
      <c r="AUJ177" s="1056"/>
      <c r="AUK177" s="1056"/>
      <c r="AUL177" s="1056"/>
      <c r="AUM177" s="1056"/>
      <c r="AUN177" s="1056"/>
      <c r="AUO177" s="1056"/>
      <c r="AUP177" s="1056"/>
      <c r="AUQ177" s="1056"/>
      <c r="AUR177" s="1056"/>
      <c r="AUS177" s="1056"/>
      <c r="AUT177" s="1056"/>
      <c r="AUU177" s="1056"/>
      <c r="AUV177" s="1056"/>
      <c r="AUW177" s="1056"/>
      <c r="AUX177" s="1056"/>
      <c r="AUY177" s="1056"/>
      <c r="AUZ177" s="1056"/>
      <c r="AVA177" s="1056"/>
      <c r="AVB177" s="1056"/>
      <c r="AVC177" s="1056"/>
      <c r="AVD177" s="1056"/>
      <c r="AVE177" s="1056"/>
      <c r="AVF177" s="1056"/>
      <c r="AVG177" s="1056"/>
      <c r="AVH177" s="1056"/>
      <c r="AVI177" s="1056"/>
      <c r="AVJ177" s="1056"/>
      <c r="AVK177" s="1056"/>
      <c r="AVL177" s="1056"/>
      <c r="AVM177" s="1056"/>
      <c r="AVN177" s="1056"/>
      <c r="AVO177" s="1056"/>
      <c r="AVP177" s="1056"/>
      <c r="AVQ177" s="1056"/>
      <c r="AVR177" s="1056"/>
      <c r="AVS177" s="1056"/>
      <c r="AVT177" s="1056"/>
      <c r="AVU177" s="1056"/>
      <c r="AVV177" s="1056"/>
      <c r="AVW177" s="1056"/>
      <c r="AVX177" s="1056"/>
      <c r="AVY177" s="1056"/>
      <c r="AVZ177" s="1056"/>
      <c r="AWA177" s="1056"/>
      <c r="AWB177" s="1056"/>
      <c r="AWC177" s="1056"/>
      <c r="AWD177" s="1056"/>
      <c r="AWE177" s="1056"/>
      <c r="AWF177" s="1056"/>
      <c r="AWG177" s="1056"/>
      <c r="AWH177" s="1056"/>
      <c r="AWI177" s="1056"/>
      <c r="AWJ177" s="1056"/>
      <c r="AWK177" s="1056"/>
      <c r="AWL177" s="1056"/>
      <c r="AWM177" s="1056"/>
      <c r="AWN177" s="1056"/>
      <c r="AWO177" s="1056"/>
      <c r="AWP177" s="1056"/>
      <c r="AWQ177" s="1056"/>
      <c r="AWR177" s="1056"/>
      <c r="AWS177" s="1056"/>
      <c r="AWT177" s="1056"/>
      <c r="AWU177" s="1056"/>
      <c r="AWV177" s="1056"/>
      <c r="AWW177" s="1056"/>
      <c r="AWX177" s="1056"/>
      <c r="AWY177" s="1056"/>
      <c r="AWZ177" s="1056"/>
      <c r="AXA177" s="1056"/>
      <c r="AXB177" s="1056"/>
      <c r="AXC177" s="1056"/>
      <c r="AXD177" s="1056"/>
      <c r="AXE177" s="1056"/>
      <c r="AXF177" s="1056"/>
      <c r="AXG177" s="1056"/>
      <c r="AXH177" s="1056"/>
      <c r="AXI177" s="1056"/>
      <c r="AXJ177" s="1056"/>
      <c r="AXK177" s="1056"/>
      <c r="AXL177" s="1056"/>
      <c r="AXM177" s="1056"/>
      <c r="AXN177" s="1056"/>
      <c r="AXO177" s="1056"/>
      <c r="AXP177" s="1056"/>
      <c r="AXQ177" s="1056"/>
      <c r="AXR177" s="1056"/>
      <c r="AXS177" s="1056"/>
      <c r="AXT177" s="1056"/>
      <c r="AXU177" s="1056"/>
      <c r="AXV177" s="1056"/>
      <c r="AXW177" s="1056"/>
      <c r="AXX177" s="1056"/>
      <c r="AXY177" s="1056"/>
      <c r="AXZ177" s="1056"/>
      <c r="AYA177" s="1056"/>
      <c r="AYB177" s="1056"/>
      <c r="AYC177" s="1056"/>
      <c r="AYD177" s="1056"/>
      <c r="AYE177" s="1056"/>
      <c r="AYF177" s="1056"/>
      <c r="AYG177" s="1056"/>
      <c r="AYH177" s="1056"/>
      <c r="AYI177" s="1056"/>
      <c r="AYJ177" s="1056"/>
      <c r="AYK177" s="1056"/>
      <c r="AYL177" s="1056"/>
      <c r="AYM177" s="1056"/>
      <c r="AYN177" s="1056"/>
      <c r="AYO177" s="1056"/>
      <c r="AYP177" s="1056"/>
      <c r="AYQ177" s="1056"/>
      <c r="AYR177" s="1056"/>
      <c r="AYS177" s="1056"/>
      <c r="AYT177" s="1056"/>
      <c r="AYU177" s="1056"/>
      <c r="AYV177" s="1056"/>
      <c r="AYW177" s="1056"/>
      <c r="AYX177" s="1056"/>
      <c r="AYY177" s="1056"/>
      <c r="AYZ177" s="1056"/>
      <c r="AZA177" s="1056"/>
      <c r="AZB177" s="1056"/>
      <c r="AZC177" s="1056"/>
      <c r="AZD177" s="1056"/>
      <c r="AZE177" s="1056"/>
      <c r="AZF177" s="1056"/>
      <c r="AZG177" s="1056"/>
      <c r="AZH177" s="1056"/>
      <c r="AZI177" s="1056"/>
      <c r="AZJ177" s="1056"/>
      <c r="AZK177" s="1056"/>
      <c r="AZL177" s="1056"/>
      <c r="AZM177" s="1056"/>
      <c r="AZN177" s="1056"/>
      <c r="AZO177" s="1056"/>
      <c r="AZP177" s="1056"/>
      <c r="AZQ177" s="1056"/>
      <c r="AZR177" s="1056"/>
      <c r="AZS177" s="1056"/>
      <c r="AZT177" s="1056"/>
      <c r="AZU177" s="1056"/>
      <c r="AZV177" s="1056"/>
      <c r="AZW177" s="1056"/>
      <c r="AZX177" s="1056"/>
      <c r="AZY177" s="1056"/>
      <c r="AZZ177" s="1056"/>
      <c r="BAA177" s="1056"/>
      <c r="BAB177" s="1056"/>
      <c r="BAC177" s="1056"/>
      <c r="BAD177" s="1056"/>
      <c r="BAE177" s="1056"/>
      <c r="BAF177" s="1056"/>
      <c r="BAG177" s="1056"/>
      <c r="BAH177" s="1056"/>
      <c r="BAI177" s="1056"/>
      <c r="BAJ177" s="1056"/>
      <c r="BAK177" s="1056"/>
      <c r="BAL177" s="1056"/>
      <c r="BAM177" s="1056"/>
      <c r="BAN177" s="1056"/>
      <c r="BAO177" s="1056"/>
      <c r="BAP177" s="1056"/>
      <c r="BAQ177" s="1056"/>
      <c r="BAR177" s="1056"/>
      <c r="BAS177" s="1056"/>
      <c r="BAT177" s="1056"/>
      <c r="BAU177" s="1056"/>
      <c r="BAV177" s="1056"/>
      <c r="BAW177" s="1056"/>
      <c r="BAX177" s="1056"/>
      <c r="BAY177" s="1056"/>
      <c r="BAZ177" s="1056"/>
      <c r="BBA177" s="1056"/>
      <c r="BBB177" s="1056"/>
      <c r="BBC177" s="1056"/>
      <c r="BBD177" s="1056"/>
      <c r="BBE177" s="1056"/>
      <c r="BBF177" s="1056"/>
      <c r="BBG177" s="1056"/>
      <c r="BBH177" s="1056"/>
      <c r="BBI177" s="1056"/>
      <c r="BBJ177" s="1056"/>
      <c r="BBK177" s="1056"/>
      <c r="BBL177" s="1056"/>
      <c r="BBM177" s="1056"/>
      <c r="BBN177" s="1056"/>
      <c r="BBO177" s="1056"/>
      <c r="BBP177" s="1056"/>
      <c r="BBQ177" s="1056"/>
      <c r="BBR177" s="1056"/>
      <c r="BBS177" s="1056"/>
      <c r="BBT177" s="1056"/>
      <c r="BBU177" s="1056"/>
      <c r="BBV177" s="1056"/>
      <c r="BBW177" s="1056"/>
      <c r="BBX177" s="1056"/>
      <c r="BBY177" s="1056"/>
      <c r="BBZ177" s="1056"/>
      <c r="BCA177" s="1056"/>
      <c r="BCB177" s="1056"/>
      <c r="BCC177" s="1056"/>
      <c r="BCD177" s="1056"/>
      <c r="BCE177" s="1056"/>
      <c r="BCF177" s="1056"/>
      <c r="BCG177" s="1056"/>
      <c r="BCH177" s="1056"/>
      <c r="BCI177" s="1056"/>
      <c r="BCJ177" s="1056"/>
      <c r="BCK177" s="1056"/>
      <c r="BCL177" s="1056"/>
      <c r="BCM177" s="1056"/>
      <c r="BCN177" s="1056"/>
      <c r="BCO177" s="1056"/>
      <c r="BCP177" s="1056"/>
      <c r="BCQ177" s="1056"/>
      <c r="BCR177" s="1056"/>
      <c r="BCS177" s="1056"/>
      <c r="BCT177" s="1056"/>
      <c r="BCU177" s="1056"/>
      <c r="BCV177" s="1056"/>
      <c r="BCW177" s="1056"/>
      <c r="BCX177" s="1056"/>
      <c r="BCY177" s="1056"/>
      <c r="BCZ177" s="1056"/>
      <c r="BDA177" s="1056"/>
      <c r="BDB177" s="1056"/>
      <c r="BDC177" s="1056"/>
      <c r="BDD177" s="1056"/>
      <c r="BDE177" s="1056"/>
      <c r="BDF177" s="1056"/>
      <c r="BDG177" s="1056"/>
      <c r="BDH177" s="1056"/>
      <c r="BDI177" s="1056"/>
      <c r="BDJ177" s="1056"/>
      <c r="BDK177" s="1056"/>
      <c r="BDL177" s="1056"/>
      <c r="BDM177" s="1056"/>
      <c r="BDN177" s="1056"/>
      <c r="BDO177" s="1056"/>
      <c r="BDP177" s="1056"/>
      <c r="BDQ177" s="1056"/>
      <c r="BDR177" s="1056"/>
      <c r="BDS177" s="1056"/>
      <c r="BDT177" s="1056"/>
      <c r="BDU177" s="1056"/>
      <c r="BDV177" s="1056"/>
      <c r="BDW177" s="1056"/>
      <c r="BDX177" s="1056"/>
      <c r="BDY177" s="1056"/>
      <c r="BDZ177" s="1056"/>
      <c r="BEA177" s="1056"/>
      <c r="BEB177" s="1056"/>
      <c r="BEC177" s="1056"/>
      <c r="BED177" s="1056"/>
      <c r="BEE177" s="1056"/>
      <c r="BEF177" s="1056"/>
      <c r="BEG177" s="1056"/>
      <c r="BEH177" s="1056"/>
      <c r="BEI177" s="1056"/>
      <c r="BEJ177" s="1056"/>
      <c r="BEK177" s="1056"/>
      <c r="BEL177" s="1056"/>
      <c r="BEM177" s="1056"/>
      <c r="BEN177" s="1056"/>
      <c r="BEO177" s="1056"/>
      <c r="BEP177" s="1056"/>
      <c r="BEQ177" s="1056"/>
      <c r="BER177" s="1056"/>
      <c r="BES177" s="1056"/>
      <c r="BET177" s="1056"/>
      <c r="BEU177" s="1056"/>
      <c r="BEV177" s="1056"/>
      <c r="BEW177" s="1056"/>
      <c r="BEX177" s="1056"/>
      <c r="BEY177" s="1056"/>
      <c r="BEZ177" s="1056"/>
      <c r="BFA177" s="1056"/>
      <c r="BFB177" s="1056"/>
      <c r="BFC177" s="1056"/>
      <c r="BFD177" s="1056"/>
      <c r="BFE177" s="1056"/>
      <c r="BFF177" s="1056"/>
      <c r="BFG177" s="1056"/>
      <c r="BFH177" s="1056"/>
      <c r="BFI177" s="1056"/>
      <c r="BFJ177" s="1056"/>
      <c r="BFK177" s="1056"/>
      <c r="BFL177" s="1056"/>
      <c r="BFM177" s="1056"/>
      <c r="BFN177" s="1056"/>
      <c r="BFO177" s="1056"/>
      <c r="BFP177" s="1056"/>
      <c r="BFQ177" s="1056"/>
      <c r="BFR177" s="1056"/>
      <c r="BFS177" s="1056"/>
      <c r="BFT177" s="1056"/>
      <c r="BFU177" s="1056"/>
      <c r="BFV177" s="1056"/>
      <c r="BFW177" s="1056"/>
      <c r="BFX177" s="1056"/>
      <c r="BFY177" s="1056"/>
      <c r="BFZ177" s="1056"/>
      <c r="BGA177" s="1056"/>
      <c r="BGB177" s="1056"/>
      <c r="BGC177" s="1056"/>
      <c r="BGD177" s="1056"/>
      <c r="BGE177" s="1056"/>
      <c r="BGF177" s="1056"/>
      <c r="BGG177" s="1056"/>
      <c r="BGH177" s="1056"/>
      <c r="BGI177" s="1056"/>
      <c r="BGJ177" s="1056"/>
      <c r="BGK177" s="1056"/>
      <c r="BGL177" s="1056"/>
      <c r="BGM177" s="1056"/>
      <c r="BGN177" s="1056"/>
      <c r="BGO177" s="1056"/>
      <c r="BGP177" s="1056"/>
      <c r="BGQ177" s="1056"/>
      <c r="BGR177" s="1056"/>
      <c r="BGS177" s="1056"/>
      <c r="BGT177" s="1056"/>
      <c r="BGU177" s="1056"/>
      <c r="BGV177" s="1056"/>
      <c r="BGW177" s="1056"/>
      <c r="BGX177" s="1056"/>
      <c r="BGY177" s="1056"/>
      <c r="BGZ177" s="1056"/>
      <c r="BHA177" s="1056"/>
      <c r="BHB177" s="1056"/>
      <c r="BHC177" s="1056"/>
      <c r="BHD177" s="1056"/>
      <c r="BHE177" s="1056"/>
      <c r="BHF177" s="1056"/>
      <c r="BHG177" s="1056"/>
      <c r="BHH177" s="1056"/>
      <c r="BHI177" s="1056"/>
      <c r="BHJ177" s="1056"/>
      <c r="BHK177" s="1056"/>
      <c r="BHL177" s="1056"/>
      <c r="BHM177" s="1056"/>
      <c r="BHN177" s="1056"/>
      <c r="BHO177" s="1056"/>
      <c r="BHP177" s="1056"/>
      <c r="BHQ177" s="1056"/>
      <c r="BHR177" s="1056"/>
      <c r="BHS177" s="1056"/>
      <c r="BHT177" s="1056"/>
      <c r="BHU177" s="1056"/>
      <c r="BHV177" s="1056"/>
      <c r="BHW177" s="1056"/>
      <c r="BHX177" s="1056"/>
      <c r="BHY177" s="1056"/>
      <c r="BHZ177" s="1056"/>
      <c r="BIA177" s="1056"/>
      <c r="BIB177" s="1056"/>
      <c r="BIC177" s="1056"/>
      <c r="BID177" s="1056"/>
      <c r="BIE177" s="1056"/>
      <c r="BIF177" s="1056"/>
      <c r="BIG177" s="1056"/>
      <c r="BIH177" s="1056"/>
      <c r="BII177" s="1056"/>
      <c r="BIJ177" s="1056"/>
      <c r="BIK177" s="1056"/>
      <c r="BIL177" s="1056"/>
      <c r="BIM177" s="1056"/>
      <c r="BIN177" s="1056"/>
      <c r="BIO177" s="1056"/>
      <c r="BIP177" s="1056"/>
      <c r="BIQ177" s="1056"/>
      <c r="BIR177" s="1056"/>
      <c r="BIS177" s="1056"/>
      <c r="BIT177" s="1056"/>
      <c r="BIU177" s="1056"/>
      <c r="BIV177" s="1056"/>
      <c r="BIW177" s="1056"/>
      <c r="BIX177" s="1056"/>
      <c r="BIY177" s="1056"/>
      <c r="BIZ177" s="1056"/>
      <c r="BJA177" s="1056"/>
      <c r="BJB177" s="1056"/>
      <c r="BJC177" s="1056"/>
      <c r="BJD177" s="1056"/>
      <c r="BJE177" s="1056"/>
      <c r="BJF177" s="1056"/>
      <c r="BJG177" s="1056"/>
      <c r="BJH177" s="1056"/>
      <c r="BJI177" s="1056"/>
      <c r="BJJ177" s="1056"/>
      <c r="BJK177" s="1056"/>
      <c r="BJL177" s="1056"/>
      <c r="BJM177" s="1056"/>
      <c r="BJN177" s="1056"/>
      <c r="BJO177" s="1056"/>
      <c r="BJP177" s="1056"/>
      <c r="BJQ177" s="1056"/>
      <c r="BJR177" s="1056"/>
      <c r="BJS177" s="1056"/>
      <c r="BJT177" s="1056"/>
      <c r="BJU177" s="1056"/>
      <c r="BJV177" s="1056"/>
      <c r="BJW177" s="1056"/>
      <c r="BJX177" s="1056"/>
      <c r="BJY177" s="1056"/>
      <c r="BJZ177" s="1056"/>
      <c r="BKA177" s="1056"/>
      <c r="BKB177" s="1056"/>
      <c r="BKC177" s="1056"/>
      <c r="BKD177" s="1056"/>
      <c r="BKE177" s="1056"/>
      <c r="BKF177" s="1056"/>
      <c r="BKG177" s="1056"/>
      <c r="BKH177" s="1056"/>
      <c r="BKI177" s="1056"/>
      <c r="BKJ177" s="1056"/>
      <c r="BKK177" s="1056"/>
      <c r="BKL177" s="1056"/>
      <c r="BKM177" s="1056"/>
      <c r="BKN177" s="1056"/>
      <c r="BKO177" s="1056"/>
      <c r="BKP177" s="1056"/>
      <c r="BKQ177" s="1056"/>
      <c r="BKR177" s="1056"/>
      <c r="BKS177" s="1056"/>
      <c r="BKT177" s="1056"/>
      <c r="BKU177" s="1056"/>
      <c r="BKV177" s="1056"/>
      <c r="BKW177" s="1056"/>
      <c r="BKX177" s="1056"/>
      <c r="BKY177" s="1056"/>
      <c r="BKZ177" s="1056"/>
      <c r="BLA177" s="1056"/>
      <c r="BLB177" s="1056"/>
      <c r="BLC177" s="1056"/>
      <c r="BLD177" s="1056"/>
      <c r="BLE177" s="1056"/>
      <c r="BLF177" s="1056"/>
      <c r="BLG177" s="1056"/>
      <c r="BLH177" s="1056"/>
      <c r="BLI177" s="1056"/>
      <c r="BLJ177" s="1056"/>
      <c r="BLK177" s="1056"/>
      <c r="BLL177" s="1056"/>
      <c r="BLM177" s="1056"/>
      <c r="BLN177" s="1056"/>
      <c r="BLO177" s="1056"/>
      <c r="BLP177" s="1056"/>
      <c r="BLQ177" s="1056"/>
      <c r="BLR177" s="1056"/>
      <c r="BLS177" s="1056"/>
      <c r="BLT177" s="1056"/>
      <c r="BLU177" s="1056"/>
      <c r="BLV177" s="1056"/>
      <c r="BLW177" s="1056"/>
      <c r="BLX177" s="1056"/>
      <c r="BLY177" s="1056"/>
      <c r="BLZ177" s="1056"/>
      <c r="BMA177" s="1056"/>
      <c r="BMB177" s="1056"/>
      <c r="BMC177" s="1056"/>
      <c r="BMD177" s="1056"/>
      <c r="BME177" s="1056"/>
      <c r="BMF177" s="1056"/>
      <c r="BMG177" s="1056"/>
      <c r="BMH177" s="1056"/>
      <c r="BMI177" s="1056"/>
      <c r="BMJ177" s="1056"/>
      <c r="BMK177" s="1056"/>
      <c r="BML177" s="1056"/>
      <c r="BMM177" s="1056"/>
      <c r="BMN177" s="1056"/>
      <c r="BMO177" s="1056"/>
      <c r="BMP177" s="1056"/>
      <c r="BMQ177" s="1056"/>
      <c r="BMR177" s="1056"/>
      <c r="BMS177" s="1056"/>
      <c r="BMT177" s="1056"/>
      <c r="BMU177" s="1056"/>
      <c r="BMV177" s="1056"/>
      <c r="BMW177" s="1056"/>
      <c r="BMX177" s="1056"/>
      <c r="BMY177" s="1056"/>
      <c r="BMZ177" s="1056"/>
      <c r="BNA177" s="1056"/>
      <c r="BNB177" s="1056"/>
      <c r="BNC177" s="1056"/>
      <c r="BND177" s="1056"/>
      <c r="BNE177" s="1056"/>
      <c r="BNF177" s="1056"/>
      <c r="BNG177" s="1056"/>
      <c r="BNH177" s="1056"/>
      <c r="BNI177" s="1056"/>
      <c r="BNJ177" s="1056"/>
      <c r="BNK177" s="1056"/>
      <c r="BNL177" s="1056"/>
      <c r="BNM177" s="1056"/>
      <c r="BNN177" s="1056"/>
      <c r="BNO177" s="1056"/>
      <c r="BNP177" s="1056"/>
      <c r="BNQ177" s="1056"/>
      <c r="BNR177" s="1056"/>
      <c r="BNS177" s="1056"/>
      <c r="BNT177" s="1056"/>
      <c r="BNU177" s="1056"/>
      <c r="BNV177" s="1056"/>
      <c r="BNW177" s="1056"/>
      <c r="BNX177" s="1056"/>
      <c r="BNY177" s="1056"/>
      <c r="BNZ177" s="1056"/>
      <c r="BOA177" s="1056"/>
      <c r="BOB177" s="1056"/>
      <c r="BOC177" s="1056"/>
      <c r="BOD177" s="1056"/>
      <c r="BOE177" s="1056"/>
      <c r="BOF177" s="1056"/>
      <c r="BOG177" s="1056"/>
      <c r="BOH177" s="1056"/>
      <c r="BOI177" s="1056"/>
      <c r="BOJ177" s="1056"/>
      <c r="BOK177" s="1056"/>
      <c r="BOL177" s="1056"/>
      <c r="BOM177" s="1056"/>
      <c r="BON177" s="1056"/>
      <c r="BOO177" s="1056"/>
      <c r="BOP177" s="1056"/>
      <c r="BOQ177" s="1056"/>
      <c r="BOR177" s="1056"/>
      <c r="BOS177" s="1056"/>
      <c r="BOT177" s="1056"/>
      <c r="BOU177" s="1056"/>
      <c r="BOV177" s="1056"/>
      <c r="BOW177" s="1056"/>
      <c r="BOX177" s="1056"/>
      <c r="BOY177" s="1056"/>
      <c r="BOZ177" s="1056"/>
      <c r="BPA177" s="1056"/>
      <c r="BPB177" s="1056"/>
      <c r="BPC177" s="1056"/>
      <c r="BPD177" s="1056"/>
      <c r="BPE177" s="1056"/>
      <c r="BPF177" s="1056"/>
      <c r="BPG177" s="1056"/>
      <c r="BPH177" s="1056"/>
      <c r="BPI177" s="1056"/>
      <c r="BPJ177" s="1056"/>
      <c r="BPK177" s="1056"/>
      <c r="BPL177" s="1056"/>
      <c r="BPM177" s="1056"/>
      <c r="BPN177" s="1056"/>
      <c r="BPO177" s="1056"/>
      <c r="BPP177" s="1056"/>
      <c r="BPQ177" s="1056"/>
      <c r="BPR177" s="1056"/>
      <c r="BPS177" s="1056"/>
      <c r="BPT177" s="1056"/>
      <c r="BPU177" s="1056"/>
      <c r="BPV177" s="1056"/>
      <c r="BPW177" s="1056"/>
      <c r="BPX177" s="1056"/>
      <c r="BPY177" s="1056"/>
      <c r="BPZ177" s="1056"/>
      <c r="BQA177" s="1056"/>
      <c r="BQB177" s="1056"/>
      <c r="BQC177" s="1056"/>
      <c r="BQD177" s="1056"/>
      <c r="BQE177" s="1056"/>
      <c r="BQF177" s="1056"/>
      <c r="BQG177" s="1056"/>
      <c r="BQH177" s="1056"/>
      <c r="BQI177" s="1056"/>
      <c r="BQJ177" s="1056"/>
      <c r="BQK177" s="1056"/>
      <c r="BQL177" s="1056"/>
      <c r="BQM177" s="1056"/>
      <c r="BQN177" s="1056"/>
      <c r="BQO177" s="1056"/>
      <c r="BQP177" s="1056"/>
      <c r="BQQ177" s="1056"/>
      <c r="BQR177" s="1056"/>
      <c r="BQS177" s="1056"/>
      <c r="BQT177" s="1056"/>
      <c r="BQU177" s="1056"/>
      <c r="BQV177" s="1056"/>
      <c r="BQW177" s="1056"/>
      <c r="BQX177" s="1056"/>
      <c r="BQY177" s="1056"/>
      <c r="BQZ177" s="1056"/>
      <c r="BRA177" s="1056"/>
      <c r="BRB177" s="1056"/>
      <c r="BRC177" s="1056"/>
      <c r="BRD177" s="1056"/>
      <c r="BRE177" s="1056"/>
      <c r="BRF177" s="1056"/>
      <c r="BRG177" s="1056"/>
      <c r="BRH177" s="1056"/>
      <c r="BRI177" s="1056"/>
      <c r="BRJ177" s="1056"/>
      <c r="BRK177" s="1056"/>
      <c r="BRL177" s="1056"/>
      <c r="BRM177" s="1056"/>
      <c r="BRN177" s="1056"/>
      <c r="BRO177" s="1056"/>
      <c r="BRP177" s="1056"/>
      <c r="BRQ177" s="1056"/>
      <c r="BRR177" s="1056"/>
      <c r="BRS177" s="1056"/>
      <c r="BRT177" s="1056"/>
      <c r="BRU177" s="1056"/>
      <c r="BRV177" s="1056"/>
      <c r="BRW177" s="1056"/>
      <c r="BRX177" s="1056"/>
      <c r="BRY177" s="1056"/>
      <c r="BRZ177" s="1056"/>
      <c r="BSA177" s="1056"/>
      <c r="BSB177" s="1056"/>
      <c r="BSC177" s="1056"/>
      <c r="BSD177" s="1056"/>
      <c r="BSE177" s="1056"/>
      <c r="BSF177" s="1056"/>
      <c r="BSG177" s="1056"/>
      <c r="BSH177" s="1056"/>
      <c r="BSI177" s="1056"/>
      <c r="BSJ177" s="1056"/>
      <c r="BSK177" s="1056"/>
      <c r="BSL177" s="1056"/>
      <c r="BSM177" s="1056"/>
      <c r="BSN177" s="1056"/>
      <c r="BSO177" s="1056"/>
      <c r="BSP177" s="1056"/>
      <c r="BSQ177" s="1056"/>
      <c r="BSR177" s="1056"/>
      <c r="BSS177" s="1056"/>
      <c r="BST177" s="1056"/>
      <c r="BSU177" s="1056"/>
      <c r="BSV177" s="1056"/>
      <c r="BSW177" s="1056"/>
      <c r="BSX177" s="1056"/>
      <c r="BSY177" s="1056"/>
      <c r="BSZ177" s="1056"/>
      <c r="BTA177" s="1056"/>
      <c r="BTB177" s="1056"/>
      <c r="BTC177" s="1056"/>
      <c r="BTD177" s="1056"/>
      <c r="BTE177" s="1056"/>
      <c r="BTF177" s="1056"/>
      <c r="BTG177" s="1056"/>
      <c r="BTH177" s="1056"/>
      <c r="BTI177" s="1056"/>
    </row>
    <row r="178" spans="1:1881" s="1060" customFormat="1" ht="93.75" hidden="1" customHeight="1" x14ac:dyDescent="0.3">
      <c r="A178" s="1059">
        <v>191</v>
      </c>
      <c r="B178" s="808" t="s">
        <v>57</v>
      </c>
      <c r="C178" s="808" t="s">
        <v>1413</v>
      </c>
      <c r="D178" s="746" t="s">
        <v>1417</v>
      </c>
      <c r="E178" s="1053" t="e">
        <f>HLOOKUP($D$2,'2020 Data(H)'!$C$1:$AI$426,72,FALSE)</f>
        <v>#N/A</v>
      </c>
      <c r="F178" s="287">
        <v>0</v>
      </c>
      <c r="G178" s="722">
        <f>IF(F178&lt;0,"Error: Enter as positive.",)</f>
        <v>0</v>
      </c>
      <c r="H178" s="764"/>
      <c r="I178" s="1055"/>
      <c r="J178" s="1056"/>
      <c r="K178" s="1056"/>
      <c r="L178" s="1056"/>
      <c r="M178" s="1056"/>
      <c r="N178" s="1058"/>
      <c r="O178" s="1056"/>
      <c r="P178" s="1056"/>
      <c r="Q178" s="1056"/>
      <c r="R178" s="1056"/>
      <c r="S178" s="1056"/>
      <c r="T178" s="1056"/>
      <c r="U178" s="1056"/>
      <c r="V178" s="1056"/>
      <c r="W178" s="1056"/>
      <c r="X178" s="1056"/>
      <c r="Y178" s="1056"/>
      <c r="Z178" s="1059"/>
      <c r="AA178" s="1059"/>
      <c r="AB178" s="1059"/>
      <c r="AC178" s="1059"/>
      <c r="AD178" s="1059"/>
      <c r="AE178" s="1059"/>
      <c r="AF178" s="1059"/>
      <c r="AG178" s="1059"/>
      <c r="AH178" s="1059"/>
      <c r="AI178" s="1059"/>
      <c r="AJ178" s="1059"/>
      <c r="AK178" s="1059"/>
      <c r="AL178" s="1059"/>
      <c r="AM178" s="1059"/>
      <c r="AN178" s="1059"/>
      <c r="AO178" s="1059"/>
      <c r="AP178" s="1059"/>
      <c r="AQ178" s="1059"/>
      <c r="AR178" s="1059"/>
      <c r="AS178" s="1056"/>
      <c r="AT178" s="1056"/>
      <c r="AU178" s="1056"/>
      <c r="AV178" s="1056"/>
      <c r="AW178" s="1056"/>
      <c r="AX178" s="1056"/>
      <c r="AY178" s="1056"/>
      <c r="AZ178" s="1056"/>
      <c r="BA178" s="1056"/>
      <c r="BB178" s="1056"/>
      <c r="BC178" s="1056"/>
      <c r="BD178" s="1056"/>
      <c r="BE178" s="1056"/>
      <c r="BF178" s="1056"/>
      <c r="BG178" s="1056"/>
      <c r="BH178" s="1056"/>
      <c r="BI178" s="1056"/>
      <c r="BJ178" s="1056"/>
      <c r="BK178" s="1056"/>
      <c r="BL178" s="1056"/>
      <c r="BM178" s="1056"/>
      <c r="BN178" s="1056"/>
      <c r="BO178" s="1056"/>
      <c r="BP178" s="1056"/>
      <c r="BQ178" s="1056"/>
      <c r="BR178" s="1056"/>
      <c r="BS178" s="1056"/>
      <c r="BT178" s="1056"/>
      <c r="BU178" s="1056"/>
      <c r="BV178" s="1056"/>
      <c r="BW178" s="1056"/>
      <c r="BX178" s="1056"/>
      <c r="BY178" s="1056"/>
      <c r="BZ178" s="1056"/>
      <c r="CA178" s="1056"/>
      <c r="CB178" s="1056"/>
      <c r="CC178" s="1056"/>
      <c r="CD178" s="1056"/>
      <c r="CE178" s="1056"/>
      <c r="CF178" s="1056"/>
      <c r="CG178" s="1056"/>
      <c r="CH178" s="1056"/>
      <c r="CI178" s="1056"/>
      <c r="CJ178" s="1056"/>
      <c r="CK178" s="1056"/>
      <c r="CL178" s="1056"/>
      <c r="CM178" s="1056"/>
      <c r="CN178" s="1056"/>
      <c r="CO178" s="1056"/>
      <c r="CP178" s="1056"/>
      <c r="CQ178" s="1056"/>
      <c r="CR178" s="1056"/>
      <c r="CS178" s="1056"/>
      <c r="CT178" s="1056"/>
      <c r="CU178" s="1056"/>
      <c r="CV178" s="1056"/>
      <c r="CW178" s="1056"/>
      <c r="CX178" s="1056"/>
      <c r="CY178" s="1056"/>
      <c r="CZ178" s="1056"/>
      <c r="DA178" s="1056"/>
      <c r="DB178" s="1056"/>
      <c r="DC178" s="1056"/>
      <c r="DD178" s="1056"/>
      <c r="DE178" s="1056"/>
      <c r="DF178" s="1056"/>
      <c r="DG178" s="1056"/>
      <c r="DH178" s="1056"/>
      <c r="DI178" s="1056"/>
      <c r="DJ178" s="1056"/>
      <c r="DK178" s="1056"/>
      <c r="DL178" s="1056"/>
      <c r="DM178" s="1056"/>
      <c r="DN178" s="1056"/>
      <c r="DO178" s="1056"/>
      <c r="DP178" s="1056"/>
      <c r="DQ178" s="1056"/>
      <c r="DR178" s="1056"/>
      <c r="DS178" s="1056"/>
      <c r="DT178" s="1056"/>
      <c r="DU178" s="1056"/>
      <c r="DV178" s="1056"/>
      <c r="DW178" s="1056"/>
      <c r="DX178" s="1056"/>
      <c r="DY178" s="1056"/>
      <c r="DZ178" s="1056"/>
      <c r="EA178" s="1056"/>
      <c r="EB178" s="1056"/>
      <c r="EC178" s="1056"/>
      <c r="ED178" s="1056"/>
      <c r="EE178" s="1056"/>
      <c r="EF178" s="1056"/>
      <c r="EG178" s="1056"/>
      <c r="EH178" s="1056"/>
      <c r="EI178" s="1056"/>
      <c r="EJ178" s="1056"/>
      <c r="EK178" s="1056"/>
      <c r="EL178" s="1056"/>
      <c r="EM178" s="1056"/>
      <c r="EN178" s="1056"/>
      <c r="EO178" s="1056"/>
      <c r="EP178" s="1056"/>
      <c r="EQ178" s="1056"/>
      <c r="ER178" s="1056"/>
      <c r="ES178" s="1056"/>
      <c r="ET178" s="1056"/>
      <c r="EU178" s="1056"/>
      <c r="EV178" s="1056"/>
      <c r="EW178" s="1056"/>
      <c r="EX178" s="1056"/>
      <c r="EY178" s="1056"/>
      <c r="EZ178" s="1056"/>
      <c r="FA178" s="1056"/>
      <c r="FB178" s="1056"/>
      <c r="FC178" s="1056"/>
      <c r="FD178" s="1056"/>
      <c r="FE178" s="1056"/>
      <c r="FF178" s="1056"/>
      <c r="FG178" s="1056"/>
      <c r="FH178" s="1056"/>
      <c r="FI178" s="1056"/>
      <c r="FJ178" s="1056"/>
      <c r="FK178" s="1056"/>
      <c r="FL178" s="1056"/>
      <c r="FM178" s="1056"/>
      <c r="FN178" s="1056"/>
      <c r="FO178" s="1056"/>
      <c r="FP178" s="1056"/>
      <c r="FQ178" s="1056"/>
      <c r="FR178" s="1056"/>
      <c r="FS178" s="1056"/>
      <c r="FT178" s="1056"/>
      <c r="FU178" s="1056"/>
      <c r="FV178" s="1056"/>
      <c r="FW178" s="1056"/>
      <c r="FX178" s="1056"/>
      <c r="FY178" s="1056"/>
      <c r="FZ178" s="1056"/>
      <c r="GA178" s="1056"/>
      <c r="GB178" s="1056"/>
      <c r="GC178" s="1056"/>
      <c r="GD178" s="1056"/>
      <c r="GE178" s="1056"/>
      <c r="GF178" s="1056"/>
      <c r="GG178" s="1056"/>
      <c r="GH178" s="1056"/>
      <c r="GI178" s="1056"/>
      <c r="GJ178" s="1056"/>
      <c r="GK178" s="1056"/>
      <c r="GL178" s="1056"/>
      <c r="GM178" s="1056"/>
      <c r="GN178" s="1056"/>
      <c r="GO178" s="1056"/>
      <c r="GP178" s="1056"/>
      <c r="GQ178" s="1056"/>
      <c r="GR178" s="1056"/>
      <c r="GS178" s="1056"/>
      <c r="GT178" s="1056"/>
      <c r="GU178" s="1056"/>
      <c r="GV178" s="1056"/>
      <c r="GW178" s="1056"/>
      <c r="GX178" s="1056"/>
      <c r="GY178" s="1056"/>
      <c r="GZ178" s="1056"/>
      <c r="HA178" s="1056"/>
      <c r="HB178" s="1056"/>
      <c r="HC178" s="1056"/>
      <c r="HD178" s="1056"/>
      <c r="HE178" s="1056"/>
      <c r="HF178" s="1056"/>
      <c r="HG178" s="1056"/>
      <c r="HH178" s="1056"/>
      <c r="HI178" s="1056"/>
      <c r="HJ178" s="1056"/>
      <c r="HK178" s="1056"/>
      <c r="HL178" s="1056"/>
      <c r="HM178" s="1056"/>
      <c r="HN178" s="1056"/>
      <c r="HO178" s="1056"/>
      <c r="HP178" s="1056"/>
      <c r="HQ178" s="1056"/>
      <c r="HR178" s="1056"/>
      <c r="HS178" s="1056"/>
      <c r="HT178" s="1056"/>
      <c r="HU178" s="1056"/>
      <c r="HV178" s="1056"/>
      <c r="HW178" s="1056"/>
      <c r="HX178" s="1056"/>
      <c r="HY178" s="1056"/>
      <c r="HZ178" s="1056"/>
      <c r="IA178" s="1056"/>
      <c r="IB178" s="1056"/>
      <c r="IC178" s="1056"/>
      <c r="ID178" s="1056"/>
      <c r="IE178" s="1056"/>
      <c r="IF178" s="1056"/>
      <c r="IG178" s="1056"/>
      <c r="IH178" s="1056"/>
      <c r="II178" s="1056"/>
      <c r="IJ178" s="1056"/>
      <c r="IK178" s="1056"/>
      <c r="IL178" s="1056"/>
      <c r="IM178" s="1056"/>
      <c r="IN178" s="1056"/>
      <c r="IO178" s="1056"/>
      <c r="IP178" s="1056"/>
      <c r="IQ178" s="1056"/>
      <c r="IR178" s="1056"/>
      <c r="IS178" s="1056"/>
      <c r="IT178" s="1056"/>
      <c r="IU178" s="1056"/>
      <c r="IV178" s="1056"/>
      <c r="IW178" s="1056"/>
      <c r="IX178" s="1056"/>
      <c r="IY178" s="1056"/>
      <c r="IZ178" s="1056"/>
      <c r="JA178" s="1056"/>
      <c r="JB178" s="1056"/>
      <c r="JC178" s="1056"/>
      <c r="JD178" s="1056"/>
      <c r="JE178" s="1056"/>
      <c r="JF178" s="1056"/>
      <c r="JG178" s="1056"/>
      <c r="JH178" s="1056"/>
      <c r="JI178" s="1056"/>
      <c r="JJ178" s="1056"/>
      <c r="JK178" s="1056"/>
      <c r="JL178" s="1056"/>
      <c r="JM178" s="1056"/>
      <c r="JN178" s="1056"/>
      <c r="JO178" s="1056"/>
      <c r="JP178" s="1056"/>
      <c r="JQ178" s="1056"/>
      <c r="JR178" s="1056"/>
      <c r="JS178" s="1056"/>
      <c r="JT178" s="1056"/>
      <c r="JU178" s="1056"/>
      <c r="JV178" s="1056"/>
      <c r="JW178" s="1056"/>
      <c r="JX178" s="1056"/>
      <c r="JY178" s="1056"/>
      <c r="JZ178" s="1056"/>
      <c r="KA178" s="1056"/>
      <c r="KB178" s="1056"/>
      <c r="KC178" s="1056"/>
      <c r="KD178" s="1056"/>
      <c r="KE178" s="1056"/>
      <c r="KF178" s="1056"/>
      <c r="KG178" s="1056"/>
      <c r="KH178" s="1056"/>
      <c r="KI178" s="1056"/>
      <c r="KJ178" s="1056"/>
      <c r="KK178" s="1056"/>
      <c r="KL178" s="1056"/>
      <c r="KM178" s="1056"/>
      <c r="KN178" s="1056"/>
      <c r="KO178" s="1056"/>
      <c r="KP178" s="1056"/>
      <c r="KQ178" s="1056"/>
      <c r="KR178" s="1056"/>
      <c r="KS178" s="1056"/>
      <c r="KT178" s="1056"/>
      <c r="KU178" s="1056"/>
      <c r="KV178" s="1056"/>
      <c r="KW178" s="1056"/>
      <c r="KX178" s="1056"/>
      <c r="KY178" s="1056"/>
      <c r="KZ178" s="1056"/>
      <c r="LA178" s="1056"/>
      <c r="LB178" s="1056"/>
      <c r="LC178" s="1056"/>
      <c r="LD178" s="1056"/>
      <c r="LE178" s="1056"/>
      <c r="LF178" s="1056"/>
      <c r="LG178" s="1056"/>
      <c r="LH178" s="1056"/>
      <c r="LI178" s="1056"/>
      <c r="LJ178" s="1056"/>
      <c r="LK178" s="1056"/>
      <c r="LL178" s="1056"/>
      <c r="LM178" s="1056"/>
      <c r="LN178" s="1056"/>
      <c r="LO178" s="1056"/>
      <c r="LP178" s="1056"/>
      <c r="LQ178" s="1056"/>
      <c r="LR178" s="1056"/>
      <c r="LS178" s="1056"/>
      <c r="LT178" s="1056"/>
      <c r="LU178" s="1056"/>
      <c r="LV178" s="1056"/>
      <c r="LW178" s="1056"/>
      <c r="LX178" s="1056"/>
      <c r="LY178" s="1056"/>
      <c r="LZ178" s="1056"/>
      <c r="MA178" s="1056"/>
      <c r="MB178" s="1056"/>
      <c r="MC178" s="1056"/>
      <c r="MD178" s="1056"/>
      <c r="ME178" s="1056"/>
      <c r="MF178" s="1056"/>
      <c r="MG178" s="1056"/>
      <c r="MH178" s="1056"/>
      <c r="MI178" s="1056"/>
      <c r="MJ178" s="1056"/>
      <c r="MK178" s="1056"/>
      <c r="ML178" s="1056"/>
      <c r="MM178" s="1056"/>
      <c r="MN178" s="1056"/>
      <c r="MO178" s="1056"/>
      <c r="MP178" s="1056"/>
      <c r="MQ178" s="1056"/>
      <c r="MR178" s="1056"/>
      <c r="MS178" s="1056"/>
      <c r="MT178" s="1056"/>
      <c r="MU178" s="1056"/>
      <c r="MV178" s="1056"/>
      <c r="MW178" s="1056"/>
      <c r="MX178" s="1056"/>
      <c r="MY178" s="1056"/>
      <c r="MZ178" s="1056"/>
      <c r="NA178" s="1056"/>
      <c r="NB178" s="1056"/>
      <c r="NC178" s="1056"/>
      <c r="ND178" s="1056"/>
      <c r="NE178" s="1056"/>
      <c r="NF178" s="1056"/>
      <c r="NG178" s="1056"/>
      <c r="NH178" s="1056"/>
      <c r="NI178" s="1056"/>
      <c r="NJ178" s="1056"/>
      <c r="NK178" s="1056"/>
      <c r="NL178" s="1056"/>
      <c r="NM178" s="1056"/>
      <c r="NN178" s="1056"/>
      <c r="NO178" s="1056"/>
      <c r="NP178" s="1056"/>
      <c r="NQ178" s="1056"/>
      <c r="NR178" s="1056"/>
      <c r="NS178" s="1056"/>
      <c r="NT178" s="1056"/>
      <c r="NU178" s="1056"/>
      <c r="NV178" s="1056"/>
      <c r="NW178" s="1056"/>
      <c r="NX178" s="1056"/>
      <c r="NY178" s="1056"/>
      <c r="NZ178" s="1056"/>
      <c r="OA178" s="1056"/>
      <c r="OB178" s="1056"/>
      <c r="OC178" s="1056"/>
      <c r="OD178" s="1056"/>
      <c r="OE178" s="1056"/>
      <c r="OF178" s="1056"/>
      <c r="OG178" s="1056"/>
      <c r="OH178" s="1056"/>
      <c r="OI178" s="1056"/>
      <c r="OJ178" s="1056"/>
      <c r="OK178" s="1056"/>
      <c r="OL178" s="1056"/>
      <c r="OM178" s="1056"/>
      <c r="ON178" s="1056"/>
      <c r="OO178" s="1056"/>
      <c r="OP178" s="1056"/>
      <c r="OQ178" s="1056"/>
      <c r="OR178" s="1056"/>
      <c r="OS178" s="1056"/>
      <c r="OT178" s="1056"/>
      <c r="OU178" s="1056"/>
      <c r="OV178" s="1056"/>
      <c r="OW178" s="1056"/>
      <c r="OX178" s="1056"/>
      <c r="OY178" s="1056"/>
      <c r="OZ178" s="1056"/>
      <c r="PA178" s="1056"/>
      <c r="PB178" s="1056"/>
      <c r="PC178" s="1056"/>
      <c r="PD178" s="1056"/>
      <c r="PE178" s="1056"/>
      <c r="PF178" s="1056"/>
      <c r="PG178" s="1056"/>
      <c r="PH178" s="1056"/>
      <c r="PI178" s="1056"/>
      <c r="PJ178" s="1056"/>
      <c r="PK178" s="1056"/>
      <c r="PL178" s="1056"/>
      <c r="PM178" s="1056"/>
      <c r="PN178" s="1056"/>
      <c r="PO178" s="1056"/>
      <c r="PP178" s="1056"/>
      <c r="PQ178" s="1056"/>
      <c r="PR178" s="1056"/>
      <c r="PS178" s="1056"/>
      <c r="PT178" s="1056"/>
      <c r="PU178" s="1056"/>
      <c r="PV178" s="1056"/>
      <c r="PW178" s="1056"/>
      <c r="PX178" s="1056"/>
      <c r="PY178" s="1056"/>
      <c r="PZ178" s="1056"/>
      <c r="QA178" s="1056"/>
      <c r="QB178" s="1056"/>
      <c r="QC178" s="1056"/>
      <c r="QD178" s="1056"/>
      <c r="QE178" s="1056"/>
      <c r="QF178" s="1056"/>
      <c r="QG178" s="1056"/>
      <c r="QH178" s="1056"/>
      <c r="QI178" s="1056"/>
      <c r="QJ178" s="1056"/>
      <c r="QK178" s="1056"/>
      <c r="QL178" s="1056"/>
      <c r="QM178" s="1056"/>
      <c r="QN178" s="1056"/>
      <c r="QO178" s="1056"/>
      <c r="QP178" s="1056"/>
      <c r="QQ178" s="1056"/>
      <c r="QR178" s="1056"/>
      <c r="QS178" s="1056"/>
      <c r="QT178" s="1056"/>
      <c r="QU178" s="1056"/>
      <c r="QV178" s="1056"/>
      <c r="QW178" s="1056"/>
      <c r="QX178" s="1056"/>
      <c r="QY178" s="1056"/>
      <c r="QZ178" s="1056"/>
      <c r="RA178" s="1056"/>
      <c r="RB178" s="1056"/>
      <c r="RC178" s="1056"/>
      <c r="RD178" s="1056"/>
      <c r="RE178" s="1056"/>
      <c r="RF178" s="1056"/>
      <c r="RG178" s="1056"/>
      <c r="RH178" s="1056"/>
      <c r="RI178" s="1056"/>
      <c r="RJ178" s="1056"/>
      <c r="RK178" s="1056"/>
      <c r="RL178" s="1056"/>
      <c r="RM178" s="1056"/>
      <c r="RN178" s="1056"/>
      <c r="RO178" s="1056"/>
      <c r="RP178" s="1056"/>
      <c r="RQ178" s="1056"/>
      <c r="RR178" s="1056"/>
      <c r="RS178" s="1056"/>
      <c r="RT178" s="1056"/>
      <c r="RU178" s="1056"/>
      <c r="RV178" s="1056"/>
      <c r="RW178" s="1056"/>
      <c r="RX178" s="1056"/>
      <c r="RY178" s="1056"/>
      <c r="RZ178" s="1056"/>
      <c r="SA178" s="1056"/>
      <c r="SB178" s="1056"/>
      <c r="SC178" s="1056"/>
      <c r="SD178" s="1056"/>
      <c r="SE178" s="1056"/>
      <c r="SF178" s="1056"/>
      <c r="SG178" s="1056"/>
      <c r="SH178" s="1056"/>
      <c r="SI178" s="1056"/>
      <c r="SJ178" s="1056"/>
      <c r="SK178" s="1056"/>
      <c r="SL178" s="1056"/>
      <c r="SM178" s="1056"/>
      <c r="SN178" s="1056"/>
      <c r="SO178" s="1056"/>
      <c r="SP178" s="1056"/>
      <c r="SQ178" s="1056"/>
      <c r="SR178" s="1056"/>
      <c r="SS178" s="1056"/>
      <c r="ST178" s="1056"/>
      <c r="SU178" s="1056"/>
      <c r="SV178" s="1056"/>
      <c r="SW178" s="1056"/>
      <c r="SX178" s="1056"/>
      <c r="SY178" s="1056"/>
      <c r="SZ178" s="1056"/>
      <c r="TA178" s="1056"/>
      <c r="TB178" s="1056"/>
      <c r="TC178" s="1056"/>
      <c r="TD178" s="1056"/>
      <c r="TE178" s="1056"/>
      <c r="TF178" s="1056"/>
      <c r="TG178" s="1056"/>
      <c r="TH178" s="1056"/>
      <c r="TI178" s="1056"/>
      <c r="TJ178" s="1056"/>
      <c r="TK178" s="1056"/>
      <c r="TL178" s="1056"/>
      <c r="TM178" s="1056"/>
      <c r="TN178" s="1056"/>
      <c r="TO178" s="1056"/>
      <c r="TP178" s="1056"/>
      <c r="TQ178" s="1056"/>
      <c r="TR178" s="1056"/>
      <c r="TS178" s="1056"/>
      <c r="TT178" s="1056"/>
      <c r="TU178" s="1056"/>
      <c r="TV178" s="1056"/>
      <c r="TW178" s="1056"/>
      <c r="TX178" s="1056"/>
      <c r="TY178" s="1056"/>
      <c r="TZ178" s="1056"/>
      <c r="UA178" s="1056"/>
      <c r="UB178" s="1056"/>
      <c r="UC178" s="1056"/>
      <c r="UD178" s="1056"/>
      <c r="UE178" s="1056"/>
      <c r="UF178" s="1056"/>
      <c r="UG178" s="1056"/>
      <c r="UH178" s="1056"/>
      <c r="UI178" s="1056"/>
      <c r="UJ178" s="1056"/>
      <c r="UK178" s="1056"/>
      <c r="UL178" s="1056"/>
      <c r="UM178" s="1056"/>
      <c r="UN178" s="1056"/>
      <c r="UO178" s="1056"/>
      <c r="UP178" s="1056"/>
      <c r="UQ178" s="1056"/>
      <c r="UR178" s="1056"/>
      <c r="US178" s="1056"/>
      <c r="UT178" s="1056"/>
      <c r="UU178" s="1056"/>
      <c r="UV178" s="1056"/>
      <c r="UW178" s="1056"/>
      <c r="UX178" s="1056"/>
      <c r="UY178" s="1056"/>
      <c r="UZ178" s="1056"/>
      <c r="VA178" s="1056"/>
      <c r="VB178" s="1056"/>
      <c r="VC178" s="1056"/>
      <c r="VD178" s="1056"/>
      <c r="VE178" s="1056"/>
      <c r="VF178" s="1056"/>
      <c r="VG178" s="1056"/>
      <c r="VH178" s="1056"/>
      <c r="VI178" s="1056"/>
      <c r="VJ178" s="1056"/>
      <c r="VK178" s="1056"/>
      <c r="VL178" s="1056"/>
      <c r="VM178" s="1056"/>
      <c r="VN178" s="1056"/>
      <c r="VO178" s="1056"/>
      <c r="VP178" s="1056"/>
      <c r="VQ178" s="1056"/>
      <c r="VR178" s="1056"/>
      <c r="VS178" s="1056"/>
      <c r="VT178" s="1056"/>
      <c r="VU178" s="1056"/>
      <c r="VV178" s="1056"/>
      <c r="VW178" s="1056"/>
      <c r="VX178" s="1056"/>
      <c r="VY178" s="1056"/>
      <c r="VZ178" s="1056"/>
      <c r="WA178" s="1056"/>
      <c r="WB178" s="1056"/>
      <c r="WC178" s="1056"/>
      <c r="WD178" s="1056"/>
      <c r="WE178" s="1056"/>
      <c r="WF178" s="1056"/>
      <c r="WG178" s="1056"/>
      <c r="WH178" s="1056"/>
      <c r="WI178" s="1056"/>
      <c r="WJ178" s="1056"/>
      <c r="WK178" s="1056"/>
      <c r="WL178" s="1056"/>
      <c r="WM178" s="1056"/>
      <c r="WN178" s="1056"/>
      <c r="WO178" s="1056"/>
      <c r="WP178" s="1056"/>
      <c r="WQ178" s="1056"/>
      <c r="WR178" s="1056"/>
      <c r="WS178" s="1056"/>
      <c r="WT178" s="1056"/>
      <c r="WU178" s="1056"/>
      <c r="WV178" s="1056"/>
      <c r="WW178" s="1056"/>
      <c r="WX178" s="1056"/>
      <c r="WY178" s="1056"/>
      <c r="WZ178" s="1056"/>
      <c r="XA178" s="1056"/>
      <c r="XB178" s="1056"/>
      <c r="XC178" s="1056"/>
      <c r="XD178" s="1056"/>
      <c r="XE178" s="1056"/>
      <c r="XF178" s="1056"/>
      <c r="XG178" s="1056"/>
      <c r="XH178" s="1056"/>
      <c r="XI178" s="1056"/>
      <c r="XJ178" s="1056"/>
      <c r="XK178" s="1056"/>
      <c r="XL178" s="1056"/>
      <c r="XM178" s="1056"/>
      <c r="XN178" s="1056"/>
      <c r="XO178" s="1056"/>
      <c r="XP178" s="1056"/>
      <c r="XQ178" s="1056"/>
      <c r="XR178" s="1056"/>
      <c r="XS178" s="1056"/>
      <c r="XT178" s="1056"/>
      <c r="XU178" s="1056"/>
      <c r="XV178" s="1056"/>
      <c r="XW178" s="1056"/>
      <c r="XX178" s="1056"/>
      <c r="XY178" s="1056"/>
      <c r="XZ178" s="1056"/>
      <c r="YA178" s="1056"/>
      <c r="YB178" s="1056"/>
      <c r="YC178" s="1056"/>
      <c r="YD178" s="1056"/>
      <c r="YE178" s="1056"/>
      <c r="YF178" s="1056"/>
      <c r="YG178" s="1056"/>
      <c r="YH178" s="1056"/>
      <c r="YI178" s="1056"/>
      <c r="YJ178" s="1056"/>
      <c r="YK178" s="1056"/>
      <c r="YL178" s="1056"/>
      <c r="YM178" s="1056"/>
      <c r="YN178" s="1056"/>
      <c r="YO178" s="1056"/>
      <c r="YP178" s="1056"/>
      <c r="YQ178" s="1056"/>
      <c r="YR178" s="1056"/>
      <c r="YS178" s="1056"/>
      <c r="YT178" s="1056"/>
      <c r="YU178" s="1056"/>
      <c r="YV178" s="1056"/>
      <c r="YW178" s="1056"/>
      <c r="YX178" s="1056"/>
      <c r="YY178" s="1056"/>
      <c r="YZ178" s="1056"/>
      <c r="ZA178" s="1056"/>
      <c r="ZB178" s="1056"/>
      <c r="ZC178" s="1056"/>
      <c r="ZD178" s="1056"/>
      <c r="ZE178" s="1056"/>
      <c r="ZF178" s="1056"/>
      <c r="ZG178" s="1056"/>
      <c r="ZH178" s="1056"/>
      <c r="ZI178" s="1056"/>
      <c r="ZJ178" s="1056"/>
      <c r="ZK178" s="1056"/>
      <c r="ZL178" s="1056"/>
      <c r="ZM178" s="1056"/>
      <c r="ZN178" s="1056"/>
      <c r="ZO178" s="1056"/>
      <c r="ZP178" s="1056"/>
      <c r="ZQ178" s="1056"/>
      <c r="ZR178" s="1056"/>
      <c r="ZS178" s="1056"/>
      <c r="ZT178" s="1056"/>
      <c r="ZU178" s="1056"/>
      <c r="ZV178" s="1056"/>
      <c r="ZW178" s="1056"/>
      <c r="ZX178" s="1056"/>
      <c r="ZY178" s="1056"/>
      <c r="ZZ178" s="1056"/>
      <c r="AAA178" s="1056"/>
      <c r="AAB178" s="1056"/>
      <c r="AAC178" s="1056"/>
      <c r="AAD178" s="1056"/>
      <c r="AAE178" s="1056"/>
      <c r="AAF178" s="1056"/>
      <c r="AAG178" s="1056"/>
      <c r="AAH178" s="1056"/>
      <c r="AAI178" s="1056"/>
      <c r="AAJ178" s="1056"/>
      <c r="AAK178" s="1056"/>
      <c r="AAL178" s="1056"/>
      <c r="AAM178" s="1056"/>
      <c r="AAN178" s="1056"/>
      <c r="AAO178" s="1056"/>
      <c r="AAP178" s="1056"/>
      <c r="AAQ178" s="1056"/>
      <c r="AAR178" s="1056"/>
      <c r="AAS178" s="1056"/>
      <c r="AAT178" s="1056"/>
      <c r="AAU178" s="1056"/>
      <c r="AAV178" s="1056"/>
      <c r="AAW178" s="1056"/>
      <c r="AAX178" s="1056"/>
      <c r="AAY178" s="1056"/>
      <c r="AAZ178" s="1056"/>
      <c r="ABA178" s="1056"/>
      <c r="ABB178" s="1056"/>
      <c r="ABC178" s="1056"/>
      <c r="ABD178" s="1056"/>
      <c r="ABE178" s="1056"/>
      <c r="ABF178" s="1056"/>
      <c r="ABG178" s="1056"/>
      <c r="ABH178" s="1056"/>
      <c r="ABI178" s="1056"/>
      <c r="ABJ178" s="1056"/>
      <c r="ABK178" s="1056"/>
      <c r="ABL178" s="1056"/>
      <c r="ABM178" s="1056"/>
      <c r="ABN178" s="1056"/>
      <c r="ABO178" s="1056"/>
      <c r="ABP178" s="1056"/>
      <c r="ABQ178" s="1056"/>
      <c r="ABR178" s="1056"/>
      <c r="ABS178" s="1056"/>
      <c r="ABT178" s="1056"/>
      <c r="ABU178" s="1056"/>
      <c r="ABV178" s="1056"/>
      <c r="ABW178" s="1056"/>
      <c r="ABX178" s="1056"/>
      <c r="ABY178" s="1056"/>
      <c r="ABZ178" s="1056"/>
      <c r="ACA178" s="1056"/>
      <c r="ACB178" s="1056"/>
      <c r="ACC178" s="1056"/>
      <c r="ACD178" s="1056"/>
      <c r="ACE178" s="1056"/>
      <c r="ACF178" s="1056"/>
      <c r="ACG178" s="1056"/>
      <c r="ACH178" s="1056"/>
      <c r="ACI178" s="1056"/>
      <c r="ACJ178" s="1056"/>
      <c r="ACK178" s="1056"/>
      <c r="ACL178" s="1056"/>
      <c r="ACM178" s="1056"/>
      <c r="ACN178" s="1056"/>
      <c r="ACO178" s="1056"/>
      <c r="ACP178" s="1056"/>
      <c r="ACQ178" s="1056"/>
      <c r="ACR178" s="1056"/>
      <c r="ACS178" s="1056"/>
      <c r="ACT178" s="1056"/>
      <c r="ACU178" s="1056"/>
      <c r="ACV178" s="1056"/>
      <c r="ACW178" s="1056"/>
      <c r="ACX178" s="1056"/>
      <c r="ACY178" s="1056"/>
      <c r="ACZ178" s="1056"/>
      <c r="ADA178" s="1056"/>
      <c r="ADB178" s="1056"/>
      <c r="ADC178" s="1056"/>
      <c r="ADD178" s="1056"/>
      <c r="ADE178" s="1056"/>
      <c r="ADF178" s="1056"/>
      <c r="ADG178" s="1056"/>
      <c r="ADH178" s="1056"/>
      <c r="ADI178" s="1056"/>
      <c r="ADJ178" s="1056"/>
      <c r="ADK178" s="1056"/>
      <c r="ADL178" s="1056"/>
      <c r="ADM178" s="1056"/>
      <c r="ADN178" s="1056"/>
      <c r="ADO178" s="1056"/>
      <c r="ADP178" s="1056"/>
      <c r="ADQ178" s="1056"/>
      <c r="ADR178" s="1056"/>
      <c r="ADS178" s="1056"/>
      <c r="ADT178" s="1056"/>
      <c r="ADU178" s="1056"/>
      <c r="ADV178" s="1056"/>
      <c r="ADW178" s="1056"/>
      <c r="ADX178" s="1056"/>
      <c r="ADY178" s="1056"/>
      <c r="ADZ178" s="1056"/>
      <c r="AEA178" s="1056"/>
      <c r="AEB178" s="1056"/>
      <c r="AEC178" s="1056"/>
      <c r="AED178" s="1056"/>
      <c r="AEE178" s="1056"/>
      <c r="AEF178" s="1056"/>
      <c r="AEG178" s="1056"/>
      <c r="AEH178" s="1056"/>
      <c r="AEI178" s="1056"/>
      <c r="AEJ178" s="1056"/>
      <c r="AEK178" s="1056"/>
      <c r="AEL178" s="1056"/>
      <c r="AEM178" s="1056"/>
      <c r="AEN178" s="1056"/>
      <c r="AEO178" s="1056"/>
      <c r="AEP178" s="1056"/>
      <c r="AEQ178" s="1056"/>
      <c r="AER178" s="1056"/>
      <c r="AES178" s="1056"/>
      <c r="AET178" s="1056"/>
      <c r="AEU178" s="1056"/>
      <c r="AEV178" s="1056"/>
      <c r="AEW178" s="1056"/>
      <c r="AEX178" s="1056"/>
      <c r="AEY178" s="1056"/>
      <c r="AEZ178" s="1056"/>
      <c r="AFA178" s="1056"/>
      <c r="AFB178" s="1056"/>
      <c r="AFC178" s="1056"/>
      <c r="AFD178" s="1056"/>
      <c r="AFE178" s="1056"/>
      <c r="AFF178" s="1056"/>
      <c r="AFG178" s="1056"/>
      <c r="AFH178" s="1056"/>
      <c r="AFI178" s="1056"/>
      <c r="AFJ178" s="1056"/>
      <c r="AFK178" s="1056"/>
      <c r="AFL178" s="1056"/>
      <c r="AFM178" s="1056"/>
      <c r="AFN178" s="1056"/>
      <c r="AFO178" s="1056"/>
      <c r="AFP178" s="1056"/>
      <c r="AFQ178" s="1056"/>
      <c r="AFR178" s="1056"/>
      <c r="AFS178" s="1056"/>
      <c r="AFT178" s="1056"/>
      <c r="AFU178" s="1056"/>
      <c r="AFV178" s="1056"/>
      <c r="AFW178" s="1056"/>
      <c r="AFX178" s="1056"/>
      <c r="AFY178" s="1056"/>
      <c r="AFZ178" s="1056"/>
      <c r="AGA178" s="1056"/>
      <c r="AGB178" s="1056"/>
      <c r="AGC178" s="1056"/>
      <c r="AGD178" s="1056"/>
      <c r="AGE178" s="1056"/>
      <c r="AGF178" s="1056"/>
      <c r="AGG178" s="1056"/>
      <c r="AGH178" s="1056"/>
      <c r="AGI178" s="1056"/>
      <c r="AGJ178" s="1056"/>
      <c r="AGK178" s="1056"/>
      <c r="AGL178" s="1056"/>
      <c r="AGM178" s="1056"/>
      <c r="AGN178" s="1056"/>
      <c r="AGO178" s="1056"/>
      <c r="AGP178" s="1056"/>
      <c r="AGQ178" s="1056"/>
      <c r="AGR178" s="1056"/>
      <c r="AGS178" s="1056"/>
      <c r="AGT178" s="1056"/>
      <c r="AGU178" s="1056"/>
      <c r="AGV178" s="1056"/>
      <c r="AGW178" s="1056"/>
      <c r="AGX178" s="1056"/>
      <c r="AGY178" s="1056"/>
      <c r="AGZ178" s="1056"/>
      <c r="AHA178" s="1056"/>
      <c r="AHB178" s="1056"/>
      <c r="AHC178" s="1056"/>
      <c r="AHD178" s="1056"/>
      <c r="AHE178" s="1056"/>
      <c r="AHF178" s="1056"/>
      <c r="AHG178" s="1056"/>
      <c r="AHH178" s="1056"/>
      <c r="AHI178" s="1056"/>
      <c r="AHJ178" s="1056"/>
      <c r="AHK178" s="1056"/>
      <c r="AHL178" s="1056"/>
      <c r="AHM178" s="1056"/>
      <c r="AHN178" s="1056"/>
      <c r="AHO178" s="1056"/>
      <c r="AHP178" s="1056"/>
      <c r="AHQ178" s="1056"/>
      <c r="AHR178" s="1056"/>
      <c r="AHS178" s="1056"/>
      <c r="AHT178" s="1056"/>
      <c r="AHU178" s="1056"/>
      <c r="AHV178" s="1056"/>
      <c r="AHW178" s="1056"/>
      <c r="AHX178" s="1056"/>
      <c r="AHY178" s="1056"/>
      <c r="AHZ178" s="1056"/>
      <c r="AIA178" s="1056"/>
      <c r="AIB178" s="1056"/>
      <c r="AIC178" s="1056"/>
      <c r="AID178" s="1056"/>
      <c r="AIE178" s="1056"/>
      <c r="AIF178" s="1056"/>
      <c r="AIG178" s="1056"/>
      <c r="AIH178" s="1056"/>
      <c r="AII178" s="1056"/>
      <c r="AIJ178" s="1056"/>
      <c r="AIK178" s="1056"/>
      <c r="AIL178" s="1056"/>
      <c r="AIM178" s="1056"/>
      <c r="AIN178" s="1056"/>
      <c r="AIO178" s="1056"/>
      <c r="AIP178" s="1056"/>
      <c r="AIQ178" s="1056"/>
      <c r="AIR178" s="1056"/>
      <c r="AIS178" s="1056"/>
      <c r="AIT178" s="1056"/>
      <c r="AIU178" s="1056"/>
      <c r="AIV178" s="1056"/>
      <c r="AIW178" s="1056"/>
      <c r="AIX178" s="1056"/>
      <c r="AIY178" s="1056"/>
      <c r="AIZ178" s="1056"/>
      <c r="AJA178" s="1056"/>
      <c r="AJB178" s="1056"/>
      <c r="AJC178" s="1056"/>
      <c r="AJD178" s="1056"/>
      <c r="AJE178" s="1056"/>
      <c r="AJF178" s="1056"/>
      <c r="AJG178" s="1056"/>
      <c r="AJH178" s="1056"/>
      <c r="AJI178" s="1056"/>
      <c r="AJJ178" s="1056"/>
      <c r="AJK178" s="1056"/>
      <c r="AJL178" s="1056"/>
      <c r="AJM178" s="1056"/>
      <c r="AJN178" s="1056"/>
      <c r="AJO178" s="1056"/>
      <c r="AJP178" s="1056"/>
      <c r="AJQ178" s="1056"/>
      <c r="AJR178" s="1056"/>
      <c r="AJS178" s="1056"/>
      <c r="AJT178" s="1056"/>
      <c r="AJU178" s="1056"/>
      <c r="AJV178" s="1056"/>
      <c r="AJW178" s="1056"/>
      <c r="AJX178" s="1056"/>
      <c r="AJY178" s="1056"/>
      <c r="AJZ178" s="1056"/>
      <c r="AKA178" s="1056"/>
      <c r="AKB178" s="1056"/>
      <c r="AKC178" s="1056"/>
      <c r="AKD178" s="1056"/>
      <c r="AKE178" s="1056"/>
      <c r="AKF178" s="1056"/>
      <c r="AKG178" s="1056"/>
      <c r="AKH178" s="1056"/>
      <c r="AKI178" s="1056"/>
      <c r="AKJ178" s="1056"/>
      <c r="AKK178" s="1056"/>
      <c r="AKL178" s="1056"/>
      <c r="AKM178" s="1056"/>
      <c r="AKN178" s="1056"/>
      <c r="AKO178" s="1056"/>
      <c r="AKP178" s="1056"/>
      <c r="AKQ178" s="1056"/>
      <c r="AKR178" s="1056"/>
      <c r="AKS178" s="1056"/>
      <c r="AKT178" s="1056"/>
      <c r="AKU178" s="1056"/>
      <c r="AKV178" s="1056"/>
      <c r="AKW178" s="1056"/>
      <c r="AKX178" s="1056"/>
      <c r="AKY178" s="1056"/>
      <c r="AKZ178" s="1056"/>
      <c r="ALA178" s="1056"/>
      <c r="ALB178" s="1056"/>
      <c r="ALC178" s="1056"/>
      <c r="ALD178" s="1056"/>
      <c r="ALE178" s="1056"/>
      <c r="ALF178" s="1056"/>
      <c r="ALG178" s="1056"/>
      <c r="ALH178" s="1056"/>
      <c r="ALI178" s="1056"/>
      <c r="ALJ178" s="1056"/>
      <c r="ALK178" s="1056"/>
      <c r="ALL178" s="1056"/>
      <c r="ALM178" s="1056"/>
      <c r="ALN178" s="1056"/>
      <c r="ALO178" s="1056"/>
      <c r="ALP178" s="1056"/>
      <c r="ALQ178" s="1056"/>
      <c r="ALR178" s="1056"/>
      <c r="ALS178" s="1056"/>
      <c r="ALT178" s="1056"/>
      <c r="ALU178" s="1056"/>
      <c r="ALV178" s="1056"/>
      <c r="ALW178" s="1056"/>
      <c r="ALX178" s="1056"/>
      <c r="ALY178" s="1056"/>
      <c r="ALZ178" s="1056"/>
      <c r="AMA178" s="1056"/>
      <c r="AMB178" s="1056"/>
      <c r="AMC178" s="1056"/>
      <c r="AMD178" s="1056"/>
      <c r="AME178" s="1056"/>
      <c r="AMF178" s="1056"/>
      <c r="AMG178" s="1056"/>
      <c r="AMH178" s="1056"/>
      <c r="AMI178" s="1056"/>
      <c r="AMJ178" s="1056"/>
      <c r="AMK178" s="1056"/>
      <c r="AML178" s="1056"/>
      <c r="AMM178" s="1056"/>
      <c r="AMN178" s="1056"/>
      <c r="AMO178" s="1056"/>
      <c r="AMP178" s="1056"/>
      <c r="AMQ178" s="1056"/>
      <c r="AMR178" s="1056"/>
      <c r="AMS178" s="1056"/>
      <c r="AMT178" s="1056"/>
      <c r="AMU178" s="1056"/>
      <c r="AMV178" s="1056"/>
      <c r="AMW178" s="1056"/>
      <c r="AMX178" s="1056"/>
      <c r="AMY178" s="1056"/>
      <c r="AMZ178" s="1056"/>
      <c r="ANA178" s="1056"/>
      <c r="ANB178" s="1056"/>
      <c r="ANC178" s="1056"/>
      <c r="AND178" s="1056"/>
      <c r="ANE178" s="1056"/>
      <c r="ANF178" s="1056"/>
      <c r="ANG178" s="1056"/>
      <c r="ANH178" s="1056"/>
      <c r="ANI178" s="1056"/>
      <c r="ANJ178" s="1056"/>
      <c r="ANK178" s="1056"/>
      <c r="ANL178" s="1056"/>
      <c r="ANM178" s="1056"/>
      <c r="ANN178" s="1056"/>
      <c r="ANO178" s="1056"/>
      <c r="ANP178" s="1056"/>
      <c r="ANQ178" s="1056"/>
      <c r="ANR178" s="1056"/>
      <c r="ANS178" s="1056"/>
      <c r="ANT178" s="1056"/>
      <c r="ANU178" s="1056"/>
      <c r="ANV178" s="1056"/>
      <c r="ANW178" s="1056"/>
      <c r="ANX178" s="1056"/>
      <c r="ANY178" s="1056"/>
      <c r="ANZ178" s="1056"/>
      <c r="AOA178" s="1056"/>
      <c r="AOB178" s="1056"/>
      <c r="AOC178" s="1056"/>
      <c r="AOD178" s="1056"/>
      <c r="AOE178" s="1056"/>
      <c r="AOF178" s="1056"/>
      <c r="AOG178" s="1056"/>
      <c r="AOH178" s="1056"/>
      <c r="AOI178" s="1056"/>
      <c r="AOJ178" s="1056"/>
      <c r="AOK178" s="1056"/>
      <c r="AOL178" s="1056"/>
      <c r="AOM178" s="1056"/>
      <c r="AON178" s="1056"/>
      <c r="AOO178" s="1056"/>
      <c r="AOP178" s="1056"/>
      <c r="AOQ178" s="1056"/>
      <c r="AOR178" s="1056"/>
      <c r="AOS178" s="1056"/>
      <c r="AOT178" s="1056"/>
      <c r="AOU178" s="1056"/>
      <c r="AOV178" s="1056"/>
      <c r="AOW178" s="1056"/>
      <c r="AOX178" s="1056"/>
      <c r="AOY178" s="1056"/>
      <c r="AOZ178" s="1056"/>
      <c r="APA178" s="1056"/>
      <c r="APB178" s="1056"/>
      <c r="APC178" s="1056"/>
      <c r="APD178" s="1056"/>
      <c r="APE178" s="1056"/>
      <c r="APF178" s="1056"/>
      <c r="APG178" s="1056"/>
      <c r="APH178" s="1056"/>
      <c r="API178" s="1056"/>
      <c r="APJ178" s="1056"/>
      <c r="APK178" s="1056"/>
      <c r="APL178" s="1056"/>
      <c r="APM178" s="1056"/>
      <c r="APN178" s="1056"/>
      <c r="APO178" s="1056"/>
      <c r="APP178" s="1056"/>
      <c r="APQ178" s="1056"/>
      <c r="APR178" s="1056"/>
      <c r="APS178" s="1056"/>
      <c r="APT178" s="1056"/>
      <c r="APU178" s="1056"/>
      <c r="APV178" s="1056"/>
      <c r="APW178" s="1056"/>
      <c r="APX178" s="1056"/>
      <c r="APY178" s="1056"/>
      <c r="APZ178" s="1056"/>
      <c r="AQA178" s="1056"/>
      <c r="AQB178" s="1056"/>
      <c r="AQC178" s="1056"/>
      <c r="AQD178" s="1056"/>
      <c r="AQE178" s="1056"/>
      <c r="AQF178" s="1056"/>
      <c r="AQG178" s="1056"/>
      <c r="AQH178" s="1056"/>
      <c r="AQI178" s="1056"/>
      <c r="AQJ178" s="1056"/>
      <c r="AQK178" s="1056"/>
      <c r="AQL178" s="1056"/>
      <c r="AQM178" s="1056"/>
      <c r="AQN178" s="1056"/>
      <c r="AQO178" s="1056"/>
      <c r="AQP178" s="1056"/>
      <c r="AQQ178" s="1056"/>
      <c r="AQR178" s="1056"/>
      <c r="AQS178" s="1056"/>
      <c r="AQT178" s="1056"/>
      <c r="AQU178" s="1056"/>
      <c r="AQV178" s="1056"/>
      <c r="AQW178" s="1056"/>
      <c r="AQX178" s="1056"/>
      <c r="AQY178" s="1056"/>
      <c r="AQZ178" s="1056"/>
      <c r="ARA178" s="1056"/>
      <c r="ARB178" s="1056"/>
      <c r="ARC178" s="1056"/>
      <c r="ARD178" s="1056"/>
      <c r="ARE178" s="1056"/>
      <c r="ARF178" s="1056"/>
      <c r="ARG178" s="1056"/>
      <c r="ARH178" s="1056"/>
      <c r="ARI178" s="1056"/>
      <c r="ARJ178" s="1056"/>
      <c r="ARK178" s="1056"/>
      <c r="ARL178" s="1056"/>
      <c r="ARM178" s="1056"/>
      <c r="ARN178" s="1056"/>
      <c r="ARO178" s="1056"/>
      <c r="ARP178" s="1056"/>
      <c r="ARQ178" s="1056"/>
      <c r="ARR178" s="1056"/>
      <c r="ARS178" s="1056"/>
      <c r="ART178" s="1056"/>
      <c r="ARU178" s="1056"/>
      <c r="ARV178" s="1056"/>
      <c r="ARW178" s="1056"/>
      <c r="ARX178" s="1056"/>
      <c r="ARY178" s="1056"/>
      <c r="ARZ178" s="1056"/>
      <c r="ASA178" s="1056"/>
      <c r="ASB178" s="1056"/>
      <c r="ASC178" s="1056"/>
      <c r="ASD178" s="1056"/>
      <c r="ASE178" s="1056"/>
      <c r="ASF178" s="1056"/>
      <c r="ASG178" s="1056"/>
      <c r="ASH178" s="1056"/>
      <c r="ASI178" s="1056"/>
      <c r="ASJ178" s="1056"/>
      <c r="ASK178" s="1056"/>
      <c r="ASL178" s="1056"/>
      <c r="ASM178" s="1056"/>
      <c r="ASN178" s="1056"/>
      <c r="ASO178" s="1056"/>
      <c r="ASP178" s="1056"/>
      <c r="ASQ178" s="1056"/>
      <c r="ASR178" s="1056"/>
      <c r="ASS178" s="1056"/>
      <c r="AST178" s="1056"/>
      <c r="ASU178" s="1056"/>
      <c r="ASV178" s="1056"/>
      <c r="ASW178" s="1056"/>
      <c r="ASX178" s="1056"/>
      <c r="ASY178" s="1056"/>
      <c r="ASZ178" s="1056"/>
      <c r="ATA178" s="1056"/>
      <c r="ATB178" s="1056"/>
      <c r="ATC178" s="1056"/>
      <c r="ATD178" s="1056"/>
      <c r="ATE178" s="1056"/>
      <c r="ATF178" s="1056"/>
      <c r="ATG178" s="1056"/>
      <c r="ATH178" s="1056"/>
      <c r="ATI178" s="1056"/>
      <c r="ATJ178" s="1056"/>
      <c r="ATK178" s="1056"/>
      <c r="ATL178" s="1056"/>
      <c r="ATM178" s="1056"/>
      <c r="ATN178" s="1056"/>
      <c r="ATO178" s="1056"/>
      <c r="ATP178" s="1056"/>
      <c r="ATQ178" s="1056"/>
      <c r="ATR178" s="1056"/>
      <c r="ATS178" s="1056"/>
      <c r="ATT178" s="1056"/>
      <c r="ATU178" s="1056"/>
      <c r="ATV178" s="1056"/>
      <c r="ATW178" s="1056"/>
      <c r="ATX178" s="1056"/>
      <c r="ATY178" s="1056"/>
      <c r="ATZ178" s="1056"/>
      <c r="AUA178" s="1056"/>
      <c r="AUB178" s="1056"/>
      <c r="AUC178" s="1056"/>
      <c r="AUD178" s="1056"/>
      <c r="AUE178" s="1056"/>
      <c r="AUF178" s="1056"/>
      <c r="AUG178" s="1056"/>
      <c r="AUH178" s="1056"/>
      <c r="AUI178" s="1056"/>
      <c r="AUJ178" s="1056"/>
      <c r="AUK178" s="1056"/>
      <c r="AUL178" s="1056"/>
      <c r="AUM178" s="1056"/>
      <c r="AUN178" s="1056"/>
      <c r="AUO178" s="1056"/>
      <c r="AUP178" s="1056"/>
      <c r="AUQ178" s="1056"/>
      <c r="AUR178" s="1056"/>
      <c r="AUS178" s="1056"/>
      <c r="AUT178" s="1056"/>
      <c r="AUU178" s="1056"/>
      <c r="AUV178" s="1056"/>
      <c r="AUW178" s="1056"/>
      <c r="AUX178" s="1056"/>
      <c r="AUY178" s="1056"/>
      <c r="AUZ178" s="1056"/>
      <c r="AVA178" s="1056"/>
      <c r="AVB178" s="1056"/>
      <c r="AVC178" s="1056"/>
      <c r="AVD178" s="1056"/>
      <c r="AVE178" s="1056"/>
      <c r="AVF178" s="1056"/>
      <c r="AVG178" s="1056"/>
      <c r="AVH178" s="1056"/>
      <c r="AVI178" s="1056"/>
      <c r="AVJ178" s="1056"/>
      <c r="AVK178" s="1056"/>
      <c r="AVL178" s="1056"/>
      <c r="AVM178" s="1056"/>
      <c r="AVN178" s="1056"/>
      <c r="AVO178" s="1056"/>
      <c r="AVP178" s="1056"/>
      <c r="AVQ178" s="1056"/>
      <c r="AVR178" s="1056"/>
      <c r="AVS178" s="1056"/>
      <c r="AVT178" s="1056"/>
      <c r="AVU178" s="1056"/>
      <c r="AVV178" s="1056"/>
      <c r="AVW178" s="1056"/>
      <c r="AVX178" s="1056"/>
      <c r="AVY178" s="1056"/>
      <c r="AVZ178" s="1056"/>
      <c r="AWA178" s="1056"/>
      <c r="AWB178" s="1056"/>
      <c r="AWC178" s="1056"/>
      <c r="AWD178" s="1056"/>
      <c r="AWE178" s="1056"/>
      <c r="AWF178" s="1056"/>
      <c r="AWG178" s="1056"/>
      <c r="AWH178" s="1056"/>
      <c r="AWI178" s="1056"/>
      <c r="AWJ178" s="1056"/>
      <c r="AWK178" s="1056"/>
      <c r="AWL178" s="1056"/>
      <c r="AWM178" s="1056"/>
      <c r="AWN178" s="1056"/>
      <c r="AWO178" s="1056"/>
      <c r="AWP178" s="1056"/>
      <c r="AWQ178" s="1056"/>
      <c r="AWR178" s="1056"/>
      <c r="AWS178" s="1056"/>
      <c r="AWT178" s="1056"/>
      <c r="AWU178" s="1056"/>
      <c r="AWV178" s="1056"/>
      <c r="AWW178" s="1056"/>
      <c r="AWX178" s="1056"/>
      <c r="AWY178" s="1056"/>
      <c r="AWZ178" s="1056"/>
      <c r="AXA178" s="1056"/>
      <c r="AXB178" s="1056"/>
      <c r="AXC178" s="1056"/>
      <c r="AXD178" s="1056"/>
      <c r="AXE178" s="1056"/>
      <c r="AXF178" s="1056"/>
      <c r="AXG178" s="1056"/>
      <c r="AXH178" s="1056"/>
      <c r="AXI178" s="1056"/>
      <c r="AXJ178" s="1056"/>
      <c r="AXK178" s="1056"/>
      <c r="AXL178" s="1056"/>
      <c r="AXM178" s="1056"/>
      <c r="AXN178" s="1056"/>
      <c r="AXO178" s="1056"/>
      <c r="AXP178" s="1056"/>
      <c r="AXQ178" s="1056"/>
      <c r="AXR178" s="1056"/>
      <c r="AXS178" s="1056"/>
      <c r="AXT178" s="1056"/>
      <c r="AXU178" s="1056"/>
      <c r="AXV178" s="1056"/>
      <c r="AXW178" s="1056"/>
      <c r="AXX178" s="1056"/>
      <c r="AXY178" s="1056"/>
      <c r="AXZ178" s="1056"/>
      <c r="AYA178" s="1056"/>
      <c r="AYB178" s="1056"/>
      <c r="AYC178" s="1056"/>
      <c r="AYD178" s="1056"/>
      <c r="AYE178" s="1056"/>
      <c r="AYF178" s="1056"/>
      <c r="AYG178" s="1056"/>
      <c r="AYH178" s="1056"/>
      <c r="AYI178" s="1056"/>
      <c r="AYJ178" s="1056"/>
      <c r="AYK178" s="1056"/>
      <c r="AYL178" s="1056"/>
      <c r="AYM178" s="1056"/>
      <c r="AYN178" s="1056"/>
      <c r="AYO178" s="1056"/>
      <c r="AYP178" s="1056"/>
      <c r="AYQ178" s="1056"/>
      <c r="AYR178" s="1056"/>
      <c r="AYS178" s="1056"/>
      <c r="AYT178" s="1056"/>
      <c r="AYU178" s="1056"/>
      <c r="AYV178" s="1056"/>
      <c r="AYW178" s="1056"/>
      <c r="AYX178" s="1056"/>
      <c r="AYY178" s="1056"/>
      <c r="AYZ178" s="1056"/>
      <c r="AZA178" s="1056"/>
      <c r="AZB178" s="1056"/>
      <c r="AZC178" s="1056"/>
      <c r="AZD178" s="1056"/>
      <c r="AZE178" s="1056"/>
      <c r="AZF178" s="1056"/>
      <c r="AZG178" s="1056"/>
      <c r="AZH178" s="1056"/>
      <c r="AZI178" s="1056"/>
      <c r="AZJ178" s="1056"/>
      <c r="AZK178" s="1056"/>
      <c r="AZL178" s="1056"/>
      <c r="AZM178" s="1056"/>
      <c r="AZN178" s="1056"/>
      <c r="AZO178" s="1056"/>
      <c r="AZP178" s="1056"/>
      <c r="AZQ178" s="1056"/>
      <c r="AZR178" s="1056"/>
      <c r="AZS178" s="1056"/>
      <c r="AZT178" s="1056"/>
      <c r="AZU178" s="1056"/>
      <c r="AZV178" s="1056"/>
      <c r="AZW178" s="1056"/>
      <c r="AZX178" s="1056"/>
      <c r="AZY178" s="1056"/>
      <c r="AZZ178" s="1056"/>
      <c r="BAA178" s="1056"/>
      <c r="BAB178" s="1056"/>
      <c r="BAC178" s="1056"/>
      <c r="BAD178" s="1056"/>
      <c r="BAE178" s="1056"/>
      <c r="BAF178" s="1056"/>
      <c r="BAG178" s="1056"/>
      <c r="BAH178" s="1056"/>
      <c r="BAI178" s="1056"/>
      <c r="BAJ178" s="1056"/>
      <c r="BAK178" s="1056"/>
      <c r="BAL178" s="1056"/>
      <c r="BAM178" s="1056"/>
      <c r="BAN178" s="1056"/>
      <c r="BAO178" s="1056"/>
      <c r="BAP178" s="1056"/>
      <c r="BAQ178" s="1056"/>
      <c r="BAR178" s="1056"/>
      <c r="BAS178" s="1056"/>
      <c r="BAT178" s="1056"/>
      <c r="BAU178" s="1056"/>
      <c r="BAV178" s="1056"/>
      <c r="BAW178" s="1056"/>
      <c r="BAX178" s="1056"/>
      <c r="BAY178" s="1056"/>
      <c r="BAZ178" s="1056"/>
      <c r="BBA178" s="1056"/>
      <c r="BBB178" s="1056"/>
      <c r="BBC178" s="1056"/>
      <c r="BBD178" s="1056"/>
      <c r="BBE178" s="1056"/>
      <c r="BBF178" s="1056"/>
      <c r="BBG178" s="1056"/>
      <c r="BBH178" s="1056"/>
      <c r="BBI178" s="1056"/>
      <c r="BBJ178" s="1056"/>
      <c r="BBK178" s="1056"/>
      <c r="BBL178" s="1056"/>
      <c r="BBM178" s="1056"/>
      <c r="BBN178" s="1056"/>
      <c r="BBO178" s="1056"/>
      <c r="BBP178" s="1056"/>
      <c r="BBQ178" s="1056"/>
      <c r="BBR178" s="1056"/>
      <c r="BBS178" s="1056"/>
      <c r="BBT178" s="1056"/>
      <c r="BBU178" s="1056"/>
      <c r="BBV178" s="1056"/>
      <c r="BBW178" s="1056"/>
      <c r="BBX178" s="1056"/>
      <c r="BBY178" s="1056"/>
      <c r="BBZ178" s="1056"/>
      <c r="BCA178" s="1056"/>
      <c r="BCB178" s="1056"/>
      <c r="BCC178" s="1056"/>
      <c r="BCD178" s="1056"/>
      <c r="BCE178" s="1056"/>
      <c r="BCF178" s="1056"/>
      <c r="BCG178" s="1056"/>
      <c r="BCH178" s="1056"/>
      <c r="BCI178" s="1056"/>
      <c r="BCJ178" s="1056"/>
      <c r="BCK178" s="1056"/>
      <c r="BCL178" s="1056"/>
      <c r="BCM178" s="1056"/>
      <c r="BCN178" s="1056"/>
      <c r="BCO178" s="1056"/>
      <c r="BCP178" s="1056"/>
      <c r="BCQ178" s="1056"/>
      <c r="BCR178" s="1056"/>
      <c r="BCS178" s="1056"/>
      <c r="BCT178" s="1056"/>
      <c r="BCU178" s="1056"/>
      <c r="BCV178" s="1056"/>
      <c r="BCW178" s="1056"/>
      <c r="BCX178" s="1056"/>
      <c r="BCY178" s="1056"/>
      <c r="BCZ178" s="1056"/>
      <c r="BDA178" s="1056"/>
      <c r="BDB178" s="1056"/>
      <c r="BDC178" s="1056"/>
      <c r="BDD178" s="1056"/>
      <c r="BDE178" s="1056"/>
      <c r="BDF178" s="1056"/>
      <c r="BDG178" s="1056"/>
      <c r="BDH178" s="1056"/>
      <c r="BDI178" s="1056"/>
      <c r="BDJ178" s="1056"/>
      <c r="BDK178" s="1056"/>
      <c r="BDL178" s="1056"/>
      <c r="BDM178" s="1056"/>
      <c r="BDN178" s="1056"/>
      <c r="BDO178" s="1056"/>
      <c r="BDP178" s="1056"/>
      <c r="BDQ178" s="1056"/>
      <c r="BDR178" s="1056"/>
      <c r="BDS178" s="1056"/>
      <c r="BDT178" s="1056"/>
      <c r="BDU178" s="1056"/>
      <c r="BDV178" s="1056"/>
      <c r="BDW178" s="1056"/>
      <c r="BDX178" s="1056"/>
      <c r="BDY178" s="1056"/>
      <c r="BDZ178" s="1056"/>
      <c r="BEA178" s="1056"/>
      <c r="BEB178" s="1056"/>
      <c r="BEC178" s="1056"/>
      <c r="BED178" s="1056"/>
      <c r="BEE178" s="1056"/>
      <c r="BEF178" s="1056"/>
      <c r="BEG178" s="1056"/>
      <c r="BEH178" s="1056"/>
      <c r="BEI178" s="1056"/>
      <c r="BEJ178" s="1056"/>
      <c r="BEK178" s="1056"/>
      <c r="BEL178" s="1056"/>
      <c r="BEM178" s="1056"/>
      <c r="BEN178" s="1056"/>
      <c r="BEO178" s="1056"/>
      <c r="BEP178" s="1056"/>
      <c r="BEQ178" s="1056"/>
      <c r="BER178" s="1056"/>
      <c r="BES178" s="1056"/>
      <c r="BET178" s="1056"/>
      <c r="BEU178" s="1056"/>
      <c r="BEV178" s="1056"/>
      <c r="BEW178" s="1056"/>
      <c r="BEX178" s="1056"/>
      <c r="BEY178" s="1056"/>
      <c r="BEZ178" s="1056"/>
      <c r="BFA178" s="1056"/>
      <c r="BFB178" s="1056"/>
      <c r="BFC178" s="1056"/>
      <c r="BFD178" s="1056"/>
      <c r="BFE178" s="1056"/>
      <c r="BFF178" s="1056"/>
      <c r="BFG178" s="1056"/>
      <c r="BFH178" s="1056"/>
      <c r="BFI178" s="1056"/>
      <c r="BFJ178" s="1056"/>
      <c r="BFK178" s="1056"/>
      <c r="BFL178" s="1056"/>
      <c r="BFM178" s="1056"/>
      <c r="BFN178" s="1056"/>
      <c r="BFO178" s="1056"/>
      <c r="BFP178" s="1056"/>
      <c r="BFQ178" s="1056"/>
      <c r="BFR178" s="1056"/>
      <c r="BFS178" s="1056"/>
      <c r="BFT178" s="1056"/>
      <c r="BFU178" s="1056"/>
      <c r="BFV178" s="1056"/>
      <c r="BFW178" s="1056"/>
      <c r="BFX178" s="1056"/>
      <c r="BFY178" s="1056"/>
      <c r="BFZ178" s="1056"/>
      <c r="BGA178" s="1056"/>
      <c r="BGB178" s="1056"/>
      <c r="BGC178" s="1056"/>
      <c r="BGD178" s="1056"/>
      <c r="BGE178" s="1056"/>
      <c r="BGF178" s="1056"/>
      <c r="BGG178" s="1056"/>
      <c r="BGH178" s="1056"/>
      <c r="BGI178" s="1056"/>
      <c r="BGJ178" s="1056"/>
      <c r="BGK178" s="1056"/>
      <c r="BGL178" s="1056"/>
      <c r="BGM178" s="1056"/>
      <c r="BGN178" s="1056"/>
      <c r="BGO178" s="1056"/>
      <c r="BGP178" s="1056"/>
      <c r="BGQ178" s="1056"/>
      <c r="BGR178" s="1056"/>
      <c r="BGS178" s="1056"/>
      <c r="BGT178" s="1056"/>
      <c r="BGU178" s="1056"/>
      <c r="BGV178" s="1056"/>
      <c r="BGW178" s="1056"/>
      <c r="BGX178" s="1056"/>
      <c r="BGY178" s="1056"/>
      <c r="BGZ178" s="1056"/>
      <c r="BHA178" s="1056"/>
      <c r="BHB178" s="1056"/>
      <c r="BHC178" s="1056"/>
      <c r="BHD178" s="1056"/>
      <c r="BHE178" s="1056"/>
      <c r="BHF178" s="1056"/>
      <c r="BHG178" s="1056"/>
      <c r="BHH178" s="1056"/>
      <c r="BHI178" s="1056"/>
      <c r="BHJ178" s="1056"/>
      <c r="BHK178" s="1056"/>
      <c r="BHL178" s="1056"/>
      <c r="BHM178" s="1056"/>
      <c r="BHN178" s="1056"/>
      <c r="BHO178" s="1056"/>
      <c r="BHP178" s="1056"/>
      <c r="BHQ178" s="1056"/>
      <c r="BHR178" s="1056"/>
      <c r="BHS178" s="1056"/>
      <c r="BHT178" s="1056"/>
      <c r="BHU178" s="1056"/>
      <c r="BHV178" s="1056"/>
      <c r="BHW178" s="1056"/>
      <c r="BHX178" s="1056"/>
      <c r="BHY178" s="1056"/>
      <c r="BHZ178" s="1056"/>
      <c r="BIA178" s="1056"/>
      <c r="BIB178" s="1056"/>
      <c r="BIC178" s="1056"/>
      <c r="BID178" s="1056"/>
      <c r="BIE178" s="1056"/>
      <c r="BIF178" s="1056"/>
      <c r="BIG178" s="1056"/>
      <c r="BIH178" s="1056"/>
      <c r="BII178" s="1056"/>
      <c r="BIJ178" s="1056"/>
      <c r="BIK178" s="1056"/>
      <c r="BIL178" s="1056"/>
      <c r="BIM178" s="1056"/>
      <c r="BIN178" s="1056"/>
      <c r="BIO178" s="1056"/>
      <c r="BIP178" s="1056"/>
      <c r="BIQ178" s="1056"/>
      <c r="BIR178" s="1056"/>
      <c r="BIS178" s="1056"/>
      <c r="BIT178" s="1056"/>
      <c r="BIU178" s="1056"/>
      <c r="BIV178" s="1056"/>
      <c r="BIW178" s="1056"/>
      <c r="BIX178" s="1056"/>
      <c r="BIY178" s="1056"/>
      <c r="BIZ178" s="1056"/>
      <c r="BJA178" s="1056"/>
      <c r="BJB178" s="1056"/>
      <c r="BJC178" s="1056"/>
      <c r="BJD178" s="1056"/>
      <c r="BJE178" s="1056"/>
      <c r="BJF178" s="1056"/>
      <c r="BJG178" s="1056"/>
      <c r="BJH178" s="1056"/>
      <c r="BJI178" s="1056"/>
      <c r="BJJ178" s="1056"/>
      <c r="BJK178" s="1056"/>
      <c r="BJL178" s="1056"/>
      <c r="BJM178" s="1056"/>
      <c r="BJN178" s="1056"/>
      <c r="BJO178" s="1056"/>
      <c r="BJP178" s="1056"/>
      <c r="BJQ178" s="1056"/>
      <c r="BJR178" s="1056"/>
      <c r="BJS178" s="1056"/>
      <c r="BJT178" s="1056"/>
      <c r="BJU178" s="1056"/>
      <c r="BJV178" s="1056"/>
      <c r="BJW178" s="1056"/>
      <c r="BJX178" s="1056"/>
      <c r="BJY178" s="1056"/>
      <c r="BJZ178" s="1056"/>
      <c r="BKA178" s="1056"/>
      <c r="BKB178" s="1056"/>
      <c r="BKC178" s="1056"/>
      <c r="BKD178" s="1056"/>
      <c r="BKE178" s="1056"/>
      <c r="BKF178" s="1056"/>
      <c r="BKG178" s="1056"/>
      <c r="BKH178" s="1056"/>
      <c r="BKI178" s="1056"/>
      <c r="BKJ178" s="1056"/>
      <c r="BKK178" s="1056"/>
      <c r="BKL178" s="1056"/>
      <c r="BKM178" s="1056"/>
      <c r="BKN178" s="1056"/>
      <c r="BKO178" s="1056"/>
      <c r="BKP178" s="1056"/>
      <c r="BKQ178" s="1056"/>
      <c r="BKR178" s="1056"/>
      <c r="BKS178" s="1056"/>
      <c r="BKT178" s="1056"/>
      <c r="BKU178" s="1056"/>
      <c r="BKV178" s="1056"/>
      <c r="BKW178" s="1056"/>
      <c r="BKX178" s="1056"/>
      <c r="BKY178" s="1056"/>
      <c r="BKZ178" s="1056"/>
      <c r="BLA178" s="1056"/>
      <c r="BLB178" s="1056"/>
      <c r="BLC178" s="1056"/>
      <c r="BLD178" s="1056"/>
      <c r="BLE178" s="1056"/>
      <c r="BLF178" s="1056"/>
      <c r="BLG178" s="1056"/>
      <c r="BLH178" s="1056"/>
      <c r="BLI178" s="1056"/>
      <c r="BLJ178" s="1056"/>
      <c r="BLK178" s="1056"/>
      <c r="BLL178" s="1056"/>
      <c r="BLM178" s="1056"/>
      <c r="BLN178" s="1056"/>
      <c r="BLO178" s="1056"/>
      <c r="BLP178" s="1056"/>
      <c r="BLQ178" s="1056"/>
      <c r="BLR178" s="1056"/>
      <c r="BLS178" s="1056"/>
      <c r="BLT178" s="1056"/>
      <c r="BLU178" s="1056"/>
      <c r="BLV178" s="1056"/>
      <c r="BLW178" s="1056"/>
      <c r="BLX178" s="1056"/>
      <c r="BLY178" s="1056"/>
      <c r="BLZ178" s="1056"/>
      <c r="BMA178" s="1056"/>
      <c r="BMB178" s="1056"/>
      <c r="BMC178" s="1056"/>
      <c r="BMD178" s="1056"/>
      <c r="BME178" s="1056"/>
      <c r="BMF178" s="1056"/>
      <c r="BMG178" s="1056"/>
      <c r="BMH178" s="1056"/>
      <c r="BMI178" s="1056"/>
      <c r="BMJ178" s="1056"/>
      <c r="BMK178" s="1056"/>
      <c r="BML178" s="1056"/>
      <c r="BMM178" s="1056"/>
      <c r="BMN178" s="1056"/>
      <c r="BMO178" s="1056"/>
      <c r="BMP178" s="1056"/>
      <c r="BMQ178" s="1056"/>
      <c r="BMR178" s="1056"/>
      <c r="BMS178" s="1056"/>
      <c r="BMT178" s="1056"/>
      <c r="BMU178" s="1056"/>
      <c r="BMV178" s="1056"/>
      <c r="BMW178" s="1056"/>
      <c r="BMX178" s="1056"/>
      <c r="BMY178" s="1056"/>
      <c r="BMZ178" s="1056"/>
      <c r="BNA178" s="1056"/>
      <c r="BNB178" s="1056"/>
      <c r="BNC178" s="1056"/>
      <c r="BND178" s="1056"/>
      <c r="BNE178" s="1056"/>
      <c r="BNF178" s="1056"/>
      <c r="BNG178" s="1056"/>
      <c r="BNH178" s="1056"/>
      <c r="BNI178" s="1056"/>
      <c r="BNJ178" s="1056"/>
      <c r="BNK178" s="1056"/>
      <c r="BNL178" s="1056"/>
      <c r="BNM178" s="1056"/>
      <c r="BNN178" s="1056"/>
      <c r="BNO178" s="1056"/>
      <c r="BNP178" s="1056"/>
      <c r="BNQ178" s="1056"/>
      <c r="BNR178" s="1056"/>
      <c r="BNS178" s="1056"/>
      <c r="BNT178" s="1056"/>
      <c r="BNU178" s="1056"/>
      <c r="BNV178" s="1056"/>
      <c r="BNW178" s="1056"/>
      <c r="BNX178" s="1056"/>
      <c r="BNY178" s="1056"/>
      <c r="BNZ178" s="1056"/>
      <c r="BOA178" s="1056"/>
      <c r="BOB178" s="1056"/>
      <c r="BOC178" s="1056"/>
      <c r="BOD178" s="1056"/>
      <c r="BOE178" s="1056"/>
      <c r="BOF178" s="1056"/>
      <c r="BOG178" s="1056"/>
      <c r="BOH178" s="1056"/>
      <c r="BOI178" s="1056"/>
      <c r="BOJ178" s="1056"/>
      <c r="BOK178" s="1056"/>
      <c r="BOL178" s="1056"/>
      <c r="BOM178" s="1056"/>
      <c r="BON178" s="1056"/>
      <c r="BOO178" s="1056"/>
      <c r="BOP178" s="1056"/>
      <c r="BOQ178" s="1056"/>
      <c r="BOR178" s="1056"/>
      <c r="BOS178" s="1056"/>
      <c r="BOT178" s="1056"/>
      <c r="BOU178" s="1056"/>
      <c r="BOV178" s="1056"/>
      <c r="BOW178" s="1056"/>
      <c r="BOX178" s="1056"/>
      <c r="BOY178" s="1056"/>
      <c r="BOZ178" s="1056"/>
      <c r="BPA178" s="1056"/>
      <c r="BPB178" s="1056"/>
      <c r="BPC178" s="1056"/>
      <c r="BPD178" s="1056"/>
      <c r="BPE178" s="1056"/>
      <c r="BPF178" s="1056"/>
      <c r="BPG178" s="1056"/>
      <c r="BPH178" s="1056"/>
      <c r="BPI178" s="1056"/>
      <c r="BPJ178" s="1056"/>
      <c r="BPK178" s="1056"/>
      <c r="BPL178" s="1056"/>
      <c r="BPM178" s="1056"/>
      <c r="BPN178" s="1056"/>
      <c r="BPO178" s="1056"/>
      <c r="BPP178" s="1056"/>
      <c r="BPQ178" s="1056"/>
      <c r="BPR178" s="1056"/>
      <c r="BPS178" s="1056"/>
      <c r="BPT178" s="1056"/>
      <c r="BPU178" s="1056"/>
      <c r="BPV178" s="1056"/>
      <c r="BPW178" s="1056"/>
      <c r="BPX178" s="1056"/>
      <c r="BPY178" s="1056"/>
      <c r="BPZ178" s="1056"/>
      <c r="BQA178" s="1056"/>
      <c r="BQB178" s="1056"/>
      <c r="BQC178" s="1056"/>
      <c r="BQD178" s="1056"/>
      <c r="BQE178" s="1056"/>
      <c r="BQF178" s="1056"/>
      <c r="BQG178" s="1056"/>
      <c r="BQH178" s="1056"/>
      <c r="BQI178" s="1056"/>
      <c r="BQJ178" s="1056"/>
      <c r="BQK178" s="1056"/>
      <c r="BQL178" s="1056"/>
      <c r="BQM178" s="1056"/>
      <c r="BQN178" s="1056"/>
      <c r="BQO178" s="1056"/>
      <c r="BQP178" s="1056"/>
      <c r="BQQ178" s="1056"/>
      <c r="BQR178" s="1056"/>
      <c r="BQS178" s="1056"/>
      <c r="BQT178" s="1056"/>
      <c r="BQU178" s="1056"/>
      <c r="BQV178" s="1056"/>
      <c r="BQW178" s="1056"/>
      <c r="BQX178" s="1056"/>
      <c r="BQY178" s="1056"/>
      <c r="BQZ178" s="1056"/>
      <c r="BRA178" s="1056"/>
      <c r="BRB178" s="1056"/>
      <c r="BRC178" s="1056"/>
      <c r="BRD178" s="1056"/>
      <c r="BRE178" s="1056"/>
      <c r="BRF178" s="1056"/>
      <c r="BRG178" s="1056"/>
      <c r="BRH178" s="1056"/>
      <c r="BRI178" s="1056"/>
      <c r="BRJ178" s="1056"/>
      <c r="BRK178" s="1056"/>
      <c r="BRL178" s="1056"/>
      <c r="BRM178" s="1056"/>
      <c r="BRN178" s="1056"/>
      <c r="BRO178" s="1056"/>
      <c r="BRP178" s="1056"/>
      <c r="BRQ178" s="1056"/>
      <c r="BRR178" s="1056"/>
      <c r="BRS178" s="1056"/>
      <c r="BRT178" s="1056"/>
      <c r="BRU178" s="1056"/>
      <c r="BRV178" s="1056"/>
      <c r="BRW178" s="1056"/>
      <c r="BRX178" s="1056"/>
      <c r="BRY178" s="1056"/>
      <c r="BRZ178" s="1056"/>
      <c r="BSA178" s="1056"/>
      <c r="BSB178" s="1056"/>
      <c r="BSC178" s="1056"/>
      <c r="BSD178" s="1056"/>
      <c r="BSE178" s="1056"/>
      <c r="BSF178" s="1056"/>
      <c r="BSG178" s="1056"/>
      <c r="BSH178" s="1056"/>
      <c r="BSI178" s="1056"/>
      <c r="BSJ178" s="1056"/>
      <c r="BSK178" s="1056"/>
      <c r="BSL178" s="1056"/>
      <c r="BSM178" s="1056"/>
      <c r="BSN178" s="1056"/>
      <c r="BSO178" s="1056"/>
      <c r="BSP178" s="1056"/>
      <c r="BSQ178" s="1056"/>
      <c r="BSR178" s="1056"/>
      <c r="BSS178" s="1056"/>
      <c r="BST178" s="1056"/>
      <c r="BSU178" s="1056"/>
      <c r="BSV178" s="1056"/>
      <c r="BSW178" s="1056"/>
      <c r="BSX178" s="1056"/>
      <c r="BSY178" s="1056"/>
      <c r="BSZ178" s="1056"/>
      <c r="BTA178" s="1056"/>
      <c r="BTB178" s="1056"/>
      <c r="BTC178" s="1056"/>
      <c r="BTD178" s="1056"/>
      <c r="BTE178" s="1056"/>
      <c r="BTF178" s="1056"/>
      <c r="BTG178" s="1056"/>
      <c r="BTH178" s="1056"/>
      <c r="BTI178" s="1056"/>
    </row>
    <row r="179" spans="1:1881" s="1060" customFormat="1" ht="98.25" hidden="1" customHeight="1" x14ac:dyDescent="0.3">
      <c r="A179" s="1059">
        <v>352</v>
      </c>
      <c r="B179" s="808" t="s">
        <v>68</v>
      </c>
      <c r="C179" s="808" t="s">
        <v>1413</v>
      </c>
      <c r="D179" s="1084" t="s">
        <v>998</v>
      </c>
      <c r="E179" s="1053" t="e">
        <f>HLOOKUP($D$2,'2020 Data(H)'!$C$1:$AI$426,116,FALSE)</f>
        <v>#N/A</v>
      </c>
      <c r="F179" s="287">
        <v>0</v>
      </c>
      <c r="G179" s="722">
        <f>IF(F179&lt;0,"Error: Enter as positive.",)</f>
        <v>0</v>
      </c>
      <c r="I179" s="764"/>
      <c r="J179" s="1056"/>
      <c r="K179" s="1056"/>
      <c r="L179" s="1056"/>
      <c r="M179" s="1056"/>
      <c r="N179" s="1058"/>
      <c r="O179" s="1056"/>
      <c r="P179" s="1056"/>
      <c r="Q179" s="1056"/>
      <c r="R179" s="1056"/>
      <c r="S179" s="1056"/>
      <c r="T179" s="1056"/>
      <c r="U179" s="1056"/>
      <c r="V179" s="1056"/>
      <c r="W179" s="1056"/>
      <c r="X179" s="1056"/>
      <c r="Y179" s="1056"/>
      <c r="Z179" s="1059"/>
      <c r="AA179" s="1059"/>
      <c r="AB179" s="1059"/>
      <c r="AC179" s="1059"/>
      <c r="AD179" s="1059"/>
      <c r="AE179" s="1059"/>
      <c r="AF179" s="1059"/>
      <c r="AG179" s="1059"/>
      <c r="AH179" s="1059"/>
      <c r="AI179" s="1059"/>
      <c r="AJ179" s="1059"/>
      <c r="AK179" s="1059"/>
      <c r="AL179" s="1059"/>
      <c r="AM179" s="1059"/>
      <c r="AN179" s="1059"/>
      <c r="AO179" s="1059"/>
      <c r="AP179" s="1059"/>
      <c r="AQ179" s="1059"/>
      <c r="AR179" s="1059"/>
      <c r="AS179" s="1056"/>
      <c r="AT179" s="1056"/>
      <c r="AU179" s="1056"/>
      <c r="AV179" s="1056"/>
      <c r="AW179" s="1056"/>
      <c r="AX179" s="1056"/>
      <c r="AY179" s="1056"/>
      <c r="AZ179" s="1056"/>
      <c r="BA179" s="1056"/>
      <c r="BB179" s="1056"/>
      <c r="BC179" s="1056"/>
      <c r="BD179" s="1056"/>
      <c r="BE179" s="1056"/>
      <c r="BF179" s="1056"/>
      <c r="BG179" s="1056"/>
      <c r="BH179" s="1056"/>
      <c r="BI179" s="1056"/>
      <c r="BJ179" s="1056"/>
      <c r="BK179" s="1056"/>
      <c r="BL179" s="1056"/>
      <c r="BM179" s="1056"/>
      <c r="BN179" s="1056"/>
      <c r="BO179" s="1056"/>
      <c r="BP179" s="1056"/>
      <c r="BQ179" s="1056"/>
      <c r="BR179" s="1056"/>
      <c r="BS179" s="1056"/>
      <c r="BT179" s="1056"/>
      <c r="BU179" s="1056"/>
      <c r="BV179" s="1056"/>
      <c r="BW179" s="1056"/>
      <c r="BX179" s="1056"/>
      <c r="BY179" s="1056"/>
      <c r="BZ179" s="1056"/>
      <c r="CA179" s="1056"/>
      <c r="CB179" s="1056"/>
      <c r="CC179" s="1056"/>
      <c r="CD179" s="1056"/>
      <c r="CE179" s="1056"/>
      <c r="CF179" s="1056"/>
      <c r="CG179" s="1056"/>
      <c r="CH179" s="1056"/>
      <c r="CI179" s="1056"/>
      <c r="CJ179" s="1056"/>
      <c r="CK179" s="1056"/>
      <c r="CL179" s="1056"/>
      <c r="CM179" s="1056"/>
      <c r="CN179" s="1056"/>
      <c r="CO179" s="1056"/>
      <c r="CP179" s="1056"/>
      <c r="CQ179" s="1056"/>
      <c r="CR179" s="1056"/>
      <c r="CS179" s="1056"/>
      <c r="CT179" s="1056"/>
      <c r="CU179" s="1056"/>
      <c r="CV179" s="1056"/>
      <c r="CW179" s="1056"/>
      <c r="CX179" s="1056"/>
      <c r="CY179" s="1056"/>
      <c r="CZ179" s="1056"/>
      <c r="DA179" s="1056"/>
      <c r="DB179" s="1056"/>
      <c r="DC179" s="1056"/>
      <c r="DD179" s="1056"/>
      <c r="DE179" s="1056"/>
      <c r="DF179" s="1056"/>
      <c r="DG179" s="1056"/>
      <c r="DH179" s="1056"/>
      <c r="DI179" s="1056"/>
      <c r="DJ179" s="1056"/>
      <c r="DK179" s="1056"/>
      <c r="DL179" s="1056"/>
      <c r="DM179" s="1056"/>
      <c r="DN179" s="1056"/>
      <c r="DO179" s="1056"/>
      <c r="DP179" s="1056"/>
      <c r="DQ179" s="1056"/>
      <c r="DR179" s="1056"/>
      <c r="DS179" s="1056"/>
      <c r="DT179" s="1056"/>
      <c r="DU179" s="1056"/>
      <c r="DV179" s="1056"/>
      <c r="DW179" s="1056"/>
      <c r="DX179" s="1056"/>
      <c r="DY179" s="1056"/>
      <c r="DZ179" s="1056"/>
      <c r="EA179" s="1056"/>
      <c r="EB179" s="1056"/>
      <c r="EC179" s="1056"/>
      <c r="ED179" s="1056"/>
      <c r="EE179" s="1056"/>
      <c r="EF179" s="1056"/>
      <c r="EG179" s="1056"/>
      <c r="EH179" s="1056"/>
      <c r="EI179" s="1056"/>
      <c r="EJ179" s="1056"/>
      <c r="EK179" s="1056"/>
      <c r="EL179" s="1056"/>
      <c r="EM179" s="1056"/>
      <c r="EN179" s="1056"/>
      <c r="EO179" s="1056"/>
      <c r="EP179" s="1056"/>
      <c r="EQ179" s="1056"/>
      <c r="ER179" s="1056"/>
      <c r="ES179" s="1056"/>
      <c r="ET179" s="1056"/>
      <c r="EU179" s="1056"/>
      <c r="EV179" s="1056"/>
      <c r="EW179" s="1056"/>
      <c r="EX179" s="1056"/>
      <c r="EY179" s="1056"/>
      <c r="EZ179" s="1056"/>
      <c r="FA179" s="1056"/>
      <c r="FB179" s="1056"/>
      <c r="FC179" s="1056"/>
      <c r="FD179" s="1056"/>
      <c r="FE179" s="1056"/>
      <c r="FF179" s="1056"/>
      <c r="FG179" s="1056"/>
      <c r="FH179" s="1056"/>
      <c r="FI179" s="1056"/>
      <c r="FJ179" s="1056"/>
      <c r="FK179" s="1056"/>
      <c r="FL179" s="1056"/>
      <c r="FM179" s="1056"/>
      <c r="FN179" s="1056"/>
      <c r="FO179" s="1056"/>
      <c r="FP179" s="1056"/>
      <c r="FQ179" s="1056"/>
      <c r="FR179" s="1056"/>
      <c r="FS179" s="1056"/>
      <c r="FT179" s="1056"/>
      <c r="FU179" s="1056"/>
      <c r="FV179" s="1056"/>
      <c r="FW179" s="1056"/>
      <c r="FX179" s="1056"/>
      <c r="FY179" s="1056"/>
      <c r="FZ179" s="1056"/>
      <c r="GA179" s="1056"/>
      <c r="GB179" s="1056"/>
      <c r="GC179" s="1056"/>
      <c r="GD179" s="1056"/>
      <c r="GE179" s="1056"/>
      <c r="GF179" s="1056"/>
      <c r="GG179" s="1056"/>
      <c r="GH179" s="1056"/>
      <c r="GI179" s="1056"/>
      <c r="GJ179" s="1056"/>
      <c r="GK179" s="1056"/>
      <c r="GL179" s="1056"/>
      <c r="GM179" s="1056"/>
      <c r="GN179" s="1056"/>
      <c r="GO179" s="1056"/>
      <c r="GP179" s="1056"/>
      <c r="GQ179" s="1056"/>
      <c r="GR179" s="1056"/>
      <c r="GS179" s="1056"/>
      <c r="GT179" s="1056"/>
      <c r="GU179" s="1056"/>
      <c r="GV179" s="1056"/>
      <c r="GW179" s="1056"/>
      <c r="GX179" s="1056"/>
      <c r="GY179" s="1056"/>
      <c r="GZ179" s="1056"/>
      <c r="HA179" s="1056"/>
      <c r="HB179" s="1056"/>
      <c r="HC179" s="1056"/>
      <c r="HD179" s="1056"/>
      <c r="HE179" s="1056"/>
      <c r="HF179" s="1056"/>
      <c r="HG179" s="1056"/>
      <c r="HH179" s="1056"/>
      <c r="HI179" s="1056"/>
      <c r="HJ179" s="1056"/>
      <c r="HK179" s="1056"/>
      <c r="HL179" s="1056"/>
      <c r="HM179" s="1056"/>
      <c r="HN179" s="1056"/>
      <c r="HO179" s="1056"/>
      <c r="HP179" s="1056"/>
      <c r="HQ179" s="1056"/>
      <c r="HR179" s="1056"/>
      <c r="HS179" s="1056"/>
      <c r="HT179" s="1056"/>
      <c r="HU179" s="1056"/>
      <c r="HV179" s="1056"/>
      <c r="HW179" s="1056"/>
      <c r="HX179" s="1056"/>
      <c r="HY179" s="1056"/>
      <c r="HZ179" s="1056"/>
      <c r="IA179" s="1056"/>
      <c r="IB179" s="1056"/>
      <c r="IC179" s="1056"/>
      <c r="ID179" s="1056"/>
      <c r="IE179" s="1056"/>
      <c r="IF179" s="1056"/>
      <c r="IG179" s="1056"/>
      <c r="IH179" s="1056"/>
      <c r="II179" s="1056"/>
      <c r="IJ179" s="1056"/>
      <c r="IK179" s="1056"/>
      <c r="IL179" s="1056"/>
      <c r="IM179" s="1056"/>
      <c r="IN179" s="1056"/>
      <c r="IO179" s="1056"/>
      <c r="IP179" s="1056"/>
      <c r="IQ179" s="1056"/>
      <c r="IR179" s="1056"/>
      <c r="IS179" s="1056"/>
      <c r="IT179" s="1056"/>
      <c r="IU179" s="1056"/>
      <c r="IV179" s="1056"/>
      <c r="IW179" s="1056"/>
      <c r="IX179" s="1056"/>
      <c r="IY179" s="1056"/>
      <c r="IZ179" s="1056"/>
      <c r="JA179" s="1056"/>
      <c r="JB179" s="1056"/>
      <c r="JC179" s="1056"/>
      <c r="JD179" s="1056"/>
      <c r="JE179" s="1056"/>
      <c r="JF179" s="1056"/>
      <c r="JG179" s="1056"/>
      <c r="JH179" s="1056"/>
      <c r="JI179" s="1056"/>
      <c r="JJ179" s="1056"/>
      <c r="JK179" s="1056"/>
      <c r="JL179" s="1056"/>
      <c r="JM179" s="1056"/>
      <c r="JN179" s="1056"/>
      <c r="JO179" s="1056"/>
      <c r="JP179" s="1056"/>
      <c r="JQ179" s="1056"/>
      <c r="JR179" s="1056"/>
      <c r="JS179" s="1056"/>
      <c r="JT179" s="1056"/>
      <c r="JU179" s="1056"/>
      <c r="JV179" s="1056"/>
      <c r="JW179" s="1056"/>
      <c r="JX179" s="1056"/>
      <c r="JY179" s="1056"/>
      <c r="JZ179" s="1056"/>
      <c r="KA179" s="1056"/>
      <c r="KB179" s="1056"/>
      <c r="KC179" s="1056"/>
      <c r="KD179" s="1056"/>
      <c r="KE179" s="1056"/>
      <c r="KF179" s="1056"/>
      <c r="KG179" s="1056"/>
      <c r="KH179" s="1056"/>
      <c r="KI179" s="1056"/>
      <c r="KJ179" s="1056"/>
      <c r="KK179" s="1056"/>
      <c r="KL179" s="1056"/>
      <c r="KM179" s="1056"/>
      <c r="KN179" s="1056"/>
      <c r="KO179" s="1056"/>
      <c r="KP179" s="1056"/>
      <c r="KQ179" s="1056"/>
      <c r="KR179" s="1056"/>
      <c r="KS179" s="1056"/>
      <c r="KT179" s="1056"/>
      <c r="KU179" s="1056"/>
      <c r="KV179" s="1056"/>
      <c r="KW179" s="1056"/>
      <c r="KX179" s="1056"/>
      <c r="KY179" s="1056"/>
      <c r="KZ179" s="1056"/>
      <c r="LA179" s="1056"/>
      <c r="LB179" s="1056"/>
      <c r="LC179" s="1056"/>
      <c r="LD179" s="1056"/>
      <c r="LE179" s="1056"/>
      <c r="LF179" s="1056"/>
      <c r="LG179" s="1056"/>
      <c r="LH179" s="1056"/>
      <c r="LI179" s="1056"/>
      <c r="LJ179" s="1056"/>
      <c r="LK179" s="1056"/>
      <c r="LL179" s="1056"/>
      <c r="LM179" s="1056"/>
      <c r="LN179" s="1056"/>
      <c r="LO179" s="1056"/>
      <c r="LP179" s="1056"/>
      <c r="LQ179" s="1056"/>
      <c r="LR179" s="1056"/>
      <c r="LS179" s="1056"/>
      <c r="LT179" s="1056"/>
      <c r="LU179" s="1056"/>
      <c r="LV179" s="1056"/>
      <c r="LW179" s="1056"/>
      <c r="LX179" s="1056"/>
      <c r="LY179" s="1056"/>
      <c r="LZ179" s="1056"/>
      <c r="MA179" s="1056"/>
      <c r="MB179" s="1056"/>
      <c r="MC179" s="1056"/>
      <c r="MD179" s="1056"/>
      <c r="ME179" s="1056"/>
      <c r="MF179" s="1056"/>
      <c r="MG179" s="1056"/>
      <c r="MH179" s="1056"/>
      <c r="MI179" s="1056"/>
      <c r="MJ179" s="1056"/>
      <c r="MK179" s="1056"/>
      <c r="ML179" s="1056"/>
      <c r="MM179" s="1056"/>
      <c r="MN179" s="1056"/>
      <c r="MO179" s="1056"/>
      <c r="MP179" s="1056"/>
      <c r="MQ179" s="1056"/>
      <c r="MR179" s="1056"/>
      <c r="MS179" s="1056"/>
      <c r="MT179" s="1056"/>
      <c r="MU179" s="1056"/>
      <c r="MV179" s="1056"/>
      <c r="MW179" s="1056"/>
      <c r="MX179" s="1056"/>
      <c r="MY179" s="1056"/>
      <c r="MZ179" s="1056"/>
      <c r="NA179" s="1056"/>
      <c r="NB179" s="1056"/>
      <c r="NC179" s="1056"/>
      <c r="ND179" s="1056"/>
      <c r="NE179" s="1056"/>
      <c r="NF179" s="1056"/>
      <c r="NG179" s="1056"/>
      <c r="NH179" s="1056"/>
      <c r="NI179" s="1056"/>
      <c r="NJ179" s="1056"/>
      <c r="NK179" s="1056"/>
      <c r="NL179" s="1056"/>
      <c r="NM179" s="1056"/>
      <c r="NN179" s="1056"/>
      <c r="NO179" s="1056"/>
      <c r="NP179" s="1056"/>
      <c r="NQ179" s="1056"/>
      <c r="NR179" s="1056"/>
      <c r="NS179" s="1056"/>
      <c r="NT179" s="1056"/>
      <c r="NU179" s="1056"/>
      <c r="NV179" s="1056"/>
      <c r="NW179" s="1056"/>
      <c r="NX179" s="1056"/>
      <c r="NY179" s="1056"/>
      <c r="NZ179" s="1056"/>
      <c r="OA179" s="1056"/>
      <c r="OB179" s="1056"/>
      <c r="OC179" s="1056"/>
      <c r="OD179" s="1056"/>
      <c r="OE179" s="1056"/>
      <c r="OF179" s="1056"/>
      <c r="OG179" s="1056"/>
      <c r="OH179" s="1056"/>
      <c r="OI179" s="1056"/>
      <c r="OJ179" s="1056"/>
      <c r="OK179" s="1056"/>
      <c r="OL179" s="1056"/>
      <c r="OM179" s="1056"/>
      <c r="ON179" s="1056"/>
      <c r="OO179" s="1056"/>
      <c r="OP179" s="1056"/>
      <c r="OQ179" s="1056"/>
      <c r="OR179" s="1056"/>
      <c r="OS179" s="1056"/>
      <c r="OT179" s="1056"/>
      <c r="OU179" s="1056"/>
      <c r="OV179" s="1056"/>
      <c r="OW179" s="1056"/>
      <c r="OX179" s="1056"/>
      <c r="OY179" s="1056"/>
      <c r="OZ179" s="1056"/>
      <c r="PA179" s="1056"/>
      <c r="PB179" s="1056"/>
      <c r="PC179" s="1056"/>
      <c r="PD179" s="1056"/>
      <c r="PE179" s="1056"/>
      <c r="PF179" s="1056"/>
      <c r="PG179" s="1056"/>
      <c r="PH179" s="1056"/>
      <c r="PI179" s="1056"/>
      <c r="PJ179" s="1056"/>
      <c r="PK179" s="1056"/>
      <c r="PL179" s="1056"/>
      <c r="PM179" s="1056"/>
      <c r="PN179" s="1056"/>
      <c r="PO179" s="1056"/>
      <c r="PP179" s="1056"/>
      <c r="PQ179" s="1056"/>
      <c r="PR179" s="1056"/>
      <c r="PS179" s="1056"/>
      <c r="PT179" s="1056"/>
      <c r="PU179" s="1056"/>
      <c r="PV179" s="1056"/>
      <c r="PW179" s="1056"/>
      <c r="PX179" s="1056"/>
      <c r="PY179" s="1056"/>
      <c r="PZ179" s="1056"/>
      <c r="QA179" s="1056"/>
      <c r="QB179" s="1056"/>
      <c r="QC179" s="1056"/>
      <c r="QD179" s="1056"/>
      <c r="QE179" s="1056"/>
      <c r="QF179" s="1056"/>
      <c r="QG179" s="1056"/>
      <c r="QH179" s="1056"/>
      <c r="QI179" s="1056"/>
      <c r="QJ179" s="1056"/>
      <c r="QK179" s="1056"/>
      <c r="QL179" s="1056"/>
      <c r="QM179" s="1056"/>
      <c r="QN179" s="1056"/>
      <c r="QO179" s="1056"/>
      <c r="QP179" s="1056"/>
      <c r="QQ179" s="1056"/>
      <c r="QR179" s="1056"/>
      <c r="QS179" s="1056"/>
      <c r="QT179" s="1056"/>
      <c r="QU179" s="1056"/>
      <c r="QV179" s="1056"/>
      <c r="QW179" s="1056"/>
      <c r="QX179" s="1056"/>
      <c r="QY179" s="1056"/>
      <c r="QZ179" s="1056"/>
      <c r="RA179" s="1056"/>
      <c r="RB179" s="1056"/>
      <c r="RC179" s="1056"/>
      <c r="RD179" s="1056"/>
      <c r="RE179" s="1056"/>
      <c r="RF179" s="1056"/>
      <c r="RG179" s="1056"/>
      <c r="RH179" s="1056"/>
      <c r="RI179" s="1056"/>
      <c r="RJ179" s="1056"/>
      <c r="RK179" s="1056"/>
      <c r="RL179" s="1056"/>
      <c r="RM179" s="1056"/>
      <c r="RN179" s="1056"/>
      <c r="RO179" s="1056"/>
      <c r="RP179" s="1056"/>
      <c r="RQ179" s="1056"/>
      <c r="RR179" s="1056"/>
      <c r="RS179" s="1056"/>
      <c r="RT179" s="1056"/>
      <c r="RU179" s="1056"/>
      <c r="RV179" s="1056"/>
      <c r="RW179" s="1056"/>
      <c r="RX179" s="1056"/>
      <c r="RY179" s="1056"/>
      <c r="RZ179" s="1056"/>
      <c r="SA179" s="1056"/>
      <c r="SB179" s="1056"/>
      <c r="SC179" s="1056"/>
      <c r="SD179" s="1056"/>
      <c r="SE179" s="1056"/>
      <c r="SF179" s="1056"/>
      <c r="SG179" s="1056"/>
      <c r="SH179" s="1056"/>
      <c r="SI179" s="1056"/>
      <c r="SJ179" s="1056"/>
      <c r="SK179" s="1056"/>
      <c r="SL179" s="1056"/>
      <c r="SM179" s="1056"/>
      <c r="SN179" s="1056"/>
      <c r="SO179" s="1056"/>
      <c r="SP179" s="1056"/>
      <c r="SQ179" s="1056"/>
      <c r="SR179" s="1056"/>
      <c r="SS179" s="1056"/>
      <c r="ST179" s="1056"/>
      <c r="SU179" s="1056"/>
      <c r="SV179" s="1056"/>
      <c r="SW179" s="1056"/>
      <c r="SX179" s="1056"/>
      <c r="SY179" s="1056"/>
      <c r="SZ179" s="1056"/>
      <c r="TA179" s="1056"/>
      <c r="TB179" s="1056"/>
      <c r="TC179" s="1056"/>
      <c r="TD179" s="1056"/>
      <c r="TE179" s="1056"/>
      <c r="TF179" s="1056"/>
      <c r="TG179" s="1056"/>
      <c r="TH179" s="1056"/>
      <c r="TI179" s="1056"/>
      <c r="TJ179" s="1056"/>
      <c r="TK179" s="1056"/>
      <c r="TL179" s="1056"/>
      <c r="TM179" s="1056"/>
      <c r="TN179" s="1056"/>
      <c r="TO179" s="1056"/>
      <c r="TP179" s="1056"/>
      <c r="TQ179" s="1056"/>
      <c r="TR179" s="1056"/>
      <c r="TS179" s="1056"/>
      <c r="TT179" s="1056"/>
      <c r="TU179" s="1056"/>
      <c r="TV179" s="1056"/>
      <c r="TW179" s="1056"/>
      <c r="TX179" s="1056"/>
      <c r="TY179" s="1056"/>
      <c r="TZ179" s="1056"/>
      <c r="UA179" s="1056"/>
      <c r="UB179" s="1056"/>
      <c r="UC179" s="1056"/>
      <c r="UD179" s="1056"/>
      <c r="UE179" s="1056"/>
      <c r="UF179" s="1056"/>
      <c r="UG179" s="1056"/>
      <c r="UH179" s="1056"/>
      <c r="UI179" s="1056"/>
      <c r="UJ179" s="1056"/>
      <c r="UK179" s="1056"/>
      <c r="UL179" s="1056"/>
      <c r="UM179" s="1056"/>
      <c r="UN179" s="1056"/>
      <c r="UO179" s="1056"/>
      <c r="UP179" s="1056"/>
      <c r="UQ179" s="1056"/>
      <c r="UR179" s="1056"/>
      <c r="US179" s="1056"/>
      <c r="UT179" s="1056"/>
      <c r="UU179" s="1056"/>
      <c r="UV179" s="1056"/>
      <c r="UW179" s="1056"/>
      <c r="UX179" s="1056"/>
      <c r="UY179" s="1056"/>
      <c r="UZ179" s="1056"/>
      <c r="VA179" s="1056"/>
      <c r="VB179" s="1056"/>
      <c r="VC179" s="1056"/>
      <c r="VD179" s="1056"/>
      <c r="VE179" s="1056"/>
      <c r="VF179" s="1056"/>
      <c r="VG179" s="1056"/>
      <c r="VH179" s="1056"/>
      <c r="VI179" s="1056"/>
      <c r="VJ179" s="1056"/>
      <c r="VK179" s="1056"/>
      <c r="VL179" s="1056"/>
      <c r="VM179" s="1056"/>
      <c r="VN179" s="1056"/>
      <c r="VO179" s="1056"/>
      <c r="VP179" s="1056"/>
      <c r="VQ179" s="1056"/>
      <c r="VR179" s="1056"/>
      <c r="VS179" s="1056"/>
      <c r="VT179" s="1056"/>
      <c r="VU179" s="1056"/>
      <c r="VV179" s="1056"/>
      <c r="VW179" s="1056"/>
      <c r="VX179" s="1056"/>
      <c r="VY179" s="1056"/>
      <c r="VZ179" s="1056"/>
      <c r="WA179" s="1056"/>
      <c r="WB179" s="1056"/>
      <c r="WC179" s="1056"/>
      <c r="WD179" s="1056"/>
      <c r="WE179" s="1056"/>
      <c r="WF179" s="1056"/>
      <c r="WG179" s="1056"/>
      <c r="WH179" s="1056"/>
      <c r="WI179" s="1056"/>
      <c r="WJ179" s="1056"/>
      <c r="WK179" s="1056"/>
      <c r="WL179" s="1056"/>
      <c r="WM179" s="1056"/>
      <c r="WN179" s="1056"/>
      <c r="WO179" s="1056"/>
      <c r="WP179" s="1056"/>
      <c r="WQ179" s="1056"/>
      <c r="WR179" s="1056"/>
      <c r="WS179" s="1056"/>
      <c r="WT179" s="1056"/>
      <c r="WU179" s="1056"/>
      <c r="WV179" s="1056"/>
      <c r="WW179" s="1056"/>
      <c r="WX179" s="1056"/>
      <c r="WY179" s="1056"/>
      <c r="WZ179" s="1056"/>
      <c r="XA179" s="1056"/>
      <c r="XB179" s="1056"/>
      <c r="XC179" s="1056"/>
      <c r="XD179" s="1056"/>
      <c r="XE179" s="1056"/>
      <c r="XF179" s="1056"/>
      <c r="XG179" s="1056"/>
      <c r="XH179" s="1056"/>
      <c r="XI179" s="1056"/>
      <c r="XJ179" s="1056"/>
      <c r="XK179" s="1056"/>
      <c r="XL179" s="1056"/>
      <c r="XM179" s="1056"/>
      <c r="XN179" s="1056"/>
      <c r="XO179" s="1056"/>
      <c r="XP179" s="1056"/>
      <c r="XQ179" s="1056"/>
      <c r="XR179" s="1056"/>
      <c r="XS179" s="1056"/>
      <c r="XT179" s="1056"/>
      <c r="XU179" s="1056"/>
      <c r="XV179" s="1056"/>
      <c r="XW179" s="1056"/>
      <c r="XX179" s="1056"/>
      <c r="XY179" s="1056"/>
      <c r="XZ179" s="1056"/>
      <c r="YA179" s="1056"/>
      <c r="YB179" s="1056"/>
      <c r="YC179" s="1056"/>
      <c r="YD179" s="1056"/>
      <c r="YE179" s="1056"/>
      <c r="YF179" s="1056"/>
      <c r="YG179" s="1056"/>
      <c r="YH179" s="1056"/>
      <c r="YI179" s="1056"/>
      <c r="YJ179" s="1056"/>
      <c r="YK179" s="1056"/>
      <c r="YL179" s="1056"/>
      <c r="YM179" s="1056"/>
      <c r="YN179" s="1056"/>
      <c r="YO179" s="1056"/>
      <c r="YP179" s="1056"/>
      <c r="YQ179" s="1056"/>
      <c r="YR179" s="1056"/>
      <c r="YS179" s="1056"/>
      <c r="YT179" s="1056"/>
      <c r="YU179" s="1056"/>
      <c r="YV179" s="1056"/>
      <c r="YW179" s="1056"/>
      <c r="YX179" s="1056"/>
      <c r="YY179" s="1056"/>
      <c r="YZ179" s="1056"/>
      <c r="ZA179" s="1056"/>
      <c r="ZB179" s="1056"/>
      <c r="ZC179" s="1056"/>
      <c r="ZD179" s="1056"/>
      <c r="ZE179" s="1056"/>
      <c r="ZF179" s="1056"/>
      <c r="ZG179" s="1056"/>
      <c r="ZH179" s="1056"/>
      <c r="ZI179" s="1056"/>
      <c r="ZJ179" s="1056"/>
      <c r="ZK179" s="1056"/>
      <c r="ZL179" s="1056"/>
      <c r="ZM179" s="1056"/>
      <c r="ZN179" s="1056"/>
      <c r="ZO179" s="1056"/>
      <c r="ZP179" s="1056"/>
      <c r="ZQ179" s="1056"/>
      <c r="ZR179" s="1056"/>
      <c r="ZS179" s="1056"/>
      <c r="ZT179" s="1056"/>
      <c r="ZU179" s="1056"/>
      <c r="ZV179" s="1056"/>
      <c r="ZW179" s="1056"/>
      <c r="ZX179" s="1056"/>
      <c r="ZY179" s="1056"/>
      <c r="ZZ179" s="1056"/>
      <c r="AAA179" s="1056"/>
      <c r="AAB179" s="1056"/>
      <c r="AAC179" s="1056"/>
      <c r="AAD179" s="1056"/>
      <c r="AAE179" s="1056"/>
      <c r="AAF179" s="1056"/>
      <c r="AAG179" s="1056"/>
      <c r="AAH179" s="1056"/>
      <c r="AAI179" s="1056"/>
      <c r="AAJ179" s="1056"/>
      <c r="AAK179" s="1056"/>
      <c r="AAL179" s="1056"/>
      <c r="AAM179" s="1056"/>
      <c r="AAN179" s="1056"/>
      <c r="AAO179" s="1056"/>
      <c r="AAP179" s="1056"/>
      <c r="AAQ179" s="1056"/>
      <c r="AAR179" s="1056"/>
      <c r="AAS179" s="1056"/>
      <c r="AAT179" s="1056"/>
      <c r="AAU179" s="1056"/>
      <c r="AAV179" s="1056"/>
      <c r="AAW179" s="1056"/>
      <c r="AAX179" s="1056"/>
      <c r="AAY179" s="1056"/>
      <c r="AAZ179" s="1056"/>
      <c r="ABA179" s="1056"/>
      <c r="ABB179" s="1056"/>
      <c r="ABC179" s="1056"/>
      <c r="ABD179" s="1056"/>
      <c r="ABE179" s="1056"/>
      <c r="ABF179" s="1056"/>
      <c r="ABG179" s="1056"/>
      <c r="ABH179" s="1056"/>
      <c r="ABI179" s="1056"/>
      <c r="ABJ179" s="1056"/>
      <c r="ABK179" s="1056"/>
      <c r="ABL179" s="1056"/>
      <c r="ABM179" s="1056"/>
      <c r="ABN179" s="1056"/>
      <c r="ABO179" s="1056"/>
      <c r="ABP179" s="1056"/>
      <c r="ABQ179" s="1056"/>
      <c r="ABR179" s="1056"/>
      <c r="ABS179" s="1056"/>
      <c r="ABT179" s="1056"/>
      <c r="ABU179" s="1056"/>
      <c r="ABV179" s="1056"/>
      <c r="ABW179" s="1056"/>
      <c r="ABX179" s="1056"/>
      <c r="ABY179" s="1056"/>
      <c r="ABZ179" s="1056"/>
      <c r="ACA179" s="1056"/>
      <c r="ACB179" s="1056"/>
      <c r="ACC179" s="1056"/>
      <c r="ACD179" s="1056"/>
      <c r="ACE179" s="1056"/>
      <c r="ACF179" s="1056"/>
      <c r="ACG179" s="1056"/>
      <c r="ACH179" s="1056"/>
      <c r="ACI179" s="1056"/>
      <c r="ACJ179" s="1056"/>
      <c r="ACK179" s="1056"/>
      <c r="ACL179" s="1056"/>
      <c r="ACM179" s="1056"/>
      <c r="ACN179" s="1056"/>
      <c r="ACO179" s="1056"/>
      <c r="ACP179" s="1056"/>
      <c r="ACQ179" s="1056"/>
      <c r="ACR179" s="1056"/>
      <c r="ACS179" s="1056"/>
      <c r="ACT179" s="1056"/>
      <c r="ACU179" s="1056"/>
      <c r="ACV179" s="1056"/>
      <c r="ACW179" s="1056"/>
      <c r="ACX179" s="1056"/>
      <c r="ACY179" s="1056"/>
      <c r="ACZ179" s="1056"/>
      <c r="ADA179" s="1056"/>
      <c r="ADB179" s="1056"/>
      <c r="ADC179" s="1056"/>
      <c r="ADD179" s="1056"/>
      <c r="ADE179" s="1056"/>
      <c r="ADF179" s="1056"/>
      <c r="ADG179" s="1056"/>
      <c r="ADH179" s="1056"/>
      <c r="ADI179" s="1056"/>
      <c r="ADJ179" s="1056"/>
      <c r="ADK179" s="1056"/>
      <c r="ADL179" s="1056"/>
      <c r="ADM179" s="1056"/>
      <c r="ADN179" s="1056"/>
      <c r="ADO179" s="1056"/>
      <c r="ADP179" s="1056"/>
      <c r="ADQ179" s="1056"/>
      <c r="ADR179" s="1056"/>
      <c r="ADS179" s="1056"/>
      <c r="ADT179" s="1056"/>
      <c r="ADU179" s="1056"/>
      <c r="ADV179" s="1056"/>
      <c r="ADW179" s="1056"/>
      <c r="ADX179" s="1056"/>
      <c r="ADY179" s="1056"/>
      <c r="ADZ179" s="1056"/>
      <c r="AEA179" s="1056"/>
      <c r="AEB179" s="1056"/>
      <c r="AEC179" s="1056"/>
      <c r="AED179" s="1056"/>
      <c r="AEE179" s="1056"/>
      <c r="AEF179" s="1056"/>
      <c r="AEG179" s="1056"/>
      <c r="AEH179" s="1056"/>
      <c r="AEI179" s="1056"/>
      <c r="AEJ179" s="1056"/>
      <c r="AEK179" s="1056"/>
      <c r="AEL179" s="1056"/>
      <c r="AEM179" s="1056"/>
      <c r="AEN179" s="1056"/>
      <c r="AEO179" s="1056"/>
      <c r="AEP179" s="1056"/>
      <c r="AEQ179" s="1056"/>
      <c r="AER179" s="1056"/>
      <c r="AES179" s="1056"/>
      <c r="AET179" s="1056"/>
      <c r="AEU179" s="1056"/>
      <c r="AEV179" s="1056"/>
      <c r="AEW179" s="1056"/>
      <c r="AEX179" s="1056"/>
      <c r="AEY179" s="1056"/>
      <c r="AEZ179" s="1056"/>
      <c r="AFA179" s="1056"/>
      <c r="AFB179" s="1056"/>
      <c r="AFC179" s="1056"/>
      <c r="AFD179" s="1056"/>
      <c r="AFE179" s="1056"/>
      <c r="AFF179" s="1056"/>
      <c r="AFG179" s="1056"/>
      <c r="AFH179" s="1056"/>
      <c r="AFI179" s="1056"/>
      <c r="AFJ179" s="1056"/>
      <c r="AFK179" s="1056"/>
      <c r="AFL179" s="1056"/>
      <c r="AFM179" s="1056"/>
      <c r="AFN179" s="1056"/>
      <c r="AFO179" s="1056"/>
      <c r="AFP179" s="1056"/>
      <c r="AFQ179" s="1056"/>
      <c r="AFR179" s="1056"/>
      <c r="AFS179" s="1056"/>
      <c r="AFT179" s="1056"/>
      <c r="AFU179" s="1056"/>
      <c r="AFV179" s="1056"/>
      <c r="AFW179" s="1056"/>
      <c r="AFX179" s="1056"/>
      <c r="AFY179" s="1056"/>
      <c r="AFZ179" s="1056"/>
      <c r="AGA179" s="1056"/>
      <c r="AGB179" s="1056"/>
      <c r="AGC179" s="1056"/>
      <c r="AGD179" s="1056"/>
      <c r="AGE179" s="1056"/>
      <c r="AGF179" s="1056"/>
      <c r="AGG179" s="1056"/>
      <c r="AGH179" s="1056"/>
      <c r="AGI179" s="1056"/>
      <c r="AGJ179" s="1056"/>
      <c r="AGK179" s="1056"/>
      <c r="AGL179" s="1056"/>
      <c r="AGM179" s="1056"/>
      <c r="AGN179" s="1056"/>
      <c r="AGO179" s="1056"/>
      <c r="AGP179" s="1056"/>
      <c r="AGQ179" s="1056"/>
      <c r="AGR179" s="1056"/>
      <c r="AGS179" s="1056"/>
      <c r="AGT179" s="1056"/>
      <c r="AGU179" s="1056"/>
      <c r="AGV179" s="1056"/>
      <c r="AGW179" s="1056"/>
      <c r="AGX179" s="1056"/>
      <c r="AGY179" s="1056"/>
      <c r="AGZ179" s="1056"/>
      <c r="AHA179" s="1056"/>
      <c r="AHB179" s="1056"/>
      <c r="AHC179" s="1056"/>
      <c r="AHD179" s="1056"/>
      <c r="AHE179" s="1056"/>
      <c r="AHF179" s="1056"/>
      <c r="AHG179" s="1056"/>
      <c r="AHH179" s="1056"/>
      <c r="AHI179" s="1056"/>
      <c r="AHJ179" s="1056"/>
      <c r="AHK179" s="1056"/>
      <c r="AHL179" s="1056"/>
      <c r="AHM179" s="1056"/>
      <c r="AHN179" s="1056"/>
      <c r="AHO179" s="1056"/>
      <c r="AHP179" s="1056"/>
      <c r="AHQ179" s="1056"/>
      <c r="AHR179" s="1056"/>
      <c r="AHS179" s="1056"/>
      <c r="AHT179" s="1056"/>
      <c r="AHU179" s="1056"/>
      <c r="AHV179" s="1056"/>
      <c r="AHW179" s="1056"/>
      <c r="AHX179" s="1056"/>
      <c r="AHY179" s="1056"/>
      <c r="AHZ179" s="1056"/>
      <c r="AIA179" s="1056"/>
      <c r="AIB179" s="1056"/>
      <c r="AIC179" s="1056"/>
      <c r="AID179" s="1056"/>
      <c r="AIE179" s="1056"/>
      <c r="AIF179" s="1056"/>
      <c r="AIG179" s="1056"/>
      <c r="AIH179" s="1056"/>
      <c r="AII179" s="1056"/>
      <c r="AIJ179" s="1056"/>
      <c r="AIK179" s="1056"/>
      <c r="AIL179" s="1056"/>
      <c r="AIM179" s="1056"/>
      <c r="AIN179" s="1056"/>
      <c r="AIO179" s="1056"/>
      <c r="AIP179" s="1056"/>
      <c r="AIQ179" s="1056"/>
      <c r="AIR179" s="1056"/>
      <c r="AIS179" s="1056"/>
      <c r="AIT179" s="1056"/>
      <c r="AIU179" s="1056"/>
      <c r="AIV179" s="1056"/>
      <c r="AIW179" s="1056"/>
      <c r="AIX179" s="1056"/>
      <c r="AIY179" s="1056"/>
      <c r="AIZ179" s="1056"/>
      <c r="AJA179" s="1056"/>
      <c r="AJB179" s="1056"/>
      <c r="AJC179" s="1056"/>
      <c r="AJD179" s="1056"/>
      <c r="AJE179" s="1056"/>
      <c r="AJF179" s="1056"/>
      <c r="AJG179" s="1056"/>
      <c r="AJH179" s="1056"/>
      <c r="AJI179" s="1056"/>
      <c r="AJJ179" s="1056"/>
      <c r="AJK179" s="1056"/>
      <c r="AJL179" s="1056"/>
      <c r="AJM179" s="1056"/>
      <c r="AJN179" s="1056"/>
      <c r="AJO179" s="1056"/>
      <c r="AJP179" s="1056"/>
      <c r="AJQ179" s="1056"/>
      <c r="AJR179" s="1056"/>
      <c r="AJS179" s="1056"/>
      <c r="AJT179" s="1056"/>
      <c r="AJU179" s="1056"/>
      <c r="AJV179" s="1056"/>
      <c r="AJW179" s="1056"/>
      <c r="AJX179" s="1056"/>
      <c r="AJY179" s="1056"/>
      <c r="AJZ179" s="1056"/>
      <c r="AKA179" s="1056"/>
      <c r="AKB179" s="1056"/>
      <c r="AKC179" s="1056"/>
      <c r="AKD179" s="1056"/>
      <c r="AKE179" s="1056"/>
      <c r="AKF179" s="1056"/>
      <c r="AKG179" s="1056"/>
      <c r="AKH179" s="1056"/>
      <c r="AKI179" s="1056"/>
      <c r="AKJ179" s="1056"/>
      <c r="AKK179" s="1056"/>
      <c r="AKL179" s="1056"/>
      <c r="AKM179" s="1056"/>
      <c r="AKN179" s="1056"/>
      <c r="AKO179" s="1056"/>
      <c r="AKP179" s="1056"/>
      <c r="AKQ179" s="1056"/>
      <c r="AKR179" s="1056"/>
      <c r="AKS179" s="1056"/>
      <c r="AKT179" s="1056"/>
      <c r="AKU179" s="1056"/>
      <c r="AKV179" s="1056"/>
      <c r="AKW179" s="1056"/>
      <c r="AKX179" s="1056"/>
      <c r="AKY179" s="1056"/>
      <c r="AKZ179" s="1056"/>
      <c r="ALA179" s="1056"/>
      <c r="ALB179" s="1056"/>
      <c r="ALC179" s="1056"/>
      <c r="ALD179" s="1056"/>
      <c r="ALE179" s="1056"/>
      <c r="ALF179" s="1056"/>
      <c r="ALG179" s="1056"/>
      <c r="ALH179" s="1056"/>
      <c r="ALI179" s="1056"/>
      <c r="ALJ179" s="1056"/>
      <c r="ALK179" s="1056"/>
      <c r="ALL179" s="1056"/>
      <c r="ALM179" s="1056"/>
      <c r="ALN179" s="1056"/>
      <c r="ALO179" s="1056"/>
      <c r="ALP179" s="1056"/>
      <c r="ALQ179" s="1056"/>
      <c r="ALR179" s="1056"/>
      <c r="ALS179" s="1056"/>
      <c r="ALT179" s="1056"/>
      <c r="ALU179" s="1056"/>
      <c r="ALV179" s="1056"/>
      <c r="ALW179" s="1056"/>
      <c r="ALX179" s="1056"/>
      <c r="ALY179" s="1056"/>
      <c r="ALZ179" s="1056"/>
      <c r="AMA179" s="1056"/>
      <c r="AMB179" s="1056"/>
      <c r="AMC179" s="1056"/>
      <c r="AMD179" s="1056"/>
      <c r="AME179" s="1056"/>
      <c r="AMF179" s="1056"/>
      <c r="AMG179" s="1056"/>
      <c r="AMH179" s="1056"/>
      <c r="AMI179" s="1056"/>
      <c r="AMJ179" s="1056"/>
      <c r="AMK179" s="1056"/>
      <c r="AML179" s="1056"/>
      <c r="AMM179" s="1056"/>
      <c r="AMN179" s="1056"/>
      <c r="AMO179" s="1056"/>
      <c r="AMP179" s="1056"/>
      <c r="AMQ179" s="1056"/>
      <c r="AMR179" s="1056"/>
      <c r="AMS179" s="1056"/>
      <c r="AMT179" s="1056"/>
      <c r="AMU179" s="1056"/>
      <c r="AMV179" s="1056"/>
      <c r="AMW179" s="1056"/>
      <c r="AMX179" s="1056"/>
      <c r="AMY179" s="1056"/>
      <c r="AMZ179" s="1056"/>
      <c r="ANA179" s="1056"/>
      <c r="ANB179" s="1056"/>
      <c r="ANC179" s="1056"/>
      <c r="AND179" s="1056"/>
      <c r="ANE179" s="1056"/>
      <c r="ANF179" s="1056"/>
      <c r="ANG179" s="1056"/>
      <c r="ANH179" s="1056"/>
      <c r="ANI179" s="1056"/>
      <c r="ANJ179" s="1056"/>
      <c r="ANK179" s="1056"/>
      <c r="ANL179" s="1056"/>
      <c r="ANM179" s="1056"/>
      <c r="ANN179" s="1056"/>
      <c r="ANO179" s="1056"/>
      <c r="ANP179" s="1056"/>
      <c r="ANQ179" s="1056"/>
      <c r="ANR179" s="1056"/>
      <c r="ANS179" s="1056"/>
      <c r="ANT179" s="1056"/>
      <c r="ANU179" s="1056"/>
      <c r="ANV179" s="1056"/>
      <c r="ANW179" s="1056"/>
      <c r="ANX179" s="1056"/>
      <c r="ANY179" s="1056"/>
      <c r="ANZ179" s="1056"/>
      <c r="AOA179" s="1056"/>
      <c r="AOB179" s="1056"/>
      <c r="AOC179" s="1056"/>
      <c r="AOD179" s="1056"/>
      <c r="AOE179" s="1056"/>
      <c r="AOF179" s="1056"/>
      <c r="AOG179" s="1056"/>
      <c r="AOH179" s="1056"/>
      <c r="AOI179" s="1056"/>
      <c r="AOJ179" s="1056"/>
      <c r="AOK179" s="1056"/>
      <c r="AOL179" s="1056"/>
      <c r="AOM179" s="1056"/>
      <c r="AON179" s="1056"/>
      <c r="AOO179" s="1056"/>
      <c r="AOP179" s="1056"/>
      <c r="AOQ179" s="1056"/>
      <c r="AOR179" s="1056"/>
      <c r="AOS179" s="1056"/>
      <c r="AOT179" s="1056"/>
      <c r="AOU179" s="1056"/>
      <c r="AOV179" s="1056"/>
      <c r="AOW179" s="1056"/>
      <c r="AOX179" s="1056"/>
      <c r="AOY179" s="1056"/>
      <c r="AOZ179" s="1056"/>
      <c r="APA179" s="1056"/>
      <c r="APB179" s="1056"/>
      <c r="APC179" s="1056"/>
      <c r="APD179" s="1056"/>
      <c r="APE179" s="1056"/>
      <c r="APF179" s="1056"/>
      <c r="APG179" s="1056"/>
      <c r="APH179" s="1056"/>
      <c r="API179" s="1056"/>
      <c r="APJ179" s="1056"/>
      <c r="APK179" s="1056"/>
      <c r="APL179" s="1056"/>
      <c r="APM179" s="1056"/>
      <c r="APN179" s="1056"/>
      <c r="APO179" s="1056"/>
      <c r="APP179" s="1056"/>
      <c r="APQ179" s="1056"/>
      <c r="APR179" s="1056"/>
      <c r="APS179" s="1056"/>
      <c r="APT179" s="1056"/>
      <c r="APU179" s="1056"/>
      <c r="APV179" s="1056"/>
      <c r="APW179" s="1056"/>
      <c r="APX179" s="1056"/>
      <c r="APY179" s="1056"/>
      <c r="APZ179" s="1056"/>
      <c r="AQA179" s="1056"/>
      <c r="AQB179" s="1056"/>
      <c r="AQC179" s="1056"/>
      <c r="AQD179" s="1056"/>
      <c r="AQE179" s="1056"/>
      <c r="AQF179" s="1056"/>
      <c r="AQG179" s="1056"/>
      <c r="AQH179" s="1056"/>
      <c r="AQI179" s="1056"/>
      <c r="AQJ179" s="1056"/>
      <c r="AQK179" s="1056"/>
      <c r="AQL179" s="1056"/>
      <c r="AQM179" s="1056"/>
      <c r="AQN179" s="1056"/>
      <c r="AQO179" s="1056"/>
      <c r="AQP179" s="1056"/>
      <c r="AQQ179" s="1056"/>
      <c r="AQR179" s="1056"/>
      <c r="AQS179" s="1056"/>
      <c r="AQT179" s="1056"/>
      <c r="AQU179" s="1056"/>
      <c r="AQV179" s="1056"/>
      <c r="AQW179" s="1056"/>
      <c r="AQX179" s="1056"/>
      <c r="AQY179" s="1056"/>
      <c r="AQZ179" s="1056"/>
      <c r="ARA179" s="1056"/>
      <c r="ARB179" s="1056"/>
      <c r="ARC179" s="1056"/>
      <c r="ARD179" s="1056"/>
      <c r="ARE179" s="1056"/>
      <c r="ARF179" s="1056"/>
      <c r="ARG179" s="1056"/>
      <c r="ARH179" s="1056"/>
      <c r="ARI179" s="1056"/>
      <c r="ARJ179" s="1056"/>
      <c r="ARK179" s="1056"/>
      <c r="ARL179" s="1056"/>
      <c r="ARM179" s="1056"/>
      <c r="ARN179" s="1056"/>
      <c r="ARO179" s="1056"/>
      <c r="ARP179" s="1056"/>
      <c r="ARQ179" s="1056"/>
      <c r="ARR179" s="1056"/>
      <c r="ARS179" s="1056"/>
      <c r="ART179" s="1056"/>
      <c r="ARU179" s="1056"/>
      <c r="ARV179" s="1056"/>
      <c r="ARW179" s="1056"/>
      <c r="ARX179" s="1056"/>
      <c r="ARY179" s="1056"/>
      <c r="ARZ179" s="1056"/>
      <c r="ASA179" s="1056"/>
      <c r="ASB179" s="1056"/>
      <c r="ASC179" s="1056"/>
      <c r="ASD179" s="1056"/>
      <c r="ASE179" s="1056"/>
      <c r="ASF179" s="1056"/>
      <c r="ASG179" s="1056"/>
      <c r="ASH179" s="1056"/>
      <c r="ASI179" s="1056"/>
      <c r="ASJ179" s="1056"/>
      <c r="ASK179" s="1056"/>
      <c r="ASL179" s="1056"/>
      <c r="ASM179" s="1056"/>
      <c r="ASN179" s="1056"/>
      <c r="ASO179" s="1056"/>
      <c r="ASP179" s="1056"/>
      <c r="ASQ179" s="1056"/>
      <c r="ASR179" s="1056"/>
      <c r="ASS179" s="1056"/>
      <c r="AST179" s="1056"/>
      <c r="ASU179" s="1056"/>
      <c r="ASV179" s="1056"/>
      <c r="ASW179" s="1056"/>
      <c r="ASX179" s="1056"/>
      <c r="ASY179" s="1056"/>
      <c r="ASZ179" s="1056"/>
      <c r="ATA179" s="1056"/>
      <c r="ATB179" s="1056"/>
      <c r="ATC179" s="1056"/>
      <c r="ATD179" s="1056"/>
      <c r="ATE179" s="1056"/>
      <c r="ATF179" s="1056"/>
      <c r="ATG179" s="1056"/>
      <c r="ATH179" s="1056"/>
      <c r="ATI179" s="1056"/>
      <c r="ATJ179" s="1056"/>
      <c r="ATK179" s="1056"/>
      <c r="ATL179" s="1056"/>
      <c r="ATM179" s="1056"/>
      <c r="ATN179" s="1056"/>
      <c r="ATO179" s="1056"/>
      <c r="ATP179" s="1056"/>
      <c r="ATQ179" s="1056"/>
      <c r="ATR179" s="1056"/>
      <c r="ATS179" s="1056"/>
      <c r="ATT179" s="1056"/>
      <c r="ATU179" s="1056"/>
      <c r="ATV179" s="1056"/>
      <c r="ATW179" s="1056"/>
      <c r="ATX179" s="1056"/>
      <c r="ATY179" s="1056"/>
      <c r="ATZ179" s="1056"/>
      <c r="AUA179" s="1056"/>
      <c r="AUB179" s="1056"/>
      <c r="AUC179" s="1056"/>
      <c r="AUD179" s="1056"/>
      <c r="AUE179" s="1056"/>
      <c r="AUF179" s="1056"/>
      <c r="AUG179" s="1056"/>
      <c r="AUH179" s="1056"/>
      <c r="AUI179" s="1056"/>
      <c r="AUJ179" s="1056"/>
      <c r="AUK179" s="1056"/>
      <c r="AUL179" s="1056"/>
      <c r="AUM179" s="1056"/>
      <c r="AUN179" s="1056"/>
      <c r="AUO179" s="1056"/>
      <c r="AUP179" s="1056"/>
      <c r="AUQ179" s="1056"/>
      <c r="AUR179" s="1056"/>
      <c r="AUS179" s="1056"/>
      <c r="AUT179" s="1056"/>
      <c r="AUU179" s="1056"/>
      <c r="AUV179" s="1056"/>
      <c r="AUW179" s="1056"/>
      <c r="AUX179" s="1056"/>
      <c r="AUY179" s="1056"/>
      <c r="AUZ179" s="1056"/>
      <c r="AVA179" s="1056"/>
      <c r="AVB179" s="1056"/>
      <c r="AVC179" s="1056"/>
      <c r="AVD179" s="1056"/>
      <c r="AVE179" s="1056"/>
      <c r="AVF179" s="1056"/>
      <c r="AVG179" s="1056"/>
      <c r="AVH179" s="1056"/>
      <c r="AVI179" s="1056"/>
      <c r="AVJ179" s="1056"/>
      <c r="AVK179" s="1056"/>
      <c r="AVL179" s="1056"/>
      <c r="AVM179" s="1056"/>
      <c r="AVN179" s="1056"/>
      <c r="AVO179" s="1056"/>
      <c r="AVP179" s="1056"/>
      <c r="AVQ179" s="1056"/>
      <c r="AVR179" s="1056"/>
      <c r="AVS179" s="1056"/>
      <c r="AVT179" s="1056"/>
      <c r="AVU179" s="1056"/>
      <c r="AVV179" s="1056"/>
      <c r="AVW179" s="1056"/>
      <c r="AVX179" s="1056"/>
      <c r="AVY179" s="1056"/>
      <c r="AVZ179" s="1056"/>
      <c r="AWA179" s="1056"/>
      <c r="AWB179" s="1056"/>
      <c r="AWC179" s="1056"/>
      <c r="AWD179" s="1056"/>
      <c r="AWE179" s="1056"/>
      <c r="AWF179" s="1056"/>
      <c r="AWG179" s="1056"/>
      <c r="AWH179" s="1056"/>
      <c r="AWI179" s="1056"/>
      <c r="AWJ179" s="1056"/>
      <c r="AWK179" s="1056"/>
      <c r="AWL179" s="1056"/>
      <c r="AWM179" s="1056"/>
      <c r="AWN179" s="1056"/>
      <c r="AWO179" s="1056"/>
      <c r="AWP179" s="1056"/>
      <c r="AWQ179" s="1056"/>
      <c r="AWR179" s="1056"/>
      <c r="AWS179" s="1056"/>
      <c r="AWT179" s="1056"/>
      <c r="AWU179" s="1056"/>
      <c r="AWV179" s="1056"/>
      <c r="AWW179" s="1056"/>
      <c r="AWX179" s="1056"/>
      <c r="AWY179" s="1056"/>
      <c r="AWZ179" s="1056"/>
      <c r="AXA179" s="1056"/>
      <c r="AXB179" s="1056"/>
      <c r="AXC179" s="1056"/>
      <c r="AXD179" s="1056"/>
      <c r="AXE179" s="1056"/>
      <c r="AXF179" s="1056"/>
      <c r="AXG179" s="1056"/>
      <c r="AXH179" s="1056"/>
      <c r="AXI179" s="1056"/>
      <c r="AXJ179" s="1056"/>
      <c r="AXK179" s="1056"/>
      <c r="AXL179" s="1056"/>
      <c r="AXM179" s="1056"/>
      <c r="AXN179" s="1056"/>
      <c r="AXO179" s="1056"/>
      <c r="AXP179" s="1056"/>
      <c r="AXQ179" s="1056"/>
      <c r="AXR179" s="1056"/>
      <c r="AXS179" s="1056"/>
      <c r="AXT179" s="1056"/>
      <c r="AXU179" s="1056"/>
      <c r="AXV179" s="1056"/>
      <c r="AXW179" s="1056"/>
      <c r="AXX179" s="1056"/>
      <c r="AXY179" s="1056"/>
      <c r="AXZ179" s="1056"/>
      <c r="AYA179" s="1056"/>
      <c r="AYB179" s="1056"/>
      <c r="AYC179" s="1056"/>
      <c r="AYD179" s="1056"/>
      <c r="AYE179" s="1056"/>
      <c r="AYF179" s="1056"/>
      <c r="AYG179" s="1056"/>
      <c r="AYH179" s="1056"/>
      <c r="AYI179" s="1056"/>
      <c r="AYJ179" s="1056"/>
      <c r="AYK179" s="1056"/>
      <c r="AYL179" s="1056"/>
      <c r="AYM179" s="1056"/>
      <c r="AYN179" s="1056"/>
      <c r="AYO179" s="1056"/>
      <c r="AYP179" s="1056"/>
      <c r="AYQ179" s="1056"/>
      <c r="AYR179" s="1056"/>
      <c r="AYS179" s="1056"/>
      <c r="AYT179" s="1056"/>
      <c r="AYU179" s="1056"/>
      <c r="AYV179" s="1056"/>
      <c r="AYW179" s="1056"/>
      <c r="AYX179" s="1056"/>
      <c r="AYY179" s="1056"/>
      <c r="AYZ179" s="1056"/>
      <c r="AZA179" s="1056"/>
      <c r="AZB179" s="1056"/>
      <c r="AZC179" s="1056"/>
      <c r="AZD179" s="1056"/>
      <c r="AZE179" s="1056"/>
      <c r="AZF179" s="1056"/>
      <c r="AZG179" s="1056"/>
      <c r="AZH179" s="1056"/>
      <c r="AZI179" s="1056"/>
      <c r="AZJ179" s="1056"/>
      <c r="AZK179" s="1056"/>
      <c r="AZL179" s="1056"/>
      <c r="AZM179" s="1056"/>
      <c r="AZN179" s="1056"/>
      <c r="AZO179" s="1056"/>
      <c r="AZP179" s="1056"/>
      <c r="AZQ179" s="1056"/>
      <c r="AZR179" s="1056"/>
      <c r="AZS179" s="1056"/>
      <c r="AZT179" s="1056"/>
      <c r="AZU179" s="1056"/>
      <c r="AZV179" s="1056"/>
      <c r="AZW179" s="1056"/>
      <c r="AZX179" s="1056"/>
      <c r="AZY179" s="1056"/>
      <c r="AZZ179" s="1056"/>
      <c r="BAA179" s="1056"/>
      <c r="BAB179" s="1056"/>
      <c r="BAC179" s="1056"/>
      <c r="BAD179" s="1056"/>
      <c r="BAE179" s="1056"/>
      <c r="BAF179" s="1056"/>
      <c r="BAG179" s="1056"/>
      <c r="BAH179" s="1056"/>
      <c r="BAI179" s="1056"/>
      <c r="BAJ179" s="1056"/>
      <c r="BAK179" s="1056"/>
      <c r="BAL179" s="1056"/>
      <c r="BAM179" s="1056"/>
      <c r="BAN179" s="1056"/>
      <c r="BAO179" s="1056"/>
      <c r="BAP179" s="1056"/>
      <c r="BAQ179" s="1056"/>
      <c r="BAR179" s="1056"/>
      <c r="BAS179" s="1056"/>
      <c r="BAT179" s="1056"/>
      <c r="BAU179" s="1056"/>
      <c r="BAV179" s="1056"/>
      <c r="BAW179" s="1056"/>
      <c r="BAX179" s="1056"/>
      <c r="BAY179" s="1056"/>
      <c r="BAZ179" s="1056"/>
      <c r="BBA179" s="1056"/>
      <c r="BBB179" s="1056"/>
      <c r="BBC179" s="1056"/>
      <c r="BBD179" s="1056"/>
      <c r="BBE179" s="1056"/>
      <c r="BBF179" s="1056"/>
      <c r="BBG179" s="1056"/>
      <c r="BBH179" s="1056"/>
      <c r="BBI179" s="1056"/>
      <c r="BBJ179" s="1056"/>
      <c r="BBK179" s="1056"/>
      <c r="BBL179" s="1056"/>
      <c r="BBM179" s="1056"/>
      <c r="BBN179" s="1056"/>
      <c r="BBO179" s="1056"/>
      <c r="BBP179" s="1056"/>
      <c r="BBQ179" s="1056"/>
      <c r="BBR179" s="1056"/>
      <c r="BBS179" s="1056"/>
      <c r="BBT179" s="1056"/>
      <c r="BBU179" s="1056"/>
      <c r="BBV179" s="1056"/>
      <c r="BBW179" s="1056"/>
      <c r="BBX179" s="1056"/>
      <c r="BBY179" s="1056"/>
      <c r="BBZ179" s="1056"/>
      <c r="BCA179" s="1056"/>
      <c r="BCB179" s="1056"/>
      <c r="BCC179" s="1056"/>
      <c r="BCD179" s="1056"/>
      <c r="BCE179" s="1056"/>
      <c r="BCF179" s="1056"/>
      <c r="BCG179" s="1056"/>
      <c r="BCH179" s="1056"/>
      <c r="BCI179" s="1056"/>
      <c r="BCJ179" s="1056"/>
      <c r="BCK179" s="1056"/>
      <c r="BCL179" s="1056"/>
      <c r="BCM179" s="1056"/>
      <c r="BCN179" s="1056"/>
      <c r="BCO179" s="1056"/>
      <c r="BCP179" s="1056"/>
      <c r="BCQ179" s="1056"/>
      <c r="BCR179" s="1056"/>
      <c r="BCS179" s="1056"/>
      <c r="BCT179" s="1056"/>
      <c r="BCU179" s="1056"/>
      <c r="BCV179" s="1056"/>
      <c r="BCW179" s="1056"/>
      <c r="BCX179" s="1056"/>
      <c r="BCY179" s="1056"/>
      <c r="BCZ179" s="1056"/>
      <c r="BDA179" s="1056"/>
      <c r="BDB179" s="1056"/>
      <c r="BDC179" s="1056"/>
      <c r="BDD179" s="1056"/>
      <c r="BDE179" s="1056"/>
      <c r="BDF179" s="1056"/>
      <c r="BDG179" s="1056"/>
      <c r="BDH179" s="1056"/>
      <c r="BDI179" s="1056"/>
      <c r="BDJ179" s="1056"/>
      <c r="BDK179" s="1056"/>
      <c r="BDL179" s="1056"/>
      <c r="BDM179" s="1056"/>
      <c r="BDN179" s="1056"/>
      <c r="BDO179" s="1056"/>
      <c r="BDP179" s="1056"/>
      <c r="BDQ179" s="1056"/>
      <c r="BDR179" s="1056"/>
      <c r="BDS179" s="1056"/>
      <c r="BDT179" s="1056"/>
      <c r="BDU179" s="1056"/>
      <c r="BDV179" s="1056"/>
      <c r="BDW179" s="1056"/>
      <c r="BDX179" s="1056"/>
      <c r="BDY179" s="1056"/>
      <c r="BDZ179" s="1056"/>
      <c r="BEA179" s="1056"/>
      <c r="BEB179" s="1056"/>
      <c r="BEC179" s="1056"/>
      <c r="BED179" s="1056"/>
      <c r="BEE179" s="1056"/>
      <c r="BEF179" s="1056"/>
      <c r="BEG179" s="1056"/>
      <c r="BEH179" s="1056"/>
      <c r="BEI179" s="1056"/>
      <c r="BEJ179" s="1056"/>
      <c r="BEK179" s="1056"/>
      <c r="BEL179" s="1056"/>
      <c r="BEM179" s="1056"/>
      <c r="BEN179" s="1056"/>
      <c r="BEO179" s="1056"/>
      <c r="BEP179" s="1056"/>
      <c r="BEQ179" s="1056"/>
      <c r="BER179" s="1056"/>
      <c r="BES179" s="1056"/>
      <c r="BET179" s="1056"/>
      <c r="BEU179" s="1056"/>
      <c r="BEV179" s="1056"/>
      <c r="BEW179" s="1056"/>
      <c r="BEX179" s="1056"/>
      <c r="BEY179" s="1056"/>
      <c r="BEZ179" s="1056"/>
      <c r="BFA179" s="1056"/>
      <c r="BFB179" s="1056"/>
      <c r="BFC179" s="1056"/>
      <c r="BFD179" s="1056"/>
      <c r="BFE179" s="1056"/>
      <c r="BFF179" s="1056"/>
      <c r="BFG179" s="1056"/>
      <c r="BFH179" s="1056"/>
      <c r="BFI179" s="1056"/>
      <c r="BFJ179" s="1056"/>
      <c r="BFK179" s="1056"/>
      <c r="BFL179" s="1056"/>
      <c r="BFM179" s="1056"/>
      <c r="BFN179" s="1056"/>
      <c r="BFO179" s="1056"/>
      <c r="BFP179" s="1056"/>
      <c r="BFQ179" s="1056"/>
      <c r="BFR179" s="1056"/>
      <c r="BFS179" s="1056"/>
      <c r="BFT179" s="1056"/>
      <c r="BFU179" s="1056"/>
      <c r="BFV179" s="1056"/>
      <c r="BFW179" s="1056"/>
      <c r="BFX179" s="1056"/>
      <c r="BFY179" s="1056"/>
      <c r="BFZ179" s="1056"/>
      <c r="BGA179" s="1056"/>
      <c r="BGB179" s="1056"/>
      <c r="BGC179" s="1056"/>
      <c r="BGD179" s="1056"/>
      <c r="BGE179" s="1056"/>
      <c r="BGF179" s="1056"/>
      <c r="BGG179" s="1056"/>
      <c r="BGH179" s="1056"/>
      <c r="BGI179" s="1056"/>
      <c r="BGJ179" s="1056"/>
      <c r="BGK179" s="1056"/>
      <c r="BGL179" s="1056"/>
      <c r="BGM179" s="1056"/>
      <c r="BGN179" s="1056"/>
      <c r="BGO179" s="1056"/>
      <c r="BGP179" s="1056"/>
      <c r="BGQ179" s="1056"/>
      <c r="BGR179" s="1056"/>
      <c r="BGS179" s="1056"/>
      <c r="BGT179" s="1056"/>
      <c r="BGU179" s="1056"/>
      <c r="BGV179" s="1056"/>
      <c r="BGW179" s="1056"/>
      <c r="BGX179" s="1056"/>
      <c r="BGY179" s="1056"/>
      <c r="BGZ179" s="1056"/>
      <c r="BHA179" s="1056"/>
      <c r="BHB179" s="1056"/>
      <c r="BHC179" s="1056"/>
      <c r="BHD179" s="1056"/>
      <c r="BHE179" s="1056"/>
      <c r="BHF179" s="1056"/>
      <c r="BHG179" s="1056"/>
      <c r="BHH179" s="1056"/>
      <c r="BHI179" s="1056"/>
      <c r="BHJ179" s="1056"/>
      <c r="BHK179" s="1056"/>
      <c r="BHL179" s="1056"/>
      <c r="BHM179" s="1056"/>
      <c r="BHN179" s="1056"/>
      <c r="BHO179" s="1056"/>
      <c r="BHP179" s="1056"/>
      <c r="BHQ179" s="1056"/>
      <c r="BHR179" s="1056"/>
      <c r="BHS179" s="1056"/>
      <c r="BHT179" s="1056"/>
      <c r="BHU179" s="1056"/>
      <c r="BHV179" s="1056"/>
      <c r="BHW179" s="1056"/>
      <c r="BHX179" s="1056"/>
      <c r="BHY179" s="1056"/>
      <c r="BHZ179" s="1056"/>
      <c r="BIA179" s="1056"/>
      <c r="BIB179" s="1056"/>
      <c r="BIC179" s="1056"/>
      <c r="BID179" s="1056"/>
      <c r="BIE179" s="1056"/>
      <c r="BIF179" s="1056"/>
      <c r="BIG179" s="1056"/>
      <c r="BIH179" s="1056"/>
      <c r="BII179" s="1056"/>
      <c r="BIJ179" s="1056"/>
      <c r="BIK179" s="1056"/>
      <c r="BIL179" s="1056"/>
      <c r="BIM179" s="1056"/>
      <c r="BIN179" s="1056"/>
      <c r="BIO179" s="1056"/>
      <c r="BIP179" s="1056"/>
      <c r="BIQ179" s="1056"/>
      <c r="BIR179" s="1056"/>
      <c r="BIS179" s="1056"/>
      <c r="BIT179" s="1056"/>
      <c r="BIU179" s="1056"/>
      <c r="BIV179" s="1056"/>
      <c r="BIW179" s="1056"/>
      <c r="BIX179" s="1056"/>
      <c r="BIY179" s="1056"/>
      <c r="BIZ179" s="1056"/>
      <c r="BJA179" s="1056"/>
      <c r="BJB179" s="1056"/>
      <c r="BJC179" s="1056"/>
      <c r="BJD179" s="1056"/>
      <c r="BJE179" s="1056"/>
      <c r="BJF179" s="1056"/>
      <c r="BJG179" s="1056"/>
      <c r="BJH179" s="1056"/>
      <c r="BJI179" s="1056"/>
      <c r="BJJ179" s="1056"/>
      <c r="BJK179" s="1056"/>
      <c r="BJL179" s="1056"/>
      <c r="BJM179" s="1056"/>
      <c r="BJN179" s="1056"/>
      <c r="BJO179" s="1056"/>
      <c r="BJP179" s="1056"/>
      <c r="BJQ179" s="1056"/>
      <c r="BJR179" s="1056"/>
      <c r="BJS179" s="1056"/>
      <c r="BJT179" s="1056"/>
      <c r="BJU179" s="1056"/>
      <c r="BJV179" s="1056"/>
      <c r="BJW179" s="1056"/>
      <c r="BJX179" s="1056"/>
      <c r="BJY179" s="1056"/>
      <c r="BJZ179" s="1056"/>
      <c r="BKA179" s="1056"/>
      <c r="BKB179" s="1056"/>
      <c r="BKC179" s="1056"/>
      <c r="BKD179" s="1056"/>
      <c r="BKE179" s="1056"/>
      <c r="BKF179" s="1056"/>
      <c r="BKG179" s="1056"/>
      <c r="BKH179" s="1056"/>
      <c r="BKI179" s="1056"/>
      <c r="BKJ179" s="1056"/>
      <c r="BKK179" s="1056"/>
      <c r="BKL179" s="1056"/>
      <c r="BKM179" s="1056"/>
      <c r="BKN179" s="1056"/>
      <c r="BKO179" s="1056"/>
      <c r="BKP179" s="1056"/>
      <c r="BKQ179" s="1056"/>
      <c r="BKR179" s="1056"/>
      <c r="BKS179" s="1056"/>
      <c r="BKT179" s="1056"/>
      <c r="BKU179" s="1056"/>
      <c r="BKV179" s="1056"/>
      <c r="BKW179" s="1056"/>
      <c r="BKX179" s="1056"/>
      <c r="BKY179" s="1056"/>
      <c r="BKZ179" s="1056"/>
      <c r="BLA179" s="1056"/>
      <c r="BLB179" s="1056"/>
      <c r="BLC179" s="1056"/>
      <c r="BLD179" s="1056"/>
      <c r="BLE179" s="1056"/>
      <c r="BLF179" s="1056"/>
      <c r="BLG179" s="1056"/>
      <c r="BLH179" s="1056"/>
      <c r="BLI179" s="1056"/>
      <c r="BLJ179" s="1056"/>
      <c r="BLK179" s="1056"/>
      <c r="BLL179" s="1056"/>
      <c r="BLM179" s="1056"/>
      <c r="BLN179" s="1056"/>
      <c r="BLO179" s="1056"/>
      <c r="BLP179" s="1056"/>
      <c r="BLQ179" s="1056"/>
      <c r="BLR179" s="1056"/>
      <c r="BLS179" s="1056"/>
      <c r="BLT179" s="1056"/>
      <c r="BLU179" s="1056"/>
      <c r="BLV179" s="1056"/>
      <c r="BLW179" s="1056"/>
      <c r="BLX179" s="1056"/>
      <c r="BLY179" s="1056"/>
      <c r="BLZ179" s="1056"/>
      <c r="BMA179" s="1056"/>
      <c r="BMB179" s="1056"/>
      <c r="BMC179" s="1056"/>
      <c r="BMD179" s="1056"/>
      <c r="BME179" s="1056"/>
      <c r="BMF179" s="1056"/>
      <c r="BMG179" s="1056"/>
      <c r="BMH179" s="1056"/>
      <c r="BMI179" s="1056"/>
      <c r="BMJ179" s="1056"/>
      <c r="BMK179" s="1056"/>
      <c r="BML179" s="1056"/>
      <c r="BMM179" s="1056"/>
      <c r="BMN179" s="1056"/>
      <c r="BMO179" s="1056"/>
      <c r="BMP179" s="1056"/>
      <c r="BMQ179" s="1056"/>
      <c r="BMR179" s="1056"/>
      <c r="BMS179" s="1056"/>
      <c r="BMT179" s="1056"/>
      <c r="BMU179" s="1056"/>
      <c r="BMV179" s="1056"/>
      <c r="BMW179" s="1056"/>
      <c r="BMX179" s="1056"/>
      <c r="BMY179" s="1056"/>
      <c r="BMZ179" s="1056"/>
      <c r="BNA179" s="1056"/>
      <c r="BNB179" s="1056"/>
      <c r="BNC179" s="1056"/>
      <c r="BND179" s="1056"/>
      <c r="BNE179" s="1056"/>
      <c r="BNF179" s="1056"/>
      <c r="BNG179" s="1056"/>
      <c r="BNH179" s="1056"/>
      <c r="BNI179" s="1056"/>
      <c r="BNJ179" s="1056"/>
      <c r="BNK179" s="1056"/>
      <c r="BNL179" s="1056"/>
      <c r="BNM179" s="1056"/>
      <c r="BNN179" s="1056"/>
      <c r="BNO179" s="1056"/>
      <c r="BNP179" s="1056"/>
      <c r="BNQ179" s="1056"/>
      <c r="BNR179" s="1056"/>
      <c r="BNS179" s="1056"/>
      <c r="BNT179" s="1056"/>
      <c r="BNU179" s="1056"/>
      <c r="BNV179" s="1056"/>
      <c r="BNW179" s="1056"/>
      <c r="BNX179" s="1056"/>
      <c r="BNY179" s="1056"/>
      <c r="BNZ179" s="1056"/>
      <c r="BOA179" s="1056"/>
      <c r="BOB179" s="1056"/>
      <c r="BOC179" s="1056"/>
      <c r="BOD179" s="1056"/>
      <c r="BOE179" s="1056"/>
      <c r="BOF179" s="1056"/>
      <c r="BOG179" s="1056"/>
      <c r="BOH179" s="1056"/>
      <c r="BOI179" s="1056"/>
      <c r="BOJ179" s="1056"/>
      <c r="BOK179" s="1056"/>
      <c r="BOL179" s="1056"/>
      <c r="BOM179" s="1056"/>
      <c r="BON179" s="1056"/>
      <c r="BOO179" s="1056"/>
      <c r="BOP179" s="1056"/>
      <c r="BOQ179" s="1056"/>
      <c r="BOR179" s="1056"/>
      <c r="BOS179" s="1056"/>
      <c r="BOT179" s="1056"/>
      <c r="BOU179" s="1056"/>
      <c r="BOV179" s="1056"/>
      <c r="BOW179" s="1056"/>
      <c r="BOX179" s="1056"/>
      <c r="BOY179" s="1056"/>
      <c r="BOZ179" s="1056"/>
      <c r="BPA179" s="1056"/>
      <c r="BPB179" s="1056"/>
      <c r="BPC179" s="1056"/>
      <c r="BPD179" s="1056"/>
      <c r="BPE179" s="1056"/>
      <c r="BPF179" s="1056"/>
      <c r="BPG179" s="1056"/>
      <c r="BPH179" s="1056"/>
      <c r="BPI179" s="1056"/>
      <c r="BPJ179" s="1056"/>
      <c r="BPK179" s="1056"/>
      <c r="BPL179" s="1056"/>
      <c r="BPM179" s="1056"/>
      <c r="BPN179" s="1056"/>
      <c r="BPO179" s="1056"/>
      <c r="BPP179" s="1056"/>
      <c r="BPQ179" s="1056"/>
      <c r="BPR179" s="1056"/>
      <c r="BPS179" s="1056"/>
      <c r="BPT179" s="1056"/>
      <c r="BPU179" s="1056"/>
      <c r="BPV179" s="1056"/>
      <c r="BPW179" s="1056"/>
      <c r="BPX179" s="1056"/>
      <c r="BPY179" s="1056"/>
      <c r="BPZ179" s="1056"/>
      <c r="BQA179" s="1056"/>
      <c r="BQB179" s="1056"/>
      <c r="BQC179" s="1056"/>
      <c r="BQD179" s="1056"/>
      <c r="BQE179" s="1056"/>
      <c r="BQF179" s="1056"/>
      <c r="BQG179" s="1056"/>
      <c r="BQH179" s="1056"/>
      <c r="BQI179" s="1056"/>
      <c r="BQJ179" s="1056"/>
      <c r="BQK179" s="1056"/>
      <c r="BQL179" s="1056"/>
      <c r="BQM179" s="1056"/>
      <c r="BQN179" s="1056"/>
      <c r="BQO179" s="1056"/>
      <c r="BQP179" s="1056"/>
      <c r="BQQ179" s="1056"/>
      <c r="BQR179" s="1056"/>
      <c r="BQS179" s="1056"/>
      <c r="BQT179" s="1056"/>
      <c r="BQU179" s="1056"/>
      <c r="BQV179" s="1056"/>
      <c r="BQW179" s="1056"/>
      <c r="BQX179" s="1056"/>
      <c r="BQY179" s="1056"/>
      <c r="BQZ179" s="1056"/>
      <c r="BRA179" s="1056"/>
      <c r="BRB179" s="1056"/>
      <c r="BRC179" s="1056"/>
      <c r="BRD179" s="1056"/>
      <c r="BRE179" s="1056"/>
      <c r="BRF179" s="1056"/>
      <c r="BRG179" s="1056"/>
      <c r="BRH179" s="1056"/>
      <c r="BRI179" s="1056"/>
      <c r="BRJ179" s="1056"/>
      <c r="BRK179" s="1056"/>
      <c r="BRL179" s="1056"/>
      <c r="BRM179" s="1056"/>
      <c r="BRN179" s="1056"/>
      <c r="BRO179" s="1056"/>
      <c r="BRP179" s="1056"/>
      <c r="BRQ179" s="1056"/>
      <c r="BRR179" s="1056"/>
      <c r="BRS179" s="1056"/>
      <c r="BRT179" s="1056"/>
      <c r="BRU179" s="1056"/>
      <c r="BRV179" s="1056"/>
      <c r="BRW179" s="1056"/>
      <c r="BRX179" s="1056"/>
      <c r="BRY179" s="1056"/>
      <c r="BRZ179" s="1056"/>
      <c r="BSA179" s="1056"/>
      <c r="BSB179" s="1056"/>
      <c r="BSC179" s="1056"/>
      <c r="BSD179" s="1056"/>
      <c r="BSE179" s="1056"/>
      <c r="BSF179" s="1056"/>
      <c r="BSG179" s="1056"/>
      <c r="BSH179" s="1056"/>
      <c r="BSI179" s="1056"/>
      <c r="BSJ179" s="1056"/>
      <c r="BSK179" s="1056"/>
      <c r="BSL179" s="1056"/>
      <c r="BSM179" s="1056"/>
      <c r="BSN179" s="1056"/>
      <c r="BSO179" s="1056"/>
      <c r="BSP179" s="1056"/>
      <c r="BSQ179" s="1056"/>
      <c r="BSR179" s="1056"/>
      <c r="BSS179" s="1056"/>
      <c r="BST179" s="1056"/>
      <c r="BSU179" s="1056"/>
      <c r="BSV179" s="1056"/>
      <c r="BSW179" s="1056"/>
      <c r="BSX179" s="1056"/>
      <c r="BSY179" s="1056"/>
      <c r="BSZ179" s="1056"/>
      <c r="BTA179" s="1056"/>
      <c r="BTB179" s="1056"/>
      <c r="BTC179" s="1056"/>
      <c r="BTD179" s="1056"/>
      <c r="BTE179" s="1056"/>
      <c r="BTF179" s="1056"/>
      <c r="BTG179" s="1056"/>
      <c r="BTH179" s="1056"/>
      <c r="BTI179" s="1056"/>
    </row>
    <row r="180" spans="1:1881" s="1060" customFormat="1" ht="91.5" hidden="1" customHeight="1" x14ac:dyDescent="0.3">
      <c r="A180" s="1059">
        <v>986</v>
      </c>
      <c r="B180" s="1099" t="s">
        <v>728</v>
      </c>
      <c r="C180" s="1099" t="s">
        <v>1413</v>
      </c>
      <c r="D180" s="1100" t="s">
        <v>757</v>
      </c>
      <c r="E180" s="1053" t="s">
        <v>729</v>
      </c>
      <c r="F180" s="287">
        <v>0</v>
      </c>
      <c r="G180" s="722">
        <f>IF(F180&lt;0,"Error: Enter as positive.",)</f>
        <v>0</v>
      </c>
      <c r="H180" s="764"/>
      <c r="I180" s="1055"/>
      <c r="J180" s="1056"/>
      <c r="K180" s="1056"/>
      <c r="L180" s="1056"/>
      <c r="M180" s="1056"/>
      <c r="N180" s="1058"/>
      <c r="O180" s="1056"/>
      <c r="P180" s="1056"/>
      <c r="Q180" s="1056"/>
      <c r="R180" s="1056"/>
      <c r="S180" s="1056"/>
      <c r="T180" s="1056"/>
      <c r="U180" s="1056"/>
      <c r="V180" s="1056"/>
      <c r="W180" s="1056"/>
      <c r="X180" s="1056"/>
      <c r="Y180" s="1056"/>
      <c r="Z180" s="1059"/>
      <c r="AA180" s="1059"/>
      <c r="AB180" s="1059"/>
      <c r="AC180" s="1059"/>
      <c r="AD180" s="1059"/>
      <c r="AE180" s="1059"/>
      <c r="AF180" s="1059"/>
      <c r="AG180" s="1059"/>
      <c r="AH180" s="1059"/>
      <c r="AI180" s="1059"/>
      <c r="AJ180" s="1059"/>
      <c r="AK180" s="1059"/>
      <c r="AL180" s="1059"/>
      <c r="AM180" s="1059"/>
      <c r="AN180" s="1059"/>
      <c r="AO180" s="1059"/>
      <c r="AP180" s="1059"/>
      <c r="AQ180" s="1059"/>
      <c r="AR180" s="1059"/>
      <c r="AS180" s="1056"/>
      <c r="AT180" s="1056"/>
      <c r="AU180" s="1056"/>
      <c r="AV180" s="1056"/>
      <c r="AW180" s="1056"/>
      <c r="AX180" s="1056"/>
      <c r="AY180" s="1056"/>
      <c r="AZ180" s="1056"/>
      <c r="BA180" s="1056"/>
      <c r="BB180" s="1056"/>
      <c r="BC180" s="1056"/>
      <c r="BD180" s="1056"/>
      <c r="BE180" s="1056"/>
      <c r="BF180" s="1056"/>
      <c r="BG180" s="1056"/>
      <c r="BH180" s="1056"/>
      <c r="BI180" s="1056"/>
      <c r="BJ180" s="1056"/>
      <c r="BK180" s="1056"/>
      <c r="BL180" s="1056"/>
      <c r="BM180" s="1056"/>
      <c r="BN180" s="1056"/>
      <c r="BO180" s="1056"/>
      <c r="BP180" s="1056"/>
      <c r="BQ180" s="1056"/>
      <c r="BR180" s="1056"/>
      <c r="BS180" s="1056"/>
      <c r="BT180" s="1056"/>
      <c r="BU180" s="1056"/>
      <c r="BV180" s="1056"/>
      <c r="BW180" s="1056"/>
      <c r="BX180" s="1056"/>
      <c r="BY180" s="1056"/>
      <c r="BZ180" s="1056"/>
      <c r="CA180" s="1056"/>
      <c r="CB180" s="1056"/>
      <c r="CC180" s="1056"/>
      <c r="CD180" s="1056"/>
      <c r="CE180" s="1056"/>
      <c r="CF180" s="1056"/>
      <c r="CG180" s="1056"/>
      <c r="CH180" s="1056"/>
      <c r="CI180" s="1056"/>
      <c r="CJ180" s="1056"/>
      <c r="CK180" s="1056"/>
      <c r="CL180" s="1056"/>
      <c r="CM180" s="1056"/>
      <c r="CN180" s="1056"/>
      <c r="CO180" s="1056"/>
      <c r="CP180" s="1056"/>
      <c r="CQ180" s="1056"/>
      <c r="CR180" s="1056"/>
      <c r="CS180" s="1056"/>
      <c r="CT180" s="1056"/>
      <c r="CU180" s="1056"/>
      <c r="CV180" s="1056"/>
      <c r="CW180" s="1056"/>
      <c r="CX180" s="1056"/>
      <c r="CY180" s="1056"/>
      <c r="CZ180" s="1056"/>
      <c r="DA180" s="1056"/>
      <c r="DB180" s="1056"/>
      <c r="DC180" s="1056"/>
      <c r="DD180" s="1056"/>
      <c r="DE180" s="1056"/>
      <c r="DF180" s="1056"/>
      <c r="DG180" s="1056"/>
      <c r="DH180" s="1056"/>
      <c r="DI180" s="1056"/>
      <c r="DJ180" s="1056"/>
      <c r="DK180" s="1056"/>
      <c r="DL180" s="1056"/>
      <c r="DM180" s="1056"/>
      <c r="DN180" s="1056"/>
      <c r="DO180" s="1056"/>
      <c r="DP180" s="1056"/>
      <c r="DQ180" s="1056"/>
      <c r="DR180" s="1056"/>
      <c r="DS180" s="1056"/>
      <c r="DT180" s="1056"/>
      <c r="DU180" s="1056"/>
      <c r="DV180" s="1056"/>
      <c r="DW180" s="1056"/>
      <c r="DX180" s="1056"/>
      <c r="DY180" s="1056"/>
      <c r="DZ180" s="1056"/>
      <c r="EA180" s="1056"/>
      <c r="EB180" s="1056"/>
      <c r="EC180" s="1056"/>
      <c r="ED180" s="1056"/>
      <c r="EE180" s="1056"/>
      <c r="EF180" s="1056"/>
      <c r="EG180" s="1056"/>
      <c r="EH180" s="1056"/>
      <c r="EI180" s="1056"/>
      <c r="EJ180" s="1056"/>
      <c r="EK180" s="1056"/>
      <c r="EL180" s="1056"/>
      <c r="EM180" s="1056"/>
      <c r="EN180" s="1056"/>
      <c r="EO180" s="1056"/>
      <c r="EP180" s="1056"/>
      <c r="EQ180" s="1056"/>
      <c r="ER180" s="1056"/>
      <c r="ES180" s="1056"/>
      <c r="ET180" s="1056"/>
      <c r="EU180" s="1056"/>
      <c r="EV180" s="1056"/>
      <c r="EW180" s="1056"/>
      <c r="EX180" s="1056"/>
      <c r="EY180" s="1056"/>
      <c r="EZ180" s="1056"/>
      <c r="FA180" s="1056"/>
      <c r="FB180" s="1056"/>
      <c r="FC180" s="1056"/>
      <c r="FD180" s="1056"/>
      <c r="FE180" s="1056"/>
      <c r="FF180" s="1056"/>
      <c r="FG180" s="1056"/>
      <c r="FH180" s="1056"/>
      <c r="FI180" s="1056"/>
      <c r="FJ180" s="1056"/>
      <c r="FK180" s="1056"/>
      <c r="FL180" s="1056"/>
      <c r="FM180" s="1056"/>
      <c r="FN180" s="1056"/>
      <c r="FO180" s="1056"/>
      <c r="FP180" s="1056"/>
      <c r="FQ180" s="1056"/>
      <c r="FR180" s="1056"/>
      <c r="FS180" s="1056"/>
      <c r="FT180" s="1056"/>
      <c r="FU180" s="1056"/>
      <c r="FV180" s="1056"/>
      <c r="FW180" s="1056"/>
      <c r="FX180" s="1056"/>
      <c r="FY180" s="1056"/>
      <c r="FZ180" s="1056"/>
      <c r="GA180" s="1056"/>
      <c r="GB180" s="1056"/>
      <c r="GC180" s="1056"/>
      <c r="GD180" s="1056"/>
      <c r="GE180" s="1056"/>
      <c r="GF180" s="1056"/>
      <c r="GG180" s="1056"/>
      <c r="GH180" s="1056"/>
      <c r="GI180" s="1056"/>
      <c r="GJ180" s="1056"/>
      <c r="GK180" s="1056"/>
      <c r="GL180" s="1056"/>
      <c r="GM180" s="1056"/>
      <c r="GN180" s="1056"/>
      <c r="GO180" s="1056"/>
      <c r="GP180" s="1056"/>
      <c r="GQ180" s="1056"/>
      <c r="GR180" s="1056"/>
      <c r="GS180" s="1056"/>
      <c r="GT180" s="1056"/>
      <c r="GU180" s="1056"/>
      <c r="GV180" s="1056"/>
      <c r="GW180" s="1056"/>
      <c r="GX180" s="1056"/>
      <c r="GY180" s="1056"/>
      <c r="GZ180" s="1056"/>
      <c r="HA180" s="1056"/>
      <c r="HB180" s="1056"/>
      <c r="HC180" s="1056"/>
      <c r="HD180" s="1056"/>
      <c r="HE180" s="1056"/>
      <c r="HF180" s="1056"/>
      <c r="HG180" s="1056"/>
      <c r="HH180" s="1056"/>
      <c r="HI180" s="1056"/>
      <c r="HJ180" s="1056"/>
      <c r="HK180" s="1056"/>
      <c r="HL180" s="1056"/>
      <c r="HM180" s="1056"/>
      <c r="HN180" s="1056"/>
      <c r="HO180" s="1056"/>
      <c r="HP180" s="1056"/>
      <c r="HQ180" s="1056"/>
      <c r="HR180" s="1056"/>
      <c r="HS180" s="1056"/>
      <c r="HT180" s="1056"/>
      <c r="HU180" s="1056"/>
      <c r="HV180" s="1056"/>
      <c r="HW180" s="1056"/>
      <c r="HX180" s="1056"/>
      <c r="HY180" s="1056"/>
      <c r="HZ180" s="1056"/>
      <c r="IA180" s="1056"/>
      <c r="IB180" s="1056"/>
      <c r="IC180" s="1056"/>
      <c r="ID180" s="1056"/>
      <c r="IE180" s="1056"/>
      <c r="IF180" s="1056"/>
      <c r="IG180" s="1056"/>
      <c r="IH180" s="1056"/>
      <c r="II180" s="1056"/>
      <c r="IJ180" s="1056"/>
      <c r="IK180" s="1056"/>
      <c r="IL180" s="1056"/>
      <c r="IM180" s="1056"/>
      <c r="IN180" s="1056"/>
      <c r="IO180" s="1056"/>
      <c r="IP180" s="1056"/>
      <c r="IQ180" s="1056"/>
      <c r="IR180" s="1056"/>
      <c r="IS180" s="1056"/>
      <c r="IT180" s="1056"/>
      <c r="IU180" s="1056"/>
      <c r="IV180" s="1056"/>
      <c r="IW180" s="1056"/>
      <c r="IX180" s="1056"/>
      <c r="IY180" s="1056"/>
      <c r="IZ180" s="1056"/>
      <c r="JA180" s="1056"/>
      <c r="JB180" s="1056"/>
      <c r="JC180" s="1056"/>
      <c r="JD180" s="1056"/>
      <c r="JE180" s="1056"/>
      <c r="JF180" s="1056"/>
      <c r="JG180" s="1056"/>
      <c r="JH180" s="1056"/>
      <c r="JI180" s="1056"/>
      <c r="JJ180" s="1056"/>
      <c r="JK180" s="1056"/>
      <c r="JL180" s="1056"/>
      <c r="JM180" s="1056"/>
      <c r="JN180" s="1056"/>
      <c r="JO180" s="1056"/>
      <c r="JP180" s="1056"/>
      <c r="JQ180" s="1056"/>
      <c r="JR180" s="1056"/>
      <c r="JS180" s="1056"/>
      <c r="JT180" s="1056"/>
      <c r="JU180" s="1056"/>
      <c r="JV180" s="1056"/>
      <c r="JW180" s="1056"/>
      <c r="JX180" s="1056"/>
      <c r="JY180" s="1056"/>
      <c r="JZ180" s="1056"/>
      <c r="KA180" s="1056"/>
      <c r="KB180" s="1056"/>
      <c r="KC180" s="1056"/>
      <c r="KD180" s="1056"/>
      <c r="KE180" s="1056"/>
      <c r="KF180" s="1056"/>
      <c r="KG180" s="1056"/>
      <c r="KH180" s="1056"/>
      <c r="KI180" s="1056"/>
      <c r="KJ180" s="1056"/>
      <c r="KK180" s="1056"/>
      <c r="KL180" s="1056"/>
      <c r="KM180" s="1056"/>
      <c r="KN180" s="1056"/>
      <c r="KO180" s="1056"/>
      <c r="KP180" s="1056"/>
      <c r="KQ180" s="1056"/>
      <c r="KR180" s="1056"/>
      <c r="KS180" s="1056"/>
      <c r="KT180" s="1056"/>
      <c r="KU180" s="1056"/>
      <c r="KV180" s="1056"/>
      <c r="KW180" s="1056"/>
      <c r="KX180" s="1056"/>
      <c r="KY180" s="1056"/>
      <c r="KZ180" s="1056"/>
      <c r="LA180" s="1056"/>
      <c r="LB180" s="1056"/>
      <c r="LC180" s="1056"/>
      <c r="LD180" s="1056"/>
      <c r="LE180" s="1056"/>
      <c r="LF180" s="1056"/>
      <c r="LG180" s="1056"/>
      <c r="LH180" s="1056"/>
      <c r="LI180" s="1056"/>
      <c r="LJ180" s="1056"/>
      <c r="LK180" s="1056"/>
      <c r="LL180" s="1056"/>
      <c r="LM180" s="1056"/>
      <c r="LN180" s="1056"/>
      <c r="LO180" s="1056"/>
      <c r="LP180" s="1056"/>
      <c r="LQ180" s="1056"/>
      <c r="LR180" s="1056"/>
      <c r="LS180" s="1056"/>
      <c r="LT180" s="1056"/>
      <c r="LU180" s="1056"/>
      <c r="LV180" s="1056"/>
      <c r="LW180" s="1056"/>
      <c r="LX180" s="1056"/>
      <c r="LY180" s="1056"/>
      <c r="LZ180" s="1056"/>
      <c r="MA180" s="1056"/>
      <c r="MB180" s="1056"/>
      <c r="MC180" s="1056"/>
      <c r="MD180" s="1056"/>
      <c r="ME180" s="1056"/>
      <c r="MF180" s="1056"/>
      <c r="MG180" s="1056"/>
      <c r="MH180" s="1056"/>
      <c r="MI180" s="1056"/>
      <c r="MJ180" s="1056"/>
      <c r="MK180" s="1056"/>
      <c r="ML180" s="1056"/>
      <c r="MM180" s="1056"/>
      <c r="MN180" s="1056"/>
      <c r="MO180" s="1056"/>
      <c r="MP180" s="1056"/>
      <c r="MQ180" s="1056"/>
      <c r="MR180" s="1056"/>
      <c r="MS180" s="1056"/>
      <c r="MT180" s="1056"/>
      <c r="MU180" s="1056"/>
      <c r="MV180" s="1056"/>
      <c r="MW180" s="1056"/>
      <c r="MX180" s="1056"/>
      <c r="MY180" s="1056"/>
      <c r="MZ180" s="1056"/>
      <c r="NA180" s="1056"/>
      <c r="NB180" s="1056"/>
      <c r="NC180" s="1056"/>
      <c r="ND180" s="1056"/>
      <c r="NE180" s="1056"/>
      <c r="NF180" s="1056"/>
      <c r="NG180" s="1056"/>
      <c r="NH180" s="1056"/>
      <c r="NI180" s="1056"/>
      <c r="NJ180" s="1056"/>
      <c r="NK180" s="1056"/>
      <c r="NL180" s="1056"/>
      <c r="NM180" s="1056"/>
      <c r="NN180" s="1056"/>
      <c r="NO180" s="1056"/>
      <c r="NP180" s="1056"/>
      <c r="NQ180" s="1056"/>
      <c r="NR180" s="1056"/>
      <c r="NS180" s="1056"/>
      <c r="NT180" s="1056"/>
      <c r="NU180" s="1056"/>
      <c r="NV180" s="1056"/>
      <c r="NW180" s="1056"/>
      <c r="NX180" s="1056"/>
      <c r="NY180" s="1056"/>
      <c r="NZ180" s="1056"/>
      <c r="OA180" s="1056"/>
      <c r="OB180" s="1056"/>
      <c r="OC180" s="1056"/>
      <c r="OD180" s="1056"/>
      <c r="OE180" s="1056"/>
      <c r="OF180" s="1056"/>
      <c r="OG180" s="1056"/>
      <c r="OH180" s="1056"/>
      <c r="OI180" s="1056"/>
      <c r="OJ180" s="1056"/>
      <c r="OK180" s="1056"/>
      <c r="OL180" s="1056"/>
      <c r="OM180" s="1056"/>
      <c r="ON180" s="1056"/>
      <c r="OO180" s="1056"/>
      <c r="OP180" s="1056"/>
      <c r="OQ180" s="1056"/>
      <c r="OR180" s="1056"/>
      <c r="OS180" s="1056"/>
      <c r="OT180" s="1056"/>
      <c r="OU180" s="1056"/>
      <c r="OV180" s="1056"/>
      <c r="OW180" s="1056"/>
      <c r="OX180" s="1056"/>
      <c r="OY180" s="1056"/>
      <c r="OZ180" s="1056"/>
      <c r="PA180" s="1056"/>
      <c r="PB180" s="1056"/>
      <c r="PC180" s="1056"/>
      <c r="PD180" s="1056"/>
      <c r="PE180" s="1056"/>
      <c r="PF180" s="1056"/>
      <c r="PG180" s="1056"/>
      <c r="PH180" s="1056"/>
      <c r="PI180" s="1056"/>
      <c r="PJ180" s="1056"/>
      <c r="PK180" s="1056"/>
      <c r="PL180" s="1056"/>
      <c r="PM180" s="1056"/>
      <c r="PN180" s="1056"/>
      <c r="PO180" s="1056"/>
      <c r="PP180" s="1056"/>
      <c r="PQ180" s="1056"/>
      <c r="PR180" s="1056"/>
      <c r="PS180" s="1056"/>
      <c r="PT180" s="1056"/>
      <c r="PU180" s="1056"/>
      <c r="PV180" s="1056"/>
      <c r="PW180" s="1056"/>
      <c r="PX180" s="1056"/>
      <c r="PY180" s="1056"/>
      <c r="PZ180" s="1056"/>
      <c r="QA180" s="1056"/>
      <c r="QB180" s="1056"/>
      <c r="QC180" s="1056"/>
      <c r="QD180" s="1056"/>
      <c r="QE180" s="1056"/>
      <c r="QF180" s="1056"/>
      <c r="QG180" s="1056"/>
      <c r="QH180" s="1056"/>
      <c r="QI180" s="1056"/>
      <c r="QJ180" s="1056"/>
      <c r="QK180" s="1056"/>
      <c r="QL180" s="1056"/>
      <c r="QM180" s="1056"/>
      <c r="QN180" s="1056"/>
      <c r="QO180" s="1056"/>
      <c r="QP180" s="1056"/>
      <c r="QQ180" s="1056"/>
      <c r="QR180" s="1056"/>
      <c r="QS180" s="1056"/>
      <c r="QT180" s="1056"/>
      <c r="QU180" s="1056"/>
      <c r="QV180" s="1056"/>
      <c r="QW180" s="1056"/>
      <c r="QX180" s="1056"/>
      <c r="QY180" s="1056"/>
      <c r="QZ180" s="1056"/>
      <c r="RA180" s="1056"/>
      <c r="RB180" s="1056"/>
      <c r="RC180" s="1056"/>
      <c r="RD180" s="1056"/>
      <c r="RE180" s="1056"/>
      <c r="RF180" s="1056"/>
      <c r="RG180" s="1056"/>
      <c r="RH180" s="1056"/>
      <c r="RI180" s="1056"/>
      <c r="RJ180" s="1056"/>
      <c r="RK180" s="1056"/>
      <c r="RL180" s="1056"/>
      <c r="RM180" s="1056"/>
      <c r="RN180" s="1056"/>
      <c r="RO180" s="1056"/>
      <c r="RP180" s="1056"/>
      <c r="RQ180" s="1056"/>
      <c r="RR180" s="1056"/>
      <c r="RS180" s="1056"/>
      <c r="RT180" s="1056"/>
      <c r="RU180" s="1056"/>
      <c r="RV180" s="1056"/>
      <c r="RW180" s="1056"/>
      <c r="RX180" s="1056"/>
      <c r="RY180" s="1056"/>
      <c r="RZ180" s="1056"/>
      <c r="SA180" s="1056"/>
      <c r="SB180" s="1056"/>
      <c r="SC180" s="1056"/>
      <c r="SD180" s="1056"/>
      <c r="SE180" s="1056"/>
      <c r="SF180" s="1056"/>
      <c r="SG180" s="1056"/>
      <c r="SH180" s="1056"/>
      <c r="SI180" s="1056"/>
      <c r="SJ180" s="1056"/>
      <c r="SK180" s="1056"/>
      <c r="SL180" s="1056"/>
      <c r="SM180" s="1056"/>
      <c r="SN180" s="1056"/>
      <c r="SO180" s="1056"/>
      <c r="SP180" s="1056"/>
      <c r="SQ180" s="1056"/>
      <c r="SR180" s="1056"/>
      <c r="SS180" s="1056"/>
      <c r="ST180" s="1056"/>
      <c r="SU180" s="1056"/>
      <c r="SV180" s="1056"/>
      <c r="SW180" s="1056"/>
      <c r="SX180" s="1056"/>
      <c r="SY180" s="1056"/>
      <c r="SZ180" s="1056"/>
      <c r="TA180" s="1056"/>
      <c r="TB180" s="1056"/>
      <c r="TC180" s="1056"/>
      <c r="TD180" s="1056"/>
      <c r="TE180" s="1056"/>
      <c r="TF180" s="1056"/>
      <c r="TG180" s="1056"/>
      <c r="TH180" s="1056"/>
      <c r="TI180" s="1056"/>
      <c r="TJ180" s="1056"/>
      <c r="TK180" s="1056"/>
      <c r="TL180" s="1056"/>
      <c r="TM180" s="1056"/>
      <c r="TN180" s="1056"/>
      <c r="TO180" s="1056"/>
      <c r="TP180" s="1056"/>
      <c r="TQ180" s="1056"/>
      <c r="TR180" s="1056"/>
      <c r="TS180" s="1056"/>
      <c r="TT180" s="1056"/>
      <c r="TU180" s="1056"/>
      <c r="TV180" s="1056"/>
      <c r="TW180" s="1056"/>
      <c r="TX180" s="1056"/>
      <c r="TY180" s="1056"/>
      <c r="TZ180" s="1056"/>
      <c r="UA180" s="1056"/>
      <c r="UB180" s="1056"/>
      <c r="UC180" s="1056"/>
      <c r="UD180" s="1056"/>
      <c r="UE180" s="1056"/>
      <c r="UF180" s="1056"/>
      <c r="UG180" s="1056"/>
      <c r="UH180" s="1056"/>
      <c r="UI180" s="1056"/>
      <c r="UJ180" s="1056"/>
      <c r="UK180" s="1056"/>
      <c r="UL180" s="1056"/>
      <c r="UM180" s="1056"/>
      <c r="UN180" s="1056"/>
      <c r="UO180" s="1056"/>
      <c r="UP180" s="1056"/>
      <c r="UQ180" s="1056"/>
      <c r="UR180" s="1056"/>
      <c r="US180" s="1056"/>
      <c r="UT180" s="1056"/>
      <c r="UU180" s="1056"/>
      <c r="UV180" s="1056"/>
      <c r="UW180" s="1056"/>
      <c r="UX180" s="1056"/>
      <c r="UY180" s="1056"/>
      <c r="UZ180" s="1056"/>
      <c r="VA180" s="1056"/>
      <c r="VB180" s="1056"/>
      <c r="VC180" s="1056"/>
      <c r="VD180" s="1056"/>
      <c r="VE180" s="1056"/>
      <c r="VF180" s="1056"/>
      <c r="VG180" s="1056"/>
      <c r="VH180" s="1056"/>
      <c r="VI180" s="1056"/>
      <c r="VJ180" s="1056"/>
      <c r="VK180" s="1056"/>
      <c r="VL180" s="1056"/>
      <c r="VM180" s="1056"/>
      <c r="VN180" s="1056"/>
      <c r="VO180" s="1056"/>
      <c r="VP180" s="1056"/>
      <c r="VQ180" s="1056"/>
      <c r="VR180" s="1056"/>
      <c r="VS180" s="1056"/>
      <c r="VT180" s="1056"/>
      <c r="VU180" s="1056"/>
      <c r="VV180" s="1056"/>
      <c r="VW180" s="1056"/>
      <c r="VX180" s="1056"/>
      <c r="VY180" s="1056"/>
      <c r="VZ180" s="1056"/>
      <c r="WA180" s="1056"/>
      <c r="WB180" s="1056"/>
      <c r="WC180" s="1056"/>
      <c r="WD180" s="1056"/>
      <c r="WE180" s="1056"/>
      <c r="WF180" s="1056"/>
      <c r="WG180" s="1056"/>
      <c r="WH180" s="1056"/>
      <c r="WI180" s="1056"/>
      <c r="WJ180" s="1056"/>
      <c r="WK180" s="1056"/>
      <c r="WL180" s="1056"/>
      <c r="WM180" s="1056"/>
      <c r="WN180" s="1056"/>
      <c r="WO180" s="1056"/>
      <c r="WP180" s="1056"/>
      <c r="WQ180" s="1056"/>
      <c r="WR180" s="1056"/>
      <c r="WS180" s="1056"/>
      <c r="WT180" s="1056"/>
      <c r="WU180" s="1056"/>
      <c r="WV180" s="1056"/>
      <c r="WW180" s="1056"/>
      <c r="WX180" s="1056"/>
      <c r="WY180" s="1056"/>
      <c r="WZ180" s="1056"/>
      <c r="XA180" s="1056"/>
      <c r="XB180" s="1056"/>
      <c r="XC180" s="1056"/>
      <c r="XD180" s="1056"/>
      <c r="XE180" s="1056"/>
      <c r="XF180" s="1056"/>
      <c r="XG180" s="1056"/>
      <c r="XH180" s="1056"/>
      <c r="XI180" s="1056"/>
      <c r="XJ180" s="1056"/>
      <c r="XK180" s="1056"/>
      <c r="XL180" s="1056"/>
      <c r="XM180" s="1056"/>
      <c r="XN180" s="1056"/>
      <c r="XO180" s="1056"/>
      <c r="XP180" s="1056"/>
      <c r="XQ180" s="1056"/>
      <c r="XR180" s="1056"/>
      <c r="XS180" s="1056"/>
      <c r="XT180" s="1056"/>
      <c r="XU180" s="1056"/>
      <c r="XV180" s="1056"/>
      <c r="XW180" s="1056"/>
      <c r="XX180" s="1056"/>
      <c r="XY180" s="1056"/>
      <c r="XZ180" s="1056"/>
      <c r="YA180" s="1056"/>
      <c r="YB180" s="1056"/>
      <c r="YC180" s="1056"/>
      <c r="YD180" s="1056"/>
      <c r="YE180" s="1056"/>
      <c r="YF180" s="1056"/>
      <c r="YG180" s="1056"/>
      <c r="YH180" s="1056"/>
      <c r="YI180" s="1056"/>
      <c r="YJ180" s="1056"/>
      <c r="YK180" s="1056"/>
      <c r="YL180" s="1056"/>
      <c r="YM180" s="1056"/>
      <c r="YN180" s="1056"/>
      <c r="YO180" s="1056"/>
      <c r="YP180" s="1056"/>
      <c r="YQ180" s="1056"/>
      <c r="YR180" s="1056"/>
      <c r="YS180" s="1056"/>
      <c r="YT180" s="1056"/>
      <c r="YU180" s="1056"/>
      <c r="YV180" s="1056"/>
      <c r="YW180" s="1056"/>
      <c r="YX180" s="1056"/>
      <c r="YY180" s="1056"/>
      <c r="YZ180" s="1056"/>
      <c r="ZA180" s="1056"/>
      <c r="ZB180" s="1056"/>
      <c r="ZC180" s="1056"/>
      <c r="ZD180" s="1056"/>
      <c r="ZE180" s="1056"/>
      <c r="ZF180" s="1056"/>
      <c r="ZG180" s="1056"/>
      <c r="ZH180" s="1056"/>
      <c r="ZI180" s="1056"/>
      <c r="ZJ180" s="1056"/>
      <c r="ZK180" s="1056"/>
      <c r="ZL180" s="1056"/>
      <c r="ZM180" s="1056"/>
      <c r="ZN180" s="1056"/>
      <c r="ZO180" s="1056"/>
      <c r="ZP180" s="1056"/>
      <c r="ZQ180" s="1056"/>
      <c r="ZR180" s="1056"/>
      <c r="ZS180" s="1056"/>
      <c r="ZT180" s="1056"/>
      <c r="ZU180" s="1056"/>
      <c r="ZV180" s="1056"/>
      <c r="ZW180" s="1056"/>
      <c r="ZX180" s="1056"/>
      <c r="ZY180" s="1056"/>
      <c r="ZZ180" s="1056"/>
      <c r="AAA180" s="1056"/>
      <c r="AAB180" s="1056"/>
      <c r="AAC180" s="1056"/>
      <c r="AAD180" s="1056"/>
      <c r="AAE180" s="1056"/>
      <c r="AAF180" s="1056"/>
      <c r="AAG180" s="1056"/>
      <c r="AAH180" s="1056"/>
      <c r="AAI180" s="1056"/>
      <c r="AAJ180" s="1056"/>
      <c r="AAK180" s="1056"/>
      <c r="AAL180" s="1056"/>
      <c r="AAM180" s="1056"/>
      <c r="AAN180" s="1056"/>
      <c r="AAO180" s="1056"/>
      <c r="AAP180" s="1056"/>
      <c r="AAQ180" s="1056"/>
      <c r="AAR180" s="1056"/>
      <c r="AAS180" s="1056"/>
      <c r="AAT180" s="1056"/>
      <c r="AAU180" s="1056"/>
      <c r="AAV180" s="1056"/>
      <c r="AAW180" s="1056"/>
      <c r="AAX180" s="1056"/>
      <c r="AAY180" s="1056"/>
      <c r="AAZ180" s="1056"/>
      <c r="ABA180" s="1056"/>
      <c r="ABB180" s="1056"/>
      <c r="ABC180" s="1056"/>
      <c r="ABD180" s="1056"/>
      <c r="ABE180" s="1056"/>
      <c r="ABF180" s="1056"/>
      <c r="ABG180" s="1056"/>
      <c r="ABH180" s="1056"/>
      <c r="ABI180" s="1056"/>
      <c r="ABJ180" s="1056"/>
      <c r="ABK180" s="1056"/>
      <c r="ABL180" s="1056"/>
      <c r="ABM180" s="1056"/>
      <c r="ABN180" s="1056"/>
      <c r="ABO180" s="1056"/>
      <c r="ABP180" s="1056"/>
      <c r="ABQ180" s="1056"/>
      <c r="ABR180" s="1056"/>
      <c r="ABS180" s="1056"/>
      <c r="ABT180" s="1056"/>
      <c r="ABU180" s="1056"/>
      <c r="ABV180" s="1056"/>
      <c r="ABW180" s="1056"/>
      <c r="ABX180" s="1056"/>
      <c r="ABY180" s="1056"/>
      <c r="ABZ180" s="1056"/>
      <c r="ACA180" s="1056"/>
      <c r="ACB180" s="1056"/>
      <c r="ACC180" s="1056"/>
      <c r="ACD180" s="1056"/>
      <c r="ACE180" s="1056"/>
      <c r="ACF180" s="1056"/>
      <c r="ACG180" s="1056"/>
      <c r="ACH180" s="1056"/>
      <c r="ACI180" s="1056"/>
      <c r="ACJ180" s="1056"/>
      <c r="ACK180" s="1056"/>
      <c r="ACL180" s="1056"/>
      <c r="ACM180" s="1056"/>
      <c r="ACN180" s="1056"/>
      <c r="ACO180" s="1056"/>
      <c r="ACP180" s="1056"/>
      <c r="ACQ180" s="1056"/>
      <c r="ACR180" s="1056"/>
      <c r="ACS180" s="1056"/>
      <c r="ACT180" s="1056"/>
      <c r="ACU180" s="1056"/>
      <c r="ACV180" s="1056"/>
      <c r="ACW180" s="1056"/>
      <c r="ACX180" s="1056"/>
      <c r="ACY180" s="1056"/>
      <c r="ACZ180" s="1056"/>
      <c r="ADA180" s="1056"/>
      <c r="ADB180" s="1056"/>
      <c r="ADC180" s="1056"/>
      <c r="ADD180" s="1056"/>
      <c r="ADE180" s="1056"/>
      <c r="ADF180" s="1056"/>
      <c r="ADG180" s="1056"/>
      <c r="ADH180" s="1056"/>
      <c r="ADI180" s="1056"/>
      <c r="ADJ180" s="1056"/>
      <c r="ADK180" s="1056"/>
      <c r="ADL180" s="1056"/>
      <c r="ADM180" s="1056"/>
      <c r="ADN180" s="1056"/>
      <c r="ADO180" s="1056"/>
      <c r="ADP180" s="1056"/>
      <c r="ADQ180" s="1056"/>
      <c r="ADR180" s="1056"/>
      <c r="ADS180" s="1056"/>
      <c r="ADT180" s="1056"/>
      <c r="ADU180" s="1056"/>
      <c r="ADV180" s="1056"/>
      <c r="ADW180" s="1056"/>
      <c r="ADX180" s="1056"/>
      <c r="ADY180" s="1056"/>
      <c r="ADZ180" s="1056"/>
      <c r="AEA180" s="1056"/>
      <c r="AEB180" s="1056"/>
      <c r="AEC180" s="1056"/>
      <c r="AED180" s="1056"/>
      <c r="AEE180" s="1056"/>
      <c r="AEF180" s="1056"/>
      <c r="AEG180" s="1056"/>
      <c r="AEH180" s="1056"/>
      <c r="AEI180" s="1056"/>
      <c r="AEJ180" s="1056"/>
      <c r="AEK180" s="1056"/>
      <c r="AEL180" s="1056"/>
      <c r="AEM180" s="1056"/>
      <c r="AEN180" s="1056"/>
      <c r="AEO180" s="1056"/>
      <c r="AEP180" s="1056"/>
      <c r="AEQ180" s="1056"/>
      <c r="AER180" s="1056"/>
      <c r="AES180" s="1056"/>
      <c r="AET180" s="1056"/>
      <c r="AEU180" s="1056"/>
      <c r="AEV180" s="1056"/>
      <c r="AEW180" s="1056"/>
      <c r="AEX180" s="1056"/>
      <c r="AEY180" s="1056"/>
      <c r="AEZ180" s="1056"/>
      <c r="AFA180" s="1056"/>
      <c r="AFB180" s="1056"/>
      <c r="AFC180" s="1056"/>
      <c r="AFD180" s="1056"/>
      <c r="AFE180" s="1056"/>
      <c r="AFF180" s="1056"/>
      <c r="AFG180" s="1056"/>
      <c r="AFH180" s="1056"/>
      <c r="AFI180" s="1056"/>
      <c r="AFJ180" s="1056"/>
      <c r="AFK180" s="1056"/>
      <c r="AFL180" s="1056"/>
      <c r="AFM180" s="1056"/>
      <c r="AFN180" s="1056"/>
      <c r="AFO180" s="1056"/>
      <c r="AFP180" s="1056"/>
      <c r="AFQ180" s="1056"/>
      <c r="AFR180" s="1056"/>
      <c r="AFS180" s="1056"/>
      <c r="AFT180" s="1056"/>
      <c r="AFU180" s="1056"/>
      <c r="AFV180" s="1056"/>
      <c r="AFW180" s="1056"/>
      <c r="AFX180" s="1056"/>
      <c r="AFY180" s="1056"/>
      <c r="AFZ180" s="1056"/>
      <c r="AGA180" s="1056"/>
      <c r="AGB180" s="1056"/>
      <c r="AGC180" s="1056"/>
      <c r="AGD180" s="1056"/>
      <c r="AGE180" s="1056"/>
      <c r="AGF180" s="1056"/>
      <c r="AGG180" s="1056"/>
      <c r="AGH180" s="1056"/>
      <c r="AGI180" s="1056"/>
      <c r="AGJ180" s="1056"/>
      <c r="AGK180" s="1056"/>
      <c r="AGL180" s="1056"/>
      <c r="AGM180" s="1056"/>
      <c r="AGN180" s="1056"/>
      <c r="AGO180" s="1056"/>
      <c r="AGP180" s="1056"/>
      <c r="AGQ180" s="1056"/>
      <c r="AGR180" s="1056"/>
      <c r="AGS180" s="1056"/>
      <c r="AGT180" s="1056"/>
      <c r="AGU180" s="1056"/>
      <c r="AGV180" s="1056"/>
      <c r="AGW180" s="1056"/>
      <c r="AGX180" s="1056"/>
      <c r="AGY180" s="1056"/>
      <c r="AGZ180" s="1056"/>
      <c r="AHA180" s="1056"/>
      <c r="AHB180" s="1056"/>
      <c r="AHC180" s="1056"/>
      <c r="AHD180" s="1056"/>
      <c r="AHE180" s="1056"/>
      <c r="AHF180" s="1056"/>
      <c r="AHG180" s="1056"/>
      <c r="AHH180" s="1056"/>
      <c r="AHI180" s="1056"/>
      <c r="AHJ180" s="1056"/>
      <c r="AHK180" s="1056"/>
      <c r="AHL180" s="1056"/>
      <c r="AHM180" s="1056"/>
      <c r="AHN180" s="1056"/>
      <c r="AHO180" s="1056"/>
      <c r="AHP180" s="1056"/>
      <c r="AHQ180" s="1056"/>
      <c r="AHR180" s="1056"/>
      <c r="AHS180" s="1056"/>
      <c r="AHT180" s="1056"/>
      <c r="AHU180" s="1056"/>
      <c r="AHV180" s="1056"/>
      <c r="AHW180" s="1056"/>
      <c r="AHX180" s="1056"/>
      <c r="AHY180" s="1056"/>
      <c r="AHZ180" s="1056"/>
      <c r="AIA180" s="1056"/>
      <c r="AIB180" s="1056"/>
      <c r="AIC180" s="1056"/>
      <c r="AID180" s="1056"/>
      <c r="AIE180" s="1056"/>
      <c r="AIF180" s="1056"/>
      <c r="AIG180" s="1056"/>
      <c r="AIH180" s="1056"/>
      <c r="AII180" s="1056"/>
      <c r="AIJ180" s="1056"/>
      <c r="AIK180" s="1056"/>
      <c r="AIL180" s="1056"/>
      <c r="AIM180" s="1056"/>
      <c r="AIN180" s="1056"/>
      <c r="AIO180" s="1056"/>
      <c r="AIP180" s="1056"/>
      <c r="AIQ180" s="1056"/>
      <c r="AIR180" s="1056"/>
      <c r="AIS180" s="1056"/>
      <c r="AIT180" s="1056"/>
      <c r="AIU180" s="1056"/>
      <c r="AIV180" s="1056"/>
      <c r="AIW180" s="1056"/>
      <c r="AIX180" s="1056"/>
      <c r="AIY180" s="1056"/>
      <c r="AIZ180" s="1056"/>
      <c r="AJA180" s="1056"/>
      <c r="AJB180" s="1056"/>
      <c r="AJC180" s="1056"/>
      <c r="AJD180" s="1056"/>
      <c r="AJE180" s="1056"/>
      <c r="AJF180" s="1056"/>
      <c r="AJG180" s="1056"/>
      <c r="AJH180" s="1056"/>
      <c r="AJI180" s="1056"/>
      <c r="AJJ180" s="1056"/>
      <c r="AJK180" s="1056"/>
      <c r="AJL180" s="1056"/>
      <c r="AJM180" s="1056"/>
      <c r="AJN180" s="1056"/>
      <c r="AJO180" s="1056"/>
      <c r="AJP180" s="1056"/>
      <c r="AJQ180" s="1056"/>
      <c r="AJR180" s="1056"/>
      <c r="AJS180" s="1056"/>
      <c r="AJT180" s="1056"/>
      <c r="AJU180" s="1056"/>
      <c r="AJV180" s="1056"/>
      <c r="AJW180" s="1056"/>
      <c r="AJX180" s="1056"/>
      <c r="AJY180" s="1056"/>
      <c r="AJZ180" s="1056"/>
      <c r="AKA180" s="1056"/>
      <c r="AKB180" s="1056"/>
      <c r="AKC180" s="1056"/>
      <c r="AKD180" s="1056"/>
      <c r="AKE180" s="1056"/>
      <c r="AKF180" s="1056"/>
      <c r="AKG180" s="1056"/>
      <c r="AKH180" s="1056"/>
      <c r="AKI180" s="1056"/>
      <c r="AKJ180" s="1056"/>
      <c r="AKK180" s="1056"/>
      <c r="AKL180" s="1056"/>
      <c r="AKM180" s="1056"/>
      <c r="AKN180" s="1056"/>
      <c r="AKO180" s="1056"/>
      <c r="AKP180" s="1056"/>
      <c r="AKQ180" s="1056"/>
      <c r="AKR180" s="1056"/>
      <c r="AKS180" s="1056"/>
      <c r="AKT180" s="1056"/>
      <c r="AKU180" s="1056"/>
      <c r="AKV180" s="1056"/>
      <c r="AKW180" s="1056"/>
      <c r="AKX180" s="1056"/>
      <c r="AKY180" s="1056"/>
      <c r="AKZ180" s="1056"/>
      <c r="ALA180" s="1056"/>
      <c r="ALB180" s="1056"/>
      <c r="ALC180" s="1056"/>
      <c r="ALD180" s="1056"/>
      <c r="ALE180" s="1056"/>
      <c r="ALF180" s="1056"/>
      <c r="ALG180" s="1056"/>
      <c r="ALH180" s="1056"/>
      <c r="ALI180" s="1056"/>
      <c r="ALJ180" s="1056"/>
      <c r="ALK180" s="1056"/>
      <c r="ALL180" s="1056"/>
      <c r="ALM180" s="1056"/>
      <c r="ALN180" s="1056"/>
      <c r="ALO180" s="1056"/>
      <c r="ALP180" s="1056"/>
      <c r="ALQ180" s="1056"/>
      <c r="ALR180" s="1056"/>
      <c r="ALS180" s="1056"/>
      <c r="ALT180" s="1056"/>
      <c r="ALU180" s="1056"/>
      <c r="ALV180" s="1056"/>
      <c r="ALW180" s="1056"/>
      <c r="ALX180" s="1056"/>
      <c r="ALY180" s="1056"/>
      <c r="ALZ180" s="1056"/>
      <c r="AMA180" s="1056"/>
      <c r="AMB180" s="1056"/>
      <c r="AMC180" s="1056"/>
      <c r="AMD180" s="1056"/>
      <c r="AME180" s="1056"/>
      <c r="AMF180" s="1056"/>
      <c r="AMG180" s="1056"/>
      <c r="AMH180" s="1056"/>
      <c r="AMI180" s="1056"/>
      <c r="AMJ180" s="1056"/>
      <c r="AMK180" s="1056"/>
      <c r="AML180" s="1056"/>
      <c r="AMM180" s="1056"/>
      <c r="AMN180" s="1056"/>
      <c r="AMO180" s="1056"/>
      <c r="AMP180" s="1056"/>
      <c r="AMQ180" s="1056"/>
      <c r="AMR180" s="1056"/>
      <c r="AMS180" s="1056"/>
      <c r="AMT180" s="1056"/>
      <c r="AMU180" s="1056"/>
      <c r="AMV180" s="1056"/>
      <c r="AMW180" s="1056"/>
      <c r="AMX180" s="1056"/>
      <c r="AMY180" s="1056"/>
      <c r="AMZ180" s="1056"/>
      <c r="ANA180" s="1056"/>
      <c r="ANB180" s="1056"/>
      <c r="ANC180" s="1056"/>
      <c r="AND180" s="1056"/>
      <c r="ANE180" s="1056"/>
      <c r="ANF180" s="1056"/>
      <c r="ANG180" s="1056"/>
      <c r="ANH180" s="1056"/>
      <c r="ANI180" s="1056"/>
      <c r="ANJ180" s="1056"/>
      <c r="ANK180" s="1056"/>
      <c r="ANL180" s="1056"/>
      <c r="ANM180" s="1056"/>
      <c r="ANN180" s="1056"/>
      <c r="ANO180" s="1056"/>
      <c r="ANP180" s="1056"/>
      <c r="ANQ180" s="1056"/>
      <c r="ANR180" s="1056"/>
      <c r="ANS180" s="1056"/>
      <c r="ANT180" s="1056"/>
      <c r="ANU180" s="1056"/>
      <c r="ANV180" s="1056"/>
      <c r="ANW180" s="1056"/>
      <c r="ANX180" s="1056"/>
      <c r="ANY180" s="1056"/>
      <c r="ANZ180" s="1056"/>
      <c r="AOA180" s="1056"/>
      <c r="AOB180" s="1056"/>
      <c r="AOC180" s="1056"/>
      <c r="AOD180" s="1056"/>
      <c r="AOE180" s="1056"/>
      <c r="AOF180" s="1056"/>
      <c r="AOG180" s="1056"/>
      <c r="AOH180" s="1056"/>
      <c r="AOI180" s="1056"/>
      <c r="AOJ180" s="1056"/>
      <c r="AOK180" s="1056"/>
      <c r="AOL180" s="1056"/>
      <c r="AOM180" s="1056"/>
      <c r="AON180" s="1056"/>
      <c r="AOO180" s="1056"/>
      <c r="AOP180" s="1056"/>
      <c r="AOQ180" s="1056"/>
      <c r="AOR180" s="1056"/>
      <c r="AOS180" s="1056"/>
      <c r="AOT180" s="1056"/>
      <c r="AOU180" s="1056"/>
      <c r="AOV180" s="1056"/>
      <c r="AOW180" s="1056"/>
      <c r="AOX180" s="1056"/>
      <c r="AOY180" s="1056"/>
      <c r="AOZ180" s="1056"/>
      <c r="APA180" s="1056"/>
      <c r="APB180" s="1056"/>
      <c r="APC180" s="1056"/>
      <c r="APD180" s="1056"/>
      <c r="APE180" s="1056"/>
      <c r="APF180" s="1056"/>
      <c r="APG180" s="1056"/>
      <c r="APH180" s="1056"/>
      <c r="API180" s="1056"/>
      <c r="APJ180" s="1056"/>
      <c r="APK180" s="1056"/>
      <c r="APL180" s="1056"/>
      <c r="APM180" s="1056"/>
      <c r="APN180" s="1056"/>
      <c r="APO180" s="1056"/>
      <c r="APP180" s="1056"/>
      <c r="APQ180" s="1056"/>
      <c r="APR180" s="1056"/>
      <c r="APS180" s="1056"/>
      <c r="APT180" s="1056"/>
      <c r="APU180" s="1056"/>
      <c r="APV180" s="1056"/>
      <c r="APW180" s="1056"/>
      <c r="APX180" s="1056"/>
      <c r="APY180" s="1056"/>
      <c r="APZ180" s="1056"/>
      <c r="AQA180" s="1056"/>
      <c r="AQB180" s="1056"/>
      <c r="AQC180" s="1056"/>
      <c r="AQD180" s="1056"/>
      <c r="AQE180" s="1056"/>
      <c r="AQF180" s="1056"/>
      <c r="AQG180" s="1056"/>
      <c r="AQH180" s="1056"/>
      <c r="AQI180" s="1056"/>
      <c r="AQJ180" s="1056"/>
      <c r="AQK180" s="1056"/>
      <c r="AQL180" s="1056"/>
      <c r="AQM180" s="1056"/>
      <c r="AQN180" s="1056"/>
      <c r="AQO180" s="1056"/>
      <c r="AQP180" s="1056"/>
      <c r="AQQ180" s="1056"/>
      <c r="AQR180" s="1056"/>
      <c r="AQS180" s="1056"/>
      <c r="AQT180" s="1056"/>
      <c r="AQU180" s="1056"/>
      <c r="AQV180" s="1056"/>
      <c r="AQW180" s="1056"/>
      <c r="AQX180" s="1056"/>
      <c r="AQY180" s="1056"/>
      <c r="AQZ180" s="1056"/>
      <c r="ARA180" s="1056"/>
      <c r="ARB180" s="1056"/>
      <c r="ARC180" s="1056"/>
      <c r="ARD180" s="1056"/>
      <c r="ARE180" s="1056"/>
      <c r="ARF180" s="1056"/>
      <c r="ARG180" s="1056"/>
      <c r="ARH180" s="1056"/>
      <c r="ARI180" s="1056"/>
      <c r="ARJ180" s="1056"/>
      <c r="ARK180" s="1056"/>
      <c r="ARL180" s="1056"/>
      <c r="ARM180" s="1056"/>
      <c r="ARN180" s="1056"/>
      <c r="ARO180" s="1056"/>
      <c r="ARP180" s="1056"/>
      <c r="ARQ180" s="1056"/>
      <c r="ARR180" s="1056"/>
      <c r="ARS180" s="1056"/>
      <c r="ART180" s="1056"/>
      <c r="ARU180" s="1056"/>
      <c r="ARV180" s="1056"/>
      <c r="ARW180" s="1056"/>
      <c r="ARX180" s="1056"/>
      <c r="ARY180" s="1056"/>
      <c r="ARZ180" s="1056"/>
      <c r="ASA180" s="1056"/>
      <c r="ASB180" s="1056"/>
      <c r="ASC180" s="1056"/>
      <c r="ASD180" s="1056"/>
      <c r="ASE180" s="1056"/>
      <c r="ASF180" s="1056"/>
      <c r="ASG180" s="1056"/>
      <c r="ASH180" s="1056"/>
      <c r="ASI180" s="1056"/>
      <c r="ASJ180" s="1056"/>
      <c r="ASK180" s="1056"/>
      <c r="ASL180" s="1056"/>
      <c r="ASM180" s="1056"/>
      <c r="ASN180" s="1056"/>
      <c r="ASO180" s="1056"/>
      <c r="ASP180" s="1056"/>
      <c r="ASQ180" s="1056"/>
      <c r="ASR180" s="1056"/>
      <c r="ASS180" s="1056"/>
      <c r="AST180" s="1056"/>
      <c r="ASU180" s="1056"/>
      <c r="ASV180" s="1056"/>
      <c r="ASW180" s="1056"/>
      <c r="ASX180" s="1056"/>
      <c r="ASY180" s="1056"/>
      <c r="ASZ180" s="1056"/>
      <c r="ATA180" s="1056"/>
      <c r="ATB180" s="1056"/>
      <c r="ATC180" s="1056"/>
      <c r="ATD180" s="1056"/>
      <c r="ATE180" s="1056"/>
      <c r="ATF180" s="1056"/>
      <c r="ATG180" s="1056"/>
      <c r="ATH180" s="1056"/>
      <c r="ATI180" s="1056"/>
      <c r="ATJ180" s="1056"/>
      <c r="ATK180" s="1056"/>
      <c r="ATL180" s="1056"/>
      <c r="ATM180" s="1056"/>
      <c r="ATN180" s="1056"/>
      <c r="ATO180" s="1056"/>
      <c r="ATP180" s="1056"/>
      <c r="ATQ180" s="1056"/>
      <c r="ATR180" s="1056"/>
      <c r="ATS180" s="1056"/>
      <c r="ATT180" s="1056"/>
      <c r="ATU180" s="1056"/>
      <c r="ATV180" s="1056"/>
      <c r="ATW180" s="1056"/>
      <c r="ATX180" s="1056"/>
      <c r="ATY180" s="1056"/>
      <c r="ATZ180" s="1056"/>
      <c r="AUA180" s="1056"/>
      <c r="AUB180" s="1056"/>
      <c r="AUC180" s="1056"/>
      <c r="AUD180" s="1056"/>
      <c r="AUE180" s="1056"/>
      <c r="AUF180" s="1056"/>
      <c r="AUG180" s="1056"/>
      <c r="AUH180" s="1056"/>
      <c r="AUI180" s="1056"/>
      <c r="AUJ180" s="1056"/>
      <c r="AUK180" s="1056"/>
      <c r="AUL180" s="1056"/>
      <c r="AUM180" s="1056"/>
      <c r="AUN180" s="1056"/>
      <c r="AUO180" s="1056"/>
      <c r="AUP180" s="1056"/>
      <c r="AUQ180" s="1056"/>
      <c r="AUR180" s="1056"/>
      <c r="AUS180" s="1056"/>
      <c r="AUT180" s="1056"/>
      <c r="AUU180" s="1056"/>
      <c r="AUV180" s="1056"/>
      <c r="AUW180" s="1056"/>
      <c r="AUX180" s="1056"/>
      <c r="AUY180" s="1056"/>
      <c r="AUZ180" s="1056"/>
      <c r="AVA180" s="1056"/>
      <c r="AVB180" s="1056"/>
      <c r="AVC180" s="1056"/>
      <c r="AVD180" s="1056"/>
      <c r="AVE180" s="1056"/>
      <c r="AVF180" s="1056"/>
      <c r="AVG180" s="1056"/>
      <c r="AVH180" s="1056"/>
      <c r="AVI180" s="1056"/>
      <c r="AVJ180" s="1056"/>
      <c r="AVK180" s="1056"/>
      <c r="AVL180" s="1056"/>
      <c r="AVM180" s="1056"/>
      <c r="AVN180" s="1056"/>
      <c r="AVO180" s="1056"/>
      <c r="AVP180" s="1056"/>
      <c r="AVQ180" s="1056"/>
      <c r="AVR180" s="1056"/>
      <c r="AVS180" s="1056"/>
      <c r="AVT180" s="1056"/>
      <c r="AVU180" s="1056"/>
      <c r="AVV180" s="1056"/>
      <c r="AVW180" s="1056"/>
      <c r="AVX180" s="1056"/>
      <c r="AVY180" s="1056"/>
      <c r="AVZ180" s="1056"/>
      <c r="AWA180" s="1056"/>
      <c r="AWB180" s="1056"/>
      <c r="AWC180" s="1056"/>
      <c r="AWD180" s="1056"/>
      <c r="AWE180" s="1056"/>
      <c r="AWF180" s="1056"/>
      <c r="AWG180" s="1056"/>
      <c r="AWH180" s="1056"/>
      <c r="AWI180" s="1056"/>
      <c r="AWJ180" s="1056"/>
      <c r="AWK180" s="1056"/>
      <c r="AWL180" s="1056"/>
      <c r="AWM180" s="1056"/>
      <c r="AWN180" s="1056"/>
      <c r="AWO180" s="1056"/>
      <c r="AWP180" s="1056"/>
      <c r="AWQ180" s="1056"/>
      <c r="AWR180" s="1056"/>
      <c r="AWS180" s="1056"/>
      <c r="AWT180" s="1056"/>
      <c r="AWU180" s="1056"/>
      <c r="AWV180" s="1056"/>
      <c r="AWW180" s="1056"/>
      <c r="AWX180" s="1056"/>
      <c r="AWY180" s="1056"/>
      <c r="AWZ180" s="1056"/>
      <c r="AXA180" s="1056"/>
      <c r="AXB180" s="1056"/>
      <c r="AXC180" s="1056"/>
      <c r="AXD180" s="1056"/>
      <c r="AXE180" s="1056"/>
      <c r="AXF180" s="1056"/>
      <c r="AXG180" s="1056"/>
      <c r="AXH180" s="1056"/>
      <c r="AXI180" s="1056"/>
      <c r="AXJ180" s="1056"/>
      <c r="AXK180" s="1056"/>
      <c r="AXL180" s="1056"/>
      <c r="AXM180" s="1056"/>
      <c r="AXN180" s="1056"/>
      <c r="AXO180" s="1056"/>
      <c r="AXP180" s="1056"/>
      <c r="AXQ180" s="1056"/>
      <c r="AXR180" s="1056"/>
      <c r="AXS180" s="1056"/>
      <c r="AXT180" s="1056"/>
      <c r="AXU180" s="1056"/>
      <c r="AXV180" s="1056"/>
      <c r="AXW180" s="1056"/>
      <c r="AXX180" s="1056"/>
      <c r="AXY180" s="1056"/>
      <c r="AXZ180" s="1056"/>
      <c r="AYA180" s="1056"/>
      <c r="AYB180" s="1056"/>
      <c r="AYC180" s="1056"/>
      <c r="AYD180" s="1056"/>
      <c r="AYE180" s="1056"/>
      <c r="AYF180" s="1056"/>
      <c r="AYG180" s="1056"/>
      <c r="AYH180" s="1056"/>
      <c r="AYI180" s="1056"/>
      <c r="AYJ180" s="1056"/>
      <c r="AYK180" s="1056"/>
      <c r="AYL180" s="1056"/>
      <c r="AYM180" s="1056"/>
      <c r="AYN180" s="1056"/>
      <c r="AYO180" s="1056"/>
      <c r="AYP180" s="1056"/>
      <c r="AYQ180" s="1056"/>
      <c r="AYR180" s="1056"/>
      <c r="AYS180" s="1056"/>
      <c r="AYT180" s="1056"/>
      <c r="AYU180" s="1056"/>
      <c r="AYV180" s="1056"/>
      <c r="AYW180" s="1056"/>
      <c r="AYX180" s="1056"/>
      <c r="AYY180" s="1056"/>
      <c r="AYZ180" s="1056"/>
      <c r="AZA180" s="1056"/>
      <c r="AZB180" s="1056"/>
      <c r="AZC180" s="1056"/>
      <c r="AZD180" s="1056"/>
      <c r="AZE180" s="1056"/>
      <c r="AZF180" s="1056"/>
      <c r="AZG180" s="1056"/>
      <c r="AZH180" s="1056"/>
      <c r="AZI180" s="1056"/>
      <c r="AZJ180" s="1056"/>
      <c r="AZK180" s="1056"/>
      <c r="AZL180" s="1056"/>
      <c r="AZM180" s="1056"/>
      <c r="AZN180" s="1056"/>
      <c r="AZO180" s="1056"/>
      <c r="AZP180" s="1056"/>
      <c r="AZQ180" s="1056"/>
      <c r="AZR180" s="1056"/>
      <c r="AZS180" s="1056"/>
      <c r="AZT180" s="1056"/>
      <c r="AZU180" s="1056"/>
      <c r="AZV180" s="1056"/>
      <c r="AZW180" s="1056"/>
      <c r="AZX180" s="1056"/>
      <c r="AZY180" s="1056"/>
      <c r="AZZ180" s="1056"/>
      <c r="BAA180" s="1056"/>
      <c r="BAB180" s="1056"/>
      <c r="BAC180" s="1056"/>
      <c r="BAD180" s="1056"/>
      <c r="BAE180" s="1056"/>
      <c r="BAF180" s="1056"/>
      <c r="BAG180" s="1056"/>
      <c r="BAH180" s="1056"/>
      <c r="BAI180" s="1056"/>
      <c r="BAJ180" s="1056"/>
      <c r="BAK180" s="1056"/>
      <c r="BAL180" s="1056"/>
      <c r="BAM180" s="1056"/>
      <c r="BAN180" s="1056"/>
      <c r="BAO180" s="1056"/>
      <c r="BAP180" s="1056"/>
      <c r="BAQ180" s="1056"/>
      <c r="BAR180" s="1056"/>
      <c r="BAS180" s="1056"/>
      <c r="BAT180" s="1056"/>
      <c r="BAU180" s="1056"/>
      <c r="BAV180" s="1056"/>
      <c r="BAW180" s="1056"/>
      <c r="BAX180" s="1056"/>
      <c r="BAY180" s="1056"/>
      <c r="BAZ180" s="1056"/>
      <c r="BBA180" s="1056"/>
      <c r="BBB180" s="1056"/>
      <c r="BBC180" s="1056"/>
      <c r="BBD180" s="1056"/>
      <c r="BBE180" s="1056"/>
      <c r="BBF180" s="1056"/>
      <c r="BBG180" s="1056"/>
      <c r="BBH180" s="1056"/>
      <c r="BBI180" s="1056"/>
      <c r="BBJ180" s="1056"/>
      <c r="BBK180" s="1056"/>
      <c r="BBL180" s="1056"/>
      <c r="BBM180" s="1056"/>
      <c r="BBN180" s="1056"/>
      <c r="BBO180" s="1056"/>
      <c r="BBP180" s="1056"/>
      <c r="BBQ180" s="1056"/>
      <c r="BBR180" s="1056"/>
      <c r="BBS180" s="1056"/>
      <c r="BBT180" s="1056"/>
      <c r="BBU180" s="1056"/>
      <c r="BBV180" s="1056"/>
      <c r="BBW180" s="1056"/>
      <c r="BBX180" s="1056"/>
      <c r="BBY180" s="1056"/>
      <c r="BBZ180" s="1056"/>
      <c r="BCA180" s="1056"/>
      <c r="BCB180" s="1056"/>
      <c r="BCC180" s="1056"/>
      <c r="BCD180" s="1056"/>
      <c r="BCE180" s="1056"/>
      <c r="BCF180" s="1056"/>
      <c r="BCG180" s="1056"/>
      <c r="BCH180" s="1056"/>
      <c r="BCI180" s="1056"/>
      <c r="BCJ180" s="1056"/>
      <c r="BCK180" s="1056"/>
      <c r="BCL180" s="1056"/>
      <c r="BCM180" s="1056"/>
      <c r="BCN180" s="1056"/>
      <c r="BCO180" s="1056"/>
      <c r="BCP180" s="1056"/>
      <c r="BCQ180" s="1056"/>
      <c r="BCR180" s="1056"/>
      <c r="BCS180" s="1056"/>
      <c r="BCT180" s="1056"/>
      <c r="BCU180" s="1056"/>
      <c r="BCV180" s="1056"/>
      <c r="BCW180" s="1056"/>
      <c r="BCX180" s="1056"/>
      <c r="BCY180" s="1056"/>
      <c r="BCZ180" s="1056"/>
      <c r="BDA180" s="1056"/>
      <c r="BDB180" s="1056"/>
      <c r="BDC180" s="1056"/>
      <c r="BDD180" s="1056"/>
      <c r="BDE180" s="1056"/>
      <c r="BDF180" s="1056"/>
      <c r="BDG180" s="1056"/>
      <c r="BDH180" s="1056"/>
      <c r="BDI180" s="1056"/>
      <c r="BDJ180" s="1056"/>
      <c r="BDK180" s="1056"/>
      <c r="BDL180" s="1056"/>
      <c r="BDM180" s="1056"/>
      <c r="BDN180" s="1056"/>
      <c r="BDO180" s="1056"/>
      <c r="BDP180" s="1056"/>
      <c r="BDQ180" s="1056"/>
      <c r="BDR180" s="1056"/>
      <c r="BDS180" s="1056"/>
      <c r="BDT180" s="1056"/>
      <c r="BDU180" s="1056"/>
      <c r="BDV180" s="1056"/>
      <c r="BDW180" s="1056"/>
      <c r="BDX180" s="1056"/>
      <c r="BDY180" s="1056"/>
      <c r="BDZ180" s="1056"/>
      <c r="BEA180" s="1056"/>
      <c r="BEB180" s="1056"/>
      <c r="BEC180" s="1056"/>
      <c r="BED180" s="1056"/>
      <c r="BEE180" s="1056"/>
      <c r="BEF180" s="1056"/>
      <c r="BEG180" s="1056"/>
      <c r="BEH180" s="1056"/>
      <c r="BEI180" s="1056"/>
      <c r="BEJ180" s="1056"/>
      <c r="BEK180" s="1056"/>
      <c r="BEL180" s="1056"/>
      <c r="BEM180" s="1056"/>
      <c r="BEN180" s="1056"/>
      <c r="BEO180" s="1056"/>
      <c r="BEP180" s="1056"/>
      <c r="BEQ180" s="1056"/>
      <c r="BER180" s="1056"/>
      <c r="BES180" s="1056"/>
      <c r="BET180" s="1056"/>
      <c r="BEU180" s="1056"/>
      <c r="BEV180" s="1056"/>
      <c r="BEW180" s="1056"/>
      <c r="BEX180" s="1056"/>
      <c r="BEY180" s="1056"/>
      <c r="BEZ180" s="1056"/>
      <c r="BFA180" s="1056"/>
      <c r="BFB180" s="1056"/>
      <c r="BFC180" s="1056"/>
      <c r="BFD180" s="1056"/>
      <c r="BFE180" s="1056"/>
      <c r="BFF180" s="1056"/>
      <c r="BFG180" s="1056"/>
      <c r="BFH180" s="1056"/>
      <c r="BFI180" s="1056"/>
      <c r="BFJ180" s="1056"/>
      <c r="BFK180" s="1056"/>
      <c r="BFL180" s="1056"/>
      <c r="BFM180" s="1056"/>
      <c r="BFN180" s="1056"/>
      <c r="BFO180" s="1056"/>
      <c r="BFP180" s="1056"/>
      <c r="BFQ180" s="1056"/>
      <c r="BFR180" s="1056"/>
      <c r="BFS180" s="1056"/>
      <c r="BFT180" s="1056"/>
      <c r="BFU180" s="1056"/>
      <c r="BFV180" s="1056"/>
      <c r="BFW180" s="1056"/>
      <c r="BFX180" s="1056"/>
      <c r="BFY180" s="1056"/>
      <c r="BFZ180" s="1056"/>
      <c r="BGA180" s="1056"/>
      <c r="BGB180" s="1056"/>
      <c r="BGC180" s="1056"/>
      <c r="BGD180" s="1056"/>
      <c r="BGE180" s="1056"/>
      <c r="BGF180" s="1056"/>
      <c r="BGG180" s="1056"/>
      <c r="BGH180" s="1056"/>
      <c r="BGI180" s="1056"/>
      <c r="BGJ180" s="1056"/>
      <c r="BGK180" s="1056"/>
      <c r="BGL180" s="1056"/>
      <c r="BGM180" s="1056"/>
      <c r="BGN180" s="1056"/>
      <c r="BGO180" s="1056"/>
      <c r="BGP180" s="1056"/>
      <c r="BGQ180" s="1056"/>
      <c r="BGR180" s="1056"/>
      <c r="BGS180" s="1056"/>
      <c r="BGT180" s="1056"/>
      <c r="BGU180" s="1056"/>
      <c r="BGV180" s="1056"/>
      <c r="BGW180" s="1056"/>
      <c r="BGX180" s="1056"/>
      <c r="BGY180" s="1056"/>
      <c r="BGZ180" s="1056"/>
      <c r="BHA180" s="1056"/>
      <c r="BHB180" s="1056"/>
      <c r="BHC180" s="1056"/>
      <c r="BHD180" s="1056"/>
      <c r="BHE180" s="1056"/>
      <c r="BHF180" s="1056"/>
      <c r="BHG180" s="1056"/>
      <c r="BHH180" s="1056"/>
      <c r="BHI180" s="1056"/>
      <c r="BHJ180" s="1056"/>
      <c r="BHK180" s="1056"/>
      <c r="BHL180" s="1056"/>
      <c r="BHM180" s="1056"/>
      <c r="BHN180" s="1056"/>
      <c r="BHO180" s="1056"/>
      <c r="BHP180" s="1056"/>
      <c r="BHQ180" s="1056"/>
      <c r="BHR180" s="1056"/>
      <c r="BHS180" s="1056"/>
      <c r="BHT180" s="1056"/>
      <c r="BHU180" s="1056"/>
      <c r="BHV180" s="1056"/>
      <c r="BHW180" s="1056"/>
      <c r="BHX180" s="1056"/>
      <c r="BHY180" s="1056"/>
      <c r="BHZ180" s="1056"/>
      <c r="BIA180" s="1056"/>
      <c r="BIB180" s="1056"/>
      <c r="BIC180" s="1056"/>
      <c r="BID180" s="1056"/>
      <c r="BIE180" s="1056"/>
      <c r="BIF180" s="1056"/>
      <c r="BIG180" s="1056"/>
      <c r="BIH180" s="1056"/>
      <c r="BII180" s="1056"/>
      <c r="BIJ180" s="1056"/>
      <c r="BIK180" s="1056"/>
      <c r="BIL180" s="1056"/>
      <c r="BIM180" s="1056"/>
      <c r="BIN180" s="1056"/>
      <c r="BIO180" s="1056"/>
      <c r="BIP180" s="1056"/>
      <c r="BIQ180" s="1056"/>
      <c r="BIR180" s="1056"/>
      <c r="BIS180" s="1056"/>
      <c r="BIT180" s="1056"/>
      <c r="BIU180" s="1056"/>
      <c r="BIV180" s="1056"/>
      <c r="BIW180" s="1056"/>
      <c r="BIX180" s="1056"/>
      <c r="BIY180" s="1056"/>
      <c r="BIZ180" s="1056"/>
      <c r="BJA180" s="1056"/>
      <c r="BJB180" s="1056"/>
      <c r="BJC180" s="1056"/>
      <c r="BJD180" s="1056"/>
      <c r="BJE180" s="1056"/>
      <c r="BJF180" s="1056"/>
      <c r="BJG180" s="1056"/>
      <c r="BJH180" s="1056"/>
      <c r="BJI180" s="1056"/>
      <c r="BJJ180" s="1056"/>
      <c r="BJK180" s="1056"/>
      <c r="BJL180" s="1056"/>
      <c r="BJM180" s="1056"/>
      <c r="BJN180" s="1056"/>
      <c r="BJO180" s="1056"/>
      <c r="BJP180" s="1056"/>
      <c r="BJQ180" s="1056"/>
      <c r="BJR180" s="1056"/>
      <c r="BJS180" s="1056"/>
      <c r="BJT180" s="1056"/>
      <c r="BJU180" s="1056"/>
      <c r="BJV180" s="1056"/>
      <c r="BJW180" s="1056"/>
      <c r="BJX180" s="1056"/>
      <c r="BJY180" s="1056"/>
      <c r="BJZ180" s="1056"/>
      <c r="BKA180" s="1056"/>
      <c r="BKB180" s="1056"/>
      <c r="BKC180" s="1056"/>
      <c r="BKD180" s="1056"/>
      <c r="BKE180" s="1056"/>
      <c r="BKF180" s="1056"/>
      <c r="BKG180" s="1056"/>
      <c r="BKH180" s="1056"/>
      <c r="BKI180" s="1056"/>
      <c r="BKJ180" s="1056"/>
      <c r="BKK180" s="1056"/>
      <c r="BKL180" s="1056"/>
      <c r="BKM180" s="1056"/>
      <c r="BKN180" s="1056"/>
      <c r="BKO180" s="1056"/>
      <c r="BKP180" s="1056"/>
      <c r="BKQ180" s="1056"/>
      <c r="BKR180" s="1056"/>
      <c r="BKS180" s="1056"/>
      <c r="BKT180" s="1056"/>
      <c r="BKU180" s="1056"/>
      <c r="BKV180" s="1056"/>
      <c r="BKW180" s="1056"/>
      <c r="BKX180" s="1056"/>
      <c r="BKY180" s="1056"/>
      <c r="BKZ180" s="1056"/>
      <c r="BLA180" s="1056"/>
      <c r="BLB180" s="1056"/>
      <c r="BLC180" s="1056"/>
      <c r="BLD180" s="1056"/>
      <c r="BLE180" s="1056"/>
      <c r="BLF180" s="1056"/>
      <c r="BLG180" s="1056"/>
      <c r="BLH180" s="1056"/>
      <c r="BLI180" s="1056"/>
      <c r="BLJ180" s="1056"/>
      <c r="BLK180" s="1056"/>
      <c r="BLL180" s="1056"/>
      <c r="BLM180" s="1056"/>
      <c r="BLN180" s="1056"/>
      <c r="BLO180" s="1056"/>
      <c r="BLP180" s="1056"/>
      <c r="BLQ180" s="1056"/>
      <c r="BLR180" s="1056"/>
      <c r="BLS180" s="1056"/>
      <c r="BLT180" s="1056"/>
      <c r="BLU180" s="1056"/>
      <c r="BLV180" s="1056"/>
      <c r="BLW180" s="1056"/>
      <c r="BLX180" s="1056"/>
      <c r="BLY180" s="1056"/>
      <c r="BLZ180" s="1056"/>
      <c r="BMA180" s="1056"/>
      <c r="BMB180" s="1056"/>
      <c r="BMC180" s="1056"/>
      <c r="BMD180" s="1056"/>
      <c r="BME180" s="1056"/>
      <c r="BMF180" s="1056"/>
      <c r="BMG180" s="1056"/>
      <c r="BMH180" s="1056"/>
      <c r="BMI180" s="1056"/>
      <c r="BMJ180" s="1056"/>
      <c r="BMK180" s="1056"/>
      <c r="BML180" s="1056"/>
      <c r="BMM180" s="1056"/>
      <c r="BMN180" s="1056"/>
      <c r="BMO180" s="1056"/>
      <c r="BMP180" s="1056"/>
      <c r="BMQ180" s="1056"/>
      <c r="BMR180" s="1056"/>
      <c r="BMS180" s="1056"/>
      <c r="BMT180" s="1056"/>
      <c r="BMU180" s="1056"/>
      <c r="BMV180" s="1056"/>
      <c r="BMW180" s="1056"/>
      <c r="BMX180" s="1056"/>
      <c r="BMY180" s="1056"/>
      <c r="BMZ180" s="1056"/>
      <c r="BNA180" s="1056"/>
      <c r="BNB180" s="1056"/>
      <c r="BNC180" s="1056"/>
      <c r="BND180" s="1056"/>
      <c r="BNE180" s="1056"/>
      <c r="BNF180" s="1056"/>
      <c r="BNG180" s="1056"/>
      <c r="BNH180" s="1056"/>
      <c r="BNI180" s="1056"/>
      <c r="BNJ180" s="1056"/>
      <c r="BNK180" s="1056"/>
      <c r="BNL180" s="1056"/>
      <c r="BNM180" s="1056"/>
      <c r="BNN180" s="1056"/>
      <c r="BNO180" s="1056"/>
      <c r="BNP180" s="1056"/>
      <c r="BNQ180" s="1056"/>
      <c r="BNR180" s="1056"/>
      <c r="BNS180" s="1056"/>
      <c r="BNT180" s="1056"/>
      <c r="BNU180" s="1056"/>
      <c r="BNV180" s="1056"/>
      <c r="BNW180" s="1056"/>
      <c r="BNX180" s="1056"/>
      <c r="BNY180" s="1056"/>
      <c r="BNZ180" s="1056"/>
      <c r="BOA180" s="1056"/>
      <c r="BOB180" s="1056"/>
      <c r="BOC180" s="1056"/>
      <c r="BOD180" s="1056"/>
      <c r="BOE180" s="1056"/>
      <c r="BOF180" s="1056"/>
      <c r="BOG180" s="1056"/>
      <c r="BOH180" s="1056"/>
      <c r="BOI180" s="1056"/>
      <c r="BOJ180" s="1056"/>
      <c r="BOK180" s="1056"/>
      <c r="BOL180" s="1056"/>
      <c r="BOM180" s="1056"/>
      <c r="BON180" s="1056"/>
      <c r="BOO180" s="1056"/>
      <c r="BOP180" s="1056"/>
      <c r="BOQ180" s="1056"/>
      <c r="BOR180" s="1056"/>
      <c r="BOS180" s="1056"/>
      <c r="BOT180" s="1056"/>
      <c r="BOU180" s="1056"/>
      <c r="BOV180" s="1056"/>
      <c r="BOW180" s="1056"/>
      <c r="BOX180" s="1056"/>
      <c r="BOY180" s="1056"/>
      <c r="BOZ180" s="1056"/>
      <c r="BPA180" s="1056"/>
      <c r="BPB180" s="1056"/>
      <c r="BPC180" s="1056"/>
      <c r="BPD180" s="1056"/>
      <c r="BPE180" s="1056"/>
      <c r="BPF180" s="1056"/>
      <c r="BPG180" s="1056"/>
      <c r="BPH180" s="1056"/>
      <c r="BPI180" s="1056"/>
      <c r="BPJ180" s="1056"/>
      <c r="BPK180" s="1056"/>
      <c r="BPL180" s="1056"/>
      <c r="BPM180" s="1056"/>
      <c r="BPN180" s="1056"/>
      <c r="BPO180" s="1056"/>
      <c r="BPP180" s="1056"/>
      <c r="BPQ180" s="1056"/>
      <c r="BPR180" s="1056"/>
      <c r="BPS180" s="1056"/>
      <c r="BPT180" s="1056"/>
      <c r="BPU180" s="1056"/>
      <c r="BPV180" s="1056"/>
      <c r="BPW180" s="1056"/>
      <c r="BPX180" s="1056"/>
      <c r="BPY180" s="1056"/>
      <c r="BPZ180" s="1056"/>
      <c r="BQA180" s="1056"/>
      <c r="BQB180" s="1056"/>
      <c r="BQC180" s="1056"/>
      <c r="BQD180" s="1056"/>
      <c r="BQE180" s="1056"/>
      <c r="BQF180" s="1056"/>
      <c r="BQG180" s="1056"/>
      <c r="BQH180" s="1056"/>
      <c r="BQI180" s="1056"/>
      <c r="BQJ180" s="1056"/>
      <c r="BQK180" s="1056"/>
      <c r="BQL180" s="1056"/>
      <c r="BQM180" s="1056"/>
      <c r="BQN180" s="1056"/>
      <c r="BQO180" s="1056"/>
      <c r="BQP180" s="1056"/>
      <c r="BQQ180" s="1056"/>
      <c r="BQR180" s="1056"/>
      <c r="BQS180" s="1056"/>
      <c r="BQT180" s="1056"/>
      <c r="BQU180" s="1056"/>
      <c r="BQV180" s="1056"/>
      <c r="BQW180" s="1056"/>
      <c r="BQX180" s="1056"/>
      <c r="BQY180" s="1056"/>
      <c r="BQZ180" s="1056"/>
      <c r="BRA180" s="1056"/>
      <c r="BRB180" s="1056"/>
      <c r="BRC180" s="1056"/>
      <c r="BRD180" s="1056"/>
      <c r="BRE180" s="1056"/>
      <c r="BRF180" s="1056"/>
      <c r="BRG180" s="1056"/>
      <c r="BRH180" s="1056"/>
      <c r="BRI180" s="1056"/>
      <c r="BRJ180" s="1056"/>
      <c r="BRK180" s="1056"/>
      <c r="BRL180" s="1056"/>
      <c r="BRM180" s="1056"/>
      <c r="BRN180" s="1056"/>
      <c r="BRO180" s="1056"/>
      <c r="BRP180" s="1056"/>
      <c r="BRQ180" s="1056"/>
      <c r="BRR180" s="1056"/>
      <c r="BRS180" s="1056"/>
      <c r="BRT180" s="1056"/>
      <c r="BRU180" s="1056"/>
      <c r="BRV180" s="1056"/>
      <c r="BRW180" s="1056"/>
      <c r="BRX180" s="1056"/>
      <c r="BRY180" s="1056"/>
      <c r="BRZ180" s="1056"/>
      <c r="BSA180" s="1056"/>
      <c r="BSB180" s="1056"/>
      <c r="BSC180" s="1056"/>
      <c r="BSD180" s="1056"/>
      <c r="BSE180" s="1056"/>
      <c r="BSF180" s="1056"/>
      <c r="BSG180" s="1056"/>
      <c r="BSH180" s="1056"/>
      <c r="BSI180" s="1056"/>
      <c r="BSJ180" s="1056"/>
      <c r="BSK180" s="1056"/>
      <c r="BSL180" s="1056"/>
      <c r="BSM180" s="1056"/>
      <c r="BSN180" s="1056"/>
      <c r="BSO180" s="1056"/>
      <c r="BSP180" s="1056"/>
      <c r="BSQ180" s="1056"/>
      <c r="BSR180" s="1056"/>
      <c r="BSS180" s="1056"/>
      <c r="BST180" s="1056"/>
      <c r="BSU180" s="1056"/>
      <c r="BSV180" s="1056"/>
      <c r="BSW180" s="1056"/>
      <c r="BSX180" s="1056"/>
      <c r="BSY180" s="1056"/>
      <c r="BSZ180" s="1056"/>
      <c r="BTA180" s="1056"/>
      <c r="BTB180" s="1056"/>
      <c r="BTC180" s="1056"/>
      <c r="BTD180" s="1056"/>
      <c r="BTE180" s="1056"/>
      <c r="BTF180" s="1056"/>
      <c r="BTG180" s="1056"/>
      <c r="BTH180" s="1056"/>
      <c r="BTI180" s="1056"/>
    </row>
    <row r="181" spans="1:1881" s="1060" customFormat="1" ht="90" hidden="1" customHeight="1" x14ac:dyDescent="0.3">
      <c r="A181" s="1059">
        <v>353</v>
      </c>
      <c r="B181" s="808" t="s">
        <v>68</v>
      </c>
      <c r="C181" s="808" t="s">
        <v>1413</v>
      </c>
      <c r="D181" s="1084" t="s">
        <v>143</v>
      </c>
      <c r="E181" s="1053" t="e">
        <f>HLOOKUP($D$2,'2020 Data(H)'!$C$1:$AI$426,117,FALSE)</f>
        <v>#N/A</v>
      </c>
      <c r="F181" s="287">
        <v>0</v>
      </c>
      <c r="G181" s="722">
        <f>IF(F181&lt;0,"Error: Enter as positive.",)</f>
        <v>0</v>
      </c>
      <c r="H181" s="764"/>
      <c r="I181" s="1055"/>
      <c r="J181" s="1056"/>
      <c r="K181" s="1056"/>
      <c r="L181" s="1056"/>
      <c r="M181" s="1056"/>
      <c r="N181" s="1058"/>
      <c r="O181" s="1056"/>
      <c r="P181" s="1056"/>
      <c r="Q181" s="1056"/>
      <c r="R181" s="1056"/>
      <c r="S181" s="1056"/>
      <c r="T181" s="1056"/>
      <c r="U181" s="1056"/>
      <c r="V181" s="1056"/>
      <c r="W181" s="1056"/>
      <c r="X181" s="1056"/>
      <c r="Y181" s="1056"/>
      <c r="Z181" s="1059"/>
      <c r="AA181" s="1059"/>
      <c r="AB181" s="1059"/>
      <c r="AC181" s="1059"/>
      <c r="AD181" s="1059"/>
      <c r="AE181" s="1059"/>
      <c r="AF181" s="1059"/>
      <c r="AG181" s="1059"/>
      <c r="AH181" s="1059"/>
      <c r="AI181" s="1059"/>
      <c r="AJ181" s="1059"/>
      <c r="AK181" s="1059"/>
      <c r="AL181" s="1059"/>
      <c r="AM181" s="1059"/>
      <c r="AN181" s="1059"/>
      <c r="AO181" s="1059"/>
      <c r="AP181" s="1059"/>
      <c r="AQ181" s="1059"/>
      <c r="AR181" s="1059"/>
      <c r="AS181" s="1056"/>
      <c r="AT181" s="1056"/>
      <c r="AU181" s="1056"/>
      <c r="AV181" s="1056"/>
      <c r="AW181" s="1056"/>
      <c r="AX181" s="1056"/>
      <c r="AY181" s="1056"/>
      <c r="AZ181" s="1056"/>
      <c r="BA181" s="1056"/>
      <c r="BB181" s="1056"/>
      <c r="BC181" s="1056"/>
      <c r="BD181" s="1056"/>
      <c r="BE181" s="1056"/>
      <c r="BF181" s="1056"/>
      <c r="BG181" s="1056"/>
      <c r="BH181" s="1056"/>
      <c r="BI181" s="1056"/>
      <c r="BJ181" s="1056"/>
      <c r="BK181" s="1056"/>
      <c r="BL181" s="1056"/>
      <c r="BM181" s="1056"/>
      <c r="BN181" s="1056"/>
      <c r="BO181" s="1056"/>
      <c r="BP181" s="1056"/>
      <c r="BQ181" s="1056"/>
      <c r="BR181" s="1056"/>
      <c r="BS181" s="1056"/>
      <c r="BT181" s="1056"/>
      <c r="BU181" s="1056"/>
      <c r="BV181" s="1056"/>
      <c r="BW181" s="1056"/>
      <c r="BX181" s="1056"/>
      <c r="BY181" s="1056"/>
      <c r="BZ181" s="1056"/>
      <c r="CA181" s="1056"/>
      <c r="CB181" s="1056"/>
      <c r="CC181" s="1056"/>
      <c r="CD181" s="1056"/>
      <c r="CE181" s="1056"/>
      <c r="CF181" s="1056"/>
      <c r="CG181" s="1056"/>
      <c r="CH181" s="1056"/>
      <c r="CI181" s="1056"/>
      <c r="CJ181" s="1056"/>
      <c r="CK181" s="1056"/>
      <c r="CL181" s="1056"/>
      <c r="CM181" s="1056"/>
      <c r="CN181" s="1056"/>
      <c r="CO181" s="1056"/>
      <c r="CP181" s="1056"/>
      <c r="CQ181" s="1056"/>
      <c r="CR181" s="1056"/>
      <c r="CS181" s="1056"/>
      <c r="CT181" s="1056"/>
      <c r="CU181" s="1056"/>
      <c r="CV181" s="1056"/>
      <c r="CW181" s="1056"/>
      <c r="CX181" s="1056"/>
      <c r="CY181" s="1056"/>
      <c r="CZ181" s="1056"/>
      <c r="DA181" s="1056"/>
      <c r="DB181" s="1056"/>
      <c r="DC181" s="1056"/>
      <c r="DD181" s="1056"/>
      <c r="DE181" s="1056"/>
      <c r="DF181" s="1056"/>
      <c r="DG181" s="1056"/>
      <c r="DH181" s="1056"/>
      <c r="DI181" s="1056"/>
      <c r="DJ181" s="1056"/>
      <c r="DK181" s="1056"/>
      <c r="DL181" s="1056"/>
      <c r="DM181" s="1056"/>
      <c r="DN181" s="1056"/>
      <c r="DO181" s="1056"/>
      <c r="DP181" s="1056"/>
      <c r="DQ181" s="1056"/>
      <c r="DR181" s="1056"/>
      <c r="DS181" s="1056"/>
      <c r="DT181" s="1056"/>
      <c r="DU181" s="1056"/>
      <c r="DV181" s="1056"/>
      <c r="DW181" s="1056"/>
      <c r="DX181" s="1056"/>
      <c r="DY181" s="1056"/>
      <c r="DZ181" s="1056"/>
      <c r="EA181" s="1056"/>
      <c r="EB181" s="1056"/>
      <c r="EC181" s="1056"/>
      <c r="ED181" s="1056"/>
      <c r="EE181" s="1056"/>
      <c r="EF181" s="1056"/>
      <c r="EG181" s="1056"/>
      <c r="EH181" s="1056"/>
      <c r="EI181" s="1056"/>
      <c r="EJ181" s="1056"/>
      <c r="EK181" s="1056"/>
      <c r="EL181" s="1056"/>
      <c r="EM181" s="1056"/>
      <c r="EN181" s="1056"/>
      <c r="EO181" s="1056"/>
      <c r="EP181" s="1056"/>
      <c r="EQ181" s="1056"/>
      <c r="ER181" s="1056"/>
      <c r="ES181" s="1056"/>
      <c r="ET181" s="1056"/>
      <c r="EU181" s="1056"/>
      <c r="EV181" s="1056"/>
      <c r="EW181" s="1056"/>
      <c r="EX181" s="1056"/>
      <c r="EY181" s="1056"/>
      <c r="EZ181" s="1056"/>
      <c r="FA181" s="1056"/>
      <c r="FB181" s="1056"/>
      <c r="FC181" s="1056"/>
      <c r="FD181" s="1056"/>
      <c r="FE181" s="1056"/>
      <c r="FF181" s="1056"/>
      <c r="FG181" s="1056"/>
      <c r="FH181" s="1056"/>
      <c r="FI181" s="1056"/>
      <c r="FJ181" s="1056"/>
      <c r="FK181" s="1056"/>
      <c r="FL181" s="1056"/>
      <c r="FM181" s="1056"/>
      <c r="FN181" s="1056"/>
      <c r="FO181" s="1056"/>
      <c r="FP181" s="1056"/>
      <c r="FQ181" s="1056"/>
      <c r="FR181" s="1056"/>
      <c r="FS181" s="1056"/>
      <c r="FT181" s="1056"/>
      <c r="FU181" s="1056"/>
      <c r="FV181" s="1056"/>
      <c r="FW181" s="1056"/>
      <c r="FX181" s="1056"/>
      <c r="FY181" s="1056"/>
      <c r="FZ181" s="1056"/>
      <c r="GA181" s="1056"/>
      <c r="GB181" s="1056"/>
      <c r="GC181" s="1056"/>
      <c r="GD181" s="1056"/>
      <c r="GE181" s="1056"/>
      <c r="GF181" s="1056"/>
      <c r="GG181" s="1056"/>
      <c r="GH181" s="1056"/>
      <c r="GI181" s="1056"/>
      <c r="GJ181" s="1056"/>
      <c r="GK181" s="1056"/>
      <c r="GL181" s="1056"/>
      <c r="GM181" s="1056"/>
      <c r="GN181" s="1056"/>
      <c r="GO181" s="1056"/>
      <c r="GP181" s="1056"/>
      <c r="GQ181" s="1056"/>
      <c r="GR181" s="1056"/>
      <c r="GS181" s="1056"/>
      <c r="GT181" s="1056"/>
      <c r="GU181" s="1056"/>
      <c r="GV181" s="1056"/>
      <c r="GW181" s="1056"/>
      <c r="GX181" s="1056"/>
      <c r="GY181" s="1056"/>
      <c r="GZ181" s="1056"/>
      <c r="HA181" s="1056"/>
      <c r="HB181" s="1056"/>
      <c r="HC181" s="1056"/>
      <c r="HD181" s="1056"/>
      <c r="HE181" s="1056"/>
      <c r="HF181" s="1056"/>
      <c r="HG181" s="1056"/>
      <c r="HH181" s="1056"/>
      <c r="HI181" s="1056"/>
      <c r="HJ181" s="1056"/>
      <c r="HK181" s="1056"/>
      <c r="HL181" s="1056"/>
      <c r="HM181" s="1056"/>
      <c r="HN181" s="1056"/>
      <c r="HO181" s="1056"/>
      <c r="HP181" s="1056"/>
      <c r="HQ181" s="1056"/>
      <c r="HR181" s="1056"/>
      <c r="HS181" s="1056"/>
      <c r="HT181" s="1056"/>
      <c r="HU181" s="1056"/>
      <c r="HV181" s="1056"/>
      <c r="HW181" s="1056"/>
      <c r="HX181" s="1056"/>
      <c r="HY181" s="1056"/>
      <c r="HZ181" s="1056"/>
      <c r="IA181" s="1056"/>
      <c r="IB181" s="1056"/>
      <c r="IC181" s="1056"/>
      <c r="ID181" s="1056"/>
      <c r="IE181" s="1056"/>
      <c r="IF181" s="1056"/>
      <c r="IG181" s="1056"/>
      <c r="IH181" s="1056"/>
      <c r="II181" s="1056"/>
      <c r="IJ181" s="1056"/>
      <c r="IK181" s="1056"/>
      <c r="IL181" s="1056"/>
      <c r="IM181" s="1056"/>
      <c r="IN181" s="1056"/>
      <c r="IO181" s="1056"/>
      <c r="IP181" s="1056"/>
      <c r="IQ181" s="1056"/>
      <c r="IR181" s="1056"/>
      <c r="IS181" s="1056"/>
      <c r="IT181" s="1056"/>
      <c r="IU181" s="1056"/>
      <c r="IV181" s="1056"/>
      <c r="IW181" s="1056"/>
      <c r="IX181" s="1056"/>
      <c r="IY181" s="1056"/>
      <c r="IZ181" s="1056"/>
      <c r="JA181" s="1056"/>
      <c r="JB181" s="1056"/>
      <c r="JC181" s="1056"/>
      <c r="JD181" s="1056"/>
      <c r="JE181" s="1056"/>
      <c r="JF181" s="1056"/>
      <c r="JG181" s="1056"/>
      <c r="JH181" s="1056"/>
      <c r="JI181" s="1056"/>
      <c r="JJ181" s="1056"/>
      <c r="JK181" s="1056"/>
      <c r="JL181" s="1056"/>
      <c r="JM181" s="1056"/>
      <c r="JN181" s="1056"/>
      <c r="JO181" s="1056"/>
      <c r="JP181" s="1056"/>
      <c r="JQ181" s="1056"/>
      <c r="JR181" s="1056"/>
      <c r="JS181" s="1056"/>
      <c r="JT181" s="1056"/>
      <c r="JU181" s="1056"/>
      <c r="JV181" s="1056"/>
      <c r="JW181" s="1056"/>
      <c r="JX181" s="1056"/>
      <c r="JY181" s="1056"/>
      <c r="JZ181" s="1056"/>
      <c r="KA181" s="1056"/>
      <c r="KB181" s="1056"/>
      <c r="KC181" s="1056"/>
      <c r="KD181" s="1056"/>
      <c r="KE181" s="1056"/>
      <c r="KF181" s="1056"/>
      <c r="KG181" s="1056"/>
      <c r="KH181" s="1056"/>
      <c r="KI181" s="1056"/>
      <c r="KJ181" s="1056"/>
      <c r="KK181" s="1056"/>
      <c r="KL181" s="1056"/>
      <c r="KM181" s="1056"/>
      <c r="KN181" s="1056"/>
      <c r="KO181" s="1056"/>
      <c r="KP181" s="1056"/>
      <c r="KQ181" s="1056"/>
      <c r="KR181" s="1056"/>
      <c r="KS181" s="1056"/>
      <c r="KT181" s="1056"/>
      <c r="KU181" s="1056"/>
      <c r="KV181" s="1056"/>
      <c r="KW181" s="1056"/>
      <c r="KX181" s="1056"/>
      <c r="KY181" s="1056"/>
      <c r="KZ181" s="1056"/>
      <c r="LA181" s="1056"/>
      <c r="LB181" s="1056"/>
      <c r="LC181" s="1056"/>
      <c r="LD181" s="1056"/>
      <c r="LE181" s="1056"/>
      <c r="LF181" s="1056"/>
      <c r="LG181" s="1056"/>
      <c r="LH181" s="1056"/>
      <c r="LI181" s="1056"/>
      <c r="LJ181" s="1056"/>
      <c r="LK181" s="1056"/>
      <c r="LL181" s="1056"/>
      <c r="LM181" s="1056"/>
      <c r="LN181" s="1056"/>
      <c r="LO181" s="1056"/>
      <c r="LP181" s="1056"/>
      <c r="LQ181" s="1056"/>
      <c r="LR181" s="1056"/>
      <c r="LS181" s="1056"/>
      <c r="LT181" s="1056"/>
      <c r="LU181" s="1056"/>
      <c r="LV181" s="1056"/>
      <c r="LW181" s="1056"/>
      <c r="LX181" s="1056"/>
      <c r="LY181" s="1056"/>
      <c r="LZ181" s="1056"/>
      <c r="MA181" s="1056"/>
      <c r="MB181" s="1056"/>
      <c r="MC181" s="1056"/>
      <c r="MD181" s="1056"/>
      <c r="ME181" s="1056"/>
      <c r="MF181" s="1056"/>
      <c r="MG181" s="1056"/>
      <c r="MH181" s="1056"/>
      <c r="MI181" s="1056"/>
      <c r="MJ181" s="1056"/>
      <c r="MK181" s="1056"/>
      <c r="ML181" s="1056"/>
      <c r="MM181" s="1056"/>
      <c r="MN181" s="1056"/>
      <c r="MO181" s="1056"/>
      <c r="MP181" s="1056"/>
      <c r="MQ181" s="1056"/>
      <c r="MR181" s="1056"/>
      <c r="MS181" s="1056"/>
      <c r="MT181" s="1056"/>
      <c r="MU181" s="1056"/>
      <c r="MV181" s="1056"/>
      <c r="MW181" s="1056"/>
      <c r="MX181" s="1056"/>
      <c r="MY181" s="1056"/>
      <c r="MZ181" s="1056"/>
      <c r="NA181" s="1056"/>
      <c r="NB181" s="1056"/>
      <c r="NC181" s="1056"/>
      <c r="ND181" s="1056"/>
      <c r="NE181" s="1056"/>
      <c r="NF181" s="1056"/>
      <c r="NG181" s="1056"/>
      <c r="NH181" s="1056"/>
      <c r="NI181" s="1056"/>
      <c r="NJ181" s="1056"/>
      <c r="NK181" s="1056"/>
      <c r="NL181" s="1056"/>
      <c r="NM181" s="1056"/>
      <c r="NN181" s="1056"/>
      <c r="NO181" s="1056"/>
      <c r="NP181" s="1056"/>
      <c r="NQ181" s="1056"/>
      <c r="NR181" s="1056"/>
      <c r="NS181" s="1056"/>
      <c r="NT181" s="1056"/>
      <c r="NU181" s="1056"/>
      <c r="NV181" s="1056"/>
      <c r="NW181" s="1056"/>
      <c r="NX181" s="1056"/>
      <c r="NY181" s="1056"/>
      <c r="NZ181" s="1056"/>
      <c r="OA181" s="1056"/>
      <c r="OB181" s="1056"/>
      <c r="OC181" s="1056"/>
      <c r="OD181" s="1056"/>
      <c r="OE181" s="1056"/>
      <c r="OF181" s="1056"/>
      <c r="OG181" s="1056"/>
      <c r="OH181" s="1056"/>
      <c r="OI181" s="1056"/>
      <c r="OJ181" s="1056"/>
      <c r="OK181" s="1056"/>
      <c r="OL181" s="1056"/>
      <c r="OM181" s="1056"/>
      <c r="ON181" s="1056"/>
      <c r="OO181" s="1056"/>
      <c r="OP181" s="1056"/>
      <c r="OQ181" s="1056"/>
      <c r="OR181" s="1056"/>
      <c r="OS181" s="1056"/>
      <c r="OT181" s="1056"/>
      <c r="OU181" s="1056"/>
      <c r="OV181" s="1056"/>
      <c r="OW181" s="1056"/>
      <c r="OX181" s="1056"/>
      <c r="OY181" s="1056"/>
      <c r="OZ181" s="1056"/>
      <c r="PA181" s="1056"/>
      <c r="PB181" s="1056"/>
      <c r="PC181" s="1056"/>
      <c r="PD181" s="1056"/>
      <c r="PE181" s="1056"/>
      <c r="PF181" s="1056"/>
      <c r="PG181" s="1056"/>
      <c r="PH181" s="1056"/>
      <c r="PI181" s="1056"/>
      <c r="PJ181" s="1056"/>
      <c r="PK181" s="1056"/>
      <c r="PL181" s="1056"/>
      <c r="PM181" s="1056"/>
      <c r="PN181" s="1056"/>
      <c r="PO181" s="1056"/>
      <c r="PP181" s="1056"/>
      <c r="PQ181" s="1056"/>
      <c r="PR181" s="1056"/>
      <c r="PS181" s="1056"/>
      <c r="PT181" s="1056"/>
      <c r="PU181" s="1056"/>
      <c r="PV181" s="1056"/>
      <c r="PW181" s="1056"/>
      <c r="PX181" s="1056"/>
      <c r="PY181" s="1056"/>
      <c r="PZ181" s="1056"/>
      <c r="QA181" s="1056"/>
      <c r="QB181" s="1056"/>
      <c r="QC181" s="1056"/>
      <c r="QD181" s="1056"/>
      <c r="QE181" s="1056"/>
      <c r="QF181" s="1056"/>
      <c r="QG181" s="1056"/>
      <c r="QH181" s="1056"/>
      <c r="QI181" s="1056"/>
      <c r="QJ181" s="1056"/>
      <c r="QK181" s="1056"/>
      <c r="QL181" s="1056"/>
      <c r="QM181" s="1056"/>
      <c r="QN181" s="1056"/>
      <c r="QO181" s="1056"/>
      <c r="QP181" s="1056"/>
      <c r="QQ181" s="1056"/>
      <c r="QR181" s="1056"/>
      <c r="QS181" s="1056"/>
      <c r="QT181" s="1056"/>
      <c r="QU181" s="1056"/>
      <c r="QV181" s="1056"/>
      <c r="QW181" s="1056"/>
      <c r="QX181" s="1056"/>
      <c r="QY181" s="1056"/>
      <c r="QZ181" s="1056"/>
      <c r="RA181" s="1056"/>
      <c r="RB181" s="1056"/>
      <c r="RC181" s="1056"/>
      <c r="RD181" s="1056"/>
      <c r="RE181" s="1056"/>
      <c r="RF181" s="1056"/>
      <c r="RG181" s="1056"/>
      <c r="RH181" s="1056"/>
      <c r="RI181" s="1056"/>
      <c r="RJ181" s="1056"/>
      <c r="RK181" s="1056"/>
      <c r="RL181" s="1056"/>
      <c r="RM181" s="1056"/>
      <c r="RN181" s="1056"/>
      <c r="RO181" s="1056"/>
      <c r="RP181" s="1056"/>
      <c r="RQ181" s="1056"/>
      <c r="RR181" s="1056"/>
      <c r="RS181" s="1056"/>
      <c r="RT181" s="1056"/>
      <c r="RU181" s="1056"/>
      <c r="RV181" s="1056"/>
      <c r="RW181" s="1056"/>
      <c r="RX181" s="1056"/>
      <c r="RY181" s="1056"/>
      <c r="RZ181" s="1056"/>
      <c r="SA181" s="1056"/>
      <c r="SB181" s="1056"/>
      <c r="SC181" s="1056"/>
      <c r="SD181" s="1056"/>
      <c r="SE181" s="1056"/>
      <c r="SF181" s="1056"/>
      <c r="SG181" s="1056"/>
      <c r="SH181" s="1056"/>
      <c r="SI181" s="1056"/>
      <c r="SJ181" s="1056"/>
      <c r="SK181" s="1056"/>
      <c r="SL181" s="1056"/>
      <c r="SM181" s="1056"/>
      <c r="SN181" s="1056"/>
      <c r="SO181" s="1056"/>
      <c r="SP181" s="1056"/>
      <c r="SQ181" s="1056"/>
      <c r="SR181" s="1056"/>
      <c r="SS181" s="1056"/>
      <c r="ST181" s="1056"/>
      <c r="SU181" s="1056"/>
      <c r="SV181" s="1056"/>
      <c r="SW181" s="1056"/>
      <c r="SX181" s="1056"/>
      <c r="SY181" s="1056"/>
      <c r="SZ181" s="1056"/>
      <c r="TA181" s="1056"/>
      <c r="TB181" s="1056"/>
      <c r="TC181" s="1056"/>
      <c r="TD181" s="1056"/>
      <c r="TE181" s="1056"/>
      <c r="TF181" s="1056"/>
      <c r="TG181" s="1056"/>
      <c r="TH181" s="1056"/>
      <c r="TI181" s="1056"/>
      <c r="TJ181" s="1056"/>
      <c r="TK181" s="1056"/>
      <c r="TL181" s="1056"/>
      <c r="TM181" s="1056"/>
      <c r="TN181" s="1056"/>
      <c r="TO181" s="1056"/>
      <c r="TP181" s="1056"/>
      <c r="TQ181" s="1056"/>
      <c r="TR181" s="1056"/>
      <c r="TS181" s="1056"/>
      <c r="TT181" s="1056"/>
      <c r="TU181" s="1056"/>
      <c r="TV181" s="1056"/>
      <c r="TW181" s="1056"/>
      <c r="TX181" s="1056"/>
      <c r="TY181" s="1056"/>
      <c r="TZ181" s="1056"/>
      <c r="UA181" s="1056"/>
      <c r="UB181" s="1056"/>
      <c r="UC181" s="1056"/>
      <c r="UD181" s="1056"/>
      <c r="UE181" s="1056"/>
      <c r="UF181" s="1056"/>
      <c r="UG181" s="1056"/>
      <c r="UH181" s="1056"/>
      <c r="UI181" s="1056"/>
      <c r="UJ181" s="1056"/>
      <c r="UK181" s="1056"/>
      <c r="UL181" s="1056"/>
      <c r="UM181" s="1056"/>
      <c r="UN181" s="1056"/>
      <c r="UO181" s="1056"/>
      <c r="UP181" s="1056"/>
      <c r="UQ181" s="1056"/>
      <c r="UR181" s="1056"/>
      <c r="US181" s="1056"/>
      <c r="UT181" s="1056"/>
      <c r="UU181" s="1056"/>
      <c r="UV181" s="1056"/>
      <c r="UW181" s="1056"/>
      <c r="UX181" s="1056"/>
      <c r="UY181" s="1056"/>
      <c r="UZ181" s="1056"/>
      <c r="VA181" s="1056"/>
      <c r="VB181" s="1056"/>
      <c r="VC181" s="1056"/>
      <c r="VD181" s="1056"/>
      <c r="VE181" s="1056"/>
      <c r="VF181" s="1056"/>
      <c r="VG181" s="1056"/>
      <c r="VH181" s="1056"/>
      <c r="VI181" s="1056"/>
      <c r="VJ181" s="1056"/>
      <c r="VK181" s="1056"/>
      <c r="VL181" s="1056"/>
      <c r="VM181" s="1056"/>
      <c r="VN181" s="1056"/>
      <c r="VO181" s="1056"/>
      <c r="VP181" s="1056"/>
      <c r="VQ181" s="1056"/>
      <c r="VR181" s="1056"/>
      <c r="VS181" s="1056"/>
      <c r="VT181" s="1056"/>
      <c r="VU181" s="1056"/>
      <c r="VV181" s="1056"/>
      <c r="VW181" s="1056"/>
      <c r="VX181" s="1056"/>
      <c r="VY181" s="1056"/>
      <c r="VZ181" s="1056"/>
      <c r="WA181" s="1056"/>
      <c r="WB181" s="1056"/>
      <c r="WC181" s="1056"/>
      <c r="WD181" s="1056"/>
      <c r="WE181" s="1056"/>
      <c r="WF181" s="1056"/>
      <c r="WG181" s="1056"/>
      <c r="WH181" s="1056"/>
      <c r="WI181" s="1056"/>
      <c r="WJ181" s="1056"/>
      <c r="WK181" s="1056"/>
      <c r="WL181" s="1056"/>
      <c r="WM181" s="1056"/>
      <c r="WN181" s="1056"/>
      <c r="WO181" s="1056"/>
      <c r="WP181" s="1056"/>
      <c r="WQ181" s="1056"/>
      <c r="WR181" s="1056"/>
      <c r="WS181" s="1056"/>
      <c r="WT181" s="1056"/>
      <c r="WU181" s="1056"/>
      <c r="WV181" s="1056"/>
      <c r="WW181" s="1056"/>
      <c r="WX181" s="1056"/>
      <c r="WY181" s="1056"/>
      <c r="WZ181" s="1056"/>
      <c r="XA181" s="1056"/>
      <c r="XB181" s="1056"/>
      <c r="XC181" s="1056"/>
      <c r="XD181" s="1056"/>
      <c r="XE181" s="1056"/>
      <c r="XF181" s="1056"/>
      <c r="XG181" s="1056"/>
      <c r="XH181" s="1056"/>
      <c r="XI181" s="1056"/>
      <c r="XJ181" s="1056"/>
      <c r="XK181" s="1056"/>
      <c r="XL181" s="1056"/>
      <c r="XM181" s="1056"/>
      <c r="XN181" s="1056"/>
      <c r="XO181" s="1056"/>
      <c r="XP181" s="1056"/>
      <c r="XQ181" s="1056"/>
      <c r="XR181" s="1056"/>
      <c r="XS181" s="1056"/>
      <c r="XT181" s="1056"/>
      <c r="XU181" s="1056"/>
      <c r="XV181" s="1056"/>
      <c r="XW181" s="1056"/>
      <c r="XX181" s="1056"/>
      <c r="XY181" s="1056"/>
      <c r="XZ181" s="1056"/>
      <c r="YA181" s="1056"/>
      <c r="YB181" s="1056"/>
      <c r="YC181" s="1056"/>
      <c r="YD181" s="1056"/>
      <c r="YE181" s="1056"/>
      <c r="YF181" s="1056"/>
      <c r="YG181" s="1056"/>
      <c r="YH181" s="1056"/>
      <c r="YI181" s="1056"/>
      <c r="YJ181" s="1056"/>
      <c r="YK181" s="1056"/>
      <c r="YL181" s="1056"/>
      <c r="YM181" s="1056"/>
      <c r="YN181" s="1056"/>
      <c r="YO181" s="1056"/>
      <c r="YP181" s="1056"/>
      <c r="YQ181" s="1056"/>
      <c r="YR181" s="1056"/>
      <c r="YS181" s="1056"/>
      <c r="YT181" s="1056"/>
      <c r="YU181" s="1056"/>
      <c r="YV181" s="1056"/>
      <c r="YW181" s="1056"/>
      <c r="YX181" s="1056"/>
      <c r="YY181" s="1056"/>
      <c r="YZ181" s="1056"/>
      <c r="ZA181" s="1056"/>
      <c r="ZB181" s="1056"/>
      <c r="ZC181" s="1056"/>
      <c r="ZD181" s="1056"/>
      <c r="ZE181" s="1056"/>
      <c r="ZF181" s="1056"/>
      <c r="ZG181" s="1056"/>
      <c r="ZH181" s="1056"/>
      <c r="ZI181" s="1056"/>
      <c r="ZJ181" s="1056"/>
      <c r="ZK181" s="1056"/>
      <c r="ZL181" s="1056"/>
      <c r="ZM181" s="1056"/>
      <c r="ZN181" s="1056"/>
      <c r="ZO181" s="1056"/>
      <c r="ZP181" s="1056"/>
      <c r="ZQ181" s="1056"/>
      <c r="ZR181" s="1056"/>
      <c r="ZS181" s="1056"/>
      <c r="ZT181" s="1056"/>
      <c r="ZU181" s="1056"/>
      <c r="ZV181" s="1056"/>
      <c r="ZW181" s="1056"/>
      <c r="ZX181" s="1056"/>
      <c r="ZY181" s="1056"/>
      <c r="ZZ181" s="1056"/>
      <c r="AAA181" s="1056"/>
      <c r="AAB181" s="1056"/>
      <c r="AAC181" s="1056"/>
      <c r="AAD181" s="1056"/>
      <c r="AAE181" s="1056"/>
      <c r="AAF181" s="1056"/>
      <c r="AAG181" s="1056"/>
      <c r="AAH181" s="1056"/>
      <c r="AAI181" s="1056"/>
      <c r="AAJ181" s="1056"/>
      <c r="AAK181" s="1056"/>
      <c r="AAL181" s="1056"/>
      <c r="AAM181" s="1056"/>
      <c r="AAN181" s="1056"/>
      <c r="AAO181" s="1056"/>
      <c r="AAP181" s="1056"/>
      <c r="AAQ181" s="1056"/>
      <c r="AAR181" s="1056"/>
      <c r="AAS181" s="1056"/>
      <c r="AAT181" s="1056"/>
      <c r="AAU181" s="1056"/>
      <c r="AAV181" s="1056"/>
      <c r="AAW181" s="1056"/>
      <c r="AAX181" s="1056"/>
      <c r="AAY181" s="1056"/>
      <c r="AAZ181" s="1056"/>
      <c r="ABA181" s="1056"/>
      <c r="ABB181" s="1056"/>
      <c r="ABC181" s="1056"/>
      <c r="ABD181" s="1056"/>
      <c r="ABE181" s="1056"/>
      <c r="ABF181" s="1056"/>
      <c r="ABG181" s="1056"/>
      <c r="ABH181" s="1056"/>
      <c r="ABI181" s="1056"/>
      <c r="ABJ181" s="1056"/>
      <c r="ABK181" s="1056"/>
      <c r="ABL181" s="1056"/>
      <c r="ABM181" s="1056"/>
      <c r="ABN181" s="1056"/>
      <c r="ABO181" s="1056"/>
      <c r="ABP181" s="1056"/>
      <c r="ABQ181" s="1056"/>
      <c r="ABR181" s="1056"/>
      <c r="ABS181" s="1056"/>
      <c r="ABT181" s="1056"/>
      <c r="ABU181" s="1056"/>
      <c r="ABV181" s="1056"/>
      <c r="ABW181" s="1056"/>
      <c r="ABX181" s="1056"/>
      <c r="ABY181" s="1056"/>
      <c r="ABZ181" s="1056"/>
      <c r="ACA181" s="1056"/>
      <c r="ACB181" s="1056"/>
      <c r="ACC181" s="1056"/>
      <c r="ACD181" s="1056"/>
      <c r="ACE181" s="1056"/>
      <c r="ACF181" s="1056"/>
      <c r="ACG181" s="1056"/>
      <c r="ACH181" s="1056"/>
      <c r="ACI181" s="1056"/>
      <c r="ACJ181" s="1056"/>
      <c r="ACK181" s="1056"/>
      <c r="ACL181" s="1056"/>
      <c r="ACM181" s="1056"/>
      <c r="ACN181" s="1056"/>
      <c r="ACO181" s="1056"/>
      <c r="ACP181" s="1056"/>
      <c r="ACQ181" s="1056"/>
      <c r="ACR181" s="1056"/>
      <c r="ACS181" s="1056"/>
      <c r="ACT181" s="1056"/>
      <c r="ACU181" s="1056"/>
      <c r="ACV181" s="1056"/>
      <c r="ACW181" s="1056"/>
      <c r="ACX181" s="1056"/>
      <c r="ACY181" s="1056"/>
      <c r="ACZ181" s="1056"/>
      <c r="ADA181" s="1056"/>
      <c r="ADB181" s="1056"/>
      <c r="ADC181" s="1056"/>
      <c r="ADD181" s="1056"/>
      <c r="ADE181" s="1056"/>
      <c r="ADF181" s="1056"/>
      <c r="ADG181" s="1056"/>
      <c r="ADH181" s="1056"/>
      <c r="ADI181" s="1056"/>
      <c r="ADJ181" s="1056"/>
      <c r="ADK181" s="1056"/>
      <c r="ADL181" s="1056"/>
      <c r="ADM181" s="1056"/>
      <c r="ADN181" s="1056"/>
      <c r="ADO181" s="1056"/>
      <c r="ADP181" s="1056"/>
      <c r="ADQ181" s="1056"/>
      <c r="ADR181" s="1056"/>
      <c r="ADS181" s="1056"/>
      <c r="ADT181" s="1056"/>
      <c r="ADU181" s="1056"/>
      <c r="ADV181" s="1056"/>
      <c r="ADW181" s="1056"/>
      <c r="ADX181" s="1056"/>
      <c r="ADY181" s="1056"/>
      <c r="ADZ181" s="1056"/>
      <c r="AEA181" s="1056"/>
      <c r="AEB181" s="1056"/>
      <c r="AEC181" s="1056"/>
      <c r="AED181" s="1056"/>
      <c r="AEE181" s="1056"/>
      <c r="AEF181" s="1056"/>
      <c r="AEG181" s="1056"/>
      <c r="AEH181" s="1056"/>
      <c r="AEI181" s="1056"/>
      <c r="AEJ181" s="1056"/>
      <c r="AEK181" s="1056"/>
      <c r="AEL181" s="1056"/>
      <c r="AEM181" s="1056"/>
      <c r="AEN181" s="1056"/>
      <c r="AEO181" s="1056"/>
      <c r="AEP181" s="1056"/>
      <c r="AEQ181" s="1056"/>
      <c r="AER181" s="1056"/>
      <c r="AES181" s="1056"/>
      <c r="AET181" s="1056"/>
      <c r="AEU181" s="1056"/>
      <c r="AEV181" s="1056"/>
      <c r="AEW181" s="1056"/>
      <c r="AEX181" s="1056"/>
      <c r="AEY181" s="1056"/>
      <c r="AEZ181" s="1056"/>
      <c r="AFA181" s="1056"/>
      <c r="AFB181" s="1056"/>
      <c r="AFC181" s="1056"/>
      <c r="AFD181" s="1056"/>
      <c r="AFE181" s="1056"/>
      <c r="AFF181" s="1056"/>
      <c r="AFG181" s="1056"/>
      <c r="AFH181" s="1056"/>
      <c r="AFI181" s="1056"/>
      <c r="AFJ181" s="1056"/>
      <c r="AFK181" s="1056"/>
      <c r="AFL181" s="1056"/>
      <c r="AFM181" s="1056"/>
      <c r="AFN181" s="1056"/>
      <c r="AFO181" s="1056"/>
      <c r="AFP181" s="1056"/>
      <c r="AFQ181" s="1056"/>
      <c r="AFR181" s="1056"/>
      <c r="AFS181" s="1056"/>
      <c r="AFT181" s="1056"/>
      <c r="AFU181" s="1056"/>
      <c r="AFV181" s="1056"/>
      <c r="AFW181" s="1056"/>
      <c r="AFX181" s="1056"/>
      <c r="AFY181" s="1056"/>
      <c r="AFZ181" s="1056"/>
      <c r="AGA181" s="1056"/>
      <c r="AGB181" s="1056"/>
      <c r="AGC181" s="1056"/>
      <c r="AGD181" s="1056"/>
      <c r="AGE181" s="1056"/>
      <c r="AGF181" s="1056"/>
      <c r="AGG181" s="1056"/>
      <c r="AGH181" s="1056"/>
      <c r="AGI181" s="1056"/>
      <c r="AGJ181" s="1056"/>
      <c r="AGK181" s="1056"/>
      <c r="AGL181" s="1056"/>
      <c r="AGM181" s="1056"/>
      <c r="AGN181" s="1056"/>
      <c r="AGO181" s="1056"/>
      <c r="AGP181" s="1056"/>
      <c r="AGQ181" s="1056"/>
      <c r="AGR181" s="1056"/>
      <c r="AGS181" s="1056"/>
      <c r="AGT181" s="1056"/>
      <c r="AGU181" s="1056"/>
      <c r="AGV181" s="1056"/>
      <c r="AGW181" s="1056"/>
      <c r="AGX181" s="1056"/>
      <c r="AGY181" s="1056"/>
      <c r="AGZ181" s="1056"/>
      <c r="AHA181" s="1056"/>
      <c r="AHB181" s="1056"/>
      <c r="AHC181" s="1056"/>
      <c r="AHD181" s="1056"/>
      <c r="AHE181" s="1056"/>
      <c r="AHF181" s="1056"/>
      <c r="AHG181" s="1056"/>
      <c r="AHH181" s="1056"/>
      <c r="AHI181" s="1056"/>
      <c r="AHJ181" s="1056"/>
      <c r="AHK181" s="1056"/>
      <c r="AHL181" s="1056"/>
      <c r="AHM181" s="1056"/>
      <c r="AHN181" s="1056"/>
      <c r="AHO181" s="1056"/>
      <c r="AHP181" s="1056"/>
      <c r="AHQ181" s="1056"/>
      <c r="AHR181" s="1056"/>
      <c r="AHS181" s="1056"/>
      <c r="AHT181" s="1056"/>
      <c r="AHU181" s="1056"/>
      <c r="AHV181" s="1056"/>
      <c r="AHW181" s="1056"/>
      <c r="AHX181" s="1056"/>
      <c r="AHY181" s="1056"/>
      <c r="AHZ181" s="1056"/>
      <c r="AIA181" s="1056"/>
      <c r="AIB181" s="1056"/>
      <c r="AIC181" s="1056"/>
      <c r="AID181" s="1056"/>
      <c r="AIE181" s="1056"/>
      <c r="AIF181" s="1056"/>
      <c r="AIG181" s="1056"/>
      <c r="AIH181" s="1056"/>
      <c r="AII181" s="1056"/>
      <c r="AIJ181" s="1056"/>
      <c r="AIK181" s="1056"/>
      <c r="AIL181" s="1056"/>
      <c r="AIM181" s="1056"/>
      <c r="AIN181" s="1056"/>
      <c r="AIO181" s="1056"/>
      <c r="AIP181" s="1056"/>
      <c r="AIQ181" s="1056"/>
      <c r="AIR181" s="1056"/>
      <c r="AIS181" s="1056"/>
      <c r="AIT181" s="1056"/>
      <c r="AIU181" s="1056"/>
      <c r="AIV181" s="1056"/>
      <c r="AIW181" s="1056"/>
      <c r="AIX181" s="1056"/>
      <c r="AIY181" s="1056"/>
      <c r="AIZ181" s="1056"/>
      <c r="AJA181" s="1056"/>
      <c r="AJB181" s="1056"/>
      <c r="AJC181" s="1056"/>
      <c r="AJD181" s="1056"/>
      <c r="AJE181" s="1056"/>
      <c r="AJF181" s="1056"/>
      <c r="AJG181" s="1056"/>
      <c r="AJH181" s="1056"/>
      <c r="AJI181" s="1056"/>
      <c r="AJJ181" s="1056"/>
      <c r="AJK181" s="1056"/>
      <c r="AJL181" s="1056"/>
      <c r="AJM181" s="1056"/>
      <c r="AJN181" s="1056"/>
      <c r="AJO181" s="1056"/>
      <c r="AJP181" s="1056"/>
      <c r="AJQ181" s="1056"/>
      <c r="AJR181" s="1056"/>
      <c r="AJS181" s="1056"/>
      <c r="AJT181" s="1056"/>
      <c r="AJU181" s="1056"/>
      <c r="AJV181" s="1056"/>
      <c r="AJW181" s="1056"/>
      <c r="AJX181" s="1056"/>
      <c r="AJY181" s="1056"/>
      <c r="AJZ181" s="1056"/>
      <c r="AKA181" s="1056"/>
      <c r="AKB181" s="1056"/>
      <c r="AKC181" s="1056"/>
      <c r="AKD181" s="1056"/>
      <c r="AKE181" s="1056"/>
      <c r="AKF181" s="1056"/>
      <c r="AKG181" s="1056"/>
      <c r="AKH181" s="1056"/>
      <c r="AKI181" s="1056"/>
      <c r="AKJ181" s="1056"/>
      <c r="AKK181" s="1056"/>
      <c r="AKL181" s="1056"/>
      <c r="AKM181" s="1056"/>
      <c r="AKN181" s="1056"/>
      <c r="AKO181" s="1056"/>
      <c r="AKP181" s="1056"/>
      <c r="AKQ181" s="1056"/>
      <c r="AKR181" s="1056"/>
      <c r="AKS181" s="1056"/>
      <c r="AKT181" s="1056"/>
      <c r="AKU181" s="1056"/>
      <c r="AKV181" s="1056"/>
      <c r="AKW181" s="1056"/>
      <c r="AKX181" s="1056"/>
      <c r="AKY181" s="1056"/>
      <c r="AKZ181" s="1056"/>
      <c r="ALA181" s="1056"/>
      <c r="ALB181" s="1056"/>
      <c r="ALC181" s="1056"/>
      <c r="ALD181" s="1056"/>
      <c r="ALE181" s="1056"/>
      <c r="ALF181" s="1056"/>
      <c r="ALG181" s="1056"/>
      <c r="ALH181" s="1056"/>
      <c r="ALI181" s="1056"/>
      <c r="ALJ181" s="1056"/>
      <c r="ALK181" s="1056"/>
      <c r="ALL181" s="1056"/>
      <c r="ALM181" s="1056"/>
      <c r="ALN181" s="1056"/>
      <c r="ALO181" s="1056"/>
      <c r="ALP181" s="1056"/>
      <c r="ALQ181" s="1056"/>
      <c r="ALR181" s="1056"/>
      <c r="ALS181" s="1056"/>
      <c r="ALT181" s="1056"/>
      <c r="ALU181" s="1056"/>
      <c r="ALV181" s="1056"/>
      <c r="ALW181" s="1056"/>
      <c r="ALX181" s="1056"/>
      <c r="ALY181" s="1056"/>
      <c r="ALZ181" s="1056"/>
      <c r="AMA181" s="1056"/>
      <c r="AMB181" s="1056"/>
      <c r="AMC181" s="1056"/>
      <c r="AMD181" s="1056"/>
      <c r="AME181" s="1056"/>
      <c r="AMF181" s="1056"/>
      <c r="AMG181" s="1056"/>
      <c r="AMH181" s="1056"/>
      <c r="AMI181" s="1056"/>
      <c r="AMJ181" s="1056"/>
      <c r="AMK181" s="1056"/>
      <c r="AML181" s="1056"/>
      <c r="AMM181" s="1056"/>
      <c r="AMN181" s="1056"/>
      <c r="AMO181" s="1056"/>
      <c r="AMP181" s="1056"/>
      <c r="AMQ181" s="1056"/>
      <c r="AMR181" s="1056"/>
      <c r="AMS181" s="1056"/>
      <c r="AMT181" s="1056"/>
      <c r="AMU181" s="1056"/>
      <c r="AMV181" s="1056"/>
      <c r="AMW181" s="1056"/>
      <c r="AMX181" s="1056"/>
      <c r="AMY181" s="1056"/>
      <c r="AMZ181" s="1056"/>
      <c r="ANA181" s="1056"/>
      <c r="ANB181" s="1056"/>
      <c r="ANC181" s="1056"/>
      <c r="AND181" s="1056"/>
      <c r="ANE181" s="1056"/>
      <c r="ANF181" s="1056"/>
      <c r="ANG181" s="1056"/>
      <c r="ANH181" s="1056"/>
      <c r="ANI181" s="1056"/>
      <c r="ANJ181" s="1056"/>
      <c r="ANK181" s="1056"/>
      <c r="ANL181" s="1056"/>
      <c r="ANM181" s="1056"/>
      <c r="ANN181" s="1056"/>
      <c r="ANO181" s="1056"/>
      <c r="ANP181" s="1056"/>
      <c r="ANQ181" s="1056"/>
      <c r="ANR181" s="1056"/>
      <c r="ANS181" s="1056"/>
      <c r="ANT181" s="1056"/>
      <c r="ANU181" s="1056"/>
      <c r="ANV181" s="1056"/>
      <c r="ANW181" s="1056"/>
      <c r="ANX181" s="1056"/>
      <c r="ANY181" s="1056"/>
      <c r="ANZ181" s="1056"/>
      <c r="AOA181" s="1056"/>
      <c r="AOB181" s="1056"/>
      <c r="AOC181" s="1056"/>
      <c r="AOD181" s="1056"/>
      <c r="AOE181" s="1056"/>
      <c r="AOF181" s="1056"/>
      <c r="AOG181" s="1056"/>
      <c r="AOH181" s="1056"/>
      <c r="AOI181" s="1056"/>
      <c r="AOJ181" s="1056"/>
      <c r="AOK181" s="1056"/>
      <c r="AOL181" s="1056"/>
      <c r="AOM181" s="1056"/>
      <c r="AON181" s="1056"/>
      <c r="AOO181" s="1056"/>
      <c r="AOP181" s="1056"/>
      <c r="AOQ181" s="1056"/>
      <c r="AOR181" s="1056"/>
      <c r="AOS181" s="1056"/>
      <c r="AOT181" s="1056"/>
      <c r="AOU181" s="1056"/>
      <c r="AOV181" s="1056"/>
      <c r="AOW181" s="1056"/>
      <c r="AOX181" s="1056"/>
      <c r="AOY181" s="1056"/>
      <c r="AOZ181" s="1056"/>
      <c r="APA181" s="1056"/>
      <c r="APB181" s="1056"/>
      <c r="APC181" s="1056"/>
      <c r="APD181" s="1056"/>
      <c r="APE181" s="1056"/>
      <c r="APF181" s="1056"/>
      <c r="APG181" s="1056"/>
      <c r="APH181" s="1056"/>
      <c r="API181" s="1056"/>
      <c r="APJ181" s="1056"/>
      <c r="APK181" s="1056"/>
      <c r="APL181" s="1056"/>
      <c r="APM181" s="1056"/>
      <c r="APN181" s="1056"/>
      <c r="APO181" s="1056"/>
      <c r="APP181" s="1056"/>
      <c r="APQ181" s="1056"/>
      <c r="APR181" s="1056"/>
      <c r="APS181" s="1056"/>
      <c r="APT181" s="1056"/>
      <c r="APU181" s="1056"/>
      <c r="APV181" s="1056"/>
      <c r="APW181" s="1056"/>
      <c r="APX181" s="1056"/>
      <c r="APY181" s="1056"/>
      <c r="APZ181" s="1056"/>
      <c r="AQA181" s="1056"/>
      <c r="AQB181" s="1056"/>
      <c r="AQC181" s="1056"/>
      <c r="AQD181" s="1056"/>
      <c r="AQE181" s="1056"/>
      <c r="AQF181" s="1056"/>
      <c r="AQG181" s="1056"/>
      <c r="AQH181" s="1056"/>
      <c r="AQI181" s="1056"/>
      <c r="AQJ181" s="1056"/>
      <c r="AQK181" s="1056"/>
      <c r="AQL181" s="1056"/>
      <c r="AQM181" s="1056"/>
      <c r="AQN181" s="1056"/>
      <c r="AQO181" s="1056"/>
      <c r="AQP181" s="1056"/>
      <c r="AQQ181" s="1056"/>
      <c r="AQR181" s="1056"/>
      <c r="AQS181" s="1056"/>
      <c r="AQT181" s="1056"/>
      <c r="AQU181" s="1056"/>
      <c r="AQV181" s="1056"/>
      <c r="AQW181" s="1056"/>
      <c r="AQX181" s="1056"/>
      <c r="AQY181" s="1056"/>
      <c r="AQZ181" s="1056"/>
      <c r="ARA181" s="1056"/>
      <c r="ARB181" s="1056"/>
      <c r="ARC181" s="1056"/>
      <c r="ARD181" s="1056"/>
      <c r="ARE181" s="1056"/>
      <c r="ARF181" s="1056"/>
      <c r="ARG181" s="1056"/>
      <c r="ARH181" s="1056"/>
      <c r="ARI181" s="1056"/>
      <c r="ARJ181" s="1056"/>
      <c r="ARK181" s="1056"/>
      <c r="ARL181" s="1056"/>
      <c r="ARM181" s="1056"/>
      <c r="ARN181" s="1056"/>
      <c r="ARO181" s="1056"/>
      <c r="ARP181" s="1056"/>
      <c r="ARQ181" s="1056"/>
      <c r="ARR181" s="1056"/>
      <c r="ARS181" s="1056"/>
      <c r="ART181" s="1056"/>
      <c r="ARU181" s="1056"/>
      <c r="ARV181" s="1056"/>
      <c r="ARW181" s="1056"/>
      <c r="ARX181" s="1056"/>
      <c r="ARY181" s="1056"/>
      <c r="ARZ181" s="1056"/>
      <c r="ASA181" s="1056"/>
      <c r="ASB181" s="1056"/>
      <c r="ASC181" s="1056"/>
      <c r="ASD181" s="1056"/>
      <c r="ASE181" s="1056"/>
      <c r="ASF181" s="1056"/>
      <c r="ASG181" s="1056"/>
      <c r="ASH181" s="1056"/>
      <c r="ASI181" s="1056"/>
      <c r="ASJ181" s="1056"/>
      <c r="ASK181" s="1056"/>
      <c r="ASL181" s="1056"/>
      <c r="ASM181" s="1056"/>
      <c r="ASN181" s="1056"/>
      <c r="ASO181" s="1056"/>
      <c r="ASP181" s="1056"/>
      <c r="ASQ181" s="1056"/>
      <c r="ASR181" s="1056"/>
      <c r="ASS181" s="1056"/>
      <c r="AST181" s="1056"/>
      <c r="ASU181" s="1056"/>
      <c r="ASV181" s="1056"/>
      <c r="ASW181" s="1056"/>
      <c r="ASX181" s="1056"/>
      <c r="ASY181" s="1056"/>
      <c r="ASZ181" s="1056"/>
      <c r="ATA181" s="1056"/>
      <c r="ATB181" s="1056"/>
      <c r="ATC181" s="1056"/>
      <c r="ATD181" s="1056"/>
      <c r="ATE181" s="1056"/>
      <c r="ATF181" s="1056"/>
      <c r="ATG181" s="1056"/>
      <c r="ATH181" s="1056"/>
      <c r="ATI181" s="1056"/>
      <c r="ATJ181" s="1056"/>
      <c r="ATK181" s="1056"/>
      <c r="ATL181" s="1056"/>
      <c r="ATM181" s="1056"/>
      <c r="ATN181" s="1056"/>
      <c r="ATO181" s="1056"/>
      <c r="ATP181" s="1056"/>
      <c r="ATQ181" s="1056"/>
      <c r="ATR181" s="1056"/>
      <c r="ATS181" s="1056"/>
      <c r="ATT181" s="1056"/>
      <c r="ATU181" s="1056"/>
      <c r="ATV181" s="1056"/>
      <c r="ATW181" s="1056"/>
      <c r="ATX181" s="1056"/>
      <c r="ATY181" s="1056"/>
      <c r="ATZ181" s="1056"/>
      <c r="AUA181" s="1056"/>
      <c r="AUB181" s="1056"/>
      <c r="AUC181" s="1056"/>
      <c r="AUD181" s="1056"/>
      <c r="AUE181" s="1056"/>
      <c r="AUF181" s="1056"/>
      <c r="AUG181" s="1056"/>
      <c r="AUH181" s="1056"/>
      <c r="AUI181" s="1056"/>
      <c r="AUJ181" s="1056"/>
      <c r="AUK181" s="1056"/>
      <c r="AUL181" s="1056"/>
      <c r="AUM181" s="1056"/>
      <c r="AUN181" s="1056"/>
      <c r="AUO181" s="1056"/>
      <c r="AUP181" s="1056"/>
      <c r="AUQ181" s="1056"/>
      <c r="AUR181" s="1056"/>
      <c r="AUS181" s="1056"/>
      <c r="AUT181" s="1056"/>
      <c r="AUU181" s="1056"/>
      <c r="AUV181" s="1056"/>
      <c r="AUW181" s="1056"/>
      <c r="AUX181" s="1056"/>
      <c r="AUY181" s="1056"/>
      <c r="AUZ181" s="1056"/>
      <c r="AVA181" s="1056"/>
      <c r="AVB181" s="1056"/>
      <c r="AVC181" s="1056"/>
      <c r="AVD181" s="1056"/>
      <c r="AVE181" s="1056"/>
      <c r="AVF181" s="1056"/>
      <c r="AVG181" s="1056"/>
      <c r="AVH181" s="1056"/>
      <c r="AVI181" s="1056"/>
      <c r="AVJ181" s="1056"/>
      <c r="AVK181" s="1056"/>
      <c r="AVL181" s="1056"/>
      <c r="AVM181" s="1056"/>
      <c r="AVN181" s="1056"/>
      <c r="AVO181" s="1056"/>
      <c r="AVP181" s="1056"/>
      <c r="AVQ181" s="1056"/>
      <c r="AVR181" s="1056"/>
      <c r="AVS181" s="1056"/>
      <c r="AVT181" s="1056"/>
      <c r="AVU181" s="1056"/>
      <c r="AVV181" s="1056"/>
      <c r="AVW181" s="1056"/>
      <c r="AVX181" s="1056"/>
      <c r="AVY181" s="1056"/>
      <c r="AVZ181" s="1056"/>
      <c r="AWA181" s="1056"/>
      <c r="AWB181" s="1056"/>
      <c r="AWC181" s="1056"/>
      <c r="AWD181" s="1056"/>
      <c r="AWE181" s="1056"/>
      <c r="AWF181" s="1056"/>
      <c r="AWG181" s="1056"/>
      <c r="AWH181" s="1056"/>
      <c r="AWI181" s="1056"/>
      <c r="AWJ181" s="1056"/>
      <c r="AWK181" s="1056"/>
      <c r="AWL181" s="1056"/>
      <c r="AWM181" s="1056"/>
      <c r="AWN181" s="1056"/>
      <c r="AWO181" s="1056"/>
      <c r="AWP181" s="1056"/>
      <c r="AWQ181" s="1056"/>
      <c r="AWR181" s="1056"/>
      <c r="AWS181" s="1056"/>
      <c r="AWT181" s="1056"/>
      <c r="AWU181" s="1056"/>
      <c r="AWV181" s="1056"/>
      <c r="AWW181" s="1056"/>
      <c r="AWX181" s="1056"/>
      <c r="AWY181" s="1056"/>
      <c r="AWZ181" s="1056"/>
      <c r="AXA181" s="1056"/>
      <c r="AXB181" s="1056"/>
      <c r="AXC181" s="1056"/>
      <c r="AXD181" s="1056"/>
      <c r="AXE181" s="1056"/>
      <c r="AXF181" s="1056"/>
      <c r="AXG181" s="1056"/>
      <c r="AXH181" s="1056"/>
      <c r="AXI181" s="1056"/>
      <c r="AXJ181" s="1056"/>
      <c r="AXK181" s="1056"/>
      <c r="AXL181" s="1056"/>
      <c r="AXM181" s="1056"/>
      <c r="AXN181" s="1056"/>
      <c r="AXO181" s="1056"/>
      <c r="AXP181" s="1056"/>
      <c r="AXQ181" s="1056"/>
      <c r="AXR181" s="1056"/>
      <c r="AXS181" s="1056"/>
      <c r="AXT181" s="1056"/>
      <c r="AXU181" s="1056"/>
      <c r="AXV181" s="1056"/>
      <c r="AXW181" s="1056"/>
      <c r="AXX181" s="1056"/>
      <c r="AXY181" s="1056"/>
      <c r="AXZ181" s="1056"/>
      <c r="AYA181" s="1056"/>
      <c r="AYB181" s="1056"/>
      <c r="AYC181" s="1056"/>
      <c r="AYD181" s="1056"/>
      <c r="AYE181" s="1056"/>
      <c r="AYF181" s="1056"/>
      <c r="AYG181" s="1056"/>
      <c r="AYH181" s="1056"/>
      <c r="AYI181" s="1056"/>
      <c r="AYJ181" s="1056"/>
      <c r="AYK181" s="1056"/>
      <c r="AYL181" s="1056"/>
      <c r="AYM181" s="1056"/>
      <c r="AYN181" s="1056"/>
      <c r="AYO181" s="1056"/>
      <c r="AYP181" s="1056"/>
      <c r="AYQ181" s="1056"/>
      <c r="AYR181" s="1056"/>
      <c r="AYS181" s="1056"/>
      <c r="AYT181" s="1056"/>
      <c r="AYU181" s="1056"/>
      <c r="AYV181" s="1056"/>
      <c r="AYW181" s="1056"/>
      <c r="AYX181" s="1056"/>
      <c r="AYY181" s="1056"/>
      <c r="AYZ181" s="1056"/>
      <c r="AZA181" s="1056"/>
      <c r="AZB181" s="1056"/>
      <c r="AZC181" s="1056"/>
      <c r="AZD181" s="1056"/>
      <c r="AZE181" s="1056"/>
      <c r="AZF181" s="1056"/>
      <c r="AZG181" s="1056"/>
      <c r="AZH181" s="1056"/>
      <c r="AZI181" s="1056"/>
      <c r="AZJ181" s="1056"/>
      <c r="AZK181" s="1056"/>
      <c r="AZL181" s="1056"/>
      <c r="AZM181" s="1056"/>
      <c r="AZN181" s="1056"/>
      <c r="AZO181" s="1056"/>
      <c r="AZP181" s="1056"/>
      <c r="AZQ181" s="1056"/>
      <c r="AZR181" s="1056"/>
      <c r="AZS181" s="1056"/>
      <c r="AZT181" s="1056"/>
      <c r="AZU181" s="1056"/>
      <c r="AZV181" s="1056"/>
      <c r="AZW181" s="1056"/>
      <c r="AZX181" s="1056"/>
      <c r="AZY181" s="1056"/>
      <c r="AZZ181" s="1056"/>
      <c r="BAA181" s="1056"/>
      <c r="BAB181" s="1056"/>
      <c r="BAC181" s="1056"/>
      <c r="BAD181" s="1056"/>
      <c r="BAE181" s="1056"/>
      <c r="BAF181" s="1056"/>
      <c r="BAG181" s="1056"/>
      <c r="BAH181" s="1056"/>
      <c r="BAI181" s="1056"/>
      <c r="BAJ181" s="1056"/>
      <c r="BAK181" s="1056"/>
      <c r="BAL181" s="1056"/>
      <c r="BAM181" s="1056"/>
      <c r="BAN181" s="1056"/>
      <c r="BAO181" s="1056"/>
      <c r="BAP181" s="1056"/>
      <c r="BAQ181" s="1056"/>
      <c r="BAR181" s="1056"/>
      <c r="BAS181" s="1056"/>
      <c r="BAT181" s="1056"/>
      <c r="BAU181" s="1056"/>
      <c r="BAV181" s="1056"/>
      <c r="BAW181" s="1056"/>
      <c r="BAX181" s="1056"/>
      <c r="BAY181" s="1056"/>
      <c r="BAZ181" s="1056"/>
      <c r="BBA181" s="1056"/>
      <c r="BBB181" s="1056"/>
      <c r="BBC181" s="1056"/>
      <c r="BBD181" s="1056"/>
      <c r="BBE181" s="1056"/>
      <c r="BBF181" s="1056"/>
      <c r="BBG181" s="1056"/>
      <c r="BBH181" s="1056"/>
      <c r="BBI181" s="1056"/>
      <c r="BBJ181" s="1056"/>
      <c r="BBK181" s="1056"/>
      <c r="BBL181" s="1056"/>
      <c r="BBM181" s="1056"/>
      <c r="BBN181" s="1056"/>
      <c r="BBO181" s="1056"/>
      <c r="BBP181" s="1056"/>
      <c r="BBQ181" s="1056"/>
      <c r="BBR181" s="1056"/>
      <c r="BBS181" s="1056"/>
      <c r="BBT181" s="1056"/>
      <c r="BBU181" s="1056"/>
      <c r="BBV181" s="1056"/>
      <c r="BBW181" s="1056"/>
      <c r="BBX181" s="1056"/>
      <c r="BBY181" s="1056"/>
      <c r="BBZ181" s="1056"/>
      <c r="BCA181" s="1056"/>
      <c r="BCB181" s="1056"/>
      <c r="BCC181" s="1056"/>
      <c r="BCD181" s="1056"/>
      <c r="BCE181" s="1056"/>
      <c r="BCF181" s="1056"/>
      <c r="BCG181" s="1056"/>
      <c r="BCH181" s="1056"/>
      <c r="BCI181" s="1056"/>
      <c r="BCJ181" s="1056"/>
      <c r="BCK181" s="1056"/>
      <c r="BCL181" s="1056"/>
      <c r="BCM181" s="1056"/>
      <c r="BCN181" s="1056"/>
      <c r="BCO181" s="1056"/>
      <c r="BCP181" s="1056"/>
      <c r="BCQ181" s="1056"/>
      <c r="BCR181" s="1056"/>
      <c r="BCS181" s="1056"/>
      <c r="BCT181" s="1056"/>
      <c r="BCU181" s="1056"/>
      <c r="BCV181" s="1056"/>
      <c r="BCW181" s="1056"/>
      <c r="BCX181" s="1056"/>
      <c r="BCY181" s="1056"/>
      <c r="BCZ181" s="1056"/>
      <c r="BDA181" s="1056"/>
      <c r="BDB181" s="1056"/>
      <c r="BDC181" s="1056"/>
      <c r="BDD181" s="1056"/>
      <c r="BDE181" s="1056"/>
      <c r="BDF181" s="1056"/>
      <c r="BDG181" s="1056"/>
      <c r="BDH181" s="1056"/>
      <c r="BDI181" s="1056"/>
      <c r="BDJ181" s="1056"/>
      <c r="BDK181" s="1056"/>
      <c r="BDL181" s="1056"/>
      <c r="BDM181" s="1056"/>
      <c r="BDN181" s="1056"/>
      <c r="BDO181" s="1056"/>
      <c r="BDP181" s="1056"/>
      <c r="BDQ181" s="1056"/>
      <c r="BDR181" s="1056"/>
      <c r="BDS181" s="1056"/>
      <c r="BDT181" s="1056"/>
      <c r="BDU181" s="1056"/>
      <c r="BDV181" s="1056"/>
      <c r="BDW181" s="1056"/>
      <c r="BDX181" s="1056"/>
      <c r="BDY181" s="1056"/>
      <c r="BDZ181" s="1056"/>
      <c r="BEA181" s="1056"/>
      <c r="BEB181" s="1056"/>
      <c r="BEC181" s="1056"/>
      <c r="BED181" s="1056"/>
      <c r="BEE181" s="1056"/>
      <c r="BEF181" s="1056"/>
      <c r="BEG181" s="1056"/>
      <c r="BEH181" s="1056"/>
      <c r="BEI181" s="1056"/>
      <c r="BEJ181" s="1056"/>
      <c r="BEK181" s="1056"/>
      <c r="BEL181" s="1056"/>
      <c r="BEM181" s="1056"/>
      <c r="BEN181" s="1056"/>
      <c r="BEO181" s="1056"/>
      <c r="BEP181" s="1056"/>
      <c r="BEQ181" s="1056"/>
      <c r="BER181" s="1056"/>
      <c r="BES181" s="1056"/>
      <c r="BET181" s="1056"/>
      <c r="BEU181" s="1056"/>
      <c r="BEV181" s="1056"/>
      <c r="BEW181" s="1056"/>
      <c r="BEX181" s="1056"/>
      <c r="BEY181" s="1056"/>
      <c r="BEZ181" s="1056"/>
      <c r="BFA181" s="1056"/>
      <c r="BFB181" s="1056"/>
      <c r="BFC181" s="1056"/>
      <c r="BFD181" s="1056"/>
      <c r="BFE181" s="1056"/>
      <c r="BFF181" s="1056"/>
      <c r="BFG181" s="1056"/>
      <c r="BFH181" s="1056"/>
      <c r="BFI181" s="1056"/>
      <c r="BFJ181" s="1056"/>
      <c r="BFK181" s="1056"/>
      <c r="BFL181" s="1056"/>
      <c r="BFM181" s="1056"/>
      <c r="BFN181" s="1056"/>
      <c r="BFO181" s="1056"/>
      <c r="BFP181" s="1056"/>
      <c r="BFQ181" s="1056"/>
      <c r="BFR181" s="1056"/>
      <c r="BFS181" s="1056"/>
      <c r="BFT181" s="1056"/>
      <c r="BFU181" s="1056"/>
      <c r="BFV181" s="1056"/>
      <c r="BFW181" s="1056"/>
      <c r="BFX181" s="1056"/>
      <c r="BFY181" s="1056"/>
      <c r="BFZ181" s="1056"/>
      <c r="BGA181" s="1056"/>
      <c r="BGB181" s="1056"/>
      <c r="BGC181" s="1056"/>
      <c r="BGD181" s="1056"/>
      <c r="BGE181" s="1056"/>
      <c r="BGF181" s="1056"/>
      <c r="BGG181" s="1056"/>
      <c r="BGH181" s="1056"/>
      <c r="BGI181" s="1056"/>
      <c r="BGJ181" s="1056"/>
      <c r="BGK181" s="1056"/>
      <c r="BGL181" s="1056"/>
      <c r="BGM181" s="1056"/>
      <c r="BGN181" s="1056"/>
      <c r="BGO181" s="1056"/>
      <c r="BGP181" s="1056"/>
      <c r="BGQ181" s="1056"/>
      <c r="BGR181" s="1056"/>
      <c r="BGS181" s="1056"/>
      <c r="BGT181" s="1056"/>
      <c r="BGU181" s="1056"/>
      <c r="BGV181" s="1056"/>
      <c r="BGW181" s="1056"/>
      <c r="BGX181" s="1056"/>
      <c r="BGY181" s="1056"/>
      <c r="BGZ181" s="1056"/>
      <c r="BHA181" s="1056"/>
      <c r="BHB181" s="1056"/>
      <c r="BHC181" s="1056"/>
      <c r="BHD181" s="1056"/>
      <c r="BHE181" s="1056"/>
      <c r="BHF181" s="1056"/>
      <c r="BHG181" s="1056"/>
      <c r="BHH181" s="1056"/>
      <c r="BHI181" s="1056"/>
      <c r="BHJ181" s="1056"/>
      <c r="BHK181" s="1056"/>
      <c r="BHL181" s="1056"/>
      <c r="BHM181" s="1056"/>
      <c r="BHN181" s="1056"/>
      <c r="BHO181" s="1056"/>
      <c r="BHP181" s="1056"/>
      <c r="BHQ181" s="1056"/>
      <c r="BHR181" s="1056"/>
      <c r="BHS181" s="1056"/>
      <c r="BHT181" s="1056"/>
      <c r="BHU181" s="1056"/>
      <c r="BHV181" s="1056"/>
      <c r="BHW181" s="1056"/>
      <c r="BHX181" s="1056"/>
      <c r="BHY181" s="1056"/>
      <c r="BHZ181" s="1056"/>
      <c r="BIA181" s="1056"/>
      <c r="BIB181" s="1056"/>
      <c r="BIC181" s="1056"/>
      <c r="BID181" s="1056"/>
      <c r="BIE181" s="1056"/>
      <c r="BIF181" s="1056"/>
      <c r="BIG181" s="1056"/>
      <c r="BIH181" s="1056"/>
      <c r="BII181" s="1056"/>
      <c r="BIJ181" s="1056"/>
      <c r="BIK181" s="1056"/>
      <c r="BIL181" s="1056"/>
      <c r="BIM181" s="1056"/>
      <c r="BIN181" s="1056"/>
      <c r="BIO181" s="1056"/>
      <c r="BIP181" s="1056"/>
      <c r="BIQ181" s="1056"/>
      <c r="BIR181" s="1056"/>
      <c r="BIS181" s="1056"/>
      <c r="BIT181" s="1056"/>
      <c r="BIU181" s="1056"/>
      <c r="BIV181" s="1056"/>
      <c r="BIW181" s="1056"/>
      <c r="BIX181" s="1056"/>
      <c r="BIY181" s="1056"/>
      <c r="BIZ181" s="1056"/>
      <c r="BJA181" s="1056"/>
      <c r="BJB181" s="1056"/>
      <c r="BJC181" s="1056"/>
      <c r="BJD181" s="1056"/>
      <c r="BJE181" s="1056"/>
      <c r="BJF181" s="1056"/>
      <c r="BJG181" s="1056"/>
      <c r="BJH181" s="1056"/>
      <c r="BJI181" s="1056"/>
      <c r="BJJ181" s="1056"/>
      <c r="BJK181" s="1056"/>
      <c r="BJL181" s="1056"/>
      <c r="BJM181" s="1056"/>
      <c r="BJN181" s="1056"/>
      <c r="BJO181" s="1056"/>
      <c r="BJP181" s="1056"/>
      <c r="BJQ181" s="1056"/>
      <c r="BJR181" s="1056"/>
      <c r="BJS181" s="1056"/>
      <c r="BJT181" s="1056"/>
      <c r="BJU181" s="1056"/>
      <c r="BJV181" s="1056"/>
      <c r="BJW181" s="1056"/>
      <c r="BJX181" s="1056"/>
      <c r="BJY181" s="1056"/>
      <c r="BJZ181" s="1056"/>
      <c r="BKA181" s="1056"/>
      <c r="BKB181" s="1056"/>
      <c r="BKC181" s="1056"/>
      <c r="BKD181" s="1056"/>
      <c r="BKE181" s="1056"/>
      <c r="BKF181" s="1056"/>
      <c r="BKG181" s="1056"/>
      <c r="BKH181" s="1056"/>
      <c r="BKI181" s="1056"/>
      <c r="BKJ181" s="1056"/>
      <c r="BKK181" s="1056"/>
      <c r="BKL181" s="1056"/>
      <c r="BKM181" s="1056"/>
      <c r="BKN181" s="1056"/>
      <c r="BKO181" s="1056"/>
      <c r="BKP181" s="1056"/>
      <c r="BKQ181" s="1056"/>
      <c r="BKR181" s="1056"/>
      <c r="BKS181" s="1056"/>
      <c r="BKT181" s="1056"/>
      <c r="BKU181" s="1056"/>
      <c r="BKV181" s="1056"/>
      <c r="BKW181" s="1056"/>
      <c r="BKX181" s="1056"/>
      <c r="BKY181" s="1056"/>
      <c r="BKZ181" s="1056"/>
      <c r="BLA181" s="1056"/>
      <c r="BLB181" s="1056"/>
      <c r="BLC181" s="1056"/>
      <c r="BLD181" s="1056"/>
      <c r="BLE181" s="1056"/>
      <c r="BLF181" s="1056"/>
      <c r="BLG181" s="1056"/>
      <c r="BLH181" s="1056"/>
      <c r="BLI181" s="1056"/>
      <c r="BLJ181" s="1056"/>
      <c r="BLK181" s="1056"/>
      <c r="BLL181" s="1056"/>
      <c r="BLM181" s="1056"/>
      <c r="BLN181" s="1056"/>
      <c r="BLO181" s="1056"/>
      <c r="BLP181" s="1056"/>
      <c r="BLQ181" s="1056"/>
      <c r="BLR181" s="1056"/>
      <c r="BLS181" s="1056"/>
      <c r="BLT181" s="1056"/>
      <c r="BLU181" s="1056"/>
      <c r="BLV181" s="1056"/>
      <c r="BLW181" s="1056"/>
      <c r="BLX181" s="1056"/>
      <c r="BLY181" s="1056"/>
      <c r="BLZ181" s="1056"/>
      <c r="BMA181" s="1056"/>
      <c r="BMB181" s="1056"/>
      <c r="BMC181" s="1056"/>
      <c r="BMD181" s="1056"/>
      <c r="BME181" s="1056"/>
      <c r="BMF181" s="1056"/>
      <c r="BMG181" s="1056"/>
      <c r="BMH181" s="1056"/>
      <c r="BMI181" s="1056"/>
      <c r="BMJ181" s="1056"/>
      <c r="BMK181" s="1056"/>
      <c r="BML181" s="1056"/>
      <c r="BMM181" s="1056"/>
      <c r="BMN181" s="1056"/>
      <c r="BMO181" s="1056"/>
      <c r="BMP181" s="1056"/>
      <c r="BMQ181" s="1056"/>
      <c r="BMR181" s="1056"/>
      <c r="BMS181" s="1056"/>
      <c r="BMT181" s="1056"/>
      <c r="BMU181" s="1056"/>
      <c r="BMV181" s="1056"/>
      <c r="BMW181" s="1056"/>
      <c r="BMX181" s="1056"/>
      <c r="BMY181" s="1056"/>
      <c r="BMZ181" s="1056"/>
      <c r="BNA181" s="1056"/>
      <c r="BNB181" s="1056"/>
      <c r="BNC181" s="1056"/>
      <c r="BND181" s="1056"/>
      <c r="BNE181" s="1056"/>
      <c r="BNF181" s="1056"/>
      <c r="BNG181" s="1056"/>
      <c r="BNH181" s="1056"/>
      <c r="BNI181" s="1056"/>
      <c r="BNJ181" s="1056"/>
      <c r="BNK181" s="1056"/>
      <c r="BNL181" s="1056"/>
      <c r="BNM181" s="1056"/>
      <c r="BNN181" s="1056"/>
      <c r="BNO181" s="1056"/>
      <c r="BNP181" s="1056"/>
      <c r="BNQ181" s="1056"/>
      <c r="BNR181" s="1056"/>
      <c r="BNS181" s="1056"/>
      <c r="BNT181" s="1056"/>
      <c r="BNU181" s="1056"/>
      <c r="BNV181" s="1056"/>
      <c r="BNW181" s="1056"/>
      <c r="BNX181" s="1056"/>
      <c r="BNY181" s="1056"/>
      <c r="BNZ181" s="1056"/>
      <c r="BOA181" s="1056"/>
      <c r="BOB181" s="1056"/>
      <c r="BOC181" s="1056"/>
      <c r="BOD181" s="1056"/>
      <c r="BOE181" s="1056"/>
      <c r="BOF181" s="1056"/>
      <c r="BOG181" s="1056"/>
      <c r="BOH181" s="1056"/>
      <c r="BOI181" s="1056"/>
      <c r="BOJ181" s="1056"/>
      <c r="BOK181" s="1056"/>
      <c r="BOL181" s="1056"/>
      <c r="BOM181" s="1056"/>
      <c r="BON181" s="1056"/>
      <c r="BOO181" s="1056"/>
      <c r="BOP181" s="1056"/>
      <c r="BOQ181" s="1056"/>
      <c r="BOR181" s="1056"/>
      <c r="BOS181" s="1056"/>
      <c r="BOT181" s="1056"/>
      <c r="BOU181" s="1056"/>
      <c r="BOV181" s="1056"/>
      <c r="BOW181" s="1056"/>
      <c r="BOX181" s="1056"/>
      <c r="BOY181" s="1056"/>
      <c r="BOZ181" s="1056"/>
      <c r="BPA181" s="1056"/>
      <c r="BPB181" s="1056"/>
      <c r="BPC181" s="1056"/>
      <c r="BPD181" s="1056"/>
      <c r="BPE181" s="1056"/>
      <c r="BPF181" s="1056"/>
      <c r="BPG181" s="1056"/>
      <c r="BPH181" s="1056"/>
      <c r="BPI181" s="1056"/>
      <c r="BPJ181" s="1056"/>
      <c r="BPK181" s="1056"/>
      <c r="BPL181" s="1056"/>
      <c r="BPM181" s="1056"/>
      <c r="BPN181" s="1056"/>
      <c r="BPO181" s="1056"/>
      <c r="BPP181" s="1056"/>
      <c r="BPQ181" s="1056"/>
      <c r="BPR181" s="1056"/>
      <c r="BPS181" s="1056"/>
      <c r="BPT181" s="1056"/>
      <c r="BPU181" s="1056"/>
      <c r="BPV181" s="1056"/>
      <c r="BPW181" s="1056"/>
      <c r="BPX181" s="1056"/>
      <c r="BPY181" s="1056"/>
      <c r="BPZ181" s="1056"/>
      <c r="BQA181" s="1056"/>
      <c r="BQB181" s="1056"/>
      <c r="BQC181" s="1056"/>
      <c r="BQD181" s="1056"/>
      <c r="BQE181" s="1056"/>
      <c r="BQF181" s="1056"/>
      <c r="BQG181" s="1056"/>
      <c r="BQH181" s="1056"/>
      <c r="BQI181" s="1056"/>
      <c r="BQJ181" s="1056"/>
      <c r="BQK181" s="1056"/>
      <c r="BQL181" s="1056"/>
      <c r="BQM181" s="1056"/>
      <c r="BQN181" s="1056"/>
      <c r="BQO181" s="1056"/>
      <c r="BQP181" s="1056"/>
      <c r="BQQ181" s="1056"/>
      <c r="BQR181" s="1056"/>
      <c r="BQS181" s="1056"/>
      <c r="BQT181" s="1056"/>
      <c r="BQU181" s="1056"/>
      <c r="BQV181" s="1056"/>
      <c r="BQW181" s="1056"/>
      <c r="BQX181" s="1056"/>
      <c r="BQY181" s="1056"/>
      <c r="BQZ181" s="1056"/>
      <c r="BRA181" s="1056"/>
      <c r="BRB181" s="1056"/>
      <c r="BRC181" s="1056"/>
      <c r="BRD181" s="1056"/>
      <c r="BRE181" s="1056"/>
      <c r="BRF181" s="1056"/>
      <c r="BRG181" s="1056"/>
      <c r="BRH181" s="1056"/>
      <c r="BRI181" s="1056"/>
      <c r="BRJ181" s="1056"/>
      <c r="BRK181" s="1056"/>
      <c r="BRL181" s="1056"/>
      <c r="BRM181" s="1056"/>
      <c r="BRN181" s="1056"/>
      <c r="BRO181" s="1056"/>
      <c r="BRP181" s="1056"/>
      <c r="BRQ181" s="1056"/>
      <c r="BRR181" s="1056"/>
      <c r="BRS181" s="1056"/>
      <c r="BRT181" s="1056"/>
      <c r="BRU181" s="1056"/>
      <c r="BRV181" s="1056"/>
      <c r="BRW181" s="1056"/>
      <c r="BRX181" s="1056"/>
      <c r="BRY181" s="1056"/>
      <c r="BRZ181" s="1056"/>
      <c r="BSA181" s="1056"/>
      <c r="BSB181" s="1056"/>
      <c r="BSC181" s="1056"/>
      <c r="BSD181" s="1056"/>
      <c r="BSE181" s="1056"/>
      <c r="BSF181" s="1056"/>
      <c r="BSG181" s="1056"/>
      <c r="BSH181" s="1056"/>
      <c r="BSI181" s="1056"/>
      <c r="BSJ181" s="1056"/>
      <c r="BSK181" s="1056"/>
      <c r="BSL181" s="1056"/>
      <c r="BSM181" s="1056"/>
      <c r="BSN181" s="1056"/>
      <c r="BSO181" s="1056"/>
      <c r="BSP181" s="1056"/>
      <c r="BSQ181" s="1056"/>
      <c r="BSR181" s="1056"/>
      <c r="BSS181" s="1056"/>
      <c r="BST181" s="1056"/>
      <c r="BSU181" s="1056"/>
      <c r="BSV181" s="1056"/>
      <c r="BSW181" s="1056"/>
      <c r="BSX181" s="1056"/>
      <c r="BSY181" s="1056"/>
      <c r="BSZ181" s="1056"/>
      <c r="BTA181" s="1056"/>
      <c r="BTB181" s="1056"/>
      <c r="BTC181" s="1056"/>
      <c r="BTD181" s="1056"/>
      <c r="BTE181" s="1056"/>
      <c r="BTF181" s="1056"/>
      <c r="BTG181" s="1056"/>
      <c r="BTH181" s="1056"/>
      <c r="BTI181" s="1056"/>
    </row>
    <row r="182" spans="1:1881" s="1060" customFormat="1" ht="102.75" hidden="1" customHeight="1" x14ac:dyDescent="0.3">
      <c r="A182" s="1059">
        <v>50</v>
      </c>
      <c r="B182" s="808" t="s">
        <v>64</v>
      </c>
      <c r="C182" s="808" t="s">
        <v>1413</v>
      </c>
      <c r="D182" s="1052" t="s">
        <v>1418</v>
      </c>
      <c r="E182" s="1053" t="e">
        <f>HLOOKUP($D$2,'2020 Data(H)'!$C$1:$AI$426,37,FALSE)</f>
        <v>#N/A</v>
      </c>
      <c r="F182" s="285">
        <v>0</v>
      </c>
      <c r="G182" s="722">
        <f>IF(H182=0,,"Error: Total revenues less total expenses do not equal total change in net position. Account number 84-85+350-351+191+352-353-50=0  The amount of the formula is in the cell to the right")</f>
        <v>0</v>
      </c>
      <c r="H182" s="1054">
        <f>F172-F174+F176-F177+F178+F179-F181-F182</f>
        <v>0</v>
      </c>
      <c r="I182" s="1055"/>
      <c r="J182" s="1056"/>
      <c r="K182" s="1056"/>
      <c r="L182" s="1056"/>
      <c r="M182" s="1056"/>
      <c r="N182" s="1058"/>
      <c r="O182" s="1056"/>
      <c r="P182" s="1056"/>
      <c r="Q182" s="1056"/>
      <c r="R182" s="1056"/>
      <c r="S182" s="1056"/>
      <c r="T182" s="1056"/>
      <c r="U182" s="1056"/>
      <c r="V182" s="1056"/>
      <c r="W182" s="1056"/>
      <c r="X182" s="1056"/>
      <c r="Y182" s="1056"/>
      <c r="Z182" s="1059"/>
      <c r="AA182" s="1059"/>
      <c r="AB182" s="1059"/>
      <c r="AC182" s="1059"/>
      <c r="AD182" s="1059"/>
      <c r="AE182" s="1059"/>
      <c r="AF182" s="1059"/>
      <c r="AG182" s="1059"/>
      <c r="AH182" s="1059"/>
      <c r="AI182" s="1059"/>
      <c r="AJ182" s="1059"/>
      <c r="AK182" s="1059"/>
      <c r="AL182" s="1059"/>
      <c r="AM182" s="1059"/>
      <c r="AN182" s="1059"/>
      <c r="AO182" s="1059"/>
      <c r="AP182" s="1059"/>
      <c r="AQ182" s="1059"/>
      <c r="AR182" s="1059"/>
      <c r="AS182" s="1056"/>
      <c r="AT182" s="1056"/>
      <c r="AU182" s="1056"/>
      <c r="AV182" s="1056"/>
      <c r="AW182" s="1056"/>
      <c r="AX182" s="1056"/>
      <c r="AY182" s="1056"/>
      <c r="AZ182" s="1056"/>
      <c r="BA182" s="1056"/>
      <c r="BB182" s="1056"/>
      <c r="BC182" s="1056"/>
      <c r="BD182" s="1056"/>
      <c r="BE182" s="1056"/>
      <c r="BF182" s="1056"/>
      <c r="BG182" s="1056"/>
      <c r="BH182" s="1056"/>
      <c r="BI182" s="1056"/>
      <c r="BJ182" s="1056"/>
      <c r="BK182" s="1056"/>
      <c r="BL182" s="1056"/>
      <c r="BM182" s="1056"/>
      <c r="BN182" s="1056"/>
      <c r="BO182" s="1056"/>
      <c r="BP182" s="1056"/>
      <c r="BQ182" s="1056"/>
      <c r="BR182" s="1056"/>
      <c r="BS182" s="1056"/>
      <c r="BT182" s="1056"/>
      <c r="BU182" s="1056"/>
      <c r="BV182" s="1056"/>
      <c r="BW182" s="1056"/>
      <c r="BX182" s="1056"/>
      <c r="BY182" s="1056"/>
      <c r="BZ182" s="1056"/>
      <c r="CA182" s="1056"/>
      <c r="CB182" s="1056"/>
      <c r="CC182" s="1056"/>
      <c r="CD182" s="1056"/>
      <c r="CE182" s="1056"/>
      <c r="CF182" s="1056"/>
      <c r="CG182" s="1056"/>
      <c r="CH182" s="1056"/>
      <c r="CI182" s="1056"/>
      <c r="CJ182" s="1056"/>
      <c r="CK182" s="1056"/>
      <c r="CL182" s="1056"/>
      <c r="CM182" s="1056"/>
      <c r="CN182" s="1056"/>
      <c r="CO182" s="1056"/>
      <c r="CP182" s="1056"/>
      <c r="CQ182" s="1056"/>
      <c r="CR182" s="1056"/>
      <c r="CS182" s="1056"/>
      <c r="CT182" s="1056"/>
      <c r="CU182" s="1056"/>
      <c r="CV182" s="1056"/>
      <c r="CW182" s="1056"/>
      <c r="CX182" s="1056"/>
      <c r="CY182" s="1056"/>
      <c r="CZ182" s="1056"/>
      <c r="DA182" s="1056"/>
      <c r="DB182" s="1056"/>
      <c r="DC182" s="1056"/>
      <c r="DD182" s="1056"/>
      <c r="DE182" s="1056"/>
      <c r="DF182" s="1056"/>
      <c r="DG182" s="1056"/>
      <c r="DH182" s="1056"/>
      <c r="DI182" s="1056"/>
      <c r="DJ182" s="1056"/>
      <c r="DK182" s="1056"/>
      <c r="DL182" s="1056"/>
      <c r="DM182" s="1056"/>
      <c r="DN182" s="1056"/>
      <c r="DO182" s="1056"/>
      <c r="DP182" s="1056"/>
      <c r="DQ182" s="1056"/>
      <c r="DR182" s="1056"/>
      <c r="DS182" s="1056"/>
      <c r="DT182" s="1056"/>
      <c r="DU182" s="1056"/>
      <c r="DV182" s="1056"/>
      <c r="DW182" s="1056"/>
      <c r="DX182" s="1056"/>
      <c r="DY182" s="1056"/>
      <c r="DZ182" s="1056"/>
      <c r="EA182" s="1056"/>
      <c r="EB182" s="1056"/>
      <c r="EC182" s="1056"/>
      <c r="ED182" s="1056"/>
      <c r="EE182" s="1056"/>
      <c r="EF182" s="1056"/>
      <c r="EG182" s="1056"/>
      <c r="EH182" s="1056"/>
      <c r="EI182" s="1056"/>
      <c r="EJ182" s="1056"/>
      <c r="EK182" s="1056"/>
      <c r="EL182" s="1056"/>
      <c r="EM182" s="1056"/>
      <c r="EN182" s="1056"/>
      <c r="EO182" s="1056"/>
      <c r="EP182" s="1056"/>
      <c r="EQ182" s="1056"/>
      <c r="ER182" s="1056"/>
      <c r="ES182" s="1056"/>
      <c r="ET182" s="1056"/>
      <c r="EU182" s="1056"/>
      <c r="EV182" s="1056"/>
      <c r="EW182" s="1056"/>
      <c r="EX182" s="1056"/>
      <c r="EY182" s="1056"/>
      <c r="EZ182" s="1056"/>
      <c r="FA182" s="1056"/>
      <c r="FB182" s="1056"/>
      <c r="FC182" s="1056"/>
      <c r="FD182" s="1056"/>
      <c r="FE182" s="1056"/>
      <c r="FF182" s="1056"/>
      <c r="FG182" s="1056"/>
      <c r="FH182" s="1056"/>
      <c r="FI182" s="1056"/>
      <c r="FJ182" s="1056"/>
      <c r="FK182" s="1056"/>
      <c r="FL182" s="1056"/>
      <c r="FM182" s="1056"/>
      <c r="FN182" s="1056"/>
      <c r="FO182" s="1056"/>
      <c r="FP182" s="1056"/>
      <c r="FQ182" s="1056"/>
      <c r="FR182" s="1056"/>
      <c r="FS182" s="1056"/>
      <c r="FT182" s="1056"/>
      <c r="FU182" s="1056"/>
      <c r="FV182" s="1056"/>
      <c r="FW182" s="1056"/>
      <c r="FX182" s="1056"/>
      <c r="FY182" s="1056"/>
      <c r="FZ182" s="1056"/>
      <c r="GA182" s="1056"/>
      <c r="GB182" s="1056"/>
      <c r="GC182" s="1056"/>
      <c r="GD182" s="1056"/>
      <c r="GE182" s="1056"/>
      <c r="GF182" s="1056"/>
      <c r="GG182" s="1056"/>
      <c r="GH182" s="1056"/>
      <c r="GI182" s="1056"/>
      <c r="GJ182" s="1056"/>
      <c r="GK182" s="1056"/>
      <c r="GL182" s="1056"/>
      <c r="GM182" s="1056"/>
      <c r="GN182" s="1056"/>
      <c r="GO182" s="1056"/>
      <c r="GP182" s="1056"/>
      <c r="GQ182" s="1056"/>
      <c r="GR182" s="1056"/>
      <c r="GS182" s="1056"/>
      <c r="GT182" s="1056"/>
      <c r="GU182" s="1056"/>
      <c r="GV182" s="1056"/>
      <c r="GW182" s="1056"/>
      <c r="GX182" s="1056"/>
      <c r="GY182" s="1056"/>
      <c r="GZ182" s="1056"/>
      <c r="HA182" s="1056"/>
      <c r="HB182" s="1056"/>
      <c r="HC182" s="1056"/>
      <c r="HD182" s="1056"/>
      <c r="HE182" s="1056"/>
      <c r="HF182" s="1056"/>
      <c r="HG182" s="1056"/>
      <c r="HH182" s="1056"/>
      <c r="HI182" s="1056"/>
      <c r="HJ182" s="1056"/>
      <c r="HK182" s="1056"/>
      <c r="HL182" s="1056"/>
      <c r="HM182" s="1056"/>
      <c r="HN182" s="1056"/>
      <c r="HO182" s="1056"/>
      <c r="HP182" s="1056"/>
      <c r="HQ182" s="1056"/>
      <c r="HR182" s="1056"/>
      <c r="HS182" s="1056"/>
      <c r="HT182" s="1056"/>
      <c r="HU182" s="1056"/>
      <c r="HV182" s="1056"/>
      <c r="HW182" s="1056"/>
      <c r="HX182" s="1056"/>
      <c r="HY182" s="1056"/>
      <c r="HZ182" s="1056"/>
      <c r="IA182" s="1056"/>
      <c r="IB182" s="1056"/>
      <c r="IC182" s="1056"/>
      <c r="ID182" s="1056"/>
      <c r="IE182" s="1056"/>
      <c r="IF182" s="1056"/>
      <c r="IG182" s="1056"/>
      <c r="IH182" s="1056"/>
      <c r="II182" s="1056"/>
      <c r="IJ182" s="1056"/>
      <c r="IK182" s="1056"/>
      <c r="IL182" s="1056"/>
      <c r="IM182" s="1056"/>
      <c r="IN182" s="1056"/>
      <c r="IO182" s="1056"/>
      <c r="IP182" s="1056"/>
      <c r="IQ182" s="1056"/>
      <c r="IR182" s="1056"/>
      <c r="IS182" s="1056"/>
      <c r="IT182" s="1056"/>
      <c r="IU182" s="1056"/>
      <c r="IV182" s="1056"/>
      <c r="IW182" s="1056"/>
      <c r="IX182" s="1056"/>
      <c r="IY182" s="1056"/>
      <c r="IZ182" s="1056"/>
      <c r="JA182" s="1056"/>
      <c r="JB182" s="1056"/>
      <c r="JC182" s="1056"/>
      <c r="JD182" s="1056"/>
      <c r="JE182" s="1056"/>
      <c r="JF182" s="1056"/>
      <c r="JG182" s="1056"/>
      <c r="JH182" s="1056"/>
      <c r="JI182" s="1056"/>
      <c r="JJ182" s="1056"/>
      <c r="JK182" s="1056"/>
      <c r="JL182" s="1056"/>
      <c r="JM182" s="1056"/>
      <c r="JN182" s="1056"/>
      <c r="JO182" s="1056"/>
      <c r="JP182" s="1056"/>
      <c r="JQ182" s="1056"/>
      <c r="JR182" s="1056"/>
      <c r="JS182" s="1056"/>
      <c r="JT182" s="1056"/>
      <c r="JU182" s="1056"/>
      <c r="JV182" s="1056"/>
      <c r="JW182" s="1056"/>
      <c r="JX182" s="1056"/>
      <c r="JY182" s="1056"/>
      <c r="JZ182" s="1056"/>
      <c r="KA182" s="1056"/>
      <c r="KB182" s="1056"/>
      <c r="KC182" s="1056"/>
      <c r="KD182" s="1056"/>
      <c r="KE182" s="1056"/>
      <c r="KF182" s="1056"/>
      <c r="KG182" s="1056"/>
      <c r="KH182" s="1056"/>
      <c r="KI182" s="1056"/>
      <c r="KJ182" s="1056"/>
      <c r="KK182" s="1056"/>
      <c r="KL182" s="1056"/>
      <c r="KM182" s="1056"/>
      <c r="KN182" s="1056"/>
      <c r="KO182" s="1056"/>
      <c r="KP182" s="1056"/>
      <c r="KQ182" s="1056"/>
      <c r="KR182" s="1056"/>
      <c r="KS182" s="1056"/>
      <c r="KT182" s="1056"/>
      <c r="KU182" s="1056"/>
      <c r="KV182" s="1056"/>
      <c r="KW182" s="1056"/>
      <c r="KX182" s="1056"/>
      <c r="KY182" s="1056"/>
      <c r="KZ182" s="1056"/>
      <c r="LA182" s="1056"/>
      <c r="LB182" s="1056"/>
      <c r="LC182" s="1056"/>
      <c r="LD182" s="1056"/>
      <c r="LE182" s="1056"/>
      <c r="LF182" s="1056"/>
      <c r="LG182" s="1056"/>
      <c r="LH182" s="1056"/>
      <c r="LI182" s="1056"/>
      <c r="LJ182" s="1056"/>
      <c r="LK182" s="1056"/>
      <c r="LL182" s="1056"/>
      <c r="LM182" s="1056"/>
      <c r="LN182" s="1056"/>
      <c r="LO182" s="1056"/>
      <c r="LP182" s="1056"/>
      <c r="LQ182" s="1056"/>
      <c r="LR182" s="1056"/>
      <c r="LS182" s="1056"/>
      <c r="LT182" s="1056"/>
      <c r="LU182" s="1056"/>
      <c r="LV182" s="1056"/>
      <c r="LW182" s="1056"/>
      <c r="LX182" s="1056"/>
      <c r="LY182" s="1056"/>
      <c r="LZ182" s="1056"/>
      <c r="MA182" s="1056"/>
      <c r="MB182" s="1056"/>
      <c r="MC182" s="1056"/>
      <c r="MD182" s="1056"/>
      <c r="ME182" s="1056"/>
      <c r="MF182" s="1056"/>
      <c r="MG182" s="1056"/>
      <c r="MH182" s="1056"/>
      <c r="MI182" s="1056"/>
      <c r="MJ182" s="1056"/>
      <c r="MK182" s="1056"/>
      <c r="ML182" s="1056"/>
      <c r="MM182" s="1056"/>
      <c r="MN182" s="1056"/>
      <c r="MO182" s="1056"/>
      <c r="MP182" s="1056"/>
      <c r="MQ182" s="1056"/>
      <c r="MR182" s="1056"/>
      <c r="MS182" s="1056"/>
      <c r="MT182" s="1056"/>
      <c r="MU182" s="1056"/>
      <c r="MV182" s="1056"/>
      <c r="MW182" s="1056"/>
      <c r="MX182" s="1056"/>
      <c r="MY182" s="1056"/>
      <c r="MZ182" s="1056"/>
      <c r="NA182" s="1056"/>
      <c r="NB182" s="1056"/>
      <c r="NC182" s="1056"/>
      <c r="ND182" s="1056"/>
      <c r="NE182" s="1056"/>
      <c r="NF182" s="1056"/>
      <c r="NG182" s="1056"/>
      <c r="NH182" s="1056"/>
      <c r="NI182" s="1056"/>
      <c r="NJ182" s="1056"/>
      <c r="NK182" s="1056"/>
      <c r="NL182" s="1056"/>
      <c r="NM182" s="1056"/>
      <c r="NN182" s="1056"/>
      <c r="NO182" s="1056"/>
      <c r="NP182" s="1056"/>
      <c r="NQ182" s="1056"/>
      <c r="NR182" s="1056"/>
      <c r="NS182" s="1056"/>
      <c r="NT182" s="1056"/>
      <c r="NU182" s="1056"/>
      <c r="NV182" s="1056"/>
      <c r="NW182" s="1056"/>
      <c r="NX182" s="1056"/>
      <c r="NY182" s="1056"/>
      <c r="NZ182" s="1056"/>
      <c r="OA182" s="1056"/>
      <c r="OB182" s="1056"/>
      <c r="OC182" s="1056"/>
      <c r="OD182" s="1056"/>
      <c r="OE182" s="1056"/>
      <c r="OF182" s="1056"/>
      <c r="OG182" s="1056"/>
      <c r="OH182" s="1056"/>
      <c r="OI182" s="1056"/>
      <c r="OJ182" s="1056"/>
      <c r="OK182" s="1056"/>
      <c r="OL182" s="1056"/>
      <c r="OM182" s="1056"/>
      <c r="ON182" s="1056"/>
      <c r="OO182" s="1056"/>
      <c r="OP182" s="1056"/>
      <c r="OQ182" s="1056"/>
      <c r="OR182" s="1056"/>
      <c r="OS182" s="1056"/>
      <c r="OT182" s="1056"/>
      <c r="OU182" s="1056"/>
      <c r="OV182" s="1056"/>
      <c r="OW182" s="1056"/>
      <c r="OX182" s="1056"/>
      <c r="OY182" s="1056"/>
      <c r="OZ182" s="1056"/>
      <c r="PA182" s="1056"/>
      <c r="PB182" s="1056"/>
      <c r="PC182" s="1056"/>
      <c r="PD182" s="1056"/>
      <c r="PE182" s="1056"/>
      <c r="PF182" s="1056"/>
      <c r="PG182" s="1056"/>
      <c r="PH182" s="1056"/>
      <c r="PI182" s="1056"/>
      <c r="PJ182" s="1056"/>
      <c r="PK182" s="1056"/>
      <c r="PL182" s="1056"/>
      <c r="PM182" s="1056"/>
      <c r="PN182" s="1056"/>
      <c r="PO182" s="1056"/>
      <c r="PP182" s="1056"/>
      <c r="PQ182" s="1056"/>
      <c r="PR182" s="1056"/>
      <c r="PS182" s="1056"/>
      <c r="PT182" s="1056"/>
      <c r="PU182" s="1056"/>
      <c r="PV182" s="1056"/>
      <c r="PW182" s="1056"/>
      <c r="PX182" s="1056"/>
      <c r="PY182" s="1056"/>
      <c r="PZ182" s="1056"/>
      <c r="QA182" s="1056"/>
      <c r="QB182" s="1056"/>
      <c r="QC182" s="1056"/>
      <c r="QD182" s="1056"/>
      <c r="QE182" s="1056"/>
      <c r="QF182" s="1056"/>
      <c r="QG182" s="1056"/>
      <c r="QH182" s="1056"/>
      <c r="QI182" s="1056"/>
      <c r="QJ182" s="1056"/>
      <c r="QK182" s="1056"/>
      <c r="QL182" s="1056"/>
      <c r="QM182" s="1056"/>
      <c r="QN182" s="1056"/>
      <c r="QO182" s="1056"/>
      <c r="QP182" s="1056"/>
      <c r="QQ182" s="1056"/>
      <c r="QR182" s="1056"/>
      <c r="QS182" s="1056"/>
      <c r="QT182" s="1056"/>
      <c r="QU182" s="1056"/>
      <c r="QV182" s="1056"/>
      <c r="QW182" s="1056"/>
      <c r="QX182" s="1056"/>
      <c r="QY182" s="1056"/>
      <c r="QZ182" s="1056"/>
      <c r="RA182" s="1056"/>
      <c r="RB182" s="1056"/>
      <c r="RC182" s="1056"/>
      <c r="RD182" s="1056"/>
      <c r="RE182" s="1056"/>
      <c r="RF182" s="1056"/>
      <c r="RG182" s="1056"/>
      <c r="RH182" s="1056"/>
      <c r="RI182" s="1056"/>
      <c r="RJ182" s="1056"/>
      <c r="RK182" s="1056"/>
      <c r="RL182" s="1056"/>
      <c r="RM182" s="1056"/>
      <c r="RN182" s="1056"/>
      <c r="RO182" s="1056"/>
      <c r="RP182" s="1056"/>
      <c r="RQ182" s="1056"/>
      <c r="RR182" s="1056"/>
      <c r="RS182" s="1056"/>
      <c r="RT182" s="1056"/>
      <c r="RU182" s="1056"/>
      <c r="RV182" s="1056"/>
      <c r="RW182" s="1056"/>
      <c r="RX182" s="1056"/>
      <c r="RY182" s="1056"/>
      <c r="RZ182" s="1056"/>
      <c r="SA182" s="1056"/>
      <c r="SB182" s="1056"/>
      <c r="SC182" s="1056"/>
      <c r="SD182" s="1056"/>
      <c r="SE182" s="1056"/>
      <c r="SF182" s="1056"/>
      <c r="SG182" s="1056"/>
      <c r="SH182" s="1056"/>
      <c r="SI182" s="1056"/>
      <c r="SJ182" s="1056"/>
      <c r="SK182" s="1056"/>
      <c r="SL182" s="1056"/>
      <c r="SM182" s="1056"/>
      <c r="SN182" s="1056"/>
      <c r="SO182" s="1056"/>
      <c r="SP182" s="1056"/>
      <c r="SQ182" s="1056"/>
      <c r="SR182" s="1056"/>
      <c r="SS182" s="1056"/>
      <c r="ST182" s="1056"/>
      <c r="SU182" s="1056"/>
      <c r="SV182" s="1056"/>
      <c r="SW182" s="1056"/>
      <c r="SX182" s="1056"/>
      <c r="SY182" s="1056"/>
      <c r="SZ182" s="1056"/>
      <c r="TA182" s="1056"/>
      <c r="TB182" s="1056"/>
      <c r="TC182" s="1056"/>
      <c r="TD182" s="1056"/>
      <c r="TE182" s="1056"/>
      <c r="TF182" s="1056"/>
      <c r="TG182" s="1056"/>
      <c r="TH182" s="1056"/>
      <c r="TI182" s="1056"/>
      <c r="TJ182" s="1056"/>
      <c r="TK182" s="1056"/>
      <c r="TL182" s="1056"/>
      <c r="TM182" s="1056"/>
      <c r="TN182" s="1056"/>
      <c r="TO182" s="1056"/>
      <c r="TP182" s="1056"/>
      <c r="TQ182" s="1056"/>
      <c r="TR182" s="1056"/>
      <c r="TS182" s="1056"/>
      <c r="TT182" s="1056"/>
      <c r="TU182" s="1056"/>
      <c r="TV182" s="1056"/>
      <c r="TW182" s="1056"/>
      <c r="TX182" s="1056"/>
      <c r="TY182" s="1056"/>
      <c r="TZ182" s="1056"/>
      <c r="UA182" s="1056"/>
      <c r="UB182" s="1056"/>
      <c r="UC182" s="1056"/>
      <c r="UD182" s="1056"/>
      <c r="UE182" s="1056"/>
      <c r="UF182" s="1056"/>
      <c r="UG182" s="1056"/>
      <c r="UH182" s="1056"/>
      <c r="UI182" s="1056"/>
      <c r="UJ182" s="1056"/>
      <c r="UK182" s="1056"/>
      <c r="UL182" s="1056"/>
      <c r="UM182" s="1056"/>
      <c r="UN182" s="1056"/>
      <c r="UO182" s="1056"/>
      <c r="UP182" s="1056"/>
      <c r="UQ182" s="1056"/>
      <c r="UR182" s="1056"/>
      <c r="US182" s="1056"/>
      <c r="UT182" s="1056"/>
      <c r="UU182" s="1056"/>
      <c r="UV182" s="1056"/>
      <c r="UW182" s="1056"/>
      <c r="UX182" s="1056"/>
      <c r="UY182" s="1056"/>
      <c r="UZ182" s="1056"/>
      <c r="VA182" s="1056"/>
      <c r="VB182" s="1056"/>
      <c r="VC182" s="1056"/>
      <c r="VD182" s="1056"/>
      <c r="VE182" s="1056"/>
      <c r="VF182" s="1056"/>
      <c r="VG182" s="1056"/>
      <c r="VH182" s="1056"/>
      <c r="VI182" s="1056"/>
      <c r="VJ182" s="1056"/>
      <c r="VK182" s="1056"/>
      <c r="VL182" s="1056"/>
      <c r="VM182" s="1056"/>
      <c r="VN182" s="1056"/>
      <c r="VO182" s="1056"/>
      <c r="VP182" s="1056"/>
      <c r="VQ182" s="1056"/>
      <c r="VR182" s="1056"/>
      <c r="VS182" s="1056"/>
      <c r="VT182" s="1056"/>
      <c r="VU182" s="1056"/>
      <c r="VV182" s="1056"/>
      <c r="VW182" s="1056"/>
      <c r="VX182" s="1056"/>
      <c r="VY182" s="1056"/>
      <c r="VZ182" s="1056"/>
      <c r="WA182" s="1056"/>
      <c r="WB182" s="1056"/>
      <c r="WC182" s="1056"/>
      <c r="WD182" s="1056"/>
      <c r="WE182" s="1056"/>
      <c r="WF182" s="1056"/>
      <c r="WG182" s="1056"/>
      <c r="WH182" s="1056"/>
      <c r="WI182" s="1056"/>
      <c r="WJ182" s="1056"/>
      <c r="WK182" s="1056"/>
      <c r="WL182" s="1056"/>
      <c r="WM182" s="1056"/>
      <c r="WN182" s="1056"/>
      <c r="WO182" s="1056"/>
      <c r="WP182" s="1056"/>
      <c r="WQ182" s="1056"/>
      <c r="WR182" s="1056"/>
      <c r="WS182" s="1056"/>
      <c r="WT182" s="1056"/>
      <c r="WU182" s="1056"/>
      <c r="WV182" s="1056"/>
      <c r="WW182" s="1056"/>
      <c r="WX182" s="1056"/>
      <c r="WY182" s="1056"/>
      <c r="WZ182" s="1056"/>
      <c r="XA182" s="1056"/>
      <c r="XB182" s="1056"/>
      <c r="XC182" s="1056"/>
      <c r="XD182" s="1056"/>
      <c r="XE182" s="1056"/>
      <c r="XF182" s="1056"/>
      <c r="XG182" s="1056"/>
      <c r="XH182" s="1056"/>
      <c r="XI182" s="1056"/>
      <c r="XJ182" s="1056"/>
      <c r="XK182" s="1056"/>
      <c r="XL182" s="1056"/>
      <c r="XM182" s="1056"/>
      <c r="XN182" s="1056"/>
      <c r="XO182" s="1056"/>
      <c r="XP182" s="1056"/>
      <c r="XQ182" s="1056"/>
      <c r="XR182" s="1056"/>
      <c r="XS182" s="1056"/>
      <c r="XT182" s="1056"/>
      <c r="XU182" s="1056"/>
      <c r="XV182" s="1056"/>
      <c r="XW182" s="1056"/>
      <c r="XX182" s="1056"/>
      <c r="XY182" s="1056"/>
      <c r="XZ182" s="1056"/>
      <c r="YA182" s="1056"/>
      <c r="YB182" s="1056"/>
      <c r="YC182" s="1056"/>
      <c r="YD182" s="1056"/>
      <c r="YE182" s="1056"/>
      <c r="YF182" s="1056"/>
      <c r="YG182" s="1056"/>
      <c r="YH182" s="1056"/>
      <c r="YI182" s="1056"/>
      <c r="YJ182" s="1056"/>
      <c r="YK182" s="1056"/>
      <c r="YL182" s="1056"/>
      <c r="YM182" s="1056"/>
      <c r="YN182" s="1056"/>
      <c r="YO182" s="1056"/>
      <c r="YP182" s="1056"/>
      <c r="YQ182" s="1056"/>
      <c r="YR182" s="1056"/>
      <c r="YS182" s="1056"/>
      <c r="YT182" s="1056"/>
      <c r="YU182" s="1056"/>
      <c r="YV182" s="1056"/>
      <c r="YW182" s="1056"/>
      <c r="YX182" s="1056"/>
      <c r="YY182" s="1056"/>
      <c r="YZ182" s="1056"/>
      <c r="ZA182" s="1056"/>
      <c r="ZB182" s="1056"/>
      <c r="ZC182" s="1056"/>
      <c r="ZD182" s="1056"/>
      <c r="ZE182" s="1056"/>
      <c r="ZF182" s="1056"/>
      <c r="ZG182" s="1056"/>
      <c r="ZH182" s="1056"/>
      <c r="ZI182" s="1056"/>
      <c r="ZJ182" s="1056"/>
      <c r="ZK182" s="1056"/>
      <c r="ZL182" s="1056"/>
      <c r="ZM182" s="1056"/>
      <c r="ZN182" s="1056"/>
      <c r="ZO182" s="1056"/>
      <c r="ZP182" s="1056"/>
      <c r="ZQ182" s="1056"/>
      <c r="ZR182" s="1056"/>
      <c r="ZS182" s="1056"/>
      <c r="ZT182" s="1056"/>
      <c r="ZU182" s="1056"/>
      <c r="ZV182" s="1056"/>
      <c r="ZW182" s="1056"/>
      <c r="ZX182" s="1056"/>
      <c r="ZY182" s="1056"/>
      <c r="ZZ182" s="1056"/>
      <c r="AAA182" s="1056"/>
      <c r="AAB182" s="1056"/>
      <c r="AAC182" s="1056"/>
      <c r="AAD182" s="1056"/>
      <c r="AAE182" s="1056"/>
      <c r="AAF182" s="1056"/>
      <c r="AAG182" s="1056"/>
      <c r="AAH182" s="1056"/>
      <c r="AAI182" s="1056"/>
      <c r="AAJ182" s="1056"/>
      <c r="AAK182" s="1056"/>
      <c r="AAL182" s="1056"/>
      <c r="AAM182" s="1056"/>
      <c r="AAN182" s="1056"/>
      <c r="AAO182" s="1056"/>
      <c r="AAP182" s="1056"/>
      <c r="AAQ182" s="1056"/>
      <c r="AAR182" s="1056"/>
      <c r="AAS182" s="1056"/>
      <c r="AAT182" s="1056"/>
      <c r="AAU182" s="1056"/>
      <c r="AAV182" s="1056"/>
      <c r="AAW182" s="1056"/>
      <c r="AAX182" s="1056"/>
      <c r="AAY182" s="1056"/>
      <c r="AAZ182" s="1056"/>
      <c r="ABA182" s="1056"/>
      <c r="ABB182" s="1056"/>
      <c r="ABC182" s="1056"/>
      <c r="ABD182" s="1056"/>
      <c r="ABE182" s="1056"/>
      <c r="ABF182" s="1056"/>
      <c r="ABG182" s="1056"/>
      <c r="ABH182" s="1056"/>
      <c r="ABI182" s="1056"/>
      <c r="ABJ182" s="1056"/>
      <c r="ABK182" s="1056"/>
      <c r="ABL182" s="1056"/>
      <c r="ABM182" s="1056"/>
      <c r="ABN182" s="1056"/>
      <c r="ABO182" s="1056"/>
      <c r="ABP182" s="1056"/>
      <c r="ABQ182" s="1056"/>
      <c r="ABR182" s="1056"/>
      <c r="ABS182" s="1056"/>
      <c r="ABT182" s="1056"/>
      <c r="ABU182" s="1056"/>
      <c r="ABV182" s="1056"/>
      <c r="ABW182" s="1056"/>
      <c r="ABX182" s="1056"/>
      <c r="ABY182" s="1056"/>
      <c r="ABZ182" s="1056"/>
      <c r="ACA182" s="1056"/>
      <c r="ACB182" s="1056"/>
      <c r="ACC182" s="1056"/>
      <c r="ACD182" s="1056"/>
      <c r="ACE182" s="1056"/>
      <c r="ACF182" s="1056"/>
      <c r="ACG182" s="1056"/>
      <c r="ACH182" s="1056"/>
      <c r="ACI182" s="1056"/>
      <c r="ACJ182" s="1056"/>
      <c r="ACK182" s="1056"/>
      <c r="ACL182" s="1056"/>
      <c r="ACM182" s="1056"/>
      <c r="ACN182" s="1056"/>
      <c r="ACO182" s="1056"/>
      <c r="ACP182" s="1056"/>
      <c r="ACQ182" s="1056"/>
      <c r="ACR182" s="1056"/>
      <c r="ACS182" s="1056"/>
      <c r="ACT182" s="1056"/>
      <c r="ACU182" s="1056"/>
      <c r="ACV182" s="1056"/>
      <c r="ACW182" s="1056"/>
      <c r="ACX182" s="1056"/>
      <c r="ACY182" s="1056"/>
      <c r="ACZ182" s="1056"/>
      <c r="ADA182" s="1056"/>
      <c r="ADB182" s="1056"/>
      <c r="ADC182" s="1056"/>
      <c r="ADD182" s="1056"/>
      <c r="ADE182" s="1056"/>
      <c r="ADF182" s="1056"/>
      <c r="ADG182" s="1056"/>
      <c r="ADH182" s="1056"/>
      <c r="ADI182" s="1056"/>
      <c r="ADJ182" s="1056"/>
      <c r="ADK182" s="1056"/>
      <c r="ADL182" s="1056"/>
      <c r="ADM182" s="1056"/>
      <c r="ADN182" s="1056"/>
      <c r="ADO182" s="1056"/>
      <c r="ADP182" s="1056"/>
      <c r="ADQ182" s="1056"/>
      <c r="ADR182" s="1056"/>
      <c r="ADS182" s="1056"/>
      <c r="ADT182" s="1056"/>
      <c r="ADU182" s="1056"/>
      <c r="ADV182" s="1056"/>
      <c r="ADW182" s="1056"/>
      <c r="ADX182" s="1056"/>
      <c r="ADY182" s="1056"/>
      <c r="ADZ182" s="1056"/>
      <c r="AEA182" s="1056"/>
      <c r="AEB182" s="1056"/>
      <c r="AEC182" s="1056"/>
      <c r="AED182" s="1056"/>
      <c r="AEE182" s="1056"/>
      <c r="AEF182" s="1056"/>
      <c r="AEG182" s="1056"/>
      <c r="AEH182" s="1056"/>
      <c r="AEI182" s="1056"/>
      <c r="AEJ182" s="1056"/>
      <c r="AEK182" s="1056"/>
      <c r="AEL182" s="1056"/>
      <c r="AEM182" s="1056"/>
      <c r="AEN182" s="1056"/>
      <c r="AEO182" s="1056"/>
      <c r="AEP182" s="1056"/>
      <c r="AEQ182" s="1056"/>
      <c r="AER182" s="1056"/>
      <c r="AES182" s="1056"/>
      <c r="AET182" s="1056"/>
      <c r="AEU182" s="1056"/>
      <c r="AEV182" s="1056"/>
      <c r="AEW182" s="1056"/>
      <c r="AEX182" s="1056"/>
      <c r="AEY182" s="1056"/>
      <c r="AEZ182" s="1056"/>
      <c r="AFA182" s="1056"/>
      <c r="AFB182" s="1056"/>
      <c r="AFC182" s="1056"/>
      <c r="AFD182" s="1056"/>
      <c r="AFE182" s="1056"/>
      <c r="AFF182" s="1056"/>
      <c r="AFG182" s="1056"/>
      <c r="AFH182" s="1056"/>
      <c r="AFI182" s="1056"/>
      <c r="AFJ182" s="1056"/>
      <c r="AFK182" s="1056"/>
      <c r="AFL182" s="1056"/>
      <c r="AFM182" s="1056"/>
      <c r="AFN182" s="1056"/>
      <c r="AFO182" s="1056"/>
      <c r="AFP182" s="1056"/>
      <c r="AFQ182" s="1056"/>
      <c r="AFR182" s="1056"/>
      <c r="AFS182" s="1056"/>
      <c r="AFT182" s="1056"/>
      <c r="AFU182" s="1056"/>
      <c r="AFV182" s="1056"/>
      <c r="AFW182" s="1056"/>
      <c r="AFX182" s="1056"/>
      <c r="AFY182" s="1056"/>
      <c r="AFZ182" s="1056"/>
      <c r="AGA182" s="1056"/>
      <c r="AGB182" s="1056"/>
      <c r="AGC182" s="1056"/>
      <c r="AGD182" s="1056"/>
      <c r="AGE182" s="1056"/>
      <c r="AGF182" s="1056"/>
      <c r="AGG182" s="1056"/>
      <c r="AGH182" s="1056"/>
      <c r="AGI182" s="1056"/>
      <c r="AGJ182" s="1056"/>
      <c r="AGK182" s="1056"/>
      <c r="AGL182" s="1056"/>
      <c r="AGM182" s="1056"/>
      <c r="AGN182" s="1056"/>
      <c r="AGO182" s="1056"/>
      <c r="AGP182" s="1056"/>
      <c r="AGQ182" s="1056"/>
      <c r="AGR182" s="1056"/>
      <c r="AGS182" s="1056"/>
      <c r="AGT182" s="1056"/>
      <c r="AGU182" s="1056"/>
      <c r="AGV182" s="1056"/>
      <c r="AGW182" s="1056"/>
      <c r="AGX182" s="1056"/>
      <c r="AGY182" s="1056"/>
      <c r="AGZ182" s="1056"/>
      <c r="AHA182" s="1056"/>
      <c r="AHB182" s="1056"/>
      <c r="AHC182" s="1056"/>
      <c r="AHD182" s="1056"/>
      <c r="AHE182" s="1056"/>
      <c r="AHF182" s="1056"/>
      <c r="AHG182" s="1056"/>
      <c r="AHH182" s="1056"/>
      <c r="AHI182" s="1056"/>
      <c r="AHJ182" s="1056"/>
      <c r="AHK182" s="1056"/>
      <c r="AHL182" s="1056"/>
      <c r="AHM182" s="1056"/>
      <c r="AHN182" s="1056"/>
      <c r="AHO182" s="1056"/>
      <c r="AHP182" s="1056"/>
      <c r="AHQ182" s="1056"/>
      <c r="AHR182" s="1056"/>
      <c r="AHS182" s="1056"/>
      <c r="AHT182" s="1056"/>
      <c r="AHU182" s="1056"/>
      <c r="AHV182" s="1056"/>
      <c r="AHW182" s="1056"/>
      <c r="AHX182" s="1056"/>
      <c r="AHY182" s="1056"/>
      <c r="AHZ182" s="1056"/>
      <c r="AIA182" s="1056"/>
      <c r="AIB182" s="1056"/>
      <c r="AIC182" s="1056"/>
      <c r="AID182" s="1056"/>
      <c r="AIE182" s="1056"/>
      <c r="AIF182" s="1056"/>
      <c r="AIG182" s="1056"/>
      <c r="AIH182" s="1056"/>
      <c r="AII182" s="1056"/>
      <c r="AIJ182" s="1056"/>
      <c r="AIK182" s="1056"/>
      <c r="AIL182" s="1056"/>
      <c r="AIM182" s="1056"/>
      <c r="AIN182" s="1056"/>
      <c r="AIO182" s="1056"/>
      <c r="AIP182" s="1056"/>
      <c r="AIQ182" s="1056"/>
      <c r="AIR182" s="1056"/>
      <c r="AIS182" s="1056"/>
      <c r="AIT182" s="1056"/>
      <c r="AIU182" s="1056"/>
      <c r="AIV182" s="1056"/>
      <c r="AIW182" s="1056"/>
      <c r="AIX182" s="1056"/>
      <c r="AIY182" s="1056"/>
      <c r="AIZ182" s="1056"/>
      <c r="AJA182" s="1056"/>
      <c r="AJB182" s="1056"/>
      <c r="AJC182" s="1056"/>
      <c r="AJD182" s="1056"/>
      <c r="AJE182" s="1056"/>
      <c r="AJF182" s="1056"/>
      <c r="AJG182" s="1056"/>
      <c r="AJH182" s="1056"/>
      <c r="AJI182" s="1056"/>
      <c r="AJJ182" s="1056"/>
      <c r="AJK182" s="1056"/>
      <c r="AJL182" s="1056"/>
      <c r="AJM182" s="1056"/>
      <c r="AJN182" s="1056"/>
      <c r="AJO182" s="1056"/>
      <c r="AJP182" s="1056"/>
      <c r="AJQ182" s="1056"/>
      <c r="AJR182" s="1056"/>
      <c r="AJS182" s="1056"/>
      <c r="AJT182" s="1056"/>
      <c r="AJU182" s="1056"/>
      <c r="AJV182" s="1056"/>
      <c r="AJW182" s="1056"/>
      <c r="AJX182" s="1056"/>
      <c r="AJY182" s="1056"/>
      <c r="AJZ182" s="1056"/>
      <c r="AKA182" s="1056"/>
      <c r="AKB182" s="1056"/>
      <c r="AKC182" s="1056"/>
      <c r="AKD182" s="1056"/>
      <c r="AKE182" s="1056"/>
      <c r="AKF182" s="1056"/>
      <c r="AKG182" s="1056"/>
      <c r="AKH182" s="1056"/>
      <c r="AKI182" s="1056"/>
      <c r="AKJ182" s="1056"/>
      <c r="AKK182" s="1056"/>
      <c r="AKL182" s="1056"/>
      <c r="AKM182" s="1056"/>
      <c r="AKN182" s="1056"/>
      <c r="AKO182" s="1056"/>
      <c r="AKP182" s="1056"/>
      <c r="AKQ182" s="1056"/>
      <c r="AKR182" s="1056"/>
      <c r="AKS182" s="1056"/>
      <c r="AKT182" s="1056"/>
      <c r="AKU182" s="1056"/>
      <c r="AKV182" s="1056"/>
      <c r="AKW182" s="1056"/>
      <c r="AKX182" s="1056"/>
      <c r="AKY182" s="1056"/>
      <c r="AKZ182" s="1056"/>
      <c r="ALA182" s="1056"/>
      <c r="ALB182" s="1056"/>
      <c r="ALC182" s="1056"/>
      <c r="ALD182" s="1056"/>
      <c r="ALE182" s="1056"/>
      <c r="ALF182" s="1056"/>
      <c r="ALG182" s="1056"/>
      <c r="ALH182" s="1056"/>
      <c r="ALI182" s="1056"/>
      <c r="ALJ182" s="1056"/>
      <c r="ALK182" s="1056"/>
      <c r="ALL182" s="1056"/>
      <c r="ALM182" s="1056"/>
      <c r="ALN182" s="1056"/>
      <c r="ALO182" s="1056"/>
      <c r="ALP182" s="1056"/>
      <c r="ALQ182" s="1056"/>
      <c r="ALR182" s="1056"/>
      <c r="ALS182" s="1056"/>
      <c r="ALT182" s="1056"/>
      <c r="ALU182" s="1056"/>
      <c r="ALV182" s="1056"/>
      <c r="ALW182" s="1056"/>
      <c r="ALX182" s="1056"/>
      <c r="ALY182" s="1056"/>
      <c r="ALZ182" s="1056"/>
      <c r="AMA182" s="1056"/>
      <c r="AMB182" s="1056"/>
      <c r="AMC182" s="1056"/>
      <c r="AMD182" s="1056"/>
      <c r="AME182" s="1056"/>
      <c r="AMF182" s="1056"/>
      <c r="AMG182" s="1056"/>
      <c r="AMH182" s="1056"/>
      <c r="AMI182" s="1056"/>
      <c r="AMJ182" s="1056"/>
      <c r="AMK182" s="1056"/>
      <c r="AML182" s="1056"/>
      <c r="AMM182" s="1056"/>
      <c r="AMN182" s="1056"/>
      <c r="AMO182" s="1056"/>
      <c r="AMP182" s="1056"/>
      <c r="AMQ182" s="1056"/>
      <c r="AMR182" s="1056"/>
      <c r="AMS182" s="1056"/>
      <c r="AMT182" s="1056"/>
      <c r="AMU182" s="1056"/>
      <c r="AMV182" s="1056"/>
      <c r="AMW182" s="1056"/>
      <c r="AMX182" s="1056"/>
      <c r="AMY182" s="1056"/>
      <c r="AMZ182" s="1056"/>
      <c r="ANA182" s="1056"/>
      <c r="ANB182" s="1056"/>
      <c r="ANC182" s="1056"/>
      <c r="AND182" s="1056"/>
      <c r="ANE182" s="1056"/>
      <c r="ANF182" s="1056"/>
      <c r="ANG182" s="1056"/>
      <c r="ANH182" s="1056"/>
      <c r="ANI182" s="1056"/>
      <c r="ANJ182" s="1056"/>
      <c r="ANK182" s="1056"/>
      <c r="ANL182" s="1056"/>
      <c r="ANM182" s="1056"/>
      <c r="ANN182" s="1056"/>
      <c r="ANO182" s="1056"/>
      <c r="ANP182" s="1056"/>
      <c r="ANQ182" s="1056"/>
      <c r="ANR182" s="1056"/>
      <c r="ANS182" s="1056"/>
      <c r="ANT182" s="1056"/>
      <c r="ANU182" s="1056"/>
      <c r="ANV182" s="1056"/>
      <c r="ANW182" s="1056"/>
      <c r="ANX182" s="1056"/>
      <c r="ANY182" s="1056"/>
      <c r="ANZ182" s="1056"/>
      <c r="AOA182" s="1056"/>
      <c r="AOB182" s="1056"/>
      <c r="AOC182" s="1056"/>
      <c r="AOD182" s="1056"/>
      <c r="AOE182" s="1056"/>
      <c r="AOF182" s="1056"/>
      <c r="AOG182" s="1056"/>
      <c r="AOH182" s="1056"/>
      <c r="AOI182" s="1056"/>
      <c r="AOJ182" s="1056"/>
      <c r="AOK182" s="1056"/>
      <c r="AOL182" s="1056"/>
      <c r="AOM182" s="1056"/>
      <c r="AON182" s="1056"/>
      <c r="AOO182" s="1056"/>
      <c r="AOP182" s="1056"/>
      <c r="AOQ182" s="1056"/>
      <c r="AOR182" s="1056"/>
      <c r="AOS182" s="1056"/>
      <c r="AOT182" s="1056"/>
      <c r="AOU182" s="1056"/>
      <c r="AOV182" s="1056"/>
      <c r="AOW182" s="1056"/>
      <c r="AOX182" s="1056"/>
      <c r="AOY182" s="1056"/>
      <c r="AOZ182" s="1056"/>
      <c r="APA182" s="1056"/>
      <c r="APB182" s="1056"/>
      <c r="APC182" s="1056"/>
      <c r="APD182" s="1056"/>
      <c r="APE182" s="1056"/>
      <c r="APF182" s="1056"/>
      <c r="APG182" s="1056"/>
      <c r="APH182" s="1056"/>
      <c r="API182" s="1056"/>
      <c r="APJ182" s="1056"/>
      <c r="APK182" s="1056"/>
      <c r="APL182" s="1056"/>
      <c r="APM182" s="1056"/>
      <c r="APN182" s="1056"/>
      <c r="APO182" s="1056"/>
      <c r="APP182" s="1056"/>
      <c r="APQ182" s="1056"/>
      <c r="APR182" s="1056"/>
      <c r="APS182" s="1056"/>
      <c r="APT182" s="1056"/>
      <c r="APU182" s="1056"/>
      <c r="APV182" s="1056"/>
      <c r="APW182" s="1056"/>
      <c r="APX182" s="1056"/>
      <c r="APY182" s="1056"/>
      <c r="APZ182" s="1056"/>
      <c r="AQA182" s="1056"/>
      <c r="AQB182" s="1056"/>
      <c r="AQC182" s="1056"/>
      <c r="AQD182" s="1056"/>
      <c r="AQE182" s="1056"/>
      <c r="AQF182" s="1056"/>
      <c r="AQG182" s="1056"/>
      <c r="AQH182" s="1056"/>
      <c r="AQI182" s="1056"/>
      <c r="AQJ182" s="1056"/>
      <c r="AQK182" s="1056"/>
      <c r="AQL182" s="1056"/>
      <c r="AQM182" s="1056"/>
      <c r="AQN182" s="1056"/>
      <c r="AQO182" s="1056"/>
      <c r="AQP182" s="1056"/>
      <c r="AQQ182" s="1056"/>
      <c r="AQR182" s="1056"/>
      <c r="AQS182" s="1056"/>
      <c r="AQT182" s="1056"/>
      <c r="AQU182" s="1056"/>
      <c r="AQV182" s="1056"/>
      <c r="AQW182" s="1056"/>
      <c r="AQX182" s="1056"/>
      <c r="AQY182" s="1056"/>
      <c r="AQZ182" s="1056"/>
      <c r="ARA182" s="1056"/>
      <c r="ARB182" s="1056"/>
      <c r="ARC182" s="1056"/>
      <c r="ARD182" s="1056"/>
      <c r="ARE182" s="1056"/>
      <c r="ARF182" s="1056"/>
      <c r="ARG182" s="1056"/>
      <c r="ARH182" s="1056"/>
      <c r="ARI182" s="1056"/>
      <c r="ARJ182" s="1056"/>
      <c r="ARK182" s="1056"/>
      <c r="ARL182" s="1056"/>
      <c r="ARM182" s="1056"/>
      <c r="ARN182" s="1056"/>
      <c r="ARO182" s="1056"/>
      <c r="ARP182" s="1056"/>
      <c r="ARQ182" s="1056"/>
      <c r="ARR182" s="1056"/>
      <c r="ARS182" s="1056"/>
      <c r="ART182" s="1056"/>
      <c r="ARU182" s="1056"/>
      <c r="ARV182" s="1056"/>
      <c r="ARW182" s="1056"/>
      <c r="ARX182" s="1056"/>
      <c r="ARY182" s="1056"/>
      <c r="ARZ182" s="1056"/>
      <c r="ASA182" s="1056"/>
      <c r="ASB182" s="1056"/>
      <c r="ASC182" s="1056"/>
      <c r="ASD182" s="1056"/>
      <c r="ASE182" s="1056"/>
      <c r="ASF182" s="1056"/>
      <c r="ASG182" s="1056"/>
      <c r="ASH182" s="1056"/>
      <c r="ASI182" s="1056"/>
      <c r="ASJ182" s="1056"/>
      <c r="ASK182" s="1056"/>
      <c r="ASL182" s="1056"/>
      <c r="ASM182" s="1056"/>
      <c r="ASN182" s="1056"/>
      <c r="ASO182" s="1056"/>
      <c r="ASP182" s="1056"/>
      <c r="ASQ182" s="1056"/>
      <c r="ASR182" s="1056"/>
      <c r="ASS182" s="1056"/>
      <c r="AST182" s="1056"/>
      <c r="ASU182" s="1056"/>
      <c r="ASV182" s="1056"/>
      <c r="ASW182" s="1056"/>
      <c r="ASX182" s="1056"/>
      <c r="ASY182" s="1056"/>
      <c r="ASZ182" s="1056"/>
      <c r="ATA182" s="1056"/>
      <c r="ATB182" s="1056"/>
      <c r="ATC182" s="1056"/>
      <c r="ATD182" s="1056"/>
      <c r="ATE182" s="1056"/>
      <c r="ATF182" s="1056"/>
      <c r="ATG182" s="1056"/>
      <c r="ATH182" s="1056"/>
      <c r="ATI182" s="1056"/>
      <c r="ATJ182" s="1056"/>
      <c r="ATK182" s="1056"/>
      <c r="ATL182" s="1056"/>
      <c r="ATM182" s="1056"/>
      <c r="ATN182" s="1056"/>
      <c r="ATO182" s="1056"/>
      <c r="ATP182" s="1056"/>
      <c r="ATQ182" s="1056"/>
      <c r="ATR182" s="1056"/>
      <c r="ATS182" s="1056"/>
      <c r="ATT182" s="1056"/>
      <c r="ATU182" s="1056"/>
      <c r="ATV182" s="1056"/>
      <c r="ATW182" s="1056"/>
      <c r="ATX182" s="1056"/>
      <c r="ATY182" s="1056"/>
      <c r="ATZ182" s="1056"/>
      <c r="AUA182" s="1056"/>
      <c r="AUB182" s="1056"/>
      <c r="AUC182" s="1056"/>
      <c r="AUD182" s="1056"/>
      <c r="AUE182" s="1056"/>
      <c r="AUF182" s="1056"/>
      <c r="AUG182" s="1056"/>
      <c r="AUH182" s="1056"/>
      <c r="AUI182" s="1056"/>
      <c r="AUJ182" s="1056"/>
      <c r="AUK182" s="1056"/>
      <c r="AUL182" s="1056"/>
      <c r="AUM182" s="1056"/>
      <c r="AUN182" s="1056"/>
      <c r="AUO182" s="1056"/>
      <c r="AUP182" s="1056"/>
      <c r="AUQ182" s="1056"/>
      <c r="AUR182" s="1056"/>
      <c r="AUS182" s="1056"/>
      <c r="AUT182" s="1056"/>
      <c r="AUU182" s="1056"/>
      <c r="AUV182" s="1056"/>
      <c r="AUW182" s="1056"/>
      <c r="AUX182" s="1056"/>
      <c r="AUY182" s="1056"/>
      <c r="AUZ182" s="1056"/>
      <c r="AVA182" s="1056"/>
      <c r="AVB182" s="1056"/>
      <c r="AVC182" s="1056"/>
      <c r="AVD182" s="1056"/>
      <c r="AVE182" s="1056"/>
      <c r="AVF182" s="1056"/>
      <c r="AVG182" s="1056"/>
      <c r="AVH182" s="1056"/>
      <c r="AVI182" s="1056"/>
      <c r="AVJ182" s="1056"/>
      <c r="AVK182" s="1056"/>
      <c r="AVL182" s="1056"/>
      <c r="AVM182" s="1056"/>
      <c r="AVN182" s="1056"/>
      <c r="AVO182" s="1056"/>
      <c r="AVP182" s="1056"/>
      <c r="AVQ182" s="1056"/>
      <c r="AVR182" s="1056"/>
      <c r="AVS182" s="1056"/>
      <c r="AVT182" s="1056"/>
      <c r="AVU182" s="1056"/>
      <c r="AVV182" s="1056"/>
      <c r="AVW182" s="1056"/>
      <c r="AVX182" s="1056"/>
      <c r="AVY182" s="1056"/>
      <c r="AVZ182" s="1056"/>
      <c r="AWA182" s="1056"/>
      <c r="AWB182" s="1056"/>
      <c r="AWC182" s="1056"/>
      <c r="AWD182" s="1056"/>
      <c r="AWE182" s="1056"/>
      <c r="AWF182" s="1056"/>
      <c r="AWG182" s="1056"/>
      <c r="AWH182" s="1056"/>
      <c r="AWI182" s="1056"/>
      <c r="AWJ182" s="1056"/>
      <c r="AWK182" s="1056"/>
      <c r="AWL182" s="1056"/>
      <c r="AWM182" s="1056"/>
      <c r="AWN182" s="1056"/>
      <c r="AWO182" s="1056"/>
      <c r="AWP182" s="1056"/>
      <c r="AWQ182" s="1056"/>
      <c r="AWR182" s="1056"/>
      <c r="AWS182" s="1056"/>
      <c r="AWT182" s="1056"/>
      <c r="AWU182" s="1056"/>
      <c r="AWV182" s="1056"/>
      <c r="AWW182" s="1056"/>
      <c r="AWX182" s="1056"/>
      <c r="AWY182" s="1056"/>
      <c r="AWZ182" s="1056"/>
      <c r="AXA182" s="1056"/>
      <c r="AXB182" s="1056"/>
      <c r="AXC182" s="1056"/>
      <c r="AXD182" s="1056"/>
      <c r="AXE182" s="1056"/>
      <c r="AXF182" s="1056"/>
      <c r="AXG182" s="1056"/>
      <c r="AXH182" s="1056"/>
      <c r="AXI182" s="1056"/>
      <c r="AXJ182" s="1056"/>
      <c r="AXK182" s="1056"/>
      <c r="AXL182" s="1056"/>
      <c r="AXM182" s="1056"/>
      <c r="AXN182" s="1056"/>
      <c r="AXO182" s="1056"/>
      <c r="AXP182" s="1056"/>
      <c r="AXQ182" s="1056"/>
      <c r="AXR182" s="1056"/>
      <c r="AXS182" s="1056"/>
      <c r="AXT182" s="1056"/>
      <c r="AXU182" s="1056"/>
      <c r="AXV182" s="1056"/>
      <c r="AXW182" s="1056"/>
      <c r="AXX182" s="1056"/>
      <c r="AXY182" s="1056"/>
      <c r="AXZ182" s="1056"/>
      <c r="AYA182" s="1056"/>
      <c r="AYB182" s="1056"/>
      <c r="AYC182" s="1056"/>
      <c r="AYD182" s="1056"/>
      <c r="AYE182" s="1056"/>
      <c r="AYF182" s="1056"/>
      <c r="AYG182" s="1056"/>
      <c r="AYH182" s="1056"/>
      <c r="AYI182" s="1056"/>
      <c r="AYJ182" s="1056"/>
      <c r="AYK182" s="1056"/>
      <c r="AYL182" s="1056"/>
      <c r="AYM182" s="1056"/>
      <c r="AYN182" s="1056"/>
      <c r="AYO182" s="1056"/>
      <c r="AYP182" s="1056"/>
      <c r="AYQ182" s="1056"/>
      <c r="AYR182" s="1056"/>
      <c r="AYS182" s="1056"/>
      <c r="AYT182" s="1056"/>
      <c r="AYU182" s="1056"/>
      <c r="AYV182" s="1056"/>
      <c r="AYW182" s="1056"/>
      <c r="AYX182" s="1056"/>
      <c r="AYY182" s="1056"/>
      <c r="AYZ182" s="1056"/>
      <c r="AZA182" s="1056"/>
      <c r="AZB182" s="1056"/>
      <c r="AZC182" s="1056"/>
      <c r="AZD182" s="1056"/>
      <c r="AZE182" s="1056"/>
      <c r="AZF182" s="1056"/>
      <c r="AZG182" s="1056"/>
      <c r="AZH182" s="1056"/>
      <c r="AZI182" s="1056"/>
      <c r="AZJ182" s="1056"/>
      <c r="AZK182" s="1056"/>
      <c r="AZL182" s="1056"/>
      <c r="AZM182" s="1056"/>
      <c r="AZN182" s="1056"/>
      <c r="AZO182" s="1056"/>
      <c r="AZP182" s="1056"/>
      <c r="AZQ182" s="1056"/>
      <c r="AZR182" s="1056"/>
      <c r="AZS182" s="1056"/>
      <c r="AZT182" s="1056"/>
      <c r="AZU182" s="1056"/>
      <c r="AZV182" s="1056"/>
      <c r="AZW182" s="1056"/>
      <c r="AZX182" s="1056"/>
      <c r="AZY182" s="1056"/>
      <c r="AZZ182" s="1056"/>
      <c r="BAA182" s="1056"/>
      <c r="BAB182" s="1056"/>
      <c r="BAC182" s="1056"/>
      <c r="BAD182" s="1056"/>
      <c r="BAE182" s="1056"/>
      <c r="BAF182" s="1056"/>
      <c r="BAG182" s="1056"/>
      <c r="BAH182" s="1056"/>
      <c r="BAI182" s="1056"/>
      <c r="BAJ182" s="1056"/>
      <c r="BAK182" s="1056"/>
      <c r="BAL182" s="1056"/>
      <c r="BAM182" s="1056"/>
      <c r="BAN182" s="1056"/>
      <c r="BAO182" s="1056"/>
      <c r="BAP182" s="1056"/>
      <c r="BAQ182" s="1056"/>
      <c r="BAR182" s="1056"/>
      <c r="BAS182" s="1056"/>
      <c r="BAT182" s="1056"/>
      <c r="BAU182" s="1056"/>
      <c r="BAV182" s="1056"/>
      <c r="BAW182" s="1056"/>
      <c r="BAX182" s="1056"/>
      <c r="BAY182" s="1056"/>
      <c r="BAZ182" s="1056"/>
      <c r="BBA182" s="1056"/>
      <c r="BBB182" s="1056"/>
      <c r="BBC182" s="1056"/>
      <c r="BBD182" s="1056"/>
      <c r="BBE182" s="1056"/>
      <c r="BBF182" s="1056"/>
      <c r="BBG182" s="1056"/>
      <c r="BBH182" s="1056"/>
      <c r="BBI182" s="1056"/>
      <c r="BBJ182" s="1056"/>
      <c r="BBK182" s="1056"/>
      <c r="BBL182" s="1056"/>
      <c r="BBM182" s="1056"/>
      <c r="BBN182" s="1056"/>
      <c r="BBO182" s="1056"/>
      <c r="BBP182" s="1056"/>
      <c r="BBQ182" s="1056"/>
      <c r="BBR182" s="1056"/>
      <c r="BBS182" s="1056"/>
      <c r="BBT182" s="1056"/>
      <c r="BBU182" s="1056"/>
      <c r="BBV182" s="1056"/>
      <c r="BBW182" s="1056"/>
      <c r="BBX182" s="1056"/>
      <c r="BBY182" s="1056"/>
      <c r="BBZ182" s="1056"/>
      <c r="BCA182" s="1056"/>
      <c r="BCB182" s="1056"/>
      <c r="BCC182" s="1056"/>
      <c r="BCD182" s="1056"/>
      <c r="BCE182" s="1056"/>
      <c r="BCF182" s="1056"/>
      <c r="BCG182" s="1056"/>
      <c r="BCH182" s="1056"/>
      <c r="BCI182" s="1056"/>
      <c r="BCJ182" s="1056"/>
      <c r="BCK182" s="1056"/>
      <c r="BCL182" s="1056"/>
      <c r="BCM182" s="1056"/>
      <c r="BCN182" s="1056"/>
      <c r="BCO182" s="1056"/>
      <c r="BCP182" s="1056"/>
      <c r="BCQ182" s="1056"/>
      <c r="BCR182" s="1056"/>
      <c r="BCS182" s="1056"/>
      <c r="BCT182" s="1056"/>
      <c r="BCU182" s="1056"/>
      <c r="BCV182" s="1056"/>
      <c r="BCW182" s="1056"/>
      <c r="BCX182" s="1056"/>
      <c r="BCY182" s="1056"/>
      <c r="BCZ182" s="1056"/>
      <c r="BDA182" s="1056"/>
      <c r="BDB182" s="1056"/>
      <c r="BDC182" s="1056"/>
      <c r="BDD182" s="1056"/>
      <c r="BDE182" s="1056"/>
      <c r="BDF182" s="1056"/>
      <c r="BDG182" s="1056"/>
      <c r="BDH182" s="1056"/>
      <c r="BDI182" s="1056"/>
      <c r="BDJ182" s="1056"/>
      <c r="BDK182" s="1056"/>
      <c r="BDL182" s="1056"/>
      <c r="BDM182" s="1056"/>
      <c r="BDN182" s="1056"/>
      <c r="BDO182" s="1056"/>
      <c r="BDP182" s="1056"/>
      <c r="BDQ182" s="1056"/>
      <c r="BDR182" s="1056"/>
      <c r="BDS182" s="1056"/>
      <c r="BDT182" s="1056"/>
      <c r="BDU182" s="1056"/>
      <c r="BDV182" s="1056"/>
      <c r="BDW182" s="1056"/>
      <c r="BDX182" s="1056"/>
      <c r="BDY182" s="1056"/>
      <c r="BDZ182" s="1056"/>
      <c r="BEA182" s="1056"/>
      <c r="BEB182" s="1056"/>
      <c r="BEC182" s="1056"/>
      <c r="BED182" s="1056"/>
      <c r="BEE182" s="1056"/>
      <c r="BEF182" s="1056"/>
      <c r="BEG182" s="1056"/>
      <c r="BEH182" s="1056"/>
      <c r="BEI182" s="1056"/>
      <c r="BEJ182" s="1056"/>
      <c r="BEK182" s="1056"/>
      <c r="BEL182" s="1056"/>
      <c r="BEM182" s="1056"/>
      <c r="BEN182" s="1056"/>
      <c r="BEO182" s="1056"/>
      <c r="BEP182" s="1056"/>
      <c r="BEQ182" s="1056"/>
      <c r="BER182" s="1056"/>
      <c r="BES182" s="1056"/>
      <c r="BET182" s="1056"/>
      <c r="BEU182" s="1056"/>
      <c r="BEV182" s="1056"/>
      <c r="BEW182" s="1056"/>
      <c r="BEX182" s="1056"/>
      <c r="BEY182" s="1056"/>
      <c r="BEZ182" s="1056"/>
      <c r="BFA182" s="1056"/>
      <c r="BFB182" s="1056"/>
      <c r="BFC182" s="1056"/>
      <c r="BFD182" s="1056"/>
      <c r="BFE182" s="1056"/>
      <c r="BFF182" s="1056"/>
      <c r="BFG182" s="1056"/>
      <c r="BFH182" s="1056"/>
      <c r="BFI182" s="1056"/>
      <c r="BFJ182" s="1056"/>
      <c r="BFK182" s="1056"/>
      <c r="BFL182" s="1056"/>
      <c r="BFM182" s="1056"/>
      <c r="BFN182" s="1056"/>
      <c r="BFO182" s="1056"/>
      <c r="BFP182" s="1056"/>
      <c r="BFQ182" s="1056"/>
      <c r="BFR182" s="1056"/>
      <c r="BFS182" s="1056"/>
      <c r="BFT182" s="1056"/>
      <c r="BFU182" s="1056"/>
      <c r="BFV182" s="1056"/>
      <c r="BFW182" s="1056"/>
      <c r="BFX182" s="1056"/>
      <c r="BFY182" s="1056"/>
      <c r="BFZ182" s="1056"/>
      <c r="BGA182" s="1056"/>
      <c r="BGB182" s="1056"/>
      <c r="BGC182" s="1056"/>
      <c r="BGD182" s="1056"/>
      <c r="BGE182" s="1056"/>
      <c r="BGF182" s="1056"/>
      <c r="BGG182" s="1056"/>
      <c r="BGH182" s="1056"/>
      <c r="BGI182" s="1056"/>
      <c r="BGJ182" s="1056"/>
      <c r="BGK182" s="1056"/>
      <c r="BGL182" s="1056"/>
      <c r="BGM182" s="1056"/>
      <c r="BGN182" s="1056"/>
      <c r="BGO182" s="1056"/>
      <c r="BGP182" s="1056"/>
      <c r="BGQ182" s="1056"/>
      <c r="BGR182" s="1056"/>
      <c r="BGS182" s="1056"/>
      <c r="BGT182" s="1056"/>
      <c r="BGU182" s="1056"/>
      <c r="BGV182" s="1056"/>
      <c r="BGW182" s="1056"/>
      <c r="BGX182" s="1056"/>
      <c r="BGY182" s="1056"/>
      <c r="BGZ182" s="1056"/>
      <c r="BHA182" s="1056"/>
      <c r="BHB182" s="1056"/>
      <c r="BHC182" s="1056"/>
      <c r="BHD182" s="1056"/>
      <c r="BHE182" s="1056"/>
      <c r="BHF182" s="1056"/>
      <c r="BHG182" s="1056"/>
      <c r="BHH182" s="1056"/>
      <c r="BHI182" s="1056"/>
      <c r="BHJ182" s="1056"/>
      <c r="BHK182" s="1056"/>
      <c r="BHL182" s="1056"/>
      <c r="BHM182" s="1056"/>
      <c r="BHN182" s="1056"/>
      <c r="BHO182" s="1056"/>
      <c r="BHP182" s="1056"/>
      <c r="BHQ182" s="1056"/>
      <c r="BHR182" s="1056"/>
      <c r="BHS182" s="1056"/>
      <c r="BHT182" s="1056"/>
      <c r="BHU182" s="1056"/>
      <c r="BHV182" s="1056"/>
      <c r="BHW182" s="1056"/>
      <c r="BHX182" s="1056"/>
      <c r="BHY182" s="1056"/>
      <c r="BHZ182" s="1056"/>
      <c r="BIA182" s="1056"/>
      <c r="BIB182" s="1056"/>
      <c r="BIC182" s="1056"/>
      <c r="BID182" s="1056"/>
      <c r="BIE182" s="1056"/>
      <c r="BIF182" s="1056"/>
      <c r="BIG182" s="1056"/>
      <c r="BIH182" s="1056"/>
      <c r="BII182" s="1056"/>
      <c r="BIJ182" s="1056"/>
      <c r="BIK182" s="1056"/>
      <c r="BIL182" s="1056"/>
      <c r="BIM182" s="1056"/>
      <c r="BIN182" s="1056"/>
      <c r="BIO182" s="1056"/>
      <c r="BIP182" s="1056"/>
      <c r="BIQ182" s="1056"/>
      <c r="BIR182" s="1056"/>
      <c r="BIS182" s="1056"/>
      <c r="BIT182" s="1056"/>
      <c r="BIU182" s="1056"/>
      <c r="BIV182" s="1056"/>
      <c r="BIW182" s="1056"/>
      <c r="BIX182" s="1056"/>
      <c r="BIY182" s="1056"/>
      <c r="BIZ182" s="1056"/>
      <c r="BJA182" s="1056"/>
      <c r="BJB182" s="1056"/>
      <c r="BJC182" s="1056"/>
      <c r="BJD182" s="1056"/>
      <c r="BJE182" s="1056"/>
      <c r="BJF182" s="1056"/>
      <c r="BJG182" s="1056"/>
      <c r="BJH182" s="1056"/>
      <c r="BJI182" s="1056"/>
      <c r="BJJ182" s="1056"/>
      <c r="BJK182" s="1056"/>
      <c r="BJL182" s="1056"/>
      <c r="BJM182" s="1056"/>
      <c r="BJN182" s="1056"/>
      <c r="BJO182" s="1056"/>
      <c r="BJP182" s="1056"/>
      <c r="BJQ182" s="1056"/>
      <c r="BJR182" s="1056"/>
      <c r="BJS182" s="1056"/>
      <c r="BJT182" s="1056"/>
      <c r="BJU182" s="1056"/>
      <c r="BJV182" s="1056"/>
      <c r="BJW182" s="1056"/>
      <c r="BJX182" s="1056"/>
      <c r="BJY182" s="1056"/>
      <c r="BJZ182" s="1056"/>
      <c r="BKA182" s="1056"/>
      <c r="BKB182" s="1056"/>
      <c r="BKC182" s="1056"/>
      <c r="BKD182" s="1056"/>
      <c r="BKE182" s="1056"/>
      <c r="BKF182" s="1056"/>
      <c r="BKG182" s="1056"/>
      <c r="BKH182" s="1056"/>
      <c r="BKI182" s="1056"/>
      <c r="BKJ182" s="1056"/>
      <c r="BKK182" s="1056"/>
      <c r="BKL182" s="1056"/>
      <c r="BKM182" s="1056"/>
      <c r="BKN182" s="1056"/>
      <c r="BKO182" s="1056"/>
      <c r="BKP182" s="1056"/>
      <c r="BKQ182" s="1056"/>
      <c r="BKR182" s="1056"/>
      <c r="BKS182" s="1056"/>
      <c r="BKT182" s="1056"/>
      <c r="BKU182" s="1056"/>
      <c r="BKV182" s="1056"/>
      <c r="BKW182" s="1056"/>
      <c r="BKX182" s="1056"/>
      <c r="BKY182" s="1056"/>
      <c r="BKZ182" s="1056"/>
      <c r="BLA182" s="1056"/>
      <c r="BLB182" s="1056"/>
      <c r="BLC182" s="1056"/>
      <c r="BLD182" s="1056"/>
      <c r="BLE182" s="1056"/>
      <c r="BLF182" s="1056"/>
      <c r="BLG182" s="1056"/>
      <c r="BLH182" s="1056"/>
      <c r="BLI182" s="1056"/>
      <c r="BLJ182" s="1056"/>
      <c r="BLK182" s="1056"/>
      <c r="BLL182" s="1056"/>
      <c r="BLM182" s="1056"/>
      <c r="BLN182" s="1056"/>
      <c r="BLO182" s="1056"/>
      <c r="BLP182" s="1056"/>
      <c r="BLQ182" s="1056"/>
      <c r="BLR182" s="1056"/>
      <c r="BLS182" s="1056"/>
      <c r="BLT182" s="1056"/>
      <c r="BLU182" s="1056"/>
      <c r="BLV182" s="1056"/>
      <c r="BLW182" s="1056"/>
      <c r="BLX182" s="1056"/>
      <c r="BLY182" s="1056"/>
      <c r="BLZ182" s="1056"/>
      <c r="BMA182" s="1056"/>
      <c r="BMB182" s="1056"/>
      <c r="BMC182" s="1056"/>
      <c r="BMD182" s="1056"/>
      <c r="BME182" s="1056"/>
      <c r="BMF182" s="1056"/>
      <c r="BMG182" s="1056"/>
      <c r="BMH182" s="1056"/>
      <c r="BMI182" s="1056"/>
      <c r="BMJ182" s="1056"/>
      <c r="BMK182" s="1056"/>
      <c r="BML182" s="1056"/>
      <c r="BMM182" s="1056"/>
      <c r="BMN182" s="1056"/>
      <c r="BMO182" s="1056"/>
      <c r="BMP182" s="1056"/>
      <c r="BMQ182" s="1056"/>
      <c r="BMR182" s="1056"/>
      <c r="BMS182" s="1056"/>
      <c r="BMT182" s="1056"/>
      <c r="BMU182" s="1056"/>
      <c r="BMV182" s="1056"/>
      <c r="BMW182" s="1056"/>
      <c r="BMX182" s="1056"/>
      <c r="BMY182" s="1056"/>
      <c r="BMZ182" s="1056"/>
      <c r="BNA182" s="1056"/>
      <c r="BNB182" s="1056"/>
      <c r="BNC182" s="1056"/>
      <c r="BND182" s="1056"/>
      <c r="BNE182" s="1056"/>
      <c r="BNF182" s="1056"/>
      <c r="BNG182" s="1056"/>
      <c r="BNH182" s="1056"/>
      <c r="BNI182" s="1056"/>
      <c r="BNJ182" s="1056"/>
      <c r="BNK182" s="1056"/>
      <c r="BNL182" s="1056"/>
      <c r="BNM182" s="1056"/>
      <c r="BNN182" s="1056"/>
      <c r="BNO182" s="1056"/>
      <c r="BNP182" s="1056"/>
      <c r="BNQ182" s="1056"/>
      <c r="BNR182" s="1056"/>
      <c r="BNS182" s="1056"/>
      <c r="BNT182" s="1056"/>
      <c r="BNU182" s="1056"/>
      <c r="BNV182" s="1056"/>
      <c r="BNW182" s="1056"/>
      <c r="BNX182" s="1056"/>
      <c r="BNY182" s="1056"/>
      <c r="BNZ182" s="1056"/>
      <c r="BOA182" s="1056"/>
      <c r="BOB182" s="1056"/>
      <c r="BOC182" s="1056"/>
      <c r="BOD182" s="1056"/>
      <c r="BOE182" s="1056"/>
      <c r="BOF182" s="1056"/>
      <c r="BOG182" s="1056"/>
      <c r="BOH182" s="1056"/>
      <c r="BOI182" s="1056"/>
      <c r="BOJ182" s="1056"/>
      <c r="BOK182" s="1056"/>
      <c r="BOL182" s="1056"/>
      <c r="BOM182" s="1056"/>
      <c r="BON182" s="1056"/>
      <c r="BOO182" s="1056"/>
      <c r="BOP182" s="1056"/>
      <c r="BOQ182" s="1056"/>
      <c r="BOR182" s="1056"/>
      <c r="BOS182" s="1056"/>
      <c r="BOT182" s="1056"/>
      <c r="BOU182" s="1056"/>
      <c r="BOV182" s="1056"/>
      <c r="BOW182" s="1056"/>
      <c r="BOX182" s="1056"/>
      <c r="BOY182" s="1056"/>
      <c r="BOZ182" s="1056"/>
      <c r="BPA182" s="1056"/>
      <c r="BPB182" s="1056"/>
      <c r="BPC182" s="1056"/>
      <c r="BPD182" s="1056"/>
      <c r="BPE182" s="1056"/>
      <c r="BPF182" s="1056"/>
      <c r="BPG182" s="1056"/>
      <c r="BPH182" s="1056"/>
      <c r="BPI182" s="1056"/>
      <c r="BPJ182" s="1056"/>
      <c r="BPK182" s="1056"/>
      <c r="BPL182" s="1056"/>
      <c r="BPM182" s="1056"/>
      <c r="BPN182" s="1056"/>
      <c r="BPO182" s="1056"/>
      <c r="BPP182" s="1056"/>
      <c r="BPQ182" s="1056"/>
      <c r="BPR182" s="1056"/>
      <c r="BPS182" s="1056"/>
      <c r="BPT182" s="1056"/>
      <c r="BPU182" s="1056"/>
      <c r="BPV182" s="1056"/>
      <c r="BPW182" s="1056"/>
      <c r="BPX182" s="1056"/>
      <c r="BPY182" s="1056"/>
      <c r="BPZ182" s="1056"/>
      <c r="BQA182" s="1056"/>
      <c r="BQB182" s="1056"/>
      <c r="BQC182" s="1056"/>
      <c r="BQD182" s="1056"/>
      <c r="BQE182" s="1056"/>
      <c r="BQF182" s="1056"/>
      <c r="BQG182" s="1056"/>
      <c r="BQH182" s="1056"/>
      <c r="BQI182" s="1056"/>
      <c r="BQJ182" s="1056"/>
      <c r="BQK182" s="1056"/>
      <c r="BQL182" s="1056"/>
      <c r="BQM182" s="1056"/>
      <c r="BQN182" s="1056"/>
      <c r="BQO182" s="1056"/>
      <c r="BQP182" s="1056"/>
      <c r="BQQ182" s="1056"/>
      <c r="BQR182" s="1056"/>
      <c r="BQS182" s="1056"/>
      <c r="BQT182" s="1056"/>
      <c r="BQU182" s="1056"/>
      <c r="BQV182" s="1056"/>
      <c r="BQW182" s="1056"/>
      <c r="BQX182" s="1056"/>
      <c r="BQY182" s="1056"/>
      <c r="BQZ182" s="1056"/>
      <c r="BRA182" s="1056"/>
      <c r="BRB182" s="1056"/>
      <c r="BRC182" s="1056"/>
      <c r="BRD182" s="1056"/>
      <c r="BRE182" s="1056"/>
      <c r="BRF182" s="1056"/>
      <c r="BRG182" s="1056"/>
      <c r="BRH182" s="1056"/>
      <c r="BRI182" s="1056"/>
      <c r="BRJ182" s="1056"/>
      <c r="BRK182" s="1056"/>
      <c r="BRL182" s="1056"/>
      <c r="BRM182" s="1056"/>
      <c r="BRN182" s="1056"/>
      <c r="BRO182" s="1056"/>
      <c r="BRP182" s="1056"/>
      <c r="BRQ182" s="1056"/>
      <c r="BRR182" s="1056"/>
      <c r="BRS182" s="1056"/>
      <c r="BRT182" s="1056"/>
      <c r="BRU182" s="1056"/>
      <c r="BRV182" s="1056"/>
      <c r="BRW182" s="1056"/>
      <c r="BRX182" s="1056"/>
      <c r="BRY182" s="1056"/>
      <c r="BRZ182" s="1056"/>
      <c r="BSA182" s="1056"/>
      <c r="BSB182" s="1056"/>
      <c r="BSC182" s="1056"/>
      <c r="BSD182" s="1056"/>
      <c r="BSE182" s="1056"/>
      <c r="BSF182" s="1056"/>
      <c r="BSG182" s="1056"/>
      <c r="BSH182" s="1056"/>
      <c r="BSI182" s="1056"/>
      <c r="BSJ182" s="1056"/>
      <c r="BSK182" s="1056"/>
      <c r="BSL182" s="1056"/>
      <c r="BSM182" s="1056"/>
      <c r="BSN182" s="1056"/>
      <c r="BSO182" s="1056"/>
      <c r="BSP182" s="1056"/>
      <c r="BSQ182" s="1056"/>
      <c r="BSR182" s="1056"/>
      <c r="BSS182" s="1056"/>
      <c r="BST182" s="1056"/>
      <c r="BSU182" s="1056"/>
      <c r="BSV182" s="1056"/>
      <c r="BSW182" s="1056"/>
      <c r="BSX182" s="1056"/>
      <c r="BSY182" s="1056"/>
      <c r="BSZ182" s="1056"/>
      <c r="BTA182" s="1056"/>
      <c r="BTB182" s="1056"/>
      <c r="BTC182" s="1056"/>
      <c r="BTD182" s="1056"/>
      <c r="BTE182" s="1056"/>
      <c r="BTF182" s="1056"/>
      <c r="BTG182" s="1056"/>
      <c r="BTH182" s="1056"/>
      <c r="BTI182" s="1056"/>
    </row>
    <row r="183" spans="1:1881" s="1060" customFormat="1" ht="121.5" hidden="1" customHeight="1" x14ac:dyDescent="0.3">
      <c r="A183" s="1059">
        <v>377</v>
      </c>
      <c r="B183" s="808" t="s">
        <v>68</v>
      </c>
      <c r="C183" s="808" t="s">
        <v>1413</v>
      </c>
      <c r="D183" s="1052" t="s">
        <v>1419</v>
      </c>
      <c r="E183" s="1053" t="e">
        <f>HLOOKUP($D$2,'2020 Data(H)'!$C$1:$AI$426,136,FALSE)</f>
        <v>#N/A</v>
      </c>
      <c r="F183" s="285">
        <v>0</v>
      </c>
      <c r="G183" s="722" t="e">
        <f>IF(F149-F182-F183=E149,,"Error: Beginning Balance does not agree with our records.  Acct #s (83-50-377)=prior year 83 The amount of the formula is in the cell to the right")</f>
        <v>#N/A</v>
      </c>
      <c r="H183" s="1054" t="e">
        <f>+F149-F182-F183-E149</f>
        <v>#N/A</v>
      </c>
      <c r="I183" s="1055"/>
      <c r="J183" s="1056"/>
      <c r="K183" s="1056"/>
      <c r="L183" s="1056"/>
      <c r="M183" s="1056"/>
      <c r="N183" s="1058"/>
      <c r="O183" s="1056"/>
      <c r="P183" s="1056"/>
      <c r="Q183" s="1056"/>
      <c r="R183" s="1056"/>
      <c r="S183" s="1056"/>
      <c r="T183" s="1056"/>
      <c r="U183" s="1056"/>
      <c r="V183" s="1056"/>
      <c r="W183" s="1056"/>
      <c r="X183" s="1056"/>
      <c r="Y183" s="1056"/>
      <c r="Z183" s="1059"/>
      <c r="AA183" s="1059"/>
      <c r="AB183" s="1059"/>
      <c r="AC183" s="1059"/>
      <c r="AD183" s="1059"/>
      <c r="AE183" s="1059"/>
      <c r="AF183" s="1059"/>
      <c r="AG183" s="1059"/>
      <c r="AH183" s="1059"/>
      <c r="AI183" s="1059"/>
      <c r="AJ183" s="1059"/>
      <c r="AK183" s="1059"/>
      <c r="AL183" s="1059"/>
      <c r="AM183" s="1059"/>
      <c r="AN183" s="1059"/>
      <c r="AO183" s="1059"/>
      <c r="AP183" s="1059"/>
      <c r="AQ183" s="1059"/>
      <c r="AR183" s="1059"/>
      <c r="AS183" s="1056"/>
      <c r="AT183" s="1056"/>
      <c r="AU183" s="1056"/>
      <c r="AV183" s="1056"/>
      <c r="AW183" s="1056"/>
      <c r="AX183" s="1056"/>
      <c r="AY183" s="1056"/>
      <c r="AZ183" s="1056"/>
      <c r="BA183" s="1056"/>
      <c r="BB183" s="1056"/>
      <c r="BC183" s="1056"/>
      <c r="BD183" s="1056"/>
      <c r="BE183" s="1056"/>
      <c r="BF183" s="1056"/>
      <c r="BG183" s="1056"/>
      <c r="BH183" s="1056"/>
      <c r="BI183" s="1056"/>
      <c r="BJ183" s="1056"/>
      <c r="BK183" s="1056"/>
      <c r="BL183" s="1056"/>
      <c r="BM183" s="1056"/>
      <c r="BN183" s="1056"/>
      <c r="BO183" s="1056"/>
      <c r="BP183" s="1056"/>
      <c r="BQ183" s="1056"/>
      <c r="BR183" s="1056"/>
      <c r="BS183" s="1056"/>
      <c r="BT183" s="1056"/>
      <c r="BU183" s="1056"/>
      <c r="BV183" s="1056"/>
      <c r="BW183" s="1056"/>
      <c r="BX183" s="1056"/>
      <c r="BY183" s="1056"/>
      <c r="BZ183" s="1056"/>
      <c r="CA183" s="1056"/>
      <c r="CB183" s="1056"/>
      <c r="CC183" s="1056"/>
      <c r="CD183" s="1056"/>
      <c r="CE183" s="1056"/>
      <c r="CF183" s="1056"/>
      <c r="CG183" s="1056"/>
      <c r="CH183" s="1056"/>
      <c r="CI183" s="1056"/>
      <c r="CJ183" s="1056"/>
      <c r="CK183" s="1056"/>
      <c r="CL183" s="1056"/>
      <c r="CM183" s="1056"/>
      <c r="CN183" s="1056"/>
      <c r="CO183" s="1056"/>
      <c r="CP183" s="1056"/>
      <c r="CQ183" s="1056"/>
      <c r="CR183" s="1056"/>
      <c r="CS183" s="1056"/>
      <c r="CT183" s="1056"/>
      <c r="CU183" s="1056"/>
      <c r="CV183" s="1056"/>
      <c r="CW183" s="1056"/>
      <c r="CX183" s="1056"/>
      <c r="CY183" s="1056"/>
      <c r="CZ183" s="1056"/>
      <c r="DA183" s="1056"/>
      <c r="DB183" s="1056"/>
      <c r="DC183" s="1056"/>
      <c r="DD183" s="1056"/>
      <c r="DE183" s="1056"/>
      <c r="DF183" s="1056"/>
      <c r="DG183" s="1056"/>
      <c r="DH183" s="1056"/>
      <c r="DI183" s="1056"/>
      <c r="DJ183" s="1056"/>
      <c r="DK183" s="1056"/>
      <c r="DL183" s="1056"/>
      <c r="DM183" s="1056"/>
      <c r="DN183" s="1056"/>
      <c r="DO183" s="1056"/>
      <c r="DP183" s="1056"/>
      <c r="DQ183" s="1056"/>
      <c r="DR183" s="1056"/>
      <c r="DS183" s="1056"/>
      <c r="DT183" s="1056"/>
      <c r="DU183" s="1056"/>
      <c r="DV183" s="1056"/>
      <c r="DW183" s="1056"/>
      <c r="DX183" s="1056"/>
      <c r="DY183" s="1056"/>
      <c r="DZ183" s="1056"/>
      <c r="EA183" s="1056"/>
      <c r="EB183" s="1056"/>
      <c r="EC183" s="1056"/>
      <c r="ED183" s="1056"/>
      <c r="EE183" s="1056"/>
      <c r="EF183" s="1056"/>
      <c r="EG183" s="1056"/>
      <c r="EH183" s="1056"/>
      <c r="EI183" s="1056"/>
      <c r="EJ183" s="1056"/>
      <c r="EK183" s="1056"/>
      <c r="EL183" s="1056"/>
      <c r="EM183" s="1056"/>
      <c r="EN183" s="1056"/>
      <c r="EO183" s="1056"/>
      <c r="EP183" s="1056"/>
      <c r="EQ183" s="1056"/>
      <c r="ER183" s="1056"/>
      <c r="ES183" s="1056"/>
      <c r="ET183" s="1056"/>
      <c r="EU183" s="1056"/>
      <c r="EV183" s="1056"/>
      <c r="EW183" s="1056"/>
      <c r="EX183" s="1056"/>
      <c r="EY183" s="1056"/>
      <c r="EZ183" s="1056"/>
      <c r="FA183" s="1056"/>
      <c r="FB183" s="1056"/>
      <c r="FC183" s="1056"/>
      <c r="FD183" s="1056"/>
      <c r="FE183" s="1056"/>
      <c r="FF183" s="1056"/>
      <c r="FG183" s="1056"/>
      <c r="FH183" s="1056"/>
      <c r="FI183" s="1056"/>
      <c r="FJ183" s="1056"/>
      <c r="FK183" s="1056"/>
      <c r="FL183" s="1056"/>
      <c r="FM183" s="1056"/>
      <c r="FN183" s="1056"/>
      <c r="FO183" s="1056"/>
      <c r="FP183" s="1056"/>
      <c r="FQ183" s="1056"/>
      <c r="FR183" s="1056"/>
      <c r="FS183" s="1056"/>
      <c r="FT183" s="1056"/>
      <c r="FU183" s="1056"/>
      <c r="FV183" s="1056"/>
      <c r="FW183" s="1056"/>
      <c r="FX183" s="1056"/>
      <c r="FY183" s="1056"/>
      <c r="FZ183" s="1056"/>
      <c r="GA183" s="1056"/>
      <c r="GB183" s="1056"/>
      <c r="GC183" s="1056"/>
      <c r="GD183" s="1056"/>
      <c r="GE183" s="1056"/>
      <c r="GF183" s="1056"/>
      <c r="GG183" s="1056"/>
      <c r="GH183" s="1056"/>
      <c r="GI183" s="1056"/>
      <c r="GJ183" s="1056"/>
      <c r="GK183" s="1056"/>
      <c r="GL183" s="1056"/>
      <c r="GM183" s="1056"/>
      <c r="GN183" s="1056"/>
      <c r="GO183" s="1056"/>
      <c r="GP183" s="1056"/>
      <c r="GQ183" s="1056"/>
      <c r="GR183" s="1056"/>
      <c r="GS183" s="1056"/>
      <c r="GT183" s="1056"/>
      <c r="GU183" s="1056"/>
      <c r="GV183" s="1056"/>
      <c r="GW183" s="1056"/>
      <c r="GX183" s="1056"/>
      <c r="GY183" s="1056"/>
      <c r="GZ183" s="1056"/>
      <c r="HA183" s="1056"/>
      <c r="HB183" s="1056"/>
      <c r="HC183" s="1056"/>
      <c r="HD183" s="1056"/>
      <c r="HE183" s="1056"/>
      <c r="HF183" s="1056"/>
      <c r="HG183" s="1056"/>
      <c r="HH183" s="1056"/>
      <c r="HI183" s="1056"/>
      <c r="HJ183" s="1056"/>
      <c r="HK183" s="1056"/>
      <c r="HL183" s="1056"/>
      <c r="HM183" s="1056"/>
      <c r="HN183" s="1056"/>
      <c r="HO183" s="1056"/>
      <c r="HP183" s="1056"/>
      <c r="HQ183" s="1056"/>
      <c r="HR183" s="1056"/>
      <c r="HS183" s="1056"/>
      <c r="HT183" s="1056"/>
      <c r="HU183" s="1056"/>
      <c r="HV183" s="1056"/>
      <c r="HW183" s="1056"/>
      <c r="HX183" s="1056"/>
      <c r="HY183" s="1056"/>
      <c r="HZ183" s="1056"/>
      <c r="IA183" s="1056"/>
      <c r="IB183" s="1056"/>
      <c r="IC183" s="1056"/>
      <c r="ID183" s="1056"/>
      <c r="IE183" s="1056"/>
      <c r="IF183" s="1056"/>
      <c r="IG183" s="1056"/>
      <c r="IH183" s="1056"/>
      <c r="II183" s="1056"/>
      <c r="IJ183" s="1056"/>
      <c r="IK183" s="1056"/>
      <c r="IL183" s="1056"/>
      <c r="IM183" s="1056"/>
      <c r="IN183" s="1056"/>
      <c r="IO183" s="1056"/>
      <c r="IP183" s="1056"/>
      <c r="IQ183" s="1056"/>
      <c r="IR183" s="1056"/>
      <c r="IS183" s="1056"/>
      <c r="IT183" s="1056"/>
      <c r="IU183" s="1056"/>
      <c r="IV183" s="1056"/>
      <c r="IW183" s="1056"/>
      <c r="IX183" s="1056"/>
      <c r="IY183" s="1056"/>
      <c r="IZ183" s="1056"/>
      <c r="JA183" s="1056"/>
      <c r="JB183" s="1056"/>
      <c r="JC183" s="1056"/>
      <c r="JD183" s="1056"/>
      <c r="JE183" s="1056"/>
      <c r="JF183" s="1056"/>
      <c r="JG183" s="1056"/>
      <c r="JH183" s="1056"/>
      <c r="JI183" s="1056"/>
      <c r="JJ183" s="1056"/>
      <c r="JK183" s="1056"/>
      <c r="JL183" s="1056"/>
      <c r="JM183" s="1056"/>
      <c r="JN183" s="1056"/>
      <c r="JO183" s="1056"/>
      <c r="JP183" s="1056"/>
      <c r="JQ183" s="1056"/>
      <c r="JR183" s="1056"/>
      <c r="JS183" s="1056"/>
      <c r="JT183" s="1056"/>
      <c r="JU183" s="1056"/>
      <c r="JV183" s="1056"/>
      <c r="JW183" s="1056"/>
      <c r="JX183" s="1056"/>
      <c r="JY183" s="1056"/>
      <c r="JZ183" s="1056"/>
      <c r="KA183" s="1056"/>
      <c r="KB183" s="1056"/>
      <c r="KC183" s="1056"/>
      <c r="KD183" s="1056"/>
      <c r="KE183" s="1056"/>
      <c r="KF183" s="1056"/>
      <c r="KG183" s="1056"/>
      <c r="KH183" s="1056"/>
      <c r="KI183" s="1056"/>
      <c r="KJ183" s="1056"/>
      <c r="KK183" s="1056"/>
      <c r="KL183" s="1056"/>
      <c r="KM183" s="1056"/>
      <c r="KN183" s="1056"/>
      <c r="KO183" s="1056"/>
      <c r="KP183" s="1056"/>
      <c r="KQ183" s="1056"/>
      <c r="KR183" s="1056"/>
      <c r="KS183" s="1056"/>
      <c r="KT183" s="1056"/>
      <c r="KU183" s="1056"/>
      <c r="KV183" s="1056"/>
      <c r="KW183" s="1056"/>
      <c r="KX183" s="1056"/>
      <c r="KY183" s="1056"/>
      <c r="KZ183" s="1056"/>
      <c r="LA183" s="1056"/>
      <c r="LB183" s="1056"/>
      <c r="LC183" s="1056"/>
      <c r="LD183" s="1056"/>
      <c r="LE183" s="1056"/>
      <c r="LF183" s="1056"/>
      <c r="LG183" s="1056"/>
      <c r="LH183" s="1056"/>
      <c r="LI183" s="1056"/>
      <c r="LJ183" s="1056"/>
      <c r="LK183" s="1056"/>
      <c r="LL183" s="1056"/>
      <c r="LM183" s="1056"/>
      <c r="LN183" s="1056"/>
      <c r="LO183" s="1056"/>
      <c r="LP183" s="1056"/>
      <c r="LQ183" s="1056"/>
      <c r="LR183" s="1056"/>
      <c r="LS183" s="1056"/>
      <c r="LT183" s="1056"/>
      <c r="LU183" s="1056"/>
      <c r="LV183" s="1056"/>
      <c r="LW183" s="1056"/>
      <c r="LX183" s="1056"/>
      <c r="LY183" s="1056"/>
      <c r="LZ183" s="1056"/>
      <c r="MA183" s="1056"/>
      <c r="MB183" s="1056"/>
      <c r="MC183" s="1056"/>
      <c r="MD183" s="1056"/>
      <c r="ME183" s="1056"/>
      <c r="MF183" s="1056"/>
      <c r="MG183" s="1056"/>
      <c r="MH183" s="1056"/>
      <c r="MI183" s="1056"/>
      <c r="MJ183" s="1056"/>
      <c r="MK183" s="1056"/>
      <c r="ML183" s="1056"/>
      <c r="MM183" s="1056"/>
      <c r="MN183" s="1056"/>
      <c r="MO183" s="1056"/>
      <c r="MP183" s="1056"/>
      <c r="MQ183" s="1056"/>
      <c r="MR183" s="1056"/>
      <c r="MS183" s="1056"/>
      <c r="MT183" s="1056"/>
      <c r="MU183" s="1056"/>
      <c r="MV183" s="1056"/>
      <c r="MW183" s="1056"/>
      <c r="MX183" s="1056"/>
      <c r="MY183" s="1056"/>
      <c r="MZ183" s="1056"/>
      <c r="NA183" s="1056"/>
      <c r="NB183" s="1056"/>
      <c r="NC183" s="1056"/>
      <c r="ND183" s="1056"/>
      <c r="NE183" s="1056"/>
      <c r="NF183" s="1056"/>
      <c r="NG183" s="1056"/>
      <c r="NH183" s="1056"/>
      <c r="NI183" s="1056"/>
      <c r="NJ183" s="1056"/>
      <c r="NK183" s="1056"/>
      <c r="NL183" s="1056"/>
      <c r="NM183" s="1056"/>
      <c r="NN183" s="1056"/>
      <c r="NO183" s="1056"/>
      <c r="NP183" s="1056"/>
      <c r="NQ183" s="1056"/>
      <c r="NR183" s="1056"/>
      <c r="NS183" s="1056"/>
      <c r="NT183" s="1056"/>
      <c r="NU183" s="1056"/>
      <c r="NV183" s="1056"/>
      <c r="NW183" s="1056"/>
      <c r="NX183" s="1056"/>
      <c r="NY183" s="1056"/>
      <c r="NZ183" s="1056"/>
      <c r="OA183" s="1056"/>
      <c r="OB183" s="1056"/>
      <c r="OC183" s="1056"/>
      <c r="OD183" s="1056"/>
      <c r="OE183" s="1056"/>
      <c r="OF183" s="1056"/>
      <c r="OG183" s="1056"/>
      <c r="OH183" s="1056"/>
      <c r="OI183" s="1056"/>
      <c r="OJ183" s="1056"/>
      <c r="OK183" s="1056"/>
      <c r="OL183" s="1056"/>
      <c r="OM183" s="1056"/>
      <c r="ON183" s="1056"/>
      <c r="OO183" s="1056"/>
      <c r="OP183" s="1056"/>
      <c r="OQ183" s="1056"/>
      <c r="OR183" s="1056"/>
      <c r="OS183" s="1056"/>
      <c r="OT183" s="1056"/>
      <c r="OU183" s="1056"/>
      <c r="OV183" s="1056"/>
      <c r="OW183" s="1056"/>
      <c r="OX183" s="1056"/>
      <c r="OY183" s="1056"/>
      <c r="OZ183" s="1056"/>
      <c r="PA183" s="1056"/>
      <c r="PB183" s="1056"/>
      <c r="PC183" s="1056"/>
      <c r="PD183" s="1056"/>
      <c r="PE183" s="1056"/>
      <c r="PF183" s="1056"/>
      <c r="PG183" s="1056"/>
      <c r="PH183" s="1056"/>
      <c r="PI183" s="1056"/>
      <c r="PJ183" s="1056"/>
      <c r="PK183" s="1056"/>
      <c r="PL183" s="1056"/>
      <c r="PM183" s="1056"/>
      <c r="PN183" s="1056"/>
      <c r="PO183" s="1056"/>
      <c r="PP183" s="1056"/>
      <c r="PQ183" s="1056"/>
      <c r="PR183" s="1056"/>
      <c r="PS183" s="1056"/>
      <c r="PT183" s="1056"/>
      <c r="PU183" s="1056"/>
      <c r="PV183" s="1056"/>
      <c r="PW183" s="1056"/>
      <c r="PX183" s="1056"/>
      <c r="PY183" s="1056"/>
      <c r="PZ183" s="1056"/>
      <c r="QA183" s="1056"/>
      <c r="QB183" s="1056"/>
      <c r="QC183" s="1056"/>
      <c r="QD183" s="1056"/>
      <c r="QE183" s="1056"/>
      <c r="QF183" s="1056"/>
      <c r="QG183" s="1056"/>
      <c r="QH183" s="1056"/>
      <c r="QI183" s="1056"/>
      <c r="QJ183" s="1056"/>
      <c r="QK183" s="1056"/>
      <c r="QL183" s="1056"/>
      <c r="QM183" s="1056"/>
      <c r="QN183" s="1056"/>
      <c r="QO183" s="1056"/>
      <c r="QP183" s="1056"/>
      <c r="QQ183" s="1056"/>
      <c r="QR183" s="1056"/>
      <c r="QS183" s="1056"/>
      <c r="QT183" s="1056"/>
      <c r="QU183" s="1056"/>
      <c r="QV183" s="1056"/>
      <c r="QW183" s="1056"/>
      <c r="QX183" s="1056"/>
      <c r="QY183" s="1056"/>
      <c r="QZ183" s="1056"/>
      <c r="RA183" s="1056"/>
      <c r="RB183" s="1056"/>
      <c r="RC183" s="1056"/>
      <c r="RD183" s="1056"/>
      <c r="RE183" s="1056"/>
      <c r="RF183" s="1056"/>
      <c r="RG183" s="1056"/>
      <c r="RH183" s="1056"/>
      <c r="RI183" s="1056"/>
      <c r="RJ183" s="1056"/>
      <c r="RK183" s="1056"/>
      <c r="RL183" s="1056"/>
      <c r="RM183" s="1056"/>
      <c r="RN183" s="1056"/>
      <c r="RO183" s="1056"/>
      <c r="RP183" s="1056"/>
      <c r="RQ183" s="1056"/>
      <c r="RR183" s="1056"/>
      <c r="RS183" s="1056"/>
      <c r="RT183" s="1056"/>
      <c r="RU183" s="1056"/>
      <c r="RV183" s="1056"/>
      <c r="RW183" s="1056"/>
      <c r="RX183" s="1056"/>
      <c r="RY183" s="1056"/>
      <c r="RZ183" s="1056"/>
      <c r="SA183" s="1056"/>
      <c r="SB183" s="1056"/>
      <c r="SC183" s="1056"/>
      <c r="SD183" s="1056"/>
      <c r="SE183" s="1056"/>
      <c r="SF183" s="1056"/>
      <c r="SG183" s="1056"/>
      <c r="SH183" s="1056"/>
      <c r="SI183" s="1056"/>
      <c r="SJ183" s="1056"/>
      <c r="SK183" s="1056"/>
      <c r="SL183" s="1056"/>
      <c r="SM183" s="1056"/>
      <c r="SN183" s="1056"/>
      <c r="SO183" s="1056"/>
      <c r="SP183" s="1056"/>
      <c r="SQ183" s="1056"/>
      <c r="SR183" s="1056"/>
      <c r="SS183" s="1056"/>
      <c r="ST183" s="1056"/>
      <c r="SU183" s="1056"/>
      <c r="SV183" s="1056"/>
      <c r="SW183" s="1056"/>
      <c r="SX183" s="1056"/>
      <c r="SY183" s="1056"/>
      <c r="SZ183" s="1056"/>
      <c r="TA183" s="1056"/>
      <c r="TB183" s="1056"/>
      <c r="TC183" s="1056"/>
      <c r="TD183" s="1056"/>
      <c r="TE183" s="1056"/>
      <c r="TF183" s="1056"/>
      <c r="TG183" s="1056"/>
      <c r="TH183" s="1056"/>
      <c r="TI183" s="1056"/>
      <c r="TJ183" s="1056"/>
      <c r="TK183" s="1056"/>
      <c r="TL183" s="1056"/>
      <c r="TM183" s="1056"/>
      <c r="TN183" s="1056"/>
      <c r="TO183" s="1056"/>
      <c r="TP183" s="1056"/>
      <c r="TQ183" s="1056"/>
      <c r="TR183" s="1056"/>
      <c r="TS183" s="1056"/>
      <c r="TT183" s="1056"/>
      <c r="TU183" s="1056"/>
      <c r="TV183" s="1056"/>
      <c r="TW183" s="1056"/>
      <c r="TX183" s="1056"/>
      <c r="TY183" s="1056"/>
      <c r="TZ183" s="1056"/>
      <c r="UA183" s="1056"/>
      <c r="UB183" s="1056"/>
      <c r="UC183" s="1056"/>
      <c r="UD183" s="1056"/>
      <c r="UE183" s="1056"/>
      <c r="UF183" s="1056"/>
      <c r="UG183" s="1056"/>
      <c r="UH183" s="1056"/>
      <c r="UI183" s="1056"/>
      <c r="UJ183" s="1056"/>
      <c r="UK183" s="1056"/>
      <c r="UL183" s="1056"/>
      <c r="UM183" s="1056"/>
      <c r="UN183" s="1056"/>
      <c r="UO183" s="1056"/>
      <c r="UP183" s="1056"/>
      <c r="UQ183" s="1056"/>
      <c r="UR183" s="1056"/>
      <c r="US183" s="1056"/>
      <c r="UT183" s="1056"/>
      <c r="UU183" s="1056"/>
      <c r="UV183" s="1056"/>
      <c r="UW183" s="1056"/>
      <c r="UX183" s="1056"/>
      <c r="UY183" s="1056"/>
      <c r="UZ183" s="1056"/>
      <c r="VA183" s="1056"/>
      <c r="VB183" s="1056"/>
      <c r="VC183" s="1056"/>
      <c r="VD183" s="1056"/>
      <c r="VE183" s="1056"/>
      <c r="VF183" s="1056"/>
      <c r="VG183" s="1056"/>
      <c r="VH183" s="1056"/>
      <c r="VI183" s="1056"/>
      <c r="VJ183" s="1056"/>
      <c r="VK183" s="1056"/>
      <c r="VL183" s="1056"/>
      <c r="VM183" s="1056"/>
      <c r="VN183" s="1056"/>
      <c r="VO183" s="1056"/>
      <c r="VP183" s="1056"/>
      <c r="VQ183" s="1056"/>
      <c r="VR183" s="1056"/>
      <c r="VS183" s="1056"/>
      <c r="VT183" s="1056"/>
      <c r="VU183" s="1056"/>
      <c r="VV183" s="1056"/>
      <c r="VW183" s="1056"/>
      <c r="VX183" s="1056"/>
      <c r="VY183" s="1056"/>
      <c r="VZ183" s="1056"/>
      <c r="WA183" s="1056"/>
      <c r="WB183" s="1056"/>
      <c r="WC183" s="1056"/>
      <c r="WD183" s="1056"/>
      <c r="WE183" s="1056"/>
      <c r="WF183" s="1056"/>
      <c r="WG183" s="1056"/>
      <c r="WH183" s="1056"/>
      <c r="WI183" s="1056"/>
      <c r="WJ183" s="1056"/>
      <c r="WK183" s="1056"/>
      <c r="WL183" s="1056"/>
      <c r="WM183" s="1056"/>
      <c r="WN183" s="1056"/>
      <c r="WO183" s="1056"/>
      <c r="WP183" s="1056"/>
      <c r="WQ183" s="1056"/>
      <c r="WR183" s="1056"/>
      <c r="WS183" s="1056"/>
      <c r="WT183" s="1056"/>
      <c r="WU183" s="1056"/>
      <c r="WV183" s="1056"/>
      <c r="WW183" s="1056"/>
      <c r="WX183" s="1056"/>
      <c r="WY183" s="1056"/>
      <c r="WZ183" s="1056"/>
      <c r="XA183" s="1056"/>
      <c r="XB183" s="1056"/>
      <c r="XC183" s="1056"/>
      <c r="XD183" s="1056"/>
      <c r="XE183" s="1056"/>
      <c r="XF183" s="1056"/>
      <c r="XG183" s="1056"/>
      <c r="XH183" s="1056"/>
      <c r="XI183" s="1056"/>
      <c r="XJ183" s="1056"/>
      <c r="XK183" s="1056"/>
      <c r="XL183" s="1056"/>
      <c r="XM183" s="1056"/>
      <c r="XN183" s="1056"/>
      <c r="XO183" s="1056"/>
      <c r="XP183" s="1056"/>
      <c r="XQ183" s="1056"/>
      <c r="XR183" s="1056"/>
      <c r="XS183" s="1056"/>
      <c r="XT183" s="1056"/>
      <c r="XU183" s="1056"/>
      <c r="XV183" s="1056"/>
      <c r="XW183" s="1056"/>
      <c r="XX183" s="1056"/>
      <c r="XY183" s="1056"/>
      <c r="XZ183" s="1056"/>
      <c r="YA183" s="1056"/>
      <c r="YB183" s="1056"/>
      <c r="YC183" s="1056"/>
      <c r="YD183" s="1056"/>
      <c r="YE183" s="1056"/>
      <c r="YF183" s="1056"/>
      <c r="YG183" s="1056"/>
      <c r="YH183" s="1056"/>
      <c r="YI183" s="1056"/>
      <c r="YJ183" s="1056"/>
      <c r="YK183" s="1056"/>
      <c r="YL183" s="1056"/>
      <c r="YM183" s="1056"/>
      <c r="YN183" s="1056"/>
      <c r="YO183" s="1056"/>
      <c r="YP183" s="1056"/>
      <c r="YQ183" s="1056"/>
      <c r="YR183" s="1056"/>
      <c r="YS183" s="1056"/>
      <c r="YT183" s="1056"/>
      <c r="YU183" s="1056"/>
      <c r="YV183" s="1056"/>
      <c r="YW183" s="1056"/>
      <c r="YX183" s="1056"/>
      <c r="YY183" s="1056"/>
      <c r="YZ183" s="1056"/>
      <c r="ZA183" s="1056"/>
      <c r="ZB183" s="1056"/>
      <c r="ZC183" s="1056"/>
      <c r="ZD183" s="1056"/>
      <c r="ZE183" s="1056"/>
      <c r="ZF183" s="1056"/>
      <c r="ZG183" s="1056"/>
      <c r="ZH183" s="1056"/>
      <c r="ZI183" s="1056"/>
      <c r="ZJ183" s="1056"/>
      <c r="ZK183" s="1056"/>
      <c r="ZL183" s="1056"/>
      <c r="ZM183" s="1056"/>
      <c r="ZN183" s="1056"/>
      <c r="ZO183" s="1056"/>
      <c r="ZP183" s="1056"/>
      <c r="ZQ183" s="1056"/>
      <c r="ZR183" s="1056"/>
      <c r="ZS183" s="1056"/>
      <c r="ZT183" s="1056"/>
      <c r="ZU183" s="1056"/>
      <c r="ZV183" s="1056"/>
      <c r="ZW183" s="1056"/>
      <c r="ZX183" s="1056"/>
      <c r="ZY183" s="1056"/>
      <c r="ZZ183" s="1056"/>
      <c r="AAA183" s="1056"/>
      <c r="AAB183" s="1056"/>
      <c r="AAC183" s="1056"/>
      <c r="AAD183" s="1056"/>
      <c r="AAE183" s="1056"/>
      <c r="AAF183" s="1056"/>
      <c r="AAG183" s="1056"/>
      <c r="AAH183" s="1056"/>
      <c r="AAI183" s="1056"/>
      <c r="AAJ183" s="1056"/>
      <c r="AAK183" s="1056"/>
      <c r="AAL183" s="1056"/>
      <c r="AAM183" s="1056"/>
      <c r="AAN183" s="1056"/>
      <c r="AAO183" s="1056"/>
      <c r="AAP183" s="1056"/>
      <c r="AAQ183" s="1056"/>
      <c r="AAR183" s="1056"/>
      <c r="AAS183" s="1056"/>
      <c r="AAT183" s="1056"/>
      <c r="AAU183" s="1056"/>
      <c r="AAV183" s="1056"/>
      <c r="AAW183" s="1056"/>
      <c r="AAX183" s="1056"/>
      <c r="AAY183" s="1056"/>
      <c r="AAZ183" s="1056"/>
      <c r="ABA183" s="1056"/>
      <c r="ABB183" s="1056"/>
      <c r="ABC183" s="1056"/>
      <c r="ABD183" s="1056"/>
      <c r="ABE183" s="1056"/>
      <c r="ABF183" s="1056"/>
      <c r="ABG183" s="1056"/>
      <c r="ABH183" s="1056"/>
      <c r="ABI183" s="1056"/>
      <c r="ABJ183" s="1056"/>
      <c r="ABK183" s="1056"/>
      <c r="ABL183" s="1056"/>
      <c r="ABM183" s="1056"/>
      <c r="ABN183" s="1056"/>
      <c r="ABO183" s="1056"/>
      <c r="ABP183" s="1056"/>
      <c r="ABQ183" s="1056"/>
      <c r="ABR183" s="1056"/>
      <c r="ABS183" s="1056"/>
      <c r="ABT183" s="1056"/>
      <c r="ABU183" s="1056"/>
      <c r="ABV183" s="1056"/>
      <c r="ABW183" s="1056"/>
      <c r="ABX183" s="1056"/>
      <c r="ABY183" s="1056"/>
      <c r="ABZ183" s="1056"/>
      <c r="ACA183" s="1056"/>
      <c r="ACB183" s="1056"/>
      <c r="ACC183" s="1056"/>
      <c r="ACD183" s="1056"/>
      <c r="ACE183" s="1056"/>
      <c r="ACF183" s="1056"/>
      <c r="ACG183" s="1056"/>
      <c r="ACH183" s="1056"/>
      <c r="ACI183" s="1056"/>
      <c r="ACJ183" s="1056"/>
      <c r="ACK183" s="1056"/>
      <c r="ACL183" s="1056"/>
      <c r="ACM183" s="1056"/>
      <c r="ACN183" s="1056"/>
      <c r="ACO183" s="1056"/>
      <c r="ACP183" s="1056"/>
      <c r="ACQ183" s="1056"/>
      <c r="ACR183" s="1056"/>
      <c r="ACS183" s="1056"/>
      <c r="ACT183" s="1056"/>
      <c r="ACU183" s="1056"/>
      <c r="ACV183" s="1056"/>
      <c r="ACW183" s="1056"/>
      <c r="ACX183" s="1056"/>
      <c r="ACY183" s="1056"/>
      <c r="ACZ183" s="1056"/>
      <c r="ADA183" s="1056"/>
      <c r="ADB183" s="1056"/>
      <c r="ADC183" s="1056"/>
      <c r="ADD183" s="1056"/>
      <c r="ADE183" s="1056"/>
      <c r="ADF183" s="1056"/>
      <c r="ADG183" s="1056"/>
      <c r="ADH183" s="1056"/>
      <c r="ADI183" s="1056"/>
      <c r="ADJ183" s="1056"/>
      <c r="ADK183" s="1056"/>
      <c r="ADL183" s="1056"/>
      <c r="ADM183" s="1056"/>
      <c r="ADN183" s="1056"/>
      <c r="ADO183" s="1056"/>
      <c r="ADP183" s="1056"/>
      <c r="ADQ183" s="1056"/>
      <c r="ADR183" s="1056"/>
      <c r="ADS183" s="1056"/>
      <c r="ADT183" s="1056"/>
      <c r="ADU183" s="1056"/>
      <c r="ADV183" s="1056"/>
      <c r="ADW183" s="1056"/>
      <c r="ADX183" s="1056"/>
      <c r="ADY183" s="1056"/>
      <c r="ADZ183" s="1056"/>
      <c r="AEA183" s="1056"/>
      <c r="AEB183" s="1056"/>
      <c r="AEC183" s="1056"/>
      <c r="AED183" s="1056"/>
      <c r="AEE183" s="1056"/>
      <c r="AEF183" s="1056"/>
      <c r="AEG183" s="1056"/>
      <c r="AEH183" s="1056"/>
      <c r="AEI183" s="1056"/>
      <c r="AEJ183" s="1056"/>
      <c r="AEK183" s="1056"/>
      <c r="AEL183" s="1056"/>
      <c r="AEM183" s="1056"/>
      <c r="AEN183" s="1056"/>
      <c r="AEO183" s="1056"/>
      <c r="AEP183" s="1056"/>
      <c r="AEQ183" s="1056"/>
      <c r="AER183" s="1056"/>
      <c r="AES183" s="1056"/>
      <c r="AET183" s="1056"/>
      <c r="AEU183" s="1056"/>
      <c r="AEV183" s="1056"/>
      <c r="AEW183" s="1056"/>
      <c r="AEX183" s="1056"/>
      <c r="AEY183" s="1056"/>
      <c r="AEZ183" s="1056"/>
      <c r="AFA183" s="1056"/>
      <c r="AFB183" s="1056"/>
      <c r="AFC183" s="1056"/>
      <c r="AFD183" s="1056"/>
      <c r="AFE183" s="1056"/>
      <c r="AFF183" s="1056"/>
      <c r="AFG183" s="1056"/>
      <c r="AFH183" s="1056"/>
      <c r="AFI183" s="1056"/>
      <c r="AFJ183" s="1056"/>
      <c r="AFK183" s="1056"/>
      <c r="AFL183" s="1056"/>
      <c r="AFM183" s="1056"/>
      <c r="AFN183" s="1056"/>
      <c r="AFO183" s="1056"/>
      <c r="AFP183" s="1056"/>
      <c r="AFQ183" s="1056"/>
      <c r="AFR183" s="1056"/>
      <c r="AFS183" s="1056"/>
      <c r="AFT183" s="1056"/>
      <c r="AFU183" s="1056"/>
      <c r="AFV183" s="1056"/>
      <c r="AFW183" s="1056"/>
      <c r="AFX183" s="1056"/>
      <c r="AFY183" s="1056"/>
      <c r="AFZ183" s="1056"/>
      <c r="AGA183" s="1056"/>
      <c r="AGB183" s="1056"/>
      <c r="AGC183" s="1056"/>
      <c r="AGD183" s="1056"/>
      <c r="AGE183" s="1056"/>
      <c r="AGF183" s="1056"/>
      <c r="AGG183" s="1056"/>
      <c r="AGH183" s="1056"/>
      <c r="AGI183" s="1056"/>
      <c r="AGJ183" s="1056"/>
      <c r="AGK183" s="1056"/>
      <c r="AGL183" s="1056"/>
      <c r="AGM183" s="1056"/>
      <c r="AGN183" s="1056"/>
      <c r="AGO183" s="1056"/>
      <c r="AGP183" s="1056"/>
      <c r="AGQ183" s="1056"/>
      <c r="AGR183" s="1056"/>
      <c r="AGS183" s="1056"/>
      <c r="AGT183" s="1056"/>
      <c r="AGU183" s="1056"/>
      <c r="AGV183" s="1056"/>
      <c r="AGW183" s="1056"/>
      <c r="AGX183" s="1056"/>
      <c r="AGY183" s="1056"/>
      <c r="AGZ183" s="1056"/>
      <c r="AHA183" s="1056"/>
      <c r="AHB183" s="1056"/>
      <c r="AHC183" s="1056"/>
      <c r="AHD183" s="1056"/>
      <c r="AHE183" s="1056"/>
      <c r="AHF183" s="1056"/>
      <c r="AHG183" s="1056"/>
      <c r="AHH183" s="1056"/>
      <c r="AHI183" s="1056"/>
      <c r="AHJ183" s="1056"/>
      <c r="AHK183" s="1056"/>
      <c r="AHL183" s="1056"/>
      <c r="AHM183" s="1056"/>
      <c r="AHN183" s="1056"/>
      <c r="AHO183" s="1056"/>
      <c r="AHP183" s="1056"/>
      <c r="AHQ183" s="1056"/>
      <c r="AHR183" s="1056"/>
      <c r="AHS183" s="1056"/>
      <c r="AHT183" s="1056"/>
      <c r="AHU183" s="1056"/>
      <c r="AHV183" s="1056"/>
      <c r="AHW183" s="1056"/>
      <c r="AHX183" s="1056"/>
      <c r="AHY183" s="1056"/>
      <c r="AHZ183" s="1056"/>
      <c r="AIA183" s="1056"/>
      <c r="AIB183" s="1056"/>
      <c r="AIC183" s="1056"/>
      <c r="AID183" s="1056"/>
      <c r="AIE183" s="1056"/>
      <c r="AIF183" s="1056"/>
      <c r="AIG183" s="1056"/>
      <c r="AIH183" s="1056"/>
      <c r="AII183" s="1056"/>
      <c r="AIJ183" s="1056"/>
      <c r="AIK183" s="1056"/>
      <c r="AIL183" s="1056"/>
      <c r="AIM183" s="1056"/>
      <c r="AIN183" s="1056"/>
      <c r="AIO183" s="1056"/>
      <c r="AIP183" s="1056"/>
      <c r="AIQ183" s="1056"/>
      <c r="AIR183" s="1056"/>
      <c r="AIS183" s="1056"/>
      <c r="AIT183" s="1056"/>
      <c r="AIU183" s="1056"/>
      <c r="AIV183" s="1056"/>
      <c r="AIW183" s="1056"/>
      <c r="AIX183" s="1056"/>
      <c r="AIY183" s="1056"/>
      <c r="AIZ183" s="1056"/>
      <c r="AJA183" s="1056"/>
      <c r="AJB183" s="1056"/>
      <c r="AJC183" s="1056"/>
      <c r="AJD183" s="1056"/>
      <c r="AJE183" s="1056"/>
      <c r="AJF183" s="1056"/>
      <c r="AJG183" s="1056"/>
      <c r="AJH183" s="1056"/>
      <c r="AJI183" s="1056"/>
      <c r="AJJ183" s="1056"/>
      <c r="AJK183" s="1056"/>
      <c r="AJL183" s="1056"/>
      <c r="AJM183" s="1056"/>
      <c r="AJN183" s="1056"/>
      <c r="AJO183" s="1056"/>
      <c r="AJP183" s="1056"/>
      <c r="AJQ183" s="1056"/>
      <c r="AJR183" s="1056"/>
      <c r="AJS183" s="1056"/>
      <c r="AJT183" s="1056"/>
      <c r="AJU183" s="1056"/>
      <c r="AJV183" s="1056"/>
      <c r="AJW183" s="1056"/>
      <c r="AJX183" s="1056"/>
      <c r="AJY183" s="1056"/>
      <c r="AJZ183" s="1056"/>
      <c r="AKA183" s="1056"/>
      <c r="AKB183" s="1056"/>
      <c r="AKC183" s="1056"/>
      <c r="AKD183" s="1056"/>
      <c r="AKE183" s="1056"/>
      <c r="AKF183" s="1056"/>
      <c r="AKG183" s="1056"/>
      <c r="AKH183" s="1056"/>
      <c r="AKI183" s="1056"/>
      <c r="AKJ183" s="1056"/>
      <c r="AKK183" s="1056"/>
      <c r="AKL183" s="1056"/>
      <c r="AKM183" s="1056"/>
      <c r="AKN183" s="1056"/>
      <c r="AKO183" s="1056"/>
      <c r="AKP183" s="1056"/>
      <c r="AKQ183" s="1056"/>
      <c r="AKR183" s="1056"/>
      <c r="AKS183" s="1056"/>
      <c r="AKT183" s="1056"/>
      <c r="AKU183" s="1056"/>
      <c r="AKV183" s="1056"/>
      <c r="AKW183" s="1056"/>
      <c r="AKX183" s="1056"/>
      <c r="AKY183" s="1056"/>
      <c r="AKZ183" s="1056"/>
      <c r="ALA183" s="1056"/>
      <c r="ALB183" s="1056"/>
      <c r="ALC183" s="1056"/>
      <c r="ALD183" s="1056"/>
      <c r="ALE183" s="1056"/>
      <c r="ALF183" s="1056"/>
      <c r="ALG183" s="1056"/>
      <c r="ALH183" s="1056"/>
      <c r="ALI183" s="1056"/>
      <c r="ALJ183" s="1056"/>
      <c r="ALK183" s="1056"/>
      <c r="ALL183" s="1056"/>
      <c r="ALM183" s="1056"/>
      <c r="ALN183" s="1056"/>
      <c r="ALO183" s="1056"/>
      <c r="ALP183" s="1056"/>
      <c r="ALQ183" s="1056"/>
      <c r="ALR183" s="1056"/>
      <c r="ALS183" s="1056"/>
      <c r="ALT183" s="1056"/>
      <c r="ALU183" s="1056"/>
      <c r="ALV183" s="1056"/>
      <c r="ALW183" s="1056"/>
      <c r="ALX183" s="1056"/>
      <c r="ALY183" s="1056"/>
      <c r="ALZ183" s="1056"/>
      <c r="AMA183" s="1056"/>
      <c r="AMB183" s="1056"/>
      <c r="AMC183" s="1056"/>
      <c r="AMD183" s="1056"/>
      <c r="AME183" s="1056"/>
      <c r="AMF183" s="1056"/>
      <c r="AMG183" s="1056"/>
      <c r="AMH183" s="1056"/>
      <c r="AMI183" s="1056"/>
      <c r="AMJ183" s="1056"/>
      <c r="AMK183" s="1056"/>
      <c r="AML183" s="1056"/>
      <c r="AMM183" s="1056"/>
      <c r="AMN183" s="1056"/>
      <c r="AMO183" s="1056"/>
      <c r="AMP183" s="1056"/>
      <c r="AMQ183" s="1056"/>
      <c r="AMR183" s="1056"/>
      <c r="AMS183" s="1056"/>
      <c r="AMT183" s="1056"/>
      <c r="AMU183" s="1056"/>
      <c r="AMV183" s="1056"/>
      <c r="AMW183" s="1056"/>
      <c r="AMX183" s="1056"/>
      <c r="AMY183" s="1056"/>
      <c r="AMZ183" s="1056"/>
      <c r="ANA183" s="1056"/>
      <c r="ANB183" s="1056"/>
      <c r="ANC183" s="1056"/>
      <c r="AND183" s="1056"/>
      <c r="ANE183" s="1056"/>
      <c r="ANF183" s="1056"/>
      <c r="ANG183" s="1056"/>
      <c r="ANH183" s="1056"/>
      <c r="ANI183" s="1056"/>
      <c r="ANJ183" s="1056"/>
      <c r="ANK183" s="1056"/>
      <c r="ANL183" s="1056"/>
      <c r="ANM183" s="1056"/>
      <c r="ANN183" s="1056"/>
      <c r="ANO183" s="1056"/>
      <c r="ANP183" s="1056"/>
      <c r="ANQ183" s="1056"/>
      <c r="ANR183" s="1056"/>
      <c r="ANS183" s="1056"/>
      <c r="ANT183" s="1056"/>
      <c r="ANU183" s="1056"/>
      <c r="ANV183" s="1056"/>
      <c r="ANW183" s="1056"/>
      <c r="ANX183" s="1056"/>
      <c r="ANY183" s="1056"/>
      <c r="ANZ183" s="1056"/>
      <c r="AOA183" s="1056"/>
      <c r="AOB183" s="1056"/>
      <c r="AOC183" s="1056"/>
      <c r="AOD183" s="1056"/>
      <c r="AOE183" s="1056"/>
      <c r="AOF183" s="1056"/>
      <c r="AOG183" s="1056"/>
      <c r="AOH183" s="1056"/>
      <c r="AOI183" s="1056"/>
      <c r="AOJ183" s="1056"/>
      <c r="AOK183" s="1056"/>
      <c r="AOL183" s="1056"/>
      <c r="AOM183" s="1056"/>
      <c r="AON183" s="1056"/>
      <c r="AOO183" s="1056"/>
      <c r="AOP183" s="1056"/>
      <c r="AOQ183" s="1056"/>
      <c r="AOR183" s="1056"/>
      <c r="AOS183" s="1056"/>
      <c r="AOT183" s="1056"/>
      <c r="AOU183" s="1056"/>
      <c r="AOV183" s="1056"/>
      <c r="AOW183" s="1056"/>
      <c r="AOX183" s="1056"/>
      <c r="AOY183" s="1056"/>
      <c r="AOZ183" s="1056"/>
      <c r="APA183" s="1056"/>
      <c r="APB183" s="1056"/>
      <c r="APC183" s="1056"/>
      <c r="APD183" s="1056"/>
      <c r="APE183" s="1056"/>
      <c r="APF183" s="1056"/>
      <c r="APG183" s="1056"/>
      <c r="APH183" s="1056"/>
      <c r="API183" s="1056"/>
      <c r="APJ183" s="1056"/>
      <c r="APK183" s="1056"/>
      <c r="APL183" s="1056"/>
      <c r="APM183" s="1056"/>
      <c r="APN183" s="1056"/>
      <c r="APO183" s="1056"/>
      <c r="APP183" s="1056"/>
      <c r="APQ183" s="1056"/>
      <c r="APR183" s="1056"/>
      <c r="APS183" s="1056"/>
      <c r="APT183" s="1056"/>
      <c r="APU183" s="1056"/>
      <c r="APV183" s="1056"/>
      <c r="APW183" s="1056"/>
      <c r="APX183" s="1056"/>
      <c r="APY183" s="1056"/>
      <c r="APZ183" s="1056"/>
      <c r="AQA183" s="1056"/>
      <c r="AQB183" s="1056"/>
      <c r="AQC183" s="1056"/>
      <c r="AQD183" s="1056"/>
      <c r="AQE183" s="1056"/>
      <c r="AQF183" s="1056"/>
      <c r="AQG183" s="1056"/>
      <c r="AQH183" s="1056"/>
      <c r="AQI183" s="1056"/>
      <c r="AQJ183" s="1056"/>
      <c r="AQK183" s="1056"/>
      <c r="AQL183" s="1056"/>
      <c r="AQM183" s="1056"/>
      <c r="AQN183" s="1056"/>
      <c r="AQO183" s="1056"/>
      <c r="AQP183" s="1056"/>
      <c r="AQQ183" s="1056"/>
      <c r="AQR183" s="1056"/>
      <c r="AQS183" s="1056"/>
      <c r="AQT183" s="1056"/>
      <c r="AQU183" s="1056"/>
      <c r="AQV183" s="1056"/>
      <c r="AQW183" s="1056"/>
      <c r="AQX183" s="1056"/>
      <c r="AQY183" s="1056"/>
      <c r="AQZ183" s="1056"/>
      <c r="ARA183" s="1056"/>
      <c r="ARB183" s="1056"/>
      <c r="ARC183" s="1056"/>
      <c r="ARD183" s="1056"/>
      <c r="ARE183" s="1056"/>
      <c r="ARF183" s="1056"/>
      <c r="ARG183" s="1056"/>
      <c r="ARH183" s="1056"/>
      <c r="ARI183" s="1056"/>
      <c r="ARJ183" s="1056"/>
      <c r="ARK183" s="1056"/>
      <c r="ARL183" s="1056"/>
      <c r="ARM183" s="1056"/>
      <c r="ARN183" s="1056"/>
      <c r="ARO183" s="1056"/>
      <c r="ARP183" s="1056"/>
      <c r="ARQ183" s="1056"/>
      <c r="ARR183" s="1056"/>
      <c r="ARS183" s="1056"/>
      <c r="ART183" s="1056"/>
      <c r="ARU183" s="1056"/>
      <c r="ARV183" s="1056"/>
      <c r="ARW183" s="1056"/>
      <c r="ARX183" s="1056"/>
      <c r="ARY183" s="1056"/>
      <c r="ARZ183" s="1056"/>
      <c r="ASA183" s="1056"/>
      <c r="ASB183" s="1056"/>
      <c r="ASC183" s="1056"/>
      <c r="ASD183" s="1056"/>
      <c r="ASE183" s="1056"/>
      <c r="ASF183" s="1056"/>
      <c r="ASG183" s="1056"/>
      <c r="ASH183" s="1056"/>
      <c r="ASI183" s="1056"/>
      <c r="ASJ183" s="1056"/>
      <c r="ASK183" s="1056"/>
      <c r="ASL183" s="1056"/>
      <c r="ASM183" s="1056"/>
      <c r="ASN183" s="1056"/>
      <c r="ASO183" s="1056"/>
      <c r="ASP183" s="1056"/>
      <c r="ASQ183" s="1056"/>
      <c r="ASR183" s="1056"/>
      <c r="ASS183" s="1056"/>
      <c r="AST183" s="1056"/>
      <c r="ASU183" s="1056"/>
      <c r="ASV183" s="1056"/>
      <c r="ASW183" s="1056"/>
      <c r="ASX183" s="1056"/>
      <c r="ASY183" s="1056"/>
      <c r="ASZ183" s="1056"/>
      <c r="ATA183" s="1056"/>
      <c r="ATB183" s="1056"/>
      <c r="ATC183" s="1056"/>
      <c r="ATD183" s="1056"/>
      <c r="ATE183" s="1056"/>
      <c r="ATF183" s="1056"/>
      <c r="ATG183" s="1056"/>
      <c r="ATH183" s="1056"/>
      <c r="ATI183" s="1056"/>
      <c r="ATJ183" s="1056"/>
      <c r="ATK183" s="1056"/>
      <c r="ATL183" s="1056"/>
      <c r="ATM183" s="1056"/>
      <c r="ATN183" s="1056"/>
      <c r="ATO183" s="1056"/>
      <c r="ATP183" s="1056"/>
      <c r="ATQ183" s="1056"/>
      <c r="ATR183" s="1056"/>
      <c r="ATS183" s="1056"/>
      <c r="ATT183" s="1056"/>
      <c r="ATU183" s="1056"/>
      <c r="ATV183" s="1056"/>
      <c r="ATW183" s="1056"/>
      <c r="ATX183" s="1056"/>
      <c r="ATY183" s="1056"/>
      <c r="ATZ183" s="1056"/>
      <c r="AUA183" s="1056"/>
      <c r="AUB183" s="1056"/>
      <c r="AUC183" s="1056"/>
      <c r="AUD183" s="1056"/>
      <c r="AUE183" s="1056"/>
      <c r="AUF183" s="1056"/>
      <c r="AUG183" s="1056"/>
      <c r="AUH183" s="1056"/>
      <c r="AUI183" s="1056"/>
      <c r="AUJ183" s="1056"/>
      <c r="AUK183" s="1056"/>
      <c r="AUL183" s="1056"/>
      <c r="AUM183" s="1056"/>
      <c r="AUN183" s="1056"/>
      <c r="AUO183" s="1056"/>
      <c r="AUP183" s="1056"/>
      <c r="AUQ183" s="1056"/>
      <c r="AUR183" s="1056"/>
      <c r="AUS183" s="1056"/>
      <c r="AUT183" s="1056"/>
      <c r="AUU183" s="1056"/>
      <c r="AUV183" s="1056"/>
      <c r="AUW183" s="1056"/>
      <c r="AUX183" s="1056"/>
      <c r="AUY183" s="1056"/>
      <c r="AUZ183" s="1056"/>
      <c r="AVA183" s="1056"/>
      <c r="AVB183" s="1056"/>
      <c r="AVC183" s="1056"/>
      <c r="AVD183" s="1056"/>
      <c r="AVE183" s="1056"/>
      <c r="AVF183" s="1056"/>
      <c r="AVG183" s="1056"/>
      <c r="AVH183" s="1056"/>
      <c r="AVI183" s="1056"/>
      <c r="AVJ183" s="1056"/>
      <c r="AVK183" s="1056"/>
      <c r="AVL183" s="1056"/>
      <c r="AVM183" s="1056"/>
      <c r="AVN183" s="1056"/>
      <c r="AVO183" s="1056"/>
      <c r="AVP183" s="1056"/>
      <c r="AVQ183" s="1056"/>
      <c r="AVR183" s="1056"/>
      <c r="AVS183" s="1056"/>
      <c r="AVT183" s="1056"/>
      <c r="AVU183" s="1056"/>
      <c r="AVV183" s="1056"/>
      <c r="AVW183" s="1056"/>
      <c r="AVX183" s="1056"/>
      <c r="AVY183" s="1056"/>
      <c r="AVZ183" s="1056"/>
      <c r="AWA183" s="1056"/>
      <c r="AWB183" s="1056"/>
      <c r="AWC183" s="1056"/>
      <c r="AWD183" s="1056"/>
      <c r="AWE183" s="1056"/>
      <c r="AWF183" s="1056"/>
      <c r="AWG183" s="1056"/>
      <c r="AWH183" s="1056"/>
      <c r="AWI183" s="1056"/>
      <c r="AWJ183" s="1056"/>
      <c r="AWK183" s="1056"/>
      <c r="AWL183" s="1056"/>
      <c r="AWM183" s="1056"/>
      <c r="AWN183" s="1056"/>
      <c r="AWO183" s="1056"/>
      <c r="AWP183" s="1056"/>
      <c r="AWQ183" s="1056"/>
      <c r="AWR183" s="1056"/>
      <c r="AWS183" s="1056"/>
      <c r="AWT183" s="1056"/>
      <c r="AWU183" s="1056"/>
      <c r="AWV183" s="1056"/>
      <c r="AWW183" s="1056"/>
      <c r="AWX183" s="1056"/>
      <c r="AWY183" s="1056"/>
      <c r="AWZ183" s="1056"/>
      <c r="AXA183" s="1056"/>
      <c r="AXB183" s="1056"/>
      <c r="AXC183" s="1056"/>
      <c r="AXD183" s="1056"/>
      <c r="AXE183" s="1056"/>
      <c r="AXF183" s="1056"/>
      <c r="AXG183" s="1056"/>
      <c r="AXH183" s="1056"/>
      <c r="AXI183" s="1056"/>
      <c r="AXJ183" s="1056"/>
      <c r="AXK183" s="1056"/>
      <c r="AXL183" s="1056"/>
      <c r="AXM183" s="1056"/>
      <c r="AXN183" s="1056"/>
      <c r="AXO183" s="1056"/>
      <c r="AXP183" s="1056"/>
      <c r="AXQ183" s="1056"/>
      <c r="AXR183" s="1056"/>
      <c r="AXS183" s="1056"/>
      <c r="AXT183" s="1056"/>
      <c r="AXU183" s="1056"/>
      <c r="AXV183" s="1056"/>
      <c r="AXW183" s="1056"/>
      <c r="AXX183" s="1056"/>
      <c r="AXY183" s="1056"/>
      <c r="AXZ183" s="1056"/>
      <c r="AYA183" s="1056"/>
      <c r="AYB183" s="1056"/>
      <c r="AYC183" s="1056"/>
      <c r="AYD183" s="1056"/>
      <c r="AYE183" s="1056"/>
      <c r="AYF183" s="1056"/>
      <c r="AYG183" s="1056"/>
      <c r="AYH183" s="1056"/>
      <c r="AYI183" s="1056"/>
      <c r="AYJ183" s="1056"/>
      <c r="AYK183" s="1056"/>
      <c r="AYL183" s="1056"/>
      <c r="AYM183" s="1056"/>
      <c r="AYN183" s="1056"/>
      <c r="AYO183" s="1056"/>
      <c r="AYP183" s="1056"/>
      <c r="AYQ183" s="1056"/>
      <c r="AYR183" s="1056"/>
      <c r="AYS183" s="1056"/>
      <c r="AYT183" s="1056"/>
      <c r="AYU183" s="1056"/>
      <c r="AYV183" s="1056"/>
      <c r="AYW183" s="1056"/>
      <c r="AYX183" s="1056"/>
      <c r="AYY183" s="1056"/>
      <c r="AYZ183" s="1056"/>
      <c r="AZA183" s="1056"/>
      <c r="AZB183" s="1056"/>
      <c r="AZC183" s="1056"/>
      <c r="AZD183" s="1056"/>
      <c r="AZE183" s="1056"/>
      <c r="AZF183" s="1056"/>
      <c r="AZG183" s="1056"/>
      <c r="AZH183" s="1056"/>
      <c r="AZI183" s="1056"/>
      <c r="AZJ183" s="1056"/>
      <c r="AZK183" s="1056"/>
      <c r="AZL183" s="1056"/>
      <c r="AZM183" s="1056"/>
      <c r="AZN183" s="1056"/>
      <c r="AZO183" s="1056"/>
      <c r="AZP183" s="1056"/>
      <c r="AZQ183" s="1056"/>
      <c r="AZR183" s="1056"/>
      <c r="AZS183" s="1056"/>
      <c r="AZT183" s="1056"/>
      <c r="AZU183" s="1056"/>
      <c r="AZV183" s="1056"/>
      <c r="AZW183" s="1056"/>
      <c r="AZX183" s="1056"/>
      <c r="AZY183" s="1056"/>
      <c r="AZZ183" s="1056"/>
      <c r="BAA183" s="1056"/>
      <c r="BAB183" s="1056"/>
      <c r="BAC183" s="1056"/>
      <c r="BAD183" s="1056"/>
      <c r="BAE183" s="1056"/>
      <c r="BAF183" s="1056"/>
      <c r="BAG183" s="1056"/>
      <c r="BAH183" s="1056"/>
      <c r="BAI183" s="1056"/>
      <c r="BAJ183" s="1056"/>
      <c r="BAK183" s="1056"/>
      <c r="BAL183" s="1056"/>
      <c r="BAM183" s="1056"/>
      <c r="BAN183" s="1056"/>
      <c r="BAO183" s="1056"/>
      <c r="BAP183" s="1056"/>
      <c r="BAQ183" s="1056"/>
      <c r="BAR183" s="1056"/>
      <c r="BAS183" s="1056"/>
      <c r="BAT183" s="1056"/>
      <c r="BAU183" s="1056"/>
      <c r="BAV183" s="1056"/>
      <c r="BAW183" s="1056"/>
      <c r="BAX183" s="1056"/>
      <c r="BAY183" s="1056"/>
      <c r="BAZ183" s="1056"/>
      <c r="BBA183" s="1056"/>
      <c r="BBB183" s="1056"/>
      <c r="BBC183" s="1056"/>
      <c r="BBD183" s="1056"/>
      <c r="BBE183" s="1056"/>
      <c r="BBF183" s="1056"/>
      <c r="BBG183" s="1056"/>
      <c r="BBH183" s="1056"/>
      <c r="BBI183" s="1056"/>
      <c r="BBJ183" s="1056"/>
      <c r="BBK183" s="1056"/>
      <c r="BBL183" s="1056"/>
      <c r="BBM183" s="1056"/>
      <c r="BBN183" s="1056"/>
      <c r="BBO183" s="1056"/>
      <c r="BBP183" s="1056"/>
      <c r="BBQ183" s="1056"/>
      <c r="BBR183" s="1056"/>
      <c r="BBS183" s="1056"/>
      <c r="BBT183" s="1056"/>
      <c r="BBU183" s="1056"/>
      <c r="BBV183" s="1056"/>
      <c r="BBW183" s="1056"/>
      <c r="BBX183" s="1056"/>
      <c r="BBY183" s="1056"/>
      <c r="BBZ183" s="1056"/>
      <c r="BCA183" s="1056"/>
      <c r="BCB183" s="1056"/>
      <c r="BCC183" s="1056"/>
      <c r="BCD183" s="1056"/>
      <c r="BCE183" s="1056"/>
      <c r="BCF183" s="1056"/>
      <c r="BCG183" s="1056"/>
      <c r="BCH183" s="1056"/>
      <c r="BCI183" s="1056"/>
      <c r="BCJ183" s="1056"/>
      <c r="BCK183" s="1056"/>
      <c r="BCL183" s="1056"/>
      <c r="BCM183" s="1056"/>
      <c r="BCN183" s="1056"/>
      <c r="BCO183" s="1056"/>
      <c r="BCP183" s="1056"/>
      <c r="BCQ183" s="1056"/>
      <c r="BCR183" s="1056"/>
      <c r="BCS183" s="1056"/>
      <c r="BCT183" s="1056"/>
      <c r="BCU183" s="1056"/>
      <c r="BCV183" s="1056"/>
      <c r="BCW183" s="1056"/>
      <c r="BCX183" s="1056"/>
      <c r="BCY183" s="1056"/>
      <c r="BCZ183" s="1056"/>
      <c r="BDA183" s="1056"/>
      <c r="BDB183" s="1056"/>
      <c r="BDC183" s="1056"/>
      <c r="BDD183" s="1056"/>
      <c r="BDE183" s="1056"/>
      <c r="BDF183" s="1056"/>
      <c r="BDG183" s="1056"/>
      <c r="BDH183" s="1056"/>
      <c r="BDI183" s="1056"/>
      <c r="BDJ183" s="1056"/>
      <c r="BDK183" s="1056"/>
      <c r="BDL183" s="1056"/>
      <c r="BDM183" s="1056"/>
      <c r="BDN183" s="1056"/>
      <c r="BDO183" s="1056"/>
      <c r="BDP183" s="1056"/>
      <c r="BDQ183" s="1056"/>
      <c r="BDR183" s="1056"/>
      <c r="BDS183" s="1056"/>
      <c r="BDT183" s="1056"/>
      <c r="BDU183" s="1056"/>
      <c r="BDV183" s="1056"/>
      <c r="BDW183" s="1056"/>
      <c r="BDX183" s="1056"/>
      <c r="BDY183" s="1056"/>
      <c r="BDZ183" s="1056"/>
      <c r="BEA183" s="1056"/>
      <c r="BEB183" s="1056"/>
      <c r="BEC183" s="1056"/>
      <c r="BED183" s="1056"/>
      <c r="BEE183" s="1056"/>
      <c r="BEF183" s="1056"/>
      <c r="BEG183" s="1056"/>
      <c r="BEH183" s="1056"/>
      <c r="BEI183" s="1056"/>
      <c r="BEJ183" s="1056"/>
      <c r="BEK183" s="1056"/>
      <c r="BEL183" s="1056"/>
      <c r="BEM183" s="1056"/>
      <c r="BEN183" s="1056"/>
      <c r="BEO183" s="1056"/>
      <c r="BEP183" s="1056"/>
      <c r="BEQ183" s="1056"/>
      <c r="BER183" s="1056"/>
      <c r="BES183" s="1056"/>
      <c r="BET183" s="1056"/>
      <c r="BEU183" s="1056"/>
      <c r="BEV183" s="1056"/>
      <c r="BEW183" s="1056"/>
      <c r="BEX183" s="1056"/>
      <c r="BEY183" s="1056"/>
      <c r="BEZ183" s="1056"/>
      <c r="BFA183" s="1056"/>
      <c r="BFB183" s="1056"/>
      <c r="BFC183" s="1056"/>
      <c r="BFD183" s="1056"/>
      <c r="BFE183" s="1056"/>
      <c r="BFF183" s="1056"/>
      <c r="BFG183" s="1056"/>
      <c r="BFH183" s="1056"/>
      <c r="BFI183" s="1056"/>
      <c r="BFJ183" s="1056"/>
      <c r="BFK183" s="1056"/>
      <c r="BFL183" s="1056"/>
      <c r="BFM183" s="1056"/>
      <c r="BFN183" s="1056"/>
      <c r="BFO183" s="1056"/>
      <c r="BFP183" s="1056"/>
      <c r="BFQ183" s="1056"/>
      <c r="BFR183" s="1056"/>
      <c r="BFS183" s="1056"/>
      <c r="BFT183" s="1056"/>
      <c r="BFU183" s="1056"/>
      <c r="BFV183" s="1056"/>
      <c r="BFW183" s="1056"/>
      <c r="BFX183" s="1056"/>
      <c r="BFY183" s="1056"/>
      <c r="BFZ183" s="1056"/>
      <c r="BGA183" s="1056"/>
      <c r="BGB183" s="1056"/>
      <c r="BGC183" s="1056"/>
      <c r="BGD183" s="1056"/>
      <c r="BGE183" s="1056"/>
      <c r="BGF183" s="1056"/>
      <c r="BGG183" s="1056"/>
      <c r="BGH183" s="1056"/>
      <c r="BGI183" s="1056"/>
      <c r="BGJ183" s="1056"/>
      <c r="BGK183" s="1056"/>
      <c r="BGL183" s="1056"/>
      <c r="BGM183" s="1056"/>
      <c r="BGN183" s="1056"/>
      <c r="BGO183" s="1056"/>
      <c r="BGP183" s="1056"/>
      <c r="BGQ183" s="1056"/>
      <c r="BGR183" s="1056"/>
      <c r="BGS183" s="1056"/>
      <c r="BGT183" s="1056"/>
      <c r="BGU183" s="1056"/>
      <c r="BGV183" s="1056"/>
      <c r="BGW183" s="1056"/>
      <c r="BGX183" s="1056"/>
      <c r="BGY183" s="1056"/>
      <c r="BGZ183" s="1056"/>
      <c r="BHA183" s="1056"/>
      <c r="BHB183" s="1056"/>
      <c r="BHC183" s="1056"/>
      <c r="BHD183" s="1056"/>
      <c r="BHE183" s="1056"/>
      <c r="BHF183" s="1056"/>
      <c r="BHG183" s="1056"/>
      <c r="BHH183" s="1056"/>
      <c r="BHI183" s="1056"/>
      <c r="BHJ183" s="1056"/>
      <c r="BHK183" s="1056"/>
      <c r="BHL183" s="1056"/>
      <c r="BHM183" s="1056"/>
      <c r="BHN183" s="1056"/>
      <c r="BHO183" s="1056"/>
      <c r="BHP183" s="1056"/>
      <c r="BHQ183" s="1056"/>
      <c r="BHR183" s="1056"/>
      <c r="BHS183" s="1056"/>
      <c r="BHT183" s="1056"/>
      <c r="BHU183" s="1056"/>
      <c r="BHV183" s="1056"/>
      <c r="BHW183" s="1056"/>
      <c r="BHX183" s="1056"/>
      <c r="BHY183" s="1056"/>
      <c r="BHZ183" s="1056"/>
      <c r="BIA183" s="1056"/>
      <c r="BIB183" s="1056"/>
      <c r="BIC183" s="1056"/>
      <c r="BID183" s="1056"/>
      <c r="BIE183" s="1056"/>
      <c r="BIF183" s="1056"/>
      <c r="BIG183" s="1056"/>
      <c r="BIH183" s="1056"/>
      <c r="BII183" s="1056"/>
      <c r="BIJ183" s="1056"/>
      <c r="BIK183" s="1056"/>
      <c r="BIL183" s="1056"/>
      <c r="BIM183" s="1056"/>
      <c r="BIN183" s="1056"/>
      <c r="BIO183" s="1056"/>
      <c r="BIP183" s="1056"/>
      <c r="BIQ183" s="1056"/>
      <c r="BIR183" s="1056"/>
      <c r="BIS183" s="1056"/>
      <c r="BIT183" s="1056"/>
      <c r="BIU183" s="1056"/>
      <c r="BIV183" s="1056"/>
      <c r="BIW183" s="1056"/>
      <c r="BIX183" s="1056"/>
      <c r="BIY183" s="1056"/>
      <c r="BIZ183" s="1056"/>
      <c r="BJA183" s="1056"/>
      <c r="BJB183" s="1056"/>
      <c r="BJC183" s="1056"/>
      <c r="BJD183" s="1056"/>
      <c r="BJE183" s="1056"/>
      <c r="BJF183" s="1056"/>
      <c r="BJG183" s="1056"/>
      <c r="BJH183" s="1056"/>
      <c r="BJI183" s="1056"/>
      <c r="BJJ183" s="1056"/>
      <c r="BJK183" s="1056"/>
      <c r="BJL183" s="1056"/>
      <c r="BJM183" s="1056"/>
      <c r="BJN183" s="1056"/>
      <c r="BJO183" s="1056"/>
      <c r="BJP183" s="1056"/>
      <c r="BJQ183" s="1056"/>
      <c r="BJR183" s="1056"/>
      <c r="BJS183" s="1056"/>
      <c r="BJT183" s="1056"/>
      <c r="BJU183" s="1056"/>
      <c r="BJV183" s="1056"/>
      <c r="BJW183" s="1056"/>
      <c r="BJX183" s="1056"/>
      <c r="BJY183" s="1056"/>
      <c r="BJZ183" s="1056"/>
      <c r="BKA183" s="1056"/>
      <c r="BKB183" s="1056"/>
      <c r="BKC183" s="1056"/>
      <c r="BKD183" s="1056"/>
      <c r="BKE183" s="1056"/>
      <c r="BKF183" s="1056"/>
      <c r="BKG183" s="1056"/>
      <c r="BKH183" s="1056"/>
      <c r="BKI183" s="1056"/>
      <c r="BKJ183" s="1056"/>
      <c r="BKK183" s="1056"/>
      <c r="BKL183" s="1056"/>
      <c r="BKM183" s="1056"/>
      <c r="BKN183" s="1056"/>
      <c r="BKO183" s="1056"/>
      <c r="BKP183" s="1056"/>
      <c r="BKQ183" s="1056"/>
      <c r="BKR183" s="1056"/>
      <c r="BKS183" s="1056"/>
      <c r="BKT183" s="1056"/>
      <c r="BKU183" s="1056"/>
      <c r="BKV183" s="1056"/>
      <c r="BKW183" s="1056"/>
      <c r="BKX183" s="1056"/>
      <c r="BKY183" s="1056"/>
      <c r="BKZ183" s="1056"/>
      <c r="BLA183" s="1056"/>
      <c r="BLB183" s="1056"/>
      <c r="BLC183" s="1056"/>
      <c r="BLD183" s="1056"/>
      <c r="BLE183" s="1056"/>
      <c r="BLF183" s="1056"/>
      <c r="BLG183" s="1056"/>
      <c r="BLH183" s="1056"/>
      <c r="BLI183" s="1056"/>
      <c r="BLJ183" s="1056"/>
      <c r="BLK183" s="1056"/>
      <c r="BLL183" s="1056"/>
      <c r="BLM183" s="1056"/>
      <c r="BLN183" s="1056"/>
      <c r="BLO183" s="1056"/>
      <c r="BLP183" s="1056"/>
      <c r="BLQ183" s="1056"/>
      <c r="BLR183" s="1056"/>
      <c r="BLS183" s="1056"/>
      <c r="BLT183" s="1056"/>
      <c r="BLU183" s="1056"/>
      <c r="BLV183" s="1056"/>
      <c r="BLW183" s="1056"/>
      <c r="BLX183" s="1056"/>
      <c r="BLY183" s="1056"/>
      <c r="BLZ183" s="1056"/>
      <c r="BMA183" s="1056"/>
      <c r="BMB183" s="1056"/>
      <c r="BMC183" s="1056"/>
      <c r="BMD183" s="1056"/>
      <c r="BME183" s="1056"/>
      <c r="BMF183" s="1056"/>
      <c r="BMG183" s="1056"/>
      <c r="BMH183" s="1056"/>
      <c r="BMI183" s="1056"/>
      <c r="BMJ183" s="1056"/>
      <c r="BMK183" s="1056"/>
      <c r="BML183" s="1056"/>
      <c r="BMM183" s="1056"/>
      <c r="BMN183" s="1056"/>
      <c r="BMO183" s="1056"/>
      <c r="BMP183" s="1056"/>
      <c r="BMQ183" s="1056"/>
      <c r="BMR183" s="1056"/>
      <c r="BMS183" s="1056"/>
      <c r="BMT183" s="1056"/>
      <c r="BMU183" s="1056"/>
      <c r="BMV183" s="1056"/>
      <c r="BMW183" s="1056"/>
      <c r="BMX183" s="1056"/>
      <c r="BMY183" s="1056"/>
      <c r="BMZ183" s="1056"/>
      <c r="BNA183" s="1056"/>
      <c r="BNB183" s="1056"/>
      <c r="BNC183" s="1056"/>
      <c r="BND183" s="1056"/>
      <c r="BNE183" s="1056"/>
      <c r="BNF183" s="1056"/>
      <c r="BNG183" s="1056"/>
      <c r="BNH183" s="1056"/>
      <c r="BNI183" s="1056"/>
      <c r="BNJ183" s="1056"/>
      <c r="BNK183" s="1056"/>
      <c r="BNL183" s="1056"/>
      <c r="BNM183" s="1056"/>
      <c r="BNN183" s="1056"/>
      <c r="BNO183" s="1056"/>
      <c r="BNP183" s="1056"/>
      <c r="BNQ183" s="1056"/>
      <c r="BNR183" s="1056"/>
      <c r="BNS183" s="1056"/>
      <c r="BNT183" s="1056"/>
      <c r="BNU183" s="1056"/>
      <c r="BNV183" s="1056"/>
      <c r="BNW183" s="1056"/>
      <c r="BNX183" s="1056"/>
      <c r="BNY183" s="1056"/>
      <c r="BNZ183" s="1056"/>
      <c r="BOA183" s="1056"/>
      <c r="BOB183" s="1056"/>
      <c r="BOC183" s="1056"/>
      <c r="BOD183" s="1056"/>
      <c r="BOE183" s="1056"/>
      <c r="BOF183" s="1056"/>
      <c r="BOG183" s="1056"/>
      <c r="BOH183" s="1056"/>
      <c r="BOI183" s="1056"/>
      <c r="BOJ183" s="1056"/>
      <c r="BOK183" s="1056"/>
      <c r="BOL183" s="1056"/>
      <c r="BOM183" s="1056"/>
      <c r="BON183" s="1056"/>
      <c r="BOO183" s="1056"/>
      <c r="BOP183" s="1056"/>
      <c r="BOQ183" s="1056"/>
      <c r="BOR183" s="1056"/>
      <c r="BOS183" s="1056"/>
      <c r="BOT183" s="1056"/>
      <c r="BOU183" s="1056"/>
      <c r="BOV183" s="1056"/>
      <c r="BOW183" s="1056"/>
      <c r="BOX183" s="1056"/>
      <c r="BOY183" s="1056"/>
      <c r="BOZ183" s="1056"/>
      <c r="BPA183" s="1056"/>
      <c r="BPB183" s="1056"/>
      <c r="BPC183" s="1056"/>
      <c r="BPD183" s="1056"/>
      <c r="BPE183" s="1056"/>
      <c r="BPF183" s="1056"/>
      <c r="BPG183" s="1056"/>
      <c r="BPH183" s="1056"/>
      <c r="BPI183" s="1056"/>
      <c r="BPJ183" s="1056"/>
      <c r="BPK183" s="1056"/>
      <c r="BPL183" s="1056"/>
      <c r="BPM183" s="1056"/>
      <c r="BPN183" s="1056"/>
      <c r="BPO183" s="1056"/>
      <c r="BPP183" s="1056"/>
      <c r="BPQ183" s="1056"/>
      <c r="BPR183" s="1056"/>
      <c r="BPS183" s="1056"/>
      <c r="BPT183" s="1056"/>
      <c r="BPU183" s="1056"/>
      <c r="BPV183" s="1056"/>
      <c r="BPW183" s="1056"/>
      <c r="BPX183" s="1056"/>
      <c r="BPY183" s="1056"/>
      <c r="BPZ183" s="1056"/>
      <c r="BQA183" s="1056"/>
      <c r="BQB183" s="1056"/>
      <c r="BQC183" s="1056"/>
      <c r="BQD183" s="1056"/>
      <c r="BQE183" s="1056"/>
      <c r="BQF183" s="1056"/>
      <c r="BQG183" s="1056"/>
      <c r="BQH183" s="1056"/>
      <c r="BQI183" s="1056"/>
      <c r="BQJ183" s="1056"/>
      <c r="BQK183" s="1056"/>
      <c r="BQL183" s="1056"/>
      <c r="BQM183" s="1056"/>
      <c r="BQN183" s="1056"/>
      <c r="BQO183" s="1056"/>
      <c r="BQP183" s="1056"/>
      <c r="BQQ183" s="1056"/>
      <c r="BQR183" s="1056"/>
      <c r="BQS183" s="1056"/>
      <c r="BQT183" s="1056"/>
      <c r="BQU183" s="1056"/>
      <c r="BQV183" s="1056"/>
      <c r="BQW183" s="1056"/>
      <c r="BQX183" s="1056"/>
      <c r="BQY183" s="1056"/>
      <c r="BQZ183" s="1056"/>
      <c r="BRA183" s="1056"/>
      <c r="BRB183" s="1056"/>
      <c r="BRC183" s="1056"/>
      <c r="BRD183" s="1056"/>
      <c r="BRE183" s="1056"/>
      <c r="BRF183" s="1056"/>
      <c r="BRG183" s="1056"/>
      <c r="BRH183" s="1056"/>
      <c r="BRI183" s="1056"/>
      <c r="BRJ183" s="1056"/>
      <c r="BRK183" s="1056"/>
      <c r="BRL183" s="1056"/>
      <c r="BRM183" s="1056"/>
      <c r="BRN183" s="1056"/>
      <c r="BRO183" s="1056"/>
      <c r="BRP183" s="1056"/>
      <c r="BRQ183" s="1056"/>
      <c r="BRR183" s="1056"/>
      <c r="BRS183" s="1056"/>
      <c r="BRT183" s="1056"/>
      <c r="BRU183" s="1056"/>
      <c r="BRV183" s="1056"/>
      <c r="BRW183" s="1056"/>
      <c r="BRX183" s="1056"/>
      <c r="BRY183" s="1056"/>
      <c r="BRZ183" s="1056"/>
      <c r="BSA183" s="1056"/>
      <c r="BSB183" s="1056"/>
      <c r="BSC183" s="1056"/>
      <c r="BSD183" s="1056"/>
      <c r="BSE183" s="1056"/>
      <c r="BSF183" s="1056"/>
      <c r="BSG183" s="1056"/>
      <c r="BSH183" s="1056"/>
      <c r="BSI183" s="1056"/>
      <c r="BSJ183" s="1056"/>
      <c r="BSK183" s="1056"/>
      <c r="BSL183" s="1056"/>
      <c r="BSM183" s="1056"/>
      <c r="BSN183" s="1056"/>
      <c r="BSO183" s="1056"/>
      <c r="BSP183" s="1056"/>
      <c r="BSQ183" s="1056"/>
      <c r="BSR183" s="1056"/>
      <c r="BSS183" s="1056"/>
      <c r="BST183" s="1056"/>
      <c r="BSU183" s="1056"/>
      <c r="BSV183" s="1056"/>
      <c r="BSW183" s="1056"/>
      <c r="BSX183" s="1056"/>
      <c r="BSY183" s="1056"/>
      <c r="BSZ183" s="1056"/>
      <c r="BTA183" s="1056"/>
      <c r="BTB183" s="1056"/>
      <c r="BTC183" s="1056"/>
      <c r="BTD183" s="1056"/>
      <c r="BTE183" s="1056"/>
      <c r="BTF183" s="1056"/>
      <c r="BTG183" s="1056"/>
      <c r="BTH183" s="1056"/>
      <c r="BTI183" s="1056"/>
    </row>
    <row r="184" spans="1:1881" s="1060" customFormat="1" ht="97.5" hidden="1" customHeight="1" x14ac:dyDescent="0.3">
      <c r="A184" s="1059">
        <v>537</v>
      </c>
      <c r="B184" s="735" t="s">
        <v>59</v>
      </c>
      <c r="C184" s="735" t="s">
        <v>1413</v>
      </c>
      <c r="D184" s="1070" t="s">
        <v>1420</v>
      </c>
      <c r="E184" s="1101" t="e">
        <f>HLOOKUP($D$2,'2020 Data(H)'!$C$1:$AI$426,250,FALSE)</f>
        <v>#N/A</v>
      </c>
      <c r="F184" s="287"/>
      <c r="G184" s="722"/>
      <c r="H184" s="1083"/>
      <c r="I184" s="1089"/>
      <c r="J184" s="1056"/>
      <c r="K184" s="1056"/>
      <c r="L184" s="1056"/>
      <c r="M184" s="1056"/>
      <c r="N184" s="1058"/>
      <c r="O184" s="1056"/>
      <c r="P184" s="1056"/>
      <c r="Q184" s="1056"/>
      <c r="R184" s="1056"/>
      <c r="S184" s="1056"/>
      <c r="T184" s="1056"/>
      <c r="U184" s="1056"/>
      <c r="V184" s="1056"/>
      <c r="W184" s="1056"/>
      <c r="X184" s="1056"/>
      <c r="Y184" s="1056"/>
      <c r="Z184" s="1059"/>
      <c r="AA184" s="1059"/>
      <c r="AB184" s="1059"/>
      <c r="AC184" s="1059"/>
      <c r="AD184" s="1059"/>
      <c r="AE184" s="1059"/>
      <c r="AF184" s="1059"/>
      <c r="AG184" s="1059"/>
      <c r="AH184" s="1059"/>
      <c r="AI184" s="1059"/>
      <c r="AJ184" s="1059"/>
      <c r="AK184" s="1059"/>
      <c r="AL184" s="1059"/>
      <c r="AM184" s="1059"/>
      <c r="AN184" s="1059"/>
      <c r="AO184" s="1059"/>
      <c r="AP184" s="1059"/>
      <c r="AQ184" s="1059"/>
      <c r="AR184" s="1059"/>
      <c r="AS184" s="1056"/>
      <c r="AT184" s="1056"/>
      <c r="AU184" s="1056"/>
      <c r="AV184" s="1056"/>
      <c r="AW184" s="1056"/>
      <c r="AX184" s="1056"/>
      <c r="AY184" s="1056"/>
      <c r="AZ184" s="1056"/>
      <c r="BA184" s="1056"/>
      <c r="BB184" s="1056"/>
      <c r="BC184" s="1056"/>
      <c r="BD184" s="1056"/>
      <c r="BE184" s="1056"/>
      <c r="BF184" s="1056"/>
      <c r="BG184" s="1056"/>
      <c r="BH184" s="1056"/>
      <c r="BI184" s="1056"/>
      <c r="BJ184" s="1056"/>
      <c r="BK184" s="1056"/>
      <c r="BL184" s="1056"/>
      <c r="BM184" s="1056"/>
      <c r="BN184" s="1056"/>
      <c r="BO184" s="1056"/>
      <c r="BP184" s="1056"/>
      <c r="BQ184" s="1056"/>
      <c r="BR184" s="1056"/>
      <c r="BS184" s="1056"/>
      <c r="BT184" s="1056"/>
      <c r="BU184" s="1056"/>
      <c r="BV184" s="1056"/>
      <c r="BW184" s="1056"/>
      <c r="BX184" s="1056"/>
      <c r="BY184" s="1056"/>
      <c r="BZ184" s="1056"/>
      <c r="CA184" s="1056"/>
      <c r="CB184" s="1056"/>
      <c r="CC184" s="1056"/>
      <c r="CD184" s="1056"/>
      <c r="CE184" s="1056"/>
      <c r="CF184" s="1056"/>
      <c r="CG184" s="1056"/>
      <c r="CH184" s="1056"/>
      <c r="CI184" s="1056"/>
      <c r="CJ184" s="1056"/>
      <c r="CK184" s="1056"/>
      <c r="CL184" s="1056"/>
      <c r="CM184" s="1056"/>
      <c r="CN184" s="1056"/>
      <c r="CO184" s="1056"/>
      <c r="CP184" s="1056"/>
      <c r="CQ184" s="1056"/>
      <c r="CR184" s="1056"/>
      <c r="CS184" s="1056"/>
      <c r="CT184" s="1056"/>
      <c r="CU184" s="1056"/>
      <c r="CV184" s="1056"/>
      <c r="CW184" s="1056"/>
      <c r="CX184" s="1056"/>
      <c r="CY184" s="1056"/>
      <c r="CZ184" s="1056"/>
      <c r="DA184" s="1056"/>
      <c r="DB184" s="1056"/>
      <c r="DC184" s="1056"/>
      <c r="DD184" s="1056"/>
      <c r="DE184" s="1056"/>
      <c r="DF184" s="1056"/>
      <c r="DG184" s="1056"/>
      <c r="DH184" s="1056"/>
      <c r="DI184" s="1056"/>
      <c r="DJ184" s="1056"/>
      <c r="DK184" s="1056"/>
      <c r="DL184" s="1056"/>
      <c r="DM184" s="1056"/>
      <c r="DN184" s="1056"/>
      <c r="DO184" s="1056"/>
      <c r="DP184" s="1056"/>
      <c r="DQ184" s="1056"/>
      <c r="DR184" s="1056"/>
      <c r="DS184" s="1056"/>
      <c r="DT184" s="1056"/>
      <c r="DU184" s="1056"/>
      <c r="DV184" s="1056"/>
      <c r="DW184" s="1056"/>
      <c r="DX184" s="1056"/>
      <c r="DY184" s="1056"/>
      <c r="DZ184" s="1056"/>
      <c r="EA184" s="1056"/>
      <c r="EB184" s="1056"/>
      <c r="EC184" s="1056"/>
      <c r="ED184" s="1056"/>
      <c r="EE184" s="1056"/>
      <c r="EF184" s="1056"/>
      <c r="EG184" s="1056"/>
      <c r="EH184" s="1056"/>
      <c r="EI184" s="1056"/>
      <c r="EJ184" s="1056"/>
      <c r="EK184" s="1056"/>
      <c r="EL184" s="1056"/>
      <c r="EM184" s="1056"/>
      <c r="EN184" s="1056"/>
      <c r="EO184" s="1056"/>
      <c r="EP184" s="1056"/>
      <c r="EQ184" s="1056"/>
      <c r="ER184" s="1056"/>
      <c r="ES184" s="1056"/>
      <c r="ET184" s="1056"/>
      <c r="EU184" s="1056"/>
      <c r="EV184" s="1056"/>
      <c r="EW184" s="1056"/>
      <c r="EX184" s="1056"/>
      <c r="EY184" s="1056"/>
      <c r="EZ184" s="1056"/>
      <c r="FA184" s="1056"/>
      <c r="FB184" s="1056"/>
      <c r="FC184" s="1056"/>
      <c r="FD184" s="1056"/>
      <c r="FE184" s="1056"/>
      <c r="FF184" s="1056"/>
      <c r="FG184" s="1056"/>
      <c r="FH184" s="1056"/>
      <c r="FI184" s="1056"/>
      <c r="FJ184" s="1056"/>
      <c r="FK184" s="1056"/>
      <c r="FL184" s="1056"/>
      <c r="FM184" s="1056"/>
      <c r="FN184" s="1056"/>
      <c r="FO184" s="1056"/>
      <c r="FP184" s="1056"/>
      <c r="FQ184" s="1056"/>
      <c r="FR184" s="1056"/>
      <c r="FS184" s="1056"/>
      <c r="FT184" s="1056"/>
      <c r="FU184" s="1056"/>
      <c r="FV184" s="1056"/>
      <c r="FW184" s="1056"/>
      <c r="FX184" s="1056"/>
      <c r="FY184" s="1056"/>
      <c r="FZ184" s="1056"/>
      <c r="GA184" s="1056"/>
      <c r="GB184" s="1056"/>
      <c r="GC184" s="1056"/>
      <c r="GD184" s="1056"/>
      <c r="GE184" s="1056"/>
      <c r="GF184" s="1056"/>
      <c r="GG184" s="1056"/>
      <c r="GH184" s="1056"/>
      <c r="GI184" s="1056"/>
      <c r="GJ184" s="1056"/>
      <c r="GK184" s="1056"/>
      <c r="GL184" s="1056"/>
      <c r="GM184" s="1056"/>
      <c r="GN184" s="1056"/>
      <c r="GO184" s="1056"/>
      <c r="GP184" s="1056"/>
      <c r="GQ184" s="1056"/>
      <c r="GR184" s="1056"/>
      <c r="GS184" s="1056"/>
      <c r="GT184" s="1056"/>
      <c r="GU184" s="1056"/>
      <c r="GV184" s="1056"/>
      <c r="GW184" s="1056"/>
      <c r="GX184" s="1056"/>
      <c r="GY184" s="1056"/>
      <c r="GZ184" s="1056"/>
      <c r="HA184" s="1056"/>
      <c r="HB184" s="1056"/>
      <c r="HC184" s="1056"/>
      <c r="HD184" s="1056"/>
      <c r="HE184" s="1056"/>
      <c r="HF184" s="1056"/>
      <c r="HG184" s="1056"/>
      <c r="HH184" s="1056"/>
      <c r="HI184" s="1056"/>
      <c r="HJ184" s="1056"/>
      <c r="HK184" s="1056"/>
      <c r="HL184" s="1056"/>
      <c r="HM184" s="1056"/>
      <c r="HN184" s="1056"/>
      <c r="HO184" s="1056"/>
      <c r="HP184" s="1056"/>
      <c r="HQ184" s="1056"/>
      <c r="HR184" s="1056"/>
      <c r="HS184" s="1056"/>
      <c r="HT184" s="1056"/>
      <c r="HU184" s="1056"/>
      <c r="HV184" s="1056"/>
      <c r="HW184" s="1056"/>
      <c r="HX184" s="1056"/>
      <c r="HY184" s="1056"/>
      <c r="HZ184" s="1056"/>
      <c r="IA184" s="1056"/>
      <c r="IB184" s="1056"/>
      <c r="IC184" s="1056"/>
      <c r="ID184" s="1056"/>
      <c r="IE184" s="1056"/>
      <c r="IF184" s="1056"/>
      <c r="IG184" s="1056"/>
      <c r="IH184" s="1056"/>
      <c r="II184" s="1056"/>
      <c r="IJ184" s="1056"/>
      <c r="IK184" s="1056"/>
      <c r="IL184" s="1056"/>
      <c r="IM184" s="1056"/>
      <c r="IN184" s="1056"/>
      <c r="IO184" s="1056"/>
      <c r="IP184" s="1056"/>
      <c r="IQ184" s="1056"/>
      <c r="IR184" s="1056"/>
      <c r="IS184" s="1056"/>
      <c r="IT184" s="1056"/>
      <c r="IU184" s="1056"/>
      <c r="IV184" s="1056"/>
      <c r="IW184" s="1056"/>
      <c r="IX184" s="1056"/>
      <c r="IY184" s="1056"/>
      <c r="IZ184" s="1056"/>
      <c r="JA184" s="1056"/>
      <c r="JB184" s="1056"/>
      <c r="JC184" s="1056"/>
      <c r="JD184" s="1056"/>
      <c r="JE184" s="1056"/>
      <c r="JF184" s="1056"/>
      <c r="JG184" s="1056"/>
      <c r="JH184" s="1056"/>
      <c r="JI184" s="1056"/>
      <c r="JJ184" s="1056"/>
      <c r="JK184" s="1056"/>
      <c r="JL184" s="1056"/>
      <c r="JM184" s="1056"/>
      <c r="JN184" s="1056"/>
      <c r="JO184" s="1056"/>
      <c r="JP184" s="1056"/>
      <c r="JQ184" s="1056"/>
      <c r="JR184" s="1056"/>
      <c r="JS184" s="1056"/>
      <c r="JT184" s="1056"/>
      <c r="JU184" s="1056"/>
      <c r="JV184" s="1056"/>
      <c r="JW184" s="1056"/>
      <c r="JX184" s="1056"/>
      <c r="JY184" s="1056"/>
      <c r="JZ184" s="1056"/>
      <c r="KA184" s="1056"/>
      <c r="KB184" s="1056"/>
      <c r="KC184" s="1056"/>
      <c r="KD184" s="1056"/>
      <c r="KE184" s="1056"/>
      <c r="KF184" s="1056"/>
      <c r="KG184" s="1056"/>
      <c r="KH184" s="1056"/>
      <c r="KI184" s="1056"/>
      <c r="KJ184" s="1056"/>
      <c r="KK184" s="1056"/>
      <c r="KL184" s="1056"/>
      <c r="KM184" s="1056"/>
      <c r="KN184" s="1056"/>
      <c r="KO184" s="1056"/>
      <c r="KP184" s="1056"/>
      <c r="KQ184" s="1056"/>
      <c r="KR184" s="1056"/>
      <c r="KS184" s="1056"/>
      <c r="KT184" s="1056"/>
      <c r="KU184" s="1056"/>
      <c r="KV184" s="1056"/>
      <c r="KW184" s="1056"/>
      <c r="KX184" s="1056"/>
      <c r="KY184" s="1056"/>
      <c r="KZ184" s="1056"/>
      <c r="LA184" s="1056"/>
      <c r="LB184" s="1056"/>
      <c r="LC184" s="1056"/>
      <c r="LD184" s="1056"/>
      <c r="LE184" s="1056"/>
      <c r="LF184" s="1056"/>
      <c r="LG184" s="1056"/>
      <c r="LH184" s="1056"/>
      <c r="LI184" s="1056"/>
      <c r="LJ184" s="1056"/>
      <c r="LK184" s="1056"/>
      <c r="LL184" s="1056"/>
      <c r="LM184" s="1056"/>
      <c r="LN184" s="1056"/>
      <c r="LO184" s="1056"/>
      <c r="LP184" s="1056"/>
      <c r="LQ184" s="1056"/>
      <c r="LR184" s="1056"/>
      <c r="LS184" s="1056"/>
      <c r="LT184" s="1056"/>
      <c r="LU184" s="1056"/>
      <c r="LV184" s="1056"/>
      <c r="LW184" s="1056"/>
      <c r="LX184" s="1056"/>
      <c r="LY184" s="1056"/>
      <c r="LZ184" s="1056"/>
      <c r="MA184" s="1056"/>
      <c r="MB184" s="1056"/>
      <c r="MC184" s="1056"/>
      <c r="MD184" s="1056"/>
      <c r="ME184" s="1056"/>
      <c r="MF184" s="1056"/>
      <c r="MG184" s="1056"/>
      <c r="MH184" s="1056"/>
      <c r="MI184" s="1056"/>
      <c r="MJ184" s="1056"/>
      <c r="MK184" s="1056"/>
      <c r="ML184" s="1056"/>
      <c r="MM184" s="1056"/>
      <c r="MN184" s="1056"/>
      <c r="MO184" s="1056"/>
      <c r="MP184" s="1056"/>
      <c r="MQ184" s="1056"/>
      <c r="MR184" s="1056"/>
      <c r="MS184" s="1056"/>
      <c r="MT184" s="1056"/>
      <c r="MU184" s="1056"/>
      <c r="MV184" s="1056"/>
      <c r="MW184" s="1056"/>
      <c r="MX184" s="1056"/>
      <c r="MY184" s="1056"/>
      <c r="MZ184" s="1056"/>
      <c r="NA184" s="1056"/>
      <c r="NB184" s="1056"/>
      <c r="NC184" s="1056"/>
      <c r="ND184" s="1056"/>
      <c r="NE184" s="1056"/>
      <c r="NF184" s="1056"/>
      <c r="NG184" s="1056"/>
      <c r="NH184" s="1056"/>
      <c r="NI184" s="1056"/>
      <c r="NJ184" s="1056"/>
      <c r="NK184" s="1056"/>
      <c r="NL184" s="1056"/>
      <c r="NM184" s="1056"/>
      <c r="NN184" s="1056"/>
      <c r="NO184" s="1056"/>
      <c r="NP184" s="1056"/>
      <c r="NQ184" s="1056"/>
      <c r="NR184" s="1056"/>
      <c r="NS184" s="1056"/>
      <c r="NT184" s="1056"/>
      <c r="NU184" s="1056"/>
      <c r="NV184" s="1056"/>
      <c r="NW184" s="1056"/>
      <c r="NX184" s="1056"/>
      <c r="NY184" s="1056"/>
      <c r="NZ184" s="1056"/>
      <c r="OA184" s="1056"/>
      <c r="OB184" s="1056"/>
      <c r="OC184" s="1056"/>
      <c r="OD184" s="1056"/>
      <c r="OE184" s="1056"/>
      <c r="OF184" s="1056"/>
      <c r="OG184" s="1056"/>
      <c r="OH184" s="1056"/>
      <c r="OI184" s="1056"/>
      <c r="OJ184" s="1056"/>
      <c r="OK184" s="1056"/>
      <c r="OL184" s="1056"/>
      <c r="OM184" s="1056"/>
      <c r="ON184" s="1056"/>
      <c r="OO184" s="1056"/>
      <c r="OP184" s="1056"/>
      <c r="OQ184" s="1056"/>
      <c r="OR184" s="1056"/>
      <c r="OS184" s="1056"/>
      <c r="OT184" s="1056"/>
      <c r="OU184" s="1056"/>
      <c r="OV184" s="1056"/>
      <c r="OW184" s="1056"/>
      <c r="OX184" s="1056"/>
      <c r="OY184" s="1056"/>
      <c r="OZ184" s="1056"/>
      <c r="PA184" s="1056"/>
      <c r="PB184" s="1056"/>
      <c r="PC184" s="1056"/>
      <c r="PD184" s="1056"/>
      <c r="PE184" s="1056"/>
      <c r="PF184" s="1056"/>
      <c r="PG184" s="1056"/>
      <c r="PH184" s="1056"/>
      <c r="PI184" s="1056"/>
      <c r="PJ184" s="1056"/>
      <c r="PK184" s="1056"/>
      <c r="PL184" s="1056"/>
      <c r="PM184" s="1056"/>
      <c r="PN184" s="1056"/>
      <c r="PO184" s="1056"/>
      <c r="PP184" s="1056"/>
      <c r="PQ184" s="1056"/>
      <c r="PR184" s="1056"/>
      <c r="PS184" s="1056"/>
      <c r="PT184" s="1056"/>
      <c r="PU184" s="1056"/>
      <c r="PV184" s="1056"/>
      <c r="PW184" s="1056"/>
      <c r="PX184" s="1056"/>
      <c r="PY184" s="1056"/>
      <c r="PZ184" s="1056"/>
      <c r="QA184" s="1056"/>
      <c r="QB184" s="1056"/>
      <c r="QC184" s="1056"/>
      <c r="QD184" s="1056"/>
      <c r="QE184" s="1056"/>
      <c r="QF184" s="1056"/>
      <c r="QG184" s="1056"/>
      <c r="QH184" s="1056"/>
      <c r="QI184" s="1056"/>
      <c r="QJ184" s="1056"/>
      <c r="QK184" s="1056"/>
      <c r="QL184" s="1056"/>
      <c r="QM184" s="1056"/>
      <c r="QN184" s="1056"/>
      <c r="QO184" s="1056"/>
      <c r="QP184" s="1056"/>
      <c r="QQ184" s="1056"/>
      <c r="QR184" s="1056"/>
      <c r="QS184" s="1056"/>
      <c r="QT184" s="1056"/>
      <c r="QU184" s="1056"/>
      <c r="QV184" s="1056"/>
      <c r="QW184" s="1056"/>
      <c r="QX184" s="1056"/>
      <c r="QY184" s="1056"/>
      <c r="QZ184" s="1056"/>
      <c r="RA184" s="1056"/>
      <c r="RB184" s="1056"/>
      <c r="RC184" s="1056"/>
      <c r="RD184" s="1056"/>
      <c r="RE184" s="1056"/>
      <c r="RF184" s="1056"/>
      <c r="RG184" s="1056"/>
      <c r="RH184" s="1056"/>
      <c r="RI184" s="1056"/>
      <c r="RJ184" s="1056"/>
      <c r="RK184" s="1056"/>
      <c r="RL184" s="1056"/>
      <c r="RM184" s="1056"/>
      <c r="RN184" s="1056"/>
      <c r="RO184" s="1056"/>
      <c r="RP184" s="1056"/>
      <c r="RQ184" s="1056"/>
      <c r="RR184" s="1056"/>
      <c r="RS184" s="1056"/>
      <c r="RT184" s="1056"/>
      <c r="RU184" s="1056"/>
      <c r="RV184" s="1056"/>
      <c r="RW184" s="1056"/>
      <c r="RX184" s="1056"/>
      <c r="RY184" s="1056"/>
      <c r="RZ184" s="1056"/>
      <c r="SA184" s="1056"/>
      <c r="SB184" s="1056"/>
      <c r="SC184" s="1056"/>
      <c r="SD184" s="1056"/>
      <c r="SE184" s="1056"/>
      <c r="SF184" s="1056"/>
      <c r="SG184" s="1056"/>
      <c r="SH184" s="1056"/>
      <c r="SI184" s="1056"/>
      <c r="SJ184" s="1056"/>
      <c r="SK184" s="1056"/>
      <c r="SL184" s="1056"/>
      <c r="SM184" s="1056"/>
      <c r="SN184" s="1056"/>
      <c r="SO184" s="1056"/>
      <c r="SP184" s="1056"/>
      <c r="SQ184" s="1056"/>
      <c r="SR184" s="1056"/>
      <c r="SS184" s="1056"/>
      <c r="ST184" s="1056"/>
      <c r="SU184" s="1056"/>
      <c r="SV184" s="1056"/>
      <c r="SW184" s="1056"/>
      <c r="SX184" s="1056"/>
      <c r="SY184" s="1056"/>
      <c r="SZ184" s="1056"/>
      <c r="TA184" s="1056"/>
      <c r="TB184" s="1056"/>
      <c r="TC184" s="1056"/>
      <c r="TD184" s="1056"/>
      <c r="TE184" s="1056"/>
      <c r="TF184" s="1056"/>
      <c r="TG184" s="1056"/>
      <c r="TH184" s="1056"/>
      <c r="TI184" s="1056"/>
      <c r="TJ184" s="1056"/>
      <c r="TK184" s="1056"/>
      <c r="TL184" s="1056"/>
      <c r="TM184" s="1056"/>
      <c r="TN184" s="1056"/>
      <c r="TO184" s="1056"/>
      <c r="TP184" s="1056"/>
      <c r="TQ184" s="1056"/>
      <c r="TR184" s="1056"/>
      <c r="TS184" s="1056"/>
      <c r="TT184" s="1056"/>
      <c r="TU184" s="1056"/>
      <c r="TV184" s="1056"/>
      <c r="TW184" s="1056"/>
      <c r="TX184" s="1056"/>
      <c r="TY184" s="1056"/>
      <c r="TZ184" s="1056"/>
      <c r="UA184" s="1056"/>
      <c r="UB184" s="1056"/>
      <c r="UC184" s="1056"/>
      <c r="UD184" s="1056"/>
      <c r="UE184" s="1056"/>
      <c r="UF184" s="1056"/>
      <c r="UG184" s="1056"/>
      <c r="UH184" s="1056"/>
      <c r="UI184" s="1056"/>
      <c r="UJ184" s="1056"/>
      <c r="UK184" s="1056"/>
      <c r="UL184" s="1056"/>
      <c r="UM184" s="1056"/>
      <c r="UN184" s="1056"/>
      <c r="UO184" s="1056"/>
      <c r="UP184" s="1056"/>
      <c r="UQ184" s="1056"/>
      <c r="UR184" s="1056"/>
      <c r="US184" s="1056"/>
      <c r="UT184" s="1056"/>
      <c r="UU184" s="1056"/>
      <c r="UV184" s="1056"/>
      <c r="UW184" s="1056"/>
      <c r="UX184" s="1056"/>
      <c r="UY184" s="1056"/>
      <c r="UZ184" s="1056"/>
      <c r="VA184" s="1056"/>
      <c r="VB184" s="1056"/>
      <c r="VC184" s="1056"/>
      <c r="VD184" s="1056"/>
      <c r="VE184" s="1056"/>
      <c r="VF184" s="1056"/>
      <c r="VG184" s="1056"/>
      <c r="VH184" s="1056"/>
      <c r="VI184" s="1056"/>
      <c r="VJ184" s="1056"/>
      <c r="VK184" s="1056"/>
      <c r="VL184" s="1056"/>
      <c r="VM184" s="1056"/>
      <c r="VN184" s="1056"/>
      <c r="VO184" s="1056"/>
      <c r="VP184" s="1056"/>
      <c r="VQ184" s="1056"/>
      <c r="VR184" s="1056"/>
      <c r="VS184" s="1056"/>
      <c r="VT184" s="1056"/>
      <c r="VU184" s="1056"/>
      <c r="VV184" s="1056"/>
      <c r="VW184" s="1056"/>
      <c r="VX184" s="1056"/>
      <c r="VY184" s="1056"/>
      <c r="VZ184" s="1056"/>
      <c r="WA184" s="1056"/>
      <c r="WB184" s="1056"/>
      <c r="WC184" s="1056"/>
      <c r="WD184" s="1056"/>
      <c r="WE184" s="1056"/>
      <c r="WF184" s="1056"/>
      <c r="WG184" s="1056"/>
      <c r="WH184" s="1056"/>
      <c r="WI184" s="1056"/>
      <c r="WJ184" s="1056"/>
      <c r="WK184" s="1056"/>
      <c r="WL184" s="1056"/>
      <c r="WM184" s="1056"/>
      <c r="WN184" s="1056"/>
      <c r="WO184" s="1056"/>
      <c r="WP184" s="1056"/>
      <c r="WQ184" s="1056"/>
      <c r="WR184" s="1056"/>
      <c r="WS184" s="1056"/>
      <c r="WT184" s="1056"/>
      <c r="WU184" s="1056"/>
      <c r="WV184" s="1056"/>
      <c r="WW184" s="1056"/>
      <c r="WX184" s="1056"/>
      <c r="WY184" s="1056"/>
      <c r="WZ184" s="1056"/>
      <c r="XA184" s="1056"/>
      <c r="XB184" s="1056"/>
      <c r="XC184" s="1056"/>
      <c r="XD184" s="1056"/>
      <c r="XE184" s="1056"/>
      <c r="XF184" s="1056"/>
      <c r="XG184" s="1056"/>
      <c r="XH184" s="1056"/>
      <c r="XI184" s="1056"/>
      <c r="XJ184" s="1056"/>
      <c r="XK184" s="1056"/>
      <c r="XL184" s="1056"/>
      <c r="XM184" s="1056"/>
      <c r="XN184" s="1056"/>
      <c r="XO184" s="1056"/>
      <c r="XP184" s="1056"/>
      <c r="XQ184" s="1056"/>
      <c r="XR184" s="1056"/>
      <c r="XS184" s="1056"/>
      <c r="XT184" s="1056"/>
      <c r="XU184" s="1056"/>
      <c r="XV184" s="1056"/>
      <c r="XW184" s="1056"/>
      <c r="XX184" s="1056"/>
      <c r="XY184" s="1056"/>
      <c r="XZ184" s="1056"/>
      <c r="YA184" s="1056"/>
      <c r="YB184" s="1056"/>
      <c r="YC184" s="1056"/>
      <c r="YD184" s="1056"/>
      <c r="YE184" s="1056"/>
      <c r="YF184" s="1056"/>
      <c r="YG184" s="1056"/>
      <c r="YH184" s="1056"/>
      <c r="YI184" s="1056"/>
      <c r="YJ184" s="1056"/>
      <c r="YK184" s="1056"/>
      <c r="YL184" s="1056"/>
      <c r="YM184" s="1056"/>
      <c r="YN184" s="1056"/>
      <c r="YO184" s="1056"/>
      <c r="YP184" s="1056"/>
      <c r="YQ184" s="1056"/>
      <c r="YR184" s="1056"/>
      <c r="YS184" s="1056"/>
      <c r="YT184" s="1056"/>
      <c r="YU184" s="1056"/>
      <c r="YV184" s="1056"/>
      <c r="YW184" s="1056"/>
      <c r="YX184" s="1056"/>
      <c r="YY184" s="1056"/>
      <c r="YZ184" s="1056"/>
      <c r="ZA184" s="1056"/>
      <c r="ZB184" s="1056"/>
      <c r="ZC184" s="1056"/>
      <c r="ZD184" s="1056"/>
      <c r="ZE184" s="1056"/>
      <c r="ZF184" s="1056"/>
      <c r="ZG184" s="1056"/>
      <c r="ZH184" s="1056"/>
      <c r="ZI184" s="1056"/>
      <c r="ZJ184" s="1056"/>
      <c r="ZK184" s="1056"/>
      <c r="ZL184" s="1056"/>
      <c r="ZM184" s="1056"/>
      <c r="ZN184" s="1056"/>
      <c r="ZO184" s="1056"/>
      <c r="ZP184" s="1056"/>
      <c r="ZQ184" s="1056"/>
      <c r="ZR184" s="1056"/>
      <c r="ZS184" s="1056"/>
      <c r="ZT184" s="1056"/>
      <c r="ZU184" s="1056"/>
      <c r="ZV184" s="1056"/>
      <c r="ZW184" s="1056"/>
      <c r="ZX184" s="1056"/>
      <c r="ZY184" s="1056"/>
      <c r="ZZ184" s="1056"/>
      <c r="AAA184" s="1056"/>
      <c r="AAB184" s="1056"/>
      <c r="AAC184" s="1056"/>
      <c r="AAD184" s="1056"/>
      <c r="AAE184" s="1056"/>
      <c r="AAF184" s="1056"/>
      <c r="AAG184" s="1056"/>
      <c r="AAH184" s="1056"/>
      <c r="AAI184" s="1056"/>
      <c r="AAJ184" s="1056"/>
      <c r="AAK184" s="1056"/>
      <c r="AAL184" s="1056"/>
      <c r="AAM184" s="1056"/>
      <c r="AAN184" s="1056"/>
      <c r="AAO184" s="1056"/>
      <c r="AAP184" s="1056"/>
      <c r="AAQ184" s="1056"/>
      <c r="AAR184" s="1056"/>
      <c r="AAS184" s="1056"/>
      <c r="AAT184" s="1056"/>
      <c r="AAU184" s="1056"/>
      <c r="AAV184" s="1056"/>
      <c r="AAW184" s="1056"/>
      <c r="AAX184" s="1056"/>
      <c r="AAY184" s="1056"/>
      <c r="AAZ184" s="1056"/>
      <c r="ABA184" s="1056"/>
      <c r="ABB184" s="1056"/>
      <c r="ABC184" s="1056"/>
      <c r="ABD184" s="1056"/>
      <c r="ABE184" s="1056"/>
      <c r="ABF184" s="1056"/>
      <c r="ABG184" s="1056"/>
      <c r="ABH184" s="1056"/>
      <c r="ABI184" s="1056"/>
      <c r="ABJ184" s="1056"/>
      <c r="ABK184" s="1056"/>
      <c r="ABL184" s="1056"/>
      <c r="ABM184" s="1056"/>
      <c r="ABN184" s="1056"/>
      <c r="ABO184" s="1056"/>
      <c r="ABP184" s="1056"/>
      <c r="ABQ184" s="1056"/>
      <c r="ABR184" s="1056"/>
      <c r="ABS184" s="1056"/>
      <c r="ABT184" s="1056"/>
      <c r="ABU184" s="1056"/>
      <c r="ABV184" s="1056"/>
      <c r="ABW184" s="1056"/>
      <c r="ABX184" s="1056"/>
      <c r="ABY184" s="1056"/>
      <c r="ABZ184" s="1056"/>
      <c r="ACA184" s="1056"/>
      <c r="ACB184" s="1056"/>
      <c r="ACC184" s="1056"/>
      <c r="ACD184" s="1056"/>
      <c r="ACE184" s="1056"/>
      <c r="ACF184" s="1056"/>
      <c r="ACG184" s="1056"/>
      <c r="ACH184" s="1056"/>
      <c r="ACI184" s="1056"/>
      <c r="ACJ184" s="1056"/>
      <c r="ACK184" s="1056"/>
      <c r="ACL184" s="1056"/>
      <c r="ACM184" s="1056"/>
      <c r="ACN184" s="1056"/>
      <c r="ACO184" s="1056"/>
      <c r="ACP184" s="1056"/>
      <c r="ACQ184" s="1056"/>
      <c r="ACR184" s="1056"/>
      <c r="ACS184" s="1056"/>
      <c r="ACT184" s="1056"/>
      <c r="ACU184" s="1056"/>
      <c r="ACV184" s="1056"/>
      <c r="ACW184" s="1056"/>
      <c r="ACX184" s="1056"/>
      <c r="ACY184" s="1056"/>
      <c r="ACZ184" s="1056"/>
      <c r="ADA184" s="1056"/>
      <c r="ADB184" s="1056"/>
      <c r="ADC184" s="1056"/>
      <c r="ADD184" s="1056"/>
      <c r="ADE184" s="1056"/>
      <c r="ADF184" s="1056"/>
      <c r="ADG184" s="1056"/>
      <c r="ADH184" s="1056"/>
      <c r="ADI184" s="1056"/>
      <c r="ADJ184" s="1056"/>
      <c r="ADK184" s="1056"/>
      <c r="ADL184" s="1056"/>
      <c r="ADM184" s="1056"/>
      <c r="ADN184" s="1056"/>
      <c r="ADO184" s="1056"/>
      <c r="ADP184" s="1056"/>
      <c r="ADQ184" s="1056"/>
      <c r="ADR184" s="1056"/>
      <c r="ADS184" s="1056"/>
      <c r="ADT184" s="1056"/>
      <c r="ADU184" s="1056"/>
      <c r="ADV184" s="1056"/>
      <c r="ADW184" s="1056"/>
      <c r="ADX184" s="1056"/>
      <c r="ADY184" s="1056"/>
      <c r="ADZ184" s="1056"/>
      <c r="AEA184" s="1056"/>
      <c r="AEB184" s="1056"/>
      <c r="AEC184" s="1056"/>
      <c r="AED184" s="1056"/>
      <c r="AEE184" s="1056"/>
      <c r="AEF184" s="1056"/>
      <c r="AEG184" s="1056"/>
      <c r="AEH184" s="1056"/>
      <c r="AEI184" s="1056"/>
      <c r="AEJ184" s="1056"/>
      <c r="AEK184" s="1056"/>
      <c r="AEL184" s="1056"/>
      <c r="AEM184" s="1056"/>
      <c r="AEN184" s="1056"/>
      <c r="AEO184" s="1056"/>
      <c r="AEP184" s="1056"/>
      <c r="AEQ184" s="1056"/>
      <c r="AER184" s="1056"/>
      <c r="AES184" s="1056"/>
      <c r="AET184" s="1056"/>
      <c r="AEU184" s="1056"/>
      <c r="AEV184" s="1056"/>
      <c r="AEW184" s="1056"/>
      <c r="AEX184" s="1056"/>
      <c r="AEY184" s="1056"/>
      <c r="AEZ184" s="1056"/>
      <c r="AFA184" s="1056"/>
      <c r="AFB184" s="1056"/>
      <c r="AFC184" s="1056"/>
      <c r="AFD184" s="1056"/>
      <c r="AFE184" s="1056"/>
      <c r="AFF184" s="1056"/>
      <c r="AFG184" s="1056"/>
      <c r="AFH184" s="1056"/>
      <c r="AFI184" s="1056"/>
      <c r="AFJ184" s="1056"/>
      <c r="AFK184" s="1056"/>
      <c r="AFL184" s="1056"/>
      <c r="AFM184" s="1056"/>
      <c r="AFN184" s="1056"/>
      <c r="AFO184" s="1056"/>
      <c r="AFP184" s="1056"/>
      <c r="AFQ184" s="1056"/>
      <c r="AFR184" s="1056"/>
      <c r="AFS184" s="1056"/>
      <c r="AFT184" s="1056"/>
      <c r="AFU184" s="1056"/>
      <c r="AFV184" s="1056"/>
      <c r="AFW184" s="1056"/>
      <c r="AFX184" s="1056"/>
      <c r="AFY184" s="1056"/>
      <c r="AFZ184" s="1056"/>
      <c r="AGA184" s="1056"/>
      <c r="AGB184" s="1056"/>
      <c r="AGC184" s="1056"/>
      <c r="AGD184" s="1056"/>
      <c r="AGE184" s="1056"/>
      <c r="AGF184" s="1056"/>
      <c r="AGG184" s="1056"/>
      <c r="AGH184" s="1056"/>
      <c r="AGI184" s="1056"/>
      <c r="AGJ184" s="1056"/>
      <c r="AGK184" s="1056"/>
      <c r="AGL184" s="1056"/>
      <c r="AGM184" s="1056"/>
      <c r="AGN184" s="1056"/>
      <c r="AGO184" s="1056"/>
      <c r="AGP184" s="1056"/>
      <c r="AGQ184" s="1056"/>
      <c r="AGR184" s="1056"/>
      <c r="AGS184" s="1056"/>
      <c r="AGT184" s="1056"/>
      <c r="AGU184" s="1056"/>
      <c r="AGV184" s="1056"/>
      <c r="AGW184" s="1056"/>
      <c r="AGX184" s="1056"/>
      <c r="AGY184" s="1056"/>
      <c r="AGZ184" s="1056"/>
      <c r="AHA184" s="1056"/>
      <c r="AHB184" s="1056"/>
      <c r="AHC184" s="1056"/>
      <c r="AHD184" s="1056"/>
      <c r="AHE184" s="1056"/>
      <c r="AHF184" s="1056"/>
      <c r="AHG184" s="1056"/>
      <c r="AHH184" s="1056"/>
      <c r="AHI184" s="1056"/>
      <c r="AHJ184" s="1056"/>
      <c r="AHK184" s="1056"/>
      <c r="AHL184" s="1056"/>
      <c r="AHM184" s="1056"/>
      <c r="AHN184" s="1056"/>
      <c r="AHO184" s="1056"/>
      <c r="AHP184" s="1056"/>
      <c r="AHQ184" s="1056"/>
      <c r="AHR184" s="1056"/>
      <c r="AHS184" s="1056"/>
      <c r="AHT184" s="1056"/>
      <c r="AHU184" s="1056"/>
      <c r="AHV184" s="1056"/>
      <c r="AHW184" s="1056"/>
      <c r="AHX184" s="1056"/>
      <c r="AHY184" s="1056"/>
      <c r="AHZ184" s="1056"/>
      <c r="AIA184" s="1056"/>
      <c r="AIB184" s="1056"/>
      <c r="AIC184" s="1056"/>
      <c r="AID184" s="1056"/>
      <c r="AIE184" s="1056"/>
      <c r="AIF184" s="1056"/>
      <c r="AIG184" s="1056"/>
      <c r="AIH184" s="1056"/>
      <c r="AII184" s="1056"/>
      <c r="AIJ184" s="1056"/>
      <c r="AIK184" s="1056"/>
      <c r="AIL184" s="1056"/>
      <c r="AIM184" s="1056"/>
      <c r="AIN184" s="1056"/>
      <c r="AIO184" s="1056"/>
      <c r="AIP184" s="1056"/>
      <c r="AIQ184" s="1056"/>
      <c r="AIR184" s="1056"/>
      <c r="AIS184" s="1056"/>
      <c r="AIT184" s="1056"/>
      <c r="AIU184" s="1056"/>
      <c r="AIV184" s="1056"/>
      <c r="AIW184" s="1056"/>
      <c r="AIX184" s="1056"/>
      <c r="AIY184" s="1056"/>
      <c r="AIZ184" s="1056"/>
      <c r="AJA184" s="1056"/>
      <c r="AJB184" s="1056"/>
      <c r="AJC184" s="1056"/>
      <c r="AJD184" s="1056"/>
      <c r="AJE184" s="1056"/>
      <c r="AJF184" s="1056"/>
      <c r="AJG184" s="1056"/>
      <c r="AJH184" s="1056"/>
      <c r="AJI184" s="1056"/>
      <c r="AJJ184" s="1056"/>
      <c r="AJK184" s="1056"/>
      <c r="AJL184" s="1056"/>
      <c r="AJM184" s="1056"/>
      <c r="AJN184" s="1056"/>
      <c r="AJO184" s="1056"/>
      <c r="AJP184" s="1056"/>
      <c r="AJQ184" s="1056"/>
      <c r="AJR184" s="1056"/>
      <c r="AJS184" s="1056"/>
      <c r="AJT184" s="1056"/>
      <c r="AJU184" s="1056"/>
      <c r="AJV184" s="1056"/>
      <c r="AJW184" s="1056"/>
      <c r="AJX184" s="1056"/>
      <c r="AJY184" s="1056"/>
      <c r="AJZ184" s="1056"/>
      <c r="AKA184" s="1056"/>
      <c r="AKB184" s="1056"/>
      <c r="AKC184" s="1056"/>
      <c r="AKD184" s="1056"/>
      <c r="AKE184" s="1056"/>
      <c r="AKF184" s="1056"/>
      <c r="AKG184" s="1056"/>
      <c r="AKH184" s="1056"/>
      <c r="AKI184" s="1056"/>
      <c r="AKJ184" s="1056"/>
      <c r="AKK184" s="1056"/>
      <c r="AKL184" s="1056"/>
      <c r="AKM184" s="1056"/>
      <c r="AKN184" s="1056"/>
      <c r="AKO184" s="1056"/>
      <c r="AKP184" s="1056"/>
      <c r="AKQ184" s="1056"/>
      <c r="AKR184" s="1056"/>
      <c r="AKS184" s="1056"/>
      <c r="AKT184" s="1056"/>
      <c r="AKU184" s="1056"/>
      <c r="AKV184" s="1056"/>
      <c r="AKW184" s="1056"/>
      <c r="AKX184" s="1056"/>
      <c r="AKY184" s="1056"/>
      <c r="AKZ184" s="1056"/>
      <c r="ALA184" s="1056"/>
      <c r="ALB184" s="1056"/>
      <c r="ALC184" s="1056"/>
      <c r="ALD184" s="1056"/>
      <c r="ALE184" s="1056"/>
      <c r="ALF184" s="1056"/>
      <c r="ALG184" s="1056"/>
      <c r="ALH184" s="1056"/>
      <c r="ALI184" s="1056"/>
      <c r="ALJ184" s="1056"/>
      <c r="ALK184" s="1056"/>
      <c r="ALL184" s="1056"/>
      <c r="ALM184" s="1056"/>
      <c r="ALN184" s="1056"/>
      <c r="ALO184" s="1056"/>
      <c r="ALP184" s="1056"/>
      <c r="ALQ184" s="1056"/>
      <c r="ALR184" s="1056"/>
      <c r="ALS184" s="1056"/>
      <c r="ALT184" s="1056"/>
      <c r="ALU184" s="1056"/>
      <c r="ALV184" s="1056"/>
      <c r="ALW184" s="1056"/>
      <c r="ALX184" s="1056"/>
      <c r="ALY184" s="1056"/>
      <c r="ALZ184" s="1056"/>
      <c r="AMA184" s="1056"/>
      <c r="AMB184" s="1056"/>
      <c r="AMC184" s="1056"/>
      <c r="AMD184" s="1056"/>
      <c r="AME184" s="1056"/>
      <c r="AMF184" s="1056"/>
      <c r="AMG184" s="1056"/>
      <c r="AMH184" s="1056"/>
      <c r="AMI184" s="1056"/>
      <c r="AMJ184" s="1056"/>
      <c r="AMK184" s="1056"/>
      <c r="AML184" s="1056"/>
      <c r="AMM184" s="1056"/>
      <c r="AMN184" s="1056"/>
      <c r="AMO184" s="1056"/>
      <c r="AMP184" s="1056"/>
      <c r="AMQ184" s="1056"/>
      <c r="AMR184" s="1056"/>
      <c r="AMS184" s="1056"/>
      <c r="AMT184" s="1056"/>
      <c r="AMU184" s="1056"/>
      <c r="AMV184" s="1056"/>
      <c r="AMW184" s="1056"/>
      <c r="AMX184" s="1056"/>
      <c r="AMY184" s="1056"/>
      <c r="AMZ184" s="1056"/>
      <c r="ANA184" s="1056"/>
      <c r="ANB184" s="1056"/>
      <c r="ANC184" s="1056"/>
      <c r="AND184" s="1056"/>
      <c r="ANE184" s="1056"/>
      <c r="ANF184" s="1056"/>
      <c r="ANG184" s="1056"/>
      <c r="ANH184" s="1056"/>
      <c r="ANI184" s="1056"/>
      <c r="ANJ184" s="1056"/>
      <c r="ANK184" s="1056"/>
      <c r="ANL184" s="1056"/>
      <c r="ANM184" s="1056"/>
      <c r="ANN184" s="1056"/>
      <c r="ANO184" s="1056"/>
      <c r="ANP184" s="1056"/>
      <c r="ANQ184" s="1056"/>
      <c r="ANR184" s="1056"/>
      <c r="ANS184" s="1056"/>
      <c r="ANT184" s="1056"/>
      <c r="ANU184" s="1056"/>
      <c r="ANV184" s="1056"/>
      <c r="ANW184" s="1056"/>
      <c r="ANX184" s="1056"/>
      <c r="ANY184" s="1056"/>
      <c r="ANZ184" s="1056"/>
      <c r="AOA184" s="1056"/>
      <c r="AOB184" s="1056"/>
      <c r="AOC184" s="1056"/>
      <c r="AOD184" s="1056"/>
      <c r="AOE184" s="1056"/>
      <c r="AOF184" s="1056"/>
      <c r="AOG184" s="1056"/>
      <c r="AOH184" s="1056"/>
      <c r="AOI184" s="1056"/>
      <c r="AOJ184" s="1056"/>
      <c r="AOK184" s="1056"/>
      <c r="AOL184" s="1056"/>
      <c r="AOM184" s="1056"/>
      <c r="AON184" s="1056"/>
      <c r="AOO184" s="1056"/>
      <c r="AOP184" s="1056"/>
      <c r="AOQ184" s="1056"/>
      <c r="AOR184" s="1056"/>
      <c r="AOS184" s="1056"/>
      <c r="AOT184" s="1056"/>
      <c r="AOU184" s="1056"/>
      <c r="AOV184" s="1056"/>
      <c r="AOW184" s="1056"/>
      <c r="AOX184" s="1056"/>
      <c r="AOY184" s="1056"/>
      <c r="AOZ184" s="1056"/>
      <c r="APA184" s="1056"/>
      <c r="APB184" s="1056"/>
      <c r="APC184" s="1056"/>
      <c r="APD184" s="1056"/>
      <c r="APE184" s="1056"/>
      <c r="APF184" s="1056"/>
      <c r="APG184" s="1056"/>
      <c r="APH184" s="1056"/>
      <c r="API184" s="1056"/>
      <c r="APJ184" s="1056"/>
      <c r="APK184" s="1056"/>
      <c r="APL184" s="1056"/>
      <c r="APM184" s="1056"/>
      <c r="APN184" s="1056"/>
      <c r="APO184" s="1056"/>
      <c r="APP184" s="1056"/>
      <c r="APQ184" s="1056"/>
      <c r="APR184" s="1056"/>
      <c r="APS184" s="1056"/>
      <c r="APT184" s="1056"/>
      <c r="APU184" s="1056"/>
      <c r="APV184" s="1056"/>
      <c r="APW184" s="1056"/>
      <c r="APX184" s="1056"/>
      <c r="APY184" s="1056"/>
      <c r="APZ184" s="1056"/>
      <c r="AQA184" s="1056"/>
      <c r="AQB184" s="1056"/>
      <c r="AQC184" s="1056"/>
      <c r="AQD184" s="1056"/>
      <c r="AQE184" s="1056"/>
      <c r="AQF184" s="1056"/>
      <c r="AQG184" s="1056"/>
      <c r="AQH184" s="1056"/>
      <c r="AQI184" s="1056"/>
      <c r="AQJ184" s="1056"/>
      <c r="AQK184" s="1056"/>
      <c r="AQL184" s="1056"/>
      <c r="AQM184" s="1056"/>
      <c r="AQN184" s="1056"/>
      <c r="AQO184" s="1056"/>
      <c r="AQP184" s="1056"/>
      <c r="AQQ184" s="1056"/>
      <c r="AQR184" s="1056"/>
      <c r="AQS184" s="1056"/>
      <c r="AQT184" s="1056"/>
      <c r="AQU184" s="1056"/>
      <c r="AQV184" s="1056"/>
      <c r="AQW184" s="1056"/>
      <c r="AQX184" s="1056"/>
      <c r="AQY184" s="1056"/>
      <c r="AQZ184" s="1056"/>
      <c r="ARA184" s="1056"/>
      <c r="ARB184" s="1056"/>
      <c r="ARC184" s="1056"/>
      <c r="ARD184" s="1056"/>
      <c r="ARE184" s="1056"/>
      <c r="ARF184" s="1056"/>
      <c r="ARG184" s="1056"/>
      <c r="ARH184" s="1056"/>
      <c r="ARI184" s="1056"/>
      <c r="ARJ184" s="1056"/>
      <c r="ARK184" s="1056"/>
      <c r="ARL184" s="1056"/>
      <c r="ARM184" s="1056"/>
      <c r="ARN184" s="1056"/>
      <c r="ARO184" s="1056"/>
      <c r="ARP184" s="1056"/>
      <c r="ARQ184" s="1056"/>
      <c r="ARR184" s="1056"/>
      <c r="ARS184" s="1056"/>
      <c r="ART184" s="1056"/>
      <c r="ARU184" s="1056"/>
      <c r="ARV184" s="1056"/>
      <c r="ARW184" s="1056"/>
      <c r="ARX184" s="1056"/>
      <c r="ARY184" s="1056"/>
      <c r="ARZ184" s="1056"/>
      <c r="ASA184" s="1056"/>
      <c r="ASB184" s="1056"/>
      <c r="ASC184" s="1056"/>
      <c r="ASD184" s="1056"/>
      <c r="ASE184" s="1056"/>
      <c r="ASF184" s="1056"/>
      <c r="ASG184" s="1056"/>
      <c r="ASH184" s="1056"/>
      <c r="ASI184" s="1056"/>
      <c r="ASJ184" s="1056"/>
      <c r="ASK184" s="1056"/>
      <c r="ASL184" s="1056"/>
      <c r="ASM184" s="1056"/>
      <c r="ASN184" s="1056"/>
      <c r="ASO184" s="1056"/>
      <c r="ASP184" s="1056"/>
      <c r="ASQ184" s="1056"/>
      <c r="ASR184" s="1056"/>
      <c r="ASS184" s="1056"/>
      <c r="AST184" s="1056"/>
      <c r="ASU184" s="1056"/>
      <c r="ASV184" s="1056"/>
      <c r="ASW184" s="1056"/>
      <c r="ASX184" s="1056"/>
      <c r="ASY184" s="1056"/>
      <c r="ASZ184" s="1056"/>
      <c r="ATA184" s="1056"/>
      <c r="ATB184" s="1056"/>
      <c r="ATC184" s="1056"/>
      <c r="ATD184" s="1056"/>
      <c r="ATE184" s="1056"/>
      <c r="ATF184" s="1056"/>
      <c r="ATG184" s="1056"/>
      <c r="ATH184" s="1056"/>
      <c r="ATI184" s="1056"/>
      <c r="ATJ184" s="1056"/>
      <c r="ATK184" s="1056"/>
      <c r="ATL184" s="1056"/>
      <c r="ATM184" s="1056"/>
      <c r="ATN184" s="1056"/>
      <c r="ATO184" s="1056"/>
      <c r="ATP184" s="1056"/>
      <c r="ATQ184" s="1056"/>
      <c r="ATR184" s="1056"/>
      <c r="ATS184" s="1056"/>
      <c r="ATT184" s="1056"/>
      <c r="ATU184" s="1056"/>
      <c r="ATV184" s="1056"/>
      <c r="ATW184" s="1056"/>
      <c r="ATX184" s="1056"/>
      <c r="ATY184" s="1056"/>
      <c r="ATZ184" s="1056"/>
      <c r="AUA184" s="1056"/>
      <c r="AUB184" s="1056"/>
      <c r="AUC184" s="1056"/>
      <c r="AUD184" s="1056"/>
      <c r="AUE184" s="1056"/>
      <c r="AUF184" s="1056"/>
      <c r="AUG184" s="1056"/>
      <c r="AUH184" s="1056"/>
      <c r="AUI184" s="1056"/>
      <c r="AUJ184" s="1056"/>
      <c r="AUK184" s="1056"/>
      <c r="AUL184" s="1056"/>
      <c r="AUM184" s="1056"/>
      <c r="AUN184" s="1056"/>
      <c r="AUO184" s="1056"/>
      <c r="AUP184" s="1056"/>
      <c r="AUQ184" s="1056"/>
      <c r="AUR184" s="1056"/>
      <c r="AUS184" s="1056"/>
      <c r="AUT184" s="1056"/>
      <c r="AUU184" s="1056"/>
      <c r="AUV184" s="1056"/>
      <c r="AUW184" s="1056"/>
      <c r="AUX184" s="1056"/>
      <c r="AUY184" s="1056"/>
      <c r="AUZ184" s="1056"/>
      <c r="AVA184" s="1056"/>
      <c r="AVB184" s="1056"/>
      <c r="AVC184" s="1056"/>
      <c r="AVD184" s="1056"/>
      <c r="AVE184" s="1056"/>
      <c r="AVF184" s="1056"/>
      <c r="AVG184" s="1056"/>
      <c r="AVH184" s="1056"/>
      <c r="AVI184" s="1056"/>
      <c r="AVJ184" s="1056"/>
      <c r="AVK184" s="1056"/>
      <c r="AVL184" s="1056"/>
      <c r="AVM184" s="1056"/>
      <c r="AVN184" s="1056"/>
      <c r="AVO184" s="1056"/>
      <c r="AVP184" s="1056"/>
      <c r="AVQ184" s="1056"/>
      <c r="AVR184" s="1056"/>
      <c r="AVS184" s="1056"/>
      <c r="AVT184" s="1056"/>
      <c r="AVU184" s="1056"/>
      <c r="AVV184" s="1056"/>
      <c r="AVW184" s="1056"/>
      <c r="AVX184" s="1056"/>
      <c r="AVY184" s="1056"/>
      <c r="AVZ184" s="1056"/>
      <c r="AWA184" s="1056"/>
      <c r="AWB184" s="1056"/>
      <c r="AWC184" s="1056"/>
      <c r="AWD184" s="1056"/>
      <c r="AWE184" s="1056"/>
      <c r="AWF184" s="1056"/>
      <c r="AWG184" s="1056"/>
      <c r="AWH184" s="1056"/>
      <c r="AWI184" s="1056"/>
      <c r="AWJ184" s="1056"/>
      <c r="AWK184" s="1056"/>
      <c r="AWL184" s="1056"/>
      <c r="AWM184" s="1056"/>
      <c r="AWN184" s="1056"/>
      <c r="AWO184" s="1056"/>
      <c r="AWP184" s="1056"/>
      <c r="AWQ184" s="1056"/>
      <c r="AWR184" s="1056"/>
      <c r="AWS184" s="1056"/>
      <c r="AWT184" s="1056"/>
      <c r="AWU184" s="1056"/>
      <c r="AWV184" s="1056"/>
      <c r="AWW184" s="1056"/>
      <c r="AWX184" s="1056"/>
      <c r="AWY184" s="1056"/>
      <c r="AWZ184" s="1056"/>
      <c r="AXA184" s="1056"/>
      <c r="AXB184" s="1056"/>
      <c r="AXC184" s="1056"/>
      <c r="AXD184" s="1056"/>
      <c r="AXE184" s="1056"/>
      <c r="AXF184" s="1056"/>
      <c r="AXG184" s="1056"/>
      <c r="AXH184" s="1056"/>
      <c r="AXI184" s="1056"/>
      <c r="AXJ184" s="1056"/>
      <c r="AXK184" s="1056"/>
      <c r="AXL184" s="1056"/>
      <c r="AXM184" s="1056"/>
      <c r="AXN184" s="1056"/>
      <c r="AXO184" s="1056"/>
      <c r="AXP184" s="1056"/>
      <c r="AXQ184" s="1056"/>
      <c r="AXR184" s="1056"/>
      <c r="AXS184" s="1056"/>
      <c r="AXT184" s="1056"/>
      <c r="AXU184" s="1056"/>
      <c r="AXV184" s="1056"/>
      <c r="AXW184" s="1056"/>
      <c r="AXX184" s="1056"/>
      <c r="AXY184" s="1056"/>
      <c r="AXZ184" s="1056"/>
      <c r="AYA184" s="1056"/>
      <c r="AYB184" s="1056"/>
      <c r="AYC184" s="1056"/>
      <c r="AYD184" s="1056"/>
      <c r="AYE184" s="1056"/>
      <c r="AYF184" s="1056"/>
      <c r="AYG184" s="1056"/>
      <c r="AYH184" s="1056"/>
      <c r="AYI184" s="1056"/>
      <c r="AYJ184" s="1056"/>
      <c r="AYK184" s="1056"/>
      <c r="AYL184" s="1056"/>
      <c r="AYM184" s="1056"/>
      <c r="AYN184" s="1056"/>
      <c r="AYO184" s="1056"/>
      <c r="AYP184" s="1056"/>
      <c r="AYQ184" s="1056"/>
      <c r="AYR184" s="1056"/>
      <c r="AYS184" s="1056"/>
      <c r="AYT184" s="1056"/>
      <c r="AYU184" s="1056"/>
      <c r="AYV184" s="1056"/>
      <c r="AYW184" s="1056"/>
      <c r="AYX184" s="1056"/>
      <c r="AYY184" s="1056"/>
      <c r="AYZ184" s="1056"/>
      <c r="AZA184" s="1056"/>
      <c r="AZB184" s="1056"/>
      <c r="AZC184" s="1056"/>
      <c r="AZD184" s="1056"/>
      <c r="AZE184" s="1056"/>
      <c r="AZF184" s="1056"/>
      <c r="AZG184" s="1056"/>
      <c r="AZH184" s="1056"/>
      <c r="AZI184" s="1056"/>
      <c r="AZJ184" s="1056"/>
      <c r="AZK184" s="1056"/>
      <c r="AZL184" s="1056"/>
      <c r="AZM184" s="1056"/>
      <c r="AZN184" s="1056"/>
      <c r="AZO184" s="1056"/>
      <c r="AZP184" s="1056"/>
      <c r="AZQ184" s="1056"/>
      <c r="AZR184" s="1056"/>
      <c r="AZS184" s="1056"/>
      <c r="AZT184" s="1056"/>
      <c r="AZU184" s="1056"/>
      <c r="AZV184" s="1056"/>
      <c r="AZW184" s="1056"/>
      <c r="AZX184" s="1056"/>
      <c r="AZY184" s="1056"/>
      <c r="AZZ184" s="1056"/>
      <c r="BAA184" s="1056"/>
      <c r="BAB184" s="1056"/>
      <c r="BAC184" s="1056"/>
      <c r="BAD184" s="1056"/>
      <c r="BAE184" s="1056"/>
      <c r="BAF184" s="1056"/>
      <c r="BAG184" s="1056"/>
      <c r="BAH184" s="1056"/>
      <c r="BAI184" s="1056"/>
      <c r="BAJ184" s="1056"/>
      <c r="BAK184" s="1056"/>
      <c r="BAL184" s="1056"/>
      <c r="BAM184" s="1056"/>
      <c r="BAN184" s="1056"/>
      <c r="BAO184" s="1056"/>
      <c r="BAP184" s="1056"/>
      <c r="BAQ184" s="1056"/>
      <c r="BAR184" s="1056"/>
      <c r="BAS184" s="1056"/>
      <c r="BAT184" s="1056"/>
      <c r="BAU184" s="1056"/>
      <c r="BAV184" s="1056"/>
      <c r="BAW184" s="1056"/>
      <c r="BAX184" s="1056"/>
      <c r="BAY184" s="1056"/>
      <c r="BAZ184" s="1056"/>
      <c r="BBA184" s="1056"/>
      <c r="BBB184" s="1056"/>
      <c r="BBC184" s="1056"/>
      <c r="BBD184" s="1056"/>
      <c r="BBE184" s="1056"/>
      <c r="BBF184" s="1056"/>
      <c r="BBG184" s="1056"/>
      <c r="BBH184" s="1056"/>
      <c r="BBI184" s="1056"/>
      <c r="BBJ184" s="1056"/>
      <c r="BBK184" s="1056"/>
      <c r="BBL184" s="1056"/>
      <c r="BBM184" s="1056"/>
      <c r="BBN184" s="1056"/>
      <c r="BBO184" s="1056"/>
      <c r="BBP184" s="1056"/>
      <c r="BBQ184" s="1056"/>
      <c r="BBR184" s="1056"/>
      <c r="BBS184" s="1056"/>
      <c r="BBT184" s="1056"/>
      <c r="BBU184" s="1056"/>
      <c r="BBV184" s="1056"/>
      <c r="BBW184" s="1056"/>
      <c r="BBX184" s="1056"/>
      <c r="BBY184" s="1056"/>
      <c r="BBZ184" s="1056"/>
      <c r="BCA184" s="1056"/>
      <c r="BCB184" s="1056"/>
      <c r="BCC184" s="1056"/>
      <c r="BCD184" s="1056"/>
      <c r="BCE184" s="1056"/>
      <c r="BCF184" s="1056"/>
      <c r="BCG184" s="1056"/>
      <c r="BCH184" s="1056"/>
      <c r="BCI184" s="1056"/>
      <c r="BCJ184" s="1056"/>
      <c r="BCK184" s="1056"/>
      <c r="BCL184" s="1056"/>
      <c r="BCM184" s="1056"/>
      <c r="BCN184" s="1056"/>
      <c r="BCO184" s="1056"/>
      <c r="BCP184" s="1056"/>
      <c r="BCQ184" s="1056"/>
      <c r="BCR184" s="1056"/>
      <c r="BCS184" s="1056"/>
      <c r="BCT184" s="1056"/>
      <c r="BCU184" s="1056"/>
      <c r="BCV184" s="1056"/>
      <c r="BCW184" s="1056"/>
      <c r="BCX184" s="1056"/>
      <c r="BCY184" s="1056"/>
      <c r="BCZ184" s="1056"/>
      <c r="BDA184" s="1056"/>
      <c r="BDB184" s="1056"/>
      <c r="BDC184" s="1056"/>
      <c r="BDD184" s="1056"/>
      <c r="BDE184" s="1056"/>
      <c r="BDF184" s="1056"/>
      <c r="BDG184" s="1056"/>
      <c r="BDH184" s="1056"/>
      <c r="BDI184" s="1056"/>
      <c r="BDJ184" s="1056"/>
      <c r="BDK184" s="1056"/>
      <c r="BDL184" s="1056"/>
      <c r="BDM184" s="1056"/>
      <c r="BDN184" s="1056"/>
      <c r="BDO184" s="1056"/>
      <c r="BDP184" s="1056"/>
      <c r="BDQ184" s="1056"/>
      <c r="BDR184" s="1056"/>
      <c r="BDS184" s="1056"/>
      <c r="BDT184" s="1056"/>
      <c r="BDU184" s="1056"/>
      <c r="BDV184" s="1056"/>
      <c r="BDW184" s="1056"/>
      <c r="BDX184" s="1056"/>
      <c r="BDY184" s="1056"/>
      <c r="BDZ184" s="1056"/>
      <c r="BEA184" s="1056"/>
      <c r="BEB184" s="1056"/>
      <c r="BEC184" s="1056"/>
      <c r="BED184" s="1056"/>
      <c r="BEE184" s="1056"/>
      <c r="BEF184" s="1056"/>
      <c r="BEG184" s="1056"/>
      <c r="BEH184" s="1056"/>
      <c r="BEI184" s="1056"/>
      <c r="BEJ184" s="1056"/>
      <c r="BEK184" s="1056"/>
      <c r="BEL184" s="1056"/>
      <c r="BEM184" s="1056"/>
      <c r="BEN184" s="1056"/>
      <c r="BEO184" s="1056"/>
      <c r="BEP184" s="1056"/>
      <c r="BEQ184" s="1056"/>
      <c r="BER184" s="1056"/>
      <c r="BES184" s="1056"/>
      <c r="BET184" s="1056"/>
      <c r="BEU184" s="1056"/>
      <c r="BEV184" s="1056"/>
      <c r="BEW184" s="1056"/>
      <c r="BEX184" s="1056"/>
      <c r="BEY184" s="1056"/>
      <c r="BEZ184" s="1056"/>
      <c r="BFA184" s="1056"/>
      <c r="BFB184" s="1056"/>
      <c r="BFC184" s="1056"/>
      <c r="BFD184" s="1056"/>
      <c r="BFE184" s="1056"/>
      <c r="BFF184" s="1056"/>
      <c r="BFG184" s="1056"/>
      <c r="BFH184" s="1056"/>
      <c r="BFI184" s="1056"/>
      <c r="BFJ184" s="1056"/>
      <c r="BFK184" s="1056"/>
      <c r="BFL184" s="1056"/>
      <c r="BFM184" s="1056"/>
      <c r="BFN184" s="1056"/>
      <c r="BFO184" s="1056"/>
      <c r="BFP184" s="1056"/>
      <c r="BFQ184" s="1056"/>
      <c r="BFR184" s="1056"/>
      <c r="BFS184" s="1056"/>
      <c r="BFT184" s="1056"/>
      <c r="BFU184" s="1056"/>
      <c r="BFV184" s="1056"/>
      <c r="BFW184" s="1056"/>
      <c r="BFX184" s="1056"/>
      <c r="BFY184" s="1056"/>
      <c r="BFZ184" s="1056"/>
      <c r="BGA184" s="1056"/>
      <c r="BGB184" s="1056"/>
      <c r="BGC184" s="1056"/>
      <c r="BGD184" s="1056"/>
      <c r="BGE184" s="1056"/>
      <c r="BGF184" s="1056"/>
      <c r="BGG184" s="1056"/>
      <c r="BGH184" s="1056"/>
      <c r="BGI184" s="1056"/>
      <c r="BGJ184" s="1056"/>
      <c r="BGK184" s="1056"/>
      <c r="BGL184" s="1056"/>
      <c r="BGM184" s="1056"/>
      <c r="BGN184" s="1056"/>
      <c r="BGO184" s="1056"/>
      <c r="BGP184" s="1056"/>
      <c r="BGQ184" s="1056"/>
      <c r="BGR184" s="1056"/>
      <c r="BGS184" s="1056"/>
      <c r="BGT184" s="1056"/>
      <c r="BGU184" s="1056"/>
      <c r="BGV184" s="1056"/>
      <c r="BGW184" s="1056"/>
      <c r="BGX184" s="1056"/>
      <c r="BGY184" s="1056"/>
      <c r="BGZ184" s="1056"/>
      <c r="BHA184" s="1056"/>
      <c r="BHB184" s="1056"/>
      <c r="BHC184" s="1056"/>
      <c r="BHD184" s="1056"/>
      <c r="BHE184" s="1056"/>
      <c r="BHF184" s="1056"/>
      <c r="BHG184" s="1056"/>
      <c r="BHH184" s="1056"/>
      <c r="BHI184" s="1056"/>
      <c r="BHJ184" s="1056"/>
      <c r="BHK184" s="1056"/>
      <c r="BHL184" s="1056"/>
      <c r="BHM184" s="1056"/>
      <c r="BHN184" s="1056"/>
      <c r="BHO184" s="1056"/>
      <c r="BHP184" s="1056"/>
      <c r="BHQ184" s="1056"/>
      <c r="BHR184" s="1056"/>
      <c r="BHS184" s="1056"/>
      <c r="BHT184" s="1056"/>
      <c r="BHU184" s="1056"/>
      <c r="BHV184" s="1056"/>
      <c r="BHW184" s="1056"/>
      <c r="BHX184" s="1056"/>
      <c r="BHY184" s="1056"/>
      <c r="BHZ184" s="1056"/>
      <c r="BIA184" s="1056"/>
      <c r="BIB184" s="1056"/>
      <c r="BIC184" s="1056"/>
      <c r="BID184" s="1056"/>
      <c r="BIE184" s="1056"/>
      <c r="BIF184" s="1056"/>
      <c r="BIG184" s="1056"/>
      <c r="BIH184" s="1056"/>
      <c r="BII184" s="1056"/>
      <c r="BIJ184" s="1056"/>
      <c r="BIK184" s="1056"/>
      <c r="BIL184" s="1056"/>
      <c r="BIM184" s="1056"/>
      <c r="BIN184" s="1056"/>
      <c r="BIO184" s="1056"/>
      <c r="BIP184" s="1056"/>
      <c r="BIQ184" s="1056"/>
      <c r="BIR184" s="1056"/>
      <c r="BIS184" s="1056"/>
      <c r="BIT184" s="1056"/>
      <c r="BIU184" s="1056"/>
      <c r="BIV184" s="1056"/>
      <c r="BIW184" s="1056"/>
      <c r="BIX184" s="1056"/>
      <c r="BIY184" s="1056"/>
      <c r="BIZ184" s="1056"/>
      <c r="BJA184" s="1056"/>
      <c r="BJB184" s="1056"/>
      <c r="BJC184" s="1056"/>
      <c r="BJD184" s="1056"/>
      <c r="BJE184" s="1056"/>
      <c r="BJF184" s="1056"/>
      <c r="BJG184" s="1056"/>
      <c r="BJH184" s="1056"/>
      <c r="BJI184" s="1056"/>
      <c r="BJJ184" s="1056"/>
      <c r="BJK184" s="1056"/>
      <c r="BJL184" s="1056"/>
      <c r="BJM184" s="1056"/>
      <c r="BJN184" s="1056"/>
      <c r="BJO184" s="1056"/>
      <c r="BJP184" s="1056"/>
      <c r="BJQ184" s="1056"/>
      <c r="BJR184" s="1056"/>
      <c r="BJS184" s="1056"/>
      <c r="BJT184" s="1056"/>
      <c r="BJU184" s="1056"/>
      <c r="BJV184" s="1056"/>
      <c r="BJW184" s="1056"/>
      <c r="BJX184" s="1056"/>
      <c r="BJY184" s="1056"/>
      <c r="BJZ184" s="1056"/>
      <c r="BKA184" s="1056"/>
      <c r="BKB184" s="1056"/>
      <c r="BKC184" s="1056"/>
      <c r="BKD184" s="1056"/>
      <c r="BKE184" s="1056"/>
      <c r="BKF184" s="1056"/>
      <c r="BKG184" s="1056"/>
      <c r="BKH184" s="1056"/>
      <c r="BKI184" s="1056"/>
      <c r="BKJ184" s="1056"/>
      <c r="BKK184" s="1056"/>
      <c r="BKL184" s="1056"/>
      <c r="BKM184" s="1056"/>
      <c r="BKN184" s="1056"/>
      <c r="BKO184" s="1056"/>
      <c r="BKP184" s="1056"/>
      <c r="BKQ184" s="1056"/>
      <c r="BKR184" s="1056"/>
      <c r="BKS184" s="1056"/>
      <c r="BKT184" s="1056"/>
      <c r="BKU184" s="1056"/>
      <c r="BKV184" s="1056"/>
      <c r="BKW184" s="1056"/>
      <c r="BKX184" s="1056"/>
      <c r="BKY184" s="1056"/>
      <c r="BKZ184" s="1056"/>
      <c r="BLA184" s="1056"/>
      <c r="BLB184" s="1056"/>
      <c r="BLC184" s="1056"/>
      <c r="BLD184" s="1056"/>
      <c r="BLE184" s="1056"/>
      <c r="BLF184" s="1056"/>
      <c r="BLG184" s="1056"/>
      <c r="BLH184" s="1056"/>
      <c r="BLI184" s="1056"/>
      <c r="BLJ184" s="1056"/>
      <c r="BLK184" s="1056"/>
      <c r="BLL184" s="1056"/>
      <c r="BLM184" s="1056"/>
      <c r="BLN184" s="1056"/>
      <c r="BLO184" s="1056"/>
      <c r="BLP184" s="1056"/>
      <c r="BLQ184" s="1056"/>
      <c r="BLR184" s="1056"/>
      <c r="BLS184" s="1056"/>
      <c r="BLT184" s="1056"/>
      <c r="BLU184" s="1056"/>
      <c r="BLV184" s="1056"/>
      <c r="BLW184" s="1056"/>
      <c r="BLX184" s="1056"/>
      <c r="BLY184" s="1056"/>
      <c r="BLZ184" s="1056"/>
      <c r="BMA184" s="1056"/>
      <c r="BMB184" s="1056"/>
      <c r="BMC184" s="1056"/>
      <c r="BMD184" s="1056"/>
      <c r="BME184" s="1056"/>
      <c r="BMF184" s="1056"/>
      <c r="BMG184" s="1056"/>
      <c r="BMH184" s="1056"/>
      <c r="BMI184" s="1056"/>
      <c r="BMJ184" s="1056"/>
      <c r="BMK184" s="1056"/>
      <c r="BML184" s="1056"/>
      <c r="BMM184" s="1056"/>
      <c r="BMN184" s="1056"/>
      <c r="BMO184" s="1056"/>
      <c r="BMP184" s="1056"/>
      <c r="BMQ184" s="1056"/>
      <c r="BMR184" s="1056"/>
      <c r="BMS184" s="1056"/>
      <c r="BMT184" s="1056"/>
      <c r="BMU184" s="1056"/>
      <c r="BMV184" s="1056"/>
      <c r="BMW184" s="1056"/>
      <c r="BMX184" s="1056"/>
      <c r="BMY184" s="1056"/>
      <c r="BMZ184" s="1056"/>
      <c r="BNA184" s="1056"/>
      <c r="BNB184" s="1056"/>
      <c r="BNC184" s="1056"/>
      <c r="BND184" s="1056"/>
      <c r="BNE184" s="1056"/>
      <c r="BNF184" s="1056"/>
      <c r="BNG184" s="1056"/>
      <c r="BNH184" s="1056"/>
      <c r="BNI184" s="1056"/>
      <c r="BNJ184" s="1056"/>
      <c r="BNK184" s="1056"/>
      <c r="BNL184" s="1056"/>
      <c r="BNM184" s="1056"/>
      <c r="BNN184" s="1056"/>
      <c r="BNO184" s="1056"/>
      <c r="BNP184" s="1056"/>
      <c r="BNQ184" s="1056"/>
      <c r="BNR184" s="1056"/>
      <c r="BNS184" s="1056"/>
      <c r="BNT184" s="1056"/>
      <c r="BNU184" s="1056"/>
      <c r="BNV184" s="1056"/>
      <c r="BNW184" s="1056"/>
      <c r="BNX184" s="1056"/>
      <c r="BNY184" s="1056"/>
      <c r="BNZ184" s="1056"/>
      <c r="BOA184" s="1056"/>
      <c r="BOB184" s="1056"/>
      <c r="BOC184" s="1056"/>
      <c r="BOD184" s="1056"/>
      <c r="BOE184" s="1056"/>
      <c r="BOF184" s="1056"/>
      <c r="BOG184" s="1056"/>
      <c r="BOH184" s="1056"/>
      <c r="BOI184" s="1056"/>
      <c r="BOJ184" s="1056"/>
      <c r="BOK184" s="1056"/>
      <c r="BOL184" s="1056"/>
      <c r="BOM184" s="1056"/>
      <c r="BON184" s="1056"/>
      <c r="BOO184" s="1056"/>
      <c r="BOP184" s="1056"/>
      <c r="BOQ184" s="1056"/>
      <c r="BOR184" s="1056"/>
      <c r="BOS184" s="1056"/>
      <c r="BOT184" s="1056"/>
      <c r="BOU184" s="1056"/>
      <c r="BOV184" s="1056"/>
      <c r="BOW184" s="1056"/>
      <c r="BOX184" s="1056"/>
      <c r="BOY184" s="1056"/>
      <c r="BOZ184" s="1056"/>
      <c r="BPA184" s="1056"/>
      <c r="BPB184" s="1056"/>
      <c r="BPC184" s="1056"/>
      <c r="BPD184" s="1056"/>
      <c r="BPE184" s="1056"/>
      <c r="BPF184" s="1056"/>
      <c r="BPG184" s="1056"/>
      <c r="BPH184" s="1056"/>
      <c r="BPI184" s="1056"/>
      <c r="BPJ184" s="1056"/>
      <c r="BPK184" s="1056"/>
      <c r="BPL184" s="1056"/>
      <c r="BPM184" s="1056"/>
      <c r="BPN184" s="1056"/>
      <c r="BPO184" s="1056"/>
      <c r="BPP184" s="1056"/>
      <c r="BPQ184" s="1056"/>
      <c r="BPR184" s="1056"/>
      <c r="BPS184" s="1056"/>
      <c r="BPT184" s="1056"/>
      <c r="BPU184" s="1056"/>
      <c r="BPV184" s="1056"/>
      <c r="BPW184" s="1056"/>
      <c r="BPX184" s="1056"/>
      <c r="BPY184" s="1056"/>
      <c r="BPZ184" s="1056"/>
      <c r="BQA184" s="1056"/>
      <c r="BQB184" s="1056"/>
      <c r="BQC184" s="1056"/>
      <c r="BQD184" s="1056"/>
      <c r="BQE184" s="1056"/>
      <c r="BQF184" s="1056"/>
      <c r="BQG184" s="1056"/>
      <c r="BQH184" s="1056"/>
      <c r="BQI184" s="1056"/>
      <c r="BQJ184" s="1056"/>
      <c r="BQK184" s="1056"/>
      <c r="BQL184" s="1056"/>
      <c r="BQM184" s="1056"/>
      <c r="BQN184" s="1056"/>
      <c r="BQO184" s="1056"/>
      <c r="BQP184" s="1056"/>
      <c r="BQQ184" s="1056"/>
      <c r="BQR184" s="1056"/>
      <c r="BQS184" s="1056"/>
      <c r="BQT184" s="1056"/>
      <c r="BQU184" s="1056"/>
      <c r="BQV184" s="1056"/>
      <c r="BQW184" s="1056"/>
      <c r="BQX184" s="1056"/>
      <c r="BQY184" s="1056"/>
      <c r="BQZ184" s="1056"/>
      <c r="BRA184" s="1056"/>
      <c r="BRB184" s="1056"/>
      <c r="BRC184" s="1056"/>
      <c r="BRD184" s="1056"/>
      <c r="BRE184" s="1056"/>
      <c r="BRF184" s="1056"/>
      <c r="BRG184" s="1056"/>
      <c r="BRH184" s="1056"/>
      <c r="BRI184" s="1056"/>
      <c r="BRJ184" s="1056"/>
      <c r="BRK184" s="1056"/>
      <c r="BRL184" s="1056"/>
      <c r="BRM184" s="1056"/>
      <c r="BRN184" s="1056"/>
      <c r="BRO184" s="1056"/>
      <c r="BRP184" s="1056"/>
      <c r="BRQ184" s="1056"/>
      <c r="BRR184" s="1056"/>
      <c r="BRS184" s="1056"/>
      <c r="BRT184" s="1056"/>
      <c r="BRU184" s="1056"/>
      <c r="BRV184" s="1056"/>
      <c r="BRW184" s="1056"/>
      <c r="BRX184" s="1056"/>
      <c r="BRY184" s="1056"/>
      <c r="BRZ184" s="1056"/>
      <c r="BSA184" s="1056"/>
      <c r="BSB184" s="1056"/>
      <c r="BSC184" s="1056"/>
      <c r="BSD184" s="1056"/>
      <c r="BSE184" s="1056"/>
      <c r="BSF184" s="1056"/>
      <c r="BSG184" s="1056"/>
      <c r="BSH184" s="1056"/>
      <c r="BSI184" s="1056"/>
      <c r="BSJ184" s="1056"/>
      <c r="BSK184" s="1056"/>
      <c r="BSL184" s="1056"/>
      <c r="BSM184" s="1056"/>
      <c r="BSN184" s="1056"/>
      <c r="BSO184" s="1056"/>
      <c r="BSP184" s="1056"/>
      <c r="BSQ184" s="1056"/>
      <c r="BSR184" s="1056"/>
      <c r="BSS184" s="1056"/>
      <c r="BST184" s="1056"/>
      <c r="BSU184" s="1056"/>
      <c r="BSV184" s="1056"/>
      <c r="BSW184" s="1056"/>
      <c r="BSX184" s="1056"/>
      <c r="BSY184" s="1056"/>
      <c r="BSZ184" s="1056"/>
      <c r="BTA184" s="1056"/>
      <c r="BTB184" s="1056"/>
      <c r="BTC184" s="1056"/>
      <c r="BTD184" s="1056"/>
      <c r="BTE184" s="1056"/>
      <c r="BTF184" s="1056"/>
      <c r="BTG184" s="1056"/>
      <c r="BTH184" s="1056"/>
      <c r="BTI184" s="1056"/>
    </row>
    <row r="185" spans="1:1881" s="1060" customFormat="1" ht="96.75" hidden="1" customHeight="1" x14ac:dyDescent="0.3">
      <c r="A185" s="1059">
        <v>538</v>
      </c>
      <c r="B185" s="735" t="s">
        <v>59</v>
      </c>
      <c r="C185" s="735" t="s">
        <v>1413</v>
      </c>
      <c r="D185" s="1070" t="s">
        <v>1421</v>
      </c>
      <c r="E185" s="1053" t="e">
        <f>HLOOKUP($D$2,'2020 Data(H)'!$C$1:$AI$426,251,FALSE)</f>
        <v>#N/A</v>
      </c>
      <c r="F185" s="287"/>
      <c r="G185" s="722"/>
      <c r="H185" s="1083"/>
      <c r="I185" s="1089"/>
      <c r="J185" s="1056"/>
      <c r="K185" s="1056"/>
      <c r="L185" s="1056"/>
      <c r="M185" s="1056"/>
      <c r="N185" s="1058"/>
      <c r="O185" s="1056"/>
      <c r="P185" s="1056"/>
      <c r="Q185" s="1056"/>
      <c r="R185" s="1056"/>
      <c r="S185" s="1056"/>
      <c r="T185" s="1056"/>
      <c r="U185" s="1056"/>
      <c r="V185" s="1056"/>
      <c r="W185" s="1056"/>
      <c r="X185" s="1056"/>
      <c r="Y185" s="1056"/>
      <c r="Z185" s="1059"/>
      <c r="AA185" s="1059"/>
      <c r="AB185" s="1059"/>
      <c r="AC185" s="1059"/>
      <c r="AD185" s="1059"/>
      <c r="AE185" s="1059"/>
      <c r="AF185" s="1059"/>
      <c r="AG185" s="1059"/>
      <c r="AH185" s="1059"/>
      <c r="AI185" s="1059"/>
      <c r="AJ185" s="1059"/>
      <c r="AK185" s="1059"/>
      <c r="AL185" s="1059"/>
      <c r="AM185" s="1059"/>
      <c r="AN185" s="1059"/>
      <c r="AO185" s="1059"/>
      <c r="AP185" s="1059"/>
      <c r="AQ185" s="1059"/>
      <c r="AR185" s="1059"/>
      <c r="AS185" s="1056"/>
      <c r="AT185" s="1056"/>
      <c r="AU185" s="1056"/>
      <c r="AV185" s="1056"/>
      <c r="AW185" s="1056"/>
      <c r="AX185" s="1056"/>
      <c r="AY185" s="1056"/>
      <c r="AZ185" s="1056"/>
      <c r="BA185" s="1056"/>
      <c r="BB185" s="1056"/>
      <c r="BC185" s="1056"/>
      <c r="BD185" s="1056"/>
      <c r="BE185" s="1056"/>
      <c r="BF185" s="1056"/>
      <c r="BG185" s="1056"/>
      <c r="BH185" s="1056"/>
      <c r="BI185" s="1056"/>
      <c r="BJ185" s="1056"/>
      <c r="BK185" s="1056"/>
      <c r="BL185" s="1056"/>
      <c r="BM185" s="1056"/>
      <c r="BN185" s="1056"/>
      <c r="BO185" s="1056"/>
      <c r="BP185" s="1056"/>
      <c r="BQ185" s="1056"/>
      <c r="BR185" s="1056"/>
      <c r="BS185" s="1056"/>
      <c r="BT185" s="1056"/>
      <c r="BU185" s="1056"/>
      <c r="BV185" s="1056"/>
      <c r="BW185" s="1056"/>
      <c r="BX185" s="1056"/>
      <c r="BY185" s="1056"/>
      <c r="BZ185" s="1056"/>
      <c r="CA185" s="1056"/>
      <c r="CB185" s="1056"/>
      <c r="CC185" s="1056"/>
      <c r="CD185" s="1056"/>
      <c r="CE185" s="1056"/>
      <c r="CF185" s="1056"/>
      <c r="CG185" s="1056"/>
      <c r="CH185" s="1056"/>
      <c r="CI185" s="1056"/>
      <c r="CJ185" s="1056"/>
      <c r="CK185" s="1056"/>
      <c r="CL185" s="1056"/>
      <c r="CM185" s="1056"/>
      <c r="CN185" s="1056"/>
      <c r="CO185" s="1056"/>
      <c r="CP185" s="1056"/>
      <c r="CQ185" s="1056"/>
      <c r="CR185" s="1056"/>
      <c r="CS185" s="1056"/>
      <c r="CT185" s="1056"/>
      <c r="CU185" s="1056"/>
      <c r="CV185" s="1056"/>
      <c r="CW185" s="1056"/>
      <c r="CX185" s="1056"/>
      <c r="CY185" s="1056"/>
      <c r="CZ185" s="1056"/>
      <c r="DA185" s="1056"/>
      <c r="DB185" s="1056"/>
      <c r="DC185" s="1056"/>
      <c r="DD185" s="1056"/>
      <c r="DE185" s="1056"/>
      <c r="DF185" s="1056"/>
      <c r="DG185" s="1056"/>
      <c r="DH185" s="1056"/>
      <c r="DI185" s="1056"/>
      <c r="DJ185" s="1056"/>
      <c r="DK185" s="1056"/>
      <c r="DL185" s="1056"/>
      <c r="DM185" s="1056"/>
      <c r="DN185" s="1056"/>
      <c r="DO185" s="1056"/>
      <c r="DP185" s="1056"/>
      <c r="DQ185" s="1056"/>
      <c r="DR185" s="1056"/>
      <c r="DS185" s="1056"/>
      <c r="DT185" s="1056"/>
      <c r="DU185" s="1056"/>
      <c r="DV185" s="1056"/>
      <c r="DW185" s="1056"/>
      <c r="DX185" s="1056"/>
      <c r="DY185" s="1056"/>
      <c r="DZ185" s="1056"/>
      <c r="EA185" s="1056"/>
      <c r="EB185" s="1056"/>
      <c r="EC185" s="1056"/>
      <c r="ED185" s="1056"/>
      <c r="EE185" s="1056"/>
      <c r="EF185" s="1056"/>
      <c r="EG185" s="1056"/>
      <c r="EH185" s="1056"/>
      <c r="EI185" s="1056"/>
      <c r="EJ185" s="1056"/>
      <c r="EK185" s="1056"/>
      <c r="EL185" s="1056"/>
      <c r="EM185" s="1056"/>
      <c r="EN185" s="1056"/>
      <c r="EO185" s="1056"/>
      <c r="EP185" s="1056"/>
      <c r="EQ185" s="1056"/>
      <c r="ER185" s="1056"/>
      <c r="ES185" s="1056"/>
      <c r="ET185" s="1056"/>
      <c r="EU185" s="1056"/>
      <c r="EV185" s="1056"/>
      <c r="EW185" s="1056"/>
      <c r="EX185" s="1056"/>
      <c r="EY185" s="1056"/>
      <c r="EZ185" s="1056"/>
      <c r="FA185" s="1056"/>
      <c r="FB185" s="1056"/>
      <c r="FC185" s="1056"/>
      <c r="FD185" s="1056"/>
      <c r="FE185" s="1056"/>
      <c r="FF185" s="1056"/>
      <c r="FG185" s="1056"/>
      <c r="FH185" s="1056"/>
      <c r="FI185" s="1056"/>
      <c r="FJ185" s="1056"/>
      <c r="FK185" s="1056"/>
      <c r="FL185" s="1056"/>
      <c r="FM185" s="1056"/>
      <c r="FN185" s="1056"/>
      <c r="FO185" s="1056"/>
      <c r="FP185" s="1056"/>
      <c r="FQ185" s="1056"/>
      <c r="FR185" s="1056"/>
      <c r="FS185" s="1056"/>
      <c r="FT185" s="1056"/>
      <c r="FU185" s="1056"/>
      <c r="FV185" s="1056"/>
      <c r="FW185" s="1056"/>
      <c r="FX185" s="1056"/>
      <c r="FY185" s="1056"/>
      <c r="FZ185" s="1056"/>
      <c r="GA185" s="1056"/>
      <c r="GB185" s="1056"/>
      <c r="GC185" s="1056"/>
      <c r="GD185" s="1056"/>
      <c r="GE185" s="1056"/>
      <c r="GF185" s="1056"/>
      <c r="GG185" s="1056"/>
      <c r="GH185" s="1056"/>
      <c r="GI185" s="1056"/>
      <c r="GJ185" s="1056"/>
      <c r="GK185" s="1056"/>
      <c r="GL185" s="1056"/>
      <c r="GM185" s="1056"/>
      <c r="GN185" s="1056"/>
      <c r="GO185" s="1056"/>
      <c r="GP185" s="1056"/>
      <c r="GQ185" s="1056"/>
      <c r="GR185" s="1056"/>
      <c r="GS185" s="1056"/>
      <c r="GT185" s="1056"/>
      <c r="GU185" s="1056"/>
      <c r="GV185" s="1056"/>
      <c r="GW185" s="1056"/>
      <c r="GX185" s="1056"/>
      <c r="GY185" s="1056"/>
      <c r="GZ185" s="1056"/>
      <c r="HA185" s="1056"/>
      <c r="HB185" s="1056"/>
      <c r="HC185" s="1056"/>
      <c r="HD185" s="1056"/>
      <c r="HE185" s="1056"/>
      <c r="HF185" s="1056"/>
      <c r="HG185" s="1056"/>
      <c r="HH185" s="1056"/>
      <c r="HI185" s="1056"/>
      <c r="HJ185" s="1056"/>
      <c r="HK185" s="1056"/>
      <c r="HL185" s="1056"/>
      <c r="HM185" s="1056"/>
      <c r="HN185" s="1056"/>
      <c r="HO185" s="1056"/>
      <c r="HP185" s="1056"/>
      <c r="HQ185" s="1056"/>
      <c r="HR185" s="1056"/>
      <c r="HS185" s="1056"/>
      <c r="HT185" s="1056"/>
      <c r="HU185" s="1056"/>
      <c r="HV185" s="1056"/>
      <c r="HW185" s="1056"/>
      <c r="HX185" s="1056"/>
      <c r="HY185" s="1056"/>
      <c r="HZ185" s="1056"/>
      <c r="IA185" s="1056"/>
      <c r="IB185" s="1056"/>
      <c r="IC185" s="1056"/>
      <c r="ID185" s="1056"/>
      <c r="IE185" s="1056"/>
      <c r="IF185" s="1056"/>
      <c r="IG185" s="1056"/>
      <c r="IH185" s="1056"/>
      <c r="II185" s="1056"/>
      <c r="IJ185" s="1056"/>
      <c r="IK185" s="1056"/>
      <c r="IL185" s="1056"/>
      <c r="IM185" s="1056"/>
      <c r="IN185" s="1056"/>
      <c r="IO185" s="1056"/>
      <c r="IP185" s="1056"/>
      <c r="IQ185" s="1056"/>
      <c r="IR185" s="1056"/>
      <c r="IS185" s="1056"/>
      <c r="IT185" s="1056"/>
      <c r="IU185" s="1056"/>
      <c r="IV185" s="1056"/>
      <c r="IW185" s="1056"/>
      <c r="IX185" s="1056"/>
      <c r="IY185" s="1056"/>
      <c r="IZ185" s="1056"/>
      <c r="JA185" s="1056"/>
      <c r="JB185" s="1056"/>
      <c r="JC185" s="1056"/>
      <c r="JD185" s="1056"/>
      <c r="JE185" s="1056"/>
      <c r="JF185" s="1056"/>
      <c r="JG185" s="1056"/>
      <c r="JH185" s="1056"/>
      <c r="JI185" s="1056"/>
      <c r="JJ185" s="1056"/>
      <c r="JK185" s="1056"/>
      <c r="JL185" s="1056"/>
      <c r="JM185" s="1056"/>
      <c r="JN185" s="1056"/>
      <c r="JO185" s="1056"/>
      <c r="JP185" s="1056"/>
      <c r="JQ185" s="1056"/>
      <c r="JR185" s="1056"/>
      <c r="JS185" s="1056"/>
      <c r="JT185" s="1056"/>
      <c r="JU185" s="1056"/>
      <c r="JV185" s="1056"/>
      <c r="JW185" s="1056"/>
      <c r="JX185" s="1056"/>
      <c r="JY185" s="1056"/>
      <c r="JZ185" s="1056"/>
      <c r="KA185" s="1056"/>
      <c r="KB185" s="1056"/>
      <c r="KC185" s="1056"/>
      <c r="KD185" s="1056"/>
      <c r="KE185" s="1056"/>
      <c r="KF185" s="1056"/>
      <c r="KG185" s="1056"/>
      <c r="KH185" s="1056"/>
      <c r="KI185" s="1056"/>
      <c r="KJ185" s="1056"/>
      <c r="KK185" s="1056"/>
      <c r="KL185" s="1056"/>
      <c r="KM185" s="1056"/>
      <c r="KN185" s="1056"/>
      <c r="KO185" s="1056"/>
      <c r="KP185" s="1056"/>
      <c r="KQ185" s="1056"/>
      <c r="KR185" s="1056"/>
      <c r="KS185" s="1056"/>
      <c r="KT185" s="1056"/>
      <c r="KU185" s="1056"/>
      <c r="KV185" s="1056"/>
      <c r="KW185" s="1056"/>
      <c r="KX185" s="1056"/>
      <c r="KY185" s="1056"/>
      <c r="KZ185" s="1056"/>
      <c r="LA185" s="1056"/>
      <c r="LB185" s="1056"/>
      <c r="LC185" s="1056"/>
      <c r="LD185" s="1056"/>
      <c r="LE185" s="1056"/>
      <c r="LF185" s="1056"/>
      <c r="LG185" s="1056"/>
      <c r="LH185" s="1056"/>
      <c r="LI185" s="1056"/>
      <c r="LJ185" s="1056"/>
      <c r="LK185" s="1056"/>
      <c r="LL185" s="1056"/>
      <c r="LM185" s="1056"/>
      <c r="LN185" s="1056"/>
      <c r="LO185" s="1056"/>
      <c r="LP185" s="1056"/>
      <c r="LQ185" s="1056"/>
      <c r="LR185" s="1056"/>
      <c r="LS185" s="1056"/>
      <c r="LT185" s="1056"/>
      <c r="LU185" s="1056"/>
      <c r="LV185" s="1056"/>
      <c r="LW185" s="1056"/>
      <c r="LX185" s="1056"/>
      <c r="LY185" s="1056"/>
      <c r="LZ185" s="1056"/>
      <c r="MA185" s="1056"/>
      <c r="MB185" s="1056"/>
      <c r="MC185" s="1056"/>
      <c r="MD185" s="1056"/>
      <c r="ME185" s="1056"/>
      <c r="MF185" s="1056"/>
      <c r="MG185" s="1056"/>
      <c r="MH185" s="1056"/>
      <c r="MI185" s="1056"/>
      <c r="MJ185" s="1056"/>
      <c r="MK185" s="1056"/>
      <c r="ML185" s="1056"/>
      <c r="MM185" s="1056"/>
      <c r="MN185" s="1056"/>
      <c r="MO185" s="1056"/>
      <c r="MP185" s="1056"/>
      <c r="MQ185" s="1056"/>
      <c r="MR185" s="1056"/>
      <c r="MS185" s="1056"/>
      <c r="MT185" s="1056"/>
      <c r="MU185" s="1056"/>
      <c r="MV185" s="1056"/>
      <c r="MW185" s="1056"/>
      <c r="MX185" s="1056"/>
      <c r="MY185" s="1056"/>
      <c r="MZ185" s="1056"/>
      <c r="NA185" s="1056"/>
      <c r="NB185" s="1056"/>
      <c r="NC185" s="1056"/>
      <c r="ND185" s="1056"/>
      <c r="NE185" s="1056"/>
      <c r="NF185" s="1056"/>
      <c r="NG185" s="1056"/>
      <c r="NH185" s="1056"/>
      <c r="NI185" s="1056"/>
      <c r="NJ185" s="1056"/>
      <c r="NK185" s="1056"/>
      <c r="NL185" s="1056"/>
      <c r="NM185" s="1056"/>
      <c r="NN185" s="1056"/>
      <c r="NO185" s="1056"/>
      <c r="NP185" s="1056"/>
      <c r="NQ185" s="1056"/>
      <c r="NR185" s="1056"/>
      <c r="NS185" s="1056"/>
      <c r="NT185" s="1056"/>
      <c r="NU185" s="1056"/>
      <c r="NV185" s="1056"/>
      <c r="NW185" s="1056"/>
      <c r="NX185" s="1056"/>
      <c r="NY185" s="1056"/>
      <c r="NZ185" s="1056"/>
      <c r="OA185" s="1056"/>
      <c r="OB185" s="1056"/>
      <c r="OC185" s="1056"/>
      <c r="OD185" s="1056"/>
      <c r="OE185" s="1056"/>
      <c r="OF185" s="1056"/>
      <c r="OG185" s="1056"/>
      <c r="OH185" s="1056"/>
      <c r="OI185" s="1056"/>
      <c r="OJ185" s="1056"/>
      <c r="OK185" s="1056"/>
      <c r="OL185" s="1056"/>
      <c r="OM185" s="1056"/>
      <c r="ON185" s="1056"/>
      <c r="OO185" s="1056"/>
      <c r="OP185" s="1056"/>
      <c r="OQ185" s="1056"/>
      <c r="OR185" s="1056"/>
      <c r="OS185" s="1056"/>
      <c r="OT185" s="1056"/>
      <c r="OU185" s="1056"/>
      <c r="OV185" s="1056"/>
      <c r="OW185" s="1056"/>
      <c r="OX185" s="1056"/>
      <c r="OY185" s="1056"/>
      <c r="OZ185" s="1056"/>
      <c r="PA185" s="1056"/>
      <c r="PB185" s="1056"/>
      <c r="PC185" s="1056"/>
      <c r="PD185" s="1056"/>
      <c r="PE185" s="1056"/>
      <c r="PF185" s="1056"/>
      <c r="PG185" s="1056"/>
      <c r="PH185" s="1056"/>
      <c r="PI185" s="1056"/>
      <c r="PJ185" s="1056"/>
      <c r="PK185" s="1056"/>
      <c r="PL185" s="1056"/>
      <c r="PM185" s="1056"/>
      <c r="PN185" s="1056"/>
      <c r="PO185" s="1056"/>
      <c r="PP185" s="1056"/>
      <c r="PQ185" s="1056"/>
      <c r="PR185" s="1056"/>
      <c r="PS185" s="1056"/>
      <c r="PT185" s="1056"/>
      <c r="PU185" s="1056"/>
      <c r="PV185" s="1056"/>
      <c r="PW185" s="1056"/>
      <c r="PX185" s="1056"/>
      <c r="PY185" s="1056"/>
      <c r="PZ185" s="1056"/>
      <c r="QA185" s="1056"/>
      <c r="QB185" s="1056"/>
      <c r="QC185" s="1056"/>
      <c r="QD185" s="1056"/>
      <c r="QE185" s="1056"/>
      <c r="QF185" s="1056"/>
      <c r="QG185" s="1056"/>
      <c r="QH185" s="1056"/>
      <c r="QI185" s="1056"/>
      <c r="QJ185" s="1056"/>
      <c r="QK185" s="1056"/>
      <c r="QL185" s="1056"/>
      <c r="QM185" s="1056"/>
      <c r="QN185" s="1056"/>
      <c r="QO185" s="1056"/>
      <c r="QP185" s="1056"/>
      <c r="QQ185" s="1056"/>
      <c r="QR185" s="1056"/>
      <c r="QS185" s="1056"/>
      <c r="QT185" s="1056"/>
      <c r="QU185" s="1056"/>
      <c r="QV185" s="1056"/>
      <c r="QW185" s="1056"/>
      <c r="QX185" s="1056"/>
      <c r="QY185" s="1056"/>
      <c r="QZ185" s="1056"/>
      <c r="RA185" s="1056"/>
      <c r="RB185" s="1056"/>
      <c r="RC185" s="1056"/>
      <c r="RD185" s="1056"/>
      <c r="RE185" s="1056"/>
      <c r="RF185" s="1056"/>
      <c r="RG185" s="1056"/>
      <c r="RH185" s="1056"/>
      <c r="RI185" s="1056"/>
      <c r="RJ185" s="1056"/>
      <c r="RK185" s="1056"/>
      <c r="RL185" s="1056"/>
      <c r="RM185" s="1056"/>
      <c r="RN185" s="1056"/>
      <c r="RO185" s="1056"/>
      <c r="RP185" s="1056"/>
      <c r="RQ185" s="1056"/>
      <c r="RR185" s="1056"/>
      <c r="RS185" s="1056"/>
      <c r="RT185" s="1056"/>
      <c r="RU185" s="1056"/>
      <c r="RV185" s="1056"/>
      <c r="RW185" s="1056"/>
      <c r="RX185" s="1056"/>
      <c r="RY185" s="1056"/>
      <c r="RZ185" s="1056"/>
      <c r="SA185" s="1056"/>
      <c r="SB185" s="1056"/>
      <c r="SC185" s="1056"/>
      <c r="SD185" s="1056"/>
      <c r="SE185" s="1056"/>
      <c r="SF185" s="1056"/>
      <c r="SG185" s="1056"/>
      <c r="SH185" s="1056"/>
      <c r="SI185" s="1056"/>
      <c r="SJ185" s="1056"/>
      <c r="SK185" s="1056"/>
      <c r="SL185" s="1056"/>
      <c r="SM185" s="1056"/>
      <c r="SN185" s="1056"/>
      <c r="SO185" s="1056"/>
      <c r="SP185" s="1056"/>
      <c r="SQ185" s="1056"/>
      <c r="SR185" s="1056"/>
      <c r="SS185" s="1056"/>
      <c r="ST185" s="1056"/>
      <c r="SU185" s="1056"/>
      <c r="SV185" s="1056"/>
      <c r="SW185" s="1056"/>
      <c r="SX185" s="1056"/>
      <c r="SY185" s="1056"/>
      <c r="SZ185" s="1056"/>
      <c r="TA185" s="1056"/>
      <c r="TB185" s="1056"/>
      <c r="TC185" s="1056"/>
      <c r="TD185" s="1056"/>
      <c r="TE185" s="1056"/>
      <c r="TF185" s="1056"/>
      <c r="TG185" s="1056"/>
      <c r="TH185" s="1056"/>
      <c r="TI185" s="1056"/>
      <c r="TJ185" s="1056"/>
      <c r="TK185" s="1056"/>
      <c r="TL185" s="1056"/>
      <c r="TM185" s="1056"/>
      <c r="TN185" s="1056"/>
      <c r="TO185" s="1056"/>
      <c r="TP185" s="1056"/>
      <c r="TQ185" s="1056"/>
      <c r="TR185" s="1056"/>
      <c r="TS185" s="1056"/>
      <c r="TT185" s="1056"/>
      <c r="TU185" s="1056"/>
      <c r="TV185" s="1056"/>
      <c r="TW185" s="1056"/>
      <c r="TX185" s="1056"/>
      <c r="TY185" s="1056"/>
      <c r="TZ185" s="1056"/>
      <c r="UA185" s="1056"/>
      <c r="UB185" s="1056"/>
      <c r="UC185" s="1056"/>
      <c r="UD185" s="1056"/>
      <c r="UE185" s="1056"/>
      <c r="UF185" s="1056"/>
      <c r="UG185" s="1056"/>
      <c r="UH185" s="1056"/>
      <c r="UI185" s="1056"/>
      <c r="UJ185" s="1056"/>
      <c r="UK185" s="1056"/>
      <c r="UL185" s="1056"/>
      <c r="UM185" s="1056"/>
      <c r="UN185" s="1056"/>
      <c r="UO185" s="1056"/>
      <c r="UP185" s="1056"/>
      <c r="UQ185" s="1056"/>
      <c r="UR185" s="1056"/>
      <c r="US185" s="1056"/>
      <c r="UT185" s="1056"/>
      <c r="UU185" s="1056"/>
      <c r="UV185" s="1056"/>
      <c r="UW185" s="1056"/>
      <c r="UX185" s="1056"/>
      <c r="UY185" s="1056"/>
      <c r="UZ185" s="1056"/>
      <c r="VA185" s="1056"/>
      <c r="VB185" s="1056"/>
      <c r="VC185" s="1056"/>
      <c r="VD185" s="1056"/>
      <c r="VE185" s="1056"/>
      <c r="VF185" s="1056"/>
      <c r="VG185" s="1056"/>
      <c r="VH185" s="1056"/>
      <c r="VI185" s="1056"/>
      <c r="VJ185" s="1056"/>
      <c r="VK185" s="1056"/>
      <c r="VL185" s="1056"/>
      <c r="VM185" s="1056"/>
      <c r="VN185" s="1056"/>
      <c r="VO185" s="1056"/>
      <c r="VP185" s="1056"/>
      <c r="VQ185" s="1056"/>
      <c r="VR185" s="1056"/>
      <c r="VS185" s="1056"/>
      <c r="VT185" s="1056"/>
      <c r="VU185" s="1056"/>
      <c r="VV185" s="1056"/>
      <c r="VW185" s="1056"/>
      <c r="VX185" s="1056"/>
      <c r="VY185" s="1056"/>
      <c r="VZ185" s="1056"/>
      <c r="WA185" s="1056"/>
      <c r="WB185" s="1056"/>
      <c r="WC185" s="1056"/>
      <c r="WD185" s="1056"/>
      <c r="WE185" s="1056"/>
      <c r="WF185" s="1056"/>
      <c r="WG185" s="1056"/>
      <c r="WH185" s="1056"/>
      <c r="WI185" s="1056"/>
      <c r="WJ185" s="1056"/>
      <c r="WK185" s="1056"/>
      <c r="WL185" s="1056"/>
      <c r="WM185" s="1056"/>
      <c r="WN185" s="1056"/>
      <c r="WO185" s="1056"/>
      <c r="WP185" s="1056"/>
      <c r="WQ185" s="1056"/>
      <c r="WR185" s="1056"/>
      <c r="WS185" s="1056"/>
      <c r="WT185" s="1056"/>
      <c r="WU185" s="1056"/>
      <c r="WV185" s="1056"/>
      <c r="WW185" s="1056"/>
      <c r="WX185" s="1056"/>
      <c r="WY185" s="1056"/>
      <c r="WZ185" s="1056"/>
      <c r="XA185" s="1056"/>
      <c r="XB185" s="1056"/>
      <c r="XC185" s="1056"/>
      <c r="XD185" s="1056"/>
      <c r="XE185" s="1056"/>
      <c r="XF185" s="1056"/>
      <c r="XG185" s="1056"/>
      <c r="XH185" s="1056"/>
      <c r="XI185" s="1056"/>
      <c r="XJ185" s="1056"/>
      <c r="XK185" s="1056"/>
      <c r="XL185" s="1056"/>
      <c r="XM185" s="1056"/>
      <c r="XN185" s="1056"/>
      <c r="XO185" s="1056"/>
      <c r="XP185" s="1056"/>
      <c r="XQ185" s="1056"/>
      <c r="XR185" s="1056"/>
      <c r="XS185" s="1056"/>
      <c r="XT185" s="1056"/>
      <c r="XU185" s="1056"/>
      <c r="XV185" s="1056"/>
      <c r="XW185" s="1056"/>
      <c r="XX185" s="1056"/>
      <c r="XY185" s="1056"/>
      <c r="XZ185" s="1056"/>
      <c r="YA185" s="1056"/>
      <c r="YB185" s="1056"/>
      <c r="YC185" s="1056"/>
      <c r="YD185" s="1056"/>
      <c r="YE185" s="1056"/>
      <c r="YF185" s="1056"/>
      <c r="YG185" s="1056"/>
      <c r="YH185" s="1056"/>
      <c r="YI185" s="1056"/>
      <c r="YJ185" s="1056"/>
      <c r="YK185" s="1056"/>
      <c r="YL185" s="1056"/>
      <c r="YM185" s="1056"/>
      <c r="YN185" s="1056"/>
      <c r="YO185" s="1056"/>
      <c r="YP185" s="1056"/>
      <c r="YQ185" s="1056"/>
      <c r="YR185" s="1056"/>
      <c r="YS185" s="1056"/>
      <c r="YT185" s="1056"/>
      <c r="YU185" s="1056"/>
      <c r="YV185" s="1056"/>
      <c r="YW185" s="1056"/>
      <c r="YX185" s="1056"/>
      <c r="YY185" s="1056"/>
      <c r="YZ185" s="1056"/>
      <c r="ZA185" s="1056"/>
      <c r="ZB185" s="1056"/>
      <c r="ZC185" s="1056"/>
      <c r="ZD185" s="1056"/>
      <c r="ZE185" s="1056"/>
      <c r="ZF185" s="1056"/>
      <c r="ZG185" s="1056"/>
      <c r="ZH185" s="1056"/>
      <c r="ZI185" s="1056"/>
      <c r="ZJ185" s="1056"/>
      <c r="ZK185" s="1056"/>
      <c r="ZL185" s="1056"/>
      <c r="ZM185" s="1056"/>
      <c r="ZN185" s="1056"/>
      <c r="ZO185" s="1056"/>
      <c r="ZP185" s="1056"/>
      <c r="ZQ185" s="1056"/>
      <c r="ZR185" s="1056"/>
      <c r="ZS185" s="1056"/>
      <c r="ZT185" s="1056"/>
      <c r="ZU185" s="1056"/>
      <c r="ZV185" s="1056"/>
      <c r="ZW185" s="1056"/>
      <c r="ZX185" s="1056"/>
      <c r="ZY185" s="1056"/>
      <c r="ZZ185" s="1056"/>
      <c r="AAA185" s="1056"/>
      <c r="AAB185" s="1056"/>
      <c r="AAC185" s="1056"/>
      <c r="AAD185" s="1056"/>
      <c r="AAE185" s="1056"/>
      <c r="AAF185" s="1056"/>
      <c r="AAG185" s="1056"/>
      <c r="AAH185" s="1056"/>
      <c r="AAI185" s="1056"/>
      <c r="AAJ185" s="1056"/>
      <c r="AAK185" s="1056"/>
      <c r="AAL185" s="1056"/>
      <c r="AAM185" s="1056"/>
      <c r="AAN185" s="1056"/>
      <c r="AAO185" s="1056"/>
      <c r="AAP185" s="1056"/>
      <c r="AAQ185" s="1056"/>
      <c r="AAR185" s="1056"/>
      <c r="AAS185" s="1056"/>
      <c r="AAT185" s="1056"/>
      <c r="AAU185" s="1056"/>
      <c r="AAV185" s="1056"/>
      <c r="AAW185" s="1056"/>
      <c r="AAX185" s="1056"/>
      <c r="AAY185" s="1056"/>
      <c r="AAZ185" s="1056"/>
      <c r="ABA185" s="1056"/>
      <c r="ABB185" s="1056"/>
      <c r="ABC185" s="1056"/>
      <c r="ABD185" s="1056"/>
      <c r="ABE185" s="1056"/>
      <c r="ABF185" s="1056"/>
      <c r="ABG185" s="1056"/>
      <c r="ABH185" s="1056"/>
      <c r="ABI185" s="1056"/>
      <c r="ABJ185" s="1056"/>
      <c r="ABK185" s="1056"/>
      <c r="ABL185" s="1056"/>
      <c r="ABM185" s="1056"/>
      <c r="ABN185" s="1056"/>
      <c r="ABO185" s="1056"/>
      <c r="ABP185" s="1056"/>
      <c r="ABQ185" s="1056"/>
      <c r="ABR185" s="1056"/>
      <c r="ABS185" s="1056"/>
      <c r="ABT185" s="1056"/>
      <c r="ABU185" s="1056"/>
      <c r="ABV185" s="1056"/>
      <c r="ABW185" s="1056"/>
      <c r="ABX185" s="1056"/>
      <c r="ABY185" s="1056"/>
      <c r="ABZ185" s="1056"/>
      <c r="ACA185" s="1056"/>
      <c r="ACB185" s="1056"/>
      <c r="ACC185" s="1056"/>
      <c r="ACD185" s="1056"/>
      <c r="ACE185" s="1056"/>
      <c r="ACF185" s="1056"/>
      <c r="ACG185" s="1056"/>
      <c r="ACH185" s="1056"/>
      <c r="ACI185" s="1056"/>
      <c r="ACJ185" s="1056"/>
      <c r="ACK185" s="1056"/>
      <c r="ACL185" s="1056"/>
      <c r="ACM185" s="1056"/>
      <c r="ACN185" s="1056"/>
      <c r="ACO185" s="1056"/>
      <c r="ACP185" s="1056"/>
      <c r="ACQ185" s="1056"/>
      <c r="ACR185" s="1056"/>
      <c r="ACS185" s="1056"/>
      <c r="ACT185" s="1056"/>
      <c r="ACU185" s="1056"/>
      <c r="ACV185" s="1056"/>
      <c r="ACW185" s="1056"/>
      <c r="ACX185" s="1056"/>
      <c r="ACY185" s="1056"/>
      <c r="ACZ185" s="1056"/>
      <c r="ADA185" s="1056"/>
      <c r="ADB185" s="1056"/>
      <c r="ADC185" s="1056"/>
      <c r="ADD185" s="1056"/>
      <c r="ADE185" s="1056"/>
      <c r="ADF185" s="1056"/>
      <c r="ADG185" s="1056"/>
      <c r="ADH185" s="1056"/>
      <c r="ADI185" s="1056"/>
      <c r="ADJ185" s="1056"/>
      <c r="ADK185" s="1056"/>
      <c r="ADL185" s="1056"/>
      <c r="ADM185" s="1056"/>
      <c r="ADN185" s="1056"/>
      <c r="ADO185" s="1056"/>
      <c r="ADP185" s="1056"/>
      <c r="ADQ185" s="1056"/>
      <c r="ADR185" s="1056"/>
      <c r="ADS185" s="1056"/>
      <c r="ADT185" s="1056"/>
      <c r="ADU185" s="1056"/>
      <c r="ADV185" s="1056"/>
      <c r="ADW185" s="1056"/>
      <c r="ADX185" s="1056"/>
      <c r="ADY185" s="1056"/>
      <c r="ADZ185" s="1056"/>
      <c r="AEA185" s="1056"/>
      <c r="AEB185" s="1056"/>
      <c r="AEC185" s="1056"/>
      <c r="AED185" s="1056"/>
      <c r="AEE185" s="1056"/>
      <c r="AEF185" s="1056"/>
      <c r="AEG185" s="1056"/>
      <c r="AEH185" s="1056"/>
      <c r="AEI185" s="1056"/>
      <c r="AEJ185" s="1056"/>
      <c r="AEK185" s="1056"/>
      <c r="AEL185" s="1056"/>
      <c r="AEM185" s="1056"/>
      <c r="AEN185" s="1056"/>
      <c r="AEO185" s="1056"/>
      <c r="AEP185" s="1056"/>
      <c r="AEQ185" s="1056"/>
      <c r="AER185" s="1056"/>
      <c r="AES185" s="1056"/>
      <c r="AET185" s="1056"/>
      <c r="AEU185" s="1056"/>
      <c r="AEV185" s="1056"/>
      <c r="AEW185" s="1056"/>
      <c r="AEX185" s="1056"/>
      <c r="AEY185" s="1056"/>
      <c r="AEZ185" s="1056"/>
      <c r="AFA185" s="1056"/>
      <c r="AFB185" s="1056"/>
      <c r="AFC185" s="1056"/>
      <c r="AFD185" s="1056"/>
      <c r="AFE185" s="1056"/>
      <c r="AFF185" s="1056"/>
      <c r="AFG185" s="1056"/>
      <c r="AFH185" s="1056"/>
      <c r="AFI185" s="1056"/>
      <c r="AFJ185" s="1056"/>
      <c r="AFK185" s="1056"/>
      <c r="AFL185" s="1056"/>
      <c r="AFM185" s="1056"/>
      <c r="AFN185" s="1056"/>
      <c r="AFO185" s="1056"/>
      <c r="AFP185" s="1056"/>
      <c r="AFQ185" s="1056"/>
      <c r="AFR185" s="1056"/>
      <c r="AFS185" s="1056"/>
      <c r="AFT185" s="1056"/>
      <c r="AFU185" s="1056"/>
      <c r="AFV185" s="1056"/>
      <c r="AFW185" s="1056"/>
      <c r="AFX185" s="1056"/>
      <c r="AFY185" s="1056"/>
      <c r="AFZ185" s="1056"/>
      <c r="AGA185" s="1056"/>
      <c r="AGB185" s="1056"/>
      <c r="AGC185" s="1056"/>
      <c r="AGD185" s="1056"/>
      <c r="AGE185" s="1056"/>
      <c r="AGF185" s="1056"/>
      <c r="AGG185" s="1056"/>
      <c r="AGH185" s="1056"/>
      <c r="AGI185" s="1056"/>
      <c r="AGJ185" s="1056"/>
      <c r="AGK185" s="1056"/>
      <c r="AGL185" s="1056"/>
      <c r="AGM185" s="1056"/>
      <c r="AGN185" s="1056"/>
      <c r="AGO185" s="1056"/>
      <c r="AGP185" s="1056"/>
      <c r="AGQ185" s="1056"/>
      <c r="AGR185" s="1056"/>
      <c r="AGS185" s="1056"/>
      <c r="AGT185" s="1056"/>
      <c r="AGU185" s="1056"/>
      <c r="AGV185" s="1056"/>
      <c r="AGW185" s="1056"/>
      <c r="AGX185" s="1056"/>
      <c r="AGY185" s="1056"/>
      <c r="AGZ185" s="1056"/>
      <c r="AHA185" s="1056"/>
      <c r="AHB185" s="1056"/>
      <c r="AHC185" s="1056"/>
      <c r="AHD185" s="1056"/>
      <c r="AHE185" s="1056"/>
      <c r="AHF185" s="1056"/>
      <c r="AHG185" s="1056"/>
      <c r="AHH185" s="1056"/>
      <c r="AHI185" s="1056"/>
      <c r="AHJ185" s="1056"/>
      <c r="AHK185" s="1056"/>
      <c r="AHL185" s="1056"/>
      <c r="AHM185" s="1056"/>
      <c r="AHN185" s="1056"/>
      <c r="AHO185" s="1056"/>
      <c r="AHP185" s="1056"/>
      <c r="AHQ185" s="1056"/>
      <c r="AHR185" s="1056"/>
      <c r="AHS185" s="1056"/>
      <c r="AHT185" s="1056"/>
      <c r="AHU185" s="1056"/>
      <c r="AHV185" s="1056"/>
      <c r="AHW185" s="1056"/>
      <c r="AHX185" s="1056"/>
      <c r="AHY185" s="1056"/>
      <c r="AHZ185" s="1056"/>
      <c r="AIA185" s="1056"/>
      <c r="AIB185" s="1056"/>
      <c r="AIC185" s="1056"/>
      <c r="AID185" s="1056"/>
      <c r="AIE185" s="1056"/>
      <c r="AIF185" s="1056"/>
      <c r="AIG185" s="1056"/>
      <c r="AIH185" s="1056"/>
      <c r="AII185" s="1056"/>
      <c r="AIJ185" s="1056"/>
      <c r="AIK185" s="1056"/>
      <c r="AIL185" s="1056"/>
      <c r="AIM185" s="1056"/>
      <c r="AIN185" s="1056"/>
      <c r="AIO185" s="1056"/>
      <c r="AIP185" s="1056"/>
      <c r="AIQ185" s="1056"/>
      <c r="AIR185" s="1056"/>
      <c r="AIS185" s="1056"/>
      <c r="AIT185" s="1056"/>
      <c r="AIU185" s="1056"/>
      <c r="AIV185" s="1056"/>
      <c r="AIW185" s="1056"/>
      <c r="AIX185" s="1056"/>
      <c r="AIY185" s="1056"/>
      <c r="AIZ185" s="1056"/>
      <c r="AJA185" s="1056"/>
      <c r="AJB185" s="1056"/>
      <c r="AJC185" s="1056"/>
      <c r="AJD185" s="1056"/>
      <c r="AJE185" s="1056"/>
      <c r="AJF185" s="1056"/>
      <c r="AJG185" s="1056"/>
      <c r="AJH185" s="1056"/>
      <c r="AJI185" s="1056"/>
      <c r="AJJ185" s="1056"/>
      <c r="AJK185" s="1056"/>
      <c r="AJL185" s="1056"/>
      <c r="AJM185" s="1056"/>
      <c r="AJN185" s="1056"/>
      <c r="AJO185" s="1056"/>
      <c r="AJP185" s="1056"/>
      <c r="AJQ185" s="1056"/>
      <c r="AJR185" s="1056"/>
      <c r="AJS185" s="1056"/>
      <c r="AJT185" s="1056"/>
      <c r="AJU185" s="1056"/>
      <c r="AJV185" s="1056"/>
      <c r="AJW185" s="1056"/>
      <c r="AJX185" s="1056"/>
      <c r="AJY185" s="1056"/>
      <c r="AJZ185" s="1056"/>
      <c r="AKA185" s="1056"/>
      <c r="AKB185" s="1056"/>
      <c r="AKC185" s="1056"/>
      <c r="AKD185" s="1056"/>
      <c r="AKE185" s="1056"/>
      <c r="AKF185" s="1056"/>
      <c r="AKG185" s="1056"/>
      <c r="AKH185" s="1056"/>
      <c r="AKI185" s="1056"/>
      <c r="AKJ185" s="1056"/>
      <c r="AKK185" s="1056"/>
      <c r="AKL185" s="1056"/>
      <c r="AKM185" s="1056"/>
      <c r="AKN185" s="1056"/>
      <c r="AKO185" s="1056"/>
      <c r="AKP185" s="1056"/>
      <c r="AKQ185" s="1056"/>
      <c r="AKR185" s="1056"/>
      <c r="AKS185" s="1056"/>
      <c r="AKT185" s="1056"/>
      <c r="AKU185" s="1056"/>
      <c r="AKV185" s="1056"/>
      <c r="AKW185" s="1056"/>
      <c r="AKX185" s="1056"/>
      <c r="AKY185" s="1056"/>
      <c r="AKZ185" s="1056"/>
      <c r="ALA185" s="1056"/>
      <c r="ALB185" s="1056"/>
      <c r="ALC185" s="1056"/>
      <c r="ALD185" s="1056"/>
      <c r="ALE185" s="1056"/>
      <c r="ALF185" s="1056"/>
      <c r="ALG185" s="1056"/>
      <c r="ALH185" s="1056"/>
      <c r="ALI185" s="1056"/>
      <c r="ALJ185" s="1056"/>
      <c r="ALK185" s="1056"/>
      <c r="ALL185" s="1056"/>
      <c r="ALM185" s="1056"/>
      <c r="ALN185" s="1056"/>
      <c r="ALO185" s="1056"/>
      <c r="ALP185" s="1056"/>
      <c r="ALQ185" s="1056"/>
      <c r="ALR185" s="1056"/>
      <c r="ALS185" s="1056"/>
      <c r="ALT185" s="1056"/>
      <c r="ALU185" s="1056"/>
      <c r="ALV185" s="1056"/>
      <c r="ALW185" s="1056"/>
      <c r="ALX185" s="1056"/>
      <c r="ALY185" s="1056"/>
      <c r="ALZ185" s="1056"/>
      <c r="AMA185" s="1056"/>
      <c r="AMB185" s="1056"/>
      <c r="AMC185" s="1056"/>
      <c r="AMD185" s="1056"/>
      <c r="AME185" s="1056"/>
      <c r="AMF185" s="1056"/>
      <c r="AMG185" s="1056"/>
      <c r="AMH185" s="1056"/>
      <c r="AMI185" s="1056"/>
      <c r="AMJ185" s="1056"/>
      <c r="AMK185" s="1056"/>
      <c r="AML185" s="1056"/>
      <c r="AMM185" s="1056"/>
      <c r="AMN185" s="1056"/>
      <c r="AMO185" s="1056"/>
      <c r="AMP185" s="1056"/>
      <c r="AMQ185" s="1056"/>
      <c r="AMR185" s="1056"/>
      <c r="AMS185" s="1056"/>
      <c r="AMT185" s="1056"/>
      <c r="AMU185" s="1056"/>
      <c r="AMV185" s="1056"/>
      <c r="AMW185" s="1056"/>
      <c r="AMX185" s="1056"/>
      <c r="AMY185" s="1056"/>
      <c r="AMZ185" s="1056"/>
      <c r="ANA185" s="1056"/>
      <c r="ANB185" s="1056"/>
      <c r="ANC185" s="1056"/>
      <c r="AND185" s="1056"/>
      <c r="ANE185" s="1056"/>
      <c r="ANF185" s="1056"/>
      <c r="ANG185" s="1056"/>
      <c r="ANH185" s="1056"/>
      <c r="ANI185" s="1056"/>
      <c r="ANJ185" s="1056"/>
      <c r="ANK185" s="1056"/>
      <c r="ANL185" s="1056"/>
      <c r="ANM185" s="1056"/>
      <c r="ANN185" s="1056"/>
      <c r="ANO185" s="1056"/>
      <c r="ANP185" s="1056"/>
      <c r="ANQ185" s="1056"/>
      <c r="ANR185" s="1056"/>
      <c r="ANS185" s="1056"/>
      <c r="ANT185" s="1056"/>
      <c r="ANU185" s="1056"/>
      <c r="ANV185" s="1056"/>
      <c r="ANW185" s="1056"/>
      <c r="ANX185" s="1056"/>
      <c r="ANY185" s="1056"/>
      <c r="ANZ185" s="1056"/>
      <c r="AOA185" s="1056"/>
      <c r="AOB185" s="1056"/>
      <c r="AOC185" s="1056"/>
      <c r="AOD185" s="1056"/>
      <c r="AOE185" s="1056"/>
      <c r="AOF185" s="1056"/>
      <c r="AOG185" s="1056"/>
      <c r="AOH185" s="1056"/>
      <c r="AOI185" s="1056"/>
      <c r="AOJ185" s="1056"/>
      <c r="AOK185" s="1056"/>
      <c r="AOL185" s="1056"/>
      <c r="AOM185" s="1056"/>
      <c r="AON185" s="1056"/>
      <c r="AOO185" s="1056"/>
      <c r="AOP185" s="1056"/>
      <c r="AOQ185" s="1056"/>
      <c r="AOR185" s="1056"/>
      <c r="AOS185" s="1056"/>
      <c r="AOT185" s="1056"/>
      <c r="AOU185" s="1056"/>
      <c r="AOV185" s="1056"/>
      <c r="AOW185" s="1056"/>
      <c r="AOX185" s="1056"/>
      <c r="AOY185" s="1056"/>
      <c r="AOZ185" s="1056"/>
      <c r="APA185" s="1056"/>
      <c r="APB185" s="1056"/>
      <c r="APC185" s="1056"/>
      <c r="APD185" s="1056"/>
      <c r="APE185" s="1056"/>
      <c r="APF185" s="1056"/>
      <c r="APG185" s="1056"/>
      <c r="APH185" s="1056"/>
      <c r="API185" s="1056"/>
      <c r="APJ185" s="1056"/>
      <c r="APK185" s="1056"/>
      <c r="APL185" s="1056"/>
      <c r="APM185" s="1056"/>
      <c r="APN185" s="1056"/>
      <c r="APO185" s="1056"/>
      <c r="APP185" s="1056"/>
      <c r="APQ185" s="1056"/>
      <c r="APR185" s="1056"/>
      <c r="APS185" s="1056"/>
      <c r="APT185" s="1056"/>
      <c r="APU185" s="1056"/>
      <c r="APV185" s="1056"/>
      <c r="APW185" s="1056"/>
      <c r="APX185" s="1056"/>
      <c r="APY185" s="1056"/>
      <c r="APZ185" s="1056"/>
      <c r="AQA185" s="1056"/>
      <c r="AQB185" s="1056"/>
      <c r="AQC185" s="1056"/>
      <c r="AQD185" s="1056"/>
      <c r="AQE185" s="1056"/>
      <c r="AQF185" s="1056"/>
      <c r="AQG185" s="1056"/>
      <c r="AQH185" s="1056"/>
      <c r="AQI185" s="1056"/>
      <c r="AQJ185" s="1056"/>
      <c r="AQK185" s="1056"/>
      <c r="AQL185" s="1056"/>
      <c r="AQM185" s="1056"/>
      <c r="AQN185" s="1056"/>
      <c r="AQO185" s="1056"/>
      <c r="AQP185" s="1056"/>
      <c r="AQQ185" s="1056"/>
      <c r="AQR185" s="1056"/>
      <c r="AQS185" s="1056"/>
      <c r="AQT185" s="1056"/>
      <c r="AQU185" s="1056"/>
      <c r="AQV185" s="1056"/>
      <c r="AQW185" s="1056"/>
      <c r="AQX185" s="1056"/>
      <c r="AQY185" s="1056"/>
      <c r="AQZ185" s="1056"/>
      <c r="ARA185" s="1056"/>
      <c r="ARB185" s="1056"/>
      <c r="ARC185" s="1056"/>
      <c r="ARD185" s="1056"/>
      <c r="ARE185" s="1056"/>
      <c r="ARF185" s="1056"/>
      <c r="ARG185" s="1056"/>
      <c r="ARH185" s="1056"/>
      <c r="ARI185" s="1056"/>
      <c r="ARJ185" s="1056"/>
      <c r="ARK185" s="1056"/>
      <c r="ARL185" s="1056"/>
      <c r="ARM185" s="1056"/>
      <c r="ARN185" s="1056"/>
      <c r="ARO185" s="1056"/>
      <c r="ARP185" s="1056"/>
      <c r="ARQ185" s="1056"/>
      <c r="ARR185" s="1056"/>
      <c r="ARS185" s="1056"/>
      <c r="ART185" s="1056"/>
      <c r="ARU185" s="1056"/>
      <c r="ARV185" s="1056"/>
      <c r="ARW185" s="1056"/>
      <c r="ARX185" s="1056"/>
      <c r="ARY185" s="1056"/>
      <c r="ARZ185" s="1056"/>
      <c r="ASA185" s="1056"/>
      <c r="ASB185" s="1056"/>
      <c r="ASC185" s="1056"/>
      <c r="ASD185" s="1056"/>
      <c r="ASE185" s="1056"/>
      <c r="ASF185" s="1056"/>
      <c r="ASG185" s="1056"/>
      <c r="ASH185" s="1056"/>
      <c r="ASI185" s="1056"/>
      <c r="ASJ185" s="1056"/>
      <c r="ASK185" s="1056"/>
      <c r="ASL185" s="1056"/>
      <c r="ASM185" s="1056"/>
      <c r="ASN185" s="1056"/>
      <c r="ASO185" s="1056"/>
      <c r="ASP185" s="1056"/>
      <c r="ASQ185" s="1056"/>
      <c r="ASR185" s="1056"/>
      <c r="ASS185" s="1056"/>
      <c r="AST185" s="1056"/>
      <c r="ASU185" s="1056"/>
      <c r="ASV185" s="1056"/>
      <c r="ASW185" s="1056"/>
      <c r="ASX185" s="1056"/>
      <c r="ASY185" s="1056"/>
      <c r="ASZ185" s="1056"/>
      <c r="ATA185" s="1056"/>
      <c r="ATB185" s="1056"/>
      <c r="ATC185" s="1056"/>
      <c r="ATD185" s="1056"/>
      <c r="ATE185" s="1056"/>
      <c r="ATF185" s="1056"/>
      <c r="ATG185" s="1056"/>
      <c r="ATH185" s="1056"/>
      <c r="ATI185" s="1056"/>
      <c r="ATJ185" s="1056"/>
      <c r="ATK185" s="1056"/>
      <c r="ATL185" s="1056"/>
      <c r="ATM185" s="1056"/>
      <c r="ATN185" s="1056"/>
      <c r="ATO185" s="1056"/>
      <c r="ATP185" s="1056"/>
      <c r="ATQ185" s="1056"/>
      <c r="ATR185" s="1056"/>
      <c r="ATS185" s="1056"/>
      <c r="ATT185" s="1056"/>
      <c r="ATU185" s="1056"/>
      <c r="ATV185" s="1056"/>
      <c r="ATW185" s="1056"/>
      <c r="ATX185" s="1056"/>
      <c r="ATY185" s="1056"/>
      <c r="ATZ185" s="1056"/>
      <c r="AUA185" s="1056"/>
      <c r="AUB185" s="1056"/>
      <c r="AUC185" s="1056"/>
      <c r="AUD185" s="1056"/>
      <c r="AUE185" s="1056"/>
      <c r="AUF185" s="1056"/>
      <c r="AUG185" s="1056"/>
      <c r="AUH185" s="1056"/>
      <c r="AUI185" s="1056"/>
      <c r="AUJ185" s="1056"/>
      <c r="AUK185" s="1056"/>
      <c r="AUL185" s="1056"/>
      <c r="AUM185" s="1056"/>
      <c r="AUN185" s="1056"/>
      <c r="AUO185" s="1056"/>
      <c r="AUP185" s="1056"/>
      <c r="AUQ185" s="1056"/>
      <c r="AUR185" s="1056"/>
      <c r="AUS185" s="1056"/>
      <c r="AUT185" s="1056"/>
      <c r="AUU185" s="1056"/>
      <c r="AUV185" s="1056"/>
      <c r="AUW185" s="1056"/>
      <c r="AUX185" s="1056"/>
      <c r="AUY185" s="1056"/>
      <c r="AUZ185" s="1056"/>
      <c r="AVA185" s="1056"/>
      <c r="AVB185" s="1056"/>
      <c r="AVC185" s="1056"/>
      <c r="AVD185" s="1056"/>
      <c r="AVE185" s="1056"/>
      <c r="AVF185" s="1056"/>
      <c r="AVG185" s="1056"/>
      <c r="AVH185" s="1056"/>
      <c r="AVI185" s="1056"/>
      <c r="AVJ185" s="1056"/>
      <c r="AVK185" s="1056"/>
      <c r="AVL185" s="1056"/>
      <c r="AVM185" s="1056"/>
      <c r="AVN185" s="1056"/>
      <c r="AVO185" s="1056"/>
      <c r="AVP185" s="1056"/>
      <c r="AVQ185" s="1056"/>
      <c r="AVR185" s="1056"/>
      <c r="AVS185" s="1056"/>
      <c r="AVT185" s="1056"/>
      <c r="AVU185" s="1056"/>
      <c r="AVV185" s="1056"/>
      <c r="AVW185" s="1056"/>
      <c r="AVX185" s="1056"/>
      <c r="AVY185" s="1056"/>
      <c r="AVZ185" s="1056"/>
      <c r="AWA185" s="1056"/>
      <c r="AWB185" s="1056"/>
      <c r="AWC185" s="1056"/>
      <c r="AWD185" s="1056"/>
      <c r="AWE185" s="1056"/>
      <c r="AWF185" s="1056"/>
      <c r="AWG185" s="1056"/>
      <c r="AWH185" s="1056"/>
      <c r="AWI185" s="1056"/>
      <c r="AWJ185" s="1056"/>
      <c r="AWK185" s="1056"/>
      <c r="AWL185" s="1056"/>
      <c r="AWM185" s="1056"/>
      <c r="AWN185" s="1056"/>
      <c r="AWO185" s="1056"/>
      <c r="AWP185" s="1056"/>
      <c r="AWQ185" s="1056"/>
      <c r="AWR185" s="1056"/>
      <c r="AWS185" s="1056"/>
      <c r="AWT185" s="1056"/>
      <c r="AWU185" s="1056"/>
      <c r="AWV185" s="1056"/>
      <c r="AWW185" s="1056"/>
      <c r="AWX185" s="1056"/>
      <c r="AWY185" s="1056"/>
      <c r="AWZ185" s="1056"/>
      <c r="AXA185" s="1056"/>
      <c r="AXB185" s="1056"/>
      <c r="AXC185" s="1056"/>
      <c r="AXD185" s="1056"/>
      <c r="AXE185" s="1056"/>
      <c r="AXF185" s="1056"/>
      <c r="AXG185" s="1056"/>
      <c r="AXH185" s="1056"/>
      <c r="AXI185" s="1056"/>
      <c r="AXJ185" s="1056"/>
      <c r="AXK185" s="1056"/>
      <c r="AXL185" s="1056"/>
      <c r="AXM185" s="1056"/>
      <c r="AXN185" s="1056"/>
      <c r="AXO185" s="1056"/>
      <c r="AXP185" s="1056"/>
      <c r="AXQ185" s="1056"/>
      <c r="AXR185" s="1056"/>
      <c r="AXS185" s="1056"/>
      <c r="AXT185" s="1056"/>
      <c r="AXU185" s="1056"/>
      <c r="AXV185" s="1056"/>
      <c r="AXW185" s="1056"/>
      <c r="AXX185" s="1056"/>
      <c r="AXY185" s="1056"/>
      <c r="AXZ185" s="1056"/>
      <c r="AYA185" s="1056"/>
      <c r="AYB185" s="1056"/>
      <c r="AYC185" s="1056"/>
      <c r="AYD185" s="1056"/>
      <c r="AYE185" s="1056"/>
      <c r="AYF185" s="1056"/>
      <c r="AYG185" s="1056"/>
      <c r="AYH185" s="1056"/>
      <c r="AYI185" s="1056"/>
      <c r="AYJ185" s="1056"/>
      <c r="AYK185" s="1056"/>
      <c r="AYL185" s="1056"/>
      <c r="AYM185" s="1056"/>
      <c r="AYN185" s="1056"/>
      <c r="AYO185" s="1056"/>
      <c r="AYP185" s="1056"/>
      <c r="AYQ185" s="1056"/>
      <c r="AYR185" s="1056"/>
      <c r="AYS185" s="1056"/>
      <c r="AYT185" s="1056"/>
      <c r="AYU185" s="1056"/>
      <c r="AYV185" s="1056"/>
      <c r="AYW185" s="1056"/>
      <c r="AYX185" s="1056"/>
      <c r="AYY185" s="1056"/>
      <c r="AYZ185" s="1056"/>
      <c r="AZA185" s="1056"/>
      <c r="AZB185" s="1056"/>
      <c r="AZC185" s="1056"/>
      <c r="AZD185" s="1056"/>
      <c r="AZE185" s="1056"/>
      <c r="AZF185" s="1056"/>
      <c r="AZG185" s="1056"/>
      <c r="AZH185" s="1056"/>
      <c r="AZI185" s="1056"/>
      <c r="AZJ185" s="1056"/>
      <c r="AZK185" s="1056"/>
      <c r="AZL185" s="1056"/>
      <c r="AZM185" s="1056"/>
      <c r="AZN185" s="1056"/>
      <c r="AZO185" s="1056"/>
      <c r="AZP185" s="1056"/>
      <c r="AZQ185" s="1056"/>
      <c r="AZR185" s="1056"/>
      <c r="AZS185" s="1056"/>
      <c r="AZT185" s="1056"/>
      <c r="AZU185" s="1056"/>
      <c r="AZV185" s="1056"/>
      <c r="AZW185" s="1056"/>
      <c r="AZX185" s="1056"/>
      <c r="AZY185" s="1056"/>
      <c r="AZZ185" s="1056"/>
      <c r="BAA185" s="1056"/>
      <c r="BAB185" s="1056"/>
      <c r="BAC185" s="1056"/>
      <c r="BAD185" s="1056"/>
      <c r="BAE185" s="1056"/>
      <c r="BAF185" s="1056"/>
      <c r="BAG185" s="1056"/>
      <c r="BAH185" s="1056"/>
      <c r="BAI185" s="1056"/>
      <c r="BAJ185" s="1056"/>
      <c r="BAK185" s="1056"/>
      <c r="BAL185" s="1056"/>
      <c r="BAM185" s="1056"/>
      <c r="BAN185" s="1056"/>
      <c r="BAO185" s="1056"/>
      <c r="BAP185" s="1056"/>
      <c r="BAQ185" s="1056"/>
      <c r="BAR185" s="1056"/>
      <c r="BAS185" s="1056"/>
      <c r="BAT185" s="1056"/>
      <c r="BAU185" s="1056"/>
      <c r="BAV185" s="1056"/>
      <c r="BAW185" s="1056"/>
      <c r="BAX185" s="1056"/>
      <c r="BAY185" s="1056"/>
      <c r="BAZ185" s="1056"/>
      <c r="BBA185" s="1056"/>
      <c r="BBB185" s="1056"/>
      <c r="BBC185" s="1056"/>
      <c r="BBD185" s="1056"/>
      <c r="BBE185" s="1056"/>
      <c r="BBF185" s="1056"/>
      <c r="BBG185" s="1056"/>
      <c r="BBH185" s="1056"/>
      <c r="BBI185" s="1056"/>
      <c r="BBJ185" s="1056"/>
      <c r="BBK185" s="1056"/>
      <c r="BBL185" s="1056"/>
      <c r="BBM185" s="1056"/>
      <c r="BBN185" s="1056"/>
      <c r="BBO185" s="1056"/>
      <c r="BBP185" s="1056"/>
      <c r="BBQ185" s="1056"/>
      <c r="BBR185" s="1056"/>
      <c r="BBS185" s="1056"/>
      <c r="BBT185" s="1056"/>
      <c r="BBU185" s="1056"/>
      <c r="BBV185" s="1056"/>
      <c r="BBW185" s="1056"/>
      <c r="BBX185" s="1056"/>
      <c r="BBY185" s="1056"/>
      <c r="BBZ185" s="1056"/>
      <c r="BCA185" s="1056"/>
      <c r="BCB185" s="1056"/>
      <c r="BCC185" s="1056"/>
      <c r="BCD185" s="1056"/>
      <c r="BCE185" s="1056"/>
      <c r="BCF185" s="1056"/>
      <c r="BCG185" s="1056"/>
      <c r="BCH185" s="1056"/>
      <c r="BCI185" s="1056"/>
      <c r="BCJ185" s="1056"/>
      <c r="BCK185" s="1056"/>
      <c r="BCL185" s="1056"/>
      <c r="BCM185" s="1056"/>
      <c r="BCN185" s="1056"/>
      <c r="BCO185" s="1056"/>
      <c r="BCP185" s="1056"/>
      <c r="BCQ185" s="1056"/>
      <c r="BCR185" s="1056"/>
      <c r="BCS185" s="1056"/>
      <c r="BCT185" s="1056"/>
      <c r="BCU185" s="1056"/>
      <c r="BCV185" s="1056"/>
      <c r="BCW185" s="1056"/>
      <c r="BCX185" s="1056"/>
      <c r="BCY185" s="1056"/>
      <c r="BCZ185" s="1056"/>
      <c r="BDA185" s="1056"/>
      <c r="BDB185" s="1056"/>
      <c r="BDC185" s="1056"/>
      <c r="BDD185" s="1056"/>
      <c r="BDE185" s="1056"/>
      <c r="BDF185" s="1056"/>
      <c r="BDG185" s="1056"/>
      <c r="BDH185" s="1056"/>
      <c r="BDI185" s="1056"/>
      <c r="BDJ185" s="1056"/>
      <c r="BDK185" s="1056"/>
      <c r="BDL185" s="1056"/>
      <c r="BDM185" s="1056"/>
      <c r="BDN185" s="1056"/>
      <c r="BDO185" s="1056"/>
      <c r="BDP185" s="1056"/>
      <c r="BDQ185" s="1056"/>
      <c r="BDR185" s="1056"/>
      <c r="BDS185" s="1056"/>
      <c r="BDT185" s="1056"/>
      <c r="BDU185" s="1056"/>
      <c r="BDV185" s="1056"/>
      <c r="BDW185" s="1056"/>
      <c r="BDX185" s="1056"/>
      <c r="BDY185" s="1056"/>
      <c r="BDZ185" s="1056"/>
      <c r="BEA185" s="1056"/>
      <c r="BEB185" s="1056"/>
      <c r="BEC185" s="1056"/>
      <c r="BED185" s="1056"/>
      <c r="BEE185" s="1056"/>
      <c r="BEF185" s="1056"/>
      <c r="BEG185" s="1056"/>
      <c r="BEH185" s="1056"/>
      <c r="BEI185" s="1056"/>
      <c r="BEJ185" s="1056"/>
      <c r="BEK185" s="1056"/>
      <c r="BEL185" s="1056"/>
      <c r="BEM185" s="1056"/>
      <c r="BEN185" s="1056"/>
      <c r="BEO185" s="1056"/>
      <c r="BEP185" s="1056"/>
      <c r="BEQ185" s="1056"/>
      <c r="BER185" s="1056"/>
      <c r="BES185" s="1056"/>
      <c r="BET185" s="1056"/>
      <c r="BEU185" s="1056"/>
      <c r="BEV185" s="1056"/>
      <c r="BEW185" s="1056"/>
      <c r="BEX185" s="1056"/>
      <c r="BEY185" s="1056"/>
      <c r="BEZ185" s="1056"/>
      <c r="BFA185" s="1056"/>
      <c r="BFB185" s="1056"/>
      <c r="BFC185" s="1056"/>
      <c r="BFD185" s="1056"/>
      <c r="BFE185" s="1056"/>
      <c r="BFF185" s="1056"/>
      <c r="BFG185" s="1056"/>
      <c r="BFH185" s="1056"/>
      <c r="BFI185" s="1056"/>
      <c r="BFJ185" s="1056"/>
      <c r="BFK185" s="1056"/>
      <c r="BFL185" s="1056"/>
      <c r="BFM185" s="1056"/>
      <c r="BFN185" s="1056"/>
      <c r="BFO185" s="1056"/>
      <c r="BFP185" s="1056"/>
      <c r="BFQ185" s="1056"/>
      <c r="BFR185" s="1056"/>
      <c r="BFS185" s="1056"/>
      <c r="BFT185" s="1056"/>
      <c r="BFU185" s="1056"/>
      <c r="BFV185" s="1056"/>
      <c r="BFW185" s="1056"/>
      <c r="BFX185" s="1056"/>
      <c r="BFY185" s="1056"/>
      <c r="BFZ185" s="1056"/>
      <c r="BGA185" s="1056"/>
      <c r="BGB185" s="1056"/>
      <c r="BGC185" s="1056"/>
      <c r="BGD185" s="1056"/>
      <c r="BGE185" s="1056"/>
      <c r="BGF185" s="1056"/>
      <c r="BGG185" s="1056"/>
      <c r="BGH185" s="1056"/>
      <c r="BGI185" s="1056"/>
      <c r="BGJ185" s="1056"/>
      <c r="BGK185" s="1056"/>
      <c r="BGL185" s="1056"/>
      <c r="BGM185" s="1056"/>
      <c r="BGN185" s="1056"/>
      <c r="BGO185" s="1056"/>
      <c r="BGP185" s="1056"/>
      <c r="BGQ185" s="1056"/>
      <c r="BGR185" s="1056"/>
      <c r="BGS185" s="1056"/>
      <c r="BGT185" s="1056"/>
      <c r="BGU185" s="1056"/>
      <c r="BGV185" s="1056"/>
      <c r="BGW185" s="1056"/>
      <c r="BGX185" s="1056"/>
      <c r="BGY185" s="1056"/>
      <c r="BGZ185" s="1056"/>
      <c r="BHA185" s="1056"/>
      <c r="BHB185" s="1056"/>
      <c r="BHC185" s="1056"/>
      <c r="BHD185" s="1056"/>
      <c r="BHE185" s="1056"/>
      <c r="BHF185" s="1056"/>
      <c r="BHG185" s="1056"/>
      <c r="BHH185" s="1056"/>
      <c r="BHI185" s="1056"/>
      <c r="BHJ185" s="1056"/>
      <c r="BHK185" s="1056"/>
      <c r="BHL185" s="1056"/>
      <c r="BHM185" s="1056"/>
      <c r="BHN185" s="1056"/>
      <c r="BHO185" s="1056"/>
      <c r="BHP185" s="1056"/>
      <c r="BHQ185" s="1056"/>
      <c r="BHR185" s="1056"/>
      <c r="BHS185" s="1056"/>
      <c r="BHT185" s="1056"/>
      <c r="BHU185" s="1056"/>
      <c r="BHV185" s="1056"/>
      <c r="BHW185" s="1056"/>
      <c r="BHX185" s="1056"/>
      <c r="BHY185" s="1056"/>
      <c r="BHZ185" s="1056"/>
      <c r="BIA185" s="1056"/>
      <c r="BIB185" s="1056"/>
      <c r="BIC185" s="1056"/>
      <c r="BID185" s="1056"/>
      <c r="BIE185" s="1056"/>
      <c r="BIF185" s="1056"/>
      <c r="BIG185" s="1056"/>
      <c r="BIH185" s="1056"/>
      <c r="BII185" s="1056"/>
      <c r="BIJ185" s="1056"/>
      <c r="BIK185" s="1056"/>
      <c r="BIL185" s="1056"/>
      <c r="BIM185" s="1056"/>
      <c r="BIN185" s="1056"/>
      <c r="BIO185" s="1056"/>
      <c r="BIP185" s="1056"/>
      <c r="BIQ185" s="1056"/>
      <c r="BIR185" s="1056"/>
      <c r="BIS185" s="1056"/>
      <c r="BIT185" s="1056"/>
      <c r="BIU185" s="1056"/>
      <c r="BIV185" s="1056"/>
      <c r="BIW185" s="1056"/>
      <c r="BIX185" s="1056"/>
      <c r="BIY185" s="1056"/>
      <c r="BIZ185" s="1056"/>
      <c r="BJA185" s="1056"/>
      <c r="BJB185" s="1056"/>
      <c r="BJC185" s="1056"/>
      <c r="BJD185" s="1056"/>
      <c r="BJE185" s="1056"/>
      <c r="BJF185" s="1056"/>
      <c r="BJG185" s="1056"/>
      <c r="BJH185" s="1056"/>
      <c r="BJI185" s="1056"/>
      <c r="BJJ185" s="1056"/>
      <c r="BJK185" s="1056"/>
      <c r="BJL185" s="1056"/>
      <c r="BJM185" s="1056"/>
      <c r="BJN185" s="1056"/>
      <c r="BJO185" s="1056"/>
      <c r="BJP185" s="1056"/>
      <c r="BJQ185" s="1056"/>
      <c r="BJR185" s="1056"/>
      <c r="BJS185" s="1056"/>
      <c r="BJT185" s="1056"/>
      <c r="BJU185" s="1056"/>
      <c r="BJV185" s="1056"/>
      <c r="BJW185" s="1056"/>
      <c r="BJX185" s="1056"/>
      <c r="BJY185" s="1056"/>
      <c r="BJZ185" s="1056"/>
      <c r="BKA185" s="1056"/>
      <c r="BKB185" s="1056"/>
      <c r="BKC185" s="1056"/>
      <c r="BKD185" s="1056"/>
      <c r="BKE185" s="1056"/>
      <c r="BKF185" s="1056"/>
      <c r="BKG185" s="1056"/>
      <c r="BKH185" s="1056"/>
      <c r="BKI185" s="1056"/>
      <c r="BKJ185" s="1056"/>
      <c r="BKK185" s="1056"/>
      <c r="BKL185" s="1056"/>
      <c r="BKM185" s="1056"/>
      <c r="BKN185" s="1056"/>
      <c r="BKO185" s="1056"/>
      <c r="BKP185" s="1056"/>
      <c r="BKQ185" s="1056"/>
      <c r="BKR185" s="1056"/>
      <c r="BKS185" s="1056"/>
      <c r="BKT185" s="1056"/>
      <c r="BKU185" s="1056"/>
      <c r="BKV185" s="1056"/>
      <c r="BKW185" s="1056"/>
      <c r="BKX185" s="1056"/>
      <c r="BKY185" s="1056"/>
      <c r="BKZ185" s="1056"/>
      <c r="BLA185" s="1056"/>
      <c r="BLB185" s="1056"/>
      <c r="BLC185" s="1056"/>
      <c r="BLD185" s="1056"/>
      <c r="BLE185" s="1056"/>
      <c r="BLF185" s="1056"/>
      <c r="BLG185" s="1056"/>
      <c r="BLH185" s="1056"/>
      <c r="BLI185" s="1056"/>
      <c r="BLJ185" s="1056"/>
      <c r="BLK185" s="1056"/>
      <c r="BLL185" s="1056"/>
      <c r="BLM185" s="1056"/>
      <c r="BLN185" s="1056"/>
      <c r="BLO185" s="1056"/>
      <c r="BLP185" s="1056"/>
      <c r="BLQ185" s="1056"/>
      <c r="BLR185" s="1056"/>
      <c r="BLS185" s="1056"/>
      <c r="BLT185" s="1056"/>
      <c r="BLU185" s="1056"/>
      <c r="BLV185" s="1056"/>
      <c r="BLW185" s="1056"/>
      <c r="BLX185" s="1056"/>
      <c r="BLY185" s="1056"/>
      <c r="BLZ185" s="1056"/>
      <c r="BMA185" s="1056"/>
      <c r="BMB185" s="1056"/>
      <c r="BMC185" s="1056"/>
      <c r="BMD185" s="1056"/>
      <c r="BME185" s="1056"/>
      <c r="BMF185" s="1056"/>
      <c r="BMG185" s="1056"/>
      <c r="BMH185" s="1056"/>
      <c r="BMI185" s="1056"/>
      <c r="BMJ185" s="1056"/>
      <c r="BMK185" s="1056"/>
      <c r="BML185" s="1056"/>
      <c r="BMM185" s="1056"/>
      <c r="BMN185" s="1056"/>
      <c r="BMO185" s="1056"/>
      <c r="BMP185" s="1056"/>
      <c r="BMQ185" s="1056"/>
      <c r="BMR185" s="1056"/>
      <c r="BMS185" s="1056"/>
      <c r="BMT185" s="1056"/>
      <c r="BMU185" s="1056"/>
      <c r="BMV185" s="1056"/>
      <c r="BMW185" s="1056"/>
      <c r="BMX185" s="1056"/>
      <c r="BMY185" s="1056"/>
      <c r="BMZ185" s="1056"/>
      <c r="BNA185" s="1056"/>
      <c r="BNB185" s="1056"/>
      <c r="BNC185" s="1056"/>
      <c r="BND185" s="1056"/>
      <c r="BNE185" s="1056"/>
      <c r="BNF185" s="1056"/>
      <c r="BNG185" s="1056"/>
      <c r="BNH185" s="1056"/>
      <c r="BNI185" s="1056"/>
      <c r="BNJ185" s="1056"/>
      <c r="BNK185" s="1056"/>
      <c r="BNL185" s="1056"/>
      <c r="BNM185" s="1056"/>
      <c r="BNN185" s="1056"/>
      <c r="BNO185" s="1056"/>
      <c r="BNP185" s="1056"/>
      <c r="BNQ185" s="1056"/>
      <c r="BNR185" s="1056"/>
      <c r="BNS185" s="1056"/>
      <c r="BNT185" s="1056"/>
      <c r="BNU185" s="1056"/>
      <c r="BNV185" s="1056"/>
      <c r="BNW185" s="1056"/>
      <c r="BNX185" s="1056"/>
      <c r="BNY185" s="1056"/>
      <c r="BNZ185" s="1056"/>
      <c r="BOA185" s="1056"/>
      <c r="BOB185" s="1056"/>
      <c r="BOC185" s="1056"/>
      <c r="BOD185" s="1056"/>
      <c r="BOE185" s="1056"/>
      <c r="BOF185" s="1056"/>
      <c r="BOG185" s="1056"/>
      <c r="BOH185" s="1056"/>
      <c r="BOI185" s="1056"/>
      <c r="BOJ185" s="1056"/>
      <c r="BOK185" s="1056"/>
      <c r="BOL185" s="1056"/>
      <c r="BOM185" s="1056"/>
      <c r="BON185" s="1056"/>
      <c r="BOO185" s="1056"/>
      <c r="BOP185" s="1056"/>
      <c r="BOQ185" s="1056"/>
      <c r="BOR185" s="1056"/>
      <c r="BOS185" s="1056"/>
      <c r="BOT185" s="1056"/>
      <c r="BOU185" s="1056"/>
      <c r="BOV185" s="1056"/>
      <c r="BOW185" s="1056"/>
      <c r="BOX185" s="1056"/>
      <c r="BOY185" s="1056"/>
      <c r="BOZ185" s="1056"/>
      <c r="BPA185" s="1056"/>
      <c r="BPB185" s="1056"/>
      <c r="BPC185" s="1056"/>
      <c r="BPD185" s="1056"/>
      <c r="BPE185" s="1056"/>
      <c r="BPF185" s="1056"/>
      <c r="BPG185" s="1056"/>
      <c r="BPH185" s="1056"/>
      <c r="BPI185" s="1056"/>
      <c r="BPJ185" s="1056"/>
      <c r="BPK185" s="1056"/>
      <c r="BPL185" s="1056"/>
      <c r="BPM185" s="1056"/>
      <c r="BPN185" s="1056"/>
      <c r="BPO185" s="1056"/>
      <c r="BPP185" s="1056"/>
      <c r="BPQ185" s="1056"/>
      <c r="BPR185" s="1056"/>
      <c r="BPS185" s="1056"/>
      <c r="BPT185" s="1056"/>
      <c r="BPU185" s="1056"/>
      <c r="BPV185" s="1056"/>
      <c r="BPW185" s="1056"/>
      <c r="BPX185" s="1056"/>
      <c r="BPY185" s="1056"/>
      <c r="BPZ185" s="1056"/>
      <c r="BQA185" s="1056"/>
      <c r="BQB185" s="1056"/>
      <c r="BQC185" s="1056"/>
      <c r="BQD185" s="1056"/>
      <c r="BQE185" s="1056"/>
      <c r="BQF185" s="1056"/>
      <c r="BQG185" s="1056"/>
      <c r="BQH185" s="1056"/>
      <c r="BQI185" s="1056"/>
      <c r="BQJ185" s="1056"/>
      <c r="BQK185" s="1056"/>
      <c r="BQL185" s="1056"/>
      <c r="BQM185" s="1056"/>
      <c r="BQN185" s="1056"/>
      <c r="BQO185" s="1056"/>
      <c r="BQP185" s="1056"/>
      <c r="BQQ185" s="1056"/>
      <c r="BQR185" s="1056"/>
      <c r="BQS185" s="1056"/>
      <c r="BQT185" s="1056"/>
      <c r="BQU185" s="1056"/>
      <c r="BQV185" s="1056"/>
      <c r="BQW185" s="1056"/>
      <c r="BQX185" s="1056"/>
      <c r="BQY185" s="1056"/>
      <c r="BQZ185" s="1056"/>
      <c r="BRA185" s="1056"/>
      <c r="BRB185" s="1056"/>
      <c r="BRC185" s="1056"/>
      <c r="BRD185" s="1056"/>
      <c r="BRE185" s="1056"/>
      <c r="BRF185" s="1056"/>
      <c r="BRG185" s="1056"/>
      <c r="BRH185" s="1056"/>
      <c r="BRI185" s="1056"/>
      <c r="BRJ185" s="1056"/>
      <c r="BRK185" s="1056"/>
      <c r="BRL185" s="1056"/>
      <c r="BRM185" s="1056"/>
      <c r="BRN185" s="1056"/>
      <c r="BRO185" s="1056"/>
      <c r="BRP185" s="1056"/>
      <c r="BRQ185" s="1056"/>
      <c r="BRR185" s="1056"/>
      <c r="BRS185" s="1056"/>
      <c r="BRT185" s="1056"/>
      <c r="BRU185" s="1056"/>
      <c r="BRV185" s="1056"/>
      <c r="BRW185" s="1056"/>
      <c r="BRX185" s="1056"/>
      <c r="BRY185" s="1056"/>
      <c r="BRZ185" s="1056"/>
      <c r="BSA185" s="1056"/>
      <c r="BSB185" s="1056"/>
      <c r="BSC185" s="1056"/>
      <c r="BSD185" s="1056"/>
      <c r="BSE185" s="1056"/>
      <c r="BSF185" s="1056"/>
      <c r="BSG185" s="1056"/>
      <c r="BSH185" s="1056"/>
      <c r="BSI185" s="1056"/>
      <c r="BSJ185" s="1056"/>
      <c r="BSK185" s="1056"/>
      <c r="BSL185" s="1056"/>
      <c r="BSM185" s="1056"/>
      <c r="BSN185" s="1056"/>
      <c r="BSO185" s="1056"/>
      <c r="BSP185" s="1056"/>
      <c r="BSQ185" s="1056"/>
      <c r="BSR185" s="1056"/>
      <c r="BSS185" s="1056"/>
      <c r="BST185" s="1056"/>
      <c r="BSU185" s="1056"/>
      <c r="BSV185" s="1056"/>
      <c r="BSW185" s="1056"/>
      <c r="BSX185" s="1056"/>
      <c r="BSY185" s="1056"/>
      <c r="BSZ185" s="1056"/>
      <c r="BTA185" s="1056"/>
      <c r="BTB185" s="1056"/>
      <c r="BTC185" s="1056"/>
      <c r="BTD185" s="1056"/>
      <c r="BTE185" s="1056"/>
      <c r="BTF185" s="1056"/>
      <c r="BTG185" s="1056"/>
      <c r="BTH185" s="1056"/>
      <c r="BTI185" s="1056"/>
    </row>
    <row r="186" spans="1:1881" s="1060" customFormat="1" ht="26.25" hidden="1" customHeight="1" x14ac:dyDescent="0.3">
      <c r="A186" s="1059"/>
      <c r="B186" s="843" t="s">
        <v>6</v>
      </c>
      <c r="C186" s="843"/>
      <c r="D186" s="819"/>
      <c r="E186" s="819"/>
      <c r="F186" s="839"/>
      <c r="G186" s="840"/>
      <c r="H186" s="764"/>
      <c r="I186" s="1055"/>
      <c r="J186" s="1056"/>
      <c r="K186" s="1056"/>
      <c r="L186" s="1056"/>
      <c r="M186" s="1056"/>
      <c r="N186" s="1058"/>
      <c r="O186" s="1056"/>
      <c r="P186" s="1056"/>
      <c r="Q186" s="1056"/>
      <c r="R186" s="1056"/>
      <c r="S186" s="1056"/>
      <c r="T186" s="1056"/>
      <c r="U186" s="1056"/>
      <c r="V186" s="1056"/>
      <c r="W186" s="1056"/>
      <c r="X186" s="1056"/>
      <c r="Y186" s="1056"/>
      <c r="Z186" s="1059"/>
      <c r="AA186" s="1059"/>
      <c r="AB186" s="1059"/>
      <c r="AC186" s="1059"/>
      <c r="AD186" s="1059"/>
      <c r="AE186" s="1059"/>
      <c r="AF186" s="1059"/>
      <c r="AG186" s="1059"/>
      <c r="AH186" s="1059"/>
      <c r="AI186" s="1059"/>
      <c r="AJ186" s="1059"/>
      <c r="AK186" s="1059"/>
      <c r="AL186" s="1059"/>
      <c r="AM186" s="1059"/>
      <c r="AN186" s="1059"/>
      <c r="AO186" s="1059"/>
      <c r="AP186" s="1059"/>
      <c r="AQ186" s="1059"/>
      <c r="AR186" s="1059"/>
      <c r="AS186" s="1056"/>
      <c r="AT186" s="1056"/>
      <c r="AU186" s="1056"/>
      <c r="AV186" s="1056"/>
      <c r="AW186" s="1056"/>
      <c r="AX186" s="1056"/>
      <c r="AY186" s="1056"/>
      <c r="AZ186" s="1056"/>
      <c r="BA186" s="1056"/>
      <c r="BB186" s="1056"/>
      <c r="BC186" s="1056"/>
      <c r="BD186" s="1056"/>
      <c r="BE186" s="1056"/>
      <c r="BF186" s="1056"/>
      <c r="BG186" s="1056"/>
      <c r="BH186" s="1056"/>
      <c r="BI186" s="1056"/>
      <c r="BJ186" s="1056"/>
      <c r="BK186" s="1056"/>
      <c r="BL186" s="1056"/>
      <c r="BM186" s="1056"/>
      <c r="BN186" s="1056"/>
      <c r="BO186" s="1056"/>
      <c r="BP186" s="1056"/>
      <c r="BQ186" s="1056"/>
      <c r="BR186" s="1056"/>
      <c r="BS186" s="1056"/>
      <c r="BT186" s="1056"/>
      <c r="BU186" s="1056"/>
      <c r="BV186" s="1056"/>
      <c r="BW186" s="1056"/>
      <c r="BX186" s="1056"/>
      <c r="BY186" s="1056"/>
      <c r="BZ186" s="1056"/>
      <c r="CA186" s="1056"/>
      <c r="CB186" s="1056"/>
      <c r="CC186" s="1056"/>
      <c r="CD186" s="1056"/>
      <c r="CE186" s="1056"/>
      <c r="CF186" s="1056"/>
      <c r="CG186" s="1056"/>
      <c r="CH186" s="1056"/>
      <c r="CI186" s="1056"/>
      <c r="CJ186" s="1056"/>
      <c r="CK186" s="1056"/>
      <c r="CL186" s="1056"/>
      <c r="CM186" s="1056"/>
      <c r="CN186" s="1056"/>
      <c r="CO186" s="1056"/>
      <c r="CP186" s="1056"/>
      <c r="CQ186" s="1056"/>
      <c r="CR186" s="1056"/>
      <c r="CS186" s="1056"/>
      <c r="CT186" s="1056"/>
      <c r="CU186" s="1056"/>
      <c r="CV186" s="1056"/>
      <c r="CW186" s="1056"/>
      <c r="CX186" s="1056"/>
      <c r="CY186" s="1056"/>
      <c r="CZ186" s="1056"/>
      <c r="DA186" s="1056"/>
      <c r="DB186" s="1056"/>
      <c r="DC186" s="1056"/>
      <c r="DD186" s="1056"/>
      <c r="DE186" s="1056"/>
      <c r="DF186" s="1056"/>
      <c r="DG186" s="1056"/>
      <c r="DH186" s="1056"/>
      <c r="DI186" s="1056"/>
      <c r="DJ186" s="1056"/>
      <c r="DK186" s="1056"/>
      <c r="DL186" s="1056"/>
      <c r="DM186" s="1056"/>
      <c r="DN186" s="1056"/>
      <c r="DO186" s="1056"/>
      <c r="DP186" s="1056"/>
      <c r="DQ186" s="1056"/>
      <c r="DR186" s="1056"/>
      <c r="DS186" s="1056"/>
      <c r="DT186" s="1056"/>
      <c r="DU186" s="1056"/>
      <c r="DV186" s="1056"/>
      <c r="DW186" s="1056"/>
      <c r="DX186" s="1056"/>
      <c r="DY186" s="1056"/>
      <c r="DZ186" s="1056"/>
      <c r="EA186" s="1056"/>
      <c r="EB186" s="1056"/>
      <c r="EC186" s="1056"/>
      <c r="ED186" s="1056"/>
      <c r="EE186" s="1056"/>
      <c r="EF186" s="1056"/>
      <c r="EG186" s="1056"/>
      <c r="EH186" s="1056"/>
      <c r="EI186" s="1056"/>
      <c r="EJ186" s="1056"/>
      <c r="EK186" s="1056"/>
      <c r="EL186" s="1056"/>
      <c r="EM186" s="1056"/>
      <c r="EN186" s="1056"/>
      <c r="EO186" s="1056"/>
      <c r="EP186" s="1056"/>
      <c r="EQ186" s="1056"/>
      <c r="ER186" s="1056"/>
      <c r="ES186" s="1056"/>
      <c r="ET186" s="1056"/>
      <c r="EU186" s="1056"/>
      <c r="EV186" s="1056"/>
      <c r="EW186" s="1056"/>
      <c r="EX186" s="1056"/>
      <c r="EY186" s="1056"/>
      <c r="EZ186" s="1056"/>
      <c r="FA186" s="1056"/>
      <c r="FB186" s="1056"/>
      <c r="FC186" s="1056"/>
      <c r="FD186" s="1056"/>
      <c r="FE186" s="1056"/>
      <c r="FF186" s="1056"/>
      <c r="FG186" s="1056"/>
      <c r="FH186" s="1056"/>
      <c r="FI186" s="1056"/>
      <c r="FJ186" s="1056"/>
      <c r="FK186" s="1056"/>
      <c r="FL186" s="1056"/>
      <c r="FM186" s="1056"/>
      <c r="FN186" s="1056"/>
      <c r="FO186" s="1056"/>
      <c r="FP186" s="1056"/>
      <c r="FQ186" s="1056"/>
      <c r="FR186" s="1056"/>
      <c r="FS186" s="1056"/>
      <c r="FT186" s="1056"/>
      <c r="FU186" s="1056"/>
      <c r="FV186" s="1056"/>
      <c r="FW186" s="1056"/>
      <c r="FX186" s="1056"/>
      <c r="FY186" s="1056"/>
      <c r="FZ186" s="1056"/>
      <c r="GA186" s="1056"/>
      <c r="GB186" s="1056"/>
      <c r="GC186" s="1056"/>
      <c r="GD186" s="1056"/>
      <c r="GE186" s="1056"/>
      <c r="GF186" s="1056"/>
      <c r="GG186" s="1056"/>
      <c r="GH186" s="1056"/>
      <c r="GI186" s="1056"/>
      <c r="GJ186" s="1056"/>
      <c r="GK186" s="1056"/>
      <c r="GL186" s="1056"/>
      <c r="GM186" s="1056"/>
      <c r="GN186" s="1056"/>
      <c r="GO186" s="1056"/>
      <c r="GP186" s="1056"/>
      <c r="GQ186" s="1056"/>
      <c r="GR186" s="1056"/>
      <c r="GS186" s="1056"/>
      <c r="GT186" s="1056"/>
      <c r="GU186" s="1056"/>
      <c r="GV186" s="1056"/>
      <c r="GW186" s="1056"/>
      <c r="GX186" s="1056"/>
      <c r="GY186" s="1056"/>
      <c r="GZ186" s="1056"/>
      <c r="HA186" s="1056"/>
      <c r="HB186" s="1056"/>
      <c r="HC186" s="1056"/>
      <c r="HD186" s="1056"/>
      <c r="HE186" s="1056"/>
      <c r="HF186" s="1056"/>
      <c r="HG186" s="1056"/>
      <c r="HH186" s="1056"/>
      <c r="HI186" s="1056"/>
      <c r="HJ186" s="1056"/>
      <c r="HK186" s="1056"/>
      <c r="HL186" s="1056"/>
      <c r="HM186" s="1056"/>
      <c r="HN186" s="1056"/>
      <c r="HO186" s="1056"/>
      <c r="HP186" s="1056"/>
      <c r="HQ186" s="1056"/>
      <c r="HR186" s="1056"/>
      <c r="HS186" s="1056"/>
      <c r="HT186" s="1056"/>
      <c r="HU186" s="1056"/>
      <c r="HV186" s="1056"/>
      <c r="HW186" s="1056"/>
      <c r="HX186" s="1056"/>
      <c r="HY186" s="1056"/>
      <c r="HZ186" s="1056"/>
      <c r="IA186" s="1056"/>
      <c r="IB186" s="1056"/>
      <c r="IC186" s="1056"/>
      <c r="ID186" s="1056"/>
      <c r="IE186" s="1056"/>
      <c r="IF186" s="1056"/>
      <c r="IG186" s="1056"/>
      <c r="IH186" s="1056"/>
      <c r="II186" s="1056"/>
      <c r="IJ186" s="1056"/>
      <c r="IK186" s="1056"/>
      <c r="IL186" s="1056"/>
      <c r="IM186" s="1056"/>
      <c r="IN186" s="1056"/>
      <c r="IO186" s="1056"/>
      <c r="IP186" s="1056"/>
      <c r="IQ186" s="1056"/>
      <c r="IR186" s="1056"/>
      <c r="IS186" s="1056"/>
      <c r="IT186" s="1056"/>
      <c r="IU186" s="1056"/>
      <c r="IV186" s="1056"/>
      <c r="IW186" s="1056"/>
      <c r="IX186" s="1056"/>
      <c r="IY186" s="1056"/>
      <c r="IZ186" s="1056"/>
      <c r="JA186" s="1056"/>
      <c r="JB186" s="1056"/>
      <c r="JC186" s="1056"/>
      <c r="JD186" s="1056"/>
      <c r="JE186" s="1056"/>
      <c r="JF186" s="1056"/>
      <c r="JG186" s="1056"/>
      <c r="JH186" s="1056"/>
      <c r="JI186" s="1056"/>
      <c r="JJ186" s="1056"/>
      <c r="JK186" s="1056"/>
      <c r="JL186" s="1056"/>
      <c r="JM186" s="1056"/>
      <c r="JN186" s="1056"/>
      <c r="JO186" s="1056"/>
      <c r="JP186" s="1056"/>
      <c r="JQ186" s="1056"/>
      <c r="JR186" s="1056"/>
      <c r="JS186" s="1056"/>
      <c r="JT186" s="1056"/>
      <c r="JU186" s="1056"/>
      <c r="JV186" s="1056"/>
      <c r="JW186" s="1056"/>
      <c r="JX186" s="1056"/>
      <c r="JY186" s="1056"/>
      <c r="JZ186" s="1056"/>
      <c r="KA186" s="1056"/>
      <c r="KB186" s="1056"/>
      <c r="KC186" s="1056"/>
      <c r="KD186" s="1056"/>
      <c r="KE186" s="1056"/>
      <c r="KF186" s="1056"/>
      <c r="KG186" s="1056"/>
      <c r="KH186" s="1056"/>
      <c r="KI186" s="1056"/>
      <c r="KJ186" s="1056"/>
      <c r="KK186" s="1056"/>
      <c r="KL186" s="1056"/>
      <c r="KM186" s="1056"/>
      <c r="KN186" s="1056"/>
      <c r="KO186" s="1056"/>
      <c r="KP186" s="1056"/>
      <c r="KQ186" s="1056"/>
      <c r="KR186" s="1056"/>
      <c r="KS186" s="1056"/>
      <c r="KT186" s="1056"/>
      <c r="KU186" s="1056"/>
      <c r="KV186" s="1056"/>
      <c r="KW186" s="1056"/>
      <c r="KX186" s="1056"/>
      <c r="KY186" s="1056"/>
      <c r="KZ186" s="1056"/>
      <c r="LA186" s="1056"/>
      <c r="LB186" s="1056"/>
      <c r="LC186" s="1056"/>
      <c r="LD186" s="1056"/>
      <c r="LE186" s="1056"/>
      <c r="LF186" s="1056"/>
      <c r="LG186" s="1056"/>
      <c r="LH186" s="1056"/>
      <c r="LI186" s="1056"/>
      <c r="LJ186" s="1056"/>
      <c r="LK186" s="1056"/>
      <c r="LL186" s="1056"/>
      <c r="LM186" s="1056"/>
      <c r="LN186" s="1056"/>
      <c r="LO186" s="1056"/>
      <c r="LP186" s="1056"/>
      <c r="LQ186" s="1056"/>
      <c r="LR186" s="1056"/>
      <c r="LS186" s="1056"/>
      <c r="LT186" s="1056"/>
      <c r="LU186" s="1056"/>
      <c r="LV186" s="1056"/>
      <c r="LW186" s="1056"/>
      <c r="LX186" s="1056"/>
      <c r="LY186" s="1056"/>
      <c r="LZ186" s="1056"/>
      <c r="MA186" s="1056"/>
      <c r="MB186" s="1056"/>
      <c r="MC186" s="1056"/>
      <c r="MD186" s="1056"/>
      <c r="ME186" s="1056"/>
      <c r="MF186" s="1056"/>
      <c r="MG186" s="1056"/>
      <c r="MH186" s="1056"/>
      <c r="MI186" s="1056"/>
      <c r="MJ186" s="1056"/>
      <c r="MK186" s="1056"/>
      <c r="ML186" s="1056"/>
      <c r="MM186" s="1056"/>
      <c r="MN186" s="1056"/>
      <c r="MO186" s="1056"/>
      <c r="MP186" s="1056"/>
      <c r="MQ186" s="1056"/>
      <c r="MR186" s="1056"/>
      <c r="MS186" s="1056"/>
      <c r="MT186" s="1056"/>
      <c r="MU186" s="1056"/>
      <c r="MV186" s="1056"/>
      <c r="MW186" s="1056"/>
      <c r="MX186" s="1056"/>
      <c r="MY186" s="1056"/>
      <c r="MZ186" s="1056"/>
      <c r="NA186" s="1056"/>
      <c r="NB186" s="1056"/>
      <c r="NC186" s="1056"/>
      <c r="ND186" s="1056"/>
      <c r="NE186" s="1056"/>
      <c r="NF186" s="1056"/>
      <c r="NG186" s="1056"/>
      <c r="NH186" s="1056"/>
      <c r="NI186" s="1056"/>
      <c r="NJ186" s="1056"/>
      <c r="NK186" s="1056"/>
      <c r="NL186" s="1056"/>
      <c r="NM186" s="1056"/>
      <c r="NN186" s="1056"/>
      <c r="NO186" s="1056"/>
      <c r="NP186" s="1056"/>
      <c r="NQ186" s="1056"/>
      <c r="NR186" s="1056"/>
      <c r="NS186" s="1056"/>
      <c r="NT186" s="1056"/>
      <c r="NU186" s="1056"/>
      <c r="NV186" s="1056"/>
      <c r="NW186" s="1056"/>
      <c r="NX186" s="1056"/>
      <c r="NY186" s="1056"/>
      <c r="NZ186" s="1056"/>
      <c r="OA186" s="1056"/>
      <c r="OB186" s="1056"/>
      <c r="OC186" s="1056"/>
      <c r="OD186" s="1056"/>
      <c r="OE186" s="1056"/>
      <c r="OF186" s="1056"/>
      <c r="OG186" s="1056"/>
      <c r="OH186" s="1056"/>
      <c r="OI186" s="1056"/>
      <c r="OJ186" s="1056"/>
      <c r="OK186" s="1056"/>
      <c r="OL186" s="1056"/>
      <c r="OM186" s="1056"/>
      <c r="ON186" s="1056"/>
      <c r="OO186" s="1056"/>
      <c r="OP186" s="1056"/>
      <c r="OQ186" s="1056"/>
      <c r="OR186" s="1056"/>
      <c r="OS186" s="1056"/>
      <c r="OT186" s="1056"/>
      <c r="OU186" s="1056"/>
      <c r="OV186" s="1056"/>
      <c r="OW186" s="1056"/>
      <c r="OX186" s="1056"/>
      <c r="OY186" s="1056"/>
      <c r="OZ186" s="1056"/>
      <c r="PA186" s="1056"/>
      <c r="PB186" s="1056"/>
      <c r="PC186" s="1056"/>
      <c r="PD186" s="1056"/>
      <c r="PE186" s="1056"/>
      <c r="PF186" s="1056"/>
      <c r="PG186" s="1056"/>
      <c r="PH186" s="1056"/>
      <c r="PI186" s="1056"/>
      <c r="PJ186" s="1056"/>
      <c r="PK186" s="1056"/>
      <c r="PL186" s="1056"/>
      <c r="PM186" s="1056"/>
      <c r="PN186" s="1056"/>
      <c r="PO186" s="1056"/>
      <c r="PP186" s="1056"/>
      <c r="PQ186" s="1056"/>
      <c r="PR186" s="1056"/>
      <c r="PS186" s="1056"/>
      <c r="PT186" s="1056"/>
      <c r="PU186" s="1056"/>
      <c r="PV186" s="1056"/>
      <c r="PW186" s="1056"/>
      <c r="PX186" s="1056"/>
      <c r="PY186" s="1056"/>
      <c r="PZ186" s="1056"/>
      <c r="QA186" s="1056"/>
      <c r="QB186" s="1056"/>
      <c r="QC186" s="1056"/>
      <c r="QD186" s="1056"/>
      <c r="QE186" s="1056"/>
      <c r="QF186" s="1056"/>
      <c r="QG186" s="1056"/>
      <c r="QH186" s="1056"/>
      <c r="QI186" s="1056"/>
      <c r="QJ186" s="1056"/>
      <c r="QK186" s="1056"/>
      <c r="QL186" s="1056"/>
      <c r="QM186" s="1056"/>
      <c r="QN186" s="1056"/>
      <c r="QO186" s="1056"/>
      <c r="QP186" s="1056"/>
      <c r="QQ186" s="1056"/>
      <c r="QR186" s="1056"/>
      <c r="QS186" s="1056"/>
      <c r="QT186" s="1056"/>
      <c r="QU186" s="1056"/>
      <c r="QV186" s="1056"/>
      <c r="QW186" s="1056"/>
      <c r="QX186" s="1056"/>
      <c r="QY186" s="1056"/>
      <c r="QZ186" s="1056"/>
      <c r="RA186" s="1056"/>
      <c r="RB186" s="1056"/>
      <c r="RC186" s="1056"/>
      <c r="RD186" s="1056"/>
      <c r="RE186" s="1056"/>
      <c r="RF186" s="1056"/>
      <c r="RG186" s="1056"/>
      <c r="RH186" s="1056"/>
      <c r="RI186" s="1056"/>
      <c r="RJ186" s="1056"/>
      <c r="RK186" s="1056"/>
      <c r="RL186" s="1056"/>
      <c r="RM186" s="1056"/>
      <c r="RN186" s="1056"/>
      <c r="RO186" s="1056"/>
      <c r="RP186" s="1056"/>
      <c r="RQ186" s="1056"/>
      <c r="RR186" s="1056"/>
      <c r="RS186" s="1056"/>
      <c r="RT186" s="1056"/>
      <c r="RU186" s="1056"/>
      <c r="RV186" s="1056"/>
      <c r="RW186" s="1056"/>
      <c r="RX186" s="1056"/>
      <c r="RY186" s="1056"/>
      <c r="RZ186" s="1056"/>
      <c r="SA186" s="1056"/>
      <c r="SB186" s="1056"/>
      <c r="SC186" s="1056"/>
      <c r="SD186" s="1056"/>
      <c r="SE186" s="1056"/>
      <c r="SF186" s="1056"/>
      <c r="SG186" s="1056"/>
      <c r="SH186" s="1056"/>
      <c r="SI186" s="1056"/>
      <c r="SJ186" s="1056"/>
      <c r="SK186" s="1056"/>
      <c r="SL186" s="1056"/>
      <c r="SM186" s="1056"/>
      <c r="SN186" s="1056"/>
      <c r="SO186" s="1056"/>
      <c r="SP186" s="1056"/>
      <c r="SQ186" s="1056"/>
      <c r="SR186" s="1056"/>
      <c r="SS186" s="1056"/>
      <c r="ST186" s="1056"/>
      <c r="SU186" s="1056"/>
      <c r="SV186" s="1056"/>
      <c r="SW186" s="1056"/>
      <c r="SX186" s="1056"/>
      <c r="SY186" s="1056"/>
      <c r="SZ186" s="1056"/>
      <c r="TA186" s="1056"/>
      <c r="TB186" s="1056"/>
      <c r="TC186" s="1056"/>
      <c r="TD186" s="1056"/>
      <c r="TE186" s="1056"/>
      <c r="TF186" s="1056"/>
      <c r="TG186" s="1056"/>
      <c r="TH186" s="1056"/>
      <c r="TI186" s="1056"/>
      <c r="TJ186" s="1056"/>
      <c r="TK186" s="1056"/>
      <c r="TL186" s="1056"/>
      <c r="TM186" s="1056"/>
      <c r="TN186" s="1056"/>
      <c r="TO186" s="1056"/>
      <c r="TP186" s="1056"/>
      <c r="TQ186" s="1056"/>
      <c r="TR186" s="1056"/>
      <c r="TS186" s="1056"/>
      <c r="TT186" s="1056"/>
      <c r="TU186" s="1056"/>
      <c r="TV186" s="1056"/>
      <c r="TW186" s="1056"/>
      <c r="TX186" s="1056"/>
      <c r="TY186" s="1056"/>
      <c r="TZ186" s="1056"/>
      <c r="UA186" s="1056"/>
      <c r="UB186" s="1056"/>
      <c r="UC186" s="1056"/>
      <c r="UD186" s="1056"/>
      <c r="UE186" s="1056"/>
      <c r="UF186" s="1056"/>
      <c r="UG186" s="1056"/>
      <c r="UH186" s="1056"/>
      <c r="UI186" s="1056"/>
      <c r="UJ186" s="1056"/>
      <c r="UK186" s="1056"/>
      <c r="UL186" s="1056"/>
      <c r="UM186" s="1056"/>
      <c r="UN186" s="1056"/>
      <c r="UO186" s="1056"/>
      <c r="UP186" s="1056"/>
      <c r="UQ186" s="1056"/>
      <c r="UR186" s="1056"/>
      <c r="US186" s="1056"/>
      <c r="UT186" s="1056"/>
      <c r="UU186" s="1056"/>
      <c r="UV186" s="1056"/>
      <c r="UW186" s="1056"/>
      <c r="UX186" s="1056"/>
      <c r="UY186" s="1056"/>
      <c r="UZ186" s="1056"/>
      <c r="VA186" s="1056"/>
      <c r="VB186" s="1056"/>
      <c r="VC186" s="1056"/>
      <c r="VD186" s="1056"/>
      <c r="VE186" s="1056"/>
      <c r="VF186" s="1056"/>
      <c r="VG186" s="1056"/>
      <c r="VH186" s="1056"/>
      <c r="VI186" s="1056"/>
      <c r="VJ186" s="1056"/>
      <c r="VK186" s="1056"/>
      <c r="VL186" s="1056"/>
      <c r="VM186" s="1056"/>
      <c r="VN186" s="1056"/>
      <c r="VO186" s="1056"/>
      <c r="VP186" s="1056"/>
      <c r="VQ186" s="1056"/>
      <c r="VR186" s="1056"/>
      <c r="VS186" s="1056"/>
      <c r="VT186" s="1056"/>
      <c r="VU186" s="1056"/>
      <c r="VV186" s="1056"/>
      <c r="VW186" s="1056"/>
      <c r="VX186" s="1056"/>
      <c r="VY186" s="1056"/>
      <c r="VZ186" s="1056"/>
      <c r="WA186" s="1056"/>
      <c r="WB186" s="1056"/>
      <c r="WC186" s="1056"/>
      <c r="WD186" s="1056"/>
      <c r="WE186" s="1056"/>
      <c r="WF186" s="1056"/>
      <c r="WG186" s="1056"/>
      <c r="WH186" s="1056"/>
      <c r="WI186" s="1056"/>
      <c r="WJ186" s="1056"/>
      <c r="WK186" s="1056"/>
      <c r="WL186" s="1056"/>
      <c r="WM186" s="1056"/>
      <c r="WN186" s="1056"/>
      <c r="WO186" s="1056"/>
      <c r="WP186" s="1056"/>
      <c r="WQ186" s="1056"/>
      <c r="WR186" s="1056"/>
      <c r="WS186" s="1056"/>
      <c r="WT186" s="1056"/>
      <c r="WU186" s="1056"/>
      <c r="WV186" s="1056"/>
      <c r="WW186" s="1056"/>
      <c r="WX186" s="1056"/>
      <c r="WY186" s="1056"/>
      <c r="WZ186" s="1056"/>
      <c r="XA186" s="1056"/>
      <c r="XB186" s="1056"/>
      <c r="XC186" s="1056"/>
      <c r="XD186" s="1056"/>
      <c r="XE186" s="1056"/>
      <c r="XF186" s="1056"/>
      <c r="XG186" s="1056"/>
      <c r="XH186" s="1056"/>
      <c r="XI186" s="1056"/>
      <c r="XJ186" s="1056"/>
      <c r="XK186" s="1056"/>
      <c r="XL186" s="1056"/>
      <c r="XM186" s="1056"/>
      <c r="XN186" s="1056"/>
      <c r="XO186" s="1056"/>
      <c r="XP186" s="1056"/>
      <c r="XQ186" s="1056"/>
      <c r="XR186" s="1056"/>
      <c r="XS186" s="1056"/>
      <c r="XT186" s="1056"/>
      <c r="XU186" s="1056"/>
      <c r="XV186" s="1056"/>
      <c r="XW186" s="1056"/>
      <c r="XX186" s="1056"/>
      <c r="XY186" s="1056"/>
      <c r="XZ186" s="1056"/>
      <c r="YA186" s="1056"/>
      <c r="YB186" s="1056"/>
      <c r="YC186" s="1056"/>
      <c r="YD186" s="1056"/>
      <c r="YE186" s="1056"/>
      <c r="YF186" s="1056"/>
      <c r="YG186" s="1056"/>
      <c r="YH186" s="1056"/>
      <c r="YI186" s="1056"/>
      <c r="YJ186" s="1056"/>
      <c r="YK186" s="1056"/>
      <c r="YL186" s="1056"/>
      <c r="YM186" s="1056"/>
      <c r="YN186" s="1056"/>
      <c r="YO186" s="1056"/>
      <c r="YP186" s="1056"/>
      <c r="YQ186" s="1056"/>
      <c r="YR186" s="1056"/>
      <c r="YS186" s="1056"/>
      <c r="YT186" s="1056"/>
      <c r="YU186" s="1056"/>
      <c r="YV186" s="1056"/>
      <c r="YW186" s="1056"/>
      <c r="YX186" s="1056"/>
      <c r="YY186" s="1056"/>
      <c r="YZ186" s="1056"/>
      <c r="ZA186" s="1056"/>
      <c r="ZB186" s="1056"/>
      <c r="ZC186" s="1056"/>
      <c r="ZD186" s="1056"/>
      <c r="ZE186" s="1056"/>
      <c r="ZF186" s="1056"/>
      <c r="ZG186" s="1056"/>
      <c r="ZH186" s="1056"/>
      <c r="ZI186" s="1056"/>
      <c r="ZJ186" s="1056"/>
      <c r="ZK186" s="1056"/>
      <c r="ZL186" s="1056"/>
      <c r="ZM186" s="1056"/>
      <c r="ZN186" s="1056"/>
      <c r="ZO186" s="1056"/>
      <c r="ZP186" s="1056"/>
      <c r="ZQ186" s="1056"/>
      <c r="ZR186" s="1056"/>
      <c r="ZS186" s="1056"/>
      <c r="ZT186" s="1056"/>
      <c r="ZU186" s="1056"/>
      <c r="ZV186" s="1056"/>
      <c r="ZW186" s="1056"/>
      <c r="ZX186" s="1056"/>
      <c r="ZY186" s="1056"/>
      <c r="ZZ186" s="1056"/>
      <c r="AAA186" s="1056"/>
      <c r="AAB186" s="1056"/>
      <c r="AAC186" s="1056"/>
      <c r="AAD186" s="1056"/>
      <c r="AAE186" s="1056"/>
      <c r="AAF186" s="1056"/>
      <c r="AAG186" s="1056"/>
      <c r="AAH186" s="1056"/>
      <c r="AAI186" s="1056"/>
      <c r="AAJ186" s="1056"/>
      <c r="AAK186" s="1056"/>
      <c r="AAL186" s="1056"/>
      <c r="AAM186" s="1056"/>
      <c r="AAN186" s="1056"/>
      <c r="AAO186" s="1056"/>
      <c r="AAP186" s="1056"/>
      <c r="AAQ186" s="1056"/>
      <c r="AAR186" s="1056"/>
      <c r="AAS186" s="1056"/>
      <c r="AAT186" s="1056"/>
      <c r="AAU186" s="1056"/>
      <c r="AAV186" s="1056"/>
      <c r="AAW186" s="1056"/>
      <c r="AAX186" s="1056"/>
      <c r="AAY186" s="1056"/>
      <c r="AAZ186" s="1056"/>
      <c r="ABA186" s="1056"/>
      <c r="ABB186" s="1056"/>
      <c r="ABC186" s="1056"/>
      <c r="ABD186" s="1056"/>
      <c r="ABE186" s="1056"/>
      <c r="ABF186" s="1056"/>
      <c r="ABG186" s="1056"/>
      <c r="ABH186" s="1056"/>
      <c r="ABI186" s="1056"/>
      <c r="ABJ186" s="1056"/>
      <c r="ABK186" s="1056"/>
      <c r="ABL186" s="1056"/>
      <c r="ABM186" s="1056"/>
      <c r="ABN186" s="1056"/>
      <c r="ABO186" s="1056"/>
      <c r="ABP186" s="1056"/>
      <c r="ABQ186" s="1056"/>
      <c r="ABR186" s="1056"/>
      <c r="ABS186" s="1056"/>
      <c r="ABT186" s="1056"/>
      <c r="ABU186" s="1056"/>
      <c r="ABV186" s="1056"/>
      <c r="ABW186" s="1056"/>
      <c r="ABX186" s="1056"/>
      <c r="ABY186" s="1056"/>
      <c r="ABZ186" s="1056"/>
      <c r="ACA186" s="1056"/>
      <c r="ACB186" s="1056"/>
      <c r="ACC186" s="1056"/>
      <c r="ACD186" s="1056"/>
      <c r="ACE186" s="1056"/>
      <c r="ACF186" s="1056"/>
      <c r="ACG186" s="1056"/>
      <c r="ACH186" s="1056"/>
      <c r="ACI186" s="1056"/>
      <c r="ACJ186" s="1056"/>
      <c r="ACK186" s="1056"/>
      <c r="ACL186" s="1056"/>
      <c r="ACM186" s="1056"/>
      <c r="ACN186" s="1056"/>
      <c r="ACO186" s="1056"/>
      <c r="ACP186" s="1056"/>
      <c r="ACQ186" s="1056"/>
      <c r="ACR186" s="1056"/>
      <c r="ACS186" s="1056"/>
      <c r="ACT186" s="1056"/>
      <c r="ACU186" s="1056"/>
      <c r="ACV186" s="1056"/>
      <c r="ACW186" s="1056"/>
      <c r="ACX186" s="1056"/>
      <c r="ACY186" s="1056"/>
      <c r="ACZ186" s="1056"/>
      <c r="ADA186" s="1056"/>
      <c r="ADB186" s="1056"/>
      <c r="ADC186" s="1056"/>
      <c r="ADD186" s="1056"/>
      <c r="ADE186" s="1056"/>
      <c r="ADF186" s="1056"/>
      <c r="ADG186" s="1056"/>
      <c r="ADH186" s="1056"/>
      <c r="ADI186" s="1056"/>
      <c r="ADJ186" s="1056"/>
      <c r="ADK186" s="1056"/>
      <c r="ADL186" s="1056"/>
      <c r="ADM186" s="1056"/>
      <c r="ADN186" s="1056"/>
      <c r="ADO186" s="1056"/>
      <c r="ADP186" s="1056"/>
      <c r="ADQ186" s="1056"/>
      <c r="ADR186" s="1056"/>
      <c r="ADS186" s="1056"/>
      <c r="ADT186" s="1056"/>
      <c r="ADU186" s="1056"/>
      <c r="ADV186" s="1056"/>
      <c r="ADW186" s="1056"/>
      <c r="ADX186" s="1056"/>
      <c r="ADY186" s="1056"/>
      <c r="ADZ186" s="1056"/>
      <c r="AEA186" s="1056"/>
      <c r="AEB186" s="1056"/>
      <c r="AEC186" s="1056"/>
      <c r="AED186" s="1056"/>
      <c r="AEE186" s="1056"/>
      <c r="AEF186" s="1056"/>
      <c r="AEG186" s="1056"/>
      <c r="AEH186" s="1056"/>
      <c r="AEI186" s="1056"/>
      <c r="AEJ186" s="1056"/>
      <c r="AEK186" s="1056"/>
      <c r="AEL186" s="1056"/>
      <c r="AEM186" s="1056"/>
      <c r="AEN186" s="1056"/>
      <c r="AEO186" s="1056"/>
      <c r="AEP186" s="1056"/>
      <c r="AEQ186" s="1056"/>
      <c r="AER186" s="1056"/>
      <c r="AES186" s="1056"/>
      <c r="AET186" s="1056"/>
      <c r="AEU186" s="1056"/>
      <c r="AEV186" s="1056"/>
      <c r="AEW186" s="1056"/>
      <c r="AEX186" s="1056"/>
      <c r="AEY186" s="1056"/>
      <c r="AEZ186" s="1056"/>
      <c r="AFA186" s="1056"/>
      <c r="AFB186" s="1056"/>
      <c r="AFC186" s="1056"/>
      <c r="AFD186" s="1056"/>
      <c r="AFE186" s="1056"/>
      <c r="AFF186" s="1056"/>
      <c r="AFG186" s="1056"/>
      <c r="AFH186" s="1056"/>
      <c r="AFI186" s="1056"/>
      <c r="AFJ186" s="1056"/>
      <c r="AFK186" s="1056"/>
      <c r="AFL186" s="1056"/>
      <c r="AFM186" s="1056"/>
      <c r="AFN186" s="1056"/>
      <c r="AFO186" s="1056"/>
      <c r="AFP186" s="1056"/>
      <c r="AFQ186" s="1056"/>
      <c r="AFR186" s="1056"/>
      <c r="AFS186" s="1056"/>
      <c r="AFT186" s="1056"/>
      <c r="AFU186" s="1056"/>
      <c r="AFV186" s="1056"/>
      <c r="AFW186" s="1056"/>
      <c r="AFX186" s="1056"/>
      <c r="AFY186" s="1056"/>
      <c r="AFZ186" s="1056"/>
      <c r="AGA186" s="1056"/>
      <c r="AGB186" s="1056"/>
      <c r="AGC186" s="1056"/>
      <c r="AGD186" s="1056"/>
      <c r="AGE186" s="1056"/>
      <c r="AGF186" s="1056"/>
      <c r="AGG186" s="1056"/>
      <c r="AGH186" s="1056"/>
      <c r="AGI186" s="1056"/>
      <c r="AGJ186" s="1056"/>
      <c r="AGK186" s="1056"/>
      <c r="AGL186" s="1056"/>
      <c r="AGM186" s="1056"/>
      <c r="AGN186" s="1056"/>
      <c r="AGO186" s="1056"/>
      <c r="AGP186" s="1056"/>
      <c r="AGQ186" s="1056"/>
      <c r="AGR186" s="1056"/>
      <c r="AGS186" s="1056"/>
      <c r="AGT186" s="1056"/>
      <c r="AGU186" s="1056"/>
      <c r="AGV186" s="1056"/>
      <c r="AGW186" s="1056"/>
      <c r="AGX186" s="1056"/>
      <c r="AGY186" s="1056"/>
      <c r="AGZ186" s="1056"/>
      <c r="AHA186" s="1056"/>
      <c r="AHB186" s="1056"/>
      <c r="AHC186" s="1056"/>
      <c r="AHD186" s="1056"/>
      <c r="AHE186" s="1056"/>
      <c r="AHF186" s="1056"/>
      <c r="AHG186" s="1056"/>
      <c r="AHH186" s="1056"/>
      <c r="AHI186" s="1056"/>
      <c r="AHJ186" s="1056"/>
      <c r="AHK186" s="1056"/>
      <c r="AHL186" s="1056"/>
      <c r="AHM186" s="1056"/>
      <c r="AHN186" s="1056"/>
      <c r="AHO186" s="1056"/>
      <c r="AHP186" s="1056"/>
      <c r="AHQ186" s="1056"/>
      <c r="AHR186" s="1056"/>
      <c r="AHS186" s="1056"/>
      <c r="AHT186" s="1056"/>
      <c r="AHU186" s="1056"/>
      <c r="AHV186" s="1056"/>
      <c r="AHW186" s="1056"/>
      <c r="AHX186" s="1056"/>
      <c r="AHY186" s="1056"/>
      <c r="AHZ186" s="1056"/>
      <c r="AIA186" s="1056"/>
      <c r="AIB186" s="1056"/>
      <c r="AIC186" s="1056"/>
      <c r="AID186" s="1056"/>
      <c r="AIE186" s="1056"/>
      <c r="AIF186" s="1056"/>
      <c r="AIG186" s="1056"/>
      <c r="AIH186" s="1056"/>
      <c r="AII186" s="1056"/>
      <c r="AIJ186" s="1056"/>
      <c r="AIK186" s="1056"/>
      <c r="AIL186" s="1056"/>
      <c r="AIM186" s="1056"/>
      <c r="AIN186" s="1056"/>
      <c r="AIO186" s="1056"/>
      <c r="AIP186" s="1056"/>
      <c r="AIQ186" s="1056"/>
      <c r="AIR186" s="1056"/>
      <c r="AIS186" s="1056"/>
      <c r="AIT186" s="1056"/>
      <c r="AIU186" s="1056"/>
      <c r="AIV186" s="1056"/>
      <c r="AIW186" s="1056"/>
      <c r="AIX186" s="1056"/>
      <c r="AIY186" s="1056"/>
      <c r="AIZ186" s="1056"/>
      <c r="AJA186" s="1056"/>
      <c r="AJB186" s="1056"/>
      <c r="AJC186" s="1056"/>
      <c r="AJD186" s="1056"/>
      <c r="AJE186" s="1056"/>
      <c r="AJF186" s="1056"/>
      <c r="AJG186" s="1056"/>
      <c r="AJH186" s="1056"/>
      <c r="AJI186" s="1056"/>
      <c r="AJJ186" s="1056"/>
      <c r="AJK186" s="1056"/>
      <c r="AJL186" s="1056"/>
      <c r="AJM186" s="1056"/>
      <c r="AJN186" s="1056"/>
      <c r="AJO186" s="1056"/>
      <c r="AJP186" s="1056"/>
      <c r="AJQ186" s="1056"/>
      <c r="AJR186" s="1056"/>
      <c r="AJS186" s="1056"/>
      <c r="AJT186" s="1056"/>
      <c r="AJU186" s="1056"/>
      <c r="AJV186" s="1056"/>
      <c r="AJW186" s="1056"/>
      <c r="AJX186" s="1056"/>
      <c r="AJY186" s="1056"/>
      <c r="AJZ186" s="1056"/>
      <c r="AKA186" s="1056"/>
      <c r="AKB186" s="1056"/>
      <c r="AKC186" s="1056"/>
      <c r="AKD186" s="1056"/>
      <c r="AKE186" s="1056"/>
      <c r="AKF186" s="1056"/>
      <c r="AKG186" s="1056"/>
      <c r="AKH186" s="1056"/>
      <c r="AKI186" s="1056"/>
      <c r="AKJ186" s="1056"/>
      <c r="AKK186" s="1056"/>
      <c r="AKL186" s="1056"/>
      <c r="AKM186" s="1056"/>
      <c r="AKN186" s="1056"/>
      <c r="AKO186" s="1056"/>
      <c r="AKP186" s="1056"/>
      <c r="AKQ186" s="1056"/>
      <c r="AKR186" s="1056"/>
      <c r="AKS186" s="1056"/>
      <c r="AKT186" s="1056"/>
      <c r="AKU186" s="1056"/>
      <c r="AKV186" s="1056"/>
      <c r="AKW186" s="1056"/>
      <c r="AKX186" s="1056"/>
      <c r="AKY186" s="1056"/>
      <c r="AKZ186" s="1056"/>
      <c r="ALA186" s="1056"/>
      <c r="ALB186" s="1056"/>
      <c r="ALC186" s="1056"/>
      <c r="ALD186" s="1056"/>
      <c r="ALE186" s="1056"/>
      <c r="ALF186" s="1056"/>
      <c r="ALG186" s="1056"/>
      <c r="ALH186" s="1056"/>
      <c r="ALI186" s="1056"/>
      <c r="ALJ186" s="1056"/>
      <c r="ALK186" s="1056"/>
      <c r="ALL186" s="1056"/>
      <c r="ALM186" s="1056"/>
      <c r="ALN186" s="1056"/>
      <c r="ALO186" s="1056"/>
      <c r="ALP186" s="1056"/>
      <c r="ALQ186" s="1056"/>
      <c r="ALR186" s="1056"/>
      <c r="ALS186" s="1056"/>
      <c r="ALT186" s="1056"/>
      <c r="ALU186" s="1056"/>
      <c r="ALV186" s="1056"/>
      <c r="ALW186" s="1056"/>
      <c r="ALX186" s="1056"/>
      <c r="ALY186" s="1056"/>
      <c r="ALZ186" s="1056"/>
      <c r="AMA186" s="1056"/>
      <c r="AMB186" s="1056"/>
      <c r="AMC186" s="1056"/>
      <c r="AMD186" s="1056"/>
      <c r="AME186" s="1056"/>
      <c r="AMF186" s="1056"/>
      <c r="AMG186" s="1056"/>
      <c r="AMH186" s="1056"/>
      <c r="AMI186" s="1056"/>
      <c r="AMJ186" s="1056"/>
      <c r="AMK186" s="1056"/>
      <c r="AML186" s="1056"/>
      <c r="AMM186" s="1056"/>
      <c r="AMN186" s="1056"/>
      <c r="AMO186" s="1056"/>
      <c r="AMP186" s="1056"/>
      <c r="AMQ186" s="1056"/>
      <c r="AMR186" s="1056"/>
      <c r="AMS186" s="1056"/>
      <c r="AMT186" s="1056"/>
      <c r="AMU186" s="1056"/>
      <c r="AMV186" s="1056"/>
      <c r="AMW186" s="1056"/>
      <c r="AMX186" s="1056"/>
      <c r="AMY186" s="1056"/>
      <c r="AMZ186" s="1056"/>
      <c r="ANA186" s="1056"/>
      <c r="ANB186" s="1056"/>
      <c r="ANC186" s="1056"/>
      <c r="AND186" s="1056"/>
      <c r="ANE186" s="1056"/>
      <c r="ANF186" s="1056"/>
      <c r="ANG186" s="1056"/>
      <c r="ANH186" s="1056"/>
      <c r="ANI186" s="1056"/>
      <c r="ANJ186" s="1056"/>
      <c r="ANK186" s="1056"/>
      <c r="ANL186" s="1056"/>
      <c r="ANM186" s="1056"/>
      <c r="ANN186" s="1056"/>
      <c r="ANO186" s="1056"/>
      <c r="ANP186" s="1056"/>
      <c r="ANQ186" s="1056"/>
      <c r="ANR186" s="1056"/>
      <c r="ANS186" s="1056"/>
      <c r="ANT186" s="1056"/>
      <c r="ANU186" s="1056"/>
      <c r="ANV186" s="1056"/>
      <c r="ANW186" s="1056"/>
      <c r="ANX186" s="1056"/>
      <c r="ANY186" s="1056"/>
      <c r="ANZ186" s="1056"/>
      <c r="AOA186" s="1056"/>
      <c r="AOB186" s="1056"/>
      <c r="AOC186" s="1056"/>
      <c r="AOD186" s="1056"/>
      <c r="AOE186" s="1056"/>
      <c r="AOF186" s="1056"/>
      <c r="AOG186" s="1056"/>
      <c r="AOH186" s="1056"/>
      <c r="AOI186" s="1056"/>
      <c r="AOJ186" s="1056"/>
      <c r="AOK186" s="1056"/>
      <c r="AOL186" s="1056"/>
      <c r="AOM186" s="1056"/>
      <c r="AON186" s="1056"/>
      <c r="AOO186" s="1056"/>
      <c r="AOP186" s="1056"/>
      <c r="AOQ186" s="1056"/>
      <c r="AOR186" s="1056"/>
      <c r="AOS186" s="1056"/>
      <c r="AOT186" s="1056"/>
      <c r="AOU186" s="1056"/>
      <c r="AOV186" s="1056"/>
      <c r="AOW186" s="1056"/>
      <c r="AOX186" s="1056"/>
      <c r="AOY186" s="1056"/>
      <c r="AOZ186" s="1056"/>
      <c r="APA186" s="1056"/>
      <c r="APB186" s="1056"/>
      <c r="APC186" s="1056"/>
      <c r="APD186" s="1056"/>
      <c r="APE186" s="1056"/>
      <c r="APF186" s="1056"/>
      <c r="APG186" s="1056"/>
      <c r="APH186" s="1056"/>
      <c r="API186" s="1056"/>
      <c r="APJ186" s="1056"/>
      <c r="APK186" s="1056"/>
      <c r="APL186" s="1056"/>
      <c r="APM186" s="1056"/>
      <c r="APN186" s="1056"/>
      <c r="APO186" s="1056"/>
      <c r="APP186" s="1056"/>
      <c r="APQ186" s="1056"/>
      <c r="APR186" s="1056"/>
      <c r="APS186" s="1056"/>
      <c r="APT186" s="1056"/>
      <c r="APU186" s="1056"/>
      <c r="APV186" s="1056"/>
      <c r="APW186" s="1056"/>
      <c r="APX186" s="1056"/>
      <c r="APY186" s="1056"/>
      <c r="APZ186" s="1056"/>
      <c r="AQA186" s="1056"/>
      <c r="AQB186" s="1056"/>
      <c r="AQC186" s="1056"/>
      <c r="AQD186" s="1056"/>
      <c r="AQE186" s="1056"/>
      <c r="AQF186" s="1056"/>
      <c r="AQG186" s="1056"/>
      <c r="AQH186" s="1056"/>
      <c r="AQI186" s="1056"/>
      <c r="AQJ186" s="1056"/>
      <c r="AQK186" s="1056"/>
      <c r="AQL186" s="1056"/>
      <c r="AQM186" s="1056"/>
      <c r="AQN186" s="1056"/>
      <c r="AQO186" s="1056"/>
      <c r="AQP186" s="1056"/>
      <c r="AQQ186" s="1056"/>
      <c r="AQR186" s="1056"/>
      <c r="AQS186" s="1056"/>
      <c r="AQT186" s="1056"/>
      <c r="AQU186" s="1056"/>
      <c r="AQV186" s="1056"/>
      <c r="AQW186" s="1056"/>
      <c r="AQX186" s="1056"/>
      <c r="AQY186" s="1056"/>
      <c r="AQZ186" s="1056"/>
      <c r="ARA186" s="1056"/>
      <c r="ARB186" s="1056"/>
      <c r="ARC186" s="1056"/>
      <c r="ARD186" s="1056"/>
      <c r="ARE186" s="1056"/>
      <c r="ARF186" s="1056"/>
      <c r="ARG186" s="1056"/>
      <c r="ARH186" s="1056"/>
      <c r="ARI186" s="1056"/>
      <c r="ARJ186" s="1056"/>
      <c r="ARK186" s="1056"/>
      <c r="ARL186" s="1056"/>
      <c r="ARM186" s="1056"/>
      <c r="ARN186" s="1056"/>
      <c r="ARO186" s="1056"/>
      <c r="ARP186" s="1056"/>
      <c r="ARQ186" s="1056"/>
      <c r="ARR186" s="1056"/>
      <c r="ARS186" s="1056"/>
      <c r="ART186" s="1056"/>
      <c r="ARU186" s="1056"/>
      <c r="ARV186" s="1056"/>
      <c r="ARW186" s="1056"/>
      <c r="ARX186" s="1056"/>
      <c r="ARY186" s="1056"/>
      <c r="ARZ186" s="1056"/>
      <c r="ASA186" s="1056"/>
      <c r="ASB186" s="1056"/>
      <c r="ASC186" s="1056"/>
      <c r="ASD186" s="1056"/>
      <c r="ASE186" s="1056"/>
      <c r="ASF186" s="1056"/>
      <c r="ASG186" s="1056"/>
      <c r="ASH186" s="1056"/>
      <c r="ASI186" s="1056"/>
      <c r="ASJ186" s="1056"/>
      <c r="ASK186" s="1056"/>
      <c r="ASL186" s="1056"/>
      <c r="ASM186" s="1056"/>
      <c r="ASN186" s="1056"/>
      <c r="ASO186" s="1056"/>
      <c r="ASP186" s="1056"/>
      <c r="ASQ186" s="1056"/>
      <c r="ASR186" s="1056"/>
      <c r="ASS186" s="1056"/>
      <c r="AST186" s="1056"/>
      <c r="ASU186" s="1056"/>
      <c r="ASV186" s="1056"/>
      <c r="ASW186" s="1056"/>
      <c r="ASX186" s="1056"/>
      <c r="ASY186" s="1056"/>
      <c r="ASZ186" s="1056"/>
      <c r="ATA186" s="1056"/>
      <c r="ATB186" s="1056"/>
      <c r="ATC186" s="1056"/>
      <c r="ATD186" s="1056"/>
      <c r="ATE186" s="1056"/>
      <c r="ATF186" s="1056"/>
      <c r="ATG186" s="1056"/>
      <c r="ATH186" s="1056"/>
      <c r="ATI186" s="1056"/>
      <c r="ATJ186" s="1056"/>
      <c r="ATK186" s="1056"/>
      <c r="ATL186" s="1056"/>
      <c r="ATM186" s="1056"/>
      <c r="ATN186" s="1056"/>
      <c r="ATO186" s="1056"/>
      <c r="ATP186" s="1056"/>
      <c r="ATQ186" s="1056"/>
      <c r="ATR186" s="1056"/>
      <c r="ATS186" s="1056"/>
      <c r="ATT186" s="1056"/>
      <c r="ATU186" s="1056"/>
      <c r="ATV186" s="1056"/>
      <c r="ATW186" s="1056"/>
      <c r="ATX186" s="1056"/>
      <c r="ATY186" s="1056"/>
      <c r="ATZ186" s="1056"/>
      <c r="AUA186" s="1056"/>
      <c r="AUB186" s="1056"/>
      <c r="AUC186" s="1056"/>
      <c r="AUD186" s="1056"/>
      <c r="AUE186" s="1056"/>
      <c r="AUF186" s="1056"/>
      <c r="AUG186" s="1056"/>
      <c r="AUH186" s="1056"/>
      <c r="AUI186" s="1056"/>
      <c r="AUJ186" s="1056"/>
      <c r="AUK186" s="1056"/>
      <c r="AUL186" s="1056"/>
      <c r="AUM186" s="1056"/>
      <c r="AUN186" s="1056"/>
      <c r="AUO186" s="1056"/>
      <c r="AUP186" s="1056"/>
      <c r="AUQ186" s="1056"/>
      <c r="AUR186" s="1056"/>
      <c r="AUS186" s="1056"/>
      <c r="AUT186" s="1056"/>
      <c r="AUU186" s="1056"/>
      <c r="AUV186" s="1056"/>
      <c r="AUW186" s="1056"/>
      <c r="AUX186" s="1056"/>
      <c r="AUY186" s="1056"/>
      <c r="AUZ186" s="1056"/>
      <c r="AVA186" s="1056"/>
      <c r="AVB186" s="1056"/>
      <c r="AVC186" s="1056"/>
      <c r="AVD186" s="1056"/>
      <c r="AVE186" s="1056"/>
      <c r="AVF186" s="1056"/>
      <c r="AVG186" s="1056"/>
      <c r="AVH186" s="1056"/>
      <c r="AVI186" s="1056"/>
      <c r="AVJ186" s="1056"/>
      <c r="AVK186" s="1056"/>
      <c r="AVL186" s="1056"/>
      <c r="AVM186" s="1056"/>
      <c r="AVN186" s="1056"/>
      <c r="AVO186" s="1056"/>
      <c r="AVP186" s="1056"/>
      <c r="AVQ186" s="1056"/>
      <c r="AVR186" s="1056"/>
      <c r="AVS186" s="1056"/>
      <c r="AVT186" s="1056"/>
      <c r="AVU186" s="1056"/>
      <c r="AVV186" s="1056"/>
      <c r="AVW186" s="1056"/>
      <c r="AVX186" s="1056"/>
      <c r="AVY186" s="1056"/>
      <c r="AVZ186" s="1056"/>
      <c r="AWA186" s="1056"/>
      <c r="AWB186" s="1056"/>
      <c r="AWC186" s="1056"/>
      <c r="AWD186" s="1056"/>
      <c r="AWE186" s="1056"/>
      <c r="AWF186" s="1056"/>
      <c r="AWG186" s="1056"/>
      <c r="AWH186" s="1056"/>
      <c r="AWI186" s="1056"/>
      <c r="AWJ186" s="1056"/>
      <c r="AWK186" s="1056"/>
      <c r="AWL186" s="1056"/>
      <c r="AWM186" s="1056"/>
      <c r="AWN186" s="1056"/>
      <c r="AWO186" s="1056"/>
      <c r="AWP186" s="1056"/>
      <c r="AWQ186" s="1056"/>
      <c r="AWR186" s="1056"/>
      <c r="AWS186" s="1056"/>
      <c r="AWT186" s="1056"/>
      <c r="AWU186" s="1056"/>
      <c r="AWV186" s="1056"/>
      <c r="AWW186" s="1056"/>
      <c r="AWX186" s="1056"/>
      <c r="AWY186" s="1056"/>
      <c r="AWZ186" s="1056"/>
      <c r="AXA186" s="1056"/>
      <c r="AXB186" s="1056"/>
      <c r="AXC186" s="1056"/>
      <c r="AXD186" s="1056"/>
      <c r="AXE186" s="1056"/>
      <c r="AXF186" s="1056"/>
      <c r="AXG186" s="1056"/>
      <c r="AXH186" s="1056"/>
      <c r="AXI186" s="1056"/>
      <c r="AXJ186" s="1056"/>
      <c r="AXK186" s="1056"/>
      <c r="AXL186" s="1056"/>
      <c r="AXM186" s="1056"/>
      <c r="AXN186" s="1056"/>
      <c r="AXO186" s="1056"/>
      <c r="AXP186" s="1056"/>
      <c r="AXQ186" s="1056"/>
      <c r="AXR186" s="1056"/>
      <c r="AXS186" s="1056"/>
      <c r="AXT186" s="1056"/>
      <c r="AXU186" s="1056"/>
      <c r="AXV186" s="1056"/>
      <c r="AXW186" s="1056"/>
      <c r="AXX186" s="1056"/>
      <c r="AXY186" s="1056"/>
      <c r="AXZ186" s="1056"/>
      <c r="AYA186" s="1056"/>
      <c r="AYB186" s="1056"/>
      <c r="AYC186" s="1056"/>
      <c r="AYD186" s="1056"/>
      <c r="AYE186" s="1056"/>
      <c r="AYF186" s="1056"/>
      <c r="AYG186" s="1056"/>
      <c r="AYH186" s="1056"/>
      <c r="AYI186" s="1056"/>
      <c r="AYJ186" s="1056"/>
      <c r="AYK186" s="1056"/>
      <c r="AYL186" s="1056"/>
      <c r="AYM186" s="1056"/>
      <c r="AYN186" s="1056"/>
      <c r="AYO186" s="1056"/>
      <c r="AYP186" s="1056"/>
      <c r="AYQ186" s="1056"/>
      <c r="AYR186" s="1056"/>
      <c r="AYS186" s="1056"/>
      <c r="AYT186" s="1056"/>
      <c r="AYU186" s="1056"/>
      <c r="AYV186" s="1056"/>
      <c r="AYW186" s="1056"/>
      <c r="AYX186" s="1056"/>
      <c r="AYY186" s="1056"/>
      <c r="AYZ186" s="1056"/>
      <c r="AZA186" s="1056"/>
      <c r="AZB186" s="1056"/>
      <c r="AZC186" s="1056"/>
      <c r="AZD186" s="1056"/>
      <c r="AZE186" s="1056"/>
      <c r="AZF186" s="1056"/>
      <c r="AZG186" s="1056"/>
      <c r="AZH186" s="1056"/>
      <c r="AZI186" s="1056"/>
      <c r="AZJ186" s="1056"/>
      <c r="AZK186" s="1056"/>
      <c r="AZL186" s="1056"/>
      <c r="AZM186" s="1056"/>
      <c r="AZN186" s="1056"/>
      <c r="AZO186" s="1056"/>
      <c r="AZP186" s="1056"/>
      <c r="AZQ186" s="1056"/>
      <c r="AZR186" s="1056"/>
      <c r="AZS186" s="1056"/>
      <c r="AZT186" s="1056"/>
      <c r="AZU186" s="1056"/>
      <c r="AZV186" s="1056"/>
      <c r="AZW186" s="1056"/>
      <c r="AZX186" s="1056"/>
      <c r="AZY186" s="1056"/>
      <c r="AZZ186" s="1056"/>
      <c r="BAA186" s="1056"/>
      <c r="BAB186" s="1056"/>
      <c r="BAC186" s="1056"/>
      <c r="BAD186" s="1056"/>
      <c r="BAE186" s="1056"/>
      <c r="BAF186" s="1056"/>
      <c r="BAG186" s="1056"/>
      <c r="BAH186" s="1056"/>
      <c r="BAI186" s="1056"/>
      <c r="BAJ186" s="1056"/>
      <c r="BAK186" s="1056"/>
      <c r="BAL186" s="1056"/>
      <c r="BAM186" s="1056"/>
      <c r="BAN186" s="1056"/>
      <c r="BAO186" s="1056"/>
      <c r="BAP186" s="1056"/>
      <c r="BAQ186" s="1056"/>
      <c r="BAR186" s="1056"/>
      <c r="BAS186" s="1056"/>
      <c r="BAT186" s="1056"/>
      <c r="BAU186" s="1056"/>
      <c r="BAV186" s="1056"/>
      <c r="BAW186" s="1056"/>
      <c r="BAX186" s="1056"/>
      <c r="BAY186" s="1056"/>
      <c r="BAZ186" s="1056"/>
      <c r="BBA186" s="1056"/>
      <c r="BBB186" s="1056"/>
      <c r="BBC186" s="1056"/>
      <c r="BBD186" s="1056"/>
      <c r="BBE186" s="1056"/>
      <c r="BBF186" s="1056"/>
      <c r="BBG186" s="1056"/>
      <c r="BBH186" s="1056"/>
      <c r="BBI186" s="1056"/>
      <c r="BBJ186" s="1056"/>
      <c r="BBK186" s="1056"/>
      <c r="BBL186" s="1056"/>
      <c r="BBM186" s="1056"/>
      <c r="BBN186" s="1056"/>
      <c r="BBO186" s="1056"/>
      <c r="BBP186" s="1056"/>
      <c r="BBQ186" s="1056"/>
      <c r="BBR186" s="1056"/>
      <c r="BBS186" s="1056"/>
      <c r="BBT186" s="1056"/>
      <c r="BBU186" s="1056"/>
      <c r="BBV186" s="1056"/>
      <c r="BBW186" s="1056"/>
      <c r="BBX186" s="1056"/>
      <c r="BBY186" s="1056"/>
      <c r="BBZ186" s="1056"/>
      <c r="BCA186" s="1056"/>
      <c r="BCB186" s="1056"/>
      <c r="BCC186" s="1056"/>
      <c r="BCD186" s="1056"/>
      <c r="BCE186" s="1056"/>
      <c r="BCF186" s="1056"/>
      <c r="BCG186" s="1056"/>
      <c r="BCH186" s="1056"/>
      <c r="BCI186" s="1056"/>
      <c r="BCJ186" s="1056"/>
      <c r="BCK186" s="1056"/>
      <c r="BCL186" s="1056"/>
      <c r="BCM186" s="1056"/>
      <c r="BCN186" s="1056"/>
      <c r="BCO186" s="1056"/>
      <c r="BCP186" s="1056"/>
      <c r="BCQ186" s="1056"/>
      <c r="BCR186" s="1056"/>
      <c r="BCS186" s="1056"/>
      <c r="BCT186" s="1056"/>
      <c r="BCU186" s="1056"/>
      <c r="BCV186" s="1056"/>
      <c r="BCW186" s="1056"/>
      <c r="BCX186" s="1056"/>
      <c r="BCY186" s="1056"/>
      <c r="BCZ186" s="1056"/>
      <c r="BDA186" s="1056"/>
      <c r="BDB186" s="1056"/>
      <c r="BDC186" s="1056"/>
      <c r="BDD186" s="1056"/>
      <c r="BDE186" s="1056"/>
      <c r="BDF186" s="1056"/>
      <c r="BDG186" s="1056"/>
      <c r="BDH186" s="1056"/>
      <c r="BDI186" s="1056"/>
      <c r="BDJ186" s="1056"/>
      <c r="BDK186" s="1056"/>
      <c r="BDL186" s="1056"/>
      <c r="BDM186" s="1056"/>
      <c r="BDN186" s="1056"/>
      <c r="BDO186" s="1056"/>
      <c r="BDP186" s="1056"/>
      <c r="BDQ186" s="1056"/>
      <c r="BDR186" s="1056"/>
      <c r="BDS186" s="1056"/>
      <c r="BDT186" s="1056"/>
      <c r="BDU186" s="1056"/>
      <c r="BDV186" s="1056"/>
      <c r="BDW186" s="1056"/>
      <c r="BDX186" s="1056"/>
      <c r="BDY186" s="1056"/>
      <c r="BDZ186" s="1056"/>
      <c r="BEA186" s="1056"/>
      <c r="BEB186" s="1056"/>
      <c r="BEC186" s="1056"/>
      <c r="BED186" s="1056"/>
      <c r="BEE186" s="1056"/>
      <c r="BEF186" s="1056"/>
      <c r="BEG186" s="1056"/>
      <c r="BEH186" s="1056"/>
      <c r="BEI186" s="1056"/>
      <c r="BEJ186" s="1056"/>
      <c r="BEK186" s="1056"/>
      <c r="BEL186" s="1056"/>
      <c r="BEM186" s="1056"/>
      <c r="BEN186" s="1056"/>
      <c r="BEO186" s="1056"/>
      <c r="BEP186" s="1056"/>
      <c r="BEQ186" s="1056"/>
      <c r="BER186" s="1056"/>
      <c r="BES186" s="1056"/>
      <c r="BET186" s="1056"/>
      <c r="BEU186" s="1056"/>
      <c r="BEV186" s="1056"/>
      <c r="BEW186" s="1056"/>
      <c r="BEX186" s="1056"/>
      <c r="BEY186" s="1056"/>
      <c r="BEZ186" s="1056"/>
      <c r="BFA186" s="1056"/>
      <c r="BFB186" s="1056"/>
      <c r="BFC186" s="1056"/>
      <c r="BFD186" s="1056"/>
      <c r="BFE186" s="1056"/>
      <c r="BFF186" s="1056"/>
      <c r="BFG186" s="1056"/>
      <c r="BFH186" s="1056"/>
      <c r="BFI186" s="1056"/>
      <c r="BFJ186" s="1056"/>
      <c r="BFK186" s="1056"/>
      <c r="BFL186" s="1056"/>
      <c r="BFM186" s="1056"/>
      <c r="BFN186" s="1056"/>
      <c r="BFO186" s="1056"/>
      <c r="BFP186" s="1056"/>
      <c r="BFQ186" s="1056"/>
      <c r="BFR186" s="1056"/>
      <c r="BFS186" s="1056"/>
      <c r="BFT186" s="1056"/>
      <c r="BFU186" s="1056"/>
      <c r="BFV186" s="1056"/>
      <c r="BFW186" s="1056"/>
      <c r="BFX186" s="1056"/>
      <c r="BFY186" s="1056"/>
      <c r="BFZ186" s="1056"/>
      <c r="BGA186" s="1056"/>
      <c r="BGB186" s="1056"/>
      <c r="BGC186" s="1056"/>
      <c r="BGD186" s="1056"/>
      <c r="BGE186" s="1056"/>
      <c r="BGF186" s="1056"/>
      <c r="BGG186" s="1056"/>
      <c r="BGH186" s="1056"/>
      <c r="BGI186" s="1056"/>
      <c r="BGJ186" s="1056"/>
      <c r="BGK186" s="1056"/>
      <c r="BGL186" s="1056"/>
      <c r="BGM186" s="1056"/>
      <c r="BGN186" s="1056"/>
      <c r="BGO186" s="1056"/>
      <c r="BGP186" s="1056"/>
      <c r="BGQ186" s="1056"/>
      <c r="BGR186" s="1056"/>
      <c r="BGS186" s="1056"/>
      <c r="BGT186" s="1056"/>
      <c r="BGU186" s="1056"/>
      <c r="BGV186" s="1056"/>
      <c r="BGW186" s="1056"/>
      <c r="BGX186" s="1056"/>
      <c r="BGY186" s="1056"/>
      <c r="BGZ186" s="1056"/>
      <c r="BHA186" s="1056"/>
      <c r="BHB186" s="1056"/>
      <c r="BHC186" s="1056"/>
      <c r="BHD186" s="1056"/>
      <c r="BHE186" s="1056"/>
      <c r="BHF186" s="1056"/>
      <c r="BHG186" s="1056"/>
      <c r="BHH186" s="1056"/>
      <c r="BHI186" s="1056"/>
      <c r="BHJ186" s="1056"/>
      <c r="BHK186" s="1056"/>
      <c r="BHL186" s="1056"/>
      <c r="BHM186" s="1056"/>
      <c r="BHN186" s="1056"/>
      <c r="BHO186" s="1056"/>
      <c r="BHP186" s="1056"/>
      <c r="BHQ186" s="1056"/>
      <c r="BHR186" s="1056"/>
      <c r="BHS186" s="1056"/>
      <c r="BHT186" s="1056"/>
      <c r="BHU186" s="1056"/>
      <c r="BHV186" s="1056"/>
      <c r="BHW186" s="1056"/>
      <c r="BHX186" s="1056"/>
      <c r="BHY186" s="1056"/>
      <c r="BHZ186" s="1056"/>
      <c r="BIA186" s="1056"/>
      <c r="BIB186" s="1056"/>
      <c r="BIC186" s="1056"/>
      <c r="BID186" s="1056"/>
      <c r="BIE186" s="1056"/>
      <c r="BIF186" s="1056"/>
      <c r="BIG186" s="1056"/>
      <c r="BIH186" s="1056"/>
      <c r="BII186" s="1056"/>
      <c r="BIJ186" s="1056"/>
      <c r="BIK186" s="1056"/>
      <c r="BIL186" s="1056"/>
      <c r="BIM186" s="1056"/>
      <c r="BIN186" s="1056"/>
      <c r="BIO186" s="1056"/>
      <c r="BIP186" s="1056"/>
      <c r="BIQ186" s="1056"/>
      <c r="BIR186" s="1056"/>
      <c r="BIS186" s="1056"/>
      <c r="BIT186" s="1056"/>
      <c r="BIU186" s="1056"/>
      <c r="BIV186" s="1056"/>
      <c r="BIW186" s="1056"/>
      <c r="BIX186" s="1056"/>
      <c r="BIY186" s="1056"/>
      <c r="BIZ186" s="1056"/>
      <c r="BJA186" s="1056"/>
      <c r="BJB186" s="1056"/>
      <c r="BJC186" s="1056"/>
      <c r="BJD186" s="1056"/>
      <c r="BJE186" s="1056"/>
      <c r="BJF186" s="1056"/>
      <c r="BJG186" s="1056"/>
      <c r="BJH186" s="1056"/>
      <c r="BJI186" s="1056"/>
      <c r="BJJ186" s="1056"/>
      <c r="BJK186" s="1056"/>
      <c r="BJL186" s="1056"/>
      <c r="BJM186" s="1056"/>
      <c r="BJN186" s="1056"/>
      <c r="BJO186" s="1056"/>
      <c r="BJP186" s="1056"/>
      <c r="BJQ186" s="1056"/>
      <c r="BJR186" s="1056"/>
      <c r="BJS186" s="1056"/>
      <c r="BJT186" s="1056"/>
      <c r="BJU186" s="1056"/>
      <c r="BJV186" s="1056"/>
      <c r="BJW186" s="1056"/>
      <c r="BJX186" s="1056"/>
      <c r="BJY186" s="1056"/>
      <c r="BJZ186" s="1056"/>
      <c r="BKA186" s="1056"/>
      <c r="BKB186" s="1056"/>
      <c r="BKC186" s="1056"/>
      <c r="BKD186" s="1056"/>
      <c r="BKE186" s="1056"/>
      <c r="BKF186" s="1056"/>
      <c r="BKG186" s="1056"/>
      <c r="BKH186" s="1056"/>
      <c r="BKI186" s="1056"/>
      <c r="BKJ186" s="1056"/>
      <c r="BKK186" s="1056"/>
      <c r="BKL186" s="1056"/>
      <c r="BKM186" s="1056"/>
      <c r="BKN186" s="1056"/>
      <c r="BKO186" s="1056"/>
      <c r="BKP186" s="1056"/>
      <c r="BKQ186" s="1056"/>
      <c r="BKR186" s="1056"/>
      <c r="BKS186" s="1056"/>
      <c r="BKT186" s="1056"/>
      <c r="BKU186" s="1056"/>
      <c r="BKV186" s="1056"/>
      <c r="BKW186" s="1056"/>
      <c r="BKX186" s="1056"/>
      <c r="BKY186" s="1056"/>
      <c r="BKZ186" s="1056"/>
      <c r="BLA186" s="1056"/>
      <c r="BLB186" s="1056"/>
      <c r="BLC186" s="1056"/>
      <c r="BLD186" s="1056"/>
      <c r="BLE186" s="1056"/>
      <c r="BLF186" s="1056"/>
      <c r="BLG186" s="1056"/>
      <c r="BLH186" s="1056"/>
      <c r="BLI186" s="1056"/>
      <c r="BLJ186" s="1056"/>
      <c r="BLK186" s="1056"/>
      <c r="BLL186" s="1056"/>
      <c r="BLM186" s="1056"/>
      <c r="BLN186" s="1056"/>
      <c r="BLO186" s="1056"/>
      <c r="BLP186" s="1056"/>
      <c r="BLQ186" s="1056"/>
      <c r="BLR186" s="1056"/>
      <c r="BLS186" s="1056"/>
      <c r="BLT186" s="1056"/>
      <c r="BLU186" s="1056"/>
      <c r="BLV186" s="1056"/>
      <c r="BLW186" s="1056"/>
      <c r="BLX186" s="1056"/>
      <c r="BLY186" s="1056"/>
      <c r="BLZ186" s="1056"/>
      <c r="BMA186" s="1056"/>
      <c r="BMB186" s="1056"/>
      <c r="BMC186" s="1056"/>
      <c r="BMD186" s="1056"/>
      <c r="BME186" s="1056"/>
      <c r="BMF186" s="1056"/>
      <c r="BMG186" s="1056"/>
      <c r="BMH186" s="1056"/>
      <c r="BMI186" s="1056"/>
      <c r="BMJ186" s="1056"/>
      <c r="BMK186" s="1056"/>
      <c r="BML186" s="1056"/>
      <c r="BMM186" s="1056"/>
      <c r="BMN186" s="1056"/>
      <c r="BMO186" s="1056"/>
      <c r="BMP186" s="1056"/>
      <c r="BMQ186" s="1056"/>
      <c r="BMR186" s="1056"/>
      <c r="BMS186" s="1056"/>
      <c r="BMT186" s="1056"/>
      <c r="BMU186" s="1056"/>
      <c r="BMV186" s="1056"/>
      <c r="BMW186" s="1056"/>
      <c r="BMX186" s="1056"/>
      <c r="BMY186" s="1056"/>
      <c r="BMZ186" s="1056"/>
      <c r="BNA186" s="1056"/>
      <c r="BNB186" s="1056"/>
      <c r="BNC186" s="1056"/>
      <c r="BND186" s="1056"/>
      <c r="BNE186" s="1056"/>
      <c r="BNF186" s="1056"/>
      <c r="BNG186" s="1056"/>
      <c r="BNH186" s="1056"/>
      <c r="BNI186" s="1056"/>
      <c r="BNJ186" s="1056"/>
      <c r="BNK186" s="1056"/>
      <c r="BNL186" s="1056"/>
      <c r="BNM186" s="1056"/>
      <c r="BNN186" s="1056"/>
      <c r="BNO186" s="1056"/>
      <c r="BNP186" s="1056"/>
      <c r="BNQ186" s="1056"/>
      <c r="BNR186" s="1056"/>
      <c r="BNS186" s="1056"/>
      <c r="BNT186" s="1056"/>
      <c r="BNU186" s="1056"/>
      <c r="BNV186" s="1056"/>
      <c r="BNW186" s="1056"/>
      <c r="BNX186" s="1056"/>
      <c r="BNY186" s="1056"/>
      <c r="BNZ186" s="1056"/>
      <c r="BOA186" s="1056"/>
      <c r="BOB186" s="1056"/>
      <c r="BOC186" s="1056"/>
      <c r="BOD186" s="1056"/>
      <c r="BOE186" s="1056"/>
      <c r="BOF186" s="1056"/>
      <c r="BOG186" s="1056"/>
      <c r="BOH186" s="1056"/>
      <c r="BOI186" s="1056"/>
      <c r="BOJ186" s="1056"/>
      <c r="BOK186" s="1056"/>
      <c r="BOL186" s="1056"/>
      <c r="BOM186" s="1056"/>
      <c r="BON186" s="1056"/>
      <c r="BOO186" s="1056"/>
      <c r="BOP186" s="1056"/>
      <c r="BOQ186" s="1056"/>
      <c r="BOR186" s="1056"/>
      <c r="BOS186" s="1056"/>
      <c r="BOT186" s="1056"/>
      <c r="BOU186" s="1056"/>
      <c r="BOV186" s="1056"/>
      <c r="BOW186" s="1056"/>
      <c r="BOX186" s="1056"/>
      <c r="BOY186" s="1056"/>
      <c r="BOZ186" s="1056"/>
      <c r="BPA186" s="1056"/>
      <c r="BPB186" s="1056"/>
      <c r="BPC186" s="1056"/>
      <c r="BPD186" s="1056"/>
      <c r="BPE186" s="1056"/>
      <c r="BPF186" s="1056"/>
      <c r="BPG186" s="1056"/>
      <c r="BPH186" s="1056"/>
      <c r="BPI186" s="1056"/>
      <c r="BPJ186" s="1056"/>
      <c r="BPK186" s="1056"/>
      <c r="BPL186" s="1056"/>
      <c r="BPM186" s="1056"/>
      <c r="BPN186" s="1056"/>
      <c r="BPO186" s="1056"/>
      <c r="BPP186" s="1056"/>
      <c r="BPQ186" s="1056"/>
      <c r="BPR186" s="1056"/>
      <c r="BPS186" s="1056"/>
      <c r="BPT186" s="1056"/>
      <c r="BPU186" s="1056"/>
      <c r="BPV186" s="1056"/>
      <c r="BPW186" s="1056"/>
      <c r="BPX186" s="1056"/>
      <c r="BPY186" s="1056"/>
      <c r="BPZ186" s="1056"/>
      <c r="BQA186" s="1056"/>
      <c r="BQB186" s="1056"/>
      <c r="BQC186" s="1056"/>
      <c r="BQD186" s="1056"/>
      <c r="BQE186" s="1056"/>
      <c r="BQF186" s="1056"/>
      <c r="BQG186" s="1056"/>
      <c r="BQH186" s="1056"/>
      <c r="BQI186" s="1056"/>
      <c r="BQJ186" s="1056"/>
      <c r="BQK186" s="1056"/>
      <c r="BQL186" s="1056"/>
      <c r="BQM186" s="1056"/>
      <c r="BQN186" s="1056"/>
      <c r="BQO186" s="1056"/>
      <c r="BQP186" s="1056"/>
      <c r="BQQ186" s="1056"/>
      <c r="BQR186" s="1056"/>
      <c r="BQS186" s="1056"/>
      <c r="BQT186" s="1056"/>
      <c r="BQU186" s="1056"/>
      <c r="BQV186" s="1056"/>
      <c r="BQW186" s="1056"/>
      <c r="BQX186" s="1056"/>
      <c r="BQY186" s="1056"/>
      <c r="BQZ186" s="1056"/>
      <c r="BRA186" s="1056"/>
      <c r="BRB186" s="1056"/>
      <c r="BRC186" s="1056"/>
      <c r="BRD186" s="1056"/>
      <c r="BRE186" s="1056"/>
      <c r="BRF186" s="1056"/>
      <c r="BRG186" s="1056"/>
      <c r="BRH186" s="1056"/>
      <c r="BRI186" s="1056"/>
      <c r="BRJ186" s="1056"/>
      <c r="BRK186" s="1056"/>
      <c r="BRL186" s="1056"/>
      <c r="BRM186" s="1056"/>
      <c r="BRN186" s="1056"/>
      <c r="BRO186" s="1056"/>
      <c r="BRP186" s="1056"/>
      <c r="BRQ186" s="1056"/>
      <c r="BRR186" s="1056"/>
      <c r="BRS186" s="1056"/>
      <c r="BRT186" s="1056"/>
      <c r="BRU186" s="1056"/>
      <c r="BRV186" s="1056"/>
      <c r="BRW186" s="1056"/>
      <c r="BRX186" s="1056"/>
      <c r="BRY186" s="1056"/>
      <c r="BRZ186" s="1056"/>
      <c r="BSA186" s="1056"/>
      <c r="BSB186" s="1056"/>
      <c r="BSC186" s="1056"/>
      <c r="BSD186" s="1056"/>
      <c r="BSE186" s="1056"/>
      <c r="BSF186" s="1056"/>
      <c r="BSG186" s="1056"/>
      <c r="BSH186" s="1056"/>
      <c r="BSI186" s="1056"/>
      <c r="BSJ186" s="1056"/>
      <c r="BSK186" s="1056"/>
      <c r="BSL186" s="1056"/>
      <c r="BSM186" s="1056"/>
      <c r="BSN186" s="1056"/>
      <c r="BSO186" s="1056"/>
      <c r="BSP186" s="1056"/>
      <c r="BSQ186" s="1056"/>
      <c r="BSR186" s="1056"/>
      <c r="BSS186" s="1056"/>
      <c r="BST186" s="1056"/>
      <c r="BSU186" s="1056"/>
      <c r="BSV186" s="1056"/>
      <c r="BSW186" s="1056"/>
      <c r="BSX186" s="1056"/>
      <c r="BSY186" s="1056"/>
      <c r="BSZ186" s="1056"/>
      <c r="BTA186" s="1056"/>
      <c r="BTB186" s="1056"/>
      <c r="BTC186" s="1056"/>
      <c r="BTD186" s="1056"/>
      <c r="BTE186" s="1056"/>
      <c r="BTF186" s="1056"/>
      <c r="BTG186" s="1056"/>
      <c r="BTH186" s="1056"/>
      <c r="BTI186" s="1056"/>
    </row>
    <row r="187" spans="1:1881" s="1060" customFormat="1" ht="112.5" hidden="1" customHeight="1" x14ac:dyDescent="0.3">
      <c r="A187" s="1059">
        <v>97</v>
      </c>
      <c r="B187" s="808" t="s">
        <v>68</v>
      </c>
      <c r="C187" s="808" t="s">
        <v>1422</v>
      </c>
      <c r="D187" s="1084" t="s">
        <v>163</v>
      </c>
      <c r="E187" s="1053" t="e">
        <f>HLOOKUP($D$2,'2020 Data(H)'!$C$1:$AI$426,57,FALSE)</f>
        <v>#N/A</v>
      </c>
      <c r="F187" s="285">
        <v>0</v>
      </c>
      <c r="G187" s="722"/>
      <c r="H187" s="764"/>
      <c r="I187" s="1055"/>
      <c r="J187" s="1056"/>
      <c r="K187" s="1056"/>
      <c r="L187" s="1056"/>
      <c r="M187" s="1056"/>
      <c r="N187" s="1058"/>
      <c r="O187" s="1056"/>
      <c r="P187" s="1056"/>
      <c r="Q187" s="1056"/>
      <c r="R187" s="1056"/>
      <c r="S187" s="1056"/>
      <c r="T187" s="1056"/>
      <c r="U187" s="1056"/>
      <c r="V187" s="1056"/>
      <c r="W187" s="1056"/>
      <c r="X187" s="1056"/>
      <c r="Y187" s="1056"/>
      <c r="Z187" s="1059"/>
      <c r="AA187" s="1059"/>
      <c r="AB187" s="1059"/>
      <c r="AC187" s="1059"/>
      <c r="AD187" s="1059"/>
      <c r="AE187" s="1059"/>
      <c r="AF187" s="1059"/>
      <c r="AG187" s="1059"/>
      <c r="AH187" s="1059"/>
      <c r="AI187" s="1059"/>
      <c r="AJ187" s="1059"/>
      <c r="AK187" s="1059"/>
      <c r="AL187" s="1059"/>
      <c r="AM187" s="1059"/>
      <c r="AN187" s="1059"/>
      <c r="AO187" s="1059"/>
      <c r="AP187" s="1059"/>
      <c r="AQ187" s="1059"/>
      <c r="AR187" s="1059"/>
      <c r="AS187" s="1056"/>
      <c r="AT187" s="1056"/>
      <c r="AU187" s="1056"/>
      <c r="AV187" s="1056"/>
      <c r="AW187" s="1056"/>
      <c r="AX187" s="1056"/>
      <c r="AY187" s="1056"/>
      <c r="AZ187" s="1056"/>
      <c r="BA187" s="1056"/>
      <c r="BB187" s="1056"/>
      <c r="BC187" s="1056"/>
      <c r="BD187" s="1056"/>
      <c r="BE187" s="1056"/>
      <c r="BF187" s="1056"/>
      <c r="BG187" s="1056"/>
      <c r="BH187" s="1056"/>
      <c r="BI187" s="1056"/>
      <c r="BJ187" s="1056"/>
      <c r="BK187" s="1056"/>
      <c r="BL187" s="1056"/>
      <c r="BM187" s="1056"/>
      <c r="BN187" s="1056"/>
      <c r="BO187" s="1056"/>
      <c r="BP187" s="1056"/>
      <c r="BQ187" s="1056"/>
      <c r="BR187" s="1056"/>
      <c r="BS187" s="1056"/>
      <c r="BT187" s="1056"/>
      <c r="BU187" s="1056"/>
      <c r="BV187" s="1056"/>
      <c r="BW187" s="1056"/>
      <c r="BX187" s="1056"/>
      <c r="BY187" s="1056"/>
      <c r="BZ187" s="1056"/>
      <c r="CA187" s="1056"/>
      <c r="CB187" s="1056"/>
      <c r="CC187" s="1056"/>
      <c r="CD187" s="1056"/>
      <c r="CE187" s="1056"/>
      <c r="CF187" s="1056"/>
      <c r="CG187" s="1056"/>
      <c r="CH187" s="1056"/>
      <c r="CI187" s="1056"/>
      <c r="CJ187" s="1056"/>
      <c r="CK187" s="1056"/>
      <c r="CL187" s="1056"/>
      <c r="CM187" s="1056"/>
      <c r="CN187" s="1056"/>
      <c r="CO187" s="1056"/>
      <c r="CP187" s="1056"/>
      <c r="CQ187" s="1056"/>
      <c r="CR187" s="1056"/>
      <c r="CS187" s="1056"/>
      <c r="CT187" s="1056"/>
      <c r="CU187" s="1056"/>
      <c r="CV187" s="1056"/>
      <c r="CW187" s="1056"/>
      <c r="CX187" s="1056"/>
      <c r="CY187" s="1056"/>
      <c r="CZ187" s="1056"/>
      <c r="DA187" s="1056"/>
      <c r="DB187" s="1056"/>
      <c r="DC187" s="1056"/>
      <c r="DD187" s="1056"/>
      <c r="DE187" s="1056"/>
      <c r="DF187" s="1056"/>
      <c r="DG187" s="1056"/>
      <c r="DH187" s="1056"/>
      <c r="DI187" s="1056"/>
      <c r="DJ187" s="1056"/>
      <c r="DK187" s="1056"/>
      <c r="DL187" s="1056"/>
      <c r="DM187" s="1056"/>
      <c r="DN187" s="1056"/>
      <c r="DO187" s="1056"/>
      <c r="DP187" s="1056"/>
      <c r="DQ187" s="1056"/>
      <c r="DR187" s="1056"/>
      <c r="DS187" s="1056"/>
      <c r="DT187" s="1056"/>
      <c r="DU187" s="1056"/>
      <c r="DV187" s="1056"/>
      <c r="DW187" s="1056"/>
      <c r="DX187" s="1056"/>
      <c r="DY187" s="1056"/>
      <c r="DZ187" s="1056"/>
      <c r="EA187" s="1056"/>
      <c r="EB187" s="1056"/>
      <c r="EC187" s="1056"/>
      <c r="ED187" s="1056"/>
      <c r="EE187" s="1056"/>
      <c r="EF187" s="1056"/>
      <c r="EG187" s="1056"/>
      <c r="EH187" s="1056"/>
      <c r="EI187" s="1056"/>
      <c r="EJ187" s="1056"/>
      <c r="EK187" s="1056"/>
      <c r="EL187" s="1056"/>
      <c r="EM187" s="1056"/>
      <c r="EN187" s="1056"/>
      <c r="EO187" s="1056"/>
      <c r="EP187" s="1056"/>
      <c r="EQ187" s="1056"/>
      <c r="ER187" s="1056"/>
      <c r="ES187" s="1056"/>
      <c r="ET187" s="1056"/>
      <c r="EU187" s="1056"/>
      <c r="EV187" s="1056"/>
      <c r="EW187" s="1056"/>
      <c r="EX187" s="1056"/>
      <c r="EY187" s="1056"/>
      <c r="EZ187" s="1056"/>
      <c r="FA187" s="1056"/>
      <c r="FB187" s="1056"/>
      <c r="FC187" s="1056"/>
      <c r="FD187" s="1056"/>
      <c r="FE187" s="1056"/>
      <c r="FF187" s="1056"/>
      <c r="FG187" s="1056"/>
      <c r="FH187" s="1056"/>
      <c r="FI187" s="1056"/>
      <c r="FJ187" s="1056"/>
      <c r="FK187" s="1056"/>
      <c r="FL187" s="1056"/>
      <c r="FM187" s="1056"/>
      <c r="FN187" s="1056"/>
      <c r="FO187" s="1056"/>
      <c r="FP187" s="1056"/>
      <c r="FQ187" s="1056"/>
      <c r="FR187" s="1056"/>
      <c r="FS187" s="1056"/>
      <c r="FT187" s="1056"/>
      <c r="FU187" s="1056"/>
      <c r="FV187" s="1056"/>
      <c r="FW187" s="1056"/>
      <c r="FX187" s="1056"/>
      <c r="FY187" s="1056"/>
      <c r="FZ187" s="1056"/>
      <c r="GA187" s="1056"/>
      <c r="GB187" s="1056"/>
      <c r="GC187" s="1056"/>
      <c r="GD187" s="1056"/>
      <c r="GE187" s="1056"/>
      <c r="GF187" s="1056"/>
      <c r="GG187" s="1056"/>
      <c r="GH187" s="1056"/>
      <c r="GI187" s="1056"/>
      <c r="GJ187" s="1056"/>
      <c r="GK187" s="1056"/>
      <c r="GL187" s="1056"/>
      <c r="GM187" s="1056"/>
      <c r="GN187" s="1056"/>
      <c r="GO187" s="1056"/>
      <c r="GP187" s="1056"/>
      <c r="GQ187" s="1056"/>
      <c r="GR187" s="1056"/>
      <c r="GS187" s="1056"/>
      <c r="GT187" s="1056"/>
      <c r="GU187" s="1056"/>
      <c r="GV187" s="1056"/>
      <c r="GW187" s="1056"/>
      <c r="GX187" s="1056"/>
      <c r="GY187" s="1056"/>
      <c r="GZ187" s="1056"/>
      <c r="HA187" s="1056"/>
      <c r="HB187" s="1056"/>
      <c r="HC187" s="1056"/>
      <c r="HD187" s="1056"/>
      <c r="HE187" s="1056"/>
      <c r="HF187" s="1056"/>
      <c r="HG187" s="1056"/>
      <c r="HH187" s="1056"/>
      <c r="HI187" s="1056"/>
      <c r="HJ187" s="1056"/>
      <c r="HK187" s="1056"/>
      <c r="HL187" s="1056"/>
      <c r="HM187" s="1056"/>
      <c r="HN187" s="1056"/>
      <c r="HO187" s="1056"/>
      <c r="HP187" s="1056"/>
      <c r="HQ187" s="1056"/>
      <c r="HR187" s="1056"/>
      <c r="HS187" s="1056"/>
      <c r="HT187" s="1056"/>
      <c r="HU187" s="1056"/>
      <c r="HV187" s="1056"/>
      <c r="HW187" s="1056"/>
      <c r="HX187" s="1056"/>
      <c r="HY187" s="1056"/>
      <c r="HZ187" s="1056"/>
      <c r="IA187" s="1056"/>
      <c r="IB187" s="1056"/>
      <c r="IC187" s="1056"/>
      <c r="ID187" s="1056"/>
      <c r="IE187" s="1056"/>
      <c r="IF187" s="1056"/>
      <c r="IG187" s="1056"/>
      <c r="IH187" s="1056"/>
      <c r="II187" s="1056"/>
      <c r="IJ187" s="1056"/>
      <c r="IK187" s="1056"/>
      <c r="IL187" s="1056"/>
      <c r="IM187" s="1056"/>
      <c r="IN187" s="1056"/>
      <c r="IO187" s="1056"/>
      <c r="IP187" s="1056"/>
      <c r="IQ187" s="1056"/>
      <c r="IR187" s="1056"/>
      <c r="IS187" s="1056"/>
      <c r="IT187" s="1056"/>
      <c r="IU187" s="1056"/>
      <c r="IV187" s="1056"/>
      <c r="IW187" s="1056"/>
      <c r="IX187" s="1056"/>
      <c r="IY187" s="1056"/>
      <c r="IZ187" s="1056"/>
      <c r="JA187" s="1056"/>
      <c r="JB187" s="1056"/>
      <c r="JC187" s="1056"/>
      <c r="JD187" s="1056"/>
      <c r="JE187" s="1056"/>
      <c r="JF187" s="1056"/>
      <c r="JG187" s="1056"/>
      <c r="JH187" s="1056"/>
      <c r="JI187" s="1056"/>
      <c r="JJ187" s="1056"/>
      <c r="JK187" s="1056"/>
      <c r="JL187" s="1056"/>
      <c r="JM187" s="1056"/>
      <c r="JN187" s="1056"/>
      <c r="JO187" s="1056"/>
      <c r="JP187" s="1056"/>
      <c r="JQ187" s="1056"/>
      <c r="JR187" s="1056"/>
      <c r="JS187" s="1056"/>
      <c r="JT187" s="1056"/>
      <c r="JU187" s="1056"/>
      <c r="JV187" s="1056"/>
      <c r="JW187" s="1056"/>
      <c r="JX187" s="1056"/>
      <c r="JY187" s="1056"/>
      <c r="JZ187" s="1056"/>
      <c r="KA187" s="1056"/>
      <c r="KB187" s="1056"/>
      <c r="KC187" s="1056"/>
      <c r="KD187" s="1056"/>
      <c r="KE187" s="1056"/>
      <c r="KF187" s="1056"/>
      <c r="KG187" s="1056"/>
      <c r="KH187" s="1056"/>
      <c r="KI187" s="1056"/>
      <c r="KJ187" s="1056"/>
      <c r="KK187" s="1056"/>
      <c r="KL187" s="1056"/>
      <c r="KM187" s="1056"/>
      <c r="KN187" s="1056"/>
      <c r="KO187" s="1056"/>
      <c r="KP187" s="1056"/>
      <c r="KQ187" s="1056"/>
      <c r="KR187" s="1056"/>
      <c r="KS187" s="1056"/>
      <c r="KT187" s="1056"/>
      <c r="KU187" s="1056"/>
      <c r="KV187" s="1056"/>
      <c r="KW187" s="1056"/>
      <c r="KX187" s="1056"/>
      <c r="KY187" s="1056"/>
      <c r="KZ187" s="1056"/>
      <c r="LA187" s="1056"/>
      <c r="LB187" s="1056"/>
      <c r="LC187" s="1056"/>
      <c r="LD187" s="1056"/>
      <c r="LE187" s="1056"/>
      <c r="LF187" s="1056"/>
      <c r="LG187" s="1056"/>
      <c r="LH187" s="1056"/>
      <c r="LI187" s="1056"/>
      <c r="LJ187" s="1056"/>
      <c r="LK187" s="1056"/>
      <c r="LL187" s="1056"/>
      <c r="LM187" s="1056"/>
      <c r="LN187" s="1056"/>
      <c r="LO187" s="1056"/>
      <c r="LP187" s="1056"/>
      <c r="LQ187" s="1056"/>
      <c r="LR187" s="1056"/>
      <c r="LS187" s="1056"/>
      <c r="LT187" s="1056"/>
      <c r="LU187" s="1056"/>
      <c r="LV187" s="1056"/>
      <c r="LW187" s="1056"/>
      <c r="LX187" s="1056"/>
      <c r="LY187" s="1056"/>
      <c r="LZ187" s="1056"/>
      <c r="MA187" s="1056"/>
      <c r="MB187" s="1056"/>
      <c r="MC187" s="1056"/>
      <c r="MD187" s="1056"/>
      <c r="ME187" s="1056"/>
      <c r="MF187" s="1056"/>
      <c r="MG187" s="1056"/>
      <c r="MH187" s="1056"/>
      <c r="MI187" s="1056"/>
      <c r="MJ187" s="1056"/>
      <c r="MK187" s="1056"/>
      <c r="ML187" s="1056"/>
      <c r="MM187" s="1056"/>
      <c r="MN187" s="1056"/>
      <c r="MO187" s="1056"/>
      <c r="MP187" s="1056"/>
      <c r="MQ187" s="1056"/>
      <c r="MR187" s="1056"/>
      <c r="MS187" s="1056"/>
      <c r="MT187" s="1056"/>
      <c r="MU187" s="1056"/>
      <c r="MV187" s="1056"/>
      <c r="MW187" s="1056"/>
      <c r="MX187" s="1056"/>
      <c r="MY187" s="1056"/>
      <c r="MZ187" s="1056"/>
      <c r="NA187" s="1056"/>
      <c r="NB187" s="1056"/>
      <c r="NC187" s="1056"/>
      <c r="ND187" s="1056"/>
      <c r="NE187" s="1056"/>
      <c r="NF187" s="1056"/>
      <c r="NG187" s="1056"/>
      <c r="NH187" s="1056"/>
      <c r="NI187" s="1056"/>
      <c r="NJ187" s="1056"/>
      <c r="NK187" s="1056"/>
      <c r="NL187" s="1056"/>
      <c r="NM187" s="1056"/>
      <c r="NN187" s="1056"/>
      <c r="NO187" s="1056"/>
      <c r="NP187" s="1056"/>
      <c r="NQ187" s="1056"/>
      <c r="NR187" s="1056"/>
      <c r="NS187" s="1056"/>
      <c r="NT187" s="1056"/>
      <c r="NU187" s="1056"/>
      <c r="NV187" s="1056"/>
      <c r="NW187" s="1056"/>
      <c r="NX187" s="1056"/>
      <c r="NY187" s="1056"/>
      <c r="NZ187" s="1056"/>
      <c r="OA187" s="1056"/>
      <c r="OB187" s="1056"/>
      <c r="OC187" s="1056"/>
      <c r="OD187" s="1056"/>
      <c r="OE187" s="1056"/>
      <c r="OF187" s="1056"/>
      <c r="OG187" s="1056"/>
      <c r="OH187" s="1056"/>
      <c r="OI187" s="1056"/>
      <c r="OJ187" s="1056"/>
      <c r="OK187" s="1056"/>
      <c r="OL187" s="1056"/>
      <c r="OM187" s="1056"/>
      <c r="ON187" s="1056"/>
      <c r="OO187" s="1056"/>
      <c r="OP187" s="1056"/>
      <c r="OQ187" s="1056"/>
      <c r="OR187" s="1056"/>
      <c r="OS187" s="1056"/>
      <c r="OT187" s="1056"/>
      <c r="OU187" s="1056"/>
      <c r="OV187" s="1056"/>
      <c r="OW187" s="1056"/>
      <c r="OX187" s="1056"/>
      <c r="OY187" s="1056"/>
      <c r="OZ187" s="1056"/>
      <c r="PA187" s="1056"/>
      <c r="PB187" s="1056"/>
      <c r="PC187" s="1056"/>
      <c r="PD187" s="1056"/>
      <c r="PE187" s="1056"/>
      <c r="PF187" s="1056"/>
      <c r="PG187" s="1056"/>
      <c r="PH187" s="1056"/>
      <c r="PI187" s="1056"/>
      <c r="PJ187" s="1056"/>
      <c r="PK187" s="1056"/>
      <c r="PL187" s="1056"/>
      <c r="PM187" s="1056"/>
      <c r="PN187" s="1056"/>
      <c r="PO187" s="1056"/>
      <c r="PP187" s="1056"/>
      <c r="PQ187" s="1056"/>
      <c r="PR187" s="1056"/>
      <c r="PS187" s="1056"/>
      <c r="PT187" s="1056"/>
      <c r="PU187" s="1056"/>
      <c r="PV187" s="1056"/>
      <c r="PW187" s="1056"/>
      <c r="PX187" s="1056"/>
      <c r="PY187" s="1056"/>
      <c r="PZ187" s="1056"/>
      <c r="QA187" s="1056"/>
      <c r="QB187" s="1056"/>
      <c r="QC187" s="1056"/>
      <c r="QD187" s="1056"/>
      <c r="QE187" s="1056"/>
      <c r="QF187" s="1056"/>
      <c r="QG187" s="1056"/>
      <c r="QH187" s="1056"/>
      <c r="QI187" s="1056"/>
      <c r="QJ187" s="1056"/>
      <c r="QK187" s="1056"/>
      <c r="QL187" s="1056"/>
      <c r="QM187" s="1056"/>
      <c r="QN187" s="1056"/>
      <c r="QO187" s="1056"/>
      <c r="QP187" s="1056"/>
      <c r="QQ187" s="1056"/>
      <c r="QR187" s="1056"/>
      <c r="QS187" s="1056"/>
      <c r="QT187" s="1056"/>
      <c r="QU187" s="1056"/>
      <c r="QV187" s="1056"/>
      <c r="QW187" s="1056"/>
      <c r="QX187" s="1056"/>
      <c r="QY187" s="1056"/>
      <c r="QZ187" s="1056"/>
      <c r="RA187" s="1056"/>
      <c r="RB187" s="1056"/>
      <c r="RC187" s="1056"/>
      <c r="RD187" s="1056"/>
      <c r="RE187" s="1056"/>
      <c r="RF187" s="1056"/>
      <c r="RG187" s="1056"/>
      <c r="RH187" s="1056"/>
      <c r="RI187" s="1056"/>
      <c r="RJ187" s="1056"/>
      <c r="RK187" s="1056"/>
      <c r="RL187" s="1056"/>
      <c r="RM187" s="1056"/>
      <c r="RN187" s="1056"/>
      <c r="RO187" s="1056"/>
      <c r="RP187" s="1056"/>
      <c r="RQ187" s="1056"/>
      <c r="RR187" s="1056"/>
      <c r="RS187" s="1056"/>
      <c r="RT187" s="1056"/>
      <c r="RU187" s="1056"/>
      <c r="RV187" s="1056"/>
      <c r="RW187" s="1056"/>
      <c r="RX187" s="1056"/>
      <c r="RY187" s="1056"/>
      <c r="RZ187" s="1056"/>
      <c r="SA187" s="1056"/>
      <c r="SB187" s="1056"/>
      <c r="SC187" s="1056"/>
      <c r="SD187" s="1056"/>
      <c r="SE187" s="1056"/>
      <c r="SF187" s="1056"/>
      <c r="SG187" s="1056"/>
      <c r="SH187" s="1056"/>
      <c r="SI187" s="1056"/>
      <c r="SJ187" s="1056"/>
      <c r="SK187" s="1056"/>
      <c r="SL187" s="1056"/>
      <c r="SM187" s="1056"/>
      <c r="SN187" s="1056"/>
      <c r="SO187" s="1056"/>
      <c r="SP187" s="1056"/>
      <c r="SQ187" s="1056"/>
      <c r="SR187" s="1056"/>
      <c r="SS187" s="1056"/>
      <c r="ST187" s="1056"/>
      <c r="SU187" s="1056"/>
      <c r="SV187" s="1056"/>
      <c r="SW187" s="1056"/>
      <c r="SX187" s="1056"/>
      <c r="SY187" s="1056"/>
      <c r="SZ187" s="1056"/>
      <c r="TA187" s="1056"/>
      <c r="TB187" s="1056"/>
      <c r="TC187" s="1056"/>
      <c r="TD187" s="1056"/>
      <c r="TE187" s="1056"/>
      <c r="TF187" s="1056"/>
      <c r="TG187" s="1056"/>
      <c r="TH187" s="1056"/>
      <c r="TI187" s="1056"/>
      <c r="TJ187" s="1056"/>
      <c r="TK187" s="1056"/>
      <c r="TL187" s="1056"/>
      <c r="TM187" s="1056"/>
      <c r="TN187" s="1056"/>
      <c r="TO187" s="1056"/>
      <c r="TP187" s="1056"/>
      <c r="TQ187" s="1056"/>
      <c r="TR187" s="1056"/>
      <c r="TS187" s="1056"/>
      <c r="TT187" s="1056"/>
      <c r="TU187" s="1056"/>
      <c r="TV187" s="1056"/>
      <c r="TW187" s="1056"/>
      <c r="TX187" s="1056"/>
      <c r="TY187" s="1056"/>
      <c r="TZ187" s="1056"/>
      <c r="UA187" s="1056"/>
      <c r="UB187" s="1056"/>
      <c r="UC187" s="1056"/>
      <c r="UD187" s="1056"/>
      <c r="UE187" s="1056"/>
      <c r="UF187" s="1056"/>
      <c r="UG187" s="1056"/>
      <c r="UH187" s="1056"/>
      <c r="UI187" s="1056"/>
      <c r="UJ187" s="1056"/>
      <c r="UK187" s="1056"/>
      <c r="UL187" s="1056"/>
      <c r="UM187" s="1056"/>
      <c r="UN187" s="1056"/>
      <c r="UO187" s="1056"/>
      <c r="UP187" s="1056"/>
      <c r="UQ187" s="1056"/>
      <c r="UR187" s="1056"/>
      <c r="US187" s="1056"/>
      <c r="UT187" s="1056"/>
      <c r="UU187" s="1056"/>
      <c r="UV187" s="1056"/>
      <c r="UW187" s="1056"/>
      <c r="UX187" s="1056"/>
      <c r="UY187" s="1056"/>
      <c r="UZ187" s="1056"/>
      <c r="VA187" s="1056"/>
      <c r="VB187" s="1056"/>
      <c r="VC187" s="1056"/>
      <c r="VD187" s="1056"/>
      <c r="VE187" s="1056"/>
      <c r="VF187" s="1056"/>
      <c r="VG187" s="1056"/>
      <c r="VH187" s="1056"/>
      <c r="VI187" s="1056"/>
      <c r="VJ187" s="1056"/>
      <c r="VK187" s="1056"/>
      <c r="VL187" s="1056"/>
      <c r="VM187" s="1056"/>
      <c r="VN187" s="1056"/>
      <c r="VO187" s="1056"/>
      <c r="VP187" s="1056"/>
      <c r="VQ187" s="1056"/>
      <c r="VR187" s="1056"/>
      <c r="VS187" s="1056"/>
      <c r="VT187" s="1056"/>
      <c r="VU187" s="1056"/>
      <c r="VV187" s="1056"/>
      <c r="VW187" s="1056"/>
      <c r="VX187" s="1056"/>
      <c r="VY187" s="1056"/>
      <c r="VZ187" s="1056"/>
      <c r="WA187" s="1056"/>
      <c r="WB187" s="1056"/>
      <c r="WC187" s="1056"/>
      <c r="WD187" s="1056"/>
      <c r="WE187" s="1056"/>
      <c r="WF187" s="1056"/>
      <c r="WG187" s="1056"/>
      <c r="WH187" s="1056"/>
      <c r="WI187" s="1056"/>
      <c r="WJ187" s="1056"/>
      <c r="WK187" s="1056"/>
      <c r="WL187" s="1056"/>
      <c r="WM187" s="1056"/>
      <c r="WN187" s="1056"/>
      <c r="WO187" s="1056"/>
      <c r="WP187" s="1056"/>
      <c r="WQ187" s="1056"/>
      <c r="WR187" s="1056"/>
      <c r="WS187" s="1056"/>
      <c r="WT187" s="1056"/>
      <c r="WU187" s="1056"/>
      <c r="WV187" s="1056"/>
      <c r="WW187" s="1056"/>
      <c r="WX187" s="1056"/>
      <c r="WY187" s="1056"/>
      <c r="WZ187" s="1056"/>
      <c r="XA187" s="1056"/>
      <c r="XB187" s="1056"/>
      <c r="XC187" s="1056"/>
      <c r="XD187" s="1056"/>
      <c r="XE187" s="1056"/>
      <c r="XF187" s="1056"/>
      <c r="XG187" s="1056"/>
      <c r="XH187" s="1056"/>
      <c r="XI187" s="1056"/>
      <c r="XJ187" s="1056"/>
      <c r="XK187" s="1056"/>
      <c r="XL187" s="1056"/>
      <c r="XM187" s="1056"/>
      <c r="XN187" s="1056"/>
      <c r="XO187" s="1056"/>
      <c r="XP187" s="1056"/>
      <c r="XQ187" s="1056"/>
      <c r="XR187" s="1056"/>
      <c r="XS187" s="1056"/>
      <c r="XT187" s="1056"/>
      <c r="XU187" s="1056"/>
      <c r="XV187" s="1056"/>
      <c r="XW187" s="1056"/>
      <c r="XX187" s="1056"/>
      <c r="XY187" s="1056"/>
      <c r="XZ187" s="1056"/>
      <c r="YA187" s="1056"/>
      <c r="YB187" s="1056"/>
      <c r="YC187" s="1056"/>
      <c r="YD187" s="1056"/>
      <c r="YE187" s="1056"/>
      <c r="YF187" s="1056"/>
      <c r="YG187" s="1056"/>
      <c r="YH187" s="1056"/>
      <c r="YI187" s="1056"/>
      <c r="YJ187" s="1056"/>
      <c r="YK187" s="1056"/>
      <c r="YL187" s="1056"/>
      <c r="YM187" s="1056"/>
      <c r="YN187" s="1056"/>
      <c r="YO187" s="1056"/>
      <c r="YP187" s="1056"/>
      <c r="YQ187" s="1056"/>
      <c r="YR187" s="1056"/>
      <c r="YS187" s="1056"/>
      <c r="YT187" s="1056"/>
      <c r="YU187" s="1056"/>
      <c r="YV187" s="1056"/>
      <c r="YW187" s="1056"/>
      <c r="YX187" s="1056"/>
      <c r="YY187" s="1056"/>
      <c r="YZ187" s="1056"/>
      <c r="ZA187" s="1056"/>
      <c r="ZB187" s="1056"/>
      <c r="ZC187" s="1056"/>
      <c r="ZD187" s="1056"/>
      <c r="ZE187" s="1056"/>
      <c r="ZF187" s="1056"/>
      <c r="ZG187" s="1056"/>
      <c r="ZH187" s="1056"/>
      <c r="ZI187" s="1056"/>
      <c r="ZJ187" s="1056"/>
      <c r="ZK187" s="1056"/>
      <c r="ZL187" s="1056"/>
      <c r="ZM187" s="1056"/>
      <c r="ZN187" s="1056"/>
      <c r="ZO187" s="1056"/>
      <c r="ZP187" s="1056"/>
      <c r="ZQ187" s="1056"/>
      <c r="ZR187" s="1056"/>
      <c r="ZS187" s="1056"/>
      <c r="ZT187" s="1056"/>
      <c r="ZU187" s="1056"/>
      <c r="ZV187" s="1056"/>
      <c r="ZW187" s="1056"/>
      <c r="ZX187" s="1056"/>
      <c r="ZY187" s="1056"/>
      <c r="ZZ187" s="1056"/>
      <c r="AAA187" s="1056"/>
      <c r="AAB187" s="1056"/>
      <c r="AAC187" s="1056"/>
      <c r="AAD187" s="1056"/>
      <c r="AAE187" s="1056"/>
      <c r="AAF187" s="1056"/>
      <c r="AAG187" s="1056"/>
      <c r="AAH187" s="1056"/>
      <c r="AAI187" s="1056"/>
      <c r="AAJ187" s="1056"/>
      <c r="AAK187" s="1056"/>
      <c r="AAL187" s="1056"/>
      <c r="AAM187" s="1056"/>
      <c r="AAN187" s="1056"/>
      <c r="AAO187" s="1056"/>
      <c r="AAP187" s="1056"/>
      <c r="AAQ187" s="1056"/>
      <c r="AAR187" s="1056"/>
      <c r="AAS187" s="1056"/>
      <c r="AAT187" s="1056"/>
      <c r="AAU187" s="1056"/>
      <c r="AAV187" s="1056"/>
      <c r="AAW187" s="1056"/>
      <c r="AAX187" s="1056"/>
      <c r="AAY187" s="1056"/>
      <c r="AAZ187" s="1056"/>
      <c r="ABA187" s="1056"/>
      <c r="ABB187" s="1056"/>
      <c r="ABC187" s="1056"/>
      <c r="ABD187" s="1056"/>
      <c r="ABE187" s="1056"/>
      <c r="ABF187" s="1056"/>
      <c r="ABG187" s="1056"/>
      <c r="ABH187" s="1056"/>
      <c r="ABI187" s="1056"/>
      <c r="ABJ187" s="1056"/>
      <c r="ABK187" s="1056"/>
      <c r="ABL187" s="1056"/>
      <c r="ABM187" s="1056"/>
      <c r="ABN187" s="1056"/>
      <c r="ABO187" s="1056"/>
      <c r="ABP187" s="1056"/>
      <c r="ABQ187" s="1056"/>
      <c r="ABR187" s="1056"/>
      <c r="ABS187" s="1056"/>
      <c r="ABT187" s="1056"/>
      <c r="ABU187" s="1056"/>
      <c r="ABV187" s="1056"/>
      <c r="ABW187" s="1056"/>
      <c r="ABX187" s="1056"/>
      <c r="ABY187" s="1056"/>
      <c r="ABZ187" s="1056"/>
      <c r="ACA187" s="1056"/>
      <c r="ACB187" s="1056"/>
      <c r="ACC187" s="1056"/>
      <c r="ACD187" s="1056"/>
      <c r="ACE187" s="1056"/>
      <c r="ACF187" s="1056"/>
      <c r="ACG187" s="1056"/>
      <c r="ACH187" s="1056"/>
      <c r="ACI187" s="1056"/>
      <c r="ACJ187" s="1056"/>
      <c r="ACK187" s="1056"/>
      <c r="ACL187" s="1056"/>
      <c r="ACM187" s="1056"/>
      <c r="ACN187" s="1056"/>
      <c r="ACO187" s="1056"/>
      <c r="ACP187" s="1056"/>
      <c r="ACQ187" s="1056"/>
      <c r="ACR187" s="1056"/>
      <c r="ACS187" s="1056"/>
      <c r="ACT187" s="1056"/>
      <c r="ACU187" s="1056"/>
      <c r="ACV187" s="1056"/>
      <c r="ACW187" s="1056"/>
      <c r="ACX187" s="1056"/>
      <c r="ACY187" s="1056"/>
      <c r="ACZ187" s="1056"/>
      <c r="ADA187" s="1056"/>
      <c r="ADB187" s="1056"/>
      <c r="ADC187" s="1056"/>
      <c r="ADD187" s="1056"/>
      <c r="ADE187" s="1056"/>
      <c r="ADF187" s="1056"/>
      <c r="ADG187" s="1056"/>
      <c r="ADH187" s="1056"/>
      <c r="ADI187" s="1056"/>
      <c r="ADJ187" s="1056"/>
      <c r="ADK187" s="1056"/>
      <c r="ADL187" s="1056"/>
      <c r="ADM187" s="1056"/>
      <c r="ADN187" s="1056"/>
      <c r="ADO187" s="1056"/>
      <c r="ADP187" s="1056"/>
      <c r="ADQ187" s="1056"/>
      <c r="ADR187" s="1056"/>
      <c r="ADS187" s="1056"/>
      <c r="ADT187" s="1056"/>
      <c r="ADU187" s="1056"/>
      <c r="ADV187" s="1056"/>
      <c r="ADW187" s="1056"/>
      <c r="ADX187" s="1056"/>
      <c r="ADY187" s="1056"/>
      <c r="ADZ187" s="1056"/>
      <c r="AEA187" s="1056"/>
      <c r="AEB187" s="1056"/>
      <c r="AEC187" s="1056"/>
      <c r="AED187" s="1056"/>
      <c r="AEE187" s="1056"/>
      <c r="AEF187" s="1056"/>
      <c r="AEG187" s="1056"/>
      <c r="AEH187" s="1056"/>
      <c r="AEI187" s="1056"/>
      <c r="AEJ187" s="1056"/>
      <c r="AEK187" s="1056"/>
      <c r="AEL187" s="1056"/>
      <c r="AEM187" s="1056"/>
      <c r="AEN187" s="1056"/>
      <c r="AEO187" s="1056"/>
      <c r="AEP187" s="1056"/>
      <c r="AEQ187" s="1056"/>
      <c r="AER187" s="1056"/>
      <c r="AES187" s="1056"/>
      <c r="AET187" s="1056"/>
      <c r="AEU187" s="1056"/>
      <c r="AEV187" s="1056"/>
      <c r="AEW187" s="1056"/>
      <c r="AEX187" s="1056"/>
      <c r="AEY187" s="1056"/>
      <c r="AEZ187" s="1056"/>
      <c r="AFA187" s="1056"/>
      <c r="AFB187" s="1056"/>
      <c r="AFC187" s="1056"/>
      <c r="AFD187" s="1056"/>
      <c r="AFE187" s="1056"/>
      <c r="AFF187" s="1056"/>
      <c r="AFG187" s="1056"/>
      <c r="AFH187" s="1056"/>
      <c r="AFI187" s="1056"/>
      <c r="AFJ187" s="1056"/>
      <c r="AFK187" s="1056"/>
      <c r="AFL187" s="1056"/>
      <c r="AFM187" s="1056"/>
      <c r="AFN187" s="1056"/>
      <c r="AFO187" s="1056"/>
      <c r="AFP187" s="1056"/>
      <c r="AFQ187" s="1056"/>
      <c r="AFR187" s="1056"/>
      <c r="AFS187" s="1056"/>
      <c r="AFT187" s="1056"/>
      <c r="AFU187" s="1056"/>
      <c r="AFV187" s="1056"/>
      <c r="AFW187" s="1056"/>
      <c r="AFX187" s="1056"/>
      <c r="AFY187" s="1056"/>
      <c r="AFZ187" s="1056"/>
      <c r="AGA187" s="1056"/>
      <c r="AGB187" s="1056"/>
      <c r="AGC187" s="1056"/>
      <c r="AGD187" s="1056"/>
      <c r="AGE187" s="1056"/>
      <c r="AGF187" s="1056"/>
      <c r="AGG187" s="1056"/>
      <c r="AGH187" s="1056"/>
      <c r="AGI187" s="1056"/>
      <c r="AGJ187" s="1056"/>
      <c r="AGK187" s="1056"/>
      <c r="AGL187" s="1056"/>
      <c r="AGM187" s="1056"/>
      <c r="AGN187" s="1056"/>
      <c r="AGO187" s="1056"/>
      <c r="AGP187" s="1056"/>
      <c r="AGQ187" s="1056"/>
      <c r="AGR187" s="1056"/>
      <c r="AGS187" s="1056"/>
      <c r="AGT187" s="1056"/>
      <c r="AGU187" s="1056"/>
      <c r="AGV187" s="1056"/>
      <c r="AGW187" s="1056"/>
      <c r="AGX187" s="1056"/>
      <c r="AGY187" s="1056"/>
      <c r="AGZ187" s="1056"/>
      <c r="AHA187" s="1056"/>
      <c r="AHB187" s="1056"/>
      <c r="AHC187" s="1056"/>
      <c r="AHD187" s="1056"/>
      <c r="AHE187" s="1056"/>
      <c r="AHF187" s="1056"/>
      <c r="AHG187" s="1056"/>
      <c r="AHH187" s="1056"/>
      <c r="AHI187" s="1056"/>
      <c r="AHJ187" s="1056"/>
      <c r="AHK187" s="1056"/>
      <c r="AHL187" s="1056"/>
      <c r="AHM187" s="1056"/>
      <c r="AHN187" s="1056"/>
      <c r="AHO187" s="1056"/>
      <c r="AHP187" s="1056"/>
      <c r="AHQ187" s="1056"/>
      <c r="AHR187" s="1056"/>
      <c r="AHS187" s="1056"/>
      <c r="AHT187" s="1056"/>
      <c r="AHU187" s="1056"/>
      <c r="AHV187" s="1056"/>
      <c r="AHW187" s="1056"/>
      <c r="AHX187" s="1056"/>
      <c r="AHY187" s="1056"/>
      <c r="AHZ187" s="1056"/>
      <c r="AIA187" s="1056"/>
      <c r="AIB187" s="1056"/>
      <c r="AIC187" s="1056"/>
      <c r="AID187" s="1056"/>
      <c r="AIE187" s="1056"/>
      <c r="AIF187" s="1056"/>
      <c r="AIG187" s="1056"/>
      <c r="AIH187" s="1056"/>
      <c r="AII187" s="1056"/>
      <c r="AIJ187" s="1056"/>
      <c r="AIK187" s="1056"/>
      <c r="AIL187" s="1056"/>
      <c r="AIM187" s="1056"/>
      <c r="AIN187" s="1056"/>
      <c r="AIO187" s="1056"/>
      <c r="AIP187" s="1056"/>
      <c r="AIQ187" s="1056"/>
      <c r="AIR187" s="1056"/>
      <c r="AIS187" s="1056"/>
      <c r="AIT187" s="1056"/>
      <c r="AIU187" s="1056"/>
      <c r="AIV187" s="1056"/>
      <c r="AIW187" s="1056"/>
      <c r="AIX187" s="1056"/>
      <c r="AIY187" s="1056"/>
      <c r="AIZ187" s="1056"/>
      <c r="AJA187" s="1056"/>
      <c r="AJB187" s="1056"/>
      <c r="AJC187" s="1056"/>
      <c r="AJD187" s="1056"/>
      <c r="AJE187" s="1056"/>
      <c r="AJF187" s="1056"/>
      <c r="AJG187" s="1056"/>
      <c r="AJH187" s="1056"/>
      <c r="AJI187" s="1056"/>
      <c r="AJJ187" s="1056"/>
      <c r="AJK187" s="1056"/>
      <c r="AJL187" s="1056"/>
      <c r="AJM187" s="1056"/>
      <c r="AJN187" s="1056"/>
      <c r="AJO187" s="1056"/>
      <c r="AJP187" s="1056"/>
      <c r="AJQ187" s="1056"/>
      <c r="AJR187" s="1056"/>
      <c r="AJS187" s="1056"/>
      <c r="AJT187" s="1056"/>
      <c r="AJU187" s="1056"/>
      <c r="AJV187" s="1056"/>
      <c r="AJW187" s="1056"/>
      <c r="AJX187" s="1056"/>
      <c r="AJY187" s="1056"/>
      <c r="AJZ187" s="1056"/>
      <c r="AKA187" s="1056"/>
      <c r="AKB187" s="1056"/>
      <c r="AKC187" s="1056"/>
      <c r="AKD187" s="1056"/>
      <c r="AKE187" s="1056"/>
      <c r="AKF187" s="1056"/>
      <c r="AKG187" s="1056"/>
      <c r="AKH187" s="1056"/>
      <c r="AKI187" s="1056"/>
      <c r="AKJ187" s="1056"/>
      <c r="AKK187" s="1056"/>
      <c r="AKL187" s="1056"/>
      <c r="AKM187" s="1056"/>
      <c r="AKN187" s="1056"/>
      <c r="AKO187" s="1056"/>
      <c r="AKP187" s="1056"/>
      <c r="AKQ187" s="1056"/>
      <c r="AKR187" s="1056"/>
      <c r="AKS187" s="1056"/>
      <c r="AKT187" s="1056"/>
      <c r="AKU187" s="1056"/>
      <c r="AKV187" s="1056"/>
      <c r="AKW187" s="1056"/>
      <c r="AKX187" s="1056"/>
      <c r="AKY187" s="1056"/>
      <c r="AKZ187" s="1056"/>
      <c r="ALA187" s="1056"/>
      <c r="ALB187" s="1056"/>
      <c r="ALC187" s="1056"/>
      <c r="ALD187" s="1056"/>
      <c r="ALE187" s="1056"/>
      <c r="ALF187" s="1056"/>
      <c r="ALG187" s="1056"/>
      <c r="ALH187" s="1056"/>
      <c r="ALI187" s="1056"/>
      <c r="ALJ187" s="1056"/>
      <c r="ALK187" s="1056"/>
      <c r="ALL187" s="1056"/>
      <c r="ALM187" s="1056"/>
      <c r="ALN187" s="1056"/>
      <c r="ALO187" s="1056"/>
      <c r="ALP187" s="1056"/>
      <c r="ALQ187" s="1056"/>
      <c r="ALR187" s="1056"/>
      <c r="ALS187" s="1056"/>
      <c r="ALT187" s="1056"/>
      <c r="ALU187" s="1056"/>
      <c r="ALV187" s="1056"/>
      <c r="ALW187" s="1056"/>
      <c r="ALX187" s="1056"/>
      <c r="ALY187" s="1056"/>
      <c r="ALZ187" s="1056"/>
      <c r="AMA187" s="1056"/>
      <c r="AMB187" s="1056"/>
      <c r="AMC187" s="1056"/>
      <c r="AMD187" s="1056"/>
      <c r="AME187" s="1056"/>
      <c r="AMF187" s="1056"/>
      <c r="AMG187" s="1056"/>
      <c r="AMH187" s="1056"/>
      <c r="AMI187" s="1056"/>
      <c r="AMJ187" s="1056"/>
      <c r="AMK187" s="1056"/>
      <c r="AML187" s="1056"/>
      <c r="AMM187" s="1056"/>
      <c r="AMN187" s="1056"/>
      <c r="AMO187" s="1056"/>
      <c r="AMP187" s="1056"/>
      <c r="AMQ187" s="1056"/>
      <c r="AMR187" s="1056"/>
      <c r="AMS187" s="1056"/>
      <c r="AMT187" s="1056"/>
      <c r="AMU187" s="1056"/>
      <c r="AMV187" s="1056"/>
      <c r="AMW187" s="1056"/>
      <c r="AMX187" s="1056"/>
      <c r="AMY187" s="1056"/>
      <c r="AMZ187" s="1056"/>
      <c r="ANA187" s="1056"/>
      <c r="ANB187" s="1056"/>
      <c r="ANC187" s="1056"/>
      <c r="AND187" s="1056"/>
      <c r="ANE187" s="1056"/>
      <c r="ANF187" s="1056"/>
      <c r="ANG187" s="1056"/>
      <c r="ANH187" s="1056"/>
      <c r="ANI187" s="1056"/>
      <c r="ANJ187" s="1056"/>
      <c r="ANK187" s="1056"/>
      <c r="ANL187" s="1056"/>
      <c r="ANM187" s="1056"/>
      <c r="ANN187" s="1056"/>
      <c r="ANO187" s="1056"/>
      <c r="ANP187" s="1056"/>
      <c r="ANQ187" s="1056"/>
      <c r="ANR187" s="1056"/>
      <c r="ANS187" s="1056"/>
      <c r="ANT187" s="1056"/>
      <c r="ANU187" s="1056"/>
      <c r="ANV187" s="1056"/>
      <c r="ANW187" s="1056"/>
      <c r="ANX187" s="1056"/>
      <c r="ANY187" s="1056"/>
      <c r="ANZ187" s="1056"/>
      <c r="AOA187" s="1056"/>
      <c r="AOB187" s="1056"/>
      <c r="AOC187" s="1056"/>
      <c r="AOD187" s="1056"/>
      <c r="AOE187" s="1056"/>
      <c r="AOF187" s="1056"/>
      <c r="AOG187" s="1056"/>
      <c r="AOH187" s="1056"/>
      <c r="AOI187" s="1056"/>
      <c r="AOJ187" s="1056"/>
      <c r="AOK187" s="1056"/>
      <c r="AOL187" s="1056"/>
      <c r="AOM187" s="1056"/>
      <c r="AON187" s="1056"/>
      <c r="AOO187" s="1056"/>
      <c r="AOP187" s="1056"/>
      <c r="AOQ187" s="1056"/>
      <c r="AOR187" s="1056"/>
      <c r="AOS187" s="1056"/>
      <c r="AOT187" s="1056"/>
      <c r="AOU187" s="1056"/>
      <c r="AOV187" s="1056"/>
      <c r="AOW187" s="1056"/>
      <c r="AOX187" s="1056"/>
      <c r="AOY187" s="1056"/>
      <c r="AOZ187" s="1056"/>
      <c r="APA187" s="1056"/>
      <c r="APB187" s="1056"/>
      <c r="APC187" s="1056"/>
      <c r="APD187" s="1056"/>
      <c r="APE187" s="1056"/>
      <c r="APF187" s="1056"/>
      <c r="APG187" s="1056"/>
      <c r="APH187" s="1056"/>
      <c r="API187" s="1056"/>
      <c r="APJ187" s="1056"/>
      <c r="APK187" s="1056"/>
      <c r="APL187" s="1056"/>
      <c r="APM187" s="1056"/>
      <c r="APN187" s="1056"/>
      <c r="APO187" s="1056"/>
      <c r="APP187" s="1056"/>
      <c r="APQ187" s="1056"/>
      <c r="APR187" s="1056"/>
      <c r="APS187" s="1056"/>
      <c r="APT187" s="1056"/>
      <c r="APU187" s="1056"/>
      <c r="APV187" s="1056"/>
      <c r="APW187" s="1056"/>
      <c r="APX187" s="1056"/>
      <c r="APY187" s="1056"/>
      <c r="APZ187" s="1056"/>
      <c r="AQA187" s="1056"/>
      <c r="AQB187" s="1056"/>
      <c r="AQC187" s="1056"/>
      <c r="AQD187" s="1056"/>
      <c r="AQE187" s="1056"/>
      <c r="AQF187" s="1056"/>
      <c r="AQG187" s="1056"/>
      <c r="AQH187" s="1056"/>
      <c r="AQI187" s="1056"/>
      <c r="AQJ187" s="1056"/>
      <c r="AQK187" s="1056"/>
      <c r="AQL187" s="1056"/>
      <c r="AQM187" s="1056"/>
      <c r="AQN187" s="1056"/>
      <c r="AQO187" s="1056"/>
      <c r="AQP187" s="1056"/>
      <c r="AQQ187" s="1056"/>
      <c r="AQR187" s="1056"/>
      <c r="AQS187" s="1056"/>
      <c r="AQT187" s="1056"/>
      <c r="AQU187" s="1056"/>
      <c r="AQV187" s="1056"/>
      <c r="AQW187" s="1056"/>
      <c r="AQX187" s="1056"/>
      <c r="AQY187" s="1056"/>
      <c r="AQZ187" s="1056"/>
      <c r="ARA187" s="1056"/>
      <c r="ARB187" s="1056"/>
      <c r="ARC187" s="1056"/>
      <c r="ARD187" s="1056"/>
      <c r="ARE187" s="1056"/>
      <c r="ARF187" s="1056"/>
      <c r="ARG187" s="1056"/>
      <c r="ARH187" s="1056"/>
      <c r="ARI187" s="1056"/>
      <c r="ARJ187" s="1056"/>
      <c r="ARK187" s="1056"/>
      <c r="ARL187" s="1056"/>
      <c r="ARM187" s="1056"/>
      <c r="ARN187" s="1056"/>
      <c r="ARO187" s="1056"/>
      <c r="ARP187" s="1056"/>
      <c r="ARQ187" s="1056"/>
      <c r="ARR187" s="1056"/>
      <c r="ARS187" s="1056"/>
      <c r="ART187" s="1056"/>
      <c r="ARU187" s="1056"/>
      <c r="ARV187" s="1056"/>
      <c r="ARW187" s="1056"/>
      <c r="ARX187" s="1056"/>
      <c r="ARY187" s="1056"/>
      <c r="ARZ187" s="1056"/>
      <c r="ASA187" s="1056"/>
      <c r="ASB187" s="1056"/>
      <c r="ASC187" s="1056"/>
      <c r="ASD187" s="1056"/>
      <c r="ASE187" s="1056"/>
      <c r="ASF187" s="1056"/>
      <c r="ASG187" s="1056"/>
      <c r="ASH187" s="1056"/>
      <c r="ASI187" s="1056"/>
      <c r="ASJ187" s="1056"/>
      <c r="ASK187" s="1056"/>
      <c r="ASL187" s="1056"/>
      <c r="ASM187" s="1056"/>
      <c r="ASN187" s="1056"/>
      <c r="ASO187" s="1056"/>
      <c r="ASP187" s="1056"/>
      <c r="ASQ187" s="1056"/>
      <c r="ASR187" s="1056"/>
      <c r="ASS187" s="1056"/>
      <c r="AST187" s="1056"/>
      <c r="ASU187" s="1056"/>
      <c r="ASV187" s="1056"/>
      <c r="ASW187" s="1056"/>
      <c r="ASX187" s="1056"/>
      <c r="ASY187" s="1056"/>
      <c r="ASZ187" s="1056"/>
      <c r="ATA187" s="1056"/>
      <c r="ATB187" s="1056"/>
      <c r="ATC187" s="1056"/>
      <c r="ATD187" s="1056"/>
      <c r="ATE187" s="1056"/>
      <c r="ATF187" s="1056"/>
      <c r="ATG187" s="1056"/>
      <c r="ATH187" s="1056"/>
      <c r="ATI187" s="1056"/>
      <c r="ATJ187" s="1056"/>
      <c r="ATK187" s="1056"/>
      <c r="ATL187" s="1056"/>
      <c r="ATM187" s="1056"/>
      <c r="ATN187" s="1056"/>
      <c r="ATO187" s="1056"/>
      <c r="ATP187" s="1056"/>
      <c r="ATQ187" s="1056"/>
      <c r="ATR187" s="1056"/>
      <c r="ATS187" s="1056"/>
      <c r="ATT187" s="1056"/>
      <c r="ATU187" s="1056"/>
      <c r="ATV187" s="1056"/>
      <c r="ATW187" s="1056"/>
      <c r="ATX187" s="1056"/>
      <c r="ATY187" s="1056"/>
      <c r="ATZ187" s="1056"/>
      <c r="AUA187" s="1056"/>
      <c r="AUB187" s="1056"/>
      <c r="AUC187" s="1056"/>
      <c r="AUD187" s="1056"/>
      <c r="AUE187" s="1056"/>
      <c r="AUF187" s="1056"/>
      <c r="AUG187" s="1056"/>
      <c r="AUH187" s="1056"/>
      <c r="AUI187" s="1056"/>
      <c r="AUJ187" s="1056"/>
      <c r="AUK187" s="1056"/>
      <c r="AUL187" s="1056"/>
      <c r="AUM187" s="1056"/>
      <c r="AUN187" s="1056"/>
      <c r="AUO187" s="1056"/>
      <c r="AUP187" s="1056"/>
      <c r="AUQ187" s="1056"/>
      <c r="AUR187" s="1056"/>
      <c r="AUS187" s="1056"/>
      <c r="AUT187" s="1056"/>
      <c r="AUU187" s="1056"/>
      <c r="AUV187" s="1056"/>
      <c r="AUW187" s="1056"/>
      <c r="AUX187" s="1056"/>
      <c r="AUY187" s="1056"/>
      <c r="AUZ187" s="1056"/>
      <c r="AVA187" s="1056"/>
      <c r="AVB187" s="1056"/>
      <c r="AVC187" s="1056"/>
      <c r="AVD187" s="1056"/>
      <c r="AVE187" s="1056"/>
      <c r="AVF187" s="1056"/>
      <c r="AVG187" s="1056"/>
      <c r="AVH187" s="1056"/>
      <c r="AVI187" s="1056"/>
      <c r="AVJ187" s="1056"/>
      <c r="AVK187" s="1056"/>
      <c r="AVL187" s="1056"/>
      <c r="AVM187" s="1056"/>
      <c r="AVN187" s="1056"/>
      <c r="AVO187" s="1056"/>
      <c r="AVP187" s="1056"/>
      <c r="AVQ187" s="1056"/>
      <c r="AVR187" s="1056"/>
      <c r="AVS187" s="1056"/>
      <c r="AVT187" s="1056"/>
      <c r="AVU187" s="1056"/>
      <c r="AVV187" s="1056"/>
      <c r="AVW187" s="1056"/>
      <c r="AVX187" s="1056"/>
      <c r="AVY187" s="1056"/>
      <c r="AVZ187" s="1056"/>
      <c r="AWA187" s="1056"/>
      <c r="AWB187" s="1056"/>
      <c r="AWC187" s="1056"/>
      <c r="AWD187" s="1056"/>
      <c r="AWE187" s="1056"/>
      <c r="AWF187" s="1056"/>
      <c r="AWG187" s="1056"/>
      <c r="AWH187" s="1056"/>
      <c r="AWI187" s="1056"/>
      <c r="AWJ187" s="1056"/>
      <c r="AWK187" s="1056"/>
      <c r="AWL187" s="1056"/>
      <c r="AWM187" s="1056"/>
      <c r="AWN187" s="1056"/>
      <c r="AWO187" s="1056"/>
      <c r="AWP187" s="1056"/>
      <c r="AWQ187" s="1056"/>
      <c r="AWR187" s="1056"/>
      <c r="AWS187" s="1056"/>
      <c r="AWT187" s="1056"/>
      <c r="AWU187" s="1056"/>
      <c r="AWV187" s="1056"/>
      <c r="AWW187" s="1056"/>
      <c r="AWX187" s="1056"/>
      <c r="AWY187" s="1056"/>
      <c r="AWZ187" s="1056"/>
      <c r="AXA187" s="1056"/>
      <c r="AXB187" s="1056"/>
      <c r="AXC187" s="1056"/>
      <c r="AXD187" s="1056"/>
      <c r="AXE187" s="1056"/>
      <c r="AXF187" s="1056"/>
      <c r="AXG187" s="1056"/>
      <c r="AXH187" s="1056"/>
      <c r="AXI187" s="1056"/>
      <c r="AXJ187" s="1056"/>
      <c r="AXK187" s="1056"/>
      <c r="AXL187" s="1056"/>
      <c r="AXM187" s="1056"/>
      <c r="AXN187" s="1056"/>
      <c r="AXO187" s="1056"/>
      <c r="AXP187" s="1056"/>
      <c r="AXQ187" s="1056"/>
      <c r="AXR187" s="1056"/>
      <c r="AXS187" s="1056"/>
      <c r="AXT187" s="1056"/>
      <c r="AXU187" s="1056"/>
      <c r="AXV187" s="1056"/>
      <c r="AXW187" s="1056"/>
      <c r="AXX187" s="1056"/>
      <c r="AXY187" s="1056"/>
      <c r="AXZ187" s="1056"/>
      <c r="AYA187" s="1056"/>
      <c r="AYB187" s="1056"/>
      <c r="AYC187" s="1056"/>
      <c r="AYD187" s="1056"/>
      <c r="AYE187" s="1056"/>
      <c r="AYF187" s="1056"/>
      <c r="AYG187" s="1056"/>
      <c r="AYH187" s="1056"/>
      <c r="AYI187" s="1056"/>
      <c r="AYJ187" s="1056"/>
      <c r="AYK187" s="1056"/>
      <c r="AYL187" s="1056"/>
      <c r="AYM187" s="1056"/>
      <c r="AYN187" s="1056"/>
      <c r="AYO187" s="1056"/>
      <c r="AYP187" s="1056"/>
      <c r="AYQ187" s="1056"/>
      <c r="AYR187" s="1056"/>
      <c r="AYS187" s="1056"/>
      <c r="AYT187" s="1056"/>
      <c r="AYU187" s="1056"/>
      <c r="AYV187" s="1056"/>
      <c r="AYW187" s="1056"/>
      <c r="AYX187" s="1056"/>
      <c r="AYY187" s="1056"/>
      <c r="AYZ187" s="1056"/>
      <c r="AZA187" s="1056"/>
      <c r="AZB187" s="1056"/>
      <c r="AZC187" s="1056"/>
      <c r="AZD187" s="1056"/>
      <c r="AZE187" s="1056"/>
      <c r="AZF187" s="1056"/>
      <c r="AZG187" s="1056"/>
      <c r="AZH187" s="1056"/>
      <c r="AZI187" s="1056"/>
      <c r="AZJ187" s="1056"/>
      <c r="AZK187" s="1056"/>
      <c r="AZL187" s="1056"/>
      <c r="AZM187" s="1056"/>
      <c r="AZN187" s="1056"/>
      <c r="AZO187" s="1056"/>
      <c r="AZP187" s="1056"/>
      <c r="AZQ187" s="1056"/>
      <c r="AZR187" s="1056"/>
      <c r="AZS187" s="1056"/>
      <c r="AZT187" s="1056"/>
      <c r="AZU187" s="1056"/>
      <c r="AZV187" s="1056"/>
      <c r="AZW187" s="1056"/>
      <c r="AZX187" s="1056"/>
      <c r="AZY187" s="1056"/>
      <c r="AZZ187" s="1056"/>
      <c r="BAA187" s="1056"/>
      <c r="BAB187" s="1056"/>
      <c r="BAC187" s="1056"/>
      <c r="BAD187" s="1056"/>
      <c r="BAE187" s="1056"/>
      <c r="BAF187" s="1056"/>
      <c r="BAG187" s="1056"/>
      <c r="BAH187" s="1056"/>
      <c r="BAI187" s="1056"/>
      <c r="BAJ187" s="1056"/>
      <c r="BAK187" s="1056"/>
      <c r="BAL187" s="1056"/>
      <c r="BAM187" s="1056"/>
      <c r="BAN187" s="1056"/>
      <c r="BAO187" s="1056"/>
      <c r="BAP187" s="1056"/>
      <c r="BAQ187" s="1056"/>
      <c r="BAR187" s="1056"/>
      <c r="BAS187" s="1056"/>
      <c r="BAT187" s="1056"/>
      <c r="BAU187" s="1056"/>
      <c r="BAV187" s="1056"/>
      <c r="BAW187" s="1056"/>
      <c r="BAX187" s="1056"/>
      <c r="BAY187" s="1056"/>
      <c r="BAZ187" s="1056"/>
      <c r="BBA187" s="1056"/>
      <c r="BBB187" s="1056"/>
      <c r="BBC187" s="1056"/>
      <c r="BBD187" s="1056"/>
      <c r="BBE187" s="1056"/>
      <c r="BBF187" s="1056"/>
      <c r="BBG187" s="1056"/>
      <c r="BBH187" s="1056"/>
      <c r="BBI187" s="1056"/>
      <c r="BBJ187" s="1056"/>
      <c r="BBK187" s="1056"/>
      <c r="BBL187" s="1056"/>
      <c r="BBM187" s="1056"/>
      <c r="BBN187" s="1056"/>
      <c r="BBO187" s="1056"/>
      <c r="BBP187" s="1056"/>
      <c r="BBQ187" s="1056"/>
      <c r="BBR187" s="1056"/>
      <c r="BBS187" s="1056"/>
      <c r="BBT187" s="1056"/>
      <c r="BBU187" s="1056"/>
      <c r="BBV187" s="1056"/>
      <c r="BBW187" s="1056"/>
      <c r="BBX187" s="1056"/>
      <c r="BBY187" s="1056"/>
      <c r="BBZ187" s="1056"/>
      <c r="BCA187" s="1056"/>
      <c r="BCB187" s="1056"/>
      <c r="BCC187" s="1056"/>
      <c r="BCD187" s="1056"/>
      <c r="BCE187" s="1056"/>
      <c r="BCF187" s="1056"/>
      <c r="BCG187" s="1056"/>
      <c r="BCH187" s="1056"/>
      <c r="BCI187" s="1056"/>
      <c r="BCJ187" s="1056"/>
      <c r="BCK187" s="1056"/>
      <c r="BCL187" s="1056"/>
      <c r="BCM187" s="1056"/>
      <c r="BCN187" s="1056"/>
      <c r="BCO187" s="1056"/>
      <c r="BCP187" s="1056"/>
      <c r="BCQ187" s="1056"/>
      <c r="BCR187" s="1056"/>
      <c r="BCS187" s="1056"/>
      <c r="BCT187" s="1056"/>
      <c r="BCU187" s="1056"/>
      <c r="BCV187" s="1056"/>
      <c r="BCW187" s="1056"/>
      <c r="BCX187" s="1056"/>
      <c r="BCY187" s="1056"/>
      <c r="BCZ187" s="1056"/>
      <c r="BDA187" s="1056"/>
      <c r="BDB187" s="1056"/>
      <c r="BDC187" s="1056"/>
      <c r="BDD187" s="1056"/>
      <c r="BDE187" s="1056"/>
      <c r="BDF187" s="1056"/>
      <c r="BDG187" s="1056"/>
      <c r="BDH187" s="1056"/>
      <c r="BDI187" s="1056"/>
      <c r="BDJ187" s="1056"/>
      <c r="BDK187" s="1056"/>
      <c r="BDL187" s="1056"/>
      <c r="BDM187" s="1056"/>
      <c r="BDN187" s="1056"/>
      <c r="BDO187" s="1056"/>
      <c r="BDP187" s="1056"/>
      <c r="BDQ187" s="1056"/>
      <c r="BDR187" s="1056"/>
      <c r="BDS187" s="1056"/>
      <c r="BDT187" s="1056"/>
      <c r="BDU187" s="1056"/>
      <c r="BDV187" s="1056"/>
      <c r="BDW187" s="1056"/>
      <c r="BDX187" s="1056"/>
      <c r="BDY187" s="1056"/>
      <c r="BDZ187" s="1056"/>
      <c r="BEA187" s="1056"/>
      <c r="BEB187" s="1056"/>
      <c r="BEC187" s="1056"/>
      <c r="BED187" s="1056"/>
      <c r="BEE187" s="1056"/>
      <c r="BEF187" s="1056"/>
      <c r="BEG187" s="1056"/>
      <c r="BEH187" s="1056"/>
      <c r="BEI187" s="1056"/>
      <c r="BEJ187" s="1056"/>
      <c r="BEK187" s="1056"/>
      <c r="BEL187" s="1056"/>
      <c r="BEM187" s="1056"/>
      <c r="BEN187" s="1056"/>
      <c r="BEO187" s="1056"/>
      <c r="BEP187" s="1056"/>
      <c r="BEQ187" s="1056"/>
      <c r="BER187" s="1056"/>
      <c r="BES187" s="1056"/>
      <c r="BET187" s="1056"/>
      <c r="BEU187" s="1056"/>
      <c r="BEV187" s="1056"/>
      <c r="BEW187" s="1056"/>
      <c r="BEX187" s="1056"/>
      <c r="BEY187" s="1056"/>
      <c r="BEZ187" s="1056"/>
      <c r="BFA187" s="1056"/>
      <c r="BFB187" s="1056"/>
      <c r="BFC187" s="1056"/>
      <c r="BFD187" s="1056"/>
      <c r="BFE187" s="1056"/>
      <c r="BFF187" s="1056"/>
      <c r="BFG187" s="1056"/>
      <c r="BFH187" s="1056"/>
      <c r="BFI187" s="1056"/>
      <c r="BFJ187" s="1056"/>
      <c r="BFK187" s="1056"/>
      <c r="BFL187" s="1056"/>
      <c r="BFM187" s="1056"/>
      <c r="BFN187" s="1056"/>
      <c r="BFO187" s="1056"/>
      <c r="BFP187" s="1056"/>
      <c r="BFQ187" s="1056"/>
      <c r="BFR187" s="1056"/>
      <c r="BFS187" s="1056"/>
      <c r="BFT187" s="1056"/>
      <c r="BFU187" s="1056"/>
      <c r="BFV187" s="1056"/>
      <c r="BFW187" s="1056"/>
      <c r="BFX187" s="1056"/>
      <c r="BFY187" s="1056"/>
      <c r="BFZ187" s="1056"/>
      <c r="BGA187" s="1056"/>
      <c r="BGB187" s="1056"/>
      <c r="BGC187" s="1056"/>
      <c r="BGD187" s="1056"/>
      <c r="BGE187" s="1056"/>
      <c r="BGF187" s="1056"/>
      <c r="BGG187" s="1056"/>
      <c r="BGH187" s="1056"/>
      <c r="BGI187" s="1056"/>
      <c r="BGJ187" s="1056"/>
      <c r="BGK187" s="1056"/>
      <c r="BGL187" s="1056"/>
      <c r="BGM187" s="1056"/>
      <c r="BGN187" s="1056"/>
      <c r="BGO187" s="1056"/>
      <c r="BGP187" s="1056"/>
      <c r="BGQ187" s="1056"/>
      <c r="BGR187" s="1056"/>
      <c r="BGS187" s="1056"/>
      <c r="BGT187" s="1056"/>
      <c r="BGU187" s="1056"/>
      <c r="BGV187" s="1056"/>
      <c r="BGW187" s="1056"/>
      <c r="BGX187" s="1056"/>
      <c r="BGY187" s="1056"/>
      <c r="BGZ187" s="1056"/>
      <c r="BHA187" s="1056"/>
      <c r="BHB187" s="1056"/>
      <c r="BHC187" s="1056"/>
      <c r="BHD187" s="1056"/>
      <c r="BHE187" s="1056"/>
      <c r="BHF187" s="1056"/>
      <c r="BHG187" s="1056"/>
      <c r="BHH187" s="1056"/>
      <c r="BHI187" s="1056"/>
      <c r="BHJ187" s="1056"/>
      <c r="BHK187" s="1056"/>
      <c r="BHL187" s="1056"/>
      <c r="BHM187" s="1056"/>
      <c r="BHN187" s="1056"/>
      <c r="BHO187" s="1056"/>
      <c r="BHP187" s="1056"/>
      <c r="BHQ187" s="1056"/>
      <c r="BHR187" s="1056"/>
      <c r="BHS187" s="1056"/>
      <c r="BHT187" s="1056"/>
      <c r="BHU187" s="1056"/>
      <c r="BHV187" s="1056"/>
      <c r="BHW187" s="1056"/>
      <c r="BHX187" s="1056"/>
      <c r="BHY187" s="1056"/>
      <c r="BHZ187" s="1056"/>
      <c r="BIA187" s="1056"/>
      <c r="BIB187" s="1056"/>
      <c r="BIC187" s="1056"/>
      <c r="BID187" s="1056"/>
      <c r="BIE187" s="1056"/>
      <c r="BIF187" s="1056"/>
      <c r="BIG187" s="1056"/>
      <c r="BIH187" s="1056"/>
      <c r="BII187" s="1056"/>
      <c r="BIJ187" s="1056"/>
      <c r="BIK187" s="1056"/>
      <c r="BIL187" s="1056"/>
      <c r="BIM187" s="1056"/>
      <c r="BIN187" s="1056"/>
      <c r="BIO187" s="1056"/>
      <c r="BIP187" s="1056"/>
      <c r="BIQ187" s="1056"/>
      <c r="BIR187" s="1056"/>
      <c r="BIS187" s="1056"/>
      <c r="BIT187" s="1056"/>
      <c r="BIU187" s="1056"/>
      <c r="BIV187" s="1056"/>
      <c r="BIW187" s="1056"/>
      <c r="BIX187" s="1056"/>
      <c r="BIY187" s="1056"/>
      <c r="BIZ187" s="1056"/>
      <c r="BJA187" s="1056"/>
      <c r="BJB187" s="1056"/>
      <c r="BJC187" s="1056"/>
      <c r="BJD187" s="1056"/>
      <c r="BJE187" s="1056"/>
      <c r="BJF187" s="1056"/>
      <c r="BJG187" s="1056"/>
      <c r="BJH187" s="1056"/>
      <c r="BJI187" s="1056"/>
      <c r="BJJ187" s="1056"/>
      <c r="BJK187" s="1056"/>
      <c r="BJL187" s="1056"/>
      <c r="BJM187" s="1056"/>
      <c r="BJN187" s="1056"/>
      <c r="BJO187" s="1056"/>
      <c r="BJP187" s="1056"/>
      <c r="BJQ187" s="1056"/>
      <c r="BJR187" s="1056"/>
      <c r="BJS187" s="1056"/>
      <c r="BJT187" s="1056"/>
      <c r="BJU187" s="1056"/>
      <c r="BJV187" s="1056"/>
      <c r="BJW187" s="1056"/>
      <c r="BJX187" s="1056"/>
      <c r="BJY187" s="1056"/>
      <c r="BJZ187" s="1056"/>
      <c r="BKA187" s="1056"/>
      <c r="BKB187" s="1056"/>
      <c r="BKC187" s="1056"/>
      <c r="BKD187" s="1056"/>
      <c r="BKE187" s="1056"/>
      <c r="BKF187" s="1056"/>
      <c r="BKG187" s="1056"/>
      <c r="BKH187" s="1056"/>
      <c r="BKI187" s="1056"/>
      <c r="BKJ187" s="1056"/>
      <c r="BKK187" s="1056"/>
      <c r="BKL187" s="1056"/>
      <c r="BKM187" s="1056"/>
      <c r="BKN187" s="1056"/>
      <c r="BKO187" s="1056"/>
      <c r="BKP187" s="1056"/>
      <c r="BKQ187" s="1056"/>
      <c r="BKR187" s="1056"/>
      <c r="BKS187" s="1056"/>
      <c r="BKT187" s="1056"/>
      <c r="BKU187" s="1056"/>
      <c r="BKV187" s="1056"/>
      <c r="BKW187" s="1056"/>
      <c r="BKX187" s="1056"/>
      <c r="BKY187" s="1056"/>
      <c r="BKZ187" s="1056"/>
      <c r="BLA187" s="1056"/>
      <c r="BLB187" s="1056"/>
      <c r="BLC187" s="1056"/>
      <c r="BLD187" s="1056"/>
      <c r="BLE187" s="1056"/>
      <c r="BLF187" s="1056"/>
      <c r="BLG187" s="1056"/>
      <c r="BLH187" s="1056"/>
      <c r="BLI187" s="1056"/>
      <c r="BLJ187" s="1056"/>
      <c r="BLK187" s="1056"/>
      <c r="BLL187" s="1056"/>
      <c r="BLM187" s="1056"/>
      <c r="BLN187" s="1056"/>
      <c r="BLO187" s="1056"/>
      <c r="BLP187" s="1056"/>
      <c r="BLQ187" s="1056"/>
      <c r="BLR187" s="1056"/>
      <c r="BLS187" s="1056"/>
      <c r="BLT187" s="1056"/>
      <c r="BLU187" s="1056"/>
      <c r="BLV187" s="1056"/>
      <c r="BLW187" s="1056"/>
      <c r="BLX187" s="1056"/>
      <c r="BLY187" s="1056"/>
      <c r="BLZ187" s="1056"/>
      <c r="BMA187" s="1056"/>
      <c r="BMB187" s="1056"/>
      <c r="BMC187" s="1056"/>
      <c r="BMD187" s="1056"/>
      <c r="BME187" s="1056"/>
      <c r="BMF187" s="1056"/>
      <c r="BMG187" s="1056"/>
      <c r="BMH187" s="1056"/>
      <c r="BMI187" s="1056"/>
      <c r="BMJ187" s="1056"/>
      <c r="BMK187" s="1056"/>
      <c r="BML187" s="1056"/>
      <c r="BMM187" s="1056"/>
      <c r="BMN187" s="1056"/>
      <c r="BMO187" s="1056"/>
      <c r="BMP187" s="1056"/>
      <c r="BMQ187" s="1056"/>
      <c r="BMR187" s="1056"/>
      <c r="BMS187" s="1056"/>
      <c r="BMT187" s="1056"/>
      <c r="BMU187" s="1056"/>
      <c r="BMV187" s="1056"/>
      <c r="BMW187" s="1056"/>
      <c r="BMX187" s="1056"/>
      <c r="BMY187" s="1056"/>
      <c r="BMZ187" s="1056"/>
      <c r="BNA187" s="1056"/>
      <c r="BNB187" s="1056"/>
      <c r="BNC187" s="1056"/>
      <c r="BND187" s="1056"/>
      <c r="BNE187" s="1056"/>
      <c r="BNF187" s="1056"/>
      <c r="BNG187" s="1056"/>
      <c r="BNH187" s="1056"/>
      <c r="BNI187" s="1056"/>
      <c r="BNJ187" s="1056"/>
      <c r="BNK187" s="1056"/>
      <c r="BNL187" s="1056"/>
      <c r="BNM187" s="1056"/>
      <c r="BNN187" s="1056"/>
      <c r="BNO187" s="1056"/>
      <c r="BNP187" s="1056"/>
      <c r="BNQ187" s="1056"/>
      <c r="BNR187" s="1056"/>
      <c r="BNS187" s="1056"/>
      <c r="BNT187" s="1056"/>
      <c r="BNU187" s="1056"/>
      <c r="BNV187" s="1056"/>
      <c r="BNW187" s="1056"/>
      <c r="BNX187" s="1056"/>
      <c r="BNY187" s="1056"/>
      <c r="BNZ187" s="1056"/>
      <c r="BOA187" s="1056"/>
      <c r="BOB187" s="1056"/>
      <c r="BOC187" s="1056"/>
      <c r="BOD187" s="1056"/>
      <c r="BOE187" s="1056"/>
      <c r="BOF187" s="1056"/>
      <c r="BOG187" s="1056"/>
      <c r="BOH187" s="1056"/>
      <c r="BOI187" s="1056"/>
      <c r="BOJ187" s="1056"/>
      <c r="BOK187" s="1056"/>
      <c r="BOL187" s="1056"/>
      <c r="BOM187" s="1056"/>
      <c r="BON187" s="1056"/>
      <c r="BOO187" s="1056"/>
      <c r="BOP187" s="1056"/>
      <c r="BOQ187" s="1056"/>
      <c r="BOR187" s="1056"/>
      <c r="BOS187" s="1056"/>
      <c r="BOT187" s="1056"/>
      <c r="BOU187" s="1056"/>
      <c r="BOV187" s="1056"/>
      <c r="BOW187" s="1056"/>
      <c r="BOX187" s="1056"/>
      <c r="BOY187" s="1056"/>
      <c r="BOZ187" s="1056"/>
      <c r="BPA187" s="1056"/>
      <c r="BPB187" s="1056"/>
      <c r="BPC187" s="1056"/>
      <c r="BPD187" s="1056"/>
      <c r="BPE187" s="1056"/>
      <c r="BPF187" s="1056"/>
      <c r="BPG187" s="1056"/>
      <c r="BPH187" s="1056"/>
      <c r="BPI187" s="1056"/>
      <c r="BPJ187" s="1056"/>
      <c r="BPK187" s="1056"/>
      <c r="BPL187" s="1056"/>
      <c r="BPM187" s="1056"/>
      <c r="BPN187" s="1056"/>
      <c r="BPO187" s="1056"/>
      <c r="BPP187" s="1056"/>
      <c r="BPQ187" s="1056"/>
      <c r="BPR187" s="1056"/>
      <c r="BPS187" s="1056"/>
      <c r="BPT187" s="1056"/>
      <c r="BPU187" s="1056"/>
      <c r="BPV187" s="1056"/>
      <c r="BPW187" s="1056"/>
      <c r="BPX187" s="1056"/>
      <c r="BPY187" s="1056"/>
      <c r="BPZ187" s="1056"/>
      <c r="BQA187" s="1056"/>
      <c r="BQB187" s="1056"/>
      <c r="BQC187" s="1056"/>
      <c r="BQD187" s="1056"/>
      <c r="BQE187" s="1056"/>
      <c r="BQF187" s="1056"/>
      <c r="BQG187" s="1056"/>
      <c r="BQH187" s="1056"/>
      <c r="BQI187" s="1056"/>
      <c r="BQJ187" s="1056"/>
      <c r="BQK187" s="1056"/>
      <c r="BQL187" s="1056"/>
      <c r="BQM187" s="1056"/>
      <c r="BQN187" s="1056"/>
      <c r="BQO187" s="1056"/>
      <c r="BQP187" s="1056"/>
      <c r="BQQ187" s="1056"/>
      <c r="BQR187" s="1056"/>
      <c r="BQS187" s="1056"/>
      <c r="BQT187" s="1056"/>
      <c r="BQU187" s="1056"/>
      <c r="BQV187" s="1056"/>
      <c r="BQW187" s="1056"/>
      <c r="BQX187" s="1056"/>
      <c r="BQY187" s="1056"/>
      <c r="BQZ187" s="1056"/>
      <c r="BRA187" s="1056"/>
      <c r="BRB187" s="1056"/>
      <c r="BRC187" s="1056"/>
      <c r="BRD187" s="1056"/>
      <c r="BRE187" s="1056"/>
      <c r="BRF187" s="1056"/>
      <c r="BRG187" s="1056"/>
      <c r="BRH187" s="1056"/>
      <c r="BRI187" s="1056"/>
      <c r="BRJ187" s="1056"/>
      <c r="BRK187" s="1056"/>
      <c r="BRL187" s="1056"/>
      <c r="BRM187" s="1056"/>
      <c r="BRN187" s="1056"/>
      <c r="BRO187" s="1056"/>
      <c r="BRP187" s="1056"/>
      <c r="BRQ187" s="1056"/>
      <c r="BRR187" s="1056"/>
      <c r="BRS187" s="1056"/>
      <c r="BRT187" s="1056"/>
      <c r="BRU187" s="1056"/>
      <c r="BRV187" s="1056"/>
      <c r="BRW187" s="1056"/>
      <c r="BRX187" s="1056"/>
      <c r="BRY187" s="1056"/>
      <c r="BRZ187" s="1056"/>
      <c r="BSA187" s="1056"/>
      <c r="BSB187" s="1056"/>
      <c r="BSC187" s="1056"/>
      <c r="BSD187" s="1056"/>
      <c r="BSE187" s="1056"/>
      <c r="BSF187" s="1056"/>
      <c r="BSG187" s="1056"/>
      <c r="BSH187" s="1056"/>
      <c r="BSI187" s="1056"/>
      <c r="BSJ187" s="1056"/>
      <c r="BSK187" s="1056"/>
      <c r="BSL187" s="1056"/>
      <c r="BSM187" s="1056"/>
      <c r="BSN187" s="1056"/>
      <c r="BSO187" s="1056"/>
      <c r="BSP187" s="1056"/>
      <c r="BSQ187" s="1056"/>
      <c r="BSR187" s="1056"/>
      <c r="BSS187" s="1056"/>
      <c r="BST187" s="1056"/>
      <c r="BSU187" s="1056"/>
      <c r="BSV187" s="1056"/>
      <c r="BSW187" s="1056"/>
      <c r="BSX187" s="1056"/>
      <c r="BSY187" s="1056"/>
      <c r="BSZ187" s="1056"/>
      <c r="BTA187" s="1056"/>
      <c r="BTB187" s="1056"/>
      <c r="BTC187" s="1056"/>
      <c r="BTD187" s="1056"/>
      <c r="BTE187" s="1056"/>
      <c r="BTF187" s="1056"/>
      <c r="BTG187" s="1056"/>
      <c r="BTH187" s="1056"/>
      <c r="BTI187" s="1056"/>
    </row>
    <row r="188" spans="1:1881" s="1060" customFormat="1" ht="87.75" hidden="1" customHeight="1" x14ac:dyDescent="0.3">
      <c r="A188" s="1059">
        <v>93</v>
      </c>
      <c r="B188" s="808" t="s">
        <v>66</v>
      </c>
      <c r="C188" s="808" t="s">
        <v>1422</v>
      </c>
      <c r="D188" s="1084" t="s">
        <v>159</v>
      </c>
      <c r="E188" s="1053" t="e">
        <f>HLOOKUP($D$2,'2020 Data(H)'!$C$1:$AI$426,55,FALSE)</f>
        <v>#N/A</v>
      </c>
      <c r="F188" s="286">
        <v>0</v>
      </c>
      <c r="G188" s="722">
        <f>IF(F187&gt;F188,"Error: Charges for services exceed total operating revenues. Account number 97&gt;93",)</f>
        <v>0</v>
      </c>
      <c r="H188" s="764"/>
      <c r="I188" s="1055"/>
      <c r="J188" s="1056"/>
      <c r="K188" s="1056"/>
      <c r="L188" s="1056"/>
      <c r="M188" s="1056"/>
      <c r="N188" s="1058"/>
      <c r="O188" s="1056"/>
      <c r="P188" s="1056"/>
      <c r="Q188" s="1056"/>
      <c r="R188" s="1056"/>
      <c r="S188" s="1056"/>
      <c r="T188" s="1056"/>
      <c r="U188" s="1056"/>
      <c r="V188" s="1056"/>
      <c r="W188" s="1056"/>
      <c r="X188" s="1056"/>
      <c r="Y188" s="1056"/>
      <c r="Z188" s="1059"/>
      <c r="AA188" s="1059"/>
      <c r="AB188" s="1059"/>
      <c r="AC188" s="1059"/>
      <c r="AD188" s="1059"/>
      <c r="AE188" s="1059"/>
      <c r="AF188" s="1059"/>
      <c r="AG188" s="1059"/>
      <c r="AH188" s="1059"/>
      <c r="AI188" s="1059"/>
      <c r="AJ188" s="1059"/>
      <c r="AK188" s="1059"/>
      <c r="AL188" s="1059"/>
      <c r="AM188" s="1059"/>
      <c r="AN188" s="1059"/>
      <c r="AO188" s="1059"/>
      <c r="AP188" s="1059"/>
      <c r="AQ188" s="1059"/>
      <c r="AR188" s="1059"/>
      <c r="AS188" s="1056"/>
      <c r="AT188" s="1056"/>
      <c r="AU188" s="1056"/>
      <c r="AV188" s="1056"/>
      <c r="AW188" s="1056"/>
      <c r="AX188" s="1056"/>
      <c r="AY188" s="1056"/>
      <c r="AZ188" s="1056"/>
      <c r="BA188" s="1056"/>
      <c r="BB188" s="1056"/>
      <c r="BC188" s="1056"/>
      <c r="BD188" s="1056"/>
      <c r="BE188" s="1056"/>
      <c r="BF188" s="1056"/>
      <c r="BG188" s="1056"/>
      <c r="BH188" s="1056"/>
      <c r="BI188" s="1056"/>
      <c r="BJ188" s="1056"/>
      <c r="BK188" s="1056"/>
      <c r="BL188" s="1056"/>
      <c r="BM188" s="1056"/>
      <c r="BN188" s="1056"/>
      <c r="BO188" s="1056"/>
      <c r="BP188" s="1056"/>
      <c r="BQ188" s="1056"/>
      <c r="BR188" s="1056"/>
      <c r="BS188" s="1056"/>
      <c r="BT188" s="1056"/>
      <c r="BU188" s="1056"/>
      <c r="BV188" s="1056"/>
      <c r="BW188" s="1056"/>
      <c r="BX188" s="1056"/>
      <c r="BY188" s="1056"/>
      <c r="BZ188" s="1056"/>
      <c r="CA188" s="1056"/>
      <c r="CB188" s="1056"/>
      <c r="CC188" s="1056"/>
      <c r="CD188" s="1056"/>
      <c r="CE188" s="1056"/>
      <c r="CF188" s="1056"/>
      <c r="CG188" s="1056"/>
      <c r="CH188" s="1056"/>
      <c r="CI188" s="1056"/>
      <c r="CJ188" s="1056"/>
      <c r="CK188" s="1056"/>
      <c r="CL188" s="1056"/>
      <c r="CM188" s="1056"/>
      <c r="CN188" s="1056"/>
      <c r="CO188" s="1056"/>
      <c r="CP188" s="1056"/>
      <c r="CQ188" s="1056"/>
      <c r="CR188" s="1056"/>
      <c r="CS188" s="1056"/>
      <c r="CT188" s="1056"/>
      <c r="CU188" s="1056"/>
      <c r="CV188" s="1056"/>
      <c r="CW188" s="1056"/>
      <c r="CX188" s="1056"/>
      <c r="CY188" s="1056"/>
      <c r="CZ188" s="1056"/>
      <c r="DA188" s="1056"/>
      <c r="DB188" s="1056"/>
      <c r="DC188" s="1056"/>
      <c r="DD188" s="1056"/>
      <c r="DE188" s="1056"/>
      <c r="DF188" s="1056"/>
      <c r="DG188" s="1056"/>
      <c r="DH188" s="1056"/>
      <c r="DI188" s="1056"/>
      <c r="DJ188" s="1056"/>
      <c r="DK188" s="1056"/>
      <c r="DL188" s="1056"/>
      <c r="DM188" s="1056"/>
      <c r="DN188" s="1056"/>
      <c r="DO188" s="1056"/>
      <c r="DP188" s="1056"/>
      <c r="DQ188" s="1056"/>
      <c r="DR188" s="1056"/>
      <c r="DS188" s="1056"/>
      <c r="DT188" s="1056"/>
      <c r="DU188" s="1056"/>
      <c r="DV188" s="1056"/>
      <c r="DW188" s="1056"/>
      <c r="DX188" s="1056"/>
      <c r="DY188" s="1056"/>
      <c r="DZ188" s="1056"/>
      <c r="EA188" s="1056"/>
      <c r="EB188" s="1056"/>
      <c r="EC188" s="1056"/>
      <c r="ED188" s="1056"/>
      <c r="EE188" s="1056"/>
      <c r="EF188" s="1056"/>
      <c r="EG188" s="1056"/>
      <c r="EH188" s="1056"/>
      <c r="EI188" s="1056"/>
      <c r="EJ188" s="1056"/>
      <c r="EK188" s="1056"/>
      <c r="EL188" s="1056"/>
      <c r="EM188" s="1056"/>
      <c r="EN188" s="1056"/>
      <c r="EO188" s="1056"/>
      <c r="EP188" s="1056"/>
      <c r="EQ188" s="1056"/>
      <c r="ER188" s="1056"/>
      <c r="ES188" s="1056"/>
      <c r="ET188" s="1056"/>
      <c r="EU188" s="1056"/>
      <c r="EV188" s="1056"/>
      <c r="EW188" s="1056"/>
      <c r="EX188" s="1056"/>
      <c r="EY188" s="1056"/>
      <c r="EZ188" s="1056"/>
      <c r="FA188" s="1056"/>
      <c r="FB188" s="1056"/>
      <c r="FC188" s="1056"/>
      <c r="FD188" s="1056"/>
      <c r="FE188" s="1056"/>
      <c r="FF188" s="1056"/>
      <c r="FG188" s="1056"/>
      <c r="FH188" s="1056"/>
      <c r="FI188" s="1056"/>
      <c r="FJ188" s="1056"/>
      <c r="FK188" s="1056"/>
      <c r="FL188" s="1056"/>
      <c r="FM188" s="1056"/>
      <c r="FN188" s="1056"/>
      <c r="FO188" s="1056"/>
      <c r="FP188" s="1056"/>
      <c r="FQ188" s="1056"/>
      <c r="FR188" s="1056"/>
      <c r="FS188" s="1056"/>
      <c r="FT188" s="1056"/>
      <c r="FU188" s="1056"/>
      <c r="FV188" s="1056"/>
      <c r="FW188" s="1056"/>
      <c r="FX188" s="1056"/>
      <c r="FY188" s="1056"/>
      <c r="FZ188" s="1056"/>
      <c r="GA188" s="1056"/>
      <c r="GB188" s="1056"/>
      <c r="GC188" s="1056"/>
      <c r="GD188" s="1056"/>
      <c r="GE188" s="1056"/>
      <c r="GF188" s="1056"/>
      <c r="GG188" s="1056"/>
      <c r="GH188" s="1056"/>
      <c r="GI188" s="1056"/>
      <c r="GJ188" s="1056"/>
      <c r="GK188" s="1056"/>
      <c r="GL188" s="1056"/>
      <c r="GM188" s="1056"/>
      <c r="GN188" s="1056"/>
      <c r="GO188" s="1056"/>
      <c r="GP188" s="1056"/>
      <c r="GQ188" s="1056"/>
      <c r="GR188" s="1056"/>
      <c r="GS188" s="1056"/>
      <c r="GT188" s="1056"/>
      <c r="GU188" s="1056"/>
      <c r="GV188" s="1056"/>
      <c r="GW188" s="1056"/>
      <c r="GX188" s="1056"/>
      <c r="GY188" s="1056"/>
      <c r="GZ188" s="1056"/>
      <c r="HA188" s="1056"/>
      <c r="HB188" s="1056"/>
      <c r="HC188" s="1056"/>
      <c r="HD188" s="1056"/>
      <c r="HE188" s="1056"/>
      <c r="HF188" s="1056"/>
      <c r="HG188" s="1056"/>
      <c r="HH188" s="1056"/>
      <c r="HI188" s="1056"/>
      <c r="HJ188" s="1056"/>
      <c r="HK188" s="1056"/>
      <c r="HL188" s="1056"/>
      <c r="HM188" s="1056"/>
      <c r="HN188" s="1056"/>
      <c r="HO188" s="1056"/>
      <c r="HP188" s="1056"/>
      <c r="HQ188" s="1056"/>
      <c r="HR188" s="1056"/>
      <c r="HS188" s="1056"/>
      <c r="HT188" s="1056"/>
      <c r="HU188" s="1056"/>
      <c r="HV188" s="1056"/>
      <c r="HW188" s="1056"/>
      <c r="HX188" s="1056"/>
      <c r="HY188" s="1056"/>
      <c r="HZ188" s="1056"/>
      <c r="IA188" s="1056"/>
      <c r="IB188" s="1056"/>
      <c r="IC188" s="1056"/>
      <c r="ID188" s="1056"/>
      <c r="IE188" s="1056"/>
      <c r="IF188" s="1056"/>
      <c r="IG188" s="1056"/>
      <c r="IH188" s="1056"/>
      <c r="II188" s="1056"/>
      <c r="IJ188" s="1056"/>
      <c r="IK188" s="1056"/>
      <c r="IL188" s="1056"/>
      <c r="IM188" s="1056"/>
      <c r="IN188" s="1056"/>
      <c r="IO188" s="1056"/>
      <c r="IP188" s="1056"/>
      <c r="IQ188" s="1056"/>
      <c r="IR188" s="1056"/>
      <c r="IS188" s="1056"/>
      <c r="IT188" s="1056"/>
      <c r="IU188" s="1056"/>
      <c r="IV188" s="1056"/>
      <c r="IW188" s="1056"/>
      <c r="IX188" s="1056"/>
      <c r="IY188" s="1056"/>
      <c r="IZ188" s="1056"/>
      <c r="JA188" s="1056"/>
      <c r="JB188" s="1056"/>
      <c r="JC188" s="1056"/>
      <c r="JD188" s="1056"/>
      <c r="JE188" s="1056"/>
      <c r="JF188" s="1056"/>
      <c r="JG188" s="1056"/>
      <c r="JH188" s="1056"/>
      <c r="JI188" s="1056"/>
      <c r="JJ188" s="1056"/>
      <c r="JK188" s="1056"/>
      <c r="JL188" s="1056"/>
      <c r="JM188" s="1056"/>
      <c r="JN188" s="1056"/>
      <c r="JO188" s="1056"/>
      <c r="JP188" s="1056"/>
      <c r="JQ188" s="1056"/>
      <c r="JR188" s="1056"/>
      <c r="JS188" s="1056"/>
      <c r="JT188" s="1056"/>
      <c r="JU188" s="1056"/>
      <c r="JV188" s="1056"/>
      <c r="JW188" s="1056"/>
      <c r="JX188" s="1056"/>
      <c r="JY188" s="1056"/>
      <c r="JZ188" s="1056"/>
      <c r="KA188" s="1056"/>
      <c r="KB188" s="1056"/>
      <c r="KC188" s="1056"/>
      <c r="KD188" s="1056"/>
      <c r="KE188" s="1056"/>
      <c r="KF188" s="1056"/>
      <c r="KG188" s="1056"/>
      <c r="KH188" s="1056"/>
      <c r="KI188" s="1056"/>
      <c r="KJ188" s="1056"/>
      <c r="KK188" s="1056"/>
      <c r="KL188" s="1056"/>
      <c r="KM188" s="1056"/>
      <c r="KN188" s="1056"/>
      <c r="KO188" s="1056"/>
      <c r="KP188" s="1056"/>
      <c r="KQ188" s="1056"/>
      <c r="KR188" s="1056"/>
      <c r="KS188" s="1056"/>
      <c r="KT188" s="1056"/>
      <c r="KU188" s="1056"/>
      <c r="KV188" s="1056"/>
      <c r="KW188" s="1056"/>
      <c r="KX188" s="1056"/>
      <c r="KY188" s="1056"/>
      <c r="KZ188" s="1056"/>
      <c r="LA188" s="1056"/>
      <c r="LB188" s="1056"/>
      <c r="LC188" s="1056"/>
      <c r="LD188" s="1056"/>
      <c r="LE188" s="1056"/>
      <c r="LF188" s="1056"/>
      <c r="LG188" s="1056"/>
      <c r="LH188" s="1056"/>
      <c r="LI188" s="1056"/>
      <c r="LJ188" s="1056"/>
      <c r="LK188" s="1056"/>
      <c r="LL188" s="1056"/>
      <c r="LM188" s="1056"/>
      <c r="LN188" s="1056"/>
      <c r="LO188" s="1056"/>
      <c r="LP188" s="1056"/>
      <c r="LQ188" s="1056"/>
      <c r="LR188" s="1056"/>
      <c r="LS188" s="1056"/>
      <c r="LT188" s="1056"/>
      <c r="LU188" s="1056"/>
      <c r="LV188" s="1056"/>
      <c r="LW188" s="1056"/>
      <c r="LX188" s="1056"/>
      <c r="LY188" s="1056"/>
      <c r="LZ188" s="1056"/>
      <c r="MA188" s="1056"/>
      <c r="MB188" s="1056"/>
      <c r="MC188" s="1056"/>
      <c r="MD188" s="1056"/>
      <c r="ME188" s="1056"/>
      <c r="MF188" s="1056"/>
      <c r="MG188" s="1056"/>
      <c r="MH188" s="1056"/>
      <c r="MI188" s="1056"/>
      <c r="MJ188" s="1056"/>
      <c r="MK188" s="1056"/>
      <c r="ML188" s="1056"/>
      <c r="MM188" s="1056"/>
      <c r="MN188" s="1056"/>
      <c r="MO188" s="1056"/>
      <c r="MP188" s="1056"/>
      <c r="MQ188" s="1056"/>
      <c r="MR188" s="1056"/>
      <c r="MS188" s="1056"/>
      <c r="MT188" s="1056"/>
      <c r="MU188" s="1056"/>
      <c r="MV188" s="1056"/>
      <c r="MW188" s="1056"/>
      <c r="MX188" s="1056"/>
      <c r="MY188" s="1056"/>
      <c r="MZ188" s="1056"/>
      <c r="NA188" s="1056"/>
      <c r="NB188" s="1056"/>
      <c r="NC188" s="1056"/>
      <c r="ND188" s="1056"/>
      <c r="NE188" s="1056"/>
      <c r="NF188" s="1056"/>
      <c r="NG188" s="1056"/>
      <c r="NH188" s="1056"/>
      <c r="NI188" s="1056"/>
      <c r="NJ188" s="1056"/>
      <c r="NK188" s="1056"/>
      <c r="NL188" s="1056"/>
      <c r="NM188" s="1056"/>
      <c r="NN188" s="1056"/>
      <c r="NO188" s="1056"/>
      <c r="NP188" s="1056"/>
      <c r="NQ188" s="1056"/>
      <c r="NR188" s="1056"/>
      <c r="NS188" s="1056"/>
      <c r="NT188" s="1056"/>
      <c r="NU188" s="1056"/>
      <c r="NV188" s="1056"/>
      <c r="NW188" s="1056"/>
      <c r="NX188" s="1056"/>
      <c r="NY188" s="1056"/>
      <c r="NZ188" s="1056"/>
      <c r="OA188" s="1056"/>
      <c r="OB188" s="1056"/>
      <c r="OC188" s="1056"/>
      <c r="OD188" s="1056"/>
      <c r="OE188" s="1056"/>
      <c r="OF188" s="1056"/>
      <c r="OG188" s="1056"/>
      <c r="OH188" s="1056"/>
      <c r="OI188" s="1056"/>
      <c r="OJ188" s="1056"/>
      <c r="OK188" s="1056"/>
      <c r="OL188" s="1056"/>
      <c r="OM188" s="1056"/>
      <c r="ON188" s="1056"/>
      <c r="OO188" s="1056"/>
      <c r="OP188" s="1056"/>
      <c r="OQ188" s="1056"/>
      <c r="OR188" s="1056"/>
      <c r="OS188" s="1056"/>
      <c r="OT188" s="1056"/>
      <c r="OU188" s="1056"/>
      <c r="OV188" s="1056"/>
      <c r="OW188" s="1056"/>
      <c r="OX188" s="1056"/>
      <c r="OY188" s="1056"/>
      <c r="OZ188" s="1056"/>
      <c r="PA188" s="1056"/>
      <c r="PB188" s="1056"/>
      <c r="PC188" s="1056"/>
      <c r="PD188" s="1056"/>
      <c r="PE188" s="1056"/>
      <c r="PF188" s="1056"/>
      <c r="PG188" s="1056"/>
      <c r="PH188" s="1056"/>
      <c r="PI188" s="1056"/>
      <c r="PJ188" s="1056"/>
      <c r="PK188" s="1056"/>
      <c r="PL188" s="1056"/>
      <c r="PM188" s="1056"/>
      <c r="PN188" s="1056"/>
      <c r="PO188" s="1056"/>
      <c r="PP188" s="1056"/>
      <c r="PQ188" s="1056"/>
      <c r="PR188" s="1056"/>
      <c r="PS188" s="1056"/>
      <c r="PT188" s="1056"/>
      <c r="PU188" s="1056"/>
      <c r="PV188" s="1056"/>
      <c r="PW188" s="1056"/>
      <c r="PX188" s="1056"/>
      <c r="PY188" s="1056"/>
      <c r="PZ188" s="1056"/>
      <c r="QA188" s="1056"/>
      <c r="QB188" s="1056"/>
      <c r="QC188" s="1056"/>
      <c r="QD188" s="1056"/>
      <c r="QE188" s="1056"/>
      <c r="QF188" s="1056"/>
      <c r="QG188" s="1056"/>
      <c r="QH188" s="1056"/>
      <c r="QI188" s="1056"/>
      <c r="QJ188" s="1056"/>
      <c r="QK188" s="1056"/>
      <c r="QL188" s="1056"/>
      <c r="QM188" s="1056"/>
      <c r="QN188" s="1056"/>
      <c r="QO188" s="1056"/>
      <c r="QP188" s="1056"/>
      <c r="QQ188" s="1056"/>
      <c r="QR188" s="1056"/>
      <c r="QS188" s="1056"/>
      <c r="QT188" s="1056"/>
      <c r="QU188" s="1056"/>
      <c r="QV188" s="1056"/>
      <c r="QW188" s="1056"/>
      <c r="QX188" s="1056"/>
      <c r="QY188" s="1056"/>
      <c r="QZ188" s="1056"/>
      <c r="RA188" s="1056"/>
      <c r="RB188" s="1056"/>
      <c r="RC188" s="1056"/>
      <c r="RD188" s="1056"/>
      <c r="RE188" s="1056"/>
      <c r="RF188" s="1056"/>
      <c r="RG188" s="1056"/>
      <c r="RH188" s="1056"/>
      <c r="RI188" s="1056"/>
      <c r="RJ188" s="1056"/>
      <c r="RK188" s="1056"/>
      <c r="RL188" s="1056"/>
      <c r="RM188" s="1056"/>
      <c r="RN188" s="1056"/>
      <c r="RO188" s="1056"/>
      <c r="RP188" s="1056"/>
      <c r="RQ188" s="1056"/>
      <c r="RR188" s="1056"/>
      <c r="RS188" s="1056"/>
      <c r="RT188" s="1056"/>
      <c r="RU188" s="1056"/>
      <c r="RV188" s="1056"/>
      <c r="RW188" s="1056"/>
      <c r="RX188" s="1056"/>
      <c r="RY188" s="1056"/>
      <c r="RZ188" s="1056"/>
      <c r="SA188" s="1056"/>
      <c r="SB188" s="1056"/>
      <c r="SC188" s="1056"/>
      <c r="SD188" s="1056"/>
      <c r="SE188" s="1056"/>
      <c r="SF188" s="1056"/>
      <c r="SG188" s="1056"/>
      <c r="SH188" s="1056"/>
      <c r="SI188" s="1056"/>
      <c r="SJ188" s="1056"/>
      <c r="SK188" s="1056"/>
      <c r="SL188" s="1056"/>
      <c r="SM188" s="1056"/>
      <c r="SN188" s="1056"/>
      <c r="SO188" s="1056"/>
      <c r="SP188" s="1056"/>
      <c r="SQ188" s="1056"/>
      <c r="SR188" s="1056"/>
      <c r="SS188" s="1056"/>
      <c r="ST188" s="1056"/>
      <c r="SU188" s="1056"/>
      <c r="SV188" s="1056"/>
      <c r="SW188" s="1056"/>
      <c r="SX188" s="1056"/>
      <c r="SY188" s="1056"/>
      <c r="SZ188" s="1056"/>
      <c r="TA188" s="1056"/>
      <c r="TB188" s="1056"/>
      <c r="TC188" s="1056"/>
      <c r="TD188" s="1056"/>
      <c r="TE188" s="1056"/>
      <c r="TF188" s="1056"/>
      <c r="TG188" s="1056"/>
      <c r="TH188" s="1056"/>
      <c r="TI188" s="1056"/>
      <c r="TJ188" s="1056"/>
      <c r="TK188" s="1056"/>
      <c r="TL188" s="1056"/>
      <c r="TM188" s="1056"/>
      <c r="TN188" s="1056"/>
      <c r="TO188" s="1056"/>
      <c r="TP188" s="1056"/>
      <c r="TQ188" s="1056"/>
      <c r="TR188" s="1056"/>
      <c r="TS188" s="1056"/>
      <c r="TT188" s="1056"/>
      <c r="TU188" s="1056"/>
      <c r="TV188" s="1056"/>
      <c r="TW188" s="1056"/>
      <c r="TX188" s="1056"/>
      <c r="TY188" s="1056"/>
      <c r="TZ188" s="1056"/>
      <c r="UA188" s="1056"/>
      <c r="UB188" s="1056"/>
      <c r="UC188" s="1056"/>
      <c r="UD188" s="1056"/>
      <c r="UE188" s="1056"/>
      <c r="UF188" s="1056"/>
      <c r="UG188" s="1056"/>
      <c r="UH188" s="1056"/>
      <c r="UI188" s="1056"/>
      <c r="UJ188" s="1056"/>
      <c r="UK188" s="1056"/>
      <c r="UL188" s="1056"/>
      <c r="UM188" s="1056"/>
      <c r="UN188" s="1056"/>
      <c r="UO188" s="1056"/>
      <c r="UP188" s="1056"/>
      <c r="UQ188" s="1056"/>
      <c r="UR188" s="1056"/>
      <c r="US188" s="1056"/>
      <c r="UT188" s="1056"/>
      <c r="UU188" s="1056"/>
      <c r="UV188" s="1056"/>
      <c r="UW188" s="1056"/>
      <c r="UX188" s="1056"/>
      <c r="UY188" s="1056"/>
      <c r="UZ188" s="1056"/>
      <c r="VA188" s="1056"/>
      <c r="VB188" s="1056"/>
      <c r="VC188" s="1056"/>
      <c r="VD188" s="1056"/>
      <c r="VE188" s="1056"/>
      <c r="VF188" s="1056"/>
      <c r="VG188" s="1056"/>
      <c r="VH188" s="1056"/>
      <c r="VI188" s="1056"/>
      <c r="VJ188" s="1056"/>
      <c r="VK188" s="1056"/>
      <c r="VL188" s="1056"/>
      <c r="VM188" s="1056"/>
      <c r="VN188" s="1056"/>
      <c r="VO188" s="1056"/>
      <c r="VP188" s="1056"/>
      <c r="VQ188" s="1056"/>
      <c r="VR188" s="1056"/>
      <c r="VS188" s="1056"/>
      <c r="VT188" s="1056"/>
      <c r="VU188" s="1056"/>
      <c r="VV188" s="1056"/>
      <c r="VW188" s="1056"/>
      <c r="VX188" s="1056"/>
      <c r="VY188" s="1056"/>
      <c r="VZ188" s="1056"/>
      <c r="WA188" s="1056"/>
      <c r="WB188" s="1056"/>
      <c r="WC188" s="1056"/>
      <c r="WD188" s="1056"/>
      <c r="WE188" s="1056"/>
      <c r="WF188" s="1056"/>
      <c r="WG188" s="1056"/>
      <c r="WH188" s="1056"/>
      <c r="WI188" s="1056"/>
      <c r="WJ188" s="1056"/>
      <c r="WK188" s="1056"/>
      <c r="WL188" s="1056"/>
      <c r="WM188" s="1056"/>
      <c r="WN188" s="1056"/>
      <c r="WO188" s="1056"/>
      <c r="WP188" s="1056"/>
      <c r="WQ188" s="1056"/>
      <c r="WR188" s="1056"/>
      <c r="WS188" s="1056"/>
      <c r="WT188" s="1056"/>
      <c r="WU188" s="1056"/>
      <c r="WV188" s="1056"/>
      <c r="WW188" s="1056"/>
      <c r="WX188" s="1056"/>
      <c r="WY188" s="1056"/>
      <c r="WZ188" s="1056"/>
      <c r="XA188" s="1056"/>
      <c r="XB188" s="1056"/>
      <c r="XC188" s="1056"/>
      <c r="XD188" s="1056"/>
      <c r="XE188" s="1056"/>
      <c r="XF188" s="1056"/>
      <c r="XG188" s="1056"/>
      <c r="XH188" s="1056"/>
      <c r="XI188" s="1056"/>
      <c r="XJ188" s="1056"/>
      <c r="XK188" s="1056"/>
      <c r="XL188" s="1056"/>
      <c r="XM188" s="1056"/>
      <c r="XN188" s="1056"/>
      <c r="XO188" s="1056"/>
      <c r="XP188" s="1056"/>
      <c r="XQ188" s="1056"/>
      <c r="XR188" s="1056"/>
      <c r="XS188" s="1056"/>
      <c r="XT188" s="1056"/>
      <c r="XU188" s="1056"/>
      <c r="XV188" s="1056"/>
      <c r="XW188" s="1056"/>
      <c r="XX188" s="1056"/>
      <c r="XY188" s="1056"/>
      <c r="XZ188" s="1056"/>
      <c r="YA188" s="1056"/>
      <c r="YB188" s="1056"/>
      <c r="YC188" s="1056"/>
      <c r="YD188" s="1056"/>
      <c r="YE188" s="1056"/>
      <c r="YF188" s="1056"/>
      <c r="YG188" s="1056"/>
      <c r="YH188" s="1056"/>
      <c r="YI188" s="1056"/>
      <c r="YJ188" s="1056"/>
      <c r="YK188" s="1056"/>
      <c r="YL188" s="1056"/>
      <c r="YM188" s="1056"/>
      <c r="YN188" s="1056"/>
      <c r="YO188" s="1056"/>
      <c r="YP188" s="1056"/>
      <c r="YQ188" s="1056"/>
      <c r="YR188" s="1056"/>
      <c r="YS188" s="1056"/>
      <c r="YT188" s="1056"/>
      <c r="YU188" s="1056"/>
      <c r="YV188" s="1056"/>
      <c r="YW188" s="1056"/>
      <c r="YX188" s="1056"/>
      <c r="YY188" s="1056"/>
      <c r="YZ188" s="1056"/>
      <c r="ZA188" s="1056"/>
      <c r="ZB188" s="1056"/>
      <c r="ZC188" s="1056"/>
      <c r="ZD188" s="1056"/>
      <c r="ZE188" s="1056"/>
      <c r="ZF188" s="1056"/>
      <c r="ZG188" s="1056"/>
      <c r="ZH188" s="1056"/>
      <c r="ZI188" s="1056"/>
      <c r="ZJ188" s="1056"/>
      <c r="ZK188" s="1056"/>
      <c r="ZL188" s="1056"/>
      <c r="ZM188" s="1056"/>
      <c r="ZN188" s="1056"/>
      <c r="ZO188" s="1056"/>
      <c r="ZP188" s="1056"/>
      <c r="ZQ188" s="1056"/>
      <c r="ZR188" s="1056"/>
      <c r="ZS188" s="1056"/>
      <c r="ZT188" s="1056"/>
      <c r="ZU188" s="1056"/>
      <c r="ZV188" s="1056"/>
      <c r="ZW188" s="1056"/>
      <c r="ZX188" s="1056"/>
      <c r="ZY188" s="1056"/>
      <c r="ZZ188" s="1056"/>
      <c r="AAA188" s="1056"/>
      <c r="AAB188" s="1056"/>
      <c r="AAC188" s="1056"/>
      <c r="AAD188" s="1056"/>
      <c r="AAE188" s="1056"/>
      <c r="AAF188" s="1056"/>
      <c r="AAG188" s="1056"/>
      <c r="AAH188" s="1056"/>
      <c r="AAI188" s="1056"/>
      <c r="AAJ188" s="1056"/>
      <c r="AAK188" s="1056"/>
      <c r="AAL188" s="1056"/>
      <c r="AAM188" s="1056"/>
      <c r="AAN188" s="1056"/>
      <c r="AAO188" s="1056"/>
      <c r="AAP188" s="1056"/>
      <c r="AAQ188" s="1056"/>
      <c r="AAR188" s="1056"/>
      <c r="AAS188" s="1056"/>
      <c r="AAT188" s="1056"/>
      <c r="AAU188" s="1056"/>
      <c r="AAV188" s="1056"/>
      <c r="AAW188" s="1056"/>
      <c r="AAX188" s="1056"/>
      <c r="AAY188" s="1056"/>
      <c r="AAZ188" s="1056"/>
      <c r="ABA188" s="1056"/>
      <c r="ABB188" s="1056"/>
      <c r="ABC188" s="1056"/>
      <c r="ABD188" s="1056"/>
      <c r="ABE188" s="1056"/>
      <c r="ABF188" s="1056"/>
      <c r="ABG188" s="1056"/>
      <c r="ABH188" s="1056"/>
      <c r="ABI188" s="1056"/>
      <c r="ABJ188" s="1056"/>
      <c r="ABK188" s="1056"/>
      <c r="ABL188" s="1056"/>
      <c r="ABM188" s="1056"/>
      <c r="ABN188" s="1056"/>
      <c r="ABO188" s="1056"/>
      <c r="ABP188" s="1056"/>
      <c r="ABQ188" s="1056"/>
      <c r="ABR188" s="1056"/>
      <c r="ABS188" s="1056"/>
      <c r="ABT188" s="1056"/>
      <c r="ABU188" s="1056"/>
      <c r="ABV188" s="1056"/>
      <c r="ABW188" s="1056"/>
      <c r="ABX188" s="1056"/>
      <c r="ABY188" s="1056"/>
      <c r="ABZ188" s="1056"/>
      <c r="ACA188" s="1056"/>
      <c r="ACB188" s="1056"/>
      <c r="ACC188" s="1056"/>
      <c r="ACD188" s="1056"/>
      <c r="ACE188" s="1056"/>
      <c r="ACF188" s="1056"/>
      <c r="ACG188" s="1056"/>
      <c r="ACH188" s="1056"/>
      <c r="ACI188" s="1056"/>
      <c r="ACJ188" s="1056"/>
      <c r="ACK188" s="1056"/>
      <c r="ACL188" s="1056"/>
      <c r="ACM188" s="1056"/>
      <c r="ACN188" s="1056"/>
      <c r="ACO188" s="1056"/>
      <c r="ACP188" s="1056"/>
      <c r="ACQ188" s="1056"/>
      <c r="ACR188" s="1056"/>
      <c r="ACS188" s="1056"/>
      <c r="ACT188" s="1056"/>
      <c r="ACU188" s="1056"/>
      <c r="ACV188" s="1056"/>
      <c r="ACW188" s="1056"/>
      <c r="ACX188" s="1056"/>
      <c r="ACY188" s="1056"/>
      <c r="ACZ188" s="1056"/>
      <c r="ADA188" s="1056"/>
      <c r="ADB188" s="1056"/>
      <c r="ADC188" s="1056"/>
      <c r="ADD188" s="1056"/>
      <c r="ADE188" s="1056"/>
      <c r="ADF188" s="1056"/>
      <c r="ADG188" s="1056"/>
      <c r="ADH188" s="1056"/>
      <c r="ADI188" s="1056"/>
      <c r="ADJ188" s="1056"/>
      <c r="ADK188" s="1056"/>
      <c r="ADL188" s="1056"/>
      <c r="ADM188" s="1056"/>
      <c r="ADN188" s="1056"/>
      <c r="ADO188" s="1056"/>
      <c r="ADP188" s="1056"/>
      <c r="ADQ188" s="1056"/>
      <c r="ADR188" s="1056"/>
      <c r="ADS188" s="1056"/>
      <c r="ADT188" s="1056"/>
      <c r="ADU188" s="1056"/>
      <c r="ADV188" s="1056"/>
      <c r="ADW188" s="1056"/>
      <c r="ADX188" s="1056"/>
      <c r="ADY188" s="1056"/>
      <c r="ADZ188" s="1056"/>
      <c r="AEA188" s="1056"/>
      <c r="AEB188" s="1056"/>
      <c r="AEC188" s="1056"/>
      <c r="AED188" s="1056"/>
      <c r="AEE188" s="1056"/>
      <c r="AEF188" s="1056"/>
      <c r="AEG188" s="1056"/>
      <c r="AEH188" s="1056"/>
      <c r="AEI188" s="1056"/>
      <c r="AEJ188" s="1056"/>
      <c r="AEK188" s="1056"/>
      <c r="AEL188" s="1056"/>
      <c r="AEM188" s="1056"/>
      <c r="AEN188" s="1056"/>
      <c r="AEO188" s="1056"/>
      <c r="AEP188" s="1056"/>
      <c r="AEQ188" s="1056"/>
      <c r="AER188" s="1056"/>
      <c r="AES188" s="1056"/>
      <c r="AET188" s="1056"/>
      <c r="AEU188" s="1056"/>
      <c r="AEV188" s="1056"/>
      <c r="AEW188" s="1056"/>
      <c r="AEX188" s="1056"/>
      <c r="AEY188" s="1056"/>
      <c r="AEZ188" s="1056"/>
      <c r="AFA188" s="1056"/>
      <c r="AFB188" s="1056"/>
      <c r="AFC188" s="1056"/>
      <c r="AFD188" s="1056"/>
      <c r="AFE188" s="1056"/>
      <c r="AFF188" s="1056"/>
      <c r="AFG188" s="1056"/>
      <c r="AFH188" s="1056"/>
      <c r="AFI188" s="1056"/>
      <c r="AFJ188" s="1056"/>
      <c r="AFK188" s="1056"/>
      <c r="AFL188" s="1056"/>
      <c r="AFM188" s="1056"/>
      <c r="AFN188" s="1056"/>
      <c r="AFO188" s="1056"/>
      <c r="AFP188" s="1056"/>
      <c r="AFQ188" s="1056"/>
      <c r="AFR188" s="1056"/>
      <c r="AFS188" s="1056"/>
      <c r="AFT188" s="1056"/>
      <c r="AFU188" s="1056"/>
      <c r="AFV188" s="1056"/>
      <c r="AFW188" s="1056"/>
      <c r="AFX188" s="1056"/>
      <c r="AFY188" s="1056"/>
      <c r="AFZ188" s="1056"/>
      <c r="AGA188" s="1056"/>
      <c r="AGB188" s="1056"/>
      <c r="AGC188" s="1056"/>
      <c r="AGD188" s="1056"/>
      <c r="AGE188" s="1056"/>
      <c r="AGF188" s="1056"/>
      <c r="AGG188" s="1056"/>
      <c r="AGH188" s="1056"/>
      <c r="AGI188" s="1056"/>
      <c r="AGJ188" s="1056"/>
      <c r="AGK188" s="1056"/>
      <c r="AGL188" s="1056"/>
      <c r="AGM188" s="1056"/>
      <c r="AGN188" s="1056"/>
      <c r="AGO188" s="1056"/>
      <c r="AGP188" s="1056"/>
      <c r="AGQ188" s="1056"/>
      <c r="AGR188" s="1056"/>
      <c r="AGS188" s="1056"/>
      <c r="AGT188" s="1056"/>
      <c r="AGU188" s="1056"/>
      <c r="AGV188" s="1056"/>
      <c r="AGW188" s="1056"/>
      <c r="AGX188" s="1056"/>
      <c r="AGY188" s="1056"/>
      <c r="AGZ188" s="1056"/>
      <c r="AHA188" s="1056"/>
      <c r="AHB188" s="1056"/>
      <c r="AHC188" s="1056"/>
      <c r="AHD188" s="1056"/>
      <c r="AHE188" s="1056"/>
      <c r="AHF188" s="1056"/>
      <c r="AHG188" s="1056"/>
      <c r="AHH188" s="1056"/>
      <c r="AHI188" s="1056"/>
      <c r="AHJ188" s="1056"/>
      <c r="AHK188" s="1056"/>
      <c r="AHL188" s="1056"/>
      <c r="AHM188" s="1056"/>
      <c r="AHN188" s="1056"/>
      <c r="AHO188" s="1056"/>
      <c r="AHP188" s="1056"/>
      <c r="AHQ188" s="1056"/>
      <c r="AHR188" s="1056"/>
      <c r="AHS188" s="1056"/>
      <c r="AHT188" s="1056"/>
      <c r="AHU188" s="1056"/>
      <c r="AHV188" s="1056"/>
      <c r="AHW188" s="1056"/>
      <c r="AHX188" s="1056"/>
      <c r="AHY188" s="1056"/>
      <c r="AHZ188" s="1056"/>
      <c r="AIA188" s="1056"/>
      <c r="AIB188" s="1056"/>
      <c r="AIC188" s="1056"/>
      <c r="AID188" s="1056"/>
      <c r="AIE188" s="1056"/>
      <c r="AIF188" s="1056"/>
      <c r="AIG188" s="1056"/>
      <c r="AIH188" s="1056"/>
      <c r="AII188" s="1056"/>
      <c r="AIJ188" s="1056"/>
      <c r="AIK188" s="1056"/>
      <c r="AIL188" s="1056"/>
      <c r="AIM188" s="1056"/>
      <c r="AIN188" s="1056"/>
      <c r="AIO188" s="1056"/>
      <c r="AIP188" s="1056"/>
      <c r="AIQ188" s="1056"/>
      <c r="AIR188" s="1056"/>
      <c r="AIS188" s="1056"/>
      <c r="AIT188" s="1056"/>
      <c r="AIU188" s="1056"/>
      <c r="AIV188" s="1056"/>
      <c r="AIW188" s="1056"/>
      <c r="AIX188" s="1056"/>
      <c r="AIY188" s="1056"/>
      <c r="AIZ188" s="1056"/>
      <c r="AJA188" s="1056"/>
      <c r="AJB188" s="1056"/>
      <c r="AJC188" s="1056"/>
      <c r="AJD188" s="1056"/>
      <c r="AJE188" s="1056"/>
      <c r="AJF188" s="1056"/>
      <c r="AJG188" s="1056"/>
      <c r="AJH188" s="1056"/>
      <c r="AJI188" s="1056"/>
      <c r="AJJ188" s="1056"/>
      <c r="AJK188" s="1056"/>
      <c r="AJL188" s="1056"/>
      <c r="AJM188" s="1056"/>
      <c r="AJN188" s="1056"/>
      <c r="AJO188" s="1056"/>
      <c r="AJP188" s="1056"/>
      <c r="AJQ188" s="1056"/>
      <c r="AJR188" s="1056"/>
      <c r="AJS188" s="1056"/>
      <c r="AJT188" s="1056"/>
      <c r="AJU188" s="1056"/>
      <c r="AJV188" s="1056"/>
      <c r="AJW188" s="1056"/>
      <c r="AJX188" s="1056"/>
      <c r="AJY188" s="1056"/>
      <c r="AJZ188" s="1056"/>
      <c r="AKA188" s="1056"/>
      <c r="AKB188" s="1056"/>
      <c r="AKC188" s="1056"/>
      <c r="AKD188" s="1056"/>
      <c r="AKE188" s="1056"/>
      <c r="AKF188" s="1056"/>
      <c r="AKG188" s="1056"/>
      <c r="AKH188" s="1056"/>
      <c r="AKI188" s="1056"/>
      <c r="AKJ188" s="1056"/>
      <c r="AKK188" s="1056"/>
      <c r="AKL188" s="1056"/>
      <c r="AKM188" s="1056"/>
      <c r="AKN188" s="1056"/>
      <c r="AKO188" s="1056"/>
      <c r="AKP188" s="1056"/>
      <c r="AKQ188" s="1056"/>
      <c r="AKR188" s="1056"/>
      <c r="AKS188" s="1056"/>
      <c r="AKT188" s="1056"/>
      <c r="AKU188" s="1056"/>
      <c r="AKV188" s="1056"/>
      <c r="AKW188" s="1056"/>
      <c r="AKX188" s="1056"/>
      <c r="AKY188" s="1056"/>
      <c r="AKZ188" s="1056"/>
      <c r="ALA188" s="1056"/>
      <c r="ALB188" s="1056"/>
      <c r="ALC188" s="1056"/>
      <c r="ALD188" s="1056"/>
      <c r="ALE188" s="1056"/>
      <c r="ALF188" s="1056"/>
      <c r="ALG188" s="1056"/>
      <c r="ALH188" s="1056"/>
      <c r="ALI188" s="1056"/>
      <c r="ALJ188" s="1056"/>
      <c r="ALK188" s="1056"/>
      <c r="ALL188" s="1056"/>
      <c r="ALM188" s="1056"/>
      <c r="ALN188" s="1056"/>
      <c r="ALO188" s="1056"/>
      <c r="ALP188" s="1056"/>
      <c r="ALQ188" s="1056"/>
      <c r="ALR188" s="1056"/>
      <c r="ALS188" s="1056"/>
      <c r="ALT188" s="1056"/>
      <c r="ALU188" s="1056"/>
      <c r="ALV188" s="1056"/>
      <c r="ALW188" s="1056"/>
      <c r="ALX188" s="1056"/>
      <c r="ALY188" s="1056"/>
      <c r="ALZ188" s="1056"/>
      <c r="AMA188" s="1056"/>
      <c r="AMB188" s="1056"/>
      <c r="AMC188" s="1056"/>
      <c r="AMD188" s="1056"/>
      <c r="AME188" s="1056"/>
      <c r="AMF188" s="1056"/>
      <c r="AMG188" s="1056"/>
      <c r="AMH188" s="1056"/>
      <c r="AMI188" s="1056"/>
      <c r="AMJ188" s="1056"/>
      <c r="AMK188" s="1056"/>
      <c r="AML188" s="1056"/>
      <c r="AMM188" s="1056"/>
      <c r="AMN188" s="1056"/>
      <c r="AMO188" s="1056"/>
      <c r="AMP188" s="1056"/>
      <c r="AMQ188" s="1056"/>
      <c r="AMR188" s="1056"/>
      <c r="AMS188" s="1056"/>
      <c r="AMT188" s="1056"/>
      <c r="AMU188" s="1056"/>
      <c r="AMV188" s="1056"/>
      <c r="AMW188" s="1056"/>
      <c r="AMX188" s="1056"/>
      <c r="AMY188" s="1056"/>
      <c r="AMZ188" s="1056"/>
      <c r="ANA188" s="1056"/>
      <c r="ANB188" s="1056"/>
      <c r="ANC188" s="1056"/>
      <c r="AND188" s="1056"/>
      <c r="ANE188" s="1056"/>
      <c r="ANF188" s="1056"/>
      <c r="ANG188" s="1056"/>
      <c r="ANH188" s="1056"/>
      <c r="ANI188" s="1056"/>
      <c r="ANJ188" s="1056"/>
      <c r="ANK188" s="1056"/>
      <c r="ANL188" s="1056"/>
      <c r="ANM188" s="1056"/>
      <c r="ANN188" s="1056"/>
      <c r="ANO188" s="1056"/>
      <c r="ANP188" s="1056"/>
      <c r="ANQ188" s="1056"/>
      <c r="ANR188" s="1056"/>
      <c r="ANS188" s="1056"/>
      <c r="ANT188" s="1056"/>
      <c r="ANU188" s="1056"/>
      <c r="ANV188" s="1056"/>
      <c r="ANW188" s="1056"/>
      <c r="ANX188" s="1056"/>
      <c r="ANY188" s="1056"/>
      <c r="ANZ188" s="1056"/>
      <c r="AOA188" s="1056"/>
      <c r="AOB188" s="1056"/>
      <c r="AOC188" s="1056"/>
      <c r="AOD188" s="1056"/>
      <c r="AOE188" s="1056"/>
      <c r="AOF188" s="1056"/>
      <c r="AOG188" s="1056"/>
      <c r="AOH188" s="1056"/>
      <c r="AOI188" s="1056"/>
      <c r="AOJ188" s="1056"/>
      <c r="AOK188" s="1056"/>
      <c r="AOL188" s="1056"/>
      <c r="AOM188" s="1056"/>
      <c r="AON188" s="1056"/>
      <c r="AOO188" s="1056"/>
      <c r="AOP188" s="1056"/>
      <c r="AOQ188" s="1056"/>
      <c r="AOR188" s="1056"/>
      <c r="AOS188" s="1056"/>
      <c r="AOT188" s="1056"/>
      <c r="AOU188" s="1056"/>
      <c r="AOV188" s="1056"/>
      <c r="AOW188" s="1056"/>
      <c r="AOX188" s="1056"/>
      <c r="AOY188" s="1056"/>
      <c r="AOZ188" s="1056"/>
      <c r="APA188" s="1056"/>
      <c r="APB188" s="1056"/>
      <c r="APC188" s="1056"/>
      <c r="APD188" s="1056"/>
      <c r="APE188" s="1056"/>
      <c r="APF188" s="1056"/>
      <c r="APG188" s="1056"/>
      <c r="APH188" s="1056"/>
      <c r="API188" s="1056"/>
      <c r="APJ188" s="1056"/>
      <c r="APK188" s="1056"/>
      <c r="APL188" s="1056"/>
      <c r="APM188" s="1056"/>
      <c r="APN188" s="1056"/>
      <c r="APO188" s="1056"/>
      <c r="APP188" s="1056"/>
      <c r="APQ188" s="1056"/>
      <c r="APR188" s="1056"/>
      <c r="APS188" s="1056"/>
      <c r="APT188" s="1056"/>
      <c r="APU188" s="1056"/>
      <c r="APV188" s="1056"/>
      <c r="APW188" s="1056"/>
      <c r="APX188" s="1056"/>
      <c r="APY188" s="1056"/>
      <c r="APZ188" s="1056"/>
      <c r="AQA188" s="1056"/>
      <c r="AQB188" s="1056"/>
      <c r="AQC188" s="1056"/>
      <c r="AQD188" s="1056"/>
      <c r="AQE188" s="1056"/>
      <c r="AQF188" s="1056"/>
      <c r="AQG188" s="1056"/>
      <c r="AQH188" s="1056"/>
      <c r="AQI188" s="1056"/>
      <c r="AQJ188" s="1056"/>
      <c r="AQK188" s="1056"/>
      <c r="AQL188" s="1056"/>
      <c r="AQM188" s="1056"/>
      <c r="AQN188" s="1056"/>
      <c r="AQO188" s="1056"/>
      <c r="AQP188" s="1056"/>
      <c r="AQQ188" s="1056"/>
      <c r="AQR188" s="1056"/>
      <c r="AQS188" s="1056"/>
      <c r="AQT188" s="1056"/>
      <c r="AQU188" s="1056"/>
      <c r="AQV188" s="1056"/>
      <c r="AQW188" s="1056"/>
      <c r="AQX188" s="1056"/>
      <c r="AQY188" s="1056"/>
      <c r="AQZ188" s="1056"/>
      <c r="ARA188" s="1056"/>
      <c r="ARB188" s="1056"/>
      <c r="ARC188" s="1056"/>
      <c r="ARD188" s="1056"/>
      <c r="ARE188" s="1056"/>
      <c r="ARF188" s="1056"/>
      <c r="ARG188" s="1056"/>
      <c r="ARH188" s="1056"/>
      <c r="ARI188" s="1056"/>
      <c r="ARJ188" s="1056"/>
      <c r="ARK188" s="1056"/>
      <c r="ARL188" s="1056"/>
      <c r="ARM188" s="1056"/>
      <c r="ARN188" s="1056"/>
      <c r="ARO188" s="1056"/>
      <c r="ARP188" s="1056"/>
      <c r="ARQ188" s="1056"/>
      <c r="ARR188" s="1056"/>
      <c r="ARS188" s="1056"/>
      <c r="ART188" s="1056"/>
      <c r="ARU188" s="1056"/>
      <c r="ARV188" s="1056"/>
      <c r="ARW188" s="1056"/>
      <c r="ARX188" s="1056"/>
      <c r="ARY188" s="1056"/>
      <c r="ARZ188" s="1056"/>
      <c r="ASA188" s="1056"/>
      <c r="ASB188" s="1056"/>
      <c r="ASC188" s="1056"/>
      <c r="ASD188" s="1056"/>
      <c r="ASE188" s="1056"/>
      <c r="ASF188" s="1056"/>
      <c r="ASG188" s="1056"/>
      <c r="ASH188" s="1056"/>
      <c r="ASI188" s="1056"/>
      <c r="ASJ188" s="1056"/>
      <c r="ASK188" s="1056"/>
      <c r="ASL188" s="1056"/>
      <c r="ASM188" s="1056"/>
      <c r="ASN188" s="1056"/>
      <c r="ASO188" s="1056"/>
      <c r="ASP188" s="1056"/>
      <c r="ASQ188" s="1056"/>
      <c r="ASR188" s="1056"/>
      <c r="ASS188" s="1056"/>
      <c r="AST188" s="1056"/>
      <c r="ASU188" s="1056"/>
      <c r="ASV188" s="1056"/>
      <c r="ASW188" s="1056"/>
      <c r="ASX188" s="1056"/>
      <c r="ASY188" s="1056"/>
      <c r="ASZ188" s="1056"/>
      <c r="ATA188" s="1056"/>
      <c r="ATB188" s="1056"/>
      <c r="ATC188" s="1056"/>
      <c r="ATD188" s="1056"/>
      <c r="ATE188" s="1056"/>
      <c r="ATF188" s="1056"/>
      <c r="ATG188" s="1056"/>
      <c r="ATH188" s="1056"/>
      <c r="ATI188" s="1056"/>
      <c r="ATJ188" s="1056"/>
      <c r="ATK188" s="1056"/>
      <c r="ATL188" s="1056"/>
      <c r="ATM188" s="1056"/>
      <c r="ATN188" s="1056"/>
      <c r="ATO188" s="1056"/>
      <c r="ATP188" s="1056"/>
      <c r="ATQ188" s="1056"/>
      <c r="ATR188" s="1056"/>
      <c r="ATS188" s="1056"/>
      <c r="ATT188" s="1056"/>
      <c r="ATU188" s="1056"/>
      <c r="ATV188" s="1056"/>
      <c r="ATW188" s="1056"/>
      <c r="ATX188" s="1056"/>
      <c r="ATY188" s="1056"/>
      <c r="ATZ188" s="1056"/>
      <c r="AUA188" s="1056"/>
      <c r="AUB188" s="1056"/>
      <c r="AUC188" s="1056"/>
      <c r="AUD188" s="1056"/>
      <c r="AUE188" s="1056"/>
      <c r="AUF188" s="1056"/>
      <c r="AUG188" s="1056"/>
      <c r="AUH188" s="1056"/>
      <c r="AUI188" s="1056"/>
      <c r="AUJ188" s="1056"/>
      <c r="AUK188" s="1056"/>
      <c r="AUL188" s="1056"/>
      <c r="AUM188" s="1056"/>
      <c r="AUN188" s="1056"/>
      <c r="AUO188" s="1056"/>
      <c r="AUP188" s="1056"/>
      <c r="AUQ188" s="1056"/>
      <c r="AUR188" s="1056"/>
      <c r="AUS188" s="1056"/>
      <c r="AUT188" s="1056"/>
      <c r="AUU188" s="1056"/>
      <c r="AUV188" s="1056"/>
      <c r="AUW188" s="1056"/>
      <c r="AUX188" s="1056"/>
      <c r="AUY188" s="1056"/>
      <c r="AUZ188" s="1056"/>
      <c r="AVA188" s="1056"/>
      <c r="AVB188" s="1056"/>
      <c r="AVC188" s="1056"/>
      <c r="AVD188" s="1056"/>
      <c r="AVE188" s="1056"/>
      <c r="AVF188" s="1056"/>
      <c r="AVG188" s="1056"/>
      <c r="AVH188" s="1056"/>
      <c r="AVI188" s="1056"/>
      <c r="AVJ188" s="1056"/>
      <c r="AVK188" s="1056"/>
      <c r="AVL188" s="1056"/>
      <c r="AVM188" s="1056"/>
      <c r="AVN188" s="1056"/>
      <c r="AVO188" s="1056"/>
      <c r="AVP188" s="1056"/>
      <c r="AVQ188" s="1056"/>
      <c r="AVR188" s="1056"/>
      <c r="AVS188" s="1056"/>
      <c r="AVT188" s="1056"/>
      <c r="AVU188" s="1056"/>
      <c r="AVV188" s="1056"/>
      <c r="AVW188" s="1056"/>
      <c r="AVX188" s="1056"/>
      <c r="AVY188" s="1056"/>
      <c r="AVZ188" s="1056"/>
      <c r="AWA188" s="1056"/>
      <c r="AWB188" s="1056"/>
      <c r="AWC188" s="1056"/>
      <c r="AWD188" s="1056"/>
      <c r="AWE188" s="1056"/>
      <c r="AWF188" s="1056"/>
      <c r="AWG188" s="1056"/>
      <c r="AWH188" s="1056"/>
      <c r="AWI188" s="1056"/>
      <c r="AWJ188" s="1056"/>
      <c r="AWK188" s="1056"/>
      <c r="AWL188" s="1056"/>
      <c r="AWM188" s="1056"/>
      <c r="AWN188" s="1056"/>
      <c r="AWO188" s="1056"/>
      <c r="AWP188" s="1056"/>
      <c r="AWQ188" s="1056"/>
      <c r="AWR188" s="1056"/>
      <c r="AWS188" s="1056"/>
      <c r="AWT188" s="1056"/>
      <c r="AWU188" s="1056"/>
      <c r="AWV188" s="1056"/>
      <c r="AWW188" s="1056"/>
      <c r="AWX188" s="1056"/>
      <c r="AWY188" s="1056"/>
      <c r="AWZ188" s="1056"/>
      <c r="AXA188" s="1056"/>
      <c r="AXB188" s="1056"/>
      <c r="AXC188" s="1056"/>
      <c r="AXD188" s="1056"/>
      <c r="AXE188" s="1056"/>
      <c r="AXF188" s="1056"/>
      <c r="AXG188" s="1056"/>
      <c r="AXH188" s="1056"/>
      <c r="AXI188" s="1056"/>
      <c r="AXJ188" s="1056"/>
      <c r="AXK188" s="1056"/>
      <c r="AXL188" s="1056"/>
      <c r="AXM188" s="1056"/>
      <c r="AXN188" s="1056"/>
      <c r="AXO188" s="1056"/>
      <c r="AXP188" s="1056"/>
      <c r="AXQ188" s="1056"/>
      <c r="AXR188" s="1056"/>
      <c r="AXS188" s="1056"/>
      <c r="AXT188" s="1056"/>
      <c r="AXU188" s="1056"/>
      <c r="AXV188" s="1056"/>
      <c r="AXW188" s="1056"/>
      <c r="AXX188" s="1056"/>
      <c r="AXY188" s="1056"/>
      <c r="AXZ188" s="1056"/>
      <c r="AYA188" s="1056"/>
      <c r="AYB188" s="1056"/>
      <c r="AYC188" s="1056"/>
      <c r="AYD188" s="1056"/>
      <c r="AYE188" s="1056"/>
      <c r="AYF188" s="1056"/>
      <c r="AYG188" s="1056"/>
      <c r="AYH188" s="1056"/>
      <c r="AYI188" s="1056"/>
      <c r="AYJ188" s="1056"/>
      <c r="AYK188" s="1056"/>
      <c r="AYL188" s="1056"/>
      <c r="AYM188" s="1056"/>
      <c r="AYN188" s="1056"/>
      <c r="AYO188" s="1056"/>
      <c r="AYP188" s="1056"/>
      <c r="AYQ188" s="1056"/>
      <c r="AYR188" s="1056"/>
      <c r="AYS188" s="1056"/>
      <c r="AYT188" s="1056"/>
      <c r="AYU188" s="1056"/>
      <c r="AYV188" s="1056"/>
      <c r="AYW188" s="1056"/>
      <c r="AYX188" s="1056"/>
      <c r="AYY188" s="1056"/>
      <c r="AYZ188" s="1056"/>
      <c r="AZA188" s="1056"/>
      <c r="AZB188" s="1056"/>
      <c r="AZC188" s="1056"/>
      <c r="AZD188" s="1056"/>
      <c r="AZE188" s="1056"/>
      <c r="AZF188" s="1056"/>
      <c r="AZG188" s="1056"/>
      <c r="AZH188" s="1056"/>
      <c r="AZI188" s="1056"/>
      <c r="AZJ188" s="1056"/>
      <c r="AZK188" s="1056"/>
      <c r="AZL188" s="1056"/>
      <c r="AZM188" s="1056"/>
      <c r="AZN188" s="1056"/>
      <c r="AZO188" s="1056"/>
      <c r="AZP188" s="1056"/>
      <c r="AZQ188" s="1056"/>
      <c r="AZR188" s="1056"/>
      <c r="AZS188" s="1056"/>
      <c r="AZT188" s="1056"/>
      <c r="AZU188" s="1056"/>
      <c r="AZV188" s="1056"/>
      <c r="AZW188" s="1056"/>
      <c r="AZX188" s="1056"/>
      <c r="AZY188" s="1056"/>
      <c r="AZZ188" s="1056"/>
      <c r="BAA188" s="1056"/>
      <c r="BAB188" s="1056"/>
      <c r="BAC188" s="1056"/>
      <c r="BAD188" s="1056"/>
      <c r="BAE188" s="1056"/>
      <c r="BAF188" s="1056"/>
      <c r="BAG188" s="1056"/>
      <c r="BAH188" s="1056"/>
      <c r="BAI188" s="1056"/>
      <c r="BAJ188" s="1056"/>
      <c r="BAK188" s="1056"/>
      <c r="BAL188" s="1056"/>
      <c r="BAM188" s="1056"/>
      <c r="BAN188" s="1056"/>
      <c r="BAO188" s="1056"/>
      <c r="BAP188" s="1056"/>
      <c r="BAQ188" s="1056"/>
      <c r="BAR188" s="1056"/>
      <c r="BAS188" s="1056"/>
      <c r="BAT188" s="1056"/>
      <c r="BAU188" s="1056"/>
      <c r="BAV188" s="1056"/>
      <c r="BAW188" s="1056"/>
      <c r="BAX188" s="1056"/>
      <c r="BAY188" s="1056"/>
      <c r="BAZ188" s="1056"/>
      <c r="BBA188" s="1056"/>
      <c r="BBB188" s="1056"/>
      <c r="BBC188" s="1056"/>
      <c r="BBD188" s="1056"/>
      <c r="BBE188" s="1056"/>
      <c r="BBF188" s="1056"/>
      <c r="BBG188" s="1056"/>
      <c r="BBH188" s="1056"/>
      <c r="BBI188" s="1056"/>
      <c r="BBJ188" s="1056"/>
      <c r="BBK188" s="1056"/>
      <c r="BBL188" s="1056"/>
      <c r="BBM188" s="1056"/>
      <c r="BBN188" s="1056"/>
      <c r="BBO188" s="1056"/>
      <c r="BBP188" s="1056"/>
      <c r="BBQ188" s="1056"/>
      <c r="BBR188" s="1056"/>
      <c r="BBS188" s="1056"/>
      <c r="BBT188" s="1056"/>
      <c r="BBU188" s="1056"/>
      <c r="BBV188" s="1056"/>
      <c r="BBW188" s="1056"/>
      <c r="BBX188" s="1056"/>
      <c r="BBY188" s="1056"/>
      <c r="BBZ188" s="1056"/>
      <c r="BCA188" s="1056"/>
      <c r="BCB188" s="1056"/>
      <c r="BCC188" s="1056"/>
      <c r="BCD188" s="1056"/>
      <c r="BCE188" s="1056"/>
      <c r="BCF188" s="1056"/>
      <c r="BCG188" s="1056"/>
      <c r="BCH188" s="1056"/>
      <c r="BCI188" s="1056"/>
      <c r="BCJ188" s="1056"/>
      <c r="BCK188" s="1056"/>
      <c r="BCL188" s="1056"/>
      <c r="BCM188" s="1056"/>
      <c r="BCN188" s="1056"/>
      <c r="BCO188" s="1056"/>
      <c r="BCP188" s="1056"/>
      <c r="BCQ188" s="1056"/>
      <c r="BCR188" s="1056"/>
      <c r="BCS188" s="1056"/>
      <c r="BCT188" s="1056"/>
      <c r="BCU188" s="1056"/>
      <c r="BCV188" s="1056"/>
      <c r="BCW188" s="1056"/>
      <c r="BCX188" s="1056"/>
      <c r="BCY188" s="1056"/>
      <c r="BCZ188" s="1056"/>
      <c r="BDA188" s="1056"/>
      <c r="BDB188" s="1056"/>
      <c r="BDC188" s="1056"/>
      <c r="BDD188" s="1056"/>
      <c r="BDE188" s="1056"/>
      <c r="BDF188" s="1056"/>
      <c r="BDG188" s="1056"/>
      <c r="BDH188" s="1056"/>
      <c r="BDI188" s="1056"/>
      <c r="BDJ188" s="1056"/>
      <c r="BDK188" s="1056"/>
      <c r="BDL188" s="1056"/>
      <c r="BDM188" s="1056"/>
      <c r="BDN188" s="1056"/>
      <c r="BDO188" s="1056"/>
      <c r="BDP188" s="1056"/>
      <c r="BDQ188" s="1056"/>
      <c r="BDR188" s="1056"/>
      <c r="BDS188" s="1056"/>
      <c r="BDT188" s="1056"/>
      <c r="BDU188" s="1056"/>
      <c r="BDV188" s="1056"/>
      <c r="BDW188" s="1056"/>
      <c r="BDX188" s="1056"/>
      <c r="BDY188" s="1056"/>
      <c r="BDZ188" s="1056"/>
      <c r="BEA188" s="1056"/>
      <c r="BEB188" s="1056"/>
      <c r="BEC188" s="1056"/>
      <c r="BED188" s="1056"/>
      <c r="BEE188" s="1056"/>
      <c r="BEF188" s="1056"/>
      <c r="BEG188" s="1056"/>
      <c r="BEH188" s="1056"/>
      <c r="BEI188" s="1056"/>
      <c r="BEJ188" s="1056"/>
      <c r="BEK188" s="1056"/>
      <c r="BEL188" s="1056"/>
      <c r="BEM188" s="1056"/>
      <c r="BEN188" s="1056"/>
      <c r="BEO188" s="1056"/>
      <c r="BEP188" s="1056"/>
      <c r="BEQ188" s="1056"/>
      <c r="BER188" s="1056"/>
      <c r="BES188" s="1056"/>
      <c r="BET188" s="1056"/>
      <c r="BEU188" s="1056"/>
      <c r="BEV188" s="1056"/>
      <c r="BEW188" s="1056"/>
      <c r="BEX188" s="1056"/>
      <c r="BEY188" s="1056"/>
      <c r="BEZ188" s="1056"/>
      <c r="BFA188" s="1056"/>
      <c r="BFB188" s="1056"/>
      <c r="BFC188" s="1056"/>
      <c r="BFD188" s="1056"/>
      <c r="BFE188" s="1056"/>
      <c r="BFF188" s="1056"/>
      <c r="BFG188" s="1056"/>
      <c r="BFH188" s="1056"/>
      <c r="BFI188" s="1056"/>
      <c r="BFJ188" s="1056"/>
      <c r="BFK188" s="1056"/>
      <c r="BFL188" s="1056"/>
      <c r="BFM188" s="1056"/>
      <c r="BFN188" s="1056"/>
      <c r="BFO188" s="1056"/>
      <c r="BFP188" s="1056"/>
      <c r="BFQ188" s="1056"/>
      <c r="BFR188" s="1056"/>
      <c r="BFS188" s="1056"/>
      <c r="BFT188" s="1056"/>
      <c r="BFU188" s="1056"/>
      <c r="BFV188" s="1056"/>
      <c r="BFW188" s="1056"/>
      <c r="BFX188" s="1056"/>
      <c r="BFY188" s="1056"/>
      <c r="BFZ188" s="1056"/>
      <c r="BGA188" s="1056"/>
      <c r="BGB188" s="1056"/>
      <c r="BGC188" s="1056"/>
      <c r="BGD188" s="1056"/>
      <c r="BGE188" s="1056"/>
      <c r="BGF188" s="1056"/>
      <c r="BGG188" s="1056"/>
      <c r="BGH188" s="1056"/>
      <c r="BGI188" s="1056"/>
      <c r="BGJ188" s="1056"/>
      <c r="BGK188" s="1056"/>
      <c r="BGL188" s="1056"/>
      <c r="BGM188" s="1056"/>
      <c r="BGN188" s="1056"/>
      <c r="BGO188" s="1056"/>
      <c r="BGP188" s="1056"/>
      <c r="BGQ188" s="1056"/>
      <c r="BGR188" s="1056"/>
      <c r="BGS188" s="1056"/>
      <c r="BGT188" s="1056"/>
      <c r="BGU188" s="1056"/>
      <c r="BGV188" s="1056"/>
      <c r="BGW188" s="1056"/>
      <c r="BGX188" s="1056"/>
      <c r="BGY188" s="1056"/>
      <c r="BGZ188" s="1056"/>
      <c r="BHA188" s="1056"/>
      <c r="BHB188" s="1056"/>
      <c r="BHC188" s="1056"/>
      <c r="BHD188" s="1056"/>
      <c r="BHE188" s="1056"/>
      <c r="BHF188" s="1056"/>
      <c r="BHG188" s="1056"/>
      <c r="BHH188" s="1056"/>
      <c r="BHI188" s="1056"/>
      <c r="BHJ188" s="1056"/>
      <c r="BHK188" s="1056"/>
      <c r="BHL188" s="1056"/>
      <c r="BHM188" s="1056"/>
      <c r="BHN188" s="1056"/>
      <c r="BHO188" s="1056"/>
      <c r="BHP188" s="1056"/>
      <c r="BHQ188" s="1056"/>
      <c r="BHR188" s="1056"/>
      <c r="BHS188" s="1056"/>
      <c r="BHT188" s="1056"/>
      <c r="BHU188" s="1056"/>
      <c r="BHV188" s="1056"/>
      <c r="BHW188" s="1056"/>
      <c r="BHX188" s="1056"/>
      <c r="BHY188" s="1056"/>
      <c r="BHZ188" s="1056"/>
      <c r="BIA188" s="1056"/>
      <c r="BIB188" s="1056"/>
      <c r="BIC188" s="1056"/>
      <c r="BID188" s="1056"/>
      <c r="BIE188" s="1056"/>
      <c r="BIF188" s="1056"/>
      <c r="BIG188" s="1056"/>
      <c r="BIH188" s="1056"/>
      <c r="BII188" s="1056"/>
      <c r="BIJ188" s="1056"/>
      <c r="BIK188" s="1056"/>
      <c r="BIL188" s="1056"/>
      <c r="BIM188" s="1056"/>
      <c r="BIN188" s="1056"/>
      <c r="BIO188" s="1056"/>
      <c r="BIP188" s="1056"/>
      <c r="BIQ188" s="1056"/>
      <c r="BIR188" s="1056"/>
      <c r="BIS188" s="1056"/>
      <c r="BIT188" s="1056"/>
      <c r="BIU188" s="1056"/>
      <c r="BIV188" s="1056"/>
      <c r="BIW188" s="1056"/>
      <c r="BIX188" s="1056"/>
      <c r="BIY188" s="1056"/>
      <c r="BIZ188" s="1056"/>
      <c r="BJA188" s="1056"/>
      <c r="BJB188" s="1056"/>
      <c r="BJC188" s="1056"/>
      <c r="BJD188" s="1056"/>
      <c r="BJE188" s="1056"/>
      <c r="BJF188" s="1056"/>
      <c r="BJG188" s="1056"/>
      <c r="BJH188" s="1056"/>
      <c r="BJI188" s="1056"/>
      <c r="BJJ188" s="1056"/>
      <c r="BJK188" s="1056"/>
      <c r="BJL188" s="1056"/>
      <c r="BJM188" s="1056"/>
      <c r="BJN188" s="1056"/>
      <c r="BJO188" s="1056"/>
      <c r="BJP188" s="1056"/>
      <c r="BJQ188" s="1056"/>
      <c r="BJR188" s="1056"/>
      <c r="BJS188" s="1056"/>
      <c r="BJT188" s="1056"/>
      <c r="BJU188" s="1056"/>
      <c r="BJV188" s="1056"/>
      <c r="BJW188" s="1056"/>
      <c r="BJX188" s="1056"/>
      <c r="BJY188" s="1056"/>
      <c r="BJZ188" s="1056"/>
      <c r="BKA188" s="1056"/>
      <c r="BKB188" s="1056"/>
      <c r="BKC188" s="1056"/>
      <c r="BKD188" s="1056"/>
      <c r="BKE188" s="1056"/>
      <c r="BKF188" s="1056"/>
      <c r="BKG188" s="1056"/>
      <c r="BKH188" s="1056"/>
      <c r="BKI188" s="1056"/>
      <c r="BKJ188" s="1056"/>
      <c r="BKK188" s="1056"/>
      <c r="BKL188" s="1056"/>
      <c r="BKM188" s="1056"/>
      <c r="BKN188" s="1056"/>
      <c r="BKO188" s="1056"/>
      <c r="BKP188" s="1056"/>
      <c r="BKQ188" s="1056"/>
      <c r="BKR188" s="1056"/>
      <c r="BKS188" s="1056"/>
      <c r="BKT188" s="1056"/>
      <c r="BKU188" s="1056"/>
      <c r="BKV188" s="1056"/>
      <c r="BKW188" s="1056"/>
      <c r="BKX188" s="1056"/>
      <c r="BKY188" s="1056"/>
      <c r="BKZ188" s="1056"/>
      <c r="BLA188" s="1056"/>
      <c r="BLB188" s="1056"/>
      <c r="BLC188" s="1056"/>
      <c r="BLD188" s="1056"/>
      <c r="BLE188" s="1056"/>
      <c r="BLF188" s="1056"/>
      <c r="BLG188" s="1056"/>
      <c r="BLH188" s="1056"/>
      <c r="BLI188" s="1056"/>
      <c r="BLJ188" s="1056"/>
      <c r="BLK188" s="1056"/>
      <c r="BLL188" s="1056"/>
      <c r="BLM188" s="1056"/>
      <c r="BLN188" s="1056"/>
      <c r="BLO188" s="1056"/>
      <c r="BLP188" s="1056"/>
      <c r="BLQ188" s="1056"/>
      <c r="BLR188" s="1056"/>
      <c r="BLS188" s="1056"/>
      <c r="BLT188" s="1056"/>
      <c r="BLU188" s="1056"/>
      <c r="BLV188" s="1056"/>
      <c r="BLW188" s="1056"/>
      <c r="BLX188" s="1056"/>
      <c r="BLY188" s="1056"/>
      <c r="BLZ188" s="1056"/>
      <c r="BMA188" s="1056"/>
      <c r="BMB188" s="1056"/>
      <c r="BMC188" s="1056"/>
      <c r="BMD188" s="1056"/>
      <c r="BME188" s="1056"/>
      <c r="BMF188" s="1056"/>
      <c r="BMG188" s="1056"/>
      <c r="BMH188" s="1056"/>
      <c r="BMI188" s="1056"/>
      <c r="BMJ188" s="1056"/>
      <c r="BMK188" s="1056"/>
      <c r="BML188" s="1056"/>
      <c r="BMM188" s="1056"/>
      <c r="BMN188" s="1056"/>
      <c r="BMO188" s="1056"/>
      <c r="BMP188" s="1056"/>
      <c r="BMQ188" s="1056"/>
      <c r="BMR188" s="1056"/>
      <c r="BMS188" s="1056"/>
      <c r="BMT188" s="1056"/>
      <c r="BMU188" s="1056"/>
      <c r="BMV188" s="1056"/>
      <c r="BMW188" s="1056"/>
      <c r="BMX188" s="1056"/>
      <c r="BMY188" s="1056"/>
      <c r="BMZ188" s="1056"/>
      <c r="BNA188" s="1056"/>
      <c r="BNB188" s="1056"/>
      <c r="BNC188" s="1056"/>
      <c r="BND188" s="1056"/>
      <c r="BNE188" s="1056"/>
      <c r="BNF188" s="1056"/>
      <c r="BNG188" s="1056"/>
      <c r="BNH188" s="1056"/>
      <c r="BNI188" s="1056"/>
      <c r="BNJ188" s="1056"/>
      <c r="BNK188" s="1056"/>
      <c r="BNL188" s="1056"/>
      <c r="BNM188" s="1056"/>
      <c r="BNN188" s="1056"/>
      <c r="BNO188" s="1056"/>
      <c r="BNP188" s="1056"/>
      <c r="BNQ188" s="1056"/>
      <c r="BNR188" s="1056"/>
      <c r="BNS188" s="1056"/>
      <c r="BNT188" s="1056"/>
      <c r="BNU188" s="1056"/>
      <c r="BNV188" s="1056"/>
      <c r="BNW188" s="1056"/>
      <c r="BNX188" s="1056"/>
      <c r="BNY188" s="1056"/>
      <c r="BNZ188" s="1056"/>
      <c r="BOA188" s="1056"/>
      <c r="BOB188" s="1056"/>
      <c r="BOC188" s="1056"/>
      <c r="BOD188" s="1056"/>
      <c r="BOE188" s="1056"/>
      <c r="BOF188" s="1056"/>
      <c r="BOG188" s="1056"/>
      <c r="BOH188" s="1056"/>
      <c r="BOI188" s="1056"/>
      <c r="BOJ188" s="1056"/>
      <c r="BOK188" s="1056"/>
      <c r="BOL188" s="1056"/>
      <c r="BOM188" s="1056"/>
      <c r="BON188" s="1056"/>
      <c r="BOO188" s="1056"/>
      <c r="BOP188" s="1056"/>
      <c r="BOQ188" s="1056"/>
      <c r="BOR188" s="1056"/>
      <c r="BOS188" s="1056"/>
      <c r="BOT188" s="1056"/>
      <c r="BOU188" s="1056"/>
      <c r="BOV188" s="1056"/>
      <c r="BOW188" s="1056"/>
      <c r="BOX188" s="1056"/>
      <c r="BOY188" s="1056"/>
      <c r="BOZ188" s="1056"/>
      <c r="BPA188" s="1056"/>
      <c r="BPB188" s="1056"/>
      <c r="BPC188" s="1056"/>
      <c r="BPD188" s="1056"/>
      <c r="BPE188" s="1056"/>
      <c r="BPF188" s="1056"/>
      <c r="BPG188" s="1056"/>
      <c r="BPH188" s="1056"/>
      <c r="BPI188" s="1056"/>
      <c r="BPJ188" s="1056"/>
      <c r="BPK188" s="1056"/>
      <c r="BPL188" s="1056"/>
      <c r="BPM188" s="1056"/>
      <c r="BPN188" s="1056"/>
      <c r="BPO188" s="1056"/>
      <c r="BPP188" s="1056"/>
      <c r="BPQ188" s="1056"/>
      <c r="BPR188" s="1056"/>
      <c r="BPS188" s="1056"/>
      <c r="BPT188" s="1056"/>
      <c r="BPU188" s="1056"/>
      <c r="BPV188" s="1056"/>
      <c r="BPW188" s="1056"/>
      <c r="BPX188" s="1056"/>
      <c r="BPY188" s="1056"/>
      <c r="BPZ188" s="1056"/>
      <c r="BQA188" s="1056"/>
      <c r="BQB188" s="1056"/>
      <c r="BQC188" s="1056"/>
      <c r="BQD188" s="1056"/>
      <c r="BQE188" s="1056"/>
      <c r="BQF188" s="1056"/>
      <c r="BQG188" s="1056"/>
      <c r="BQH188" s="1056"/>
      <c r="BQI188" s="1056"/>
      <c r="BQJ188" s="1056"/>
      <c r="BQK188" s="1056"/>
      <c r="BQL188" s="1056"/>
      <c r="BQM188" s="1056"/>
      <c r="BQN188" s="1056"/>
      <c r="BQO188" s="1056"/>
      <c r="BQP188" s="1056"/>
      <c r="BQQ188" s="1056"/>
      <c r="BQR188" s="1056"/>
      <c r="BQS188" s="1056"/>
      <c r="BQT188" s="1056"/>
      <c r="BQU188" s="1056"/>
      <c r="BQV188" s="1056"/>
      <c r="BQW188" s="1056"/>
      <c r="BQX188" s="1056"/>
      <c r="BQY188" s="1056"/>
      <c r="BQZ188" s="1056"/>
      <c r="BRA188" s="1056"/>
      <c r="BRB188" s="1056"/>
      <c r="BRC188" s="1056"/>
      <c r="BRD188" s="1056"/>
      <c r="BRE188" s="1056"/>
      <c r="BRF188" s="1056"/>
      <c r="BRG188" s="1056"/>
      <c r="BRH188" s="1056"/>
      <c r="BRI188" s="1056"/>
      <c r="BRJ188" s="1056"/>
      <c r="BRK188" s="1056"/>
      <c r="BRL188" s="1056"/>
      <c r="BRM188" s="1056"/>
      <c r="BRN188" s="1056"/>
      <c r="BRO188" s="1056"/>
      <c r="BRP188" s="1056"/>
      <c r="BRQ188" s="1056"/>
      <c r="BRR188" s="1056"/>
      <c r="BRS188" s="1056"/>
      <c r="BRT188" s="1056"/>
      <c r="BRU188" s="1056"/>
      <c r="BRV188" s="1056"/>
      <c r="BRW188" s="1056"/>
      <c r="BRX188" s="1056"/>
      <c r="BRY188" s="1056"/>
      <c r="BRZ188" s="1056"/>
      <c r="BSA188" s="1056"/>
      <c r="BSB188" s="1056"/>
      <c r="BSC188" s="1056"/>
      <c r="BSD188" s="1056"/>
      <c r="BSE188" s="1056"/>
      <c r="BSF188" s="1056"/>
      <c r="BSG188" s="1056"/>
      <c r="BSH188" s="1056"/>
      <c r="BSI188" s="1056"/>
      <c r="BSJ188" s="1056"/>
      <c r="BSK188" s="1056"/>
      <c r="BSL188" s="1056"/>
      <c r="BSM188" s="1056"/>
      <c r="BSN188" s="1056"/>
      <c r="BSO188" s="1056"/>
      <c r="BSP188" s="1056"/>
      <c r="BSQ188" s="1056"/>
      <c r="BSR188" s="1056"/>
      <c r="BSS188" s="1056"/>
      <c r="BST188" s="1056"/>
      <c r="BSU188" s="1056"/>
      <c r="BSV188" s="1056"/>
      <c r="BSW188" s="1056"/>
      <c r="BSX188" s="1056"/>
      <c r="BSY188" s="1056"/>
      <c r="BSZ188" s="1056"/>
      <c r="BTA188" s="1056"/>
      <c r="BTB188" s="1056"/>
      <c r="BTC188" s="1056"/>
      <c r="BTD188" s="1056"/>
      <c r="BTE188" s="1056"/>
      <c r="BTF188" s="1056"/>
      <c r="BTG188" s="1056"/>
      <c r="BTH188" s="1056"/>
      <c r="BTI188" s="1056"/>
    </row>
    <row r="189" spans="1:1881" s="1060" customFormat="1" ht="96" hidden="1" customHeight="1" x14ac:dyDescent="0.3">
      <c r="A189" s="1059">
        <v>99</v>
      </c>
      <c r="B189" s="808" t="s">
        <v>58</v>
      </c>
      <c r="C189" s="808" t="s">
        <v>1422</v>
      </c>
      <c r="D189" s="1084" t="s">
        <v>164</v>
      </c>
      <c r="E189" s="1053" t="e">
        <f>HLOOKUP($D$2,'2020 Data(H)'!$C$1:$AI$426,59,FALSE)</f>
        <v>#N/A</v>
      </c>
      <c r="F189" s="286">
        <v>0</v>
      </c>
      <c r="G189" s="722">
        <f t="shared" ref="G189:G197" si="2">IF(F189&lt;0,"Error: Enter as positive.",)</f>
        <v>0</v>
      </c>
      <c r="H189" s="764"/>
      <c r="I189" s="1055"/>
      <c r="J189" s="1056"/>
      <c r="K189" s="1056"/>
      <c r="L189" s="1056"/>
      <c r="M189" s="1056"/>
      <c r="N189" s="1058"/>
      <c r="O189" s="1056"/>
      <c r="P189" s="1056"/>
      <c r="Q189" s="1056"/>
      <c r="R189" s="1056"/>
      <c r="S189" s="1056"/>
      <c r="T189" s="1056"/>
      <c r="U189" s="1056"/>
      <c r="V189" s="1056"/>
      <c r="W189" s="1056"/>
      <c r="X189" s="1056"/>
      <c r="Y189" s="1056"/>
      <c r="Z189" s="1059"/>
      <c r="AA189" s="1059"/>
      <c r="AB189" s="1059"/>
      <c r="AC189" s="1059"/>
      <c r="AD189" s="1059"/>
      <c r="AE189" s="1059"/>
      <c r="AF189" s="1059"/>
      <c r="AG189" s="1059"/>
      <c r="AH189" s="1059"/>
      <c r="AI189" s="1059"/>
      <c r="AJ189" s="1059"/>
      <c r="AK189" s="1059"/>
      <c r="AL189" s="1059"/>
      <c r="AM189" s="1059"/>
      <c r="AN189" s="1059"/>
      <c r="AO189" s="1059"/>
      <c r="AP189" s="1059"/>
      <c r="AQ189" s="1059"/>
      <c r="AR189" s="1059"/>
      <c r="AS189" s="1056"/>
      <c r="AT189" s="1056"/>
      <c r="AU189" s="1056"/>
      <c r="AV189" s="1056"/>
      <c r="AW189" s="1056"/>
      <c r="AX189" s="1056"/>
      <c r="AY189" s="1056"/>
      <c r="AZ189" s="1056"/>
      <c r="BA189" s="1056"/>
      <c r="BB189" s="1056"/>
      <c r="BC189" s="1056"/>
      <c r="BD189" s="1056"/>
      <c r="BE189" s="1056"/>
      <c r="BF189" s="1056"/>
      <c r="BG189" s="1056"/>
      <c r="BH189" s="1056"/>
      <c r="BI189" s="1056"/>
      <c r="BJ189" s="1056"/>
      <c r="BK189" s="1056"/>
      <c r="BL189" s="1056"/>
      <c r="BM189" s="1056"/>
      <c r="BN189" s="1056"/>
      <c r="BO189" s="1056"/>
      <c r="BP189" s="1056"/>
      <c r="BQ189" s="1056"/>
      <c r="BR189" s="1056"/>
      <c r="BS189" s="1056"/>
      <c r="BT189" s="1056"/>
      <c r="BU189" s="1056"/>
      <c r="BV189" s="1056"/>
      <c r="BW189" s="1056"/>
      <c r="BX189" s="1056"/>
      <c r="BY189" s="1056"/>
      <c r="BZ189" s="1056"/>
      <c r="CA189" s="1056"/>
      <c r="CB189" s="1056"/>
      <c r="CC189" s="1056"/>
      <c r="CD189" s="1056"/>
      <c r="CE189" s="1056"/>
      <c r="CF189" s="1056"/>
      <c r="CG189" s="1056"/>
      <c r="CH189" s="1056"/>
      <c r="CI189" s="1056"/>
      <c r="CJ189" s="1056"/>
      <c r="CK189" s="1056"/>
      <c r="CL189" s="1056"/>
      <c r="CM189" s="1056"/>
      <c r="CN189" s="1056"/>
      <c r="CO189" s="1056"/>
      <c r="CP189" s="1056"/>
      <c r="CQ189" s="1056"/>
      <c r="CR189" s="1056"/>
      <c r="CS189" s="1056"/>
      <c r="CT189" s="1056"/>
      <c r="CU189" s="1056"/>
      <c r="CV189" s="1056"/>
      <c r="CW189" s="1056"/>
      <c r="CX189" s="1056"/>
      <c r="CY189" s="1056"/>
      <c r="CZ189" s="1056"/>
      <c r="DA189" s="1056"/>
      <c r="DB189" s="1056"/>
      <c r="DC189" s="1056"/>
      <c r="DD189" s="1056"/>
      <c r="DE189" s="1056"/>
      <c r="DF189" s="1056"/>
      <c r="DG189" s="1056"/>
      <c r="DH189" s="1056"/>
      <c r="DI189" s="1056"/>
      <c r="DJ189" s="1056"/>
      <c r="DK189" s="1056"/>
      <c r="DL189" s="1056"/>
      <c r="DM189" s="1056"/>
      <c r="DN189" s="1056"/>
      <c r="DO189" s="1056"/>
      <c r="DP189" s="1056"/>
      <c r="DQ189" s="1056"/>
      <c r="DR189" s="1056"/>
      <c r="DS189" s="1056"/>
      <c r="DT189" s="1056"/>
      <c r="DU189" s="1056"/>
      <c r="DV189" s="1056"/>
      <c r="DW189" s="1056"/>
      <c r="DX189" s="1056"/>
      <c r="DY189" s="1056"/>
      <c r="DZ189" s="1056"/>
      <c r="EA189" s="1056"/>
      <c r="EB189" s="1056"/>
      <c r="EC189" s="1056"/>
      <c r="ED189" s="1056"/>
      <c r="EE189" s="1056"/>
      <c r="EF189" s="1056"/>
      <c r="EG189" s="1056"/>
      <c r="EH189" s="1056"/>
      <c r="EI189" s="1056"/>
      <c r="EJ189" s="1056"/>
      <c r="EK189" s="1056"/>
      <c r="EL189" s="1056"/>
      <c r="EM189" s="1056"/>
      <c r="EN189" s="1056"/>
      <c r="EO189" s="1056"/>
      <c r="EP189" s="1056"/>
      <c r="EQ189" s="1056"/>
      <c r="ER189" s="1056"/>
      <c r="ES189" s="1056"/>
      <c r="ET189" s="1056"/>
      <c r="EU189" s="1056"/>
      <c r="EV189" s="1056"/>
      <c r="EW189" s="1056"/>
      <c r="EX189" s="1056"/>
      <c r="EY189" s="1056"/>
      <c r="EZ189" s="1056"/>
      <c r="FA189" s="1056"/>
      <c r="FB189" s="1056"/>
      <c r="FC189" s="1056"/>
      <c r="FD189" s="1056"/>
      <c r="FE189" s="1056"/>
      <c r="FF189" s="1056"/>
      <c r="FG189" s="1056"/>
      <c r="FH189" s="1056"/>
      <c r="FI189" s="1056"/>
      <c r="FJ189" s="1056"/>
      <c r="FK189" s="1056"/>
      <c r="FL189" s="1056"/>
      <c r="FM189" s="1056"/>
      <c r="FN189" s="1056"/>
      <c r="FO189" s="1056"/>
      <c r="FP189" s="1056"/>
      <c r="FQ189" s="1056"/>
      <c r="FR189" s="1056"/>
      <c r="FS189" s="1056"/>
      <c r="FT189" s="1056"/>
      <c r="FU189" s="1056"/>
      <c r="FV189" s="1056"/>
      <c r="FW189" s="1056"/>
      <c r="FX189" s="1056"/>
      <c r="FY189" s="1056"/>
      <c r="FZ189" s="1056"/>
      <c r="GA189" s="1056"/>
      <c r="GB189" s="1056"/>
      <c r="GC189" s="1056"/>
      <c r="GD189" s="1056"/>
      <c r="GE189" s="1056"/>
      <c r="GF189" s="1056"/>
      <c r="GG189" s="1056"/>
      <c r="GH189" s="1056"/>
      <c r="GI189" s="1056"/>
      <c r="GJ189" s="1056"/>
      <c r="GK189" s="1056"/>
      <c r="GL189" s="1056"/>
      <c r="GM189" s="1056"/>
      <c r="GN189" s="1056"/>
      <c r="GO189" s="1056"/>
      <c r="GP189" s="1056"/>
      <c r="GQ189" s="1056"/>
      <c r="GR189" s="1056"/>
      <c r="GS189" s="1056"/>
      <c r="GT189" s="1056"/>
      <c r="GU189" s="1056"/>
      <c r="GV189" s="1056"/>
      <c r="GW189" s="1056"/>
      <c r="GX189" s="1056"/>
      <c r="GY189" s="1056"/>
      <c r="GZ189" s="1056"/>
      <c r="HA189" s="1056"/>
      <c r="HB189" s="1056"/>
      <c r="HC189" s="1056"/>
      <c r="HD189" s="1056"/>
      <c r="HE189" s="1056"/>
      <c r="HF189" s="1056"/>
      <c r="HG189" s="1056"/>
      <c r="HH189" s="1056"/>
      <c r="HI189" s="1056"/>
      <c r="HJ189" s="1056"/>
      <c r="HK189" s="1056"/>
      <c r="HL189" s="1056"/>
      <c r="HM189" s="1056"/>
      <c r="HN189" s="1056"/>
      <c r="HO189" s="1056"/>
      <c r="HP189" s="1056"/>
      <c r="HQ189" s="1056"/>
      <c r="HR189" s="1056"/>
      <c r="HS189" s="1056"/>
      <c r="HT189" s="1056"/>
      <c r="HU189" s="1056"/>
      <c r="HV189" s="1056"/>
      <c r="HW189" s="1056"/>
      <c r="HX189" s="1056"/>
      <c r="HY189" s="1056"/>
      <c r="HZ189" s="1056"/>
      <c r="IA189" s="1056"/>
      <c r="IB189" s="1056"/>
      <c r="IC189" s="1056"/>
      <c r="ID189" s="1056"/>
      <c r="IE189" s="1056"/>
      <c r="IF189" s="1056"/>
      <c r="IG189" s="1056"/>
      <c r="IH189" s="1056"/>
      <c r="II189" s="1056"/>
      <c r="IJ189" s="1056"/>
      <c r="IK189" s="1056"/>
      <c r="IL189" s="1056"/>
      <c r="IM189" s="1056"/>
      <c r="IN189" s="1056"/>
      <c r="IO189" s="1056"/>
      <c r="IP189" s="1056"/>
      <c r="IQ189" s="1056"/>
      <c r="IR189" s="1056"/>
      <c r="IS189" s="1056"/>
      <c r="IT189" s="1056"/>
      <c r="IU189" s="1056"/>
      <c r="IV189" s="1056"/>
      <c r="IW189" s="1056"/>
      <c r="IX189" s="1056"/>
      <c r="IY189" s="1056"/>
      <c r="IZ189" s="1056"/>
      <c r="JA189" s="1056"/>
      <c r="JB189" s="1056"/>
      <c r="JC189" s="1056"/>
      <c r="JD189" s="1056"/>
      <c r="JE189" s="1056"/>
      <c r="JF189" s="1056"/>
      <c r="JG189" s="1056"/>
      <c r="JH189" s="1056"/>
      <c r="JI189" s="1056"/>
      <c r="JJ189" s="1056"/>
      <c r="JK189" s="1056"/>
      <c r="JL189" s="1056"/>
      <c r="JM189" s="1056"/>
      <c r="JN189" s="1056"/>
      <c r="JO189" s="1056"/>
      <c r="JP189" s="1056"/>
      <c r="JQ189" s="1056"/>
      <c r="JR189" s="1056"/>
      <c r="JS189" s="1056"/>
      <c r="JT189" s="1056"/>
      <c r="JU189" s="1056"/>
      <c r="JV189" s="1056"/>
      <c r="JW189" s="1056"/>
      <c r="JX189" s="1056"/>
      <c r="JY189" s="1056"/>
      <c r="JZ189" s="1056"/>
      <c r="KA189" s="1056"/>
      <c r="KB189" s="1056"/>
      <c r="KC189" s="1056"/>
      <c r="KD189" s="1056"/>
      <c r="KE189" s="1056"/>
      <c r="KF189" s="1056"/>
      <c r="KG189" s="1056"/>
      <c r="KH189" s="1056"/>
      <c r="KI189" s="1056"/>
      <c r="KJ189" s="1056"/>
      <c r="KK189" s="1056"/>
      <c r="KL189" s="1056"/>
      <c r="KM189" s="1056"/>
      <c r="KN189" s="1056"/>
      <c r="KO189" s="1056"/>
      <c r="KP189" s="1056"/>
      <c r="KQ189" s="1056"/>
      <c r="KR189" s="1056"/>
      <c r="KS189" s="1056"/>
      <c r="KT189" s="1056"/>
      <c r="KU189" s="1056"/>
      <c r="KV189" s="1056"/>
      <c r="KW189" s="1056"/>
      <c r="KX189" s="1056"/>
      <c r="KY189" s="1056"/>
      <c r="KZ189" s="1056"/>
      <c r="LA189" s="1056"/>
      <c r="LB189" s="1056"/>
      <c r="LC189" s="1056"/>
      <c r="LD189" s="1056"/>
      <c r="LE189" s="1056"/>
      <c r="LF189" s="1056"/>
      <c r="LG189" s="1056"/>
      <c r="LH189" s="1056"/>
      <c r="LI189" s="1056"/>
      <c r="LJ189" s="1056"/>
      <c r="LK189" s="1056"/>
      <c r="LL189" s="1056"/>
      <c r="LM189" s="1056"/>
      <c r="LN189" s="1056"/>
      <c r="LO189" s="1056"/>
      <c r="LP189" s="1056"/>
      <c r="LQ189" s="1056"/>
      <c r="LR189" s="1056"/>
      <c r="LS189" s="1056"/>
      <c r="LT189" s="1056"/>
      <c r="LU189" s="1056"/>
      <c r="LV189" s="1056"/>
      <c r="LW189" s="1056"/>
      <c r="LX189" s="1056"/>
      <c r="LY189" s="1056"/>
      <c r="LZ189" s="1056"/>
      <c r="MA189" s="1056"/>
      <c r="MB189" s="1056"/>
      <c r="MC189" s="1056"/>
      <c r="MD189" s="1056"/>
      <c r="ME189" s="1056"/>
      <c r="MF189" s="1056"/>
      <c r="MG189" s="1056"/>
      <c r="MH189" s="1056"/>
      <c r="MI189" s="1056"/>
      <c r="MJ189" s="1056"/>
      <c r="MK189" s="1056"/>
      <c r="ML189" s="1056"/>
      <c r="MM189" s="1056"/>
      <c r="MN189" s="1056"/>
      <c r="MO189" s="1056"/>
      <c r="MP189" s="1056"/>
      <c r="MQ189" s="1056"/>
      <c r="MR189" s="1056"/>
      <c r="MS189" s="1056"/>
      <c r="MT189" s="1056"/>
      <c r="MU189" s="1056"/>
      <c r="MV189" s="1056"/>
      <c r="MW189" s="1056"/>
      <c r="MX189" s="1056"/>
      <c r="MY189" s="1056"/>
      <c r="MZ189" s="1056"/>
      <c r="NA189" s="1056"/>
      <c r="NB189" s="1056"/>
      <c r="NC189" s="1056"/>
      <c r="ND189" s="1056"/>
      <c r="NE189" s="1056"/>
      <c r="NF189" s="1056"/>
      <c r="NG189" s="1056"/>
      <c r="NH189" s="1056"/>
      <c r="NI189" s="1056"/>
      <c r="NJ189" s="1056"/>
      <c r="NK189" s="1056"/>
      <c r="NL189" s="1056"/>
      <c r="NM189" s="1056"/>
      <c r="NN189" s="1056"/>
      <c r="NO189" s="1056"/>
      <c r="NP189" s="1056"/>
      <c r="NQ189" s="1056"/>
      <c r="NR189" s="1056"/>
      <c r="NS189" s="1056"/>
      <c r="NT189" s="1056"/>
      <c r="NU189" s="1056"/>
      <c r="NV189" s="1056"/>
      <c r="NW189" s="1056"/>
      <c r="NX189" s="1056"/>
      <c r="NY189" s="1056"/>
      <c r="NZ189" s="1056"/>
      <c r="OA189" s="1056"/>
      <c r="OB189" s="1056"/>
      <c r="OC189" s="1056"/>
      <c r="OD189" s="1056"/>
      <c r="OE189" s="1056"/>
      <c r="OF189" s="1056"/>
      <c r="OG189" s="1056"/>
      <c r="OH189" s="1056"/>
      <c r="OI189" s="1056"/>
      <c r="OJ189" s="1056"/>
      <c r="OK189" s="1056"/>
      <c r="OL189" s="1056"/>
      <c r="OM189" s="1056"/>
      <c r="ON189" s="1056"/>
      <c r="OO189" s="1056"/>
      <c r="OP189" s="1056"/>
      <c r="OQ189" s="1056"/>
      <c r="OR189" s="1056"/>
      <c r="OS189" s="1056"/>
      <c r="OT189" s="1056"/>
      <c r="OU189" s="1056"/>
      <c r="OV189" s="1056"/>
      <c r="OW189" s="1056"/>
      <c r="OX189" s="1056"/>
      <c r="OY189" s="1056"/>
      <c r="OZ189" s="1056"/>
      <c r="PA189" s="1056"/>
      <c r="PB189" s="1056"/>
      <c r="PC189" s="1056"/>
      <c r="PD189" s="1056"/>
      <c r="PE189" s="1056"/>
      <c r="PF189" s="1056"/>
      <c r="PG189" s="1056"/>
      <c r="PH189" s="1056"/>
      <c r="PI189" s="1056"/>
      <c r="PJ189" s="1056"/>
      <c r="PK189" s="1056"/>
      <c r="PL189" s="1056"/>
      <c r="PM189" s="1056"/>
      <c r="PN189" s="1056"/>
      <c r="PO189" s="1056"/>
      <c r="PP189" s="1056"/>
      <c r="PQ189" s="1056"/>
      <c r="PR189" s="1056"/>
      <c r="PS189" s="1056"/>
      <c r="PT189" s="1056"/>
      <c r="PU189" s="1056"/>
      <c r="PV189" s="1056"/>
      <c r="PW189" s="1056"/>
      <c r="PX189" s="1056"/>
      <c r="PY189" s="1056"/>
      <c r="PZ189" s="1056"/>
      <c r="QA189" s="1056"/>
      <c r="QB189" s="1056"/>
      <c r="QC189" s="1056"/>
      <c r="QD189" s="1056"/>
      <c r="QE189" s="1056"/>
      <c r="QF189" s="1056"/>
      <c r="QG189" s="1056"/>
      <c r="QH189" s="1056"/>
      <c r="QI189" s="1056"/>
      <c r="QJ189" s="1056"/>
      <c r="QK189" s="1056"/>
      <c r="QL189" s="1056"/>
      <c r="QM189" s="1056"/>
      <c r="QN189" s="1056"/>
      <c r="QO189" s="1056"/>
      <c r="QP189" s="1056"/>
      <c r="QQ189" s="1056"/>
      <c r="QR189" s="1056"/>
      <c r="QS189" s="1056"/>
      <c r="QT189" s="1056"/>
      <c r="QU189" s="1056"/>
      <c r="QV189" s="1056"/>
      <c r="QW189" s="1056"/>
      <c r="QX189" s="1056"/>
      <c r="QY189" s="1056"/>
      <c r="QZ189" s="1056"/>
      <c r="RA189" s="1056"/>
      <c r="RB189" s="1056"/>
      <c r="RC189" s="1056"/>
      <c r="RD189" s="1056"/>
      <c r="RE189" s="1056"/>
      <c r="RF189" s="1056"/>
      <c r="RG189" s="1056"/>
      <c r="RH189" s="1056"/>
      <c r="RI189" s="1056"/>
      <c r="RJ189" s="1056"/>
      <c r="RK189" s="1056"/>
      <c r="RL189" s="1056"/>
      <c r="RM189" s="1056"/>
      <c r="RN189" s="1056"/>
      <c r="RO189" s="1056"/>
      <c r="RP189" s="1056"/>
      <c r="RQ189" s="1056"/>
      <c r="RR189" s="1056"/>
      <c r="RS189" s="1056"/>
      <c r="RT189" s="1056"/>
      <c r="RU189" s="1056"/>
      <c r="RV189" s="1056"/>
      <c r="RW189" s="1056"/>
      <c r="RX189" s="1056"/>
      <c r="RY189" s="1056"/>
      <c r="RZ189" s="1056"/>
      <c r="SA189" s="1056"/>
      <c r="SB189" s="1056"/>
      <c r="SC189" s="1056"/>
      <c r="SD189" s="1056"/>
      <c r="SE189" s="1056"/>
      <c r="SF189" s="1056"/>
      <c r="SG189" s="1056"/>
      <c r="SH189" s="1056"/>
      <c r="SI189" s="1056"/>
      <c r="SJ189" s="1056"/>
      <c r="SK189" s="1056"/>
      <c r="SL189" s="1056"/>
      <c r="SM189" s="1056"/>
      <c r="SN189" s="1056"/>
      <c r="SO189" s="1056"/>
      <c r="SP189" s="1056"/>
      <c r="SQ189" s="1056"/>
      <c r="SR189" s="1056"/>
      <c r="SS189" s="1056"/>
      <c r="ST189" s="1056"/>
      <c r="SU189" s="1056"/>
      <c r="SV189" s="1056"/>
      <c r="SW189" s="1056"/>
      <c r="SX189" s="1056"/>
      <c r="SY189" s="1056"/>
      <c r="SZ189" s="1056"/>
      <c r="TA189" s="1056"/>
      <c r="TB189" s="1056"/>
      <c r="TC189" s="1056"/>
      <c r="TD189" s="1056"/>
      <c r="TE189" s="1056"/>
      <c r="TF189" s="1056"/>
      <c r="TG189" s="1056"/>
      <c r="TH189" s="1056"/>
      <c r="TI189" s="1056"/>
      <c r="TJ189" s="1056"/>
      <c r="TK189" s="1056"/>
      <c r="TL189" s="1056"/>
      <c r="TM189" s="1056"/>
      <c r="TN189" s="1056"/>
      <c r="TO189" s="1056"/>
      <c r="TP189" s="1056"/>
      <c r="TQ189" s="1056"/>
      <c r="TR189" s="1056"/>
      <c r="TS189" s="1056"/>
      <c r="TT189" s="1056"/>
      <c r="TU189" s="1056"/>
      <c r="TV189" s="1056"/>
      <c r="TW189" s="1056"/>
      <c r="TX189" s="1056"/>
      <c r="TY189" s="1056"/>
      <c r="TZ189" s="1056"/>
      <c r="UA189" s="1056"/>
      <c r="UB189" s="1056"/>
      <c r="UC189" s="1056"/>
      <c r="UD189" s="1056"/>
      <c r="UE189" s="1056"/>
      <c r="UF189" s="1056"/>
      <c r="UG189" s="1056"/>
      <c r="UH189" s="1056"/>
      <c r="UI189" s="1056"/>
      <c r="UJ189" s="1056"/>
      <c r="UK189" s="1056"/>
      <c r="UL189" s="1056"/>
      <c r="UM189" s="1056"/>
      <c r="UN189" s="1056"/>
      <c r="UO189" s="1056"/>
      <c r="UP189" s="1056"/>
      <c r="UQ189" s="1056"/>
      <c r="UR189" s="1056"/>
      <c r="US189" s="1056"/>
      <c r="UT189" s="1056"/>
      <c r="UU189" s="1056"/>
      <c r="UV189" s="1056"/>
      <c r="UW189" s="1056"/>
      <c r="UX189" s="1056"/>
      <c r="UY189" s="1056"/>
      <c r="UZ189" s="1056"/>
      <c r="VA189" s="1056"/>
      <c r="VB189" s="1056"/>
      <c r="VC189" s="1056"/>
      <c r="VD189" s="1056"/>
      <c r="VE189" s="1056"/>
      <c r="VF189" s="1056"/>
      <c r="VG189" s="1056"/>
      <c r="VH189" s="1056"/>
      <c r="VI189" s="1056"/>
      <c r="VJ189" s="1056"/>
      <c r="VK189" s="1056"/>
      <c r="VL189" s="1056"/>
      <c r="VM189" s="1056"/>
      <c r="VN189" s="1056"/>
      <c r="VO189" s="1056"/>
      <c r="VP189" s="1056"/>
      <c r="VQ189" s="1056"/>
      <c r="VR189" s="1056"/>
      <c r="VS189" s="1056"/>
      <c r="VT189" s="1056"/>
      <c r="VU189" s="1056"/>
      <c r="VV189" s="1056"/>
      <c r="VW189" s="1056"/>
      <c r="VX189" s="1056"/>
      <c r="VY189" s="1056"/>
      <c r="VZ189" s="1056"/>
      <c r="WA189" s="1056"/>
      <c r="WB189" s="1056"/>
      <c r="WC189" s="1056"/>
      <c r="WD189" s="1056"/>
      <c r="WE189" s="1056"/>
      <c r="WF189" s="1056"/>
      <c r="WG189" s="1056"/>
      <c r="WH189" s="1056"/>
      <c r="WI189" s="1056"/>
      <c r="WJ189" s="1056"/>
      <c r="WK189" s="1056"/>
      <c r="WL189" s="1056"/>
      <c r="WM189" s="1056"/>
      <c r="WN189" s="1056"/>
      <c r="WO189" s="1056"/>
      <c r="WP189" s="1056"/>
      <c r="WQ189" s="1056"/>
      <c r="WR189" s="1056"/>
      <c r="WS189" s="1056"/>
      <c r="WT189" s="1056"/>
      <c r="WU189" s="1056"/>
      <c r="WV189" s="1056"/>
      <c r="WW189" s="1056"/>
      <c r="WX189" s="1056"/>
      <c r="WY189" s="1056"/>
      <c r="WZ189" s="1056"/>
      <c r="XA189" s="1056"/>
      <c r="XB189" s="1056"/>
      <c r="XC189" s="1056"/>
      <c r="XD189" s="1056"/>
      <c r="XE189" s="1056"/>
      <c r="XF189" s="1056"/>
      <c r="XG189" s="1056"/>
      <c r="XH189" s="1056"/>
      <c r="XI189" s="1056"/>
      <c r="XJ189" s="1056"/>
      <c r="XK189" s="1056"/>
      <c r="XL189" s="1056"/>
      <c r="XM189" s="1056"/>
      <c r="XN189" s="1056"/>
      <c r="XO189" s="1056"/>
      <c r="XP189" s="1056"/>
      <c r="XQ189" s="1056"/>
      <c r="XR189" s="1056"/>
      <c r="XS189" s="1056"/>
      <c r="XT189" s="1056"/>
      <c r="XU189" s="1056"/>
      <c r="XV189" s="1056"/>
      <c r="XW189" s="1056"/>
      <c r="XX189" s="1056"/>
      <c r="XY189" s="1056"/>
      <c r="XZ189" s="1056"/>
      <c r="YA189" s="1056"/>
      <c r="YB189" s="1056"/>
      <c r="YC189" s="1056"/>
      <c r="YD189" s="1056"/>
      <c r="YE189" s="1056"/>
      <c r="YF189" s="1056"/>
      <c r="YG189" s="1056"/>
      <c r="YH189" s="1056"/>
      <c r="YI189" s="1056"/>
      <c r="YJ189" s="1056"/>
      <c r="YK189" s="1056"/>
      <c r="YL189" s="1056"/>
      <c r="YM189" s="1056"/>
      <c r="YN189" s="1056"/>
      <c r="YO189" s="1056"/>
      <c r="YP189" s="1056"/>
      <c r="YQ189" s="1056"/>
      <c r="YR189" s="1056"/>
      <c r="YS189" s="1056"/>
      <c r="YT189" s="1056"/>
      <c r="YU189" s="1056"/>
      <c r="YV189" s="1056"/>
      <c r="YW189" s="1056"/>
      <c r="YX189" s="1056"/>
      <c r="YY189" s="1056"/>
      <c r="YZ189" s="1056"/>
      <c r="ZA189" s="1056"/>
      <c r="ZB189" s="1056"/>
      <c r="ZC189" s="1056"/>
      <c r="ZD189" s="1056"/>
      <c r="ZE189" s="1056"/>
      <c r="ZF189" s="1056"/>
      <c r="ZG189" s="1056"/>
      <c r="ZH189" s="1056"/>
      <c r="ZI189" s="1056"/>
      <c r="ZJ189" s="1056"/>
      <c r="ZK189" s="1056"/>
      <c r="ZL189" s="1056"/>
      <c r="ZM189" s="1056"/>
      <c r="ZN189" s="1056"/>
      <c r="ZO189" s="1056"/>
      <c r="ZP189" s="1056"/>
      <c r="ZQ189" s="1056"/>
      <c r="ZR189" s="1056"/>
      <c r="ZS189" s="1056"/>
      <c r="ZT189" s="1056"/>
      <c r="ZU189" s="1056"/>
      <c r="ZV189" s="1056"/>
      <c r="ZW189" s="1056"/>
      <c r="ZX189" s="1056"/>
      <c r="ZY189" s="1056"/>
      <c r="ZZ189" s="1056"/>
      <c r="AAA189" s="1056"/>
      <c r="AAB189" s="1056"/>
      <c r="AAC189" s="1056"/>
      <c r="AAD189" s="1056"/>
      <c r="AAE189" s="1056"/>
      <c r="AAF189" s="1056"/>
      <c r="AAG189" s="1056"/>
      <c r="AAH189" s="1056"/>
      <c r="AAI189" s="1056"/>
      <c r="AAJ189" s="1056"/>
      <c r="AAK189" s="1056"/>
      <c r="AAL189" s="1056"/>
      <c r="AAM189" s="1056"/>
      <c r="AAN189" s="1056"/>
      <c r="AAO189" s="1056"/>
      <c r="AAP189" s="1056"/>
      <c r="AAQ189" s="1056"/>
      <c r="AAR189" s="1056"/>
      <c r="AAS189" s="1056"/>
      <c r="AAT189" s="1056"/>
      <c r="AAU189" s="1056"/>
      <c r="AAV189" s="1056"/>
      <c r="AAW189" s="1056"/>
      <c r="AAX189" s="1056"/>
      <c r="AAY189" s="1056"/>
      <c r="AAZ189" s="1056"/>
      <c r="ABA189" s="1056"/>
      <c r="ABB189" s="1056"/>
      <c r="ABC189" s="1056"/>
      <c r="ABD189" s="1056"/>
      <c r="ABE189" s="1056"/>
      <c r="ABF189" s="1056"/>
      <c r="ABG189" s="1056"/>
      <c r="ABH189" s="1056"/>
      <c r="ABI189" s="1056"/>
      <c r="ABJ189" s="1056"/>
      <c r="ABK189" s="1056"/>
      <c r="ABL189" s="1056"/>
      <c r="ABM189" s="1056"/>
      <c r="ABN189" s="1056"/>
      <c r="ABO189" s="1056"/>
      <c r="ABP189" s="1056"/>
      <c r="ABQ189" s="1056"/>
      <c r="ABR189" s="1056"/>
      <c r="ABS189" s="1056"/>
      <c r="ABT189" s="1056"/>
      <c r="ABU189" s="1056"/>
      <c r="ABV189" s="1056"/>
      <c r="ABW189" s="1056"/>
      <c r="ABX189" s="1056"/>
      <c r="ABY189" s="1056"/>
      <c r="ABZ189" s="1056"/>
      <c r="ACA189" s="1056"/>
      <c r="ACB189" s="1056"/>
      <c r="ACC189" s="1056"/>
      <c r="ACD189" s="1056"/>
      <c r="ACE189" s="1056"/>
      <c r="ACF189" s="1056"/>
      <c r="ACG189" s="1056"/>
      <c r="ACH189" s="1056"/>
      <c r="ACI189" s="1056"/>
      <c r="ACJ189" s="1056"/>
      <c r="ACK189" s="1056"/>
      <c r="ACL189" s="1056"/>
      <c r="ACM189" s="1056"/>
      <c r="ACN189" s="1056"/>
      <c r="ACO189" s="1056"/>
      <c r="ACP189" s="1056"/>
      <c r="ACQ189" s="1056"/>
      <c r="ACR189" s="1056"/>
      <c r="ACS189" s="1056"/>
      <c r="ACT189" s="1056"/>
      <c r="ACU189" s="1056"/>
      <c r="ACV189" s="1056"/>
      <c r="ACW189" s="1056"/>
      <c r="ACX189" s="1056"/>
      <c r="ACY189" s="1056"/>
      <c r="ACZ189" s="1056"/>
      <c r="ADA189" s="1056"/>
      <c r="ADB189" s="1056"/>
      <c r="ADC189" s="1056"/>
      <c r="ADD189" s="1056"/>
      <c r="ADE189" s="1056"/>
      <c r="ADF189" s="1056"/>
      <c r="ADG189" s="1056"/>
      <c r="ADH189" s="1056"/>
      <c r="ADI189" s="1056"/>
      <c r="ADJ189" s="1056"/>
      <c r="ADK189" s="1056"/>
      <c r="ADL189" s="1056"/>
      <c r="ADM189" s="1056"/>
      <c r="ADN189" s="1056"/>
      <c r="ADO189" s="1056"/>
      <c r="ADP189" s="1056"/>
      <c r="ADQ189" s="1056"/>
      <c r="ADR189" s="1056"/>
      <c r="ADS189" s="1056"/>
      <c r="ADT189" s="1056"/>
      <c r="ADU189" s="1056"/>
      <c r="ADV189" s="1056"/>
      <c r="ADW189" s="1056"/>
      <c r="ADX189" s="1056"/>
      <c r="ADY189" s="1056"/>
      <c r="ADZ189" s="1056"/>
      <c r="AEA189" s="1056"/>
      <c r="AEB189" s="1056"/>
      <c r="AEC189" s="1056"/>
      <c r="AED189" s="1056"/>
      <c r="AEE189" s="1056"/>
      <c r="AEF189" s="1056"/>
      <c r="AEG189" s="1056"/>
      <c r="AEH189" s="1056"/>
      <c r="AEI189" s="1056"/>
      <c r="AEJ189" s="1056"/>
      <c r="AEK189" s="1056"/>
      <c r="AEL189" s="1056"/>
      <c r="AEM189" s="1056"/>
      <c r="AEN189" s="1056"/>
      <c r="AEO189" s="1056"/>
      <c r="AEP189" s="1056"/>
      <c r="AEQ189" s="1056"/>
      <c r="AER189" s="1056"/>
      <c r="AES189" s="1056"/>
      <c r="AET189" s="1056"/>
      <c r="AEU189" s="1056"/>
      <c r="AEV189" s="1056"/>
      <c r="AEW189" s="1056"/>
      <c r="AEX189" s="1056"/>
      <c r="AEY189" s="1056"/>
      <c r="AEZ189" s="1056"/>
      <c r="AFA189" s="1056"/>
      <c r="AFB189" s="1056"/>
      <c r="AFC189" s="1056"/>
      <c r="AFD189" s="1056"/>
      <c r="AFE189" s="1056"/>
      <c r="AFF189" s="1056"/>
      <c r="AFG189" s="1056"/>
      <c r="AFH189" s="1056"/>
      <c r="AFI189" s="1056"/>
      <c r="AFJ189" s="1056"/>
      <c r="AFK189" s="1056"/>
      <c r="AFL189" s="1056"/>
      <c r="AFM189" s="1056"/>
      <c r="AFN189" s="1056"/>
      <c r="AFO189" s="1056"/>
      <c r="AFP189" s="1056"/>
      <c r="AFQ189" s="1056"/>
      <c r="AFR189" s="1056"/>
      <c r="AFS189" s="1056"/>
      <c r="AFT189" s="1056"/>
      <c r="AFU189" s="1056"/>
      <c r="AFV189" s="1056"/>
      <c r="AFW189" s="1056"/>
      <c r="AFX189" s="1056"/>
      <c r="AFY189" s="1056"/>
      <c r="AFZ189" s="1056"/>
      <c r="AGA189" s="1056"/>
      <c r="AGB189" s="1056"/>
      <c r="AGC189" s="1056"/>
      <c r="AGD189" s="1056"/>
      <c r="AGE189" s="1056"/>
      <c r="AGF189" s="1056"/>
      <c r="AGG189" s="1056"/>
      <c r="AGH189" s="1056"/>
      <c r="AGI189" s="1056"/>
      <c r="AGJ189" s="1056"/>
      <c r="AGK189" s="1056"/>
      <c r="AGL189" s="1056"/>
      <c r="AGM189" s="1056"/>
      <c r="AGN189" s="1056"/>
      <c r="AGO189" s="1056"/>
      <c r="AGP189" s="1056"/>
      <c r="AGQ189" s="1056"/>
      <c r="AGR189" s="1056"/>
      <c r="AGS189" s="1056"/>
      <c r="AGT189" s="1056"/>
      <c r="AGU189" s="1056"/>
      <c r="AGV189" s="1056"/>
      <c r="AGW189" s="1056"/>
      <c r="AGX189" s="1056"/>
      <c r="AGY189" s="1056"/>
      <c r="AGZ189" s="1056"/>
      <c r="AHA189" s="1056"/>
      <c r="AHB189" s="1056"/>
      <c r="AHC189" s="1056"/>
      <c r="AHD189" s="1056"/>
      <c r="AHE189" s="1056"/>
      <c r="AHF189" s="1056"/>
      <c r="AHG189" s="1056"/>
      <c r="AHH189" s="1056"/>
      <c r="AHI189" s="1056"/>
      <c r="AHJ189" s="1056"/>
      <c r="AHK189" s="1056"/>
      <c r="AHL189" s="1056"/>
      <c r="AHM189" s="1056"/>
      <c r="AHN189" s="1056"/>
      <c r="AHO189" s="1056"/>
      <c r="AHP189" s="1056"/>
      <c r="AHQ189" s="1056"/>
      <c r="AHR189" s="1056"/>
      <c r="AHS189" s="1056"/>
      <c r="AHT189" s="1056"/>
      <c r="AHU189" s="1056"/>
      <c r="AHV189" s="1056"/>
      <c r="AHW189" s="1056"/>
      <c r="AHX189" s="1056"/>
      <c r="AHY189" s="1056"/>
      <c r="AHZ189" s="1056"/>
      <c r="AIA189" s="1056"/>
      <c r="AIB189" s="1056"/>
      <c r="AIC189" s="1056"/>
      <c r="AID189" s="1056"/>
      <c r="AIE189" s="1056"/>
      <c r="AIF189" s="1056"/>
      <c r="AIG189" s="1056"/>
      <c r="AIH189" s="1056"/>
      <c r="AII189" s="1056"/>
      <c r="AIJ189" s="1056"/>
      <c r="AIK189" s="1056"/>
      <c r="AIL189" s="1056"/>
      <c r="AIM189" s="1056"/>
      <c r="AIN189" s="1056"/>
      <c r="AIO189" s="1056"/>
      <c r="AIP189" s="1056"/>
      <c r="AIQ189" s="1056"/>
      <c r="AIR189" s="1056"/>
      <c r="AIS189" s="1056"/>
      <c r="AIT189" s="1056"/>
      <c r="AIU189" s="1056"/>
      <c r="AIV189" s="1056"/>
      <c r="AIW189" s="1056"/>
      <c r="AIX189" s="1056"/>
      <c r="AIY189" s="1056"/>
      <c r="AIZ189" s="1056"/>
      <c r="AJA189" s="1056"/>
      <c r="AJB189" s="1056"/>
      <c r="AJC189" s="1056"/>
      <c r="AJD189" s="1056"/>
      <c r="AJE189" s="1056"/>
      <c r="AJF189" s="1056"/>
      <c r="AJG189" s="1056"/>
      <c r="AJH189" s="1056"/>
      <c r="AJI189" s="1056"/>
      <c r="AJJ189" s="1056"/>
      <c r="AJK189" s="1056"/>
      <c r="AJL189" s="1056"/>
      <c r="AJM189" s="1056"/>
      <c r="AJN189" s="1056"/>
      <c r="AJO189" s="1056"/>
      <c r="AJP189" s="1056"/>
      <c r="AJQ189" s="1056"/>
      <c r="AJR189" s="1056"/>
      <c r="AJS189" s="1056"/>
      <c r="AJT189" s="1056"/>
      <c r="AJU189" s="1056"/>
      <c r="AJV189" s="1056"/>
      <c r="AJW189" s="1056"/>
      <c r="AJX189" s="1056"/>
      <c r="AJY189" s="1056"/>
      <c r="AJZ189" s="1056"/>
      <c r="AKA189" s="1056"/>
      <c r="AKB189" s="1056"/>
      <c r="AKC189" s="1056"/>
      <c r="AKD189" s="1056"/>
      <c r="AKE189" s="1056"/>
      <c r="AKF189" s="1056"/>
      <c r="AKG189" s="1056"/>
      <c r="AKH189" s="1056"/>
      <c r="AKI189" s="1056"/>
      <c r="AKJ189" s="1056"/>
      <c r="AKK189" s="1056"/>
      <c r="AKL189" s="1056"/>
      <c r="AKM189" s="1056"/>
      <c r="AKN189" s="1056"/>
      <c r="AKO189" s="1056"/>
      <c r="AKP189" s="1056"/>
      <c r="AKQ189" s="1056"/>
      <c r="AKR189" s="1056"/>
      <c r="AKS189" s="1056"/>
      <c r="AKT189" s="1056"/>
      <c r="AKU189" s="1056"/>
      <c r="AKV189" s="1056"/>
      <c r="AKW189" s="1056"/>
      <c r="AKX189" s="1056"/>
      <c r="AKY189" s="1056"/>
      <c r="AKZ189" s="1056"/>
      <c r="ALA189" s="1056"/>
      <c r="ALB189" s="1056"/>
      <c r="ALC189" s="1056"/>
      <c r="ALD189" s="1056"/>
      <c r="ALE189" s="1056"/>
      <c r="ALF189" s="1056"/>
      <c r="ALG189" s="1056"/>
      <c r="ALH189" s="1056"/>
      <c r="ALI189" s="1056"/>
      <c r="ALJ189" s="1056"/>
      <c r="ALK189" s="1056"/>
      <c r="ALL189" s="1056"/>
      <c r="ALM189" s="1056"/>
      <c r="ALN189" s="1056"/>
      <c r="ALO189" s="1056"/>
      <c r="ALP189" s="1056"/>
      <c r="ALQ189" s="1056"/>
      <c r="ALR189" s="1056"/>
      <c r="ALS189" s="1056"/>
      <c r="ALT189" s="1056"/>
      <c r="ALU189" s="1056"/>
      <c r="ALV189" s="1056"/>
      <c r="ALW189" s="1056"/>
      <c r="ALX189" s="1056"/>
      <c r="ALY189" s="1056"/>
      <c r="ALZ189" s="1056"/>
      <c r="AMA189" s="1056"/>
      <c r="AMB189" s="1056"/>
      <c r="AMC189" s="1056"/>
      <c r="AMD189" s="1056"/>
      <c r="AME189" s="1056"/>
      <c r="AMF189" s="1056"/>
      <c r="AMG189" s="1056"/>
      <c r="AMH189" s="1056"/>
      <c r="AMI189" s="1056"/>
      <c r="AMJ189" s="1056"/>
      <c r="AMK189" s="1056"/>
      <c r="AML189" s="1056"/>
      <c r="AMM189" s="1056"/>
      <c r="AMN189" s="1056"/>
      <c r="AMO189" s="1056"/>
      <c r="AMP189" s="1056"/>
      <c r="AMQ189" s="1056"/>
      <c r="AMR189" s="1056"/>
      <c r="AMS189" s="1056"/>
      <c r="AMT189" s="1056"/>
      <c r="AMU189" s="1056"/>
      <c r="AMV189" s="1056"/>
      <c r="AMW189" s="1056"/>
      <c r="AMX189" s="1056"/>
      <c r="AMY189" s="1056"/>
      <c r="AMZ189" s="1056"/>
      <c r="ANA189" s="1056"/>
      <c r="ANB189" s="1056"/>
      <c r="ANC189" s="1056"/>
      <c r="AND189" s="1056"/>
      <c r="ANE189" s="1056"/>
      <c r="ANF189" s="1056"/>
      <c r="ANG189" s="1056"/>
      <c r="ANH189" s="1056"/>
      <c r="ANI189" s="1056"/>
      <c r="ANJ189" s="1056"/>
      <c r="ANK189" s="1056"/>
      <c r="ANL189" s="1056"/>
      <c r="ANM189" s="1056"/>
      <c r="ANN189" s="1056"/>
      <c r="ANO189" s="1056"/>
      <c r="ANP189" s="1056"/>
      <c r="ANQ189" s="1056"/>
      <c r="ANR189" s="1056"/>
      <c r="ANS189" s="1056"/>
      <c r="ANT189" s="1056"/>
      <c r="ANU189" s="1056"/>
      <c r="ANV189" s="1056"/>
      <c r="ANW189" s="1056"/>
      <c r="ANX189" s="1056"/>
      <c r="ANY189" s="1056"/>
      <c r="ANZ189" s="1056"/>
      <c r="AOA189" s="1056"/>
      <c r="AOB189" s="1056"/>
      <c r="AOC189" s="1056"/>
      <c r="AOD189" s="1056"/>
      <c r="AOE189" s="1056"/>
      <c r="AOF189" s="1056"/>
      <c r="AOG189" s="1056"/>
      <c r="AOH189" s="1056"/>
      <c r="AOI189" s="1056"/>
      <c r="AOJ189" s="1056"/>
      <c r="AOK189" s="1056"/>
      <c r="AOL189" s="1056"/>
      <c r="AOM189" s="1056"/>
      <c r="AON189" s="1056"/>
      <c r="AOO189" s="1056"/>
      <c r="AOP189" s="1056"/>
      <c r="AOQ189" s="1056"/>
      <c r="AOR189" s="1056"/>
      <c r="AOS189" s="1056"/>
      <c r="AOT189" s="1056"/>
      <c r="AOU189" s="1056"/>
      <c r="AOV189" s="1056"/>
      <c r="AOW189" s="1056"/>
      <c r="AOX189" s="1056"/>
      <c r="AOY189" s="1056"/>
      <c r="AOZ189" s="1056"/>
      <c r="APA189" s="1056"/>
      <c r="APB189" s="1056"/>
      <c r="APC189" s="1056"/>
      <c r="APD189" s="1056"/>
      <c r="APE189" s="1056"/>
      <c r="APF189" s="1056"/>
      <c r="APG189" s="1056"/>
      <c r="APH189" s="1056"/>
      <c r="API189" s="1056"/>
      <c r="APJ189" s="1056"/>
      <c r="APK189" s="1056"/>
      <c r="APL189" s="1056"/>
      <c r="APM189" s="1056"/>
      <c r="APN189" s="1056"/>
      <c r="APO189" s="1056"/>
      <c r="APP189" s="1056"/>
      <c r="APQ189" s="1056"/>
      <c r="APR189" s="1056"/>
      <c r="APS189" s="1056"/>
      <c r="APT189" s="1056"/>
      <c r="APU189" s="1056"/>
      <c r="APV189" s="1056"/>
      <c r="APW189" s="1056"/>
      <c r="APX189" s="1056"/>
      <c r="APY189" s="1056"/>
      <c r="APZ189" s="1056"/>
      <c r="AQA189" s="1056"/>
      <c r="AQB189" s="1056"/>
      <c r="AQC189" s="1056"/>
      <c r="AQD189" s="1056"/>
      <c r="AQE189" s="1056"/>
      <c r="AQF189" s="1056"/>
      <c r="AQG189" s="1056"/>
      <c r="AQH189" s="1056"/>
      <c r="AQI189" s="1056"/>
      <c r="AQJ189" s="1056"/>
      <c r="AQK189" s="1056"/>
      <c r="AQL189" s="1056"/>
      <c r="AQM189" s="1056"/>
      <c r="AQN189" s="1056"/>
      <c r="AQO189" s="1056"/>
      <c r="AQP189" s="1056"/>
      <c r="AQQ189" s="1056"/>
      <c r="AQR189" s="1056"/>
      <c r="AQS189" s="1056"/>
      <c r="AQT189" s="1056"/>
      <c r="AQU189" s="1056"/>
      <c r="AQV189" s="1056"/>
      <c r="AQW189" s="1056"/>
      <c r="AQX189" s="1056"/>
      <c r="AQY189" s="1056"/>
      <c r="AQZ189" s="1056"/>
      <c r="ARA189" s="1056"/>
      <c r="ARB189" s="1056"/>
      <c r="ARC189" s="1056"/>
      <c r="ARD189" s="1056"/>
      <c r="ARE189" s="1056"/>
      <c r="ARF189" s="1056"/>
      <c r="ARG189" s="1056"/>
      <c r="ARH189" s="1056"/>
      <c r="ARI189" s="1056"/>
      <c r="ARJ189" s="1056"/>
      <c r="ARK189" s="1056"/>
      <c r="ARL189" s="1056"/>
      <c r="ARM189" s="1056"/>
      <c r="ARN189" s="1056"/>
      <c r="ARO189" s="1056"/>
      <c r="ARP189" s="1056"/>
      <c r="ARQ189" s="1056"/>
      <c r="ARR189" s="1056"/>
      <c r="ARS189" s="1056"/>
      <c r="ART189" s="1056"/>
      <c r="ARU189" s="1056"/>
      <c r="ARV189" s="1056"/>
      <c r="ARW189" s="1056"/>
      <c r="ARX189" s="1056"/>
      <c r="ARY189" s="1056"/>
      <c r="ARZ189" s="1056"/>
      <c r="ASA189" s="1056"/>
      <c r="ASB189" s="1056"/>
      <c r="ASC189" s="1056"/>
      <c r="ASD189" s="1056"/>
      <c r="ASE189" s="1056"/>
      <c r="ASF189" s="1056"/>
      <c r="ASG189" s="1056"/>
      <c r="ASH189" s="1056"/>
      <c r="ASI189" s="1056"/>
      <c r="ASJ189" s="1056"/>
      <c r="ASK189" s="1056"/>
      <c r="ASL189" s="1056"/>
      <c r="ASM189" s="1056"/>
      <c r="ASN189" s="1056"/>
      <c r="ASO189" s="1056"/>
      <c r="ASP189" s="1056"/>
      <c r="ASQ189" s="1056"/>
      <c r="ASR189" s="1056"/>
      <c r="ASS189" s="1056"/>
      <c r="AST189" s="1056"/>
      <c r="ASU189" s="1056"/>
      <c r="ASV189" s="1056"/>
      <c r="ASW189" s="1056"/>
      <c r="ASX189" s="1056"/>
      <c r="ASY189" s="1056"/>
      <c r="ASZ189" s="1056"/>
      <c r="ATA189" s="1056"/>
      <c r="ATB189" s="1056"/>
      <c r="ATC189" s="1056"/>
      <c r="ATD189" s="1056"/>
      <c r="ATE189" s="1056"/>
      <c r="ATF189" s="1056"/>
      <c r="ATG189" s="1056"/>
      <c r="ATH189" s="1056"/>
      <c r="ATI189" s="1056"/>
      <c r="ATJ189" s="1056"/>
      <c r="ATK189" s="1056"/>
      <c r="ATL189" s="1056"/>
      <c r="ATM189" s="1056"/>
      <c r="ATN189" s="1056"/>
      <c r="ATO189" s="1056"/>
      <c r="ATP189" s="1056"/>
      <c r="ATQ189" s="1056"/>
      <c r="ATR189" s="1056"/>
      <c r="ATS189" s="1056"/>
      <c r="ATT189" s="1056"/>
      <c r="ATU189" s="1056"/>
      <c r="ATV189" s="1056"/>
      <c r="ATW189" s="1056"/>
      <c r="ATX189" s="1056"/>
      <c r="ATY189" s="1056"/>
      <c r="ATZ189" s="1056"/>
      <c r="AUA189" s="1056"/>
      <c r="AUB189" s="1056"/>
      <c r="AUC189" s="1056"/>
      <c r="AUD189" s="1056"/>
      <c r="AUE189" s="1056"/>
      <c r="AUF189" s="1056"/>
      <c r="AUG189" s="1056"/>
      <c r="AUH189" s="1056"/>
      <c r="AUI189" s="1056"/>
      <c r="AUJ189" s="1056"/>
      <c r="AUK189" s="1056"/>
      <c r="AUL189" s="1056"/>
      <c r="AUM189" s="1056"/>
      <c r="AUN189" s="1056"/>
      <c r="AUO189" s="1056"/>
      <c r="AUP189" s="1056"/>
      <c r="AUQ189" s="1056"/>
      <c r="AUR189" s="1056"/>
      <c r="AUS189" s="1056"/>
      <c r="AUT189" s="1056"/>
      <c r="AUU189" s="1056"/>
      <c r="AUV189" s="1056"/>
      <c r="AUW189" s="1056"/>
      <c r="AUX189" s="1056"/>
      <c r="AUY189" s="1056"/>
      <c r="AUZ189" s="1056"/>
      <c r="AVA189" s="1056"/>
      <c r="AVB189" s="1056"/>
      <c r="AVC189" s="1056"/>
      <c r="AVD189" s="1056"/>
      <c r="AVE189" s="1056"/>
      <c r="AVF189" s="1056"/>
      <c r="AVG189" s="1056"/>
      <c r="AVH189" s="1056"/>
      <c r="AVI189" s="1056"/>
      <c r="AVJ189" s="1056"/>
      <c r="AVK189" s="1056"/>
      <c r="AVL189" s="1056"/>
      <c r="AVM189" s="1056"/>
      <c r="AVN189" s="1056"/>
      <c r="AVO189" s="1056"/>
      <c r="AVP189" s="1056"/>
      <c r="AVQ189" s="1056"/>
      <c r="AVR189" s="1056"/>
      <c r="AVS189" s="1056"/>
      <c r="AVT189" s="1056"/>
      <c r="AVU189" s="1056"/>
      <c r="AVV189" s="1056"/>
      <c r="AVW189" s="1056"/>
      <c r="AVX189" s="1056"/>
      <c r="AVY189" s="1056"/>
      <c r="AVZ189" s="1056"/>
      <c r="AWA189" s="1056"/>
      <c r="AWB189" s="1056"/>
      <c r="AWC189" s="1056"/>
      <c r="AWD189" s="1056"/>
      <c r="AWE189" s="1056"/>
      <c r="AWF189" s="1056"/>
      <c r="AWG189" s="1056"/>
      <c r="AWH189" s="1056"/>
      <c r="AWI189" s="1056"/>
      <c r="AWJ189" s="1056"/>
      <c r="AWK189" s="1056"/>
      <c r="AWL189" s="1056"/>
      <c r="AWM189" s="1056"/>
      <c r="AWN189" s="1056"/>
      <c r="AWO189" s="1056"/>
      <c r="AWP189" s="1056"/>
      <c r="AWQ189" s="1056"/>
      <c r="AWR189" s="1056"/>
      <c r="AWS189" s="1056"/>
      <c r="AWT189" s="1056"/>
      <c r="AWU189" s="1056"/>
      <c r="AWV189" s="1056"/>
      <c r="AWW189" s="1056"/>
      <c r="AWX189" s="1056"/>
      <c r="AWY189" s="1056"/>
      <c r="AWZ189" s="1056"/>
      <c r="AXA189" s="1056"/>
      <c r="AXB189" s="1056"/>
      <c r="AXC189" s="1056"/>
      <c r="AXD189" s="1056"/>
      <c r="AXE189" s="1056"/>
      <c r="AXF189" s="1056"/>
      <c r="AXG189" s="1056"/>
      <c r="AXH189" s="1056"/>
      <c r="AXI189" s="1056"/>
      <c r="AXJ189" s="1056"/>
      <c r="AXK189" s="1056"/>
      <c r="AXL189" s="1056"/>
      <c r="AXM189" s="1056"/>
      <c r="AXN189" s="1056"/>
      <c r="AXO189" s="1056"/>
      <c r="AXP189" s="1056"/>
      <c r="AXQ189" s="1056"/>
      <c r="AXR189" s="1056"/>
      <c r="AXS189" s="1056"/>
      <c r="AXT189" s="1056"/>
      <c r="AXU189" s="1056"/>
      <c r="AXV189" s="1056"/>
      <c r="AXW189" s="1056"/>
      <c r="AXX189" s="1056"/>
      <c r="AXY189" s="1056"/>
      <c r="AXZ189" s="1056"/>
      <c r="AYA189" s="1056"/>
      <c r="AYB189" s="1056"/>
      <c r="AYC189" s="1056"/>
      <c r="AYD189" s="1056"/>
      <c r="AYE189" s="1056"/>
      <c r="AYF189" s="1056"/>
      <c r="AYG189" s="1056"/>
      <c r="AYH189" s="1056"/>
      <c r="AYI189" s="1056"/>
      <c r="AYJ189" s="1056"/>
      <c r="AYK189" s="1056"/>
      <c r="AYL189" s="1056"/>
      <c r="AYM189" s="1056"/>
      <c r="AYN189" s="1056"/>
      <c r="AYO189" s="1056"/>
      <c r="AYP189" s="1056"/>
      <c r="AYQ189" s="1056"/>
      <c r="AYR189" s="1056"/>
      <c r="AYS189" s="1056"/>
      <c r="AYT189" s="1056"/>
      <c r="AYU189" s="1056"/>
      <c r="AYV189" s="1056"/>
      <c r="AYW189" s="1056"/>
      <c r="AYX189" s="1056"/>
      <c r="AYY189" s="1056"/>
      <c r="AYZ189" s="1056"/>
      <c r="AZA189" s="1056"/>
      <c r="AZB189" s="1056"/>
      <c r="AZC189" s="1056"/>
      <c r="AZD189" s="1056"/>
      <c r="AZE189" s="1056"/>
      <c r="AZF189" s="1056"/>
      <c r="AZG189" s="1056"/>
      <c r="AZH189" s="1056"/>
      <c r="AZI189" s="1056"/>
      <c r="AZJ189" s="1056"/>
      <c r="AZK189" s="1056"/>
      <c r="AZL189" s="1056"/>
      <c r="AZM189" s="1056"/>
      <c r="AZN189" s="1056"/>
      <c r="AZO189" s="1056"/>
      <c r="AZP189" s="1056"/>
      <c r="AZQ189" s="1056"/>
      <c r="AZR189" s="1056"/>
      <c r="AZS189" s="1056"/>
      <c r="AZT189" s="1056"/>
      <c r="AZU189" s="1056"/>
      <c r="AZV189" s="1056"/>
      <c r="AZW189" s="1056"/>
      <c r="AZX189" s="1056"/>
      <c r="AZY189" s="1056"/>
      <c r="AZZ189" s="1056"/>
      <c r="BAA189" s="1056"/>
      <c r="BAB189" s="1056"/>
      <c r="BAC189" s="1056"/>
      <c r="BAD189" s="1056"/>
      <c r="BAE189" s="1056"/>
      <c r="BAF189" s="1056"/>
      <c r="BAG189" s="1056"/>
      <c r="BAH189" s="1056"/>
      <c r="BAI189" s="1056"/>
      <c r="BAJ189" s="1056"/>
      <c r="BAK189" s="1056"/>
      <c r="BAL189" s="1056"/>
      <c r="BAM189" s="1056"/>
      <c r="BAN189" s="1056"/>
      <c r="BAO189" s="1056"/>
      <c r="BAP189" s="1056"/>
      <c r="BAQ189" s="1056"/>
      <c r="BAR189" s="1056"/>
      <c r="BAS189" s="1056"/>
      <c r="BAT189" s="1056"/>
      <c r="BAU189" s="1056"/>
      <c r="BAV189" s="1056"/>
      <c r="BAW189" s="1056"/>
      <c r="BAX189" s="1056"/>
      <c r="BAY189" s="1056"/>
      <c r="BAZ189" s="1056"/>
      <c r="BBA189" s="1056"/>
      <c r="BBB189" s="1056"/>
      <c r="BBC189" s="1056"/>
      <c r="BBD189" s="1056"/>
      <c r="BBE189" s="1056"/>
      <c r="BBF189" s="1056"/>
      <c r="BBG189" s="1056"/>
      <c r="BBH189" s="1056"/>
      <c r="BBI189" s="1056"/>
      <c r="BBJ189" s="1056"/>
      <c r="BBK189" s="1056"/>
      <c r="BBL189" s="1056"/>
      <c r="BBM189" s="1056"/>
      <c r="BBN189" s="1056"/>
      <c r="BBO189" s="1056"/>
      <c r="BBP189" s="1056"/>
      <c r="BBQ189" s="1056"/>
      <c r="BBR189" s="1056"/>
      <c r="BBS189" s="1056"/>
      <c r="BBT189" s="1056"/>
      <c r="BBU189" s="1056"/>
      <c r="BBV189" s="1056"/>
      <c r="BBW189" s="1056"/>
      <c r="BBX189" s="1056"/>
      <c r="BBY189" s="1056"/>
      <c r="BBZ189" s="1056"/>
      <c r="BCA189" s="1056"/>
      <c r="BCB189" s="1056"/>
      <c r="BCC189" s="1056"/>
      <c r="BCD189" s="1056"/>
      <c r="BCE189" s="1056"/>
      <c r="BCF189" s="1056"/>
      <c r="BCG189" s="1056"/>
      <c r="BCH189" s="1056"/>
      <c r="BCI189" s="1056"/>
      <c r="BCJ189" s="1056"/>
      <c r="BCK189" s="1056"/>
      <c r="BCL189" s="1056"/>
      <c r="BCM189" s="1056"/>
      <c r="BCN189" s="1056"/>
      <c r="BCO189" s="1056"/>
      <c r="BCP189" s="1056"/>
      <c r="BCQ189" s="1056"/>
      <c r="BCR189" s="1056"/>
      <c r="BCS189" s="1056"/>
      <c r="BCT189" s="1056"/>
      <c r="BCU189" s="1056"/>
      <c r="BCV189" s="1056"/>
      <c r="BCW189" s="1056"/>
      <c r="BCX189" s="1056"/>
      <c r="BCY189" s="1056"/>
      <c r="BCZ189" s="1056"/>
      <c r="BDA189" s="1056"/>
      <c r="BDB189" s="1056"/>
      <c r="BDC189" s="1056"/>
      <c r="BDD189" s="1056"/>
      <c r="BDE189" s="1056"/>
      <c r="BDF189" s="1056"/>
      <c r="BDG189" s="1056"/>
      <c r="BDH189" s="1056"/>
      <c r="BDI189" s="1056"/>
      <c r="BDJ189" s="1056"/>
      <c r="BDK189" s="1056"/>
      <c r="BDL189" s="1056"/>
      <c r="BDM189" s="1056"/>
      <c r="BDN189" s="1056"/>
      <c r="BDO189" s="1056"/>
      <c r="BDP189" s="1056"/>
      <c r="BDQ189" s="1056"/>
      <c r="BDR189" s="1056"/>
      <c r="BDS189" s="1056"/>
      <c r="BDT189" s="1056"/>
      <c r="BDU189" s="1056"/>
      <c r="BDV189" s="1056"/>
      <c r="BDW189" s="1056"/>
      <c r="BDX189" s="1056"/>
      <c r="BDY189" s="1056"/>
      <c r="BDZ189" s="1056"/>
      <c r="BEA189" s="1056"/>
      <c r="BEB189" s="1056"/>
      <c r="BEC189" s="1056"/>
      <c r="BED189" s="1056"/>
      <c r="BEE189" s="1056"/>
      <c r="BEF189" s="1056"/>
      <c r="BEG189" s="1056"/>
      <c r="BEH189" s="1056"/>
      <c r="BEI189" s="1056"/>
      <c r="BEJ189" s="1056"/>
      <c r="BEK189" s="1056"/>
      <c r="BEL189" s="1056"/>
      <c r="BEM189" s="1056"/>
      <c r="BEN189" s="1056"/>
      <c r="BEO189" s="1056"/>
      <c r="BEP189" s="1056"/>
      <c r="BEQ189" s="1056"/>
      <c r="BER189" s="1056"/>
      <c r="BES189" s="1056"/>
      <c r="BET189" s="1056"/>
      <c r="BEU189" s="1056"/>
      <c r="BEV189" s="1056"/>
      <c r="BEW189" s="1056"/>
      <c r="BEX189" s="1056"/>
      <c r="BEY189" s="1056"/>
      <c r="BEZ189" s="1056"/>
      <c r="BFA189" s="1056"/>
      <c r="BFB189" s="1056"/>
      <c r="BFC189" s="1056"/>
      <c r="BFD189" s="1056"/>
      <c r="BFE189" s="1056"/>
      <c r="BFF189" s="1056"/>
      <c r="BFG189" s="1056"/>
      <c r="BFH189" s="1056"/>
      <c r="BFI189" s="1056"/>
      <c r="BFJ189" s="1056"/>
      <c r="BFK189" s="1056"/>
      <c r="BFL189" s="1056"/>
      <c r="BFM189" s="1056"/>
      <c r="BFN189" s="1056"/>
      <c r="BFO189" s="1056"/>
      <c r="BFP189" s="1056"/>
      <c r="BFQ189" s="1056"/>
      <c r="BFR189" s="1056"/>
      <c r="BFS189" s="1056"/>
      <c r="BFT189" s="1056"/>
      <c r="BFU189" s="1056"/>
      <c r="BFV189" s="1056"/>
      <c r="BFW189" s="1056"/>
      <c r="BFX189" s="1056"/>
      <c r="BFY189" s="1056"/>
      <c r="BFZ189" s="1056"/>
      <c r="BGA189" s="1056"/>
      <c r="BGB189" s="1056"/>
      <c r="BGC189" s="1056"/>
      <c r="BGD189" s="1056"/>
      <c r="BGE189" s="1056"/>
      <c r="BGF189" s="1056"/>
      <c r="BGG189" s="1056"/>
      <c r="BGH189" s="1056"/>
      <c r="BGI189" s="1056"/>
      <c r="BGJ189" s="1056"/>
      <c r="BGK189" s="1056"/>
      <c r="BGL189" s="1056"/>
      <c r="BGM189" s="1056"/>
      <c r="BGN189" s="1056"/>
      <c r="BGO189" s="1056"/>
      <c r="BGP189" s="1056"/>
      <c r="BGQ189" s="1056"/>
      <c r="BGR189" s="1056"/>
      <c r="BGS189" s="1056"/>
      <c r="BGT189" s="1056"/>
      <c r="BGU189" s="1056"/>
      <c r="BGV189" s="1056"/>
      <c r="BGW189" s="1056"/>
      <c r="BGX189" s="1056"/>
      <c r="BGY189" s="1056"/>
      <c r="BGZ189" s="1056"/>
      <c r="BHA189" s="1056"/>
      <c r="BHB189" s="1056"/>
      <c r="BHC189" s="1056"/>
      <c r="BHD189" s="1056"/>
      <c r="BHE189" s="1056"/>
      <c r="BHF189" s="1056"/>
      <c r="BHG189" s="1056"/>
      <c r="BHH189" s="1056"/>
      <c r="BHI189" s="1056"/>
      <c r="BHJ189" s="1056"/>
      <c r="BHK189" s="1056"/>
      <c r="BHL189" s="1056"/>
      <c r="BHM189" s="1056"/>
      <c r="BHN189" s="1056"/>
      <c r="BHO189" s="1056"/>
      <c r="BHP189" s="1056"/>
      <c r="BHQ189" s="1056"/>
      <c r="BHR189" s="1056"/>
      <c r="BHS189" s="1056"/>
      <c r="BHT189" s="1056"/>
      <c r="BHU189" s="1056"/>
      <c r="BHV189" s="1056"/>
      <c r="BHW189" s="1056"/>
      <c r="BHX189" s="1056"/>
      <c r="BHY189" s="1056"/>
      <c r="BHZ189" s="1056"/>
      <c r="BIA189" s="1056"/>
      <c r="BIB189" s="1056"/>
      <c r="BIC189" s="1056"/>
      <c r="BID189" s="1056"/>
      <c r="BIE189" s="1056"/>
      <c r="BIF189" s="1056"/>
      <c r="BIG189" s="1056"/>
      <c r="BIH189" s="1056"/>
      <c r="BII189" s="1056"/>
      <c r="BIJ189" s="1056"/>
      <c r="BIK189" s="1056"/>
      <c r="BIL189" s="1056"/>
      <c r="BIM189" s="1056"/>
      <c r="BIN189" s="1056"/>
      <c r="BIO189" s="1056"/>
      <c r="BIP189" s="1056"/>
      <c r="BIQ189" s="1056"/>
      <c r="BIR189" s="1056"/>
      <c r="BIS189" s="1056"/>
      <c r="BIT189" s="1056"/>
      <c r="BIU189" s="1056"/>
      <c r="BIV189" s="1056"/>
      <c r="BIW189" s="1056"/>
      <c r="BIX189" s="1056"/>
      <c r="BIY189" s="1056"/>
      <c r="BIZ189" s="1056"/>
      <c r="BJA189" s="1056"/>
      <c r="BJB189" s="1056"/>
      <c r="BJC189" s="1056"/>
      <c r="BJD189" s="1056"/>
      <c r="BJE189" s="1056"/>
      <c r="BJF189" s="1056"/>
      <c r="BJG189" s="1056"/>
      <c r="BJH189" s="1056"/>
      <c r="BJI189" s="1056"/>
      <c r="BJJ189" s="1056"/>
      <c r="BJK189" s="1056"/>
      <c r="BJL189" s="1056"/>
      <c r="BJM189" s="1056"/>
      <c r="BJN189" s="1056"/>
      <c r="BJO189" s="1056"/>
      <c r="BJP189" s="1056"/>
      <c r="BJQ189" s="1056"/>
      <c r="BJR189" s="1056"/>
      <c r="BJS189" s="1056"/>
      <c r="BJT189" s="1056"/>
      <c r="BJU189" s="1056"/>
      <c r="BJV189" s="1056"/>
      <c r="BJW189" s="1056"/>
      <c r="BJX189" s="1056"/>
      <c r="BJY189" s="1056"/>
      <c r="BJZ189" s="1056"/>
      <c r="BKA189" s="1056"/>
      <c r="BKB189" s="1056"/>
      <c r="BKC189" s="1056"/>
      <c r="BKD189" s="1056"/>
      <c r="BKE189" s="1056"/>
      <c r="BKF189" s="1056"/>
      <c r="BKG189" s="1056"/>
      <c r="BKH189" s="1056"/>
      <c r="BKI189" s="1056"/>
      <c r="BKJ189" s="1056"/>
      <c r="BKK189" s="1056"/>
      <c r="BKL189" s="1056"/>
      <c r="BKM189" s="1056"/>
      <c r="BKN189" s="1056"/>
      <c r="BKO189" s="1056"/>
      <c r="BKP189" s="1056"/>
      <c r="BKQ189" s="1056"/>
      <c r="BKR189" s="1056"/>
      <c r="BKS189" s="1056"/>
      <c r="BKT189" s="1056"/>
      <c r="BKU189" s="1056"/>
      <c r="BKV189" s="1056"/>
      <c r="BKW189" s="1056"/>
      <c r="BKX189" s="1056"/>
      <c r="BKY189" s="1056"/>
      <c r="BKZ189" s="1056"/>
      <c r="BLA189" s="1056"/>
      <c r="BLB189" s="1056"/>
      <c r="BLC189" s="1056"/>
      <c r="BLD189" s="1056"/>
      <c r="BLE189" s="1056"/>
      <c r="BLF189" s="1056"/>
      <c r="BLG189" s="1056"/>
      <c r="BLH189" s="1056"/>
      <c r="BLI189" s="1056"/>
      <c r="BLJ189" s="1056"/>
      <c r="BLK189" s="1056"/>
      <c r="BLL189" s="1056"/>
      <c r="BLM189" s="1056"/>
      <c r="BLN189" s="1056"/>
      <c r="BLO189" s="1056"/>
      <c r="BLP189" s="1056"/>
      <c r="BLQ189" s="1056"/>
      <c r="BLR189" s="1056"/>
      <c r="BLS189" s="1056"/>
      <c r="BLT189" s="1056"/>
      <c r="BLU189" s="1056"/>
      <c r="BLV189" s="1056"/>
      <c r="BLW189" s="1056"/>
      <c r="BLX189" s="1056"/>
      <c r="BLY189" s="1056"/>
      <c r="BLZ189" s="1056"/>
      <c r="BMA189" s="1056"/>
      <c r="BMB189" s="1056"/>
      <c r="BMC189" s="1056"/>
      <c r="BMD189" s="1056"/>
      <c r="BME189" s="1056"/>
      <c r="BMF189" s="1056"/>
      <c r="BMG189" s="1056"/>
      <c r="BMH189" s="1056"/>
      <c r="BMI189" s="1056"/>
      <c r="BMJ189" s="1056"/>
      <c r="BMK189" s="1056"/>
      <c r="BML189" s="1056"/>
      <c r="BMM189" s="1056"/>
      <c r="BMN189" s="1056"/>
      <c r="BMO189" s="1056"/>
      <c r="BMP189" s="1056"/>
      <c r="BMQ189" s="1056"/>
      <c r="BMR189" s="1056"/>
      <c r="BMS189" s="1056"/>
      <c r="BMT189" s="1056"/>
      <c r="BMU189" s="1056"/>
      <c r="BMV189" s="1056"/>
      <c r="BMW189" s="1056"/>
      <c r="BMX189" s="1056"/>
      <c r="BMY189" s="1056"/>
      <c r="BMZ189" s="1056"/>
      <c r="BNA189" s="1056"/>
      <c r="BNB189" s="1056"/>
      <c r="BNC189" s="1056"/>
      <c r="BND189" s="1056"/>
      <c r="BNE189" s="1056"/>
      <c r="BNF189" s="1056"/>
      <c r="BNG189" s="1056"/>
      <c r="BNH189" s="1056"/>
      <c r="BNI189" s="1056"/>
      <c r="BNJ189" s="1056"/>
      <c r="BNK189" s="1056"/>
      <c r="BNL189" s="1056"/>
      <c r="BNM189" s="1056"/>
      <c r="BNN189" s="1056"/>
      <c r="BNO189" s="1056"/>
      <c r="BNP189" s="1056"/>
      <c r="BNQ189" s="1056"/>
      <c r="BNR189" s="1056"/>
      <c r="BNS189" s="1056"/>
      <c r="BNT189" s="1056"/>
      <c r="BNU189" s="1056"/>
      <c r="BNV189" s="1056"/>
      <c r="BNW189" s="1056"/>
      <c r="BNX189" s="1056"/>
      <c r="BNY189" s="1056"/>
      <c r="BNZ189" s="1056"/>
      <c r="BOA189" s="1056"/>
      <c r="BOB189" s="1056"/>
      <c r="BOC189" s="1056"/>
      <c r="BOD189" s="1056"/>
      <c r="BOE189" s="1056"/>
      <c r="BOF189" s="1056"/>
      <c r="BOG189" s="1056"/>
      <c r="BOH189" s="1056"/>
      <c r="BOI189" s="1056"/>
      <c r="BOJ189" s="1056"/>
      <c r="BOK189" s="1056"/>
      <c r="BOL189" s="1056"/>
      <c r="BOM189" s="1056"/>
      <c r="BON189" s="1056"/>
      <c r="BOO189" s="1056"/>
      <c r="BOP189" s="1056"/>
      <c r="BOQ189" s="1056"/>
      <c r="BOR189" s="1056"/>
      <c r="BOS189" s="1056"/>
      <c r="BOT189" s="1056"/>
      <c r="BOU189" s="1056"/>
      <c r="BOV189" s="1056"/>
      <c r="BOW189" s="1056"/>
      <c r="BOX189" s="1056"/>
      <c r="BOY189" s="1056"/>
      <c r="BOZ189" s="1056"/>
      <c r="BPA189" s="1056"/>
      <c r="BPB189" s="1056"/>
      <c r="BPC189" s="1056"/>
      <c r="BPD189" s="1056"/>
      <c r="BPE189" s="1056"/>
      <c r="BPF189" s="1056"/>
      <c r="BPG189" s="1056"/>
      <c r="BPH189" s="1056"/>
      <c r="BPI189" s="1056"/>
      <c r="BPJ189" s="1056"/>
      <c r="BPK189" s="1056"/>
      <c r="BPL189" s="1056"/>
      <c r="BPM189" s="1056"/>
      <c r="BPN189" s="1056"/>
      <c r="BPO189" s="1056"/>
      <c r="BPP189" s="1056"/>
      <c r="BPQ189" s="1056"/>
      <c r="BPR189" s="1056"/>
      <c r="BPS189" s="1056"/>
      <c r="BPT189" s="1056"/>
      <c r="BPU189" s="1056"/>
      <c r="BPV189" s="1056"/>
      <c r="BPW189" s="1056"/>
      <c r="BPX189" s="1056"/>
      <c r="BPY189" s="1056"/>
      <c r="BPZ189" s="1056"/>
      <c r="BQA189" s="1056"/>
      <c r="BQB189" s="1056"/>
      <c r="BQC189" s="1056"/>
      <c r="BQD189" s="1056"/>
      <c r="BQE189" s="1056"/>
      <c r="BQF189" s="1056"/>
      <c r="BQG189" s="1056"/>
      <c r="BQH189" s="1056"/>
      <c r="BQI189" s="1056"/>
      <c r="BQJ189" s="1056"/>
      <c r="BQK189" s="1056"/>
      <c r="BQL189" s="1056"/>
      <c r="BQM189" s="1056"/>
      <c r="BQN189" s="1056"/>
      <c r="BQO189" s="1056"/>
      <c r="BQP189" s="1056"/>
      <c r="BQQ189" s="1056"/>
      <c r="BQR189" s="1056"/>
      <c r="BQS189" s="1056"/>
      <c r="BQT189" s="1056"/>
      <c r="BQU189" s="1056"/>
      <c r="BQV189" s="1056"/>
      <c r="BQW189" s="1056"/>
      <c r="BQX189" s="1056"/>
      <c r="BQY189" s="1056"/>
      <c r="BQZ189" s="1056"/>
      <c r="BRA189" s="1056"/>
      <c r="BRB189" s="1056"/>
      <c r="BRC189" s="1056"/>
      <c r="BRD189" s="1056"/>
      <c r="BRE189" s="1056"/>
      <c r="BRF189" s="1056"/>
      <c r="BRG189" s="1056"/>
      <c r="BRH189" s="1056"/>
      <c r="BRI189" s="1056"/>
      <c r="BRJ189" s="1056"/>
      <c r="BRK189" s="1056"/>
      <c r="BRL189" s="1056"/>
      <c r="BRM189" s="1056"/>
      <c r="BRN189" s="1056"/>
      <c r="BRO189" s="1056"/>
      <c r="BRP189" s="1056"/>
      <c r="BRQ189" s="1056"/>
      <c r="BRR189" s="1056"/>
      <c r="BRS189" s="1056"/>
      <c r="BRT189" s="1056"/>
      <c r="BRU189" s="1056"/>
      <c r="BRV189" s="1056"/>
      <c r="BRW189" s="1056"/>
      <c r="BRX189" s="1056"/>
      <c r="BRY189" s="1056"/>
      <c r="BRZ189" s="1056"/>
      <c r="BSA189" s="1056"/>
      <c r="BSB189" s="1056"/>
      <c r="BSC189" s="1056"/>
      <c r="BSD189" s="1056"/>
      <c r="BSE189" s="1056"/>
      <c r="BSF189" s="1056"/>
      <c r="BSG189" s="1056"/>
      <c r="BSH189" s="1056"/>
      <c r="BSI189" s="1056"/>
      <c r="BSJ189" s="1056"/>
      <c r="BSK189" s="1056"/>
      <c r="BSL189" s="1056"/>
      <c r="BSM189" s="1056"/>
      <c r="BSN189" s="1056"/>
      <c r="BSO189" s="1056"/>
      <c r="BSP189" s="1056"/>
      <c r="BSQ189" s="1056"/>
      <c r="BSR189" s="1056"/>
      <c r="BSS189" s="1056"/>
      <c r="BST189" s="1056"/>
      <c r="BSU189" s="1056"/>
      <c r="BSV189" s="1056"/>
      <c r="BSW189" s="1056"/>
      <c r="BSX189" s="1056"/>
      <c r="BSY189" s="1056"/>
      <c r="BSZ189" s="1056"/>
      <c r="BTA189" s="1056"/>
      <c r="BTB189" s="1056"/>
      <c r="BTC189" s="1056"/>
      <c r="BTD189" s="1056"/>
      <c r="BTE189" s="1056"/>
      <c r="BTF189" s="1056"/>
      <c r="BTG189" s="1056"/>
      <c r="BTH189" s="1056"/>
      <c r="BTI189" s="1056"/>
    </row>
    <row r="190" spans="1:1881" s="1060" customFormat="1" ht="79.5" hidden="1" customHeight="1" x14ac:dyDescent="0.3">
      <c r="A190" s="1059">
        <v>52</v>
      </c>
      <c r="B190" s="808" t="s">
        <v>58</v>
      </c>
      <c r="C190" s="808" t="s">
        <v>1422</v>
      </c>
      <c r="D190" s="1084" t="s">
        <v>160</v>
      </c>
      <c r="E190" s="1053" t="e">
        <f>HLOOKUP($D$2,'2020 Data(H)'!$C$1:$AI$426,39,FALSE)</f>
        <v>#N/A</v>
      </c>
      <c r="F190" s="286">
        <v>0</v>
      </c>
      <c r="G190" s="722">
        <f t="shared" si="2"/>
        <v>0</v>
      </c>
      <c r="H190" s="764"/>
      <c r="I190" s="1055"/>
      <c r="J190" s="1056"/>
      <c r="K190" s="1056"/>
      <c r="L190" s="1056"/>
      <c r="M190" s="1056"/>
      <c r="N190" s="1058"/>
      <c r="O190" s="1056"/>
      <c r="P190" s="1056"/>
      <c r="Q190" s="1056"/>
      <c r="R190" s="1056"/>
      <c r="S190" s="1056"/>
      <c r="T190" s="1056"/>
      <c r="U190" s="1056"/>
      <c r="V190" s="1056"/>
      <c r="W190" s="1056"/>
      <c r="X190" s="1056"/>
      <c r="Y190" s="1056"/>
      <c r="Z190" s="1059"/>
      <c r="AA190" s="1059"/>
      <c r="AB190" s="1059"/>
      <c r="AC190" s="1059"/>
      <c r="AD190" s="1059"/>
      <c r="AE190" s="1059"/>
      <c r="AF190" s="1059"/>
      <c r="AG190" s="1059"/>
      <c r="AH190" s="1059"/>
      <c r="AI190" s="1059"/>
      <c r="AJ190" s="1059"/>
      <c r="AK190" s="1059"/>
      <c r="AL190" s="1059"/>
      <c r="AM190" s="1059"/>
      <c r="AN190" s="1059"/>
      <c r="AO190" s="1059"/>
      <c r="AP190" s="1059"/>
      <c r="AQ190" s="1059"/>
      <c r="AR190" s="1059"/>
      <c r="AS190" s="1056"/>
      <c r="AT190" s="1056"/>
      <c r="AU190" s="1056"/>
      <c r="AV190" s="1056"/>
      <c r="AW190" s="1056"/>
      <c r="AX190" s="1056"/>
      <c r="AY190" s="1056"/>
      <c r="AZ190" s="1056"/>
      <c r="BA190" s="1056"/>
      <c r="BB190" s="1056"/>
      <c r="BC190" s="1056"/>
      <c r="BD190" s="1056"/>
      <c r="BE190" s="1056"/>
      <c r="BF190" s="1056"/>
      <c r="BG190" s="1056"/>
      <c r="BH190" s="1056"/>
      <c r="BI190" s="1056"/>
      <c r="BJ190" s="1056"/>
      <c r="BK190" s="1056"/>
      <c r="BL190" s="1056"/>
      <c r="BM190" s="1056"/>
      <c r="BN190" s="1056"/>
      <c r="BO190" s="1056"/>
      <c r="BP190" s="1056"/>
      <c r="BQ190" s="1056"/>
      <c r="BR190" s="1056"/>
      <c r="BS190" s="1056"/>
      <c r="BT190" s="1056"/>
      <c r="BU190" s="1056"/>
      <c r="BV190" s="1056"/>
      <c r="BW190" s="1056"/>
      <c r="BX190" s="1056"/>
      <c r="BY190" s="1056"/>
      <c r="BZ190" s="1056"/>
      <c r="CA190" s="1056"/>
      <c r="CB190" s="1056"/>
      <c r="CC190" s="1056"/>
      <c r="CD190" s="1056"/>
      <c r="CE190" s="1056"/>
      <c r="CF190" s="1056"/>
      <c r="CG190" s="1056"/>
      <c r="CH190" s="1056"/>
      <c r="CI190" s="1056"/>
      <c r="CJ190" s="1056"/>
      <c r="CK190" s="1056"/>
      <c r="CL190" s="1056"/>
      <c r="CM190" s="1056"/>
      <c r="CN190" s="1056"/>
      <c r="CO190" s="1056"/>
      <c r="CP190" s="1056"/>
      <c r="CQ190" s="1056"/>
      <c r="CR190" s="1056"/>
      <c r="CS190" s="1056"/>
      <c r="CT190" s="1056"/>
      <c r="CU190" s="1056"/>
      <c r="CV190" s="1056"/>
      <c r="CW190" s="1056"/>
      <c r="CX190" s="1056"/>
      <c r="CY190" s="1056"/>
      <c r="CZ190" s="1056"/>
      <c r="DA190" s="1056"/>
      <c r="DB190" s="1056"/>
      <c r="DC190" s="1056"/>
      <c r="DD190" s="1056"/>
      <c r="DE190" s="1056"/>
      <c r="DF190" s="1056"/>
      <c r="DG190" s="1056"/>
      <c r="DH190" s="1056"/>
      <c r="DI190" s="1056"/>
      <c r="DJ190" s="1056"/>
      <c r="DK190" s="1056"/>
      <c r="DL190" s="1056"/>
      <c r="DM190" s="1056"/>
      <c r="DN190" s="1056"/>
      <c r="DO190" s="1056"/>
      <c r="DP190" s="1056"/>
      <c r="DQ190" s="1056"/>
      <c r="DR190" s="1056"/>
      <c r="DS190" s="1056"/>
      <c r="DT190" s="1056"/>
      <c r="DU190" s="1056"/>
      <c r="DV190" s="1056"/>
      <c r="DW190" s="1056"/>
      <c r="DX190" s="1056"/>
      <c r="DY190" s="1056"/>
      <c r="DZ190" s="1056"/>
      <c r="EA190" s="1056"/>
      <c r="EB190" s="1056"/>
      <c r="EC190" s="1056"/>
      <c r="ED190" s="1056"/>
      <c r="EE190" s="1056"/>
      <c r="EF190" s="1056"/>
      <c r="EG190" s="1056"/>
      <c r="EH190" s="1056"/>
      <c r="EI190" s="1056"/>
      <c r="EJ190" s="1056"/>
      <c r="EK190" s="1056"/>
      <c r="EL190" s="1056"/>
      <c r="EM190" s="1056"/>
      <c r="EN190" s="1056"/>
      <c r="EO190" s="1056"/>
      <c r="EP190" s="1056"/>
      <c r="EQ190" s="1056"/>
      <c r="ER190" s="1056"/>
      <c r="ES190" s="1056"/>
      <c r="ET190" s="1056"/>
      <c r="EU190" s="1056"/>
      <c r="EV190" s="1056"/>
      <c r="EW190" s="1056"/>
      <c r="EX190" s="1056"/>
      <c r="EY190" s="1056"/>
      <c r="EZ190" s="1056"/>
      <c r="FA190" s="1056"/>
      <c r="FB190" s="1056"/>
      <c r="FC190" s="1056"/>
      <c r="FD190" s="1056"/>
      <c r="FE190" s="1056"/>
      <c r="FF190" s="1056"/>
      <c r="FG190" s="1056"/>
      <c r="FH190" s="1056"/>
      <c r="FI190" s="1056"/>
      <c r="FJ190" s="1056"/>
      <c r="FK190" s="1056"/>
      <c r="FL190" s="1056"/>
      <c r="FM190" s="1056"/>
      <c r="FN190" s="1056"/>
      <c r="FO190" s="1056"/>
      <c r="FP190" s="1056"/>
      <c r="FQ190" s="1056"/>
      <c r="FR190" s="1056"/>
      <c r="FS190" s="1056"/>
      <c r="FT190" s="1056"/>
      <c r="FU190" s="1056"/>
      <c r="FV190" s="1056"/>
      <c r="FW190" s="1056"/>
      <c r="FX190" s="1056"/>
      <c r="FY190" s="1056"/>
      <c r="FZ190" s="1056"/>
      <c r="GA190" s="1056"/>
      <c r="GB190" s="1056"/>
      <c r="GC190" s="1056"/>
      <c r="GD190" s="1056"/>
      <c r="GE190" s="1056"/>
      <c r="GF190" s="1056"/>
      <c r="GG190" s="1056"/>
      <c r="GH190" s="1056"/>
      <c r="GI190" s="1056"/>
      <c r="GJ190" s="1056"/>
      <c r="GK190" s="1056"/>
      <c r="GL190" s="1056"/>
      <c r="GM190" s="1056"/>
      <c r="GN190" s="1056"/>
      <c r="GO190" s="1056"/>
      <c r="GP190" s="1056"/>
      <c r="GQ190" s="1056"/>
      <c r="GR190" s="1056"/>
      <c r="GS190" s="1056"/>
      <c r="GT190" s="1056"/>
      <c r="GU190" s="1056"/>
      <c r="GV190" s="1056"/>
      <c r="GW190" s="1056"/>
      <c r="GX190" s="1056"/>
      <c r="GY190" s="1056"/>
      <c r="GZ190" s="1056"/>
      <c r="HA190" s="1056"/>
      <c r="HB190" s="1056"/>
      <c r="HC190" s="1056"/>
      <c r="HD190" s="1056"/>
      <c r="HE190" s="1056"/>
      <c r="HF190" s="1056"/>
      <c r="HG190" s="1056"/>
      <c r="HH190" s="1056"/>
      <c r="HI190" s="1056"/>
      <c r="HJ190" s="1056"/>
      <c r="HK190" s="1056"/>
      <c r="HL190" s="1056"/>
      <c r="HM190" s="1056"/>
      <c r="HN190" s="1056"/>
      <c r="HO190" s="1056"/>
      <c r="HP190" s="1056"/>
      <c r="HQ190" s="1056"/>
      <c r="HR190" s="1056"/>
      <c r="HS190" s="1056"/>
      <c r="HT190" s="1056"/>
      <c r="HU190" s="1056"/>
      <c r="HV190" s="1056"/>
      <c r="HW190" s="1056"/>
      <c r="HX190" s="1056"/>
      <c r="HY190" s="1056"/>
      <c r="HZ190" s="1056"/>
      <c r="IA190" s="1056"/>
      <c r="IB190" s="1056"/>
      <c r="IC190" s="1056"/>
      <c r="ID190" s="1056"/>
      <c r="IE190" s="1056"/>
      <c r="IF190" s="1056"/>
      <c r="IG190" s="1056"/>
      <c r="IH190" s="1056"/>
      <c r="II190" s="1056"/>
      <c r="IJ190" s="1056"/>
      <c r="IK190" s="1056"/>
      <c r="IL190" s="1056"/>
      <c r="IM190" s="1056"/>
      <c r="IN190" s="1056"/>
      <c r="IO190" s="1056"/>
      <c r="IP190" s="1056"/>
      <c r="IQ190" s="1056"/>
      <c r="IR190" s="1056"/>
      <c r="IS190" s="1056"/>
      <c r="IT190" s="1056"/>
      <c r="IU190" s="1056"/>
      <c r="IV190" s="1056"/>
      <c r="IW190" s="1056"/>
      <c r="IX190" s="1056"/>
      <c r="IY190" s="1056"/>
      <c r="IZ190" s="1056"/>
      <c r="JA190" s="1056"/>
      <c r="JB190" s="1056"/>
      <c r="JC190" s="1056"/>
      <c r="JD190" s="1056"/>
      <c r="JE190" s="1056"/>
      <c r="JF190" s="1056"/>
      <c r="JG190" s="1056"/>
      <c r="JH190" s="1056"/>
      <c r="JI190" s="1056"/>
      <c r="JJ190" s="1056"/>
      <c r="JK190" s="1056"/>
      <c r="JL190" s="1056"/>
      <c r="JM190" s="1056"/>
      <c r="JN190" s="1056"/>
      <c r="JO190" s="1056"/>
      <c r="JP190" s="1056"/>
      <c r="JQ190" s="1056"/>
      <c r="JR190" s="1056"/>
      <c r="JS190" s="1056"/>
      <c r="JT190" s="1056"/>
      <c r="JU190" s="1056"/>
      <c r="JV190" s="1056"/>
      <c r="JW190" s="1056"/>
      <c r="JX190" s="1056"/>
      <c r="JY190" s="1056"/>
      <c r="JZ190" s="1056"/>
      <c r="KA190" s="1056"/>
      <c r="KB190" s="1056"/>
      <c r="KC190" s="1056"/>
      <c r="KD190" s="1056"/>
      <c r="KE190" s="1056"/>
      <c r="KF190" s="1056"/>
      <c r="KG190" s="1056"/>
      <c r="KH190" s="1056"/>
      <c r="KI190" s="1056"/>
      <c r="KJ190" s="1056"/>
      <c r="KK190" s="1056"/>
      <c r="KL190" s="1056"/>
      <c r="KM190" s="1056"/>
      <c r="KN190" s="1056"/>
      <c r="KO190" s="1056"/>
      <c r="KP190" s="1056"/>
      <c r="KQ190" s="1056"/>
      <c r="KR190" s="1056"/>
      <c r="KS190" s="1056"/>
      <c r="KT190" s="1056"/>
      <c r="KU190" s="1056"/>
      <c r="KV190" s="1056"/>
      <c r="KW190" s="1056"/>
      <c r="KX190" s="1056"/>
      <c r="KY190" s="1056"/>
      <c r="KZ190" s="1056"/>
      <c r="LA190" s="1056"/>
      <c r="LB190" s="1056"/>
      <c r="LC190" s="1056"/>
      <c r="LD190" s="1056"/>
      <c r="LE190" s="1056"/>
      <c r="LF190" s="1056"/>
      <c r="LG190" s="1056"/>
      <c r="LH190" s="1056"/>
      <c r="LI190" s="1056"/>
      <c r="LJ190" s="1056"/>
      <c r="LK190" s="1056"/>
      <c r="LL190" s="1056"/>
      <c r="LM190" s="1056"/>
      <c r="LN190" s="1056"/>
      <c r="LO190" s="1056"/>
      <c r="LP190" s="1056"/>
      <c r="LQ190" s="1056"/>
      <c r="LR190" s="1056"/>
      <c r="LS190" s="1056"/>
      <c r="LT190" s="1056"/>
      <c r="LU190" s="1056"/>
      <c r="LV190" s="1056"/>
      <c r="LW190" s="1056"/>
      <c r="LX190" s="1056"/>
      <c r="LY190" s="1056"/>
      <c r="LZ190" s="1056"/>
      <c r="MA190" s="1056"/>
      <c r="MB190" s="1056"/>
      <c r="MC190" s="1056"/>
      <c r="MD190" s="1056"/>
      <c r="ME190" s="1056"/>
      <c r="MF190" s="1056"/>
      <c r="MG190" s="1056"/>
      <c r="MH190" s="1056"/>
      <c r="MI190" s="1056"/>
      <c r="MJ190" s="1056"/>
      <c r="MK190" s="1056"/>
      <c r="ML190" s="1056"/>
      <c r="MM190" s="1056"/>
      <c r="MN190" s="1056"/>
      <c r="MO190" s="1056"/>
      <c r="MP190" s="1056"/>
      <c r="MQ190" s="1056"/>
      <c r="MR190" s="1056"/>
      <c r="MS190" s="1056"/>
      <c r="MT190" s="1056"/>
      <c r="MU190" s="1056"/>
      <c r="MV190" s="1056"/>
      <c r="MW190" s="1056"/>
      <c r="MX190" s="1056"/>
      <c r="MY190" s="1056"/>
      <c r="MZ190" s="1056"/>
      <c r="NA190" s="1056"/>
      <c r="NB190" s="1056"/>
      <c r="NC190" s="1056"/>
      <c r="ND190" s="1056"/>
      <c r="NE190" s="1056"/>
      <c r="NF190" s="1056"/>
      <c r="NG190" s="1056"/>
      <c r="NH190" s="1056"/>
      <c r="NI190" s="1056"/>
      <c r="NJ190" s="1056"/>
      <c r="NK190" s="1056"/>
      <c r="NL190" s="1056"/>
      <c r="NM190" s="1056"/>
      <c r="NN190" s="1056"/>
      <c r="NO190" s="1056"/>
      <c r="NP190" s="1056"/>
      <c r="NQ190" s="1056"/>
      <c r="NR190" s="1056"/>
      <c r="NS190" s="1056"/>
      <c r="NT190" s="1056"/>
      <c r="NU190" s="1056"/>
      <c r="NV190" s="1056"/>
      <c r="NW190" s="1056"/>
      <c r="NX190" s="1056"/>
      <c r="NY190" s="1056"/>
      <c r="NZ190" s="1056"/>
      <c r="OA190" s="1056"/>
      <c r="OB190" s="1056"/>
      <c r="OC190" s="1056"/>
      <c r="OD190" s="1056"/>
      <c r="OE190" s="1056"/>
      <c r="OF190" s="1056"/>
      <c r="OG190" s="1056"/>
      <c r="OH190" s="1056"/>
      <c r="OI190" s="1056"/>
      <c r="OJ190" s="1056"/>
      <c r="OK190" s="1056"/>
      <c r="OL190" s="1056"/>
      <c r="OM190" s="1056"/>
      <c r="ON190" s="1056"/>
      <c r="OO190" s="1056"/>
      <c r="OP190" s="1056"/>
      <c r="OQ190" s="1056"/>
      <c r="OR190" s="1056"/>
      <c r="OS190" s="1056"/>
      <c r="OT190" s="1056"/>
      <c r="OU190" s="1056"/>
      <c r="OV190" s="1056"/>
      <c r="OW190" s="1056"/>
      <c r="OX190" s="1056"/>
      <c r="OY190" s="1056"/>
      <c r="OZ190" s="1056"/>
      <c r="PA190" s="1056"/>
      <c r="PB190" s="1056"/>
      <c r="PC190" s="1056"/>
      <c r="PD190" s="1056"/>
      <c r="PE190" s="1056"/>
      <c r="PF190" s="1056"/>
      <c r="PG190" s="1056"/>
      <c r="PH190" s="1056"/>
      <c r="PI190" s="1056"/>
      <c r="PJ190" s="1056"/>
      <c r="PK190" s="1056"/>
      <c r="PL190" s="1056"/>
      <c r="PM190" s="1056"/>
      <c r="PN190" s="1056"/>
      <c r="PO190" s="1056"/>
      <c r="PP190" s="1056"/>
      <c r="PQ190" s="1056"/>
      <c r="PR190" s="1056"/>
      <c r="PS190" s="1056"/>
      <c r="PT190" s="1056"/>
      <c r="PU190" s="1056"/>
      <c r="PV190" s="1056"/>
      <c r="PW190" s="1056"/>
      <c r="PX190" s="1056"/>
      <c r="PY190" s="1056"/>
      <c r="PZ190" s="1056"/>
      <c r="QA190" s="1056"/>
      <c r="QB190" s="1056"/>
      <c r="QC190" s="1056"/>
      <c r="QD190" s="1056"/>
      <c r="QE190" s="1056"/>
      <c r="QF190" s="1056"/>
      <c r="QG190" s="1056"/>
      <c r="QH190" s="1056"/>
      <c r="QI190" s="1056"/>
      <c r="QJ190" s="1056"/>
      <c r="QK190" s="1056"/>
      <c r="QL190" s="1056"/>
      <c r="QM190" s="1056"/>
      <c r="QN190" s="1056"/>
      <c r="QO190" s="1056"/>
      <c r="QP190" s="1056"/>
      <c r="QQ190" s="1056"/>
      <c r="QR190" s="1056"/>
      <c r="QS190" s="1056"/>
      <c r="QT190" s="1056"/>
      <c r="QU190" s="1056"/>
      <c r="QV190" s="1056"/>
      <c r="QW190" s="1056"/>
      <c r="QX190" s="1056"/>
      <c r="QY190" s="1056"/>
      <c r="QZ190" s="1056"/>
      <c r="RA190" s="1056"/>
      <c r="RB190" s="1056"/>
      <c r="RC190" s="1056"/>
      <c r="RD190" s="1056"/>
      <c r="RE190" s="1056"/>
      <c r="RF190" s="1056"/>
      <c r="RG190" s="1056"/>
      <c r="RH190" s="1056"/>
      <c r="RI190" s="1056"/>
      <c r="RJ190" s="1056"/>
      <c r="RK190" s="1056"/>
      <c r="RL190" s="1056"/>
      <c r="RM190" s="1056"/>
      <c r="RN190" s="1056"/>
      <c r="RO190" s="1056"/>
      <c r="RP190" s="1056"/>
      <c r="RQ190" s="1056"/>
      <c r="RR190" s="1056"/>
      <c r="RS190" s="1056"/>
      <c r="RT190" s="1056"/>
      <c r="RU190" s="1056"/>
      <c r="RV190" s="1056"/>
      <c r="RW190" s="1056"/>
      <c r="RX190" s="1056"/>
      <c r="RY190" s="1056"/>
      <c r="RZ190" s="1056"/>
      <c r="SA190" s="1056"/>
      <c r="SB190" s="1056"/>
      <c r="SC190" s="1056"/>
      <c r="SD190" s="1056"/>
      <c r="SE190" s="1056"/>
      <c r="SF190" s="1056"/>
      <c r="SG190" s="1056"/>
      <c r="SH190" s="1056"/>
      <c r="SI190" s="1056"/>
      <c r="SJ190" s="1056"/>
      <c r="SK190" s="1056"/>
      <c r="SL190" s="1056"/>
      <c r="SM190" s="1056"/>
      <c r="SN190" s="1056"/>
      <c r="SO190" s="1056"/>
      <c r="SP190" s="1056"/>
      <c r="SQ190" s="1056"/>
      <c r="SR190" s="1056"/>
      <c r="SS190" s="1056"/>
      <c r="ST190" s="1056"/>
      <c r="SU190" s="1056"/>
      <c r="SV190" s="1056"/>
      <c r="SW190" s="1056"/>
      <c r="SX190" s="1056"/>
      <c r="SY190" s="1056"/>
      <c r="SZ190" s="1056"/>
      <c r="TA190" s="1056"/>
      <c r="TB190" s="1056"/>
      <c r="TC190" s="1056"/>
      <c r="TD190" s="1056"/>
      <c r="TE190" s="1056"/>
      <c r="TF190" s="1056"/>
      <c r="TG190" s="1056"/>
      <c r="TH190" s="1056"/>
      <c r="TI190" s="1056"/>
      <c r="TJ190" s="1056"/>
      <c r="TK190" s="1056"/>
      <c r="TL190" s="1056"/>
      <c r="TM190" s="1056"/>
      <c r="TN190" s="1056"/>
      <c r="TO190" s="1056"/>
      <c r="TP190" s="1056"/>
      <c r="TQ190" s="1056"/>
      <c r="TR190" s="1056"/>
      <c r="TS190" s="1056"/>
      <c r="TT190" s="1056"/>
      <c r="TU190" s="1056"/>
      <c r="TV190" s="1056"/>
      <c r="TW190" s="1056"/>
      <c r="TX190" s="1056"/>
      <c r="TY190" s="1056"/>
      <c r="TZ190" s="1056"/>
      <c r="UA190" s="1056"/>
      <c r="UB190" s="1056"/>
      <c r="UC190" s="1056"/>
      <c r="UD190" s="1056"/>
      <c r="UE190" s="1056"/>
      <c r="UF190" s="1056"/>
      <c r="UG190" s="1056"/>
      <c r="UH190" s="1056"/>
      <c r="UI190" s="1056"/>
      <c r="UJ190" s="1056"/>
      <c r="UK190" s="1056"/>
      <c r="UL190" s="1056"/>
      <c r="UM190" s="1056"/>
      <c r="UN190" s="1056"/>
      <c r="UO190" s="1056"/>
      <c r="UP190" s="1056"/>
      <c r="UQ190" s="1056"/>
      <c r="UR190" s="1056"/>
      <c r="US190" s="1056"/>
      <c r="UT190" s="1056"/>
      <c r="UU190" s="1056"/>
      <c r="UV190" s="1056"/>
      <c r="UW190" s="1056"/>
      <c r="UX190" s="1056"/>
      <c r="UY190" s="1056"/>
      <c r="UZ190" s="1056"/>
      <c r="VA190" s="1056"/>
      <c r="VB190" s="1056"/>
      <c r="VC190" s="1056"/>
      <c r="VD190" s="1056"/>
      <c r="VE190" s="1056"/>
      <c r="VF190" s="1056"/>
      <c r="VG190" s="1056"/>
      <c r="VH190" s="1056"/>
      <c r="VI190" s="1056"/>
      <c r="VJ190" s="1056"/>
      <c r="VK190" s="1056"/>
      <c r="VL190" s="1056"/>
      <c r="VM190" s="1056"/>
      <c r="VN190" s="1056"/>
      <c r="VO190" s="1056"/>
      <c r="VP190" s="1056"/>
      <c r="VQ190" s="1056"/>
      <c r="VR190" s="1056"/>
      <c r="VS190" s="1056"/>
      <c r="VT190" s="1056"/>
      <c r="VU190" s="1056"/>
      <c r="VV190" s="1056"/>
      <c r="VW190" s="1056"/>
      <c r="VX190" s="1056"/>
      <c r="VY190" s="1056"/>
      <c r="VZ190" s="1056"/>
      <c r="WA190" s="1056"/>
      <c r="WB190" s="1056"/>
      <c r="WC190" s="1056"/>
      <c r="WD190" s="1056"/>
      <c r="WE190" s="1056"/>
      <c r="WF190" s="1056"/>
      <c r="WG190" s="1056"/>
      <c r="WH190" s="1056"/>
      <c r="WI190" s="1056"/>
      <c r="WJ190" s="1056"/>
      <c r="WK190" s="1056"/>
      <c r="WL190" s="1056"/>
      <c r="WM190" s="1056"/>
      <c r="WN190" s="1056"/>
      <c r="WO190" s="1056"/>
      <c r="WP190" s="1056"/>
      <c r="WQ190" s="1056"/>
      <c r="WR190" s="1056"/>
      <c r="WS190" s="1056"/>
      <c r="WT190" s="1056"/>
      <c r="WU190" s="1056"/>
      <c r="WV190" s="1056"/>
      <c r="WW190" s="1056"/>
      <c r="WX190" s="1056"/>
      <c r="WY190" s="1056"/>
      <c r="WZ190" s="1056"/>
      <c r="XA190" s="1056"/>
      <c r="XB190" s="1056"/>
      <c r="XC190" s="1056"/>
      <c r="XD190" s="1056"/>
      <c r="XE190" s="1056"/>
      <c r="XF190" s="1056"/>
      <c r="XG190" s="1056"/>
      <c r="XH190" s="1056"/>
      <c r="XI190" s="1056"/>
      <c r="XJ190" s="1056"/>
      <c r="XK190" s="1056"/>
      <c r="XL190" s="1056"/>
      <c r="XM190" s="1056"/>
      <c r="XN190" s="1056"/>
      <c r="XO190" s="1056"/>
      <c r="XP190" s="1056"/>
      <c r="XQ190" s="1056"/>
      <c r="XR190" s="1056"/>
      <c r="XS190" s="1056"/>
      <c r="XT190" s="1056"/>
      <c r="XU190" s="1056"/>
      <c r="XV190" s="1056"/>
      <c r="XW190" s="1056"/>
      <c r="XX190" s="1056"/>
      <c r="XY190" s="1056"/>
      <c r="XZ190" s="1056"/>
      <c r="YA190" s="1056"/>
      <c r="YB190" s="1056"/>
      <c r="YC190" s="1056"/>
      <c r="YD190" s="1056"/>
      <c r="YE190" s="1056"/>
      <c r="YF190" s="1056"/>
      <c r="YG190" s="1056"/>
      <c r="YH190" s="1056"/>
      <c r="YI190" s="1056"/>
      <c r="YJ190" s="1056"/>
      <c r="YK190" s="1056"/>
      <c r="YL190" s="1056"/>
      <c r="YM190" s="1056"/>
      <c r="YN190" s="1056"/>
      <c r="YO190" s="1056"/>
      <c r="YP190" s="1056"/>
      <c r="YQ190" s="1056"/>
      <c r="YR190" s="1056"/>
      <c r="YS190" s="1056"/>
      <c r="YT190" s="1056"/>
      <c r="YU190" s="1056"/>
      <c r="YV190" s="1056"/>
      <c r="YW190" s="1056"/>
      <c r="YX190" s="1056"/>
      <c r="YY190" s="1056"/>
      <c r="YZ190" s="1056"/>
      <c r="ZA190" s="1056"/>
      <c r="ZB190" s="1056"/>
      <c r="ZC190" s="1056"/>
      <c r="ZD190" s="1056"/>
      <c r="ZE190" s="1056"/>
      <c r="ZF190" s="1056"/>
      <c r="ZG190" s="1056"/>
      <c r="ZH190" s="1056"/>
      <c r="ZI190" s="1056"/>
      <c r="ZJ190" s="1056"/>
      <c r="ZK190" s="1056"/>
      <c r="ZL190" s="1056"/>
      <c r="ZM190" s="1056"/>
      <c r="ZN190" s="1056"/>
      <c r="ZO190" s="1056"/>
      <c r="ZP190" s="1056"/>
      <c r="ZQ190" s="1056"/>
      <c r="ZR190" s="1056"/>
      <c r="ZS190" s="1056"/>
      <c r="ZT190" s="1056"/>
      <c r="ZU190" s="1056"/>
      <c r="ZV190" s="1056"/>
      <c r="ZW190" s="1056"/>
      <c r="ZX190" s="1056"/>
      <c r="ZY190" s="1056"/>
      <c r="ZZ190" s="1056"/>
      <c r="AAA190" s="1056"/>
      <c r="AAB190" s="1056"/>
      <c r="AAC190" s="1056"/>
      <c r="AAD190" s="1056"/>
      <c r="AAE190" s="1056"/>
      <c r="AAF190" s="1056"/>
      <c r="AAG190" s="1056"/>
      <c r="AAH190" s="1056"/>
      <c r="AAI190" s="1056"/>
      <c r="AAJ190" s="1056"/>
      <c r="AAK190" s="1056"/>
      <c r="AAL190" s="1056"/>
      <c r="AAM190" s="1056"/>
      <c r="AAN190" s="1056"/>
      <c r="AAO190" s="1056"/>
      <c r="AAP190" s="1056"/>
      <c r="AAQ190" s="1056"/>
      <c r="AAR190" s="1056"/>
      <c r="AAS190" s="1056"/>
      <c r="AAT190" s="1056"/>
      <c r="AAU190" s="1056"/>
      <c r="AAV190" s="1056"/>
      <c r="AAW190" s="1056"/>
      <c r="AAX190" s="1056"/>
      <c r="AAY190" s="1056"/>
      <c r="AAZ190" s="1056"/>
      <c r="ABA190" s="1056"/>
      <c r="ABB190" s="1056"/>
      <c r="ABC190" s="1056"/>
      <c r="ABD190" s="1056"/>
      <c r="ABE190" s="1056"/>
      <c r="ABF190" s="1056"/>
      <c r="ABG190" s="1056"/>
      <c r="ABH190" s="1056"/>
      <c r="ABI190" s="1056"/>
      <c r="ABJ190" s="1056"/>
      <c r="ABK190" s="1056"/>
      <c r="ABL190" s="1056"/>
      <c r="ABM190" s="1056"/>
      <c r="ABN190" s="1056"/>
      <c r="ABO190" s="1056"/>
      <c r="ABP190" s="1056"/>
      <c r="ABQ190" s="1056"/>
      <c r="ABR190" s="1056"/>
      <c r="ABS190" s="1056"/>
      <c r="ABT190" s="1056"/>
      <c r="ABU190" s="1056"/>
      <c r="ABV190" s="1056"/>
      <c r="ABW190" s="1056"/>
      <c r="ABX190" s="1056"/>
      <c r="ABY190" s="1056"/>
      <c r="ABZ190" s="1056"/>
      <c r="ACA190" s="1056"/>
      <c r="ACB190" s="1056"/>
      <c r="ACC190" s="1056"/>
      <c r="ACD190" s="1056"/>
      <c r="ACE190" s="1056"/>
      <c r="ACF190" s="1056"/>
      <c r="ACG190" s="1056"/>
      <c r="ACH190" s="1056"/>
      <c r="ACI190" s="1056"/>
      <c r="ACJ190" s="1056"/>
      <c r="ACK190" s="1056"/>
      <c r="ACL190" s="1056"/>
      <c r="ACM190" s="1056"/>
      <c r="ACN190" s="1056"/>
      <c r="ACO190" s="1056"/>
      <c r="ACP190" s="1056"/>
      <c r="ACQ190" s="1056"/>
      <c r="ACR190" s="1056"/>
      <c r="ACS190" s="1056"/>
      <c r="ACT190" s="1056"/>
      <c r="ACU190" s="1056"/>
      <c r="ACV190" s="1056"/>
      <c r="ACW190" s="1056"/>
      <c r="ACX190" s="1056"/>
      <c r="ACY190" s="1056"/>
      <c r="ACZ190" s="1056"/>
      <c r="ADA190" s="1056"/>
      <c r="ADB190" s="1056"/>
      <c r="ADC190" s="1056"/>
      <c r="ADD190" s="1056"/>
      <c r="ADE190" s="1056"/>
      <c r="ADF190" s="1056"/>
      <c r="ADG190" s="1056"/>
      <c r="ADH190" s="1056"/>
      <c r="ADI190" s="1056"/>
      <c r="ADJ190" s="1056"/>
      <c r="ADK190" s="1056"/>
      <c r="ADL190" s="1056"/>
      <c r="ADM190" s="1056"/>
      <c r="ADN190" s="1056"/>
      <c r="ADO190" s="1056"/>
      <c r="ADP190" s="1056"/>
      <c r="ADQ190" s="1056"/>
      <c r="ADR190" s="1056"/>
      <c r="ADS190" s="1056"/>
      <c r="ADT190" s="1056"/>
      <c r="ADU190" s="1056"/>
      <c r="ADV190" s="1056"/>
      <c r="ADW190" s="1056"/>
      <c r="ADX190" s="1056"/>
      <c r="ADY190" s="1056"/>
      <c r="ADZ190" s="1056"/>
      <c r="AEA190" s="1056"/>
      <c r="AEB190" s="1056"/>
      <c r="AEC190" s="1056"/>
      <c r="AED190" s="1056"/>
      <c r="AEE190" s="1056"/>
      <c r="AEF190" s="1056"/>
      <c r="AEG190" s="1056"/>
      <c r="AEH190" s="1056"/>
      <c r="AEI190" s="1056"/>
      <c r="AEJ190" s="1056"/>
      <c r="AEK190" s="1056"/>
      <c r="AEL190" s="1056"/>
      <c r="AEM190" s="1056"/>
      <c r="AEN190" s="1056"/>
      <c r="AEO190" s="1056"/>
      <c r="AEP190" s="1056"/>
      <c r="AEQ190" s="1056"/>
      <c r="AER190" s="1056"/>
      <c r="AES190" s="1056"/>
      <c r="AET190" s="1056"/>
      <c r="AEU190" s="1056"/>
      <c r="AEV190" s="1056"/>
      <c r="AEW190" s="1056"/>
      <c r="AEX190" s="1056"/>
      <c r="AEY190" s="1056"/>
      <c r="AEZ190" s="1056"/>
      <c r="AFA190" s="1056"/>
      <c r="AFB190" s="1056"/>
      <c r="AFC190" s="1056"/>
      <c r="AFD190" s="1056"/>
      <c r="AFE190" s="1056"/>
      <c r="AFF190" s="1056"/>
      <c r="AFG190" s="1056"/>
      <c r="AFH190" s="1056"/>
      <c r="AFI190" s="1056"/>
      <c r="AFJ190" s="1056"/>
      <c r="AFK190" s="1056"/>
      <c r="AFL190" s="1056"/>
      <c r="AFM190" s="1056"/>
      <c r="AFN190" s="1056"/>
      <c r="AFO190" s="1056"/>
      <c r="AFP190" s="1056"/>
      <c r="AFQ190" s="1056"/>
      <c r="AFR190" s="1056"/>
      <c r="AFS190" s="1056"/>
      <c r="AFT190" s="1056"/>
      <c r="AFU190" s="1056"/>
      <c r="AFV190" s="1056"/>
      <c r="AFW190" s="1056"/>
      <c r="AFX190" s="1056"/>
      <c r="AFY190" s="1056"/>
      <c r="AFZ190" s="1056"/>
      <c r="AGA190" s="1056"/>
      <c r="AGB190" s="1056"/>
      <c r="AGC190" s="1056"/>
      <c r="AGD190" s="1056"/>
      <c r="AGE190" s="1056"/>
      <c r="AGF190" s="1056"/>
      <c r="AGG190" s="1056"/>
      <c r="AGH190" s="1056"/>
      <c r="AGI190" s="1056"/>
      <c r="AGJ190" s="1056"/>
      <c r="AGK190" s="1056"/>
      <c r="AGL190" s="1056"/>
      <c r="AGM190" s="1056"/>
      <c r="AGN190" s="1056"/>
      <c r="AGO190" s="1056"/>
      <c r="AGP190" s="1056"/>
      <c r="AGQ190" s="1056"/>
      <c r="AGR190" s="1056"/>
      <c r="AGS190" s="1056"/>
      <c r="AGT190" s="1056"/>
      <c r="AGU190" s="1056"/>
      <c r="AGV190" s="1056"/>
      <c r="AGW190" s="1056"/>
      <c r="AGX190" s="1056"/>
      <c r="AGY190" s="1056"/>
      <c r="AGZ190" s="1056"/>
      <c r="AHA190" s="1056"/>
      <c r="AHB190" s="1056"/>
      <c r="AHC190" s="1056"/>
      <c r="AHD190" s="1056"/>
      <c r="AHE190" s="1056"/>
      <c r="AHF190" s="1056"/>
      <c r="AHG190" s="1056"/>
      <c r="AHH190" s="1056"/>
      <c r="AHI190" s="1056"/>
      <c r="AHJ190" s="1056"/>
      <c r="AHK190" s="1056"/>
      <c r="AHL190" s="1056"/>
      <c r="AHM190" s="1056"/>
      <c r="AHN190" s="1056"/>
      <c r="AHO190" s="1056"/>
      <c r="AHP190" s="1056"/>
      <c r="AHQ190" s="1056"/>
      <c r="AHR190" s="1056"/>
      <c r="AHS190" s="1056"/>
      <c r="AHT190" s="1056"/>
      <c r="AHU190" s="1056"/>
      <c r="AHV190" s="1056"/>
      <c r="AHW190" s="1056"/>
      <c r="AHX190" s="1056"/>
      <c r="AHY190" s="1056"/>
      <c r="AHZ190" s="1056"/>
      <c r="AIA190" s="1056"/>
      <c r="AIB190" s="1056"/>
      <c r="AIC190" s="1056"/>
      <c r="AID190" s="1056"/>
      <c r="AIE190" s="1056"/>
      <c r="AIF190" s="1056"/>
      <c r="AIG190" s="1056"/>
      <c r="AIH190" s="1056"/>
      <c r="AII190" s="1056"/>
      <c r="AIJ190" s="1056"/>
      <c r="AIK190" s="1056"/>
      <c r="AIL190" s="1056"/>
      <c r="AIM190" s="1056"/>
      <c r="AIN190" s="1056"/>
      <c r="AIO190" s="1056"/>
      <c r="AIP190" s="1056"/>
      <c r="AIQ190" s="1056"/>
      <c r="AIR190" s="1056"/>
      <c r="AIS190" s="1056"/>
      <c r="AIT190" s="1056"/>
      <c r="AIU190" s="1056"/>
      <c r="AIV190" s="1056"/>
      <c r="AIW190" s="1056"/>
      <c r="AIX190" s="1056"/>
      <c r="AIY190" s="1056"/>
      <c r="AIZ190" s="1056"/>
      <c r="AJA190" s="1056"/>
      <c r="AJB190" s="1056"/>
      <c r="AJC190" s="1056"/>
      <c r="AJD190" s="1056"/>
      <c r="AJE190" s="1056"/>
      <c r="AJF190" s="1056"/>
      <c r="AJG190" s="1056"/>
      <c r="AJH190" s="1056"/>
      <c r="AJI190" s="1056"/>
      <c r="AJJ190" s="1056"/>
      <c r="AJK190" s="1056"/>
      <c r="AJL190" s="1056"/>
      <c r="AJM190" s="1056"/>
      <c r="AJN190" s="1056"/>
      <c r="AJO190" s="1056"/>
      <c r="AJP190" s="1056"/>
      <c r="AJQ190" s="1056"/>
      <c r="AJR190" s="1056"/>
      <c r="AJS190" s="1056"/>
      <c r="AJT190" s="1056"/>
      <c r="AJU190" s="1056"/>
      <c r="AJV190" s="1056"/>
      <c r="AJW190" s="1056"/>
      <c r="AJX190" s="1056"/>
      <c r="AJY190" s="1056"/>
      <c r="AJZ190" s="1056"/>
      <c r="AKA190" s="1056"/>
      <c r="AKB190" s="1056"/>
      <c r="AKC190" s="1056"/>
      <c r="AKD190" s="1056"/>
      <c r="AKE190" s="1056"/>
      <c r="AKF190" s="1056"/>
      <c r="AKG190" s="1056"/>
      <c r="AKH190" s="1056"/>
      <c r="AKI190" s="1056"/>
      <c r="AKJ190" s="1056"/>
      <c r="AKK190" s="1056"/>
      <c r="AKL190" s="1056"/>
      <c r="AKM190" s="1056"/>
      <c r="AKN190" s="1056"/>
      <c r="AKO190" s="1056"/>
      <c r="AKP190" s="1056"/>
      <c r="AKQ190" s="1056"/>
      <c r="AKR190" s="1056"/>
      <c r="AKS190" s="1056"/>
      <c r="AKT190" s="1056"/>
      <c r="AKU190" s="1056"/>
      <c r="AKV190" s="1056"/>
      <c r="AKW190" s="1056"/>
      <c r="AKX190" s="1056"/>
      <c r="AKY190" s="1056"/>
      <c r="AKZ190" s="1056"/>
      <c r="ALA190" s="1056"/>
      <c r="ALB190" s="1056"/>
      <c r="ALC190" s="1056"/>
      <c r="ALD190" s="1056"/>
      <c r="ALE190" s="1056"/>
      <c r="ALF190" s="1056"/>
      <c r="ALG190" s="1056"/>
      <c r="ALH190" s="1056"/>
      <c r="ALI190" s="1056"/>
      <c r="ALJ190" s="1056"/>
      <c r="ALK190" s="1056"/>
      <c r="ALL190" s="1056"/>
      <c r="ALM190" s="1056"/>
      <c r="ALN190" s="1056"/>
      <c r="ALO190" s="1056"/>
      <c r="ALP190" s="1056"/>
      <c r="ALQ190" s="1056"/>
      <c r="ALR190" s="1056"/>
      <c r="ALS190" s="1056"/>
      <c r="ALT190" s="1056"/>
      <c r="ALU190" s="1056"/>
      <c r="ALV190" s="1056"/>
      <c r="ALW190" s="1056"/>
      <c r="ALX190" s="1056"/>
      <c r="ALY190" s="1056"/>
      <c r="ALZ190" s="1056"/>
      <c r="AMA190" s="1056"/>
      <c r="AMB190" s="1056"/>
      <c r="AMC190" s="1056"/>
      <c r="AMD190" s="1056"/>
      <c r="AME190" s="1056"/>
      <c r="AMF190" s="1056"/>
      <c r="AMG190" s="1056"/>
      <c r="AMH190" s="1056"/>
      <c r="AMI190" s="1056"/>
      <c r="AMJ190" s="1056"/>
      <c r="AMK190" s="1056"/>
      <c r="AML190" s="1056"/>
      <c r="AMM190" s="1056"/>
      <c r="AMN190" s="1056"/>
      <c r="AMO190" s="1056"/>
      <c r="AMP190" s="1056"/>
      <c r="AMQ190" s="1056"/>
      <c r="AMR190" s="1056"/>
      <c r="AMS190" s="1056"/>
      <c r="AMT190" s="1056"/>
      <c r="AMU190" s="1056"/>
      <c r="AMV190" s="1056"/>
      <c r="AMW190" s="1056"/>
      <c r="AMX190" s="1056"/>
      <c r="AMY190" s="1056"/>
      <c r="AMZ190" s="1056"/>
      <c r="ANA190" s="1056"/>
      <c r="ANB190" s="1056"/>
      <c r="ANC190" s="1056"/>
      <c r="AND190" s="1056"/>
      <c r="ANE190" s="1056"/>
      <c r="ANF190" s="1056"/>
      <c r="ANG190" s="1056"/>
      <c r="ANH190" s="1056"/>
      <c r="ANI190" s="1056"/>
      <c r="ANJ190" s="1056"/>
      <c r="ANK190" s="1056"/>
      <c r="ANL190" s="1056"/>
      <c r="ANM190" s="1056"/>
      <c r="ANN190" s="1056"/>
      <c r="ANO190" s="1056"/>
      <c r="ANP190" s="1056"/>
      <c r="ANQ190" s="1056"/>
      <c r="ANR190" s="1056"/>
      <c r="ANS190" s="1056"/>
      <c r="ANT190" s="1056"/>
      <c r="ANU190" s="1056"/>
      <c r="ANV190" s="1056"/>
      <c r="ANW190" s="1056"/>
      <c r="ANX190" s="1056"/>
      <c r="ANY190" s="1056"/>
      <c r="ANZ190" s="1056"/>
      <c r="AOA190" s="1056"/>
      <c r="AOB190" s="1056"/>
      <c r="AOC190" s="1056"/>
      <c r="AOD190" s="1056"/>
      <c r="AOE190" s="1056"/>
      <c r="AOF190" s="1056"/>
      <c r="AOG190" s="1056"/>
      <c r="AOH190" s="1056"/>
      <c r="AOI190" s="1056"/>
      <c r="AOJ190" s="1056"/>
      <c r="AOK190" s="1056"/>
      <c r="AOL190" s="1056"/>
      <c r="AOM190" s="1056"/>
      <c r="AON190" s="1056"/>
      <c r="AOO190" s="1056"/>
      <c r="AOP190" s="1056"/>
      <c r="AOQ190" s="1056"/>
      <c r="AOR190" s="1056"/>
      <c r="AOS190" s="1056"/>
      <c r="AOT190" s="1056"/>
      <c r="AOU190" s="1056"/>
      <c r="AOV190" s="1056"/>
      <c r="AOW190" s="1056"/>
      <c r="AOX190" s="1056"/>
      <c r="AOY190" s="1056"/>
      <c r="AOZ190" s="1056"/>
      <c r="APA190" s="1056"/>
      <c r="APB190" s="1056"/>
      <c r="APC190" s="1056"/>
      <c r="APD190" s="1056"/>
      <c r="APE190" s="1056"/>
      <c r="APF190" s="1056"/>
      <c r="APG190" s="1056"/>
      <c r="APH190" s="1056"/>
      <c r="API190" s="1056"/>
      <c r="APJ190" s="1056"/>
      <c r="APK190" s="1056"/>
      <c r="APL190" s="1056"/>
      <c r="APM190" s="1056"/>
      <c r="APN190" s="1056"/>
      <c r="APO190" s="1056"/>
      <c r="APP190" s="1056"/>
      <c r="APQ190" s="1056"/>
      <c r="APR190" s="1056"/>
      <c r="APS190" s="1056"/>
      <c r="APT190" s="1056"/>
      <c r="APU190" s="1056"/>
      <c r="APV190" s="1056"/>
      <c r="APW190" s="1056"/>
      <c r="APX190" s="1056"/>
      <c r="APY190" s="1056"/>
      <c r="APZ190" s="1056"/>
      <c r="AQA190" s="1056"/>
      <c r="AQB190" s="1056"/>
      <c r="AQC190" s="1056"/>
      <c r="AQD190" s="1056"/>
      <c r="AQE190" s="1056"/>
      <c r="AQF190" s="1056"/>
      <c r="AQG190" s="1056"/>
      <c r="AQH190" s="1056"/>
      <c r="AQI190" s="1056"/>
      <c r="AQJ190" s="1056"/>
      <c r="AQK190" s="1056"/>
      <c r="AQL190" s="1056"/>
      <c r="AQM190" s="1056"/>
      <c r="AQN190" s="1056"/>
      <c r="AQO190" s="1056"/>
      <c r="AQP190" s="1056"/>
      <c r="AQQ190" s="1056"/>
      <c r="AQR190" s="1056"/>
      <c r="AQS190" s="1056"/>
      <c r="AQT190" s="1056"/>
      <c r="AQU190" s="1056"/>
      <c r="AQV190" s="1056"/>
      <c r="AQW190" s="1056"/>
      <c r="AQX190" s="1056"/>
      <c r="AQY190" s="1056"/>
      <c r="AQZ190" s="1056"/>
      <c r="ARA190" s="1056"/>
      <c r="ARB190" s="1056"/>
      <c r="ARC190" s="1056"/>
      <c r="ARD190" s="1056"/>
      <c r="ARE190" s="1056"/>
      <c r="ARF190" s="1056"/>
      <c r="ARG190" s="1056"/>
      <c r="ARH190" s="1056"/>
      <c r="ARI190" s="1056"/>
      <c r="ARJ190" s="1056"/>
      <c r="ARK190" s="1056"/>
      <c r="ARL190" s="1056"/>
      <c r="ARM190" s="1056"/>
      <c r="ARN190" s="1056"/>
      <c r="ARO190" s="1056"/>
      <c r="ARP190" s="1056"/>
      <c r="ARQ190" s="1056"/>
      <c r="ARR190" s="1056"/>
      <c r="ARS190" s="1056"/>
      <c r="ART190" s="1056"/>
      <c r="ARU190" s="1056"/>
      <c r="ARV190" s="1056"/>
      <c r="ARW190" s="1056"/>
      <c r="ARX190" s="1056"/>
      <c r="ARY190" s="1056"/>
      <c r="ARZ190" s="1056"/>
      <c r="ASA190" s="1056"/>
      <c r="ASB190" s="1056"/>
      <c r="ASC190" s="1056"/>
      <c r="ASD190" s="1056"/>
      <c r="ASE190" s="1056"/>
      <c r="ASF190" s="1056"/>
      <c r="ASG190" s="1056"/>
      <c r="ASH190" s="1056"/>
      <c r="ASI190" s="1056"/>
      <c r="ASJ190" s="1056"/>
      <c r="ASK190" s="1056"/>
      <c r="ASL190" s="1056"/>
      <c r="ASM190" s="1056"/>
      <c r="ASN190" s="1056"/>
      <c r="ASO190" s="1056"/>
      <c r="ASP190" s="1056"/>
      <c r="ASQ190" s="1056"/>
      <c r="ASR190" s="1056"/>
      <c r="ASS190" s="1056"/>
      <c r="AST190" s="1056"/>
      <c r="ASU190" s="1056"/>
      <c r="ASV190" s="1056"/>
      <c r="ASW190" s="1056"/>
      <c r="ASX190" s="1056"/>
      <c r="ASY190" s="1056"/>
      <c r="ASZ190" s="1056"/>
      <c r="ATA190" s="1056"/>
      <c r="ATB190" s="1056"/>
      <c r="ATC190" s="1056"/>
      <c r="ATD190" s="1056"/>
      <c r="ATE190" s="1056"/>
      <c r="ATF190" s="1056"/>
      <c r="ATG190" s="1056"/>
      <c r="ATH190" s="1056"/>
      <c r="ATI190" s="1056"/>
      <c r="ATJ190" s="1056"/>
      <c r="ATK190" s="1056"/>
      <c r="ATL190" s="1056"/>
      <c r="ATM190" s="1056"/>
      <c r="ATN190" s="1056"/>
      <c r="ATO190" s="1056"/>
      <c r="ATP190" s="1056"/>
      <c r="ATQ190" s="1056"/>
      <c r="ATR190" s="1056"/>
      <c r="ATS190" s="1056"/>
      <c r="ATT190" s="1056"/>
      <c r="ATU190" s="1056"/>
      <c r="ATV190" s="1056"/>
      <c r="ATW190" s="1056"/>
      <c r="ATX190" s="1056"/>
      <c r="ATY190" s="1056"/>
      <c r="ATZ190" s="1056"/>
      <c r="AUA190" s="1056"/>
      <c r="AUB190" s="1056"/>
      <c r="AUC190" s="1056"/>
      <c r="AUD190" s="1056"/>
      <c r="AUE190" s="1056"/>
      <c r="AUF190" s="1056"/>
      <c r="AUG190" s="1056"/>
      <c r="AUH190" s="1056"/>
      <c r="AUI190" s="1056"/>
      <c r="AUJ190" s="1056"/>
      <c r="AUK190" s="1056"/>
      <c r="AUL190" s="1056"/>
      <c r="AUM190" s="1056"/>
      <c r="AUN190" s="1056"/>
      <c r="AUO190" s="1056"/>
      <c r="AUP190" s="1056"/>
      <c r="AUQ190" s="1056"/>
      <c r="AUR190" s="1056"/>
      <c r="AUS190" s="1056"/>
      <c r="AUT190" s="1056"/>
      <c r="AUU190" s="1056"/>
      <c r="AUV190" s="1056"/>
      <c r="AUW190" s="1056"/>
      <c r="AUX190" s="1056"/>
      <c r="AUY190" s="1056"/>
      <c r="AUZ190" s="1056"/>
      <c r="AVA190" s="1056"/>
      <c r="AVB190" s="1056"/>
      <c r="AVC190" s="1056"/>
      <c r="AVD190" s="1056"/>
      <c r="AVE190" s="1056"/>
      <c r="AVF190" s="1056"/>
      <c r="AVG190" s="1056"/>
      <c r="AVH190" s="1056"/>
      <c r="AVI190" s="1056"/>
      <c r="AVJ190" s="1056"/>
      <c r="AVK190" s="1056"/>
      <c r="AVL190" s="1056"/>
      <c r="AVM190" s="1056"/>
      <c r="AVN190" s="1056"/>
      <c r="AVO190" s="1056"/>
      <c r="AVP190" s="1056"/>
      <c r="AVQ190" s="1056"/>
      <c r="AVR190" s="1056"/>
      <c r="AVS190" s="1056"/>
      <c r="AVT190" s="1056"/>
      <c r="AVU190" s="1056"/>
      <c r="AVV190" s="1056"/>
      <c r="AVW190" s="1056"/>
      <c r="AVX190" s="1056"/>
      <c r="AVY190" s="1056"/>
      <c r="AVZ190" s="1056"/>
      <c r="AWA190" s="1056"/>
      <c r="AWB190" s="1056"/>
      <c r="AWC190" s="1056"/>
      <c r="AWD190" s="1056"/>
      <c r="AWE190" s="1056"/>
      <c r="AWF190" s="1056"/>
      <c r="AWG190" s="1056"/>
      <c r="AWH190" s="1056"/>
      <c r="AWI190" s="1056"/>
      <c r="AWJ190" s="1056"/>
      <c r="AWK190" s="1056"/>
      <c r="AWL190" s="1056"/>
      <c r="AWM190" s="1056"/>
      <c r="AWN190" s="1056"/>
      <c r="AWO190" s="1056"/>
      <c r="AWP190" s="1056"/>
      <c r="AWQ190" s="1056"/>
      <c r="AWR190" s="1056"/>
      <c r="AWS190" s="1056"/>
      <c r="AWT190" s="1056"/>
      <c r="AWU190" s="1056"/>
      <c r="AWV190" s="1056"/>
      <c r="AWW190" s="1056"/>
      <c r="AWX190" s="1056"/>
      <c r="AWY190" s="1056"/>
      <c r="AWZ190" s="1056"/>
      <c r="AXA190" s="1056"/>
      <c r="AXB190" s="1056"/>
      <c r="AXC190" s="1056"/>
      <c r="AXD190" s="1056"/>
      <c r="AXE190" s="1056"/>
      <c r="AXF190" s="1056"/>
      <c r="AXG190" s="1056"/>
      <c r="AXH190" s="1056"/>
      <c r="AXI190" s="1056"/>
      <c r="AXJ190" s="1056"/>
      <c r="AXK190" s="1056"/>
      <c r="AXL190" s="1056"/>
      <c r="AXM190" s="1056"/>
      <c r="AXN190" s="1056"/>
      <c r="AXO190" s="1056"/>
      <c r="AXP190" s="1056"/>
      <c r="AXQ190" s="1056"/>
      <c r="AXR190" s="1056"/>
      <c r="AXS190" s="1056"/>
      <c r="AXT190" s="1056"/>
      <c r="AXU190" s="1056"/>
      <c r="AXV190" s="1056"/>
      <c r="AXW190" s="1056"/>
      <c r="AXX190" s="1056"/>
      <c r="AXY190" s="1056"/>
      <c r="AXZ190" s="1056"/>
      <c r="AYA190" s="1056"/>
      <c r="AYB190" s="1056"/>
      <c r="AYC190" s="1056"/>
      <c r="AYD190" s="1056"/>
      <c r="AYE190" s="1056"/>
      <c r="AYF190" s="1056"/>
      <c r="AYG190" s="1056"/>
      <c r="AYH190" s="1056"/>
      <c r="AYI190" s="1056"/>
      <c r="AYJ190" s="1056"/>
      <c r="AYK190" s="1056"/>
      <c r="AYL190" s="1056"/>
      <c r="AYM190" s="1056"/>
      <c r="AYN190" s="1056"/>
      <c r="AYO190" s="1056"/>
      <c r="AYP190" s="1056"/>
      <c r="AYQ190" s="1056"/>
      <c r="AYR190" s="1056"/>
      <c r="AYS190" s="1056"/>
      <c r="AYT190" s="1056"/>
      <c r="AYU190" s="1056"/>
      <c r="AYV190" s="1056"/>
      <c r="AYW190" s="1056"/>
      <c r="AYX190" s="1056"/>
      <c r="AYY190" s="1056"/>
      <c r="AYZ190" s="1056"/>
      <c r="AZA190" s="1056"/>
      <c r="AZB190" s="1056"/>
      <c r="AZC190" s="1056"/>
      <c r="AZD190" s="1056"/>
      <c r="AZE190" s="1056"/>
      <c r="AZF190" s="1056"/>
      <c r="AZG190" s="1056"/>
      <c r="AZH190" s="1056"/>
      <c r="AZI190" s="1056"/>
      <c r="AZJ190" s="1056"/>
      <c r="AZK190" s="1056"/>
      <c r="AZL190" s="1056"/>
      <c r="AZM190" s="1056"/>
      <c r="AZN190" s="1056"/>
      <c r="AZO190" s="1056"/>
      <c r="AZP190" s="1056"/>
      <c r="AZQ190" s="1056"/>
      <c r="AZR190" s="1056"/>
      <c r="AZS190" s="1056"/>
      <c r="AZT190" s="1056"/>
      <c r="AZU190" s="1056"/>
      <c r="AZV190" s="1056"/>
      <c r="AZW190" s="1056"/>
      <c r="AZX190" s="1056"/>
      <c r="AZY190" s="1056"/>
      <c r="AZZ190" s="1056"/>
      <c r="BAA190" s="1056"/>
      <c r="BAB190" s="1056"/>
      <c r="BAC190" s="1056"/>
      <c r="BAD190" s="1056"/>
      <c r="BAE190" s="1056"/>
      <c r="BAF190" s="1056"/>
      <c r="BAG190" s="1056"/>
      <c r="BAH190" s="1056"/>
      <c r="BAI190" s="1056"/>
      <c r="BAJ190" s="1056"/>
      <c r="BAK190" s="1056"/>
      <c r="BAL190" s="1056"/>
      <c r="BAM190" s="1056"/>
      <c r="BAN190" s="1056"/>
      <c r="BAO190" s="1056"/>
      <c r="BAP190" s="1056"/>
      <c r="BAQ190" s="1056"/>
      <c r="BAR190" s="1056"/>
      <c r="BAS190" s="1056"/>
      <c r="BAT190" s="1056"/>
      <c r="BAU190" s="1056"/>
      <c r="BAV190" s="1056"/>
      <c r="BAW190" s="1056"/>
      <c r="BAX190" s="1056"/>
      <c r="BAY190" s="1056"/>
      <c r="BAZ190" s="1056"/>
      <c r="BBA190" s="1056"/>
      <c r="BBB190" s="1056"/>
      <c r="BBC190" s="1056"/>
      <c r="BBD190" s="1056"/>
      <c r="BBE190" s="1056"/>
      <c r="BBF190" s="1056"/>
      <c r="BBG190" s="1056"/>
      <c r="BBH190" s="1056"/>
      <c r="BBI190" s="1056"/>
      <c r="BBJ190" s="1056"/>
      <c r="BBK190" s="1056"/>
      <c r="BBL190" s="1056"/>
      <c r="BBM190" s="1056"/>
      <c r="BBN190" s="1056"/>
      <c r="BBO190" s="1056"/>
      <c r="BBP190" s="1056"/>
      <c r="BBQ190" s="1056"/>
      <c r="BBR190" s="1056"/>
      <c r="BBS190" s="1056"/>
      <c r="BBT190" s="1056"/>
      <c r="BBU190" s="1056"/>
      <c r="BBV190" s="1056"/>
      <c r="BBW190" s="1056"/>
      <c r="BBX190" s="1056"/>
      <c r="BBY190" s="1056"/>
      <c r="BBZ190" s="1056"/>
      <c r="BCA190" s="1056"/>
      <c r="BCB190" s="1056"/>
      <c r="BCC190" s="1056"/>
      <c r="BCD190" s="1056"/>
      <c r="BCE190" s="1056"/>
      <c r="BCF190" s="1056"/>
      <c r="BCG190" s="1056"/>
      <c r="BCH190" s="1056"/>
      <c r="BCI190" s="1056"/>
      <c r="BCJ190" s="1056"/>
      <c r="BCK190" s="1056"/>
      <c r="BCL190" s="1056"/>
      <c r="BCM190" s="1056"/>
      <c r="BCN190" s="1056"/>
      <c r="BCO190" s="1056"/>
      <c r="BCP190" s="1056"/>
      <c r="BCQ190" s="1056"/>
      <c r="BCR190" s="1056"/>
      <c r="BCS190" s="1056"/>
      <c r="BCT190" s="1056"/>
      <c r="BCU190" s="1056"/>
      <c r="BCV190" s="1056"/>
      <c r="BCW190" s="1056"/>
      <c r="BCX190" s="1056"/>
      <c r="BCY190" s="1056"/>
      <c r="BCZ190" s="1056"/>
      <c r="BDA190" s="1056"/>
      <c r="BDB190" s="1056"/>
      <c r="BDC190" s="1056"/>
      <c r="BDD190" s="1056"/>
      <c r="BDE190" s="1056"/>
      <c r="BDF190" s="1056"/>
      <c r="BDG190" s="1056"/>
      <c r="BDH190" s="1056"/>
      <c r="BDI190" s="1056"/>
      <c r="BDJ190" s="1056"/>
      <c r="BDK190" s="1056"/>
      <c r="BDL190" s="1056"/>
      <c r="BDM190" s="1056"/>
      <c r="BDN190" s="1056"/>
      <c r="BDO190" s="1056"/>
      <c r="BDP190" s="1056"/>
      <c r="BDQ190" s="1056"/>
      <c r="BDR190" s="1056"/>
      <c r="BDS190" s="1056"/>
      <c r="BDT190" s="1056"/>
      <c r="BDU190" s="1056"/>
      <c r="BDV190" s="1056"/>
      <c r="BDW190" s="1056"/>
      <c r="BDX190" s="1056"/>
      <c r="BDY190" s="1056"/>
      <c r="BDZ190" s="1056"/>
      <c r="BEA190" s="1056"/>
      <c r="BEB190" s="1056"/>
      <c r="BEC190" s="1056"/>
      <c r="BED190" s="1056"/>
      <c r="BEE190" s="1056"/>
      <c r="BEF190" s="1056"/>
      <c r="BEG190" s="1056"/>
      <c r="BEH190" s="1056"/>
      <c r="BEI190" s="1056"/>
      <c r="BEJ190" s="1056"/>
      <c r="BEK190" s="1056"/>
      <c r="BEL190" s="1056"/>
      <c r="BEM190" s="1056"/>
      <c r="BEN190" s="1056"/>
      <c r="BEO190" s="1056"/>
      <c r="BEP190" s="1056"/>
      <c r="BEQ190" s="1056"/>
      <c r="BER190" s="1056"/>
      <c r="BES190" s="1056"/>
      <c r="BET190" s="1056"/>
      <c r="BEU190" s="1056"/>
      <c r="BEV190" s="1056"/>
      <c r="BEW190" s="1056"/>
      <c r="BEX190" s="1056"/>
      <c r="BEY190" s="1056"/>
      <c r="BEZ190" s="1056"/>
      <c r="BFA190" s="1056"/>
      <c r="BFB190" s="1056"/>
      <c r="BFC190" s="1056"/>
      <c r="BFD190" s="1056"/>
      <c r="BFE190" s="1056"/>
      <c r="BFF190" s="1056"/>
      <c r="BFG190" s="1056"/>
      <c r="BFH190" s="1056"/>
      <c r="BFI190" s="1056"/>
      <c r="BFJ190" s="1056"/>
      <c r="BFK190" s="1056"/>
      <c r="BFL190" s="1056"/>
      <c r="BFM190" s="1056"/>
      <c r="BFN190" s="1056"/>
      <c r="BFO190" s="1056"/>
      <c r="BFP190" s="1056"/>
      <c r="BFQ190" s="1056"/>
      <c r="BFR190" s="1056"/>
      <c r="BFS190" s="1056"/>
      <c r="BFT190" s="1056"/>
      <c r="BFU190" s="1056"/>
      <c r="BFV190" s="1056"/>
      <c r="BFW190" s="1056"/>
      <c r="BFX190" s="1056"/>
      <c r="BFY190" s="1056"/>
      <c r="BFZ190" s="1056"/>
      <c r="BGA190" s="1056"/>
      <c r="BGB190" s="1056"/>
      <c r="BGC190" s="1056"/>
      <c r="BGD190" s="1056"/>
      <c r="BGE190" s="1056"/>
      <c r="BGF190" s="1056"/>
      <c r="BGG190" s="1056"/>
      <c r="BGH190" s="1056"/>
      <c r="BGI190" s="1056"/>
      <c r="BGJ190" s="1056"/>
      <c r="BGK190" s="1056"/>
      <c r="BGL190" s="1056"/>
      <c r="BGM190" s="1056"/>
      <c r="BGN190" s="1056"/>
      <c r="BGO190" s="1056"/>
      <c r="BGP190" s="1056"/>
      <c r="BGQ190" s="1056"/>
      <c r="BGR190" s="1056"/>
      <c r="BGS190" s="1056"/>
      <c r="BGT190" s="1056"/>
      <c r="BGU190" s="1056"/>
      <c r="BGV190" s="1056"/>
      <c r="BGW190" s="1056"/>
      <c r="BGX190" s="1056"/>
      <c r="BGY190" s="1056"/>
      <c r="BGZ190" s="1056"/>
      <c r="BHA190" s="1056"/>
      <c r="BHB190" s="1056"/>
      <c r="BHC190" s="1056"/>
      <c r="BHD190" s="1056"/>
      <c r="BHE190" s="1056"/>
      <c r="BHF190" s="1056"/>
      <c r="BHG190" s="1056"/>
      <c r="BHH190" s="1056"/>
      <c r="BHI190" s="1056"/>
      <c r="BHJ190" s="1056"/>
      <c r="BHK190" s="1056"/>
      <c r="BHL190" s="1056"/>
      <c r="BHM190" s="1056"/>
      <c r="BHN190" s="1056"/>
      <c r="BHO190" s="1056"/>
      <c r="BHP190" s="1056"/>
      <c r="BHQ190" s="1056"/>
      <c r="BHR190" s="1056"/>
      <c r="BHS190" s="1056"/>
      <c r="BHT190" s="1056"/>
      <c r="BHU190" s="1056"/>
      <c r="BHV190" s="1056"/>
      <c r="BHW190" s="1056"/>
      <c r="BHX190" s="1056"/>
      <c r="BHY190" s="1056"/>
      <c r="BHZ190" s="1056"/>
      <c r="BIA190" s="1056"/>
      <c r="BIB190" s="1056"/>
      <c r="BIC190" s="1056"/>
      <c r="BID190" s="1056"/>
      <c r="BIE190" s="1056"/>
      <c r="BIF190" s="1056"/>
      <c r="BIG190" s="1056"/>
      <c r="BIH190" s="1056"/>
      <c r="BII190" s="1056"/>
      <c r="BIJ190" s="1056"/>
      <c r="BIK190" s="1056"/>
      <c r="BIL190" s="1056"/>
      <c r="BIM190" s="1056"/>
      <c r="BIN190" s="1056"/>
      <c r="BIO190" s="1056"/>
      <c r="BIP190" s="1056"/>
      <c r="BIQ190" s="1056"/>
      <c r="BIR190" s="1056"/>
      <c r="BIS190" s="1056"/>
      <c r="BIT190" s="1056"/>
      <c r="BIU190" s="1056"/>
      <c r="BIV190" s="1056"/>
      <c r="BIW190" s="1056"/>
      <c r="BIX190" s="1056"/>
      <c r="BIY190" s="1056"/>
      <c r="BIZ190" s="1056"/>
      <c r="BJA190" s="1056"/>
      <c r="BJB190" s="1056"/>
      <c r="BJC190" s="1056"/>
      <c r="BJD190" s="1056"/>
      <c r="BJE190" s="1056"/>
      <c r="BJF190" s="1056"/>
      <c r="BJG190" s="1056"/>
      <c r="BJH190" s="1056"/>
      <c r="BJI190" s="1056"/>
      <c r="BJJ190" s="1056"/>
      <c r="BJK190" s="1056"/>
      <c r="BJL190" s="1056"/>
      <c r="BJM190" s="1056"/>
      <c r="BJN190" s="1056"/>
      <c r="BJO190" s="1056"/>
      <c r="BJP190" s="1056"/>
      <c r="BJQ190" s="1056"/>
      <c r="BJR190" s="1056"/>
      <c r="BJS190" s="1056"/>
      <c r="BJT190" s="1056"/>
      <c r="BJU190" s="1056"/>
      <c r="BJV190" s="1056"/>
      <c r="BJW190" s="1056"/>
      <c r="BJX190" s="1056"/>
      <c r="BJY190" s="1056"/>
      <c r="BJZ190" s="1056"/>
      <c r="BKA190" s="1056"/>
      <c r="BKB190" s="1056"/>
      <c r="BKC190" s="1056"/>
      <c r="BKD190" s="1056"/>
      <c r="BKE190" s="1056"/>
      <c r="BKF190" s="1056"/>
      <c r="BKG190" s="1056"/>
      <c r="BKH190" s="1056"/>
      <c r="BKI190" s="1056"/>
      <c r="BKJ190" s="1056"/>
      <c r="BKK190" s="1056"/>
      <c r="BKL190" s="1056"/>
      <c r="BKM190" s="1056"/>
      <c r="BKN190" s="1056"/>
      <c r="BKO190" s="1056"/>
      <c r="BKP190" s="1056"/>
      <c r="BKQ190" s="1056"/>
      <c r="BKR190" s="1056"/>
      <c r="BKS190" s="1056"/>
      <c r="BKT190" s="1056"/>
      <c r="BKU190" s="1056"/>
      <c r="BKV190" s="1056"/>
      <c r="BKW190" s="1056"/>
      <c r="BKX190" s="1056"/>
      <c r="BKY190" s="1056"/>
      <c r="BKZ190" s="1056"/>
      <c r="BLA190" s="1056"/>
      <c r="BLB190" s="1056"/>
      <c r="BLC190" s="1056"/>
      <c r="BLD190" s="1056"/>
      <c r="BLE190" s="1056"/>
      <c r="BLF190" s="1056"/>
      <c r="BLG190" s="1056"/>
      <c r="BLH190" s="1056"/>
      <c r="BLI190" s="1056"/>
      <c r="BLJ190" s="1056"/>
      <c r="BLK190" s="1056"/>
      <c r="BLL190" s="1056"/>
      <c r="BLM190" s="1056"/>
      <c r="BLN190" s="1056"/>
      <c r="BLO190" s="1056"/>
      <c r="BLP190" s="1056"/>
      <c r="BLQ190" s="1056"/>
      <c r="BLR190" s="1056"/>
      <c r="BLS190" s="1056"/>
      <c r="BLT190" s="1056"/>
      <c r="BLU190" s="1056"/>
      <c r="BLV190" s="1056"/>
      <c r="BLW190" s="1056"/>
      <c r="BLX190" s="1056"/>
      <c r="BLY190" s="1056"/>
      <c r="BLZ190" s="1056"/>
      <c r="BMA190" s="1056"/>
      <c r="BMB190" s="1056"/>
      <c r="BMC190" s="1056"/>
      <c r="BMD190" s="1056"/>
      <c r="BME190" s="1056"/>
      <c r="BMF190" s="1056"/>
      <c r="BMG190" s="1056"/>
      <c r="BMH190" s="1056"/>
      <c r="BMI190" s="1056"/>
      <c r="BMJ190" s="1056"/>
      <c r="BMK190" s="1056"/>
      <c r="BML190" s="1056"/>
      <c r="BMM190" s="1056"/>
      <c r="BMN190" s="1056"/>
      <c r="BMO190" s="1056"/>
      <c r="BMP190" s="1056"/>
      <c r="BMQ190" s="1056"/>
      <c r="BMR190" s="1056"/>
      <c r="BMS190" s="1056"/>
      <c r="BMT190" s="1056"/>
      <c r="BMU190" s="1056"/>
      <c r="BMV190" s="1056"/>
      <c r="BMW190" s="1056"/>
      <c r="BMX190" s="1056"/>
      <c r="BMY190" s="1056"/>
      <c r="BMZ190" s="1056"/>
      <c r="BNA190" s="1056"/>
      <c r="BNB190" s="1056"/>
      <c r="BNC190" s="1056"/>
      <c r="BND190" s="1056"/>
      <c r="BNE190" s="1056"/>
      <c r="BNF190" s="1056"/>
      <c r="BNG190" s="1056"/>
      <c r="BNH190" s="1056"/>
      <c r="BNI190" s="1056"/>
      <c r="BNJ190" s="1056"/>
      <c r="BNK190" s="1056"/>
      <c r="BNL190" s="1056"/>
      <c r="BNM190" s="1056"/>
      <c r="BNN190" s="1056"/>
      <c r="BNO190" s="1056"/>
      <c r="BNP190" s="1056"/>
      <c r="BNQ190" s="1056"/>
      <c r="BNR190" s="1056"/>
      <c r="BNS190" s="1056"/>
      <c r="BNT190" s="1056"/>
      <c r="BNU190" s="1056"/>
      <c r="BNV190" s="1056"/>
      <c r="BNW190" s="1056"/>
      <c r="BNX190" s="1056"/>
      <c r="BNY190" s="1056"/>
      <c r="BNZ190" s="1056"/>
      <c r="BOA190" s="1056"/>
      <c r="BOB190" s="1056"/>
      <c r="BOC190" s="1056"/>
      <c r="BOD190" s="1056"/>
      <c r="BOE190" s="1056"/>
      <c r="BOF190" s="1056"/>
      <c r="BOG190" s="1056"/>
      <c r="BOH190" s="1056"/>
      <c r="BOI190" s="1056"/>
      <c r="BOJ190" s="1056"/>
      <c r="BOK190" s="1056"/>
      <c r="BOL190" s="1056"/>
      <c r="BOM190" s="1056"/>
      <c r="BON190" s="1056"/>
      <c r="BOO190" s="1056"/>
      <c r="BOP190" s="1056"/>
      <c r="BOQ190" s="1056"/>
      <c r="BOR190" s="1056"/>
      <c r="BOS190" s="1056"/>
      <c r="BOT190" s="1056"/>
      <c r="BOU190" s="1056"/>
      <c r="BOV190" s="1056"/>
      <c r="BOW190" s="1056"/>
      <c r="BOX190" s="1056"/>
      <c r="BOY190" s="1056"/>
      <c r="BOZ190" s="1056"/>
      <c r="BPA190" s="1056"/>
      <c r="BPB190" s="1056"/>
      <c r="BPC190" s="1056"/>
      <c r="BPD190" s="1056"/>
      <c r="BPE190" s="1056"/>
      <c r="BPF190" s="1056"/>
      <c r="BPG190" s="1056"/>
      <c r="BPH190" s="1056"/>
      <c r="BPI190" s="1056"/>
      <c r="BPJ190" s="1056"/>
      <c r="BPK190" s="1056"/>
      <c r="BPL190" s="1056"/>
      <c r="BPM190" s="1056"/>
      <c r="BPN190" s="1056"/>
      <c r="BPO190" s="1056"/>
      <c r="BPP190" s="1056"/>
      <c r="BPQ190" s="1056"/>
      <c r="BPR190" s="1056"/>
      <c r="BPS190" s="1056"/>
      <c r="BPT190" s="1056"/>
      <c r="BPU190" s="1056"/>
      <c r="BPV190" s="1056"/>
      <c r="BPW190" s="1056"/>
      <c r="BPX190" s="1056"/>
      <c r="BPY190" s="1056"/>
      <c r="BPZ190" s="1056"/>
      <c r="BQA190" s="1056"/>
      <c r="BQB190" s="1056"/>
      <c r="BQC190" s="1056"/>
      <c r="BQD190" s="1056"/>
      <c r="BQE190" s="1056"/>
      <c r="BQF190" s="1056"/>
      <c r="BQG190" s="1056"/>
      <c r="BQH190" s="1056"/>
      <c r="BQI190" s="1056"/>
      <c r="BQJ190" s="1056"/>
      <c r="BQK190" s="1056"/>
      <c r="BQL190" s="1056"/>
      <c r="BQM190" s="1056"/>
      <c r="BQN190" s="1056"/>
      <c r="BQO190" s="1056"/>
      <c r="BQP190" s="1056"/>
      <c r="BQQ190" s="1056"/>
      <c r="BQR190" s="1056"/>
      <c r="BQS190" s="1056"/>
      <c r="BQT190" s="1056"/>
      <c r="BQU190" s="1056"/>
      <c r="BQV190" s="1056"/>
      <c r="BQW190" s="1056"/>
      <c r="BQX190" s="1056"/>
      <c r="BQY190" s="1056"/>
      <c r="BQZ190" s="1056"/>
      <c r="BRA190" s="1056"/>
      <c r="BRB190" s="1056"/>
      <c r="BRC190" s="1056"/>
      <c r="BRD190" s="1056"/>
      <c r="BRE190" s="1056"/>
      <c r="BRF190" s="1056"/>
      <c r="BRG190" s="1056"/>
      <c r="BRH190" s="1056"/>
      <c r="BRI190" s="1056"/>
      <c r="BRJ190" s="1056"/>
      <c r="BRK190" s="1056"/>
      <c r="BRL190" s="1056"/>
      <c r="BRM190" s="1056"/>
      <c r="BRN190" s="1056"/>
      <c r="BRO190" s="1056"/>
      <c r="BRP190" s="1056"/>
      <c r="BRQ190" s="1056"/>
      <c r="BRR190" s="1056"/>
      <c r="BRS190" s="1056"/>
      <c r="BRT190" s="1056"/>
      <c r="BRU190" s="1056"/>
      <c r="BRV190" s="1056"/>
      <c r="BRW190" s="1056"/>
      <c r="BRX190" s="1056"/>
      <c r="BRY190" s="1056"/>
      <c r="BRZ190" s="1056"/>
      <c r="BSA190" s="1056"/>
      <c r="BSB190" s="1056"/>
      <c r="BSC190" s="1056"/>
      <c r="BSD190" s="1056"/>
      <c r="BSE190" s="1056"/>
      <c r="BSF190" s="1056"/>
      <c r="BSG190" s="1056"/>
      <c r="BSH190" s="1056"/>
      <c r="BSI190" s="1056"/>
      <c r="BSJ190" s="1056"/>
      <c r="BSK190" s="1056"/>
      <c r="BSL190" s="1056"/>
      <c r="BSM190" s="1056"/>
      <c r="BSN190" s="1056"/>
      <c r="BSO190" s="1056"/>
      <c r="BSP190" s="1056"/>
      <c r="BSQ190" s="1056"/>
      <c r="BSR190" s="1056"/>
      <c r="BSS190" s="1056"/>
      <c r="BST190" s="1056"/>
      <c r="BSU190" s="1056"/>
      <c r="BSV190" s="1056"/>
      <c r="BSW190" s="1056"/>
      <c r="BSX190" s="1056"/>
      <c r="BSY190" s="1056"/>
      <c r="BSZ190" s="1056"/>
      <c r="BTA190" s="1056"/>
      <c r="BTB190" s="1056"/>
      <c r="BTC190" s="1056"/>
      <c r="BTD190" s="1056"/>
      <c r="BTE190" s="1056"/>
      <c r="BTF190" s="1056"/>
      <c r="BTG190" s="1056"/>
      <c r="BTH190" s="1056"/>
      <c r="BTI190" s="1056"/>
    </row>
    <row r="191" spans="1:1881" s="1060" customFormat="1" ht="95.25" hidden="1" customHeight="1" x14ac:dyDescent="0.3">
      <c r="A191" s="1059">
        <v>94</v>
      </c>
      <c r="B191" s="808" t="s">
        <v>66</v>
      </c>
      <c r="C191" s="808" t="s">
        <v>1422</v>
      </c>
      <c r="D191" s="1084" t="s">
        <v>161</v>
      </c>
      <c r="E191" s="1053" t="e">
        <f>HLOOKUP($D$2,'2020 Data(H)'!$C$1:$AI$426,56,FALSE)</f>
        <v>#N/A</v>
      </c>
      <c r="F191" s="286">
        <v>0</v>
      </c>
      <c r="G191" s="722">
        <f t="shared" si="2"/>
        <v>0</v>
      </c>
      <c r="H191" s="764"/>
      <c r="I191" s="1055"/>
      <c r="J191" s="1056"/>
      <c r="K191" s="1056"/>
      <c r="L191" s="1056"/>
      <c r="M191" s="1056"/>
      <c r="N191" s="1058"/>
      <c r="O191" s="1056"/>
      <c r="P191" s="1056"/>
      <c r="Q191" s="1056"/>
      <c r="R191" s="1056"/>
      <c r="S191" s="1056"/>
      <c r="T191" s="1056"/>
      <c r="U191" s="1056"/>
      <c r="V191" s="1056"/>
      <c r="W191" s="1056"/>
      <c r="X191" s="1056"/>
      <c r="Y191" s="1056"/>
      <c r="Z191" s="1059"/>
      <c r="AA191" s="1059"/>
      <c r="AB191" s="1059"/>
      <c r="AC191" s="1059"/>
      <c r="AD191" s="1059"/>
      <c r="AE191" s="1059"/>
      <c r="AF191" s="1059"/>
      <c r="AG191" s="1059"/>
      <c r="AH191" s="1059"/>
      <c r="AI191" s="1059"/>
      <c r="AJ191" s="1059"/>
      <c r="AK191" s="1059"/>
      <c r="AL191" s="1059"/>
      <c r="AM191" s="1059"/>
      <c r="AN191" s="1059"/>
      <c r="AO191" s="1059"/>
      <c r="AP191" s="1059"/>
      <c r="AQ191" s="1059"/>
      <c r="AR191" s="1059"/>
      <c r="AS191" s="1056"/>
      <c r="AT191" s="1056"/>
      <c r="AU191" s="1056"/>
      <c r="AV191" s="1056"/>
      <c r="AW191" s="1056"/>
      <c r="AX191" s="1056"/>
      <c r="AY191" s="1056"/>
      <c r="AZ191" s="1056"/>
      <c r="BA191" s="1056"/>
      <c r="BB191" s="1056"/>
      <c r="BC191" s="1056"/>
      <c r="BD191" s="1056"/>
      <c r="BE191" s="1056"/>
      <c r="BF191" s="1056"/>
      <c r="BG191" s="1056"/>
      <c r="BH191" s="1056"/>
      <c r="BI191" s="1056"/>
      <c r="BJ191" s="1056"/>
      <c r="BK191" s="1056"/>
      <c r="BL191" s="1056"/>
      <c r="BM191" s="1056"/>
      <c r="BN191" s="1056"/>
      <c r="BO191" s="1056"/>
      <c r="BP191" s="1056"/>
      <c r="BQ191" s="1056"/>
      <c r="BR191" s="1056"/>
      <c r="BS191" s="1056"/>
      <c r="BT191" s="1056"/>
      <c r="BU191" s="1056"/>
      <c r="BV191" s="1056"/>
      <c r="BW191" s="1056"/>
      <c r="BX191" s="1056"/>
      <c r="BY191" s="1056"/>
      <c r="BZ191" s="1056"/>
      <c r="CA191" s="1056"/>
      <c r="CB191" s="1056"/>
      <c r="CC191" s="1056"/>
      <c r="CD191" s="1056"/>
      <c r="CE191" s="1056"/>
      <c r="CF191" s="1056"/>
      <c r="CG191" s="1056"/>
      <c r="CH191" s="1056"/>
      <c r="CI191" s="1056"/>
      <c r="CJ191" s="1056"/>
      <c r="CK191" s="1056"/>
      <c r="CL191" s="1056"/>
      <c r="CM191" s="1056"/>
      <c r="CN191" s="1056"/>
      <c r="CO191" s="1056"/>
      <c r="CP191" s="1056"/>
      <c r="CQ191" s="1056"/>
      <c r="CR191" s="1056"/>
      <c r="CS191" s="1056"/>
      <c r="CT191" s="1056"/>
      <c r="CU191" s="1056"/>
      <c r="CV191" s="1056"/>
      <c r="CW191" s="1056"/>
      <c r="CX191" s="1056"/>
      <c r="CY191" s="1056"/>
      <c r="CZ191" s="1056"/>
      <c r="DA191" s="1056"/>
      <c r="DB191" s="1056"/>
      <c r="DC191" s="1056"/>
      <c r="DD191" s="1056"/>
      <c r="DE191" s="1056"/>
      <c r="DF191" s="1056"/>
      <c r="DG191" s="1056"/>
      <c r="DH191" s="1056"/>
      <c r="DI191" s="1056"/>
      <c r="DJ191" s="1056"/>
      <c r="DK191" s="1056"/>
      <c r="DL191" s="1056"/>
      <c r="DM191" s="1056"/>
      <c r="DN191" s="1056"/>
      <c r="DO191" s="1056"/>
      <c r="DP191" s="1056"/>
      <c r="DQ191" s="1056"/>
      <c r="DR191" s="1056"/>
      <c r="DS191" s="1056"/>
      <c r="DT191" s="1056"/>
      <c r="DU191" s="1056"/>
      <c r="DV191" s="1056"/>
      <c r="DW191" s="1056"/>
      <c r="DX191" s="1056"/>
      <c r="DY191" s="1056"/>
      <c r="DZ191" s="1056"/>
      <c r="EA191" s="1056"/>
      <c r="EB191" s="1056"/>
      <c r="EC191" s="1056"/>
      <c r="ED191" s="1056"/>
      <c r="EE191" s="1056"/>
      <c r="EF191" s="1056"/>
      <c r="EG191" s="1056"/>
      <c r="EH191" s="1056"/>
      <c r="EI191" s="1056"/>
      <c r="EJ191" s="1056"/>
      <c r="EK191" s="1056"/>
      <c r="EL191" s="1056"/>
      <c r="EM191" s="1056"/>
      <c r="EN191" s="1056"/>
      <c r="EO191" s="1056"/>
      <c r="EP191" s="1056"/>
      <c r="EQ191" s="1056"/>
      <c r="ER191" s="1056"/>
      <c r="ES191" s="1056"/>
      <c r="ET191" s="1056"/>
      <c r="EU191" s="1056"/>
      <c r="EV191" s="1056"/>
      <c r="EW191" s="1056"/>
      <c r="EX191" s="1056"/>
      <c r="EY191" s="1056"/>
      <c r="EZ191" s="1056"/>
      <c r="FA191" s="1056"/>
      <c r="FB191" s="1056"/>
      <c r="FC191" s="1056"/>
      <c r="FD191" s="1056"/>
      <c r="FE191" s="1056"/>
      <c r="FF191" s="1056"/>
      <c r="FG191" s="1056"/>
      <c r="FH191" s="1056"/>
      <c r="FI191" s="1056"/>
      <c r="FJ191" s="1056"/>
      <c r="FK191" s="1056"/>
      <c r="FL191" s="1056"/>
      <c r="FM191" s="1056"/>
      <c r="FN191" s="1056"/>
      <c r="FO191" s="1056"/>
      <c r="FP191" s="1056"/>
      <c r="FQ191" s="1056"/>
      <c r="FR191" s="1056"/>
      <c r="FS191" s="1056"/>
      <c r="FT191" s="1056"/>
      <c r="FU191" s="1056"/>
      <c r="FV191" s="1056"/>
      <c r="FW191" s="1056"/>
      <c r="FX191" s="1056"/>
      <c r="FY191" s="1056"/>
      <c r="FZ191" s="1056"/>
      <c r="GA191" s="1056"/>
      <c r="GB191" s="1056"/>
      <c r="GC191" s="1056"/>
      <c r="GD191" s="1056"/>
      <c r="GE191" s="1056"/>
      <c r="GF191" s="1056"/>
      <c r="GG191" s="1056"/>
      <c r="GH191" s="1056"/>
      <c r="GI191" s="1056"/>
      <c r="GJ191" s="1056"/>
      <c r="GK191" s="1056"/>
      <c r="GL191" s="1056"/>
      <c r="GM191" s="1056"/>
      <c r="GN191" s="1056"/>
      <c r="GO191" s="1056"/>
      <c r="GP191" s="1056"/>
      <c r="GQ191" s="1056"/>
      <c r="GR191" s="1056"/>
      <c r="GS191" s="1056"/>
      <c r="GT191" s="1056"/>
      <c r="GU191" s="1056"/>
      <c r="GV191" s="1056"/>
      <c r="GW191" s="1056"/>
      <c r="GX191" s="1056"/>
      <c r="GY191" s="1056"/>
      <c r="GZ191" s="1056"/>
      <c r="HA191" s="1056"/>
      <c r="HB191" s="1056"/>
      <c r="HC191" s="1056"/>
      <c r="HD191" s="1056"/>
      <c r="HE191" s="1056"/>
      <c r="HF191" s="1056"/>
      <c r="HG191" s="1056"/>
      <c r="HH191" s="1056"/>
      <c r="HI191" s="1056"/>
      <c r="HJ191" s="1056"/>
      <c r="HK191" s="1056"/>
      <c r="HL191" s="1056"/>
      <c r="HM191" s="1056"/>
      <c r="HN191" s="1056"/>
      <c r="HO191" s="1056"/>
      <c r="HP191" s="1056"/>
      <c r="HQ191" s="1056"/>
      <c r="HR191" s="1056"/>
      <c r="HS191" s="1056"/>
      <c r="HT191" s="1056"/>
      <c r="HU191" s="1056"/>
      <c r="HV191" s="1056"/>
      <c r="HW191" s="1056"/>
      <c r="HX191" s="1056"/>
      <c r="HY191" s="1056"/>
      <c r="HZ191" s="1056"/>
      <c r="IA191" s="1056"/>
      <c r="IB191" s="1056"/>
      <c r="IC191" s="1056"/>
      <c r="ID191" s="1056"/>
      <c r="IE191" s="1056"/>
      <c r="IF191" s="1056"/>
      <c r="IG191" s="1056"/>
      <c r="IH191" s="1056"/>
      <c r="II191" s="1056"/>
      <c r="IJ191" s="1056"/>
      <c r="IK191" s="1056"/>
      <c r="IL191" s="1056"/>
      <c r="IM191" s="1056"/>
      <c r="IN191" s="1056"/>
      <c r="IO191" s="1056"/>
      <c r="IP191" s="1056"/>
      <c r="IQ191" s="1056"/>
      <c r="IR191" s="1056"/>
      <c r="IS191" s="1056"/>
      <c r="IT191" s="1056"/>
      <c r="IU191" s="1056"/>
      <c r="IV191" s="1056"/>
      <c r="IW191" s="1056"/>
      <c r="IX191" s="1056"/>
      <c r="IY191" s="1056"/>
      <c r="IZ191" s="1056"/>
      <c r="JA191" s="1056"/>
      <c r="JB191" s="1056"/>
      <c r="JC191" s="1056"/>
      <c r="JD191" s="1056"/>
      <c r="JE191" s="1056"/>
      <c r="JF191" s="1056"/>
      <c r="JG191" s="1056"/>
      <c r="JH191" s="1056"/>
      <c r="JI191" s="1056"/>
      <c r="JJ191" s="1056"/>
      <c r="JK191" s="1056"/>
      <c r="JL191" s="1056"/>
      <c r="JM191" s="1056"/>
      <c r="JN191" s="1056"/>
      <c r="JO191" s="1056"/>
      <c r="JP191" s="1056"/>
      <c r="JQ191" s="1056"/>
      <c r="JR191" s="1056"/>
      <c r="JS191" s="1056"/>
      <c r="JT191" s="1056"/>
      <c r="JU191" s="1056"/>
      <c r="JV191" s="1056"/>
      <c r="JW191" s="1056"/>
      <c r="JX191" s="1056"/>
      <c r="JY191" s="1056"/>
      <c r="JZ191" s="1056"/>
      <c r="KA191" s="1056"/>
      <c r="KB191" s="1056"/>
      <c r="KC191" s="1056"/>
      <c r="KD191" s="1056"/>
      <c r="KE191" s="1056"/>
      <c r="KF191" s="1056"/>
      <c r="KG191" s="1056"/>
      <c r="KH191" s="1056"/>
      <c r="KI191" s="1056"/>
      <c r="KJ191" s="1056"/>
      <c r="KK191" s="1056"/>
      <c r="KL191" s="1056"/>
      <c r="KM191" s="1056"/>
      <c r="KN191" s="1056"/>
      <c r="KO191" s="1056"/>
      <c r="KP191" s="1056"/>
      <c r="KQ191" s="1056"/>
      <c r="KR191" s="1056"/>
      <c r="KS191" s="1056"/>
      <c r="KT191" s="1056"/>
      <c r="KU191" s="1056"/>
      <c r="KV191" s="1056"/>
      <c r="KW191" s="1056"/>
      <c r="KX191" s="1056"/>
      <c r="KY191" s="1056"/>
      <c r="KZ191" s="1056"/>
      <c r="LA191" s="1056"/>
      <c r="LB191" s="1056"/>
      <c r="LC191" s="1056"/>
      <c r="LD191" s="1056"/>
      <c r="LE191" s="1056"/>
      <c r="LF191" s="1056"/>
      <c r="LG191" s="1056"/>
      <c r="LH191" s="1056"/>
      <c r="LI191" s="1056"/>
      <c r="LJ191" s="1056"/>
      <c r="LK191" s="1056"/>
      <c r="LL191" s="1056"/>
      <c r="LM191" s="1056"/>
      <c r="LN191" s="1056"/>
      <c r="LO191" s="1056"/>
      <c r="LP191" s="1056"/>
      <c r="LQ191" s="1056"/>
      <c r="LR191" s="1056"/>
      <c r="LS191" s="1056"/>
      <c r="LT191" s="1056"/>
      <c r="LU191" s="1056"/>
      <c r="LV191" s="1056"/>
      <c r="LW191" s="1056"/>
      <c r="LX191" s="1056"/>
      <c r="LY191" s="1056"/>
      <c r="LZ191" s="1056"/>
      <c r="MA191" s="1056"/>
      <c r="MB191" s="1056"/>
      <c r="MC191" s="1056"/>
      <c r="MD191" s="1056"/>
      <c r="ME191" s="1056"/>
      <c r="MF191" s="1056"/>
      <c r="MG191" s="1056"/>
      <c r="MH191" s="1056"/>
      <c r="MI191" s="1056"/>
      <c r="MJ191" s="1056"/>
      <c r="MK191" s="1056"/>
      <c r="ML191" s="1056"/>
      <c r="MM191" s="1056"/>
      <c r="MN191" s="1056"/>
      <c r="MO191" s="1056"/>
      <c r="MP191" s="1056"/>
      <c r="MQ191" s="1056"/>
      <c r="MR191" s="1056"/>
      <c r="MS191" s="1056"/>
      <c r="MT191" s="1056"/>
      <c r="MU191" s="1056"/>
      <c r="MV191" s="1056"/>
      <c r="MW191" s="1056"/>
      <c r="MX191" s="1056"/>
      <c r="MY191" s="1056"/>
      <c r="MZ191" s="1056"/>
      <c r="NA191" s="1056"/>
      <c r="NB191" s="1056"/>
      <c r="NC191" s="1056"/>
      <c r="ND191" s="1056"/>
      <c r="NE191" s="1056"/>
      <c r="NF191" s="1056"/>
      <c r="NG191" s="1056"/>
      <c r="NH191" s="1056"/>
      <c r="NI191" s="1056"/>
      <c r="NJ191" s="1056"/>
      <c r="NK191" s="1056"/>
      <c r="NL191" s="1056"/>
      <c r="NM191" s="1056"/>
      <c r="NN191" s="1056"/>
      <c r="NO191" s="1056"/>
      <c r="NP191" s="1056"/>
      <c r="NQ191" s="1056"/>
      <c r="NR191" s="1056"/>
      <c r="NS191" s="1056"/>
      <c r="NT191" s="1056"/>
      <c r="NU191" s="1056"/>
      <c r="NV191" s="1056"/>
      <c r="NW191" s="1056"/>
      <c r="NX191" s="1056"/>
      <c r="NY191" s="1056"/>
      <c r="NZ191" s="1056"/>
      <c r="OA191" s="1056"/>
      <c r="OB191" s="1056"/>
      <c r="OC191" s="1056"/>
      <c r="OD191" s="1056"/>
      <c r="OE191" s="1056"/>
      <c r="OF191" s="1056"/>
      <c r="OG191" s="1056"/>
      <c r="OH191" s="1056"/>
      <c r="OI191" s="1056"/>
      <c r="OJ191" s="1056"/>
      <c r="OK191" s="1056"/>
      <c r="OL191" s="1056"/>
      <c r="OM191" s="1056"/>
      <c r="ON191" s="1056"/>
      <c r="OO191" s="1056"/>
      <c r="OP191" s="1056"/>
      <c r="OQ191" s="1056"/>
      <c r="OR191" s="1056"/>
      <c r="OS191" s="1056"/>
      <c r="OT191" s="1056"/>
      <c r="OU191" s="1056"/>
      <c r="OV191" s="1056"/>
      <c r="OW191" s="1056"/>
      <c r="OX191" s="1056"/>
      <c r="OY191" s="1056"/>
      <c r="OZ191" s="1056"/>
      <c r="PA191" s="1056"/>
      <c r="PB191" s="1056"/>
      <c r="PC191" s="1056"/>
      <c r="PD191" s="1056"/>
      <c r="PE191" s="1056"/>
      <c r="PF191" s="1056"/>
      <c r="PG191" s="1056"/>
      <c r="PH191" s="1056"/>
      <c r="PI191" s="1056"/>
      <c r="PJ191" s="1056"/>
      <c r="PK191" s="1056"/>
      <c r="PL191" s="1056"/>
      <c r="PM191" s="1056"/>
      <c r="PN191" s="1056"/>
      <c r="PO191" s="1056"/>
      <c r="PP191" s="1056"/>
      <c r="PQ191" s="1056"/>
      <c r="PR191" s="1056"/>
      <c r="PS191" s="1056"/>
      <c r="PT191" s="1056"/>
      <c r="PU191" s="1056"/>
      <c r="PV191" s="1056"/>
      <c r="PW191" s="1056"/>
      <c r="PX191" s="1056"/>
      <c r="PY191" s="1056"/>
      <c r="PZ191" s="1056"/>
      <c r="QA191" s="1056"/>
      <c r="QB191" s="1056"/>
      <c r="QC191" s="1056"/>
      <c r="QD191" s="1056"/>
      <c r="QE191" s="1056"/>
      <c r="QF191" s="1056"/>
      <c r="QG191" s="1056"/>
      <c r="QH191" s="1056"/>
      <c r="QI191" s="1056"/>
      <c r="QJ191" s="1056"/>
      <c r="QK191" s="1056"/>
      <c r="QL191" s="1056"/>
      <c r="QM191" s="1056"/>
      <c r="QN191" s="1056"/>
      <c r="QO191" s="1056"/>
      <c r="QP191" s="1056"/>
      <c r="QQ191" s="1056"/>
      <c r="QR191" s="1056"/>
      <c r="QS191" s="1056"/>
      <c r="QT191" s="1056"/>
      <c r="QU191" s="1056"/>
      <c r="QV191" s="1056"/>
      <c r="QW191" s="1056"/>
      <c r="QX191" s="1056"/>
      <c r="QY191" s="1056"/>
      <c r="QZ191" s="1056"/>
      <c r="RA191" s="1056"/>
      <c r="RB191" s="1056"/>
      <c r="RC191" s="1056"/>
      <c r="RD191" s="1056"/>
      <c r="RE191" s="1056"/>
      <c r="RF191" s="1056"/>
      <c r="RG191" s="1056"/>
      <c r="RH191" s="1056"/>
      <c r="RI191" s="1056"/>
      <c r="RJ191" s="1056"/>
      <c r="RK191" s="1056"/>
      <c r="RL191" s="1056"/>
      <c r="RM191" s="1056"/>
      <c r="RN191" s="1056"/>
      <c r="RO191" s="1056"/>
      <c r="RP191" s="1056"/>
      <c r="RQ191" s="1056"/>
      <c r="RR191" s="1056"/>
      <c r="RS191" s="1056"/>
      <c r="RT191" s="1056"/>
      <c r="RU191" s="1056"/>
      <c r="RV191" s="1056"/>
      <c r="RW191" s="1056"/>
      <c r="RX191" s="1056"/>
      <c r="RY191" s="1056"/>
      <c r="RZ191" s="1056"/>
      <c r="SA191" s="1056"/>
      <c r="SB191" s="1056"/>
      <c r="SC191" s="1056"/>
      <c r="SD191" s="1056"/>
      <c r="SE191" s="1056"/>
      <c r="SF191" s="1056"/>
      <c r="SG191" s="1056"/>
      <c r="SH191" s="1056"/>
      <c r="SI191" s="1056"/>
      <c r="SJ191" s="1056"/>
      <c r="SK191" s="1056"/>
      <c r="SL191" s="1056"/>
      <c r="SM191" s="1056"/>
      <c r="SN191" s="1056"/>
      <c r="SO191" s="1056"/>
      <c r="SP191" s="1056"/>
      <c r="SQ191" s="1056"/>
      <c r="SR191" s="1056"/>
      <c r="SS191" s="1056"/>
      <c r="ST191" s="1056"/>
      <c r="SU191" s="1056"/>
      <c r="SV191" s="1056"/>
      <c r="SW191" s="1056"/>
      <c r="SX191" s="1056"/>
      <c r="SY191" s="1056"/>
      <c r="SZ191" s="1056"/>
      <c r="TA191" s="1056"/>
      <c r="TB191" s="1056"/>
      <c r="TC191" s="1056"/>
      <c r="TD191" s="1056"/>
      <c r="TE191" s="1056"/>
      <c r="TF191" s="1056"/>
      <c r="TG191" s="1056"/>
      <c r="TH191" s="1056"/>
      <c r="TI191" s="1056"/>
      <c r="TJ191" s="1056"/>
      <c r="TK191" s="1056"/>
      <c r="TL191" s="1056"/>
      <c r="TM191" s="1056"/>
      <c r="TN191" s="1056"/>
      <c r="TO191" s="1056"/>
      <c r="TP191" s="1056"/>
      <c r="TQ191" s="1056"/>
      <c r="TR191" s="1056"/>
      <c r="TS191" s="1056"/>
      <c r="TT191" s="1056"/>
      <c r="TU191" s="1056"/>
      <c r="TV191" s="1056"/>
      <c r="TW191" s="1056"/>
      <c r="TX191" s="1056"/>
      <c r="TY191" s="1056"/>
      <c r="TZ191" s="1056"/>
      <c r="UA191" s="1056"/>
      <c r="UB191" s="1056"/>
      <c r="UC191" s="1056"/>
      <c r="UD191" s="1056"/>
      <c r="UE191" s="1056"/>
      <c r="UF191" s="1056"/>
      <c r="UG191" s="1056"/>
      <c r="UH191" s="1056"/>
      <c r="UI191" s="1056"/>
      <c r="UJ191" s="1056"/>
      <c r="UK191" s="1056"/>
      <c r="UL191" s="1056"/>
      <c r="UM191" s="1056"/>
      <c r="UN191" s="1056"/>
      <c r="UO191" s="1056"/>
      <c r="UP191" s="1056"/>
      <c r="UQ191" s="1056"/>
      <c r="UR191" s="1056"/>
      <c r="US191" s="1056"/>
      <c r="UT191" s="1056"/>
      <c r="UU191" s="1056"/>
      <c r="UV191" s="1056"/>
      <c r="UW191" s="1056"/>
      <c r="UX191" s="1056"/>
      <c r="UY191" s="1056"/>
      <c r="UZ191" s="1056"/>
      <c r="VA191" s="1056"/>
      <c r="VB191" s="1056"/>
      <c r="VC191" s="1056"/>
      <c r="VD191" s="1056"/>
      <c r="VE191" s="1056"/>
      <c r="VF191" s="1056"/>
      <c r="VG191" s="1056"/>
      <c r="VH191" s="1056"/>
      <c r="VI191" s="1056"/>
      <c r="VJ191" s="1056"/>
      <c r="VK191" s="1056"/>
      <c r="VL191" s="1056"/>
      <c r="VM191" s="1056"/>
      <c r="VN191" s="1056"/>
      <c r="VO191" s="1056"/>
      <c r="VP191" s="1056"/>
      <c r="VQ191" s="1056"/>
      <c r="VR191" s="1056"/>
      <c r="VS191" s="1056"/>
      <c r="VT191" s="1056"/>
      <c r="VU191" s="1056"/>
      <c r="VV191" s="1056"/>
      <c r="VW191" s="1056"/>
      <c r="VX191" s="1056"/>
      <c r="VY191" s="1056"/>
      <c r="VZ191" s="1056"/>
      <c r="WA191" s="1056"/>
      <c r="WB191" s="1056"/>
      <c r="WC191" s="1056"/>
      <c r="WD191" s="1056"/>
      <c r="WE191" s="1056"/>
      <c r="WF191" s="1056"/>
      <c r="WG191" s="1056"/>
      <c r="WH191" s="1056"/>
      <c r="WI191" s="1056"/>
      <c r="WJ191" s="1056"/>
      <c r="WK191" s="1056"/>
      <c r="WL191" s="1056"/>
      <c r="WM191" s="1056"/>
      <c r="WN191" s="1056"/>
      <c r="WO191" s="1056"/>
      <c r="WP191" s="1056"/>
      <c r="WQ191" s="1056"/>
      <c r="WR191" s="1056"/>
      <c r="WS191" s="1056"/>
      <c r="WT191" s="1056"/>
      <c r="WU191" s="1056"/>
      <c r="WV191" s="1056"/>
      <c r="WW191" s="1056"/>
      <c r="WX191" s="1056"/>
      <c r="WY191" s="1056"/>
      <c r="WZ191" s="1056"/>
      <c r="XA191" s="1056"/>
      <c r="XB191" s="1056"/>
      <c r="XC191" s="1056"/>
      <c r="XD191" s="1056"/>
      <c r="XE191" s="1056"/>
      <c r="XF191" s="1056"/>
      <c r="XG191" s="1056"/>
      <c r="XH191" s="1056"/>
      <c r="XI191" s="1056"/>
      <c r="XJ191" s="1056"/>
      <c r="XK191" s="1056"/>
      <c r="XL191" s="1056"/>
      <c r="XM191" s="1056"/>
      <c r="XN191" s="1056"/>
      <c r="XO191" s="1056"/>
      <c r="XP191" s="1056"/>
      <c r="XQ191" s="1056"/>
      <c r="XR191" s="1056"/>
      <c r="XS191" s="1056"/>
      <c r="XT191" s="1056"/>
      <c r="XU191" s="1056"/>
      <c r="XV191" s="1056"/>
      <c r="XW191" s="1056"/>
      <c r="XX191" s="1056"/>
      <c r="XY191" s="1056"/>
      <c r="XZ191" s="1056"/>
      <c r="YA191" s="1056"/>
      <c r="YB191" s="1056"/>
      <c r="YC191" s="1056"/>
      <c r="YD191" s="1056"/>
      <c r="YE191" s="1056"/>
      <c r="YF191" s="1056"/>
      <c r="YG191" s="1056"/>
      <c r="YH191" s="1056"/>
      <c r="YI191" s="1056"/>
      <c r="YJ191" s="1056"/>
      <c r="YK191" s="1056"/>
      <c r="YL191" s="1056"/>
      <c r="YM191" s="1056"/>
      <c r="YN191" s="1056"/>
      <c r="YO191" s="1056"/>
      <c r="YP191" s="1056"/>
      <c r="YQ191" s="1056"/>
      <c r="YR191" s="1056"/>
      <c r="YS191" s="1056"/>
      <c r="YT191" s="1056"/>
      <c r="YU191" s="1056"/>
      <c r="YV191" s="1056"/>
      <c r="YW191" s="1056"/>
      <c r="YX191" s="1056"/>
      <c r="YY191" s="1056"/>
      <c r="YZ191" s="1056"/>
      <c r="ZA191" s="1056"/>
      <c r="ZB191" s="1056"/>
      <c r="ZC191" s="1056"/>
      <c r="ZD191" s="1056"/>
      <c r="ZE191" s="1056"/>
      <c r="ZF191" s="1056"/>
      <c r="ZG191" s="1056"/>
      <c r="ZH191" s="1056"/>
      <c r="ZI191" s="1056"/>
      <c r="ZJ191" s="1056"/>
      <c r="ZK191" s="1056"/>
      <c r="ZL191" s="1056"/>
      <c r="ZM191" s="1056"/>
      <c r="ZN191" s="1056"/>
      <c r="ZO191" s="1056"/>
      <c r="ZP191" s="1056"/>
      <c r="ZQ191" s="1056"/>
      <c r="ZR191" s="1056"/>
      <c r="ZS191" s="1056"/>
      <c r="ZT191" s="1056"/>
      <c r="ZU191" s="1056"/>
      <c r="ZV191" s="1056"/>
      <c r="ZW191" s="1056"/>
      <c r="ZX191" s="1056"/>
      <c r="ZY191" s="1056"/>
      <c r="ZZ191" s="1056"/>
      <c r="AAA191" s="1056"/>
      <c r="AAB191" s="1056"/>
      <c r="AAC191" s="1056"/>
      <c r="AAD191" s="1056"/>
      <c r="AAE191" s="1056"/>
      <c r="AAF191" s="1056"/>
      <c r="AAG191" s="1056"/>
      <c r="AAH191" s="1056"/>
      <c r="AAI191" s="1056"/>
      <c r="AAJ191" s="1056"/>
      <c r="AAK191" s="1056"/>
      <c r="AAL191" s="1056"/>
      <c r="AAM191" s="1056"/>
      <c r="AAN191" s="1056"/>
      <c r="AAO191" s="1056"/>
      <c r="AAP191" s="1056"/>
      <c r="AAQ191" s="1056"/>
      <c r="AAR191" s="1056"/>
      <c r="AAS191" s="1056"/>
      <c r="AAT191" s="1056"/>
      <c r="AAU191" s="1056"/>
      <c r="AAV191" s="1056"/>
      <c r="AAW191" s="1056"/>
      <c r="AAX191" s="1056"/>
      <c r="AAY191" s="1056"/>
      <c r="AAZ191" s="1056"/>
      <c r="ABA191" s="1056"/>
      <c r="ABB191" s="1056"/>
      <c r="ABC191" s="1056"/>
      <c r="ABD191" s="1056"/>
      <c r="ABE191" s="1056"/>
      <c r="ABF191" s="1056"/>
      <c r="ABG191" s="1056"/>
      <c r="ABH191" s="1056"/>
      <c r="ABI191" s="1056"/>
      <c r="ABJ191" s="1056"/>
      <c r="ABK191" s="1056"/>
      <c r="ABL191" s="1056"/>
      <c r="ABM191" s="1056"/>
      <c r="ABN191" s="1056"/>
      <c r="ABO191" s="1056"/>
      <c r="ABP191" s="1056"/>
      <c r="ABQ191" s="1056"/>
      <c r="ABR191" s="1056"/>
      <c r="ABS191" s="1056"/>
      <c r="ABT191" s="1056"/>
      <c r="ABU191" s="1056"/>
      <c r="ABV191" s="1056"/>
      <c r="ABW191" s="1056"/>
      <c r="ABX191" s="1056"/>
      <c r="ABY191" s="1056"/>
      <c r="ABZ191" s="1056"/>
      <c r="ACA191" s="1056"/>
      <c r="ACB191" s="1056"/>
      <c r="ACC191" s="1056"/>
      <c r="ACD191" s="1056"/>
      <c r="ACE191" s="1056"/>
      <c r="ACF191" s="1056"/>
      <c r="ACG191" s="1056"/>
      <c r="ACH191" s="1056"/>
      <c r="ACI191" s="1056"/>
      <c r="ACJ191" s="1056"/>
      <c r="ACK191" s="1056"/>
      <c r="ACL191" s="1056"/>
      <c r="ACM191" s="1056"/>
      <c r="ACN191" s="1056"/>
      <c r="ACO191" s="1056"/>
      <c r="ACP191" s="1056"/>
      <c r="ACQ191" s="1056"/>
      <c r="ACR191" s="1056"/>
      <c r="ACS191" s="1056"/>
      <c r="ACT191" s="1056"/>
      <c r="ACU191" s="1056"/>
      <c r="ACV191" s="1056"/>
      <c r="ACW191" s="1056"/>
      <c r="ACX191" s="1056"/>
      <c r="ACY191" s="1056"/>
      <c r="ACZ191" s="1056"/>
      <c r="ADA191" s="1056"/>
      <c r="ADB191" s="1056"/>
      <c r="ADC191" s="1056"/>
      <c r="ADD191" s="1056"/>
      <c r="ADE191" s="1056"/>
      <c r="ADF191" s="1056"/>
      <c r="ADG191" s="1056"/>
      <c r="ADH191" s="1056"/>
      <c r="ADI191" s="1056"/>
      <c r="ADJ191" s="1056"/>
      <c r="ADK191" s="1056"/>
      <c r="ADL191" s="1056"/>
      <c r="ADM191" s="1056"/>
      <c r="ADN191" s="1056"/>
      <c r="ADO191" s="1056"/>
      <c r="ADP191" s="1056"/>
      <c r="ADQ191" s="1056"/>
      <c r="ADR191" s="1056"/>
      <c r="ADS191" s="1056"/>
      <c r="ADT191" s="1056"/>
      <c r="ADU191" s="1056"/>
      <c r="ADV191" s="1056"/>
      <c r="ADW191" s="1056"/>
      <c r="ADX191" s="1056"/>
      <c r="ADY191" s="1056"/>
      <c r="ADZ191" s="1056"/>
      <c r="AEA191" s="1056"/>
      <c r="AEB191" s="1056"/>
      <c r="AEC191" s="1056"/>
      <c r="AED191" s="1056"/>
      <c r="AEE191" s="1056"/>
      <c r="AEF191" s="1056"/>
      <c r="AEG191" s="1056"/>
      <c r="AEH191" s="1056"/>
      <c r="AEI191" s="1056"/>
      <c r="AEJ191" s="1056"/>
      <c r="AEK191" s="1056"/>
      <c r="AEL191" s="1056"/>
      <c r="AEM191" s="1056"/>
      <c r="AEN191" s="1056"/>
      <c r="AEO191" s="1056"/>
      <c r="AEP191" s="1056"/>
      <c r="AEQ191" s="1056"/>
      <c r="AER191" s="1056"/>
      <c r="AES191" s="1056"/>
      <c r="AET191" s="1056"/>
      <c r="AEU191" s="1056"/>
      <c r="AEV191" s="1056"/>
      <c r="AEW191" s="1056"/>
      <c r="AEX191" s="1056"/>
      <c r="AEY191" s="1056"/>
      <c r="AEZ191" s="1056"/>
      <c r="AFA191" s="1056"/>
      <c r="AFB191" s="1056"/>
      <c r="AFC191" s="1056"/>
      <c r="AFD191" s="1056"/>
      <c r="AFE191" s="1056"/>
      <c r="AFF191" s="1056"/>
      <c r="AFG191" s="1056"/>
      <c r="AFH191" s="1056"/>
      <c r="AFI191" s="1056"/>
      <c r="AFJ191" s="1056"/>
      <c r="AFK191" s="1056"/>
      <c r="AFL191" s="1056"/>
      <c r="AFM191" s="1056"/>
      <c r="AFN191" s="1056"/>
      <c r="AFO191" s="1056"/>
      <c r="AFP191" s="1056"/>
      <c r="AFQ191" s="1056"/>
      <c r="AFR191" s="1056"/>
      <c r="AFS191" s="1056"/>
      <c r="AFT191" s="1056"/>
      <c r="AFU191" s="1056"/>
      <c r="AFV191" s="1056"/>
      <c r="AFW191" s="1056"/>
      <c r="AFX191" s="1056"/>
      <c r="AFY191" s="1056"/>
      <c r="AFZ191" s="1056"/>
      <c r="AGA191" s="1056"/>
      <c r="AGB191" s="1056"/>
      <c r="AGC191" s="1056"/>
      <c r="AGD191" s="1056"/>
      <c r="AGE191" s="1056"/>
      <c r="AGF191" s="1056"/>
      <c r="AGG191" s="1056"/>
      <c r="AGH191" s="1056"/>
      <c r="AGI191" s="1056"/>
      <c r="AGJ191" s="1056"/>
      <c r="AGK191" s="1056"/>
      <c r="AGL191" s="1056"/>
      <c r="AGM191" s="1056"/>
      <c r="AGN191" s="1056"/>
      <c r="AGO191" s="1056"/>
      <c r="AGP191" s="1056"/>
      <c r="AGQ191" s="1056"/>
      <c r="AGR191" s="1056"/>
      <c r="AGS191" s="1056"/>
      <c r="AGT191" s="1056"/>
      <c r="AGU191" s="1056"/>
      <c r="AGV191" s="1056"/>
      <c r="AGW191" s="1056"/>
      <c r="AGX191" s="1056"/>
      <c r="AGY191" s="1056"/>
      <c r="AGZ191" s="1056"/>
      <c r="AHA191" s="1056"/>
      <c r="AHB191" s="1056"/>
      <c r="AHC191" s="1056"/>
      <c r="AHD191" s="1056"/>
      <c r="AHE191" s="1056"/>
      <c r="AHF191" s="1056"/>
      <c r="AHG191" s="1056"/>
      <c r="AHH191" s="1056"/>
      <c r="AHI191" s="1056"/>
      <c r="AHJ191" s="1056"/>
      <c r="AHK191" s="1056"/>
      <c r="AHL191" s="1056"/>
      <c r="AHM191" s="1056"/>
      <c r="AHN191" s="1056"/>
      <c r="AHO191" s="1056"/>
      <c r="AHP191" s="1056"/>
      <c r="AHQ191" s="1056"/>
      <c r="AHR191" s="1056"/>
      <c r="AHS191" s="1056"/>
      <c r="AHT191" s="1056"/>
      <c r="AHU191" s="1056"/>
      <c r="AHV191" s="1056"/>
      <c r="AHW191" s="1056"/>
      <c r="AHX191" s="1056"/>
      <c r="AHY191" s="1056"/>
      <c r="AHZ191" s="1056"/>
      <c r="AIA191" s="1056"/>
      <c r="AIB191" s="1056"/>
      <c r="AIC191" s="1056"/>
      <c r="AID191" s="1056"/>
      <c r="AIE191" s="1056"/>
      <c r="AIF191" s="1056"/>
      <c r="AIG191" s="1056"/>
      <c r="AIH191" s="1056"/>
      <c r="AII191" s="1056"/>
      <c r="AIJ191" s="1056"/>
      <c r="AIK191" s="1056"/>
      <c r="AIL191" s="1056"/>
      <c r="AIM191" s="1056"/>
      <c r="AIN191" s="1056"/>
      <c r="AIO191" s="1056"/>
      <c r="AIP191" s="1056"/>
      <c r="AIQ191" s="1056"/>
      <c r="AIR191" s="1056"/>
      <c r="AIS191" s="1056"/>
      <c r="AIT191" s="1056"/>
      <c r="AIU191" s="1056"/>
      <c r="AIV191" s="1056"/>
      <c r="AIW191" s="1056"/>
      <c r="AIX191" s="1056"/>
      <c r="AIY191" s="1056"/>
      <c r="AIZ191" s="1056"/>
      <c r="AJA191" s="1056"/>
      <c r="AJB191" s="1056"/>
      <c r="AJC191" s="1056"/>
      <c r="AJD191" s="1056"/>
      <c r="AJE191" s="1056"/>
      <c r="AJF191" s="1056"/>
      <c r="AJG191" s="1056"/>
      <c r="AJH191" s="1056"/>
      <c r="AJI191" s="1056"/>
      <c r="AJJ191" s="1056"/>
      <c r="AJK191" s="1056"/>
      <c r="AJL191" s="1056"/>
      <c r="AJM191" s="1056"/>
      <c r="AJN191" s="1056"/>
      <c r="AJO191" s="1056"/>
      <c r="AJP191" s="1056"/>
      <c r="AJQ191" s="1056"/>
      <c r="AJR191" s="1056"/>
      <c r="AJS191" s="1056"/>
      <c r="AJT191" s="1056"/>
      <c r="AJU191" s="1056"/>
      <c r="AJV191" s="1056"/>
      <c r="AJW191" s="1056"/>
      <c r="AJX191" s="1056"/>
      <c r="AJY191" s="1056"/>
      <c r="AJZ191" s="1056"/>
      <c r="AKA191" s="1056"/>
      <c r="AKB191" s="1056"/>
      <c r="AKC191" s="1056"/>
      <c r="AKD191" s="1056"/>
      <c r="AKE191" s="1056"/>
      <c r="AKF191" s="1056"/>
      <c r="AKG191" s="1056"/>
      <c r="AKH191" s="1056"/>
      <c r="AKI191" s="1056"/>
      <c r="AKJ191" s="1056"/>
      <c r="AKK191" s="1056"/>
      <c r="AKL191" s="1056"/>
      <c r="AKM191" s="1056"/>
      <c r="AKN191" s="1056"/>
      <c r="AKO191" s="1056"/>
      <c r="AKP191" s="1056"/>
      <c r="AKQ191" s="1056"/>
      <c r="AKR191" s="1056"/>
      <c r="AKS191" s="1056"/>
      <c r="AKT191" s="1056"/>
      <c r="AKU191" s="1056"/>
      <c r="AKV191" s="1056"/>
      <c r="AKW191" s="1056"/>
      <c r="AKX191" s="1056"/>
      <c r="AKY191" s="1056"/>
      <c r="AKZ191" s="1056"/>
      <c r="ALA191" s="1056"/>
      <c r="ALB191" s="1056"/>
      <c r="ALC191" s="1056"/>
      <c r="ALD191" s="1056"/>
      <c r="ALE191" s="1056"/>
      <c r="ALF191" s="1056"/>
      <c r="ALG191" s="1056"/>
      <c r="ALH191" s="1056"/>
      <c r="ALI191" s="1056"/>
      <c r="ALJ191" s="1056"/>
      <c r="ALK191" s="1056"/>
      <c r="ALL191" s="1056"/>
      <c r="ALM191" s="1056"/>
      <c r="ALN191" s="1056"/>
      <c r="ALO191" s="1056"/>
      <c r="ALP191" s="1056"/>
      <c r="ALQ191" s="1056"/>
      <c r="ALR191" s="1056"/>
      <c r="ALS191" s="1056"/>
      <c r="ALT191" s="1056"/>
      <c r="ALU191" s="1056"/>
      <c r="ALV191" s="1056"/>
      <c r="ALW191" s="1056"/>
      <c r="ALX191" s="1056"/>
      <c r="ALY191" s="1056"/>
      <c r="ALZ191" s="1056"/>
      <c r="AMA191" s="1056"/>
      <c r="AMB191" s="1056"/>
      <c r="AMC191" s="1056"/>
      <c r="AMD191" s="1056"/>
      <c r="AME191" s="1056"/>
      <c r="AMF191" s="1056"/>
      <c r="AMG191" s="1056"/>
      <c r="AMH191" s="1056"/>
      <c r="AMI191" s="1056"/>
      <c r="AMJ191" s="1056"/>
      <c r="AMK191" s="1056"/>
      <c r="AML191" s="1056"/>
      <c r="AMM191" s="1056"/>
      <c r="AMN191" s="1056"/>
      <c r="AMO191" s="1056"/>
      <c r="AMP191" s="1056"/>
      <c r="AMQ191" s="1056"/>
      <c r="AMR191" s="1056"/>
      <c r="AMS191" s="1056"/>
      <c r="AMT191" s="1056"/>
      <c r="AMU191" s="1056"/>
      <c r="AMV191" s="1056"/>
      <c r="AMW191" s="1056"/>
      <c r="AMX191" s="1056"/>
      <c r="AMY191" s="1056"/>
      <c r="AMZ191" s="1056"/>
      <c r="ANA191" s="1056"/>
      <c r="ANB191" s="1056"/>
      <c r="ANC191" s="1056"/>
      <c r="AND191" s="1056"/>
      <c r="ANE191" s="1056"/>
      <c r="ANF191" s="1056"/>
      <c r="ANG191" s="1056"/>
      <c r="ANH191" s="1056"/>
      <c r="ANI191" s="1056"/>
      <c r="ANJ191" s="1056"/>
      <c r="ANK191" s="1056"/>
      <c r="ANL191" s="1056"/>
      <c r="ANM191" s="1056"/>
      <c r="ANN191" s="1056"/>
      <c r="ANO191" s="1056"/>
      <c r="ANP191" s="1056"/>
      <c r="ANQ191" s="1056"/>
      <c r="ANR191" s="1056"/>
      <c r="ANS191" s="1056"/>
      <c r="ANT191" s="1056"/>
      <c r="ANU191" s="1056"/>
      <c r="ANV191" s="1056"/>
      <c r="ANW191" s="1056"/>
      <c r="ANX191" s="1056"/>
      <c r="ANY191" s="1056"/>
      <c r="ANZ191" s="1056"/>
      <c r="AOA191" s="1056"/>
      <c r="AOB191" s="1056"/>
      <c r="AOC191" s="1056"/>
      <c r="AOD191" s="1056"/>
      <c r="AOE191" s="1056"/>
      <c r="AOF191" s="1056"/>
      <c r="AOG191" s="1056"/>
      <c r="AOH191" s="1056"/>
      <c r="AOI191" s="1056"/>
      <c r="AOJ191" s="1056"/>
      <c r="AOK191" s="1056"/>
      <c r="AOL191" s="1056"/>
      <c r="AOM191" s="1056"/>
      <c r="AON191" s="1056"/>
      <c r="AOO191" s="1056"/>
      <c r="AOP191" s="1056"/>
      <c r="AOQ191" s="1056"/>
      <c r="AOR191" s="1056"/>
      <c r="AOS191" s="1056"/>
      <c r="AOT191" s="1056"/>
      <c r="AOU191" s="1056"/>
      <c r="AOV191" s="1056"/>
      <c r="AOW191" s="1056"/>
      <c r="AOX191" s="1056"/>
      <c r="AOY191" s="1056"/>
      <c r="AOZ191" s="1056"/>
      <c r="APA191" s="1056"/>
      <c r="APB191" s="1056"/>
      <c r="APC191" s="1056"/>
      <c r="APD191" s="1056"/>
      <c r="APE191" s="1056"/>
      <c r="APF191" s="1056"/>
      <c r="APG191" s="1056"/>
      <c r="APH191" s="1056"/>
      <c r="API191" s="1056"/>
      <c r="APJ191" s="1056"/>
      <c r="APK191" s="1056"/>
      <c r="APL191" s="1056"/>
      <c r="APM191" s="1056"/>
      <c r="APN191" s="1056"/>
      <c r="APO191" s="1056"/>
      <c r="APP191" s="1056"/>
      <c r="APQ191" s="1056"/>
      <c r="APR191" s="1056"/>
      <c r="APS191" s="1056"/>
      <c r="APT191" s="1056"/>
      <c r="APU191" s="1056"/>
      <c r="APV191" s="1056"/>
      <c r="APW191" s="1056"/>
      <c r="APX191" s="1056"/>
      <c r="APY191" s="1056"/>
      <c r="APZ191" s="1056"/>
      <c r="AQA191" s="1056"/>
      <c r="AQB191" s="1056"/>
      <c r="AQC191" s="1056"/>
      <c r="AQD191" s="1056"/>
      <c r="AQE191" s="1056"/>
      <c r="AQF191" s="1056"/>
      <c r="AQG191" s="1056"/>
      <c r="AQH191" s="1056"/>
      <c r="AQI191" s="1056"/>
      <c r="AQJ191" s="1056"/>
      <c r="AQK191" s="1056"/>
      <c r="AQL191" s="1056"/>
      <c r="AQM191" s="1056"/>
      <c r="AQN191" s="1056"/>
      <c r="AQO191" s="1056"/>
      <c r="AQP191" s="1056"/>
      <c r="AQQ191" s="1056"/>
      <c r="AQR191" s="1056"/>
      <c r="AQS191" s="1056"/>
      <c r="AQT191" s="1056"/>
      <c r="AQU191" s="1056"/>
      <c r="AQV191" s="1056"/>
      <c r="AQW191" s="1056"/>
      <c r="AQX191" s="1056"/>
      <c r="AQY191" s="1056"/>
      <c r="AQZ191" s="1056"/>
      <c r="ARA191" s="1056"/>
      <c r="ARB191" s="1056"/>
      <c r="ARC191" s="1056"/>
      <c r="ARD191" s="1056"/>
      <c r="ARE191" s="1056"/>
      <c r="ARF191" s="1056"/>
      <c r="ARG191" s="1056"/>
      <c r="ARH191" s="1056"/>
      <c r="ARI191" s="1056"/>
      <c r="ARJ191" s="1056"/>
      <c r="ARK191" s="1056"/>
      <c r="ARL191" s="1056"/>
      <c r="ARM191" s="1056"/>
      <c r="ARN191" s="1056"/>
      <c r="ARO191" s="1056"/>
      <c r="ARP191" s="1056"/>
      <c r="ARQ191" s="1056"/>
      <c r="ARR191" s="1056"/>
      <c r="ARS191" s="1056"/>
      <c r="ART191" s="1056"/>
      <c r="ARU191" s="1056"/>
      <c r="ARV191" s="1056"/>
      <c r="ARW191" s="1056"/>
      <c r="ARX191" s="1056"/>
      <c r="ARY191" s="1056"/>
      <c r="ARZ191" s="1056"/>
      <c r="ASA191" s="1056"/>
      <c r="ASB191" s="1056"/>
      <c r="ASC191" s="1056"/>
      <c r="ASD191" s="1056"/>
      <c r="ASE191" s="1056"/>
      <c r="ASF191" s="1056"/>
      <c r="ASG191" s="1056"/>
      <c r="ASH191" s="1056"/>
      <c r="ASI191" s="1056"/>
      <c r="ASJ191" s="1056"/>
      <c r="ASK191" s="1056"/>
      <c r="ASL191" s="1056"/>
      <c r="ASM191" s="1056"/>
      <c r="ASN191" s="1056"/>
      <c r="ASO191" s="1056"/>
      <c r="ASP191" s="1056"/>
      <c r="ASQ191" s="1056"/>
      <c r="ASR191" s="1056"/>
      <c r="ASS191" s="1056"/>
      <c r="AST191" s="1056"/>
      <c r="ASU191" s="1056"/>
      <c r="ASV191" s="1056"/>
      <c r="ASW191" s="1056"/>
      <c r="ASX191" s="1056"/>
      <c r="ASY191" s="1056"/>
      <c r="ASZ191" s="1056"/>
      <c r="ATA191" s="1056"/>
      <c r="ATB191" s="1056"/>
      <c r="ATC191" s="1056"/>
      <c r="ATD191" s="1056"/>
      <c r="ATE191" s="1056"/>
      <c r="ATF191" s="1056"/>
      <c r="ATG191" s="1056"/>
      <c r="ATH191" s="1056"/>
      <c r="ATI191" s="1056"/>
      <c r="ATJ191" s="1056"/>
      <c r="ATK191" s="1056"/>
      <c r="ATL191" s="1056"/>
      <c r="ATM191" s="1056"/>
      <c r="ATN191" s="1056"/>
      <c r="ATO191" s="1056"/>
      <c r="ATP191" s="1056"/>
      <c r="ATQ191" s="1056"/>
      <c r="ATR191" s="1056"/>
      <c r="ATS191" s="1056"/>
      <c r="ATT191" s="1056"/>
      <c r="ATU191" s="1056"/>
      <c r="ATV191" s="1056"/>
      <c r="ATW191" s="1056"/>
      <c r="ATX191" s="1056"/>
      <c r="ATY191" s="1056"/>
      <c r="ATZ191" s="1056"/>
      <c r="AUA191" s="1056"/>
      <c r="AUB191" s="1056"/>
      <c r="AUC191" s="1056"/>
      <c r="AUD191" s="1056"/>
      <c r="AUE191" s="1056"/>
      <c r="AUF191" s="1056"/>
      <c r="AUG191" s="1056"/>
      <c r="AUH191" s="1056"/>
      <c r="AUI191" s="1056"/>
      <c r="AUJ191" s="1056"/>
      <c r="AUK191" s="1056"/>
      <c r="AUL191" s="1056"/>
      <c r="AUM191" s="1056"/>
      <c r="AUN191" s="1056"/>
      <c r="AUO191" s="1056"/>
      <c r="AUP191" s="1056"/>
      <c r="AUQ191" s="1056"/>
      <c r="AUR191" s="1056"/>
      <c r="AUS191" s="1056"/>
      <c r="AUT191" s="1056"/>
      <c r="AUU191" s="1056"/>
      <c r="AUV191" s="1056"/>
      <c r="AUW191" s="1056"/>
      <c r="AUX191" s="1056"/>
      <c r="AUY191" s="1056"/>
      <c r="AUZ191" s="1056"/>
      <c r="AVA191" s="1056"/>
      <c r="AVB191" s="1056"/>
      <c r="AVC191" s="1056"/>
      <c r="AVD191" s="1056"/>
      <c r="AVE191" s="1056"/>
      <c r="AVF191" s="1056"/>
      <c r="AVG191" s="1056"/>
      <c r="AVH191" s="1056"/>
      <c r="AVI191" s="1056"/>
      <c r="AVJ191" s="1056"/>
      <c r="AVK191" s="1056"/>
      <c r="AVL191" s="1056"/>
      <c r="AVM191" s="1056"/>
      <c r="AVN191" s="1056"/>
      <c r="AVO191" s="1056"/>
      <c r="AVP191" s="1056"/>
      <c r="AVQ191" s="1056"/>
      <c r="AVR191" s="1056"/>
      <c r="AVS191" s="1056"/>
      <c r="AVT191" s="1056"/>
      <c r="AVU191" s="1056"/>
      <c r="AVV191" s="1056"/>
      <c r="AVW191" s="1056"/>
      <c r="AVX191" s="1056"/>
      <c r="AVY191" s="1056"/>
      <c r="AVZ191" s="1056"/>
      <c r="AWA191" s="1056"/>
      <c r="AWB191" s="1056"/>
      <c r="AWC191" s="1056"/>
      <c r="AWD191" s="1056"/>
      <c r="AWE191" s="1056"/>
      <c r="AWF191" s="1056"/>
      <c r="AWG191" s="1056"/>
      <c r="AWH191" s="1056"/>
      <c r="AWI191" s="1056"/>
      <c r="AWJ191" s="1056"/>
      <c r="AWK191" s="1056"/>
      <c r="AWL191" s="1056"/>
      <c r="AWM191" s="1056"/>
      <c r="AWN191" s="1056"/>
      <c r="AWO191" s="1056"/>
      <c r="AWP191" s="1056"/>
      <c r="AWQ191" s="1056"/>
      <c r="AWR191" s="1056"/>
      <c r="AWS191" s="1056"/>
      <c r="AWT191" s="1056"/>
      <c r="AWU191" s="1056"/>
      <c r="AWV191" s="1056"/>
      <c r="AWW191" s="1056"/>
      <c r="AWX191" s="1056"/>
      <c r="AWY191" s="1056"/>
      <c r="AWZ191" s="1056"/>
      <c r="AXA191" s="1056"/>
      <c r="AXB191" s="1056"/>
      <c r="AXC191" s="1056"/>
      <c r="AXD191" s="1056"/>
      <c r="AXE191" s="1056"/>
      <c r="AXF191" s="1056"/>
      <c r="AXG191" s="1056"/>
      <c r="AXH191" s="1056"/>
      <c r="AXI191" s="1056"/>
      <c r="AXJ191" s="1056"/>
      <c r="AXK191" s="1056"/>
      <c r="AXL191" s="1056"/>
      <c r="AXM191" s="1056"/>
      <c r="AXN191" s="1056"/>
      <c r="AXO191" s="1056"/>
      <c r="AXP191" s="1056"/>
      <c r="AXQ191" s="1056"/>
      <c r="AXR191" s="1056"/>
      <c r="AXS191" s="1056"/>
      <c r="AXT191" s="1056"/>
      <c r="AXU191" s="1056"/>
      <c r="AXV191" s="1056"/>
      <c r="AXW191" s="1056"/>
      <c r="AXX191" s="1056"/>
      <c r="AXY191" s="1056"/>
      <c r="AXZ191" s="1056"/>
      <c r="AYA191" s="1056"/>
      <c r="AYB191" s="1056"/>
      <c r="AYC191" s="1056"/>
      <c r="AYD191" s="1056"/>
      <c r="AYE191" s="1056"/>
      <c r="AYF191" s="1056"/>
      <c r="AYG191" s="1056"/>
      <c r="AYH191" s="1056"/>
      <c r="AYI191" s="1056"/>
      <c r="AYJ191" s="1056"/>
      <c r="AYK191" s="1056"/>
      <c r="AYL191" s="1056"/>
      <c r="AYM191" s="1056"/>
      <c r="AYN191" s="1056"/>
      <c r="AYO191" s="1056"/>
      <c r="AYP191" s="1056"/>
      <c r="AYQ191" s="1056"/>
      <c r="AYR191" s="1056"/>
      <c r="AYS191" s="1056"/>
      <c r="AYT191" s="1056"/>
      <c r="AYU191" s="1056"/>
      <c r="AYV191" s="1056"/>
      <c r="AYW191" s="1056"/>
      <c r="AYX191" s="1056"/>
      <c r="AYY191" s="1056"/>
      <c r="AYZ191" s="1056"/>
      <c r="AZA191" s="1056"/>
      <c r="AZB191" s="1056"/>
      <c r="AZC191" s="1056"/>
      <c r="AZD191" s="1056"/>
      <c r="AZE191" s="1056"/>
      <c r="AZF191" s="1056"/>
      <c r="AZG191" s="1056"/>
      <c r="AZH191" s="1056"/>
      <c r="AZI191" s="1056"/>
      <c r="AZJ191" s="1056"/>
      <c r="AZK191" s="1056"/>
      <c r="AZL191" s="1056"/>
      <c r="AZM191" s="1056"/>
      <c r="AZN191" s="1056"/>
      <c r="AZO191" s="1056"/>
      <c r="AZP191" s="1056"/>
      <c r="AZQ191" s="1056"/>
      <c r="AZR191" s="1056"/>
      <c r="AZS191" s="1056"/>
      <c r="AZT191" s="1056"/>
      <c r="AZU191" s="1056"/>
      <c r="AZV191" s="1056"/>
      <c r="AZW191" s="1056"/>
      <c r="AZX191" s="1056"/>
      <c r="AZY191" s="1056"/>
      <c r="AZZ191" s="1056"/>
      <c r="BAA191" s="1056"/>
      <c r="BAB191" s="1056"/>
      <c r="BAC191" s="1056"/>
      <c r="BAD191" s="1056"/>
      <c r="BAE191" s="1056"/>
      <c r="BAF191" s="1056"/>
      <c r="BAG191" s="1056"/>
      <c r="BAH191" s="1056"/>
      <c r="BAI191" s="1056"/>
      <c r="BAJ191" s="1056"/>
      <c r="BAK191" s="1056"/>
      <c r="BAL191" s="1056"/>
      <c r="BAM191" s="1056"/>
      <c r="BAN191" s="1056"/>
      <c r="BAO191" s="1056"/>
      <c r="BAP191" s="1056"/>
      <c r="BAQ191" s="1056"/>
      <c r="BAR191" s="1056"/>
      <c r="BAS191" s="1056"/>
      <c r="BAT191" s="1056"/>
      <c r="BAU191" s="1056"/>
      <c r="BAV191" s="1056"/>
      <c r="BAW191" s="1056"/>
      <c r="BAX191" s="1056"/>
      <c r="BAY191" s="1056"/>
      <c r="BAZ191" s="1056"/>
      <c r="BBA191" s="1056"/>
      <c r="BBB191" s="1056"/>
      <c r="BBC191" s="1056"/>
      <c r="BBD191" s="1056"/>
      <c r="BBE191" s="1056"/>
      <c r="BBF191" s="1056"/>
      <c r="BBG191" s="1056"/>
      <c r="BBH191" s="1056"/>
      <c r="BBI191" s="1056"/>
      <c r="BBJ191" s="1056"/>
      <c r="BBK191" s="1056"/>
      <c r="BBL191" s="1056"/>
      <c r="BBM191" s="1056"/>
      <c r="BBN191" s="1056"/>
      <c r="BBO191" s="1056"/>
      <c r="BBP191" s="1056"/>
      <c r="BBQ191" s="1056"/>
      <c r="BBR191" s="1056"/>
      <c r="BBS191" s="1056"/>
      <c r="BBT191" s="1056"/>
      <c r="BBU191" s="1056"/>
      <c r="BBV191" s="1056"/>
      <c r="BBW191" s="1056"/>
      <c r="BBX191" s="1056"/>
      <c r="BBY191" s="1056"/>
      <c r="BBZ191" s="1056"/>
      <c r="BCA191" s="1056"/>
      <c r="BCB191" s="1056"/>
      <c r="BCC191" s="1056"/>
      <c r="BCD191" s="1056"/>
      <c r="BCE191" s="1056"/>
      <c r="BCF191" s="1056"/>
      <c r="BCG191" s="1056"/>
      <c r="BCH191" s="1056"/>
      <c r="BCI191" s="1056"/>
      <c r="BCJ191" s="1056"/>
      <c r="BCK191" s="1056"/>
      <c r="BCL191" s="1056"/>
      <c r="BCM191" s="1056"/>
      <c r="BCN191" s="1056"/>
      <c r="BCO191" s="1056"/>
      <c r="BCP191" s="1056"/>
      <c r="BCQ191" s="1056"/>
      <c r="BCR191" s="1056"/>
      <c r="BCS191" s="1056"/>
      <c r="BCT191" s="1056"/>
      <c r="BCU191" s="1056"/>
      <c r="BCV191" s="1056"/>
      <c r="BCW191" s="1056"/>
      <c r="BCX191" s="1056"/>
      <c r="BCY191" s="1056"/>
      <c r="BCZ191" s="1056"/>
      <c r="BDA191" s="1056"/>
      <c r="BDB191" s="1056"/>
      <c r="BDC191" s="1056"/>
      <c r="BDD191" s="1056"/>
      <c r="BDE191" s="1056"/>
      <c r="BDF191" s="1056"/>
      <c r="BDG191" s="1056"/>
      <c r="BDH191" s="1056"/>
      <c r="BDI191" s="1056"/>
      <c r="BDJ191" s="1056"/>
      <c r="BDK191" s="1056"/>
      <c r="BDL191" s="1056"/>
      <c r="BDM191" s="1056"/>
      <c r="BDN191" s="1056"/>
      <c r="BDO191" s="1056"/>
      <c r="BDP191" s="1056"/>
      <c r="BDQ191" s="1056"/>
      <c r="BDR191" s="1056"/>
      <c r="BDS191" s="1056"/>
      <c r="BDT191" s="1056"/>
      <c r="BDU191" s="1056"/>
      <c r="BDV191" s="1056"/>
      <c r="BDW191" s="1056"/>
      <c r="BDX191" s="1056"/>
      <c r="BDY191" s="1056"/>
      <c r="BDZ191" s="1056"/>
      <c r="BEA191" s="1056"/>
      <c r="BEB191" s="1056"/>
      <c r="BEC191" s="1056"/>
      <c r="BED191" s="1056"/>
      <c r="BEE191" s="1056"/>
      <c r="BEF191" s="1056"/>
      <c r="BEG191" s="1056"/>
      <c r="BEH191" s="1056"/>
      <c r="BEI191" s="1056"/>
      <c r="BEJ191" s="1056"/>
      <c r="BEK191" s="1056"/>
      <c r="BEL191" s="1056"/>
      <c r="BEM191" s="1056"/>
      <c r="BEN191" s="1056"/>
      <c r="BEO191" s="1056"/>
      <c r="BEP191" s="1056"/>
      <c r="BEQ191" s="1056"/>
      <c r="BER191" s="1056"/>
      <c r="BES191" s="1056"/>
      <c r="BET191" s="1056"/>
      <c r="BEU191" s="1056"/>
      <c r="BEV191" s="1056"/>
      <c r="BEW191" s="1056"/>
      <c r="BEX191" s="1056"/>
      <c r="BEY191" s="1056"/>
      <c r="BEZ191" s="1056"/>
      <c r="BFA191" s="1056"/>
      <c r="BFB191" s="1056"/>
      <c r="BFC191" s="1056"/>
      <c r="BFD191" s="1056"/>
      <c r="BFE191" s="1056"/>
      <c r="BFF191" s="1056"/>
      <c r="BFG191" s="1056"/>
      <c r="BFH191" s="1056"/>
      <c r="BFI191" s="1056"/>
      <c r="BFJ191" s="1056"/>
      <c r="BFK191" s="1056"/>
      <c r="BFL191" s="1056"/>
      <c r="BFM191" s="1056"/>
      <c r="BFN191" s="1056"/>
      <c r="BFO191" s="1056"/>
      <c r="BFP191" s="1056"/>
      <c r="BFQ191" s="1056"/>
      <c r="BFR191" s="1056"/>
      <c r="BFS191" s="1056"/>
      <c r="BFT191" s="1056"/>
      <c r="BFU191" s="1056"/>
      <c r="BFV191" s="1056"/>
      <c r="BFW191" s="1056"/>
      <c r="BFX191" s="1056"/>
      <c r="BFY191" s="1056"/>
      <c r="BFZ191" s="1056"/>
      <c r="BGA191" s="1056"/>
      <c r="BGB191" s="1056"/>
      <c r="BGC191" s="1056"/>
      <c r="BGD191" s="1056"/>
      <c r="BGE191" s="1056"/>
      <c r="BGF191" s="1056"/>
      <c r="BGG191" s="1056"/>
      <c r="BGH191" s="1056"/>
      <c r="BGI191" s="1056"/>
      <c r="BGJ191" s="1056"/>
      <c r="BGK191" s="1056"/>
      <c r="BGL191" s="1056"/>
      <c r="BGM191" s="1056"/>
      <c r="BGN191" s="1056"/>
      <c r="BGO191" s="1056"/>
      <c r="BGP191" s="1056"/>
      <c r="BGQ191" s="1056"/>
      <c r="BGR191" s="1056"/>
      <c r="BGS191" s="1056"/>
      <c r="BGT191" s="1056"/>
      <c r="BGU191" s="1056"/>
      <c r="BGV191" s="1056"/>
      <c r="BGW191" s="1056"/>
      <c r="BGX191" s="1056"/>
      <c r="BGY191" s="1056"/>
      <c r="BGZ191" s="1056"/>
      <c r="BHA191" s="1056"/>
      <c r="BHB191" s="1056"/>
      <c r="BHC191" s="1056"/>
      <c r="BHD191" s="1056"/>
      <c r="BHE191" s="1056"/>
      <c r="BHF191" s="1056"/>
      <c r="BHG191" s="1056"/>
      <c r="BHH191" s="1056"/>
      <c r="BHI191" s="1056"/>
      <c r="BHJ191" s="1056"/>
      <c r="BHK191" s="1056"/>
      <c r="BHL191" s="1056"/>
      <c r="BHM191" s="1056"/>
      <c r="BHN191" s="1056"/>
      <c r="BHO191" s="1056"/>
      <c r="BHP191" s="1056"/>
      <c r="BHQ191" s="1056"/>
      <c r="BHR191" s="1056"/>
      <c r="BHS191" s="1056"/>
      <c r="BHT191" s="1056"/>
      <c r="BHU191" s="1056"/>
      <c r="BHV191" s="1056"/>
      <c r="BHW191" s="1056"/>
      <c r="BHX191" s="1056"/>
      <c r="BHY191" s="1056"/>
      <c r="BHZ191" s="1056"/>
      <c r="BIA191" s="1056"/>
      <c r="BIB191" s="1056"/>
      <c r="BIC191" s="1056"/>
      <c r="BID191" s="1056"/>
      <c r="BIE191" s="1056"/>
      <c r="BIF191" s="1056"/>
      <c r="BIG191" s="1056"/>
      <c r="BIH191" s="1056"/>
      <c r="BII191" s="1056"/>
      <c r="BIJ191" s="1056"/>
      <c r="BIK191" s="1056"/>
      <c r="BIL191" s="1056"/>
      <c r="BIM191" s="1056"/>
      <c r="BIN191" s="1056"/>
      <c r="BIO191" s="1056"/>
      <c r="BIP191" s="1056"/>
      <c r="BIQ191" s="1056"/>
      <c r="BIR191" s="1056"/>
      <c r="BIS191" s="1056"/>
      <c r="BIT191" s="1056"/>
      <c r="BIU191" s="1056"/>
      <c r="BIV191" s="1056"/>
      <c r="BIW191" s="1056"/>
      <c r="BIX191" s="1056"/>
      <c r="BIY191" s="1056"/>
      <c r="BIZ191" s="1056"/>
      <c r="BJA191" s="1056"/>
      <c r="BJB191" s="1056"/>
      <c r="BJC191" s="1056"/>
      <c r="BJD191" s="1056"/>
      <c r="BJE191" s="1056"/>
      <c r="BJF191" s="1056"/>
      <c r="BJG191" s="1056"/>
      <c r="BJH191" s="1056"/>
      <c r="BJI191" s="1056"/>
      <c r="BJJ191" s="1056"/>
      <c r="BJK191" s="1056"/>
      <c r="BJL191" s="1056"/>
      <c r="BJM191" s="1056"/>
      <c r="BJN191" s="1056"/>
      <c r="BJO191" s="1056"/>
      <c r="BJP191" s="1056"/>
      <c r="BJQ191" s="1056"/>
      <c r="BJR191" s="1056"/>
      <c r="BJS191" s="1056"/>
      <c r="BJT191" s="1056"/>
      <c r="BJU191" s="1056"/>
      <c r="BJV191" s="1056"/>
      <c r="BJW191" s="1056"/>
      <c r="BJX191" s="1056"/>
      <c r="BJY191" s="1056"/>
      <c r="BJZ191" s="1056"/>
      <c r="BKA191" s="1056"/>
      <c r="BKB191" s="1056"/>
      <c r="BKC191" s="1056"/>
      <c r="BKD191" s="1056"/>
      <c r="BKE191" s="1056"/>
      <c r="BKF191" s="1056"/>
      <c r="BKG191" s="1056"/>
      <c r="BKH191" s="1056"/>
      <c r="BKI191" s="1056"/>
      <c r="BKJ191" s="1056"/>
      <c r="BKK191" s="1056"/>
      <c r="BKL191" s="1056"/>
      <c r="BKM191" s="1056"/>
      <c r="BKN191" s="1056"/>
      <c r="BKO191" s="1056"/>
      <c r="BKP191" s="1056"/>
      <c r="BKQ191" s="1056"/>
      <c r="BKR191" s="1056"/>
      <c r="BKS191" s="1056"/>
      <c r="BKT191" s="1056"/>
      <c r="BKU191" s="1056"/>
      <c r="BKV191" s="1056"/>
      <c r="BKW191" s="1056"/>
      <c r="BKX191" s="1056"/>
      <c r="BKY191" s="1056"/>
      <c r="BKZ191" s="1056"/>
      <c r="BLA191" s="1056"/>
      <c r="BLB191" s="1056"/>
      <c r="BLC191" s="1056"/>
      <c r="BLD191" s="1056"/>
      <c r="BLE191" s="1056"/>
      <c r="BLF191" s="1056"/>
      <c r="BLG191" s="1056"/>
      <c r="BLH191" s="1056"/>
      <c r="BLI191" s="1056"/>
      <c r="BLJ191" s="1056"/>
      <c r="BLK191" s="1056"/>
      <c r="BLL191" s="1056"/>
      <c r="BLM191" s="1056"/>
      <c r="BLN191" s="1056"/>
      <c r="BLO191" s="1056"/>
      <c r="BLP191" s="1056"/>
      <c r="BLQ191" s="1056"/>
      <c r="BLR191" s="1056"/>
      <c r="BLS191" s="1056"/>
      <c r="BLT191" s="1056"/>
      <c r="BLU191" s="1056"/>
      <c r="BLV191" s="1056"/>
      <c r="BLW191" s="1056"/>
      <c r="BLX191" s="1056"/>
      <c r="BLY191" s="1056"/>
      <c r="BLZ191" s="1056"/>
      <c r="BMA191" s="1056"/>
      <c r="BMB191" s="1056"/>
      <c r="BMC191" s="1056"/>
      <c r="BMD191" s="1056"/>
      <c r="BME191" s="1056"/>
      <c r="BMF191" s="1056"/>
      <c r="BMG191" s="1056"/>
      <c r="BMH191" s="1056"/>
      <c r="BMI191" s="1056"/>
      <c r="BMJ191" s="1056"/>
      <c r="BMK191" s="1056"/>
      <c r="BML191" s="1056"/>
      <c r="BMM191" s="1056"/>
      <c r="BMN191" s="1056"/>
      <c r="BMO191" s="1056"/>
      <c r="BMP191" s="1056"/>
      <c r="BMQ191" s="1056"/>
      <c r="BMR191" s="1056"/>
      <c r="BMS191" s="1056"/>
      <c r="BMT191" s="1056"/>
      <c r="BMU191" s="1056"/>
      <c r="BMV191" s="1056"/>
      <c r="BMW191" s="1056"/>
      <c r="BMX191" s="1056"/>
      <c r="BMY191" s="1056"/>
      <c r="BMZ191" s="1056"/>
      <c r="BNA191" s="1056"/>
      <c r="BNB191" s="1056"/>
      <c r="BNC191" s="1056"/>
      <c r="BND191" s="1056"/>
      <c r="BNE191" s="1056"/>
      <c r="BNF191" s="1056"/>
      <c r="BNG191" s="1056"/>
      <c r="BNH191" s="1056"/>
      <c r="BNI191" s="1056"/>
      <c r="BNJ191" s="1056"/>
      <c r="BNK191" s="1056"/>
      <c r="BNL191" s="1056"/>
      <c r="BNM191" s="1056"/>
      <c r="BNN191" s="1056"/>
      <c r="BNO191" s="1056"/>
      <c r="BNP191" s="1056"/>
      <c r="BNQ191" s="1056"/>
      <c r="BNR191" s="1056"/>
      <c r="BNS191" s="1056"/>
      <c r="BNT191" s="1056"/>
      <c r="BNU191" s="1056"/>
      <c r="BNV191" s="1056"/>
      <c r="BNW191" s="1056"/>
      <c r="BNX191" s="1056"/>
      <c r="BNY191" s="1056"/>
      <c r="BNZ191" s="1056"/>
      <c r="BOA191" s="1056"/>
      <c r="BOB191" s="1056"/>
      <c r="BOC191" s="1056"/>
      <c r="BOD191" s="1056"/>
      <c r="BOE191" s="1056"/>
      <c r="BOF191" s="1056"/>
      <c r="BOG191" s="1056"/>
      <c r="BOH191" s="1056"/>
      <c r="BOI191" s="1056"/>
      <c r="BOJ191" s="1056"/>
      <c r="BOK191" s="1056"/>
      <c r="BOL191" s="1056"/>
      <c r="BOM191" s="1056"/>
      <c r="BON191" s="1056"/>
      <c r="BOO191" s="1056"/>
      <c r="BOP191" s="1056"/>
      <c r="BOQ191" s="1056"/>
      <c r="BOR191" s="1056"/>
      <c r="BOS191" s="1056"/>
      <c r="BOT191" s="1056"/>
      <c r="BOU191" s="1056"/>
      <c r="BOV191" s="1056"/>
      <c r="BOW191" s="1056"/>
      <c r="BOX191" s="1056"/>
      <c r="BOY191" s="1056"/>
      <c r="BOZ191" s="1056"/>
      <c r="BPA191" s="1056"/>
      <c r="BPB191" s="1056"/>
      <c r="BPC191" s="1056"/>
      <c r="BPD191" s="1056"/>
      <c r="BPE191" s="1056"/>
      <c r="BPF191" s="1056"/>
      <c r="BPG191" s="1056"/>
      <c r="BPH191" s="1056"/>
      <c r="BPI191" s="1056"/>
      <c r="BPJ191" s="1056"/>
      <c r="BPK191" s="1056"/>
      <c r="BPL191" s="1056"/>
      <c r="BPM191" s="1056"/>
      <c r="BPN191" s="1056"/>
      <c r="BPO191" s="1056"/>
      <c r="BPP191" s="1056"/>
      <c r="BPQ191" s="1056"/>
      <c r="BPR191" s="1056"/>
      <c r="BPS191" s="1056"/>
      <c r="BPT191" s="1056"/>
      <c r="BPU191" s="1056"/>
      <c r="BPV191" s="1056"/>
      <c r="BPW191" s="1056"/>
      <c r="BPX191" s="1056"/>
      <c r="BPY191" s="1056"/>
      <c r="BPZ191" s="1056"/>
      <c r="BQA191" s="1056"/>
      <c r="BQB191" s="1056"/>
      <c r="BQC191" s="1056"/>
      <c r="BQD191" s="1056"/>
      <c r="BQE191" s="1056"/>
      <c r="BQF191" s="1056"/>
      <c r="BQG191" s="1056"/>
      <c r="BQH191" s="1056"/>
      <c r="BQI191" s="1056"/>
      <c r="BQJ191" s="1056"/>
      <c r="BQK191" s="1056"/>
      <c r="BQL191" s="1056"/>
      <c r="BQM191" s="1056"/>
      <c r="BQN191" s="1056"/>
      <c r="BQO191" s="1056"/>
      <c r="BQP191" s="1056"/>
      <c r="BQQ191" s="1056"/>
      <c r="BQR191" s="1056"/>
      <c r="BQS191" s="1056"/>
      <c r="BQT191" s="1056"/>
      <c r="BQU191" s="1056"/>
      <c r="BQV191" s="1056"/>
      <c r="BQW191" s="1056"/>
      <c r="BQX191" s="1056"/>
      <c r="BQY191" s="1056"/>
      <c r="BQZ191" s="1056"/>
      <c r="BRA191" s="1056"/>
      <c r="BRB191" s="1056"/>
      <c r="BRC191" s="1056"/>
      <c r="BRD191" s="1056"/>
      <c r="BRE191" s="1056"/>
      <c r="BRF191" s="1056"/>
      <c r="BRG191" s="1056"/>
      <c r="BRH191" s="1056"/>
      <c r="BRI191" s="1056"/>
      <c r="BRJ191" s="1056"/>
      <c r="BRK191" s="1056"/>
      <c r="BRL191" s="1056"/>
      <c r="BRM191" s="1056"/>
      <c r="BRN191" s="1056"/>
      <c r="BRO191" s="1056"/>
      <c r="BRP191" s="1056"/>
      <c r="BRQ191" s="1056"/>
      <c r="BRR191" s="1056"/>
      <c r="BRS191" s="1056"/>
      <c r="BRT191" s="1056"/>
      <c r="BRU191" s="1056"/>
      <c r="BRV191" s="1056"/>
      <c r="BRW191" s="1056"/>
      <c r="BRX191" s="1056"/>
      <c r="BRY191" s="1056"/>
      <c r="BRZ191" s="1056"/>
      <c r="BSA191" s="1056"/>
      <c r="BSB191" s="1056"/>
      <c r="BSC191" s="1056"/>
      <c r="BSD191" s="1056"/>
      <c r="BSE191" s="1056"/>
      <c r="BSF191" s="1056"/>
      <c r="BSG191" s="1056"/>
      <c r="BSH191" s="1056"/>
      <c r="BSI191" s="1056"/>
      <c r="BSJ191" s="1056"/>
      <c r="BSK191" s="1056"/>
      <c r="BSL191" s="1056"/>
      <c r="BSM191" s="1056"/>
      <c r="BSN191" s="1056"/>
      <c r="BSO191" s="1056"/>
      <c r="BSP191" s="1056"/>
      <c r="BSQ191" s="1056"/>
      <c r="BSR191" s="1056"/>
      <c r="BSS191" s="1056"/>
      <c r="BST191" s="1056"/>
      <c r="BSU191" s="1056"/>
      <c r="BSV191" s="1056"/>
      <c r="BSW191" s="1056"/>
      <c r="BSX191" s="1056"/>
      <c r="BSY191" s="1056"/>
      <c r="BSZ191" s="1056"/>
      <c r="BTA191" s="1056"/>
      <c r="BTB191" s="1056"/>
      <c r="BTC191" s="1056"/>
      <c r="BTD191" s="1056"/>
      <c r="BTE191" s="1056"/>
      <c r="BTF191" s="1056"/>
      <c r="BTG191" s="1056"/>
      <c r="BTH191" s="1056"/>
      <c r="BTI191" s="1056"/>
    </row>
    <row r="192" spans="1:1881" s="1060" customFormat="1" ht="100.5" hidden="1" customHeight="1" x14ac:dyDescent="0.3">
      <c r="A192" s="1059">
        <v>98</v>
      </c>
      <c r="B192" s="808" t="s">
        <v>66</v>
      </c>
      <c r="C192" s="808" t="s">
        <v>1422</v>
      </c>
      <c r="D192" s="1084" t="s">
        <v>162</v>
      </c>
      <c r="E192" s="1053" t="e">
        <f>HLOOKUP($D$2,'2020 Data(H)'!$C$1:$AI$426,58,FALSE)</f>
        <v>#N/A</v>
      </c>
      <c r="F192" s="286">
        <v>0</v>
      </c>
      <c r="G192" s="722">
        <f t="shared" si="2"/>
        <v>0</v>
      </c>
      <c r="H192" s="764"/>
      <c r="I192" s="1055"/>
      <c r="J192" s="1056"/>
      <c r="K192" s="1056"/>
      <c r="L192" s="1056"/>
      <c r="M192" s="1056"/>
      <c r="N192" s="1058"/>
      <c r="O192" s="1056"/>
      <c r="P192" s="1056"/>
      <c r="Q192" s="1056"/>
      <c r="R192" s="1056"/>
      <c r="S192" s="1056"/>
      <c r="T192" s="1056"/>
      <c r="U192" s="1056"/>
      <c r="V192" s="1056"/>
      <c r="W192" s="1056"/>
      <c r="X192" s="1056"/>
      <c r="Y192" s="1056"/>
      <c r="Z192" s="1059"/>
      <c r="AA192" s="1059"/>
      <c r="AB192" s="1059"/>
      <c r="AC192" s="1059"/>
      <c r="AD192" s="1059"/>
      <c r="AE192" s="1059"/>
      <c r="AF192" s="1059"/>
      <c r="AG192" s="1059"/>
      <c r="AH192" s="1059"/>
      <c r="AI192" s="1059"/>
      <c r="AJ192" s="1059"/>
      <c r="AK192" s="1059"/>
      <c r="AL192" s="1059"/>
      <c r="AM192" s="1059"/>
      <c r="AN192" s="1059"/>
      <c r="AO192" s="1059"/>
      <c r="AP192" s="1059"/>
      <c r="AQ192" s="1059"/>
      <c r="AR192" s="1059"/>
      <c r="AS192" s="1056"/>
      <c r="AT192" s="1056"/>
      <c r="AU192" s="1056"/>
      <c r="AV192" s="1056"/>
      <c r="AW192" s="1056"/>
      <c r="AX192" s="1056"/>
      <c r="AY192" s="1056"/>
      <c r="AZ192" s="1056"/>
      <c r="BA192" s="1056"/>
      <c r="BB192" s="1056"/>
      <c r="BC192" s="1056"/>
      <c r="BD192" s="1056"/>
      <c r="BE192" s="1056"/>
      <c r="BF192" s="1056"/>
      <c r="BG192" s="1056"/>
      <c r="BH192" s="1056"/>
      <c r="BI192" s="1056"/>
      <c r="BJ192" s="1056"/>
      <c r="BK192" s="1056"/>
      <c r="BL192" s="1056"/>
      <c r="BM192" s="1056"/>
      <c r="BN192" s="1056"/>
      <c r="BO192" s="1056"/>
      <c r="BP192" s="1056"/>
      <c r="BQ192" s="1056"/>
      <c r="BR192" s="1056"/>
      <c r="BS192" s="1056"/>
      <c r="BT192" s="1056"/>
      <c r="BU192" s="1056"/>
      <c r="BV192" s="1056"/>
      <c r="BW192" s="1056"/>
      <c r="BX192" s="1056"/>
      <c r="BY192" s="1056"/>
      <c r="BZ192" s="1056"/>
      <c r="CA192" s="1056"/>
      <c r="CB192" s="1056"/>
      <c r="CC192" s="1056"/>
      <c r="CD192" s="1056"/>
      <c r="CE192" s="1056"/>
      <c r="CF192" s="1056"/>
      <c r="CG192" s="1056"/>
      <c r="CH192" s="1056"/>
      <c r="CI192" s="1056"/>
      <c r="CJ192" s="1056"/>
      <c r="CK192" s="1056"/>
      <c r="CL192" s="1056"/>
      <c r="CM192" s="1056"/>
      <c r="CN192" s="1056"/>
      <c r="CO192" s="1056"/>
      <c r="CP192" s="1056"/>
      <c r="CQ192" s="1056"/>
      <c r="CR192" s="1056"/>
      <c r="CS192" s="1056"/>
      <c r="CT192" s="1056"/>
      <c r="CU192" s="1056"/>
      <c r="CV192" s="1056"/>
      <c r="CW192" s="1056"/>
      <c r="CX192" s="1056"/>
      <c r="CY192" s="1056"/>
      <c r="CZ192" s="1056"/>
      <c r="DA192" s="1056"/>
      <c r="DB192" s="1056"/>
      <c r="DC192" s="1056"/>
      <c r="DD192" s="1056"/>
      <c r="DE192" s="1056"/>
      <c r="DF192" s="1056"/>
      <c r="DG192" s="1056"/>
      <c r="DH192" s="1056"/>
      <c r="DI192" s="1056"/>
      <c r="DJ192" s="1056"/>
      <c r="DK192" s="1056"/>
      <c r="DL192" s="1056"/>
      <c r="DM192" s="1056"/>
      <c r="DN192" s="1056"/>
      <c r="DO192" s="1056"/>
      <c r="DP192" s="1056"/>
      <c r="DQ192" s="1056"/>
      <c r="DR192" s="1056"/>
      <c r="DS192" s="1056"/>
      <c r="DT192" s="1056"/>
      <c r="DU192" s="1056"/>
      <c r="DV192" s="1056"/>
      <c r="DW192" s="1056"/>
      <c r="DX192" s="1056"/>
      <c r="DY192" s="1056"/>
      <c r="DZ192" s="1056"/>
      <c r="EA192" s="1056"/>
      <c r="EB192" s="1056"/>
      <c r="EC192" s="1056"/>
      <c r="ED192" s="1056"/>
      <c r="EE192" s="1056"/>
      <c r="EF192" s="1056"/>
      <c r="EG192" s="1056"/>
      <c r="EH192" s="1056"/>
      <c r="EI192" s="1056"/>
      <c r="EJ192" s="1056"/>
      <c r="EK192" s="1056"/>
      <c r="EL192" s="1056"/>
      <c r="EM192" s="1056"/>
      <c r="EN192" s="1056"/>
      <c r="EO192" s="1056"/>
      <c r="EP192" s="1056"/>
      <c r="EQ192" s="1056"/>
      <c r="ER192" s="1056"/>
      <c r="ES192" s="1056"/>
      <c r="ET192" s="1056"/>
      <c r="EU192" s="1056"/>
      <c r="EV192" s="1056"/>
      <c r="EW192" s="1056"/>
      <c r="EX192" s="1056"/>
      <c r="EY192" s="1056"/>
      <c r="EZ192" s="1056"/>
      <c r="FA192" s="1056"/>
      <c r="FB192" s="1056"/>
      <c r="FC192" s="1056"/>
      <c r="FD192" s="1056"/>
      <c r="FE192" s="1056"/>
      <c r="FF192" s="1056"/>
      <c r="FG192" s="1056"/>
      <c r="FH192" s="1056"/>
      <c r="FI192" s="1056"/>
      <c r="FJ192" s="1056"/>
      <c r="FK192" s="1056"/>
      <c r="FL192" s="1056"/>
      <c r="FM192" s="1056"/>
      <c r="FN192" s="1056"/>
      <c r="FO192" s="1056"/>
      <c r="FP192" s="1056"/>
      <c r="FQ192" s="1056"/>
      <c r="FR192" s="1056"/>
      <c r="FS192" s="1056"/>
      <c r="FT192" s="1056"/>
      <c r="FU192" s="1056"/>
      <c r="FV192" s="1056"/>
      <c r="FW192" s="1056"/>
      <c r="FX192" s="1056"/>
      <c r="FY192" s="1056"/>
      <c r="FZ192" s="1056"/>
      <c r="GA192" s="1056"/>
      <c r="GB192" s="1056"/>
      <c r="GC192" s="1056"/>
      <c r="GD192" s="1056"/>
      <c r="GE192" s="1056"/>
      <c r="GF192" s="1056"/>
      <c r="GG192" s="1056"/>
      <c r="GH192" s="1056"/>
      <c r="GI192" s="1056"/>
      <c r="GJ192" s="1056"/>
      <c r="GK192" s="1056"/>
      <c r="GL192" s="1056"/>
      <c r="GM192" s="1056"/>
      <c r="GN192" s="1056"/>
      <c r="GO192" s="1056"/>
      <c r="GP192" s="1056"/>
      <c r="GQ192" s="1056"/>
      <c r="GR192" s="1056"/>
      <c r="GS192" s="1056"/>
      <c r="GT192" s="1056"/>
      <c r="GU192" s="1056"/>
      <c r="GV192" s="1056"/>
      <c r="GW192" s="1056"/>
      <c r="GX192" s="1056"/>
      <c r="GY192" s="1056"/>
      <c r="GZ192" s="1056"/>
      <c r="HA192" s="1056"/>
      <c r="HB192" s="1056"/>
      <c r="HC192" s="1056"/>
      <c r="HD192" s="1056"/>
      <c r="HE192" s="1056"/>
      <c r="HF192" s="1056"/>
      <c r="HG192" s="1056"/>
      <c r="HH192" s="1056"/>
      <c r="HI192" s="1056"/>
      <c r="HJ192" s="1056"/>
      <c r="HK192" s="1056"/>
      <c r="HL192" s="1056"/>
      <c r="HM192" s="1056"/>
      <c r="HN192" s="1056"/>
      <c r="HO192" s="1056"/>
      <c r="HP192" s="1056"/>
      <c r="HQ192" s="1056"/>
      <c r="HR192" s="1056"/>
      <c r="HS192" s="1056"/>
      <c r="HT192" s="1056"/>
      <c r="HU192" s="1056"/>
      <c r="HV192" s="1056"/>
      <c r="HW192" s="1056"/>
      <c r="HX192" s="1056"/>
      <c r="HY192" s="1056"/>
      <c r="HZ192" s="1056"/>
      <c r="IA192" s="1056"/>
      <c r="IB192" s="1056"/>
      <c r="IC192" s="1056"/>
      <c r="ID192" s="1056"/>
      <c r="IE192" s="1056"/>
      <c r="IF192" s="1056"/>
      <c r="IG192" s="1056"/>
      <c r="IH192" s="1056"/>
      <c r="II192" s="1056"/>
      <c r="IJ192" s="1056"/>
      <c r="IK192" s="1056"/>
      <c r="IL192" s="1056"/>
      <c r="IM192" s="1056"/>
      <c r="IN192" s="1056"/>
      <c r="IO192" s="1056"/>
      <c r="IP192" s="1056"/>
      <c r="IQ192" s="1056"/>
      <c r="IR192" s="1056"/>
      <c r="IS192" s="1056"/>
      <c r="IT192" s="1056"/>
      <c r="IU192" s="1056"/>
      <c r="IV192" s="1056"/>
      <c r="IW192" s="1056"/>
      <c r="IX192" s="1056"/>
      <c r="IY192" s="1056"/>
      <c r="IZ192" s="1056"/>
      <c r="JA192" s="1056"/>
      <c r="JB192" s="1056"/>
      <c r="JC192" s="1056"/>
      <c r="JD192" s="1056"/>
      <c r="JE192" s="1056"/>
      <c r="JF192" s="1056"/>
      <c r="JG192" s="1056"/>
      <c r="JH192" s="1056"/>
      <c r="JI192" s="1056"/>
      <c r="JJ192" s="1056"/>
      <c r="JK192" s="1056"/>
      <c r="JL192" s="1056"/>
      <c r="JM192" s="1056"/>
      <c r="JN192" s="1056"/>
      <c r="JO192" s="1056"/>
      <c r="JP192" s="1056"/>
      <c r="JQ192" s="1056"/>
      <c r="JR192" s="1056"/>
      <c r="JS192" s="1056"/>
      <c r="JT192" s="1056"/>
      <c r="JU192" s="1056"/>
      <c r="JV192" s="1056"/>
      <c r="JW192" s="1056"/>
      <c r="JX192" s="1056"/>
      <c r="JY192" s="1056"/>
      <c r="JZ192" s="1056"/>
      <c r="KA192" s="1056"/>
      <c r="KB192" s="1056"/>
      <c r="KC192" s="1056"/>
      <c r="KD192" s="1056"/>
      <c r="KE192" s="1056"/>
      <c r="KF192" s="1056"/>
      <c r="KG192" s="1056"/>
      <c r="KH192" s="1056"/>
      <c r="KI192" s="1056"/>
      <c r="KJ192" s="1056"/>
      <c r="KK192" s="1056"/>
      <c r="KL192" s="1056"/>
      <c r="KM192" s="1056"/>
      <c r="KN192" s="1056"/>
      <c r="KO192" s="1056"/>
      <c r="KP192" s="1056"/>
      <c r="KQ192" s="1056"/>
      <c r="KR192" s="1056"/>
      <c r="KS192" s="1056"/>
      <c r="KT192" s="1056"/>
      <c r="KU192" s="1056"/>
      <c r="KV192" s="1056"/>
      <c r="KW192" s="1056"/>
      <c r="KX192" s="1056"/>
      <c r="KY192" s="1056"/>
      <c r="KZ192" s="1056"/>
      <c r="LA192" s="1056"/>
      <c r="LB192" s="1056"/>
      <c r="LC192" s="1056"/>
      <c r="LD192" s="1056"/>
      <c r="LE192" s="1056"/>
      <c r="LF192" s="1056"/>
      <c r="LG192" s="1056"/>
      <c r="LH192" s="1056"/>
      <c r="LI192" s="1056"/>
      <c r="LJ192" s="1056"/>
      <c r="LK192" s="1056"/>
      <c r="LL192" s="1056"/>
      <c r="LM192" s="1056"/>
      <c r="LN192" s="1056"/>
      <c r="LO192" s="1056"/>
      <c r="LP192" s="1056"/>
      <c r="LQ192" s="1056"/>
      <c r="LR192" s="1056"/>
      <c r="LS192" s="1056"/>
      <c r="LT192" s="1056"/>
      <c r="LU192" s="1056"/>
      <c r="LV192" s="1056"/>
      <c r="LW192" s="1056"/>
      <c r="LX192" s="1056"/>
      <c r="LY192" s="1056"/>
      <c r="LZ192" s="1056"/>
      <c r="MA192" s="1056"/>
      <c r="MB192" s="1056"/>
      <c r="MC192" s="1056"/>
      <c r="MD192" s="1056"/>
      <c r="ME192" s="1056"/>
      <c r="MF192" s="1056"/>
      <c r="MG192" s="1056"/>
      <c r="MH192" s="1056"/>
      <c r="MI192" s="1056"/>
      <c r="MJ192" s="1056"/>
      <c r="MK192" s="1056"/>
      <c r="ML192" s="1056"/>
      <c r="MM192" s="1056"/>
      <c r="MN192" s="1056"/>
      <c r="MO192" s="1056"/>
      <c r="MP192" s="1056"/>
      <c r="MQ192" s="1056"/>
      <c r="MR192" s="1056"/>
      <c r="MS192" s="1056"/>
      <c r="MT192" s="1056"/>
      <c r="MU192" s="1056"/>
      <c r="MV192" s="1056"/>
      <c r="MW192" s="1056"/>
      <c r="MX192" s="1056"/>
      <c r="MY192" s="1056"/>
      <c r="MZ192" s="1056"/>
      <c r="NA192" s="1056"/>
      <c r="NB192" s="1056"/>
      <c r="NC192" s="1056"/>
      <c r="ND192" s="1056"/>
      <c r="NE192" s="1056"/>
      <c r="NF192" s="1056"/>
      <c r="NG192" s="1056"/>
      <c r="NH192" s="1056"/>
      <c r="NI192" s="1056"/>
      <c r="NJ192" s="1056"/>
      <c r="NK192" s="1056"/>
      <c r="NL192" s="1056"/>
      <c r="NM192" s="1056"/>
      <c r="NN192" s="1056"/>
      <c r="NO192" s="1056"/>
      <c r="NP192" s="1056"/>
      <c r="NQ192" s="1056"/>
      <c r="NR192" s="1056"/>
      <c r="NS192" s="1056"/>
      <c r="NT192" s="1056"/>
      <c r="NU192" s="1056"/>
      <c r="NV192" s="1056"/>
      <c r="NW192" s="1056"/>
      <c r="NX192" s="1056"/>
      <c r="NY192" s="1056"/>
      <c r="NZ192" s="1056"/>
      <c r="OA192" s="1056"/>
      <c r="OB192" s="1056"/>
      <c r="OC192" s="1056"/>
      <c r="OD192" s="1056"/>
      <c r="OE192" s="1056"/>
      <c r="OF192" s="1056"/>
      <c r="OG192" s="1056"/>
      <c r="OH192" s="1056"/>
      <c r="OI192" s="1056"/>
      <c r="OJ192" s="1056"/>
      <c r="OK192" s="1056"/>
      <c r="OL192" s="1056"/>
      <c r="OM192" s="1056"/>
      <c r="ON192" s="1056"/>
      <c r="OO192" s="1056"/>
      <c r="OP192" s="1056"/>
      <c r="OQ192" s="1056"/>
      <c r="OR192" s="1056"/>
      <c r="OS192" s="1056"/>
      <c r="OT192" s="1056"/>
      <c r="OU192" s="1056"/>
      <c r="OV192" s="1056"/>
      <c r="OW192" s="1056"/>
      <c r="OX192" s="1056"/>
      <c r="OY192" s="1056"/>
      <c r="OZ192" s="1056"/>
      <c r="PA192" s="1056"/>
      <c r="PB192" s="1056"/>
      <c r="PC192" s="1056"/>
      <c r="PD192" s="1056"/>
      <c r="PE192" s="1056"/>
      <c r="PF192" s="1056"/>
      <c r="PG192" s="1056"/>
      <c r="PH192" s="1056"/>
      <c r="PI192" s="1056"/>
      <c r="PJ192" s="1056"/>
      <c r="PK192" s="1056"/>
      <c r="PL192" s="1056"/>
      <c r="PM192" s="1056"/>
      <c r="PN192" s="1056"/>
      <c r="PO192" s="1056"/>
      <c r="PP192" s="1056"/>
      <c r="PQ192" s="1056"/>
      <c r="PR192" s="1056"/>
      <c r="PS192" s="1056"/>
      <c r="PT192" s="1056"/>
      <c r="PU192" s="1056"/>
      <c r="PV192" s="1056"/>
      <c r="PW192" s="1056"/>
      <c r="PX192" s="1056"/>
      <c r="PY192" s="1056"/>
      <c r="PZ192" s="1056"/>
      <c r="QA192" s="1056"/>
      <c r="QB192" s="1056"/>
      <c r="QC192" s="1056"/>
      <c r="QD192" s="1056"/>
      <c r="QE192" s="1056"/>
      <c r="QF192" s="1056"/>
      <c r="QG192" s="1056"/>
      <c r="QH192" s="1056"/>
      <c r="QI192" s="1056"/>
      <c r="QJ192" s="1056"/>
      <c r="QK192" s="1056"/>
      <c r="QL192" s="1056"/>
      <c r="QM192" s="1056"/>
      <c r="QN192" s="1056"/>
      <c r="QO192" s="1056"/>
      <c r="QP192" s="1056"/>
      <c r="QQ192" s="1056"/>
      <c r="QR192" s="1056"/>
      <c r="QS192" s="1056"/>
      <c r="QT192" s="1056"/>
      <c r="QU192" s="1056"/>
      <c r="QV192" s="1056"/>
      <c r="QW192" s="1056"/>
      <c r="QX192" s="1056"/>
      <c r="QY192" s="1056"/>
      <c r="QZ192" s="1056"/>
      <c r="RA192" s="1056"/>
      <c r="RB192" s="1056"/>
      <c r="RC192" s="1056"/>
      <c r="RD192" s="1056"/>
      <c r="RE192" s="1056"/>
      <c r="RF192" s="1056"/>
      <c r="RG192" s="1056"/>
      <c r="RH192" s="1056"/>
      <c r="RI192" s="1056"/>
      <c r="RJ192" s="1056"/>
      <c r="RK192" s="1056"/>
      <c r="RL192" s="1056"/>
      <c r="RM192" s="1056"/>
      <c r="RN192" s="1056"/>
      <c r="RO192" s="1056"/>
      <c r="RP192" s="1056"/>
      <c r="RQ192" s="1056"/>
      <c r="RR192" s="1056"/>
      <c r="RS192" s="1056"/>
      <c r="RT192" s="1056"/>
      <c r="RU192" s="1056"/>
      <c r="RV192" s="1056"/>
      <c r="RW192" s="1056"/>
      <c r="RX192" s="1056"/>
      <c r="RY192" s="1056"/>
      <c r="RZ192" s="1056"/>
      <c r="SA192" s="1056"/>
      <c r="SB192" s="1056"/>
      <c r="SC192" s="1056"/>
      <c r="SD192" s="1056"/>
      <c r="SE192" s="1056"/>
      <c r="SF192" s="1056"/>
      <c r="SG192" s="1056"/>
      <c r="SH192" s="1056"/>
      <c r="SI192" s="1056"/>
      <c r="SJ192" s="1056"/>
      <c r="SK192" s="1056"/>
      <c r="SL192" s="1056"/>
      <c r="SM192" s="1056"/>
      <c r="SN192" s="1056"/>
      <c r="SO192" s="1056"/>
      <c r="SP192" s="1056"/>
      <c r="SQ192" s="1056"/>
      <c r="SR192" s="1056"/>
      <c r="SS192" s="1056"/>
      <c r="ST192" s="1056"/>
      <c r="SU192" s="1056"/>
      <c r="SV192" s="1056"/>
      <c r="SW192" s="1056"/>
      <c r="SX192" s="1056"/>
      <c r="SY192" s="1056"/>
      <c r="SZ192" s="1056"/>
      <c r="TA192" s="1056"/>
      <c r="TB192" s="1056"/>
      <c r="TC192" s="1056"/>
      <c r="TD192" s="1056"/>
      <c r="TE192" s="1056"/>
      <c r="TF192" s="1056"/>
      <c r="TG192" s="1056"/>
      <c r="TH192" s="1056"/>
      <c r="TI192" s="1056"/>
      <c r="TJ192" s="1056"/>
      <c r="TK192" s="1056"/>
      <c r="TL192" s="1056"/>
      <c r="TM192" s="1056"/>
      <c r="TN192" s="1056"/>
      <c r="TO192" s="1056"/>
      <c r="TP192" s="1056"/>
      <c r="TQ192" s="1056"/>
      <c r="TR192" s="1056"/>
      <c r="TS192" s="1056"/>
      <c r="TT192" s="1056"/>
      <c r="TU192" s="1056"/>
      <c r="TV192" s="1056"/>
      <c r="TW192" s="1056"/>
      <c r="TX192" s="1056"/>
      <c r="TY192" s="1056"/>
      <c r="TZ192" s="1056"/>
      <c r="UA192" s="1056"/>
      <c r="UB192" s="1056"/>
      <c r="UC192" s="1056"/>
      <c r="UD192" s="1056"/>
      <c r="UE192" s="1056"/>
      <c r="UF192" s="1056"/>
      <c r="UG192" s="1056"/>
      <c r="UH192" s="1056"/>
      <c r="UI192" s="1056"/>
      <c r="UJ192" s="1056"/>
      <c r="UK192" s="1056"/>
      <c r="UL192" s="1056"/>
      <c r="UM192" s="1056"/>
      <c r="UN192" s="1056"/>
      <c r="UO192" s="1056"/>
      <c r="UP192" s="1056"/>
      <c r="UQ192" s="1056"/>
      <c r="UR192" s="1056"/>
      <c r="US192" s="1056"/>
      <c r="UT192" s="1056"/>
      <c r="UU192" s="1056"/>
      <c r="UV192" s="1056"/>
      <c r="UW192" s="1056"/>
      <c r="UX192" s="1056"/>
      <c r="UY192" s="1056"/>
      <c r="UZ192" s="1056"/>
      <c r="VA192" s="1056"/>
      <c r="VB192" s="1056"/>
      <c r="VC192" s="1056"/>
      <c r="VD192" s="1056"/>
      <c r="VE192" s="1056"/>
      <c r="VF192" s="1056"/>
      <c r="VG192" s="1056"/>
      <c r="VH192" s="1056"/>
      <c r="VI192" s="1056"/>
      <c r="VJ192" s="1056"/>
      <c r="VK192" s="1056"/>
      <c r="VL192" s="1056"/>
      <c r="VM192" s="1056"/>
      <c r="VN192" s="1056"/>
      <c r="VO192" s="1056"/>
      <c r="VP192" s="1056"/>
      <c r="VQ192" s="1056"/>
      <c r="VR192" s="1056"/>
      <c r="VS192" s="1056"/>
      <c r="VT192" s="1056"/>
      <c r="VU192" s="1056"/>
      <c r="VV192" s="1056"/>
      <c r="VW192" s="1056"/>
      <c r="VX192" s="1056"/>
      <c r="VY192" s="1056"/>
      <c r="VZ192" s="1056"/>
      <c r="WA192" s="1056"/>
      <c r="WB192" s="1056"/>
      <c r="WC192" s="1056"/>
      <c r="WD192" s="1056"/>
      <c r="WE192" s="1056"/>
      <c r="WF192" s="1056"/>
      <c r="WG192" s="1056"/>
      <c r="WH192" s="1056"/>
      <c r="WI192" s="1056"/>
      <c r="WJ192" s="1056"/>
      <c r="WK192" s="1056"/>
      <c r="WL192" s="1056"/>
      <c r="WM192" s="1056"/>
      <c r="WN192" s="1056"/>
      <c r="WO192" s="1056"/>
      <c r="WP192" s="1056"/>
      <c r="WQ192" s="1056"/>
      <c r="WR192" s="1056"/>
      <c r="WS192" s="1056"/>
      <c r="WT192" s="1056"/>
      <c r="WU192" s="1056"/>
      <c r="WV192" s="1056"/>
      <c r="WW192" s="1056"/>
      <c r="WX192" s="1056"/>
      <c r="WY192" s="1056"/>
      <c r="WZ192" s="1056"/>
      <c r="XA192" s="1056"/>
      <c r="XB192" s="1056"/>
      <c r="XC192" s="1056"/>
      <c r="XD192" s="1056"/>
      <c r="XE192" s="1056"/>
      <c r="XF192" s="1056"/>
      <c r="XG192" s="1056"/>
      <c r="XH192" s="1056"/>
      <c r="XI192" s="1056"/>
      <c r="XJ192" s="1056"/>
      <c r="XK192" s="1056"/>
      <c r="XL192" s="1056"/>
      <c r="XM192" s="1056"/>
      <c r="XN192" s="1056"/>
      <c r="XO192" s="1056"/>
      <c r="XP192" s="1056"/>
      <c r="XQ192" s="1056"/>
      <c r="XR192" s="1056"/>
      <c r="XS192" s="1056"/>
      <c r="XT192" s="1056"/>
      <c r="XU192" s="1056"/>
      <c r="XV192" s="1056"/>
      <c r="XW192" s="1056"/>
      <c r="XX192" s="1056"/>
      <c r="XY192" s="1056"/>
      <c r="XZ192" s="1056"/>
      <c r="YA192" s="1056"/>
      <c r="YB192" s="1056"/>
      <c r="YC192" s="1056"/>
      <c r="YD192" s="1056"/>
      <c r="YE192" s="1056"/>
      <c r="YF192" s="1056"/>
      <c r="YG192" s="1056"/>
      <c r="YH192" s="1056"/>
      <c r="YI192" s="1056"/>
      <c r="YJ192" s="1056"/>
      <c r="YK192" s="1056"/>
      <c r="YL192" s="1056"/>
      <c r="YM192" s="1056"/>
      <c r="YN192" s="1056"/>
      <c r="YO192" s="1056"/>
      <c r="YP192" s="1056"/>
      <c r="YQ192" s="1056"/>
      <c r="YR192" s="1056"/>
      <c r="YS192" s="1056"/>
      <c r="YT192" s="1056"/>
      <c r="YU192" s="1056"/>
      <c r="YV192" s="1056"/>
      <c r="YW192" s="1056"/>
      <c r="YX192" s="1056"/>
      <c r="YY192" s="1056"/>
      <c r="YZ192" s="1056"/>
      <c r="ZA192" s="1056"/>
      <c r="ZB192" s="1056"/>
      <c r="ZC192" s="1056"/>
      <c r="ZD192" s="1056"/>
      <c r="ZE192" s="1056"/>
      <c r="ZF192" s="1056"/>
      <c r="ZG192" s="1056"/>
      <c r="ZH192" s="1056"/>
      <c r="ZI192" s="1056"/>
      <c r="ZJ192" s="1056"/>
      <c r="ZK192" s="1056"/>
      <c r="ZL192" s="1056"/>
      <c r="ZM192" s="1056"/>
      <c r="ZN192" s="1056"/>
      <c r="ZO192" s="1056"/>
      <c r="ZP192" s="1056"/>
      <c r="ZQ192" s="1056"/>
      <c r="ZR192" s="1056"/>
      <c r="ZS192" s="1056"/>
      <c r="ZT192" s="1056"/>
      <c r="ZU192" s="1056"/>
      <c r="ZV192" s="1056"/>
      <c r="ZW192" s="1056"/>
      <c r="ZX192" s="1056"/>
      <c r="ZY192" s="1056"/>
      <c r="ZZ192" s="1056"/>
      <c r="AAA192" s="1056"/>
      <c r="AAB192" s="1056"/>
      <c r="AAC192" s="1056"/>
      <c r="AAD192" s="1056"/>
      <c r="AAE192" s="1056"/>
      <c r="AAF192" s="1056"/>
      <c r="AAG192" s="1056"/>
      <c r="AAH192" s="1056"/>
      <c r="AAI192" s="1056"/>
      <c r="AAJ192" s="1056"/>
      <c r="AAK192" s="1056"/>
      <c r="AAL192" s="1056"/>
      <c r="AAM192" s="1056"/>
      <c r="AAN192" s="1056"/>
      <c r="AAO192" s="1056"/>
      <c r="AAP192" s="1056"/>
      <c r="AAQ192" s="1056"/>
      <c r="AAR192" s="1056"/>
      <c r="AAS192" s="1056"/>
      <c r="AAT192" s="1056"/>
      <c r="AAU192" s="1056"/>
      <c r="AAV192" s="1056"/>
      <c r="AAW192" s="1056"/>
      <c r="AAX192" s="1056"/>
      <c r="AAY192" s="1056"/>
      <c r="AAZ192" s="1056"/>
      <c r="ABA192" s="1056"/>
      <c r="ABB192" s="1056"/>
      <c r="ABC192" s="1056"/>
      <c r="ABD192" s="1056"/>
      <c r="ABE192" s="1056"/>
      <c r="ABF192" s="1056"/>
      <c r="ABG192" s="1056"/>
      <c r="ABH192" s="1056"/>
      <c r="ABI192" s="1056"/>
      <c r="ABJ192" s="1056"/>
      <c r="ABK192" s="1056"/>
      <c r="ABL192" s="1056"/>
      <c r="ABM192" s="1056"/>
      <c r="ABN192" s="1056"/>
      <c r="ABO192" s="1056"/>
      <c r="ABP192" s="1056"/>
      <c r="ABQ192" s="1056"/>
      <c r="ABR192" s="1056"/>
      <c r="ABS192" s="1056"/>
      <c r="ABT192" s="1056"/>
      <c r="ABU192" s="1056"/>
      <c r="ABV192" s="1056"/>
      <c r="ABW192" s="1056"/>
      <c r="ABX192" s="1056"/>
      <c r="ABY192" s="1056"/>
      <c r="ABZ192" s="1056"/>
      <c r="ACA192" s="1056"/>
      <c r="ACB192" s="1056"/>
      <c r="ACC192" s="1056"/>
      <c r="ACD192" s="1056"/>
      <c r="ACE192" s="1056"/>
      <c r="ACF192" s="1056"/>
      <c r="ACG192" s="1056"/>
      <c r="ACH192" s="1056"/>
      <c r="ACI192" s="1056"/>
      <c r="ACJ192" s="1056"/>
      <c r="ACK192" s="1056"/>
      <c r="ACL192" s="1056"/>
      <c r="ACM192" s="1056"/>
      <c r="ACN192" s="1056"/>
      <c r="ACO192" s="1056"/>
      <c r="ACP192" s="1056"/>
      <c r="ACQ192" s="1056"/>
      <c r="ACR192" s="1056"/>
      <c r="ACS192" s="1056"/>
      <c r="ACT192" s="1056"/>
      <c r="ACU192" s="1056"/>
      <c r="ACV192" s="1056"/>
      <c r="ACW192" s="1056"/>
      <c r="ACX192" s="1056"/>
      <c r="ACY192" s="1056"/>
      <c r="ACZ192" s="1056"/>
      <c r="ADA192" s="1056"/>
      <c r="ADB192" s="1056"/>
      <c r="ADC192" s="1056"/>
      <c r="ADD192" s="1056"/>
      <c r="ADE192" s="1056"/>
      <c r="ADF192" s="1056"/>
      <c r="ADG192" s="1056"/>
      <c r="ADH192" s="1056"/>
      <c r="ADI192" s="1056"/>
      <c r="ADJ192" s="1056"/>
      <c r="ADK192" s="1056"/>
      <c r="ADL192" s="1056"/>
      <c r="ADM192" s="1056"/>
      <c r="ADN192" s="1056"/>
      <c r="ADO192" s="1056"/>
      <c r="ADP192" s="1056"/>
      <c r="ADQ192" s="1056"/>
      <c r="ADR192" s="1056"/>
      <c r="ADS192" s="1056"/>
      <c r="ADT192" s="1056"/>
      <c r="ADU192" s="1056"/>
      <c r="ADV192" s="1056"/>
      <c r="ADW192" s="1056"/>
      <c r="ADX192" s="1056"/>
      <c r="ADY192" s="1056"/>
      <c r="ADZ192" s="1056"/>
      <c r="AEA192" s="1056"/>
      <c r="AEB192" s="1056"/>
      <c r="AEC192" s="1056"/>
      <c r="AED192" s="1056"/>
      <c r="AEE192" s="1056"/>
      <c r="AEF192" s="1056"/>
      <c r="AEG192" s="1056"/>
      <c r="AEH192" s="1056"/>
      <c r="AEI192" s="1056"/>
      <c r="AEJ192" s="1056"/>
      <c r="AEK192" s="1056"/>
      <c r="AEL192" s="1056"/>
      <c r="AEM192" s="1056"/>
      <c r="AEN192" s="1056"/>
      <c r="AEO192" s="1056"/>
      <c r="AEP192" s="1056"/>
      <c r="AEQ192" s="1056"/>
      <c r="AER192" s="1056"/>
      <c r="AES192" s="1056"/>
      <c r="AET192" s="1056"/>
      <c r="AEU192" s="1056"/>
      <c r="AEV192" s="1056"/>
      <c r="AEW192" s="1056"/>
      <c r="AEX192" s="1056"/>
      <c r="AEY192" s="1056"/>
      <c r="AEZ192" s="1056"/>
      <c r="AFA192" s="1056"/>
      <c r="AFB192" s="1056"/>
      <c r="AFC192" s="1056"/>
      <c r="AFD192" s="1056"/>
      <c r="AFE192" s="1056"/>
      <c r="AFF192" s="1056"/>
      <c r="AFG192" s="1056"/>
      <c r="AFH192" s="1056"/>
      <c r="AFI192" s="1056"/>
      <c r="AFJ192" s="1056"/>
      <c r="AFK192" s="1056"/>
      <c r="AFL192" s="1056"/>
      <c r="AFM192" s="1056"/>
      <c r="AFN192" s="1056"/>
      <c r="AFO192" s="1056"/>
      <c r="AFP192" s="1056"/>
      <c r="AFQ192" s="1056"/>
      <c r="AFR192" s="1056"/>
      <c r="AFS192" s="1056"/>
      <c r="AFT192" s="1056"/>
      <c r="AFU192" s="1056"/>
      <c r="AFV192" s="1056"/>
      <c r="AFW192" s="1056"/>
      <c r="AFX192" s="1056"/>
      <c r="AFY192" s="1056"/>
      <c r="AFZ192" s="1056"/>
      <c r="AGA192" s="1056"/>
      <c r="AGB192" s="1056"/>
      <c r="AGC192" s="1056"/>
      <c r="AGD192" s="1056"/>
      <c r="AGE192" s="1056"/>
      <c r="AGF192" s="1056"/>
      <c r="AGG192" s="1056"/>
      <c r="AGH192" s="1056"/>
      <c r="AGI192" s="1056"/>
      <c r="AGJ192" s="1056"/>
      <c r="AGK192" s="1056"/>
      <c r="AGL192" s="1056"/>
      <c r="AGM192" s="1056"/>
      <c r="AGN192" s="1056"/>
      <c r="AGO192" s="1056"/>
      <c r="AGP192" s="1056"/>
      <c r="AGQ192" s="1056"/>
      <c r="AGR192" s="1056"/>
      <c r="AGS192" s="1056"/>
      <c r="AGT192" s="1056"/>
      <c r="AGU192" s="1056"/>
      <c r="AGV192" s="1056"/>
      <c r="AGW192" s="1056"/>
      <c r="AGX192" s="1056"/>
      <c r="AGY192" s="1056"/>
      <c r="AGZ192" s="1056"/>
      <c r="AHA192" s="1056"/>
      <c r="AHB192" s="1056"/>
      <c r="AHC192" s="1056"/>
      <c r="AHD192" s="1056"/>
      <c r="AHE192" s="1056"/>
      <c r="AHF192" s="1056"/>
      <c r="AHG192" s="1056"/>
      <c r="AHH192" s="1056"/>
      <c r="AHI192" s="1056"/>
      <c r="AHJ192" s="1056"/>
      <c r="AHK192" s="1056"/>
      <c r="AHL192" s="1056"/>
      <c r="AHM192" s="1056"/>
      <c r="AHN192" s="1056"/>
      <c r="AHO192" s="1056"/>
      <c r="AHP192" s="1056"/>
      <c r="AHQ192" s="1056"/>
      <c r="AHR192" s="1056"/>
      <c r="AHS192" s="1056"/>
      <c r="AHT192" s="1056"/>
      <c r="AHU192" s="1056"/>
      <c r="AHV192" s="1056"/>
      <c r="AHW192" s="1056"/>
      <c r="AHX192" s="1056"/>
      <c r="AHY192" s="1056"/>
      <c r="AHZ192" s="1056"/>
      <c r="AIA192" s="1056"/>
      <c r="AIB192" s="1056"/>
      <c r="AIC192" s="1056"/>
      <c r="AID192" s="1056"/>
      <c r="AIE192" s="1056"/>
      <c r="AIF192" s="1056"/>
      <c r="AIG192" s="1056"/>
      <c r="AIH192" s="1056"/>
      <c r="AII192" s="1056"/>
      <c r="AIJ192" s="1056"/>
      <c r="AIK192" s="1056"/>
      <c r="AIL192" s="1056"/>
      <c r="AIM192" s="1056"/>
      <c r="AIN192" s="1056"/>
      <c r="AIO192" s="1056"/>
      <c r="AIP192" s="1056"/>
      <c r="AIQ192" s="1056"/>
      <c r="AIR192" s="1056"/>
      <c r="AIS192" s="1056"/>
      <c r="AIT192" s="1056"/>
      <c r="AIU192" s="1056"/>
      <c r="AIV192" s="1056"/>
      <c r="AIW192" s="1056"/>
      <c r="AIX192" s="1056"/>
      <c r="AIY192" s="1056"/>
      <c r="AIZ192" s="1056"/>
      <c r="AJA192" s="1056"/>
      <c r="AJB192" s="1056"/>
      <c r="AJC192" s="1056"/>
      <c r="AJD192" s="1056"/>
      <c r="AJE192" s="1056"/>
      <c r="AJF192" s="1056"/>
      <c r="AJG192" s="1056"/>
      <c r="AJH192" s="1056"/>
      <c r="AJI192" s="1056"/>
      <c r="AJJ192" s="1056"/>
      <c r="AJK192" s="1056"/>
      <c r="AJL192" s="1056"/>
      <c r="AJM192" s="1056"/>
      <c r="AJN192" s="1056"/>
      <c r="AJO192" s="1056"/>
      <c r="AJP192" s="1056"/>
      <c r="AJQ192" s="1056"/>
      <c r="AJR192" s="1056"/>
      <c r="AJS192" s="1056"/>
      <c r="AJT192" s="1056"/>
      <c r="AJU192" s="1056"/>
      <c r="AJV192" s="1056"/>
      <c r="AJW192" s="1056"/>
      <c r="AJX192" s="1056"/>
      <c r="AJY192" s="1056"/>
      <c r="AJZ192" s="1056"/>
      <c r="AKA192" s="1056"/>
      <c r="AKB192" s="1056"/>
      <c r="AKC192" s="1056"/>
      <c r="AKD192" s="1056"/>
      <c r="AKE192" s="1056"/>
      <c r="AKF192" s="1056"/>
      <c r="AKG192" s="1056"/>
      <c r="AKH192" s="1056"/>
      <c r="AKI192" s="1056"/>
      <c r="AKJ192" s="1056"/>
      <c r="AKK192" s="1056"/>
      <c r="AKL192" s="1056"/>
      <c r="AKM192" s="1056"/>
      <c r="AKN192" s="1056"/>
      <c r="AKO192" s="1056"/>
      <c r="AKP192" s="1056"/>
      <c r="AKQ192" s="1056"/>
      <c r="AKR192" s="1056"/>
      <c r="AKS192" s="1056"/>
      <c r="AKT192" s="1056"/>
      <c r="AKU192" s="1056"/>
      <c r="AKV192" s="1056"/>
      <c r="AKW192" s="1056"/>
      <c r="AKX192" s="1056"/>
      <c r="AKY192" s="1056"/>
      <c r="AKZ192" s="1056"/>
      <c r="ALA192" s="1056"/>
      <c r="ALB192" s="1056"/>
      <c r="ALC192" s="1056"/>
      <c r="ALD192" s="1056"/>
      <c r="ALE192" s="1056"/>
      <c r="ALF192" s="1056"/>
      <c r="ALG192" s="1056"/>
      <c r="ALH192" s="1056"/>
      <c r="ALI192" s="1056"/>
      <c r="ALJ192" s="1056"/>
      <c r="ALK192" s="1056"/>
      <c r="ALL192" s="1056"/>
      <c r="ALM192" s="1056"/>
      <c r="ALN192" s="1056"/>
      <c r="ALO192" s="1056"/>
      <c r="ALP192" s="1056"/>
      <c r="ALQ192" s="1056"/>
      <c r="ALR192" s="1056"/>
      <c r="ALS192" s="1056"/>
      <c r="ALT192" s="1056"/>
      <c r="ALU192" s="1056"/>
      <c r="ALV192" s="1056"/>
      <c r="ALW192" s="1056"/>
      <c r="ALX192" s="1056"/>
      <c r="ALY192" s="1056"/>
      <c r="ALZ192" s="1056"/>
      <c r="AMA192" s="1056"/>
      <c r="AMB192" s="1056"/>
      <c r="AMC192" s="1056"/>
      <c r="AMD192" s="1056"/>
      <c r="AME192" s="1056"/>
      <c r="AMF192" s="1056"/>
      <c r="AMG192" s="1056"/>
      <c r="AMH192" s="1056"/>
      <c r="AMI192" s="1056"/>
      <c r="AMJ192" s="1056"/>
      <c r="AMK192" s="1056"/>
      <c r="AML192" s="1056"/>
      <c r="AMM192" s="1056"/>
      <c r="AMN192" s="1056"/>
      <c r="AMO192" s="1056"/>
      <c r="AMP192" s="1056"/>
      <c r="AMQ192" s="1056"/>
      <c r="AMR192" s="1056"/>
      <c r="AMS192" s="1056"/>
      <c r="AMT192" s="1056"/>
      <c r="AMU192" s="1056"/>
      <c r="AMV192" s="1056"/>
      <c r="AMW192" s="1056"/>
      <c r="AMX192" s="1056"/>
      <c r="AMY192" s="1056"/>
      <c r="AMZ192" s="1056"/>
      <c r="ANA192" s="1056"/>
      <c r="ANB192" s="1056"/>
      <c r="ANC192" s="1056"/>
      <c r="AND192" s="1056"/>
      <c r="ANE192" s="1056"/>
      <c r="ANF192" s="1056"/>
      <c r="ANG192" s="1056"/>
      <c r="ANH192" s="1056"/>
      <c r="ANI192" s="1056"/>
      <c r="ANJ192" s="1056"/>
      <c r="ANK192" s="1056"/>
      <c r="ANL192" s="1056"/>
      <c r="ANM192" s="1056"/>
      <c r="ANN192" s="1056"/>
      <c r="ANO192" s="1056"/>
      <c r="ANP192" s="1056"/>
      <c r="ANQ192" s="1056"/>
      <c r="ANR192" s="1056"/>
      <c r="ANS192" s="1056"/>
      <c r="ANT192" s="1056"/>
      <c r="ANU192" s="1056"/>
      <c r="ANV192" s="1056"/>
      <c r="ANW192" s="1056"/>
      <c r="ANX192" s="1056"/>
      <c r="ANY192" s="1056"/>
      <c r="ANZ192" s="1056"/>
      <c r="AOA192" s="1056"/>
      <c r="AOB192" s="1056"/>
      <c r="AOC192" s="1056"/>
      <c r="AOD192" s="1056"/>
      <c r="AOE192" s="1056"/>
      <c r="AOF192" s="1056"/>
      <c r="AOG192" s="1056"/>
      <c r="AOH192" s="1056"/>
      <c r="AOI192" s="1056"/>
      <c r="AOJ192" s="1056"/>
      <c r="AOK192" s="1056"/>
      <c r="AOL192" s="1056"/>
      <c r="AOM192" s="1056"/>
      <c r="AON192" s="1056"/>
      <c r="AOO192" s="1056"/>
      <c r="AOP192" s="1056"/>
      <c r="AOQ192" s="1056"/>
      <c r="AOR192" s="1056"/>
      <c r="AOS192" s="1056"/>
      <c r="AOT192" s="1056"/>
      <c r="AOU192" s="1056"/>
      <c r="AOV192" s="1056"/>
      <c r="AOW192" s="1056"/>
      <c r="AOX192" s="1056"/>
      <c r="AOY192" s="1056"/>
      <c r="AOZ192" s="1056"/>
      <c r="APA192" s="1056"/>
      <c r="APB192" s="1056"/>
      <c r="APC192" s="1056"/>
      <c r="APD192" s="1056"/>
      <c r="APE192" s="1056"/>
      <c r="APF192" s="1056"/>
      <c r="APG192" s="1056"/>
      <c r="APH192" s="1056"/>
      <c r="API192" s="1056"/>
      <c r="APJ192" s="1056"/>
      <c r="APK192" s="1056"/>
      <c r="APL192" s="1056"/>
      <c r="APM192" s="1056"/>
      <c r="APN192" s="1056"/>
      <c r="APO192" s="1056"/>
      <c r="APP192" s="1056"/>
      <c r="APQ192" s="1056"/>
      <c r="APR192" s="1056"/>
      <c r="APS192" s="1056"/>
      <c r="APT192" s="1056"/>
      <c r="APU192" s="1056"/>
      <c r="APV192" s="1056"/>
      <c r="APW192" s="1056"/>
      <c r="APX192" s="1056"/>
      <c r="APY192" s="1056"/>
      <c r="APZ192" s="1056"/>
      <c r="AQA192" s="1056"/>
      <c r="AQB192" s="1056"/>
      <c r="AQC192" s="1056"/>
      <c r="AQD192" s="1056"/>
      <c r="AQE192" s="1056"/>
      <c r="AQF192" s="1056"/>
      <c r="AQG192" s="1056"/>
      <c r="AQH192" s="1056"/>
      <c r="AQI192" s="1056"/>
      <c r="AQJ192" s="1056"/>
      <c r="AQK192" s="1056"/>
      <c r="AQL192" s="1056"/>
      <c r="AQM192" s="1056"/>
      <c r="AQN192" s="1056"/>
      <c r="AQO192" s="1056"/>
      <c r="AQP192" s="1056"/>
      <c r="AQQ192" s="1056"/>
      <c r="AQR192" s="1056"/>
      <c r="AQS192" s="1056"/>
      <c r="AQT192" s="1056"/>
      <c r="AQU192" s="1056"/>
      <c r="AQV192" s="1056"/>
      <c r="AQW192" s="1056"/>
      <c r="AQX192" s="1056"/>
      <c r="AQY192" s="1056"/>
      <c r="AQZ192" s="1056"/>
      <c r="ARA192" s="1056"/>
      <c r="ARB192" s="1056"/>
      <c r="ARC192" s="1056"/>
      <c r="ARD192" s="1056"/>
      <c r="ARE192" s="1056"/>
      <c r="ARF192" s="1056"/>
      <c r="ARG192" s="1056"/>
      <c r="ARH192" s="1056"/>
      <c r="ARI192" s="1056"/>
      <c r="ARJ192" s="1056"/>
      <c r="ARK192" s="1056"/>
      <c r="ARL192" s="1056"/>
      <c r="ARM192" s="1056"/>
      <c r="ARN192" s="1056"/>
      <c r="ARO192" s="1056"/>
      <c r="ARP192" s="1056"/>
      <c r="ARQ192" s="1056"/>
      <c r="ARR192" s="1056"/>
      <c r="ARS192" s="1056"/>
      <c r="ART192" s="1056"/>
      <c r="ARU192" s="1056"/>
      <c r="ARV192" s="1056"/>
      <c r="ARW192" s="1056"/>
      <c r="ARX192" s="1056"/>
      <c r="ARY192" s="1056"/>
      <c r="ARZ192" s="1056"/>
      <c r="ASA192" s="1056"/>
      <c r="ASB192" s="1056"/>
      <c r="ASC192" s="1056"/>
      <c r="ASD192" s="1056"/>
      <c r="ASE192" s="1056"/>
      <c r="ASF192" s="1056"/>
      <c r="ASG192" s="1056"/>
      <c r="ASH192" s="1056"/>
      <c r="ASI192" s="1056"/>
      <c r="ASJ192" s="1056"/>
      <c r="ASK192" s="1056"/>
      <c r="ASL192" s="1056"/>
      <c r="ASM192" s="1056"/>
      <c r="ASN192" s="1056"/>
      <c r="ASO192" s="1056"/>
      <c r="ASP192" s="1056"/>
      <c r="ASQ192" s="1056"/>
      <c r="ASR192" s="1056"/>
      <c r="ASS192" s="1056"/>
      <c r="AST192" s="1056"/>
      <c r="ASU192" s="1056"/>
      <c r="ASV192" s="1056"/>
      <c r="ASW192" s="1056"/>
      <c r="ASX192" s="1056"/>
      <c r="ASY192" s="1056"/>
      <c r="ASZ192" s="1056"/>
      <c r="ATA192" s="1056"/>
      <c r="ATB192" s="1056"/>
      <c r="ATC192" s="1056"/>
      <c r="ATD192" s="1056"/>
      <c r="ATE192" s="1056"/>
      <c r="ATF192" s="1056"/>
      <c r="ATG192" s="1056"/>
      <c r="ATH192" s="1056"/>
      <c r="ATI192" s="1056"/>
      <c r="ATJ192" s="1056"/>
      <c r="ATK192" s="1056"/>
      <c r="ATL192" s="1056"/>
      <c r="ATM192" s="1056"/>
      <c r="ATN192" s="1056"/>
      <c r="ATO192" s="1056"/>
      <c r="ATP192" s="1056"/>
      <c r="ATQ192" s="1056"/>
      <c r="ATR192" s="1056"/>
      <c r="ATS192" s="1056"/>
      <c r="ATT192" s="1056"/>
      <c r="ATU192" s="1056"/>
      <c r="ATV192" s="1056"/>
      <c r="ATW192" s="1056"/>
      <c r="ATX192" s="1056"/>
      <c r="ATY192" s="1056"/>
      <c r="ATZ192" s="1056"/>
      <c r="AUA192" s="1056"/>
      <c r="AUB192" s="1056"/>
      <c r="AUC192" s="1056"/>
      <c r="AUD192" s="1056"/>
      <c r="AUE192" s="1056"/>
      <c r="AUF192" s="1056"/>
      <c r="AUG192" s="1056"/>
      <c r="AUH192" s="1056"/>
      <c r="AUI192" s="1056"/>
      <c r="AUJ192" s="1056"/>
      <c r="AUK192" s="1056"/>
      <c r="AUL192" s="1056"/>
      <c r="AUM192" s="1056"/>
      <c r="AUN192" s="1056"/>
      <c r="AUO192" s="1056"/>
      <c r="AUP192" s="1056"/>
      <c r="AUQ192" s="1056"/>
      <c r="AUR192" s="1056"/>
      <c r="AUS192" s="1056"/>
      <c r="AUT192" s="1056"/>
      <c r="AUU192" s="1056"/>
      <c r="AUV192" s="1056"/>
      <c r="AUW192" s="1056"/>
      <c r="AUX192" s="1056"/>
      <c r="AUY192" s="1056"/>
      <c r="AUZ192" s="1056"/>
      <c r="AVA192" s="1056"/>
      <c r="AVB192" s="1056"/>
      <c r="AVC192" s="1056"/>
      <c r="AVD192" s="1056"/>
      <c r="AVE192" s="1056"/>
      <c r="AVF192" s="1056"/>
      <c r="AVG192" s="1056"/>
      <c r="AVH192" s="1056"/>
      <c r="AVI192" s="1056"/>
      <c r="AVJ192" s="1056"/>
      <c r="AVK192" s="1056"/>
      <c r="AVL192" s="1056"/>
      <c r="AVM192" s="1056"/>
      <c r="AVN192" s="1056"/>
      <c r="AVO192" s="1056"/>
      <c r="AVP192" s="1056"/>
      <c r="AVQ192" s="1056"/>
      <c r="AVR192" s="1056"/>
      <c r="AVS192" s="1056"/>
      <c r="AVT192" s="1056"/>
      <c r="AVU192" s="1056"/>
      <c r="AVV192" s="1056"/>
      <c r="AVW192" s="1056"/>
      <c r="AVX192" s="1056"/>
      <c r="AVY192" s="1056"/>
      <c r="AVZ192" s="1056"/>
      <c r="AWA192" s="1056"/>
      <c r="AWB192" s="1056"/>
      <c r="AWC192" s="1056"/>
      <c r="AWD192" s="1056"/>
      <c r="AWE192" s="1056"/>
      <c r="AWF192" s="1056"/>
      <c r="AWG192" s="1056"/>
      <c r="AWH192" s="1056"/>
      <c r="AWI192" s="1056"/>
      <c r="AWJ192" s="1056"/>
      <c r="AWK192" s="1056"/>
      <c r="AWL192" s="1056"/>
      <c r="AWM192" s="1056"/>
      <c r="AWN192" s="1056"/>
      <c r="AWO192" s="1056"/>
      <c r="AWP192" s="1056"/>
      <c r="AWQ192" s="1056"/>
      <c r="AWR192" s="1056"/>
      <c r="AWS192" s="1056"/>
      <c r="AWT192" s="1056"/>
      <c r="AWU192" s="1056"/>
      <c r="AWV192" s="1056"/>
      <c r="AWW192" s="1056"/>
      <c r="AWX192" s="1056"/>
      <c r="AWY192" s="1056"/>
      <c r="AWZ192" s="1056"/>
      <c r="AXA192" s="1056"/>
      <c r="AXB192" s="1056"/>
      <c r="AXC192" s="1056"/>
      <c r="AXD192" s="1056"/>
      <c r="AXE192" s="1056"/>
      <c r="AXF192" s="1056"/>
      <c r="AXG192" s="1056"/>
      <c r="AXH192" s="1056"/>
      <c r="AXI192" s="1056"/>
      <c r="AXJ192" s="1056"/>
      <c r="AXK192" s="1056"/>
      <c r="AXL192" s="1056"/>
      <c r="AXM192" s="1056"/>
      <c r="AXN192" s="1056"/>
      <c r="AXO192" s="1056"/>
      <c r="AXP192" s="1056"/>
      <c r="AXQ192" s="1056"/>
      <c r="AXR192" s="1056"/>
      <c r="AXS192" s="1056"/>
      <c r="AXT192" s="1056"/>
      <c r="AXU192" s="1056"/>
      <c r="AXV192" s="1056"/>
      <c r="AXW192" s="1056"/>
      <c r="AXX192" s="1056"/>
      <c r="AXY192" s="1056"/>
      <c r="AXZ192" s="1056"/>
      <c r="AYA192" s="1056"/>
      <c r="AYB192" s="1056"/>
      <c r="AYC192" s="1056"/>
      <c r="AYD192" s="1056"/>
      <c r="AYE192" s="1056"/>
      <c r="AYF192" s="1056"/>
      <c r="AYG192" s="1056"/>
      <c r="AYH192" s="1056"/>
      <c r="AYI192" s="1056"/>
      <c r="AYJ192" s="1056"/>
      <c r="AYK192" s="1056"/>
      <c r="AYL192" s="1056"/>
      <c r="AYM192" s="1056"/>
      <c r="AYN192" s="1056"/>
      <c r="AYO192" s="1056"/>
      <c r="AYP192" s="1056"/>
      <c r="AYQ192" s="1056"/>
      <c r="AYR192" s="1056"/>
      <c r="AYS192" s="1056"/>
      <c r="AYT192" s="1056"/>
      <c r="AYU192" s="1056"/>
      <c r="AYV192" s="1056"/>
      <c r="AYW192" s="1056"/>
      <c r="AYX192" s="1056"/>
      <c r="AYY192" s="1056"/>
      <c r="AYZ192" s="1056"/>
      <c r="AZA192" s="1056"/>
      <c r="AZB192" s="1056"/>
      <c r="AZC192" s="1056"/>
      <c r="AZD192" s="1056"/>
      <c r="AZE192" s="1056"/>
      <c r="AZF192" s="1056"/>
      <c r="AZG192" s="1056"/>
      <c r="AZH192" s="1056"/>
      <c r="AZI192" s="1056"/>
      <c r="AZJ192" s="1056"/>
      <c r="AZK192" s="1056"/>
      <c r="AZL192" s="1056"/>
      <c r="AZM192" s="1056"/>
      <c r="AZN192" s="1056"/>
      <c r="AZO192" s="1056"/>
      <c r="AZP192" s="1056"/>
      <c r="AZQ192" s="1056"/>
      <c r="AZR192" s="1056"/>
      <c r="AZS192" s="1056"/>
      <c r="AZT192" s="1056"/>
      <c r="AZU192" s="1056"/>
      <c r="AZV192" s="1056"/>
      <c r="AZW192" s="1056"/>
      <c r="AZX192" s="1056"/>
      <c r="AZY192" s="1056"/>
      <c r="AZZ192" s="1056"/>
      <c r="BAA192" s="1056"/>
      <c r="BAB192" s="1056"/>
      <c r="BAC192" s="1056"/>
      <c r="BAD192" s="1056"/>
      <c r="BAE192" s="1056"/>
      <c r="BAF192" s="1056"/>
      <c r="BAG192" s="1056"/>
      <c r="BAH192" s="1056"/>
      <c r="BAI192" s="1056"/>
      <c r="BAJ192" s="1056"/>
      <c r="BAK192" s="1056"/>
      <c r="BAL192" s="1056"/>
      <c r="BAM192" s="1056"/>
      <c r="BAN192" s="1056"/>
      <c r="BAO192" s="1056"/>
      <c r="BAP192" s="1056"/>
      <c r="BAQ192" s="1056"/>
      <c r="BAR192" s="1056"/>
      <c r="BAS192" s="1056"/>
      <c r="BAT192" s="1056"/>
      <c r="BAU192" s="1056"/>
      <c r="BAV192" s="1056"/>
      <c r="BAW192" s="1056"/>
      <c r="BAX192" s="1056"/>
      <c r="BAY192" s="1056"/>
      <c r="BAZ192" s="1056"/>
      <c r="BBA192" s="1056"/>
      <c r="BBB192" s="1056"/>
      <c r="BBC192" s="1056"/>
      <c r="BBD192" s="1056"/>
      <c r="BBE192" s="1056"/>
      <c r="BBF192" s="1056"/>
      <c r="BBG192" s="1056"/>
      <c r="BBH192" s="1056"/>
      <c r="BBI192" s="1056"/>
      <c r="BBJ192" s="1056"/>
      <c r="BBK192" s="1056"/>
      <c r="BBL192" s="1056"/>
      <c r="BBM192" s="1056"/>
      <c r="BBN192" s="1056"/>
      <c r="BBO192" s="1056"/>
      <c r="BBP192" s="1056"/>
      <c r="BBQ192" s="1056"/>
      <c r="BBR192" s="1056"/>
      <c r="BBS192" s="1056"/>
      <c r="BBT192" s="1056"/>
      <c r="BBU192" s="1056"/>
      <c r="BBV192" s="1056"/>
      <c r="BBW192" s="1056"/>
      <c r="BBX192" s="1056"/>
      <c r="BBY192" s="1056"/>
      <c r="BBZ192" s="1056"/>
      <c r="BCA192" s="1056"/>
      <c r="BCB192" s="1056"/>
      <c r="BCC192" s="1056"/>
      <c r="BCD192" s="1056"/>
      <c r="BCE192" s="1056"/>
      <c r="BCF192" s="1056"/>
      <c r="BCG192" s="1056"/>
      <c r="BCH192" s="1056"/>
      <c r="BCI192" s="1056"/>
      <c r="BCJ192" s="1056"/>
      <c r="BCK192" s="1056"/>
      <c r="BCL192" s="1056"/>
      <c r="BCM192" s="1056"/>
      <c r="BCN192" s="1056"/>
      <c r="BCO192" s="1056"/>
      <c r="BCP192" s="1056"/>
      <c r="BCQ192" s="1056"/>
      <c r="BCR192" s="1056"/>
      <c r="BCS192" s="1056"/>
      <c r="BCT192" s="1056"/>
      <c r="BCU192" s="1056"/>
      <c r="BCV192" s="1056"/>
      <c r="BCW192" s="1056"/>
      <c r="BCX192" s="1056"/>
      <c r="BCY192" s="1056"/>
      <c r="BCZ192" s="1056"/>
      <c r="BDA192" s="1056"/>
      <c r="BDB192" s="1056"/>
      <c r="BDC192" s="1056"/>
      <c r="BDD192" s="1056"/>
      <c r="BDE192" s="1056"/>
      <c r="BDF192" s="1056"/>
      <c r="BDG192" s="1056"/>
      <c r="BDH192" s="1056"/>
      <c r="BDI192" s="1056"/>
      <c r="BDJ192" s="1056"/>
      <c r="BDK192" s="1056"/>
      <c r="BDL192" s="1056"/>
      <c r="BDM192" s="1056"/>
      <c r="BDN192" s="1056"/>
      <c r="BDO192" s="1056"/>
      <c r="BDP192" s="1056"/>
      <c r="BDQ192" s="1056"/>
      <c r="BDR192" s="1056"/>
      <c r="BDS192" s="1056"/>
      <c r="BDT192" s="1056"/>
      <c r="BDU192" s="1056"/>
      <c r="BDV192" s="1056"/>
      <c r="BDW192" s="1056"/>
      <c r="BDX192" s="1056"/>
      <c r="BDY192" s="1056"/>
      <c r="BDZ192" s="1056"/>
      <c r="BEA192" s="1056"/>
      <c r="BEB192" s="1056"/>
      <c r="BEC192" s="1056"/>
      <c r="BED192" s="1056"/>
      <c r="BEE192" s="1056"/>
      <c r="BEF192" s="1056"/>
      <c r="BEG192" s="1056"/>
      <c r="BEH192" s="1056"/>
      <c r="BEI192" s="1056"/>
      <c r="BEJ192" s="1056"/>
      <c r="BEK192" s="1056"/>
      <c r="BEL192" s="1056"/>
      <c r="BEM192" s="1056"/>
      <c r="BEN192" s="1056"/>
      <c r="BEO192" s="1056"/>
      <c r="BEP192" s="1056"/>
      <c r="BEQ192" s="1056"/>
      <c r="BER192" s="1056"/>
      <c r="BES192" s="1056"/>
      <c r="BET192" s="1056"/>
      <c r="BEU192" s="1056"/>
      <c r="BEV192" s="1056"/>
      <c r="BEW192" s="1056"/>
      <c r="BEX192" s="1056"/>
      <c r="BEY192" s="1056"/>
      <c r="BEZ192" s="1056"/>
      <c r="BFA192" s="1056"/>
      <c r="BFB192" s="1056"/>
      <c r="BFC192" s="1056"/>
      <c r="BFD192" s="1056"/>
      <c r="BFE192" s="1056"/>
      <c r="BFF192" s="1056"/>
      <c r="BFG192" s="1056"/>
      <c r="BFH192" s="1056"/>
      <c r="BFI192" s="1056"/>
      <c r="BFJ192" s="1056"/>
      <c r="BFK192" s="1056"/>
      <c r="BFL192" s="1056"/>
      <c r="BFM192" s="1056"/>
      <c r="BFN192" s="1056"/>
      <c r="BFO192" s="1056"/>
      <c r="BFP192" s="1056"/>
      <c r="BFQ192" s="1056"/>
      <c r="BFR192" s="1056"/>
      <c r="BFS192" s="1056"/>
      <c r="BFT192" s="1056"/>
      <c r="BFU192" s="1056"/>
      <c r="BFV192" s="1056"/>
      <c r="BFW192" s="1056"/>
      <c r="BFX192" s="1056"/>
      <c r="BFY192" s="1056"/>
      <c r="BFZ192" s="1056"/>
      <c r="BGA192" s="1056"/>
      <c r="BGB192" s="1056"/>
      <c r="BGC192" s="1056"/>
      <c r="BGD192" s="1056"/>
      <c r="BGE192" s="1056"/>
      <c r="BGF192" s="1056"/>
      <c r="BGG192" s="1056"/>
      <c r="BGH192" s="1056"/>
      <c r="BGI192" s="1056"/>
      <c r="BGJ192" s="1056"/>
      <c r="BGK192" s="1056"/>
      <c r="BGL192" s="1056"/>
      <c r="BGM192" s="1056"/>
      <c r="BGN192" s="1056"/>
      <c r="BGO192" s="1056"/>
      <c r="BGP192" s="1056"/>
      <c r="BGQ192" s="1056"/>
      <c r="BGR192" s="1056"/>
      <c r="BGS192" s="1056"/>
      <c r="BGT192" s="1056"/>
      <c r="BGU192" s="1056"/>
      <c r="BGV192" s="1056"/>
      <c r="BGW192" s="1056"/>
      <c r="BGX192" s="1056"/>
      <c r="BGY192" s="1056"/>
      <c r="BGZ192" s="1056"/>
      <c r="BHA192" s="1056"/>
      <c r="BHB192" s="1056"/>
      <c r="BHC192" s="1056"/>
      <c r="BHD192" s="1056"/>
      <c r="BHE192" s="1056"/>
      <c r="BHF192" s="1056"/>
      <c r="BHG192" s="1056"/>
      <c r="BHH192" s="1056"/>
      <c r="BHI192" s="1056"/>
      <c r="BHJ192" s="1056"/>
      <c r="BHK192" s="1056"/>
      <c r="BHL192" s="1056"/>
      <c r="BHM192" s="1056"/>
      <c r="BHN192" s="1056"/>
      <c r="BHO192" s="1056"/>
      <c r="BHP192" s="1056"/>
      <c r="BHQ192" s="1056"/>
      <c r="BHR192" s="1056"/>
      <c r="BHS192" s="1056"/>
      <c r="BHT192" s="1056"/>
      <c r="BHU192" s="1056"/>
      <c r="BHV192" s="1056"/>
      <c r="BHW192" s="1056"/>
      <c r="BHX192" s="1056"/>
      <c r="BHY192" s="1056"/>
      <c r="BHZ192" s="1056"/>
      <c r="BIA192" s="1056"/>
      <c r="BIB192" s="1056"/>
      <c r="BIC192" s="1056"/>
      <c r="BID192" s="1056"/>
      <c r="BIE192" s="1056"/>
      <c r="BIF192" s="1056"/>
      <c r="BIG192" s="1056"/>
      <c r="BIH192" s="1056"/>
      <c r="BII192" s="1056"/>
      <c r="BIJ192" s="1056"/>
      <c r="BIK192" s="1056"/>
      <c r="BIL192" s="1056"/>
      <c r="BIM192" s="1056"/>
      <c r="BIN192" s="1056"/>
      <c r="BIO192" s="1056"/>
      <c r="BIP192" s="1056"/>
      <c r="BIQ192" s="1056"/>
      <c r="BIR192" s="1056"/>
      <c r="BIS192" s="1056"/>
      <c r="BIT192" s="1056"/>
      <c r="BIU192" s="1056"/>
      <c r="BIV192" s="1056"/>
      <c r="BIW192" s="1056"/>
      <c r="BIX192" s="1056"/>
      <c r="BIY192" s="1056"/>
      <c r="BIZ192" s="1056"/>
      <c r="BJA192" s="1056"/>
      <c r="BJB192" s="1056"/>
      <c r="BJC192" s="1056"/>
      <c r="BJD192" s="1056"/>
      <c r="BJE192" s="1056"/>
      <c r="BJF192" s="1056"/>
      <c r="BJG192" s="1056"/>
      <c r="BJH192" s="1056"/>
      <c r="BJI192" s="1056"/>
      <c r="BJJ192" s="1056"/>
      <c r="BJK192" s="1056"/>
      <c r="BJL192" s="1056"/>
      <c r="BJM192" s="1056"/>
      <c r="BJN192" s="1056"/>
      <c r="BJO192" s="1056"/>
      <c r="BJP192" s="1056"/>
      <c r="BJQ192" s="1056"/>
      <c r="BJR192" s="1056"/>
      <c r="BJS192" s="1056"/>
      <c r="BJT192" s="1056"/>
      <c r="BJU192" s="1056"/>
      <c r="BJV192" s="1056"/>
      <c r="BJW192" s="1056"/>
      <c r="BJX192" s="1056"/>
      <c r="BJY192" s="1056"/>
      <c r="BJZ192" s="1056"/>
      <c r="BKA192" s="1056"/>
      <c r="BKB192" s="1056"/>
      <c r="BKC192" s="1056"/>
      <c r="BKD192" s="1056"/>
      <c r="BKE192" s="1056"/>
      <c r="BKF192" s="1056"/>
      <c r="BKG192" s="1056"/>
      <c r="BKH192" s="1056"/>
      <c r="BKI192" s="1056"/>
      <c r="BKJ192" s="1056"/>
      <c r="BKK192" s="1056"/>
      <c r="BKL192" s="1056"/>
      <c r="BKM192" s="1056"/>
      <c r="BKN192" s="1056"/>
      <c r="BKO192" s="1056"/>
      <c r="BKP192" s="1056"/>
      <c r="BKQ192" s="1056"/>
      <c r="BKR192" s="1056"/>
      <c r="BKS192" s="1056"/>
      <c r="BKT192" s="1056"/>
      <c r="BKU192" s="1056"/>
      <c r="BKV192" s="1056"/>
      <c r="BKW192" s="1056"/>
      <c r="BKX192" s="1056"/>
      <c r="BKY192" s="1056"/>
      <c r="BKZ192" s="1056"/>
      <c r="BLA192" s="1056"/>
      <c r="BLB192" s="1056"/>
      <c r="BLC192" s="1056"/>
      <c r="BLD192" s="1056"/>
      <c r="BLE192" s="1056"/>
      <c r="BLF192" s="1056"/>
      <c r="BLG192" s="1056"/>
      <c r="BLH192" s="1056"/>
      <c r="BLI192" s="1056"/>
      <c r="BLJ192" s="1056"/>
      <c r="BLK192" s="1056"/>
      <c r="BLL192" s="1056"/>
      <c r="BLM192" s="1056"/>
      <c r="BLN192" s="1056"/>
      <c r="BLO192" s="1056"/>
      <c r="BLP192" s="1056"/>
      <c r="BLQ192" s="1056"/>
      <c r="BLR192" s="1056"/>
      <c r="BLS192" s="1056"/>
      <c r="BLT192" s="1056"/>
      <c r="BLU192" s="1056"/>
      <c r="BLV192" s="1056"/>
      <c r="BLW192" s="1056"/>
      <c r="BLX192" s="1056"/>
      <c r="BLY192" s="1056"/>
      <c r="BLZ192" s="1056"/>
      <c r="BMA192" s="1056"/>
      <c r="BMB192" s="1056"/>
      <c r="BMC192" s="1056"/>
      <c r="BMD192" s="1056"/>
      <c r="BME192" s="1056"/>
      <c r="BMF192" s="1056"/>
      <c r="BMG192" s="1056"/>
      <c r="BMH192" s="1056"/>
      <c r="BMI192" s="1056"/>
      <c r="BMJ192" s="1056"/>
      <c r="BMK192" s="1056"/>
      <c r="BML192" s="1056"/>
      <c r="BMM192" s="1056"/>
      <c r="BMN192" s="1056"/>
      <c r="BMO192" s="1056"/>
      <c r="BMP192" s="1056"/>
      <c r="BMQ192" s="1056"/>
      <c r="BMR192" s="1056"/>
      <c r="BMS192" s="1056"/>
      <c r="BMT192" s="1056"/>
      <c r="BMU192" s="1056"/>
      <c r="BMV192" s="1056"/>
      <c r="BMW192" s="1056"/>
      <c r="BMX192" s="1056"/>
      <c r="BMY192" s="1056"/>
      <c r="BMZ192" s="1056"/>
      <c r="BNA192" s="1056"/>
      <c r="BNB192" s="1056"/>
      <c r="BNC192" s="1056"/>
      <c r="BND192" s="1056"/>
      <c r="BNE192" s="1056"/>
      <c r="BNF192" s="1056"/>
      <c r="BNG192" s="1056"/>
      <c r="BNH192" s="1056"/>
      <c r="BNI192" s="1056"/>
      <c r="BNJ192" s="1056"/>
      <c r="BNK192" s="1056"/>
      <c r="BNL192" s="1056"/>
      <c r="BNM192" s="1056"/>
      <c r="BNN192" s="1056"/>
      <c r="BNO192" s="1056"/>
      <c r="BNP192" s="1056"/>
      <c r="BNQ192" s="1056"/>
      <c r="BNR192" s="1056"/>
      <c r="BNS192" s="1056"/>
      <c r="BNT192" s="1056"/>
      <c r="BNU192" s="1056"/>
      <c r="BNV192" s="1056"/>
      <c r="BNW192" s="1056"/>
      <c r="BNX192" s="1056"/>
      <c r="BNY192" s="1056"/>
      <c r="BNZ192" s="1056"/>
      <c r="BOA192" s="1056"/>
      <c r="BOB192" s="1056"/>
      <c r="BOC192" s="1056"/>
      <c r="BOD192" s="1056"/>
      <c r="BOE192" s="1056"/>
      <c r="BOF192" s="1056"/>
      <c r="BOG192" s="1056"/>
      <c r="BOH192" s="1056"/>
      <c r="BOI192" s="1056"/>
      <c r="BOJ192" s="1056"/>
      <c r="BOK192" s="1056"/>
      <c r="BOL192" s="1056"/>
      <c r="BOM192" s="1056"/>
      <c r="BON192" s="1056"/>
      <c r="BOO192" s="1056"/>
      <c r="BOP192" s="1056"/>
      <c r="BOQ192" s="1056"/>
      <c r="BOR192" s="1056"/>
      <c r="BOS192" s="1056"/>
      <c r="BOT192" s="1056"/>
      <c r="BOU192" s="1056"/>
      <c r="BOV192" s="1056"/>
      <c r="BOW192" s="1056"/>
      <c r="BOX192" s="1056"/>
      <c r="BOY192" s="1056"/>
      <c r="BOZ192" s="1056"/>
      <c r="BPA192" s="1056"/>
      <c r="BPB192" s="1056"/>
      <c r="BPC192" s="1056"/>
      <c r="BPD192" s="1056"/>
      <c r="BPE192" s="1056"/>
      <c r="BPF192" s="1056"/>
      <c r="BPG192" s="1056"/>
      <c r="BPH192" s="1056"/>
      <c r="BPI192" s="1056"/>
      <c r="BPJ192" s="1056"/>
      <c r="BPK192" s="1056"/>
      <c r="BPL192" s="1056"/>
      <c r="BPM192" s="1056"/>
      <c r="BPN192" s="1056"/>
      <c r="BPO192" s="1056"/>
      <c r="BPP192" s="1056"/>
      <c r="BPQ192" s="1056"/>
      <c r="BPR192" s="1056"/>
      <c r="BPS192" s="1056"/>
      <c r="BPT192" s="1056"/>
      <c r="BPU192" s="1056"/>
      <c r="BPV192" s="1056"/>
      <c r="BPW192" s="1056"/>
      <c r="BPX192" s="1056"/>
      <c r="BPY192" s="1056"/>
      <c r="BPZ192" s="1056"/>
      <c r="BQA192" s="1056"/>
      <c r="BQB192" s="1056"/>
      <c r="BQC192" s="1056"/>
      <c r="BQD192" s="1056"/>
      <c r="BQE192" s="1056"/>
      <c r="BQF192" s="1056"/>
      <c r="BQG192" s="1056"/>
      <c r="BQH192" s="1056"/>
      <c r="BQI192" s="1056"/>
      <c r="BQJ192" s="1056"/>
      <c r="BQK192" s="1056"/>
      <c r="BQL192" s="1056"/>
      <c r="BQM192" s="1056"/>
      <c r="BQN192" s="1056"/>
      <c r="BQO192" s="1056"/>
      <c r="BQP192" s="1056"/>
      <c r="BQQ192" s="1056"/>
      <c r="BQR192" s="1056"/>
      <c r="BQS192" s="1056"/>
      <c r="BQT192" s="1056"/>
      <c r="BQU192" s="1056"/>
      <c r="BQV192" s="1056"/>
      <c r="BQW192" s="1056"/>
      <c r="BQX192" s="1056"/>
      <c r="BQY192" s="1056"/>
      <c r="BQZ192" s="1056"/>
      <c r="BRA192" s="1056"/>
      <c r="BRB192" s="1056"/>
      <c r="BRC192" s="1056"/>
      <c r="BRD192" s="1056"/>
      <c r="BRE192" s="1056"/>
      <c r="BRF192" s="1056"/>
      <c r="BRG192" s="1056"/>
      <c r="BRH192" s="1056"/>
      <c r="BRI192" s="1056"/>
      <c r="BRJ192" s="1056"/>
      <c r="BRK192" s="1056"/>
      <c r="BRL192" s="1056"/>
      <c r="BRM192" s="1056"/>
      <c r="BRN192" s="1056"/>
      <c r="BRO192" s="1056"/>
      <c r="BRP192" s="1056"/>
      <c r="BRQ192" s="1056"/>
      <c r="BRR192" s="1056"/>
      <c r="BRS192" s="1056"/>
      <c r="BRT192" s="1056"/>
      <c r="BRU192" s="1056"/>
      <c r="BRV192" s="1056"/>
      <c r="BRW192" s="1056"/>
      <c r="BRX192" s="1056"/>
      <c r="BRY192" s="1056"/>
      <c r="BRZ192" s="1056"/>
      <c r="BSA192" s="1056"/>
      <c r="BSB192" s="1056"/>
      <c r="BSC192" s="1056"/>
      <c r="BSD192" s="1056"/>
      <c r="BSE192" s="1056"/>
      <c r="BSF192" s="1056"/>
      <c r="BSG192" s="1056"/>
      <c r="BSH192" s="1056"/>
      <c r="BSI192" s="1056"/>
      <c r="BSJ192" s="1056"/>
      <c r="BSK192" s="1056"/>
      <c r="BSL192" s="1056"/>
      <c r="BSM192" s="1056"/>
      <c r="BSN192" s="1056"/>
      <c r="BSO192" s="1056"/>
      <c r="BSP192" s="1056"/>
      <c r="BSQ192" s="1056"/>
      <c r="BSR192" s="1056"/>
      <c r="BSS192" s="1056"/>
      <c r="BST192" s="1056"/>
      <c r="BSU192" s="1056"/>
      <c r="BSV192" s="1056"/>
      <c r="BSW192" s="1056"/>
      <c r="BSX192" s="1056"/>
      <c r="BSY192" s="1056"/>
      <c r="BSZ192" s="1056"/>
      <c r="BTA192" s="1056"/>
      <c r="BTB192" s="1056"/>
      <c r="BTC192" s="1056"/>
      <c r="BTD192" s="1056"/>
      <c r="BTE192" s="1056"/>
      <c r="BTF192" s="1056"/>
      <c r="BTG192" s="1056"/>
      <c r="BTH192" s="1056"/>
      <c r="BTI192" s="1056"/>
    </row>
    <row r="193" spans="1:1881" s="1060" customFormat="1" ht="95.25" hidden="1" customHeight="1" x14ac:dyDescent="0.3">
      <c r="A193" s="1059">
        <v>363</v>
      </c>
      <c r="B193" s="808" t="s">
        <v>56</v>
      </c>
      <c r="C193" s="808" t="s">
        <v>1422</v>
      </c>
      <c r="D193" s="746" t="s">
        <v>1423</v>
      </c>
      <c r="E193" s="1053" t="e">
        <f>HLOOKUP($D$2,'2020 Data(H)'!$C$1:$AI$426,124,FALSE)</f>
        <v>#N/A</v>
      </c>
      <c r="F193" s="286">
        <v>0</v>
      </c>
      <c r="G193" s="722">
        <f t="shared" si="2"/>
        <v>0</v>
      </c>
      <c r="H193" s="764"/>
      <c r="I193" s="1055"/>
      <c r="J193" s="1056"/>
      <c r="K193" s="1056"/>
      <c r="L193" s="1056"/>
      <c r="M193" s="1056"/>
      <c r="N193" s="1058"/>
      <c r="O193" s="1056"/>
      <c r="P193" s="1056"/>
      <c r="Q193" s="1056"/>
      <c r="R193" s="1056"/>
      <c r="S193" s="1056"/>
      <c r="T193" s="1056"/>
      <c r="U193" s="1056"/>
      <c r="V193" s="1056"/>
      <c r="W193" s="1056"/>
      <c r="X193" s="1056"/>
      <c r="Y193" s="1056"/>
      <c r="Z193" s="1059"/>
      <c r="AA193" s="1059"/>
      <c r="AB193" s="1059"/>
      <c r="AC193" s="1059"/>
      <c r="AD193" s="1059"/>
      <c r="AE193" s="1059"/>
      <c r="AF193" s="1059"/>
      <c r="AG193" s="1059"/>
      <c r="AH193" s="1059"/>
      <c r="AI193" s="1059"/>
      <c r="AJ193" s="1059"/>
      <c r="AK193" s="1059"/>
      <c r="AL193" s="1059"/>
      <c r="AM193" s="1059"/>
      <c r="AN193" s="1059"/>
      <c r="AO193" s="1059"/>
      <c r="AP193" s="1059"/>
      <c r="AQ193" s="1059"/>
      <c r="AR193" s="1059"/>
      <c r="AS193" s="1056"/>
      <c r="AT193" s="1056"/>
      <c r="AU193" s="1056"/>
      <c r="AV193" s="1056"/>
      <c r="AW193" s="1056"/>
      <c r="AX193" s="1056"/>
      <c r="AY193" s="1056"/>
      <c r="AZ193" s="1056"/>
      <c r="BA193" s="1056"/>
      <c r="BB193" s="1056"/>
      <c r="BC193" s="1056"/>
      <c r="BD193" s="1056"/>
      <c r="BE193" s="1056"/>
      <c r="BF193" s="1056"/>
      <c r="BG193" s="1056"/>
      <c r="BH193" s="1056"/>
      <c r="BI193" s="1056"/>
      <c r="BJ193" s="1056"/>
      <c r="BK193" s="1056"/>
      <c r="BL193" s="1056"/>
      <c r="BM193" s="1056"/>
      <c r="BN193" s="1056"/>
      <c r="BO193" s="1056"/>
      <c r="BP193" s="1056"/>
      <c r="BQ193" s="1056"/>
      <c r="BR193" s="1056"/>
      <c r="BS193" s="1056"/>
      <c r="BT193" s="1056"/>
      <c r="BU193" s="1056"/>
      <c r="BV193" s="1056"/>
      <c r="BW193" s="1056"/>
      <c r="BX193" s="1056"/>
      <c r="BY193" s="1056"/>
      <c r="BZ193" s="1056"/>
      <c r="CA193" s="1056"/>
      <c r="CB193" s="1056"/>
      <c r="CC193" s="1056"/>
      <c r="CD193" s="1056"/>
      <c r="CE193" s="1056"/>
      <c r="CF193" s="1056"/>
      <c r="CG193" s="1056"/>
      <c r="CH193" s="1056"/>
      <c r="CI193" s="1056"/>
      <c r="CJ193" s="1056"/>
      <c r="CK193" s="1056"/>
      <c r="CL193" s="1056"/>
      <c r="CM193" s="1056"/>
      <c r="CN193" s="1056"/>
      <c r="CO193" s="1056"/>
      <c r="CP193" s="1056"/>
      <c r="CQ193" s="1056"/>
      <c r="CR193" s="1056"/>
      <c r="CS193" s="1056"/>
      <c r="CT193" s="1056"/>
      <c r="CU193" s="1056"/>
      <c r="CV193" s="1056"/>
      <c r="CW193" s="1056"/>
      <c r="CX193" s="1056"/>
      <c r="CY193" s="1056"/>
      <c r="CZ193" s="1056"/>
      <c r="DA193" s="1056"/>
      <c r="DB193" s="1056"/>
      <c r="DC193" s="1056"/>
      <c r="DD193" s="1056"/>
      <c r="DE193" s="1056"/>
      <c r="DF193" s="1056"/>
      <c r="DG193" s="1056"/>
      <c r="DH193" s="1056"/>
      <c r="DI193" s="1056"/>
      <c r="DJ193" s="1056"/>
      <c r="DK193" s="1056"/>
      <c r="DL193" s="1056"/>
      <c r="DM193" s="1056"/>
      <c r="DN193" s="1056"/>
      <c r="DO193" s="1056"/>
      <c r="DP193" s="1056"/>
      <c r="DQ193" s="1056"/>
      <c r="DR193" s="1056"/>
      <c r="DS193" s="1056"/>
      <c r="DT193" s="1056"/>
      <c r="DU193" s="1056"/>
      <c r="DV193" s="1056"/>
      <c r="DW193" s="1056"/>
      <c r="DX193" s="1056"/>
      <c r="DY193" s="1056"/>
      <c r="DZ193" s="1056"/>
      <c r="EA193" s="1056"/>
      <c r="EB193" s="1056"/>
      <c r="EC193" s="1056"/>
      <c r="ED193" s="1056"/>
      <c r="EE193" s="1056"/>
      <c r="EF193" s="1056"/>
      <c r="EG193" s="1056"/>
      <c r="EH193" s="1056"/>
      <c r="EI193" s="1056"/>
      <c r="EJ193" s="1056"/>
      <c r="EK193" s="1056"/>
      <c r="EL193" s="1056"/>
      <c r="EM193" s="1056"/>
      <c r="EN193" s="1056"/>
      <c r="EO193" s="1056"/>
      <c r="EP193" s="1056"/>
      <c r="EQ193" s="1056"/>
      <c r="ER193" s="1056"/>
      <c r="ES193" s="1056"/>
      <c r="ET193" s="1056"/>
      <c r="EU193" s="1056"/>
      <c r="EV193" s="1056"/>
      <c r="EW193" s="1056"/>
      <c r="EX193" s="1056"/>
      <c r="EY193" s="1056"/>
      <c r="EZ193" s="1056"/>
      <c r="FA193" s="1056"/>
      <c r="FB193" s="1056"/>
      <c r="FC193" s="1056"/>
      <c r="FD193" s="1056"/>
      <c r="FE193" s="1056"/>
      <c r="FF193" s="1056"/>
      <c r="FG193" s="1056"/>
      <c r="FH193" s="1056"/>
      <c r="FI193" s="1056"/>
      <c r="FJ193" s="1056"/>
      <c r="FK193" s="1056"/>
      <c r="FL193" s="1056"/>
      <c r="FM193" s="1056"/>
      <c r="FN193" s="1056"/>
      <c r="FO193" s="1056"/>
      <c r="FP193" s="1056"/>
      <c r="FQ193" s="1056"/>
      <c r="FR193" s="1056"/>
      <c r="FS193" s="1056"/>
      <c r="FT193" s="1056"/>
      <c r="FU193" s="1056"/>
      <c r="FV193" s="1056"/>
      <c r="FW193" s="1056"/>
      <c r="FX193" s="1056"/>
      <c r="FY193" s="1056"/>
      <c r="FZ193" s="1056"/>
      <c r="GA193" s="1056"/>
      <c r="GB193" s="1056"/>
      <c r="GC193" s="1056"/>
      <c r="GD193" s="1056"/>
      <c r="GE193" s="1056"/>
      <c r="GF193" s="1056"/>
      <c r="GG193" s="1056"/>
      <c r="GH193" s="1056"/>
      <c r="GI193" s="1056"/>
      <c r="GJ193" s="1056"/>
      <c r="GK193" s="1056"/>
      <c r="GL193" s="1056"/>
      <c r="GM193" s="1056"/>
      <c r="GN193" s="1056"/>
      <c r="GO193" s="1056"/>
      <c r="GP193" s="1056"/>
      <c r="GQ193" s="1056"/>
      <c r="GR193" s="1056"/>
      <c r="GS193" s="1056"/>
      <c r="GT193" s="1056"/>
      <c r="GU193" s="1056"/>
      <c r="GV193" s="1056"/>
      <c r="GW193" s="1056"/>
      <c r="GX193" s="1056"/>
      <c r="GY193" s="1056"/>
      <c r="GZ193" s="1056"/>
      <c r="HA193" s="1056"/>
      <c r="HB193" s="1056"/>
      <c r="HC193" s="1056"/>
      <c r="HD193" s="1056"/>
      <c r="HE193" s="1056"/>
      <c r="HF193" s="1056"/>
      <c r="HG193" s="1056"/>
      <c r="HH193" s="1056"/>
      <c r="HI193" s="1056"/>
      <c r="HJ193" s="1056"/>
      <c r="HK193" s="1056"/>
      <c r="HL193" s="1056"/>
      <c r="HM193" s="1056"/>
      <c r="HN193" s="1056"/>
      <c r="HO193" s="1056"/>
      <c r="HP193" s="1056"/>
      <c r="HQ193" s="1056"/>
      <c r="HR193" s="1056"/>
      <c r="HS193" s="1056"/>
      <c r="HT193" s="1056"/>
      <c r="HU193" s="1056"/>
      <c r="HV193" s="1056"/>
      <c r="HW193" s="1056"/>
      <c r="HX193" s="1056"/>
      <c r="HY193" s="1056"/>
      <c r="HZ193" s="1056"/>
      <c r="IA193" s="1056"/>
      <c r="IB193" s="1056"/>
      <c r="IC193" s="1056"/>
      <c r="ID193" s="1056"/>
      <c r="IE193" s="1056"/>
      <c r="IF193" s="1056"/>
      <c r="IG193" s="1056"/>
      <c r="IH193" s="1056"/>
      <c r="II193" s="1056"/>
      <c r="IJ193" s="1056"/>
      <c r="IK193" s="1056"/>
      <c r="IL193" s="1056"/>
      <c r="IM193" s="1056"/>
      <c r="IN193" s="1056"/>
      <c r="IO193" s="1056"/>
      <c r="IP193" s="1056"/>
      <c r="IQ193" s="1056"/>
      <c r="IR193" s="1056"/>
      <c r="IS193" s="1056"/>
      <c r="IT193" s="1056"/>
      <c r="IU193" s="1056"/>
      <c r="IV193" s="1056"/>
      <c r="IW193" s="1056"/>
      <c r="IX193" s="1056"/>
      <c r="IY193" s="1056"/>
      <c r="IZ193" s="1056"/>
      <c r="JA193" s="1056"/>
      <c r="JB193" s="1056"/>
      <c r="JC193" s="1056"/>
      <c r="JD193" s="1056"/>
      <c r="JE193" s="1056"/>
      <c r="JF193" s="1056"/>
      <c r="JG193" s="1056"/>
      <c r="JH193" s="1056"/>
      <c r="JI193" s="1056"/>
      <c r="JJ193" s="1056"/>
      <c r="JK193" s="1056"/>
      <c r="JL193" s="1056"/>
      <c r="JM193" s="1056"/>
      <c r="JN193" s="1056"/>
      <c r="JO193" s="1056"/>
      <c r="JP193" s="1056"/>
      <c r="JQ193" s="1056"/>
      <c r="JR193" s="1056"/>
      <c r="JS193" s="1056"/>
      <c r="JT193" s="1056"/>
      <c r="JU193" s="1056"/>
      <c r="JV193" s="1056"/>
      <c r="JW193" s="1056"/>
      <c r="JX193" s="1056"/>
      <c r="JY193" s="1056"/>
      <c r="JZ193" s="1056"/>
      <c r="KA193" s="1056"/>
      <c r="KB193" s="1056"/>
      <c r="KC193" s="1056"/>
      <c r="KD193" s="1056"/>
      <c r="KE193" s="1056"/>
      <c r="KF193" s="1056"/>
      <c r="KG193" s="1056"/>
      <c r="KH193" s="1056"/>
      <c r="KI193" s="1056"/>
      <c r="KJ193" s="1056"/>
      <c r="KK193" s="1056"/>
      <c r="KL193" s="1056"/>
      <c r="KM193" s="1056"/>
      <c r="KN193" s="1056"/>
      <c r="KO193" s="1056"/>
      <c r="KP193" s="1056"/>
      <c r="KQ193" s="1056"/>
      <c r="KR193" s="1056"/>
      <c r="KS193" s="1056"/>
      <c r="KT193" s="1056"/>
      <c r="KU193" s="1056"/>
      <c r="KV193" s="1056"/>
      <c r="KW193" s="1056"/>
      <c r="KX193" s="1056"/>
      <c r="KY193" s="1056"/>
      <c r="KZ193" s="1056"/>
      <c r="LA193" s="1056"/>
      <c r="LB193" s="1056"/>
      <c r="LC193" s="1056"/>
      <c r="LD193" s="1056"/>
      <c r="LE193" s="1056"/>
      <c r="LF193" s="1056"/>
      <c r="LG193" s="1056"/>
      <c r="LH193" s="1056"/>
      <c r="LI193" s="1056"/>
      <c r="LJ193" s="1056"/>
      <c r="LK193" s="1056"/>
      <c r="LL193" s="1056"/>
      <c r="LM193" s="1056"/>
      <c r="LN193" s="1056"/>
      <c r="LO193" s="1056"/>
      <c r="LP193" s="1056"/>
      <c r="LQ193" s="1056"/>
      <c r="LR193" s="1056"/>
      <c r="LS193" s="1056"/>
      <c r="LT193" s="1056"/>
      <c r="LU193" s="1056"/>
      <c r="LV193" s="1056"/>
      <c r="LW193" s="1056"/>
      <c r="LX193" s="1056"/>
      <c r="LY193" s="1056"/>
      <c r="LZ193" s="1056"/>
      <c r="MA193" s="1056"/>
      <c r="MB193" s="1056"/>
      <c r="MC193" s="1056"/>
      <c r="MD193" s="1056"/>
      <c r="ME193" s="1056"/>
      <c r="MF193" s="1056"/>
      <c r="MG193" s="1056"/>
      <c r="MH193" s="1056"/>
      <c r="MI193" s="1056"/>
      <c r="MJ193" s="1056"/>
      <c r="MK193" s="1056"/>
      <c r="ML193" s="1056"/>
      <c r="MM193" s="1056"/>
      <c r="MN193" s="1056"/>
      <c r="MO193" s="1056"/>
      <c r="MP193" s="1056"/>
      <c r="MQ193" s="1056"/>
      <c r="MR193" s="1056"/>
      <c r="MS193" s="1056"/>
      <c r="MT193" s="1056"/>
      <c r="MU193" s="1056"/>
      <c r="MV193" s="1056"/>
      <c r="MW193" s="1056"/>
      <c r="MX193" s="1056"/>
      <c r="MY193" s="1056"/>
      <c r="MZ193" s="1056"/>
      <c r="NA193" s="1056"/>
      <c r="NB193" s="1056"/>
      <c r="NC193" s="1056"/>
      <c r="ND193" s="1056"/>
      <c r="NE193" s="1056"/>
      <c r="NF193" s="1056"/>
      <c r="NG193" s="1056"/>
      <c r="NH193" s="1056"/>
      <c r="NI193" s="1056"/>
      <c r="NJ193" s="1056"/>
      <c r="NK193" s="1056"/>
      <c r="NL193" s="1056"/>
      <c r="NM193" s="1056"/>
      <c r="NN193" s="1056"/>
      <c r="NO193" s="1056"/>
      <c r="NP193" s="1056"/>
      <c r="NQ193" s="1056"/>
      <c r="NR193" s="1056"/>
      <c r="NS193" s="1056"/>
      <c r="NT193" s="1056"/>
      <c r="NU193" s="1056"/>
      <c r="NV193" s="1056"/>
      <c r="NW193" s="1056"/>
      <c r="NX193" s="1056"/>
      <c r="NY193" s="1056"/>
      <c r="NZ193" s="1056"/>
      <c r="OA193" s="1056"/>
      <c r="OB193" s="1056"/>
      <c r="OC193" s="1056"/>
      <c r="OD193" s="1056"/>
      <c r="OE193" s="1056"/>
      <c r="OF193" s="1056"/>
      <c r="OG193" s="1056"/>
      <c r="OH193" s="1056"/>
      <c r="OI193" s="1056"/>
      <c r="OJ193" s="1056"/>
      <c r="OK193" s="1056"/>
      <c r="OL193" s="1056"/>
      <c r="OM193" s="1056"/>
      <c r="ON193" s="1056"/>
      <c r="OO193" s="1056"/>
      <c r="OP193" s="1056"/>
      <c r="OQ193" s="1056"/>
      <c r="OR193" s="1056"/>
      <c r="OS193" s="1056"/>
      <c r="OT193" s="1056"/>
      <c r="OU193" s="1056"/>
      <c r="OV193" s="1056"/>
      <c r="OW193" s="1056"/>
      <c r="OX193" s="1056"/>
      <c r="OY193" s="1056"/>
      <c r="OZ193" s="1056"/>
      <c r="PA193" s="1056"/>
      <c r="PB193" s="1056"/>
      <c r="PC193" s="1056"/>
      <c r="PD193" s="1056"/>
      <c r="PE193" s="1056"/>
      <c r="PF193" s="1056"/>
      <c r="PG193" s="1056"/>
      <c r="PH193" s="1056"/>
      <c r="PI193" s="1056"/>
      <c r="PJ193" s="1056"/>
      <c r="PK193" s="1056"/>
      <c r="PL193" s="1056"/>
      <c r="PM193" s="1056"/>
      <c r="PN193" s="1056"/>
      <c r="PO193" s="1056"/>
      <c r="PP193" s="1056"/>
      <c r="PQ193" s="1056"/>
      <c r="PR193" s="1056"/>
      <c r="PS193" s="1056"/>
      <c r="PT193" s="1056"/>
      <c r="PU193" s="1056"/>
      <c r="PV193" s="1056"/>
      <c r="PW193" s="1056"/>
      <c r="PX193" s="1056"/>
      <c r="PY193" s="1056"/>
      <c r="PZ193" s="1056"/>
      <c r="QA193" s="1056"/>
      <c r="QB193" s="1056"/>
      <c r="QC193" s="1056"/>
      <c r="QD193" s="1056"/>
      <c r="QE193" s="1056"/>
      <c r="QF193" s="1056"/>
      <c r="QG193" s="1056"/>
      <c r="QH193" s="1056"/>
      <c r="QI193" s="1056"/>
      <c r="QJ193" s="1056"/>
      <c r="QK193" s="1056"/>
      <c r="QL193" s="1056"/>
      <c r="QM193" s="1056"/>
      <c r="QN193" s="1056"/>
      <c r="QO193" s="1056"/>
      <c r="QP193" s="1056"/>
      <c r="QQ193" s="1056"/>
      <c r="QR193" s="1056"/>
      <c r="QS193" s="1056"/>
      <c r="QT193" s="1056"/>
      <c r="QU193" s="1056"/>
      <c r="QV193" s="1056"/>
      <c r="QW193" s="1056"/>
      <c r="QX193" s="1056"/>
      <c r="QY193" s="1056"/>
      <c r="QZ193" s="1056"/>
      <c r="RA193" s="1056"/>
      <c r="RB193" s="1056"/>
      <c r="RC193" s="1056"/>
      <c r="RD193" s="1056"/>
      <c r="RE193" s="1056"/>
      <c r="RF193" s="1056"/>
      <c r="RG193" s="1056"/>
      <c r="RH193" s="1056"/>
      <c r="RI193" s="1056"/>
      <c r="RJ193" s="1056"/>
      <c r="RK193" s="1056"/>
      <c r="RL193" s="1056"/>
      <c r="RM193" s="1056"/>
      <c r="RN193" s="1056"/>
      <c r="RO193" s="1056"/>
      <c r="RP193" s="1056"/>
      <c r="RQ193" s="1056"/>
      <c r="RR193" s="1056"/>
      <c r="RS193" s="1056"/>
      <c r="RT193" s="1056"/>
      <c r="RU193" s="1056"/>
      <c r="RV193" s="1056"/>
      <c r="RW193" s="1056"/>
      <c r="RX193" s="1056"/>
      <c r="RY193" s="1056"/>
      <c r="RZ193" s="1056"/>
      <c r="SA193" s="1056"/>
      <c r="SB193" s="1056"/>
      <c r="SC193" s="1056"/>
      <c r="SD193" s="1056"/>
      <c r="SE193" s="1056"/>
      <c r="SF193" s="1056"/>
      <c r="SG193" s="1056"/>
      <c r="SH193" s="1056"/>
      <c r="SI193" s="1056"/>
      <c r="SJ193" s="1056"/>
      <c r="SK193" s="1056"/>
      <c r="SL193" s="1056"/>
      <c r="SM193" s="1056"/>
      <c r="SN193" s="1056"/>
      <c r="SO193" s="1056"/>
      <c r="SP193" s="1056"/>
      <c r="SQ193" s="1056"/>
      <c r="SR193" s="1056"/>
      <c r="SS193" s="1056"/>
      <c r="ST193" s="1056"/>
      <c r="SU193" s="1056"/>
      <c r="SV193" s="1056"/>
      <c r="SW193" s="1056"/>
      <c r="SX193" s="1056"/>
      <c r="SY193" s="1056"/>
      <c r="SZ193" s="1056"/>
      <c r="TA193" s="1056"/>
      <c r="TB193" s="1056"/>
      <c r="TC193" s="1056"/>
      <c r="TD193" s="1056"/>
      <c r="TE193" s="1056"/>
      <c r="TF193" s="1056"/>
      <c r="TG193" s="1056"/>
      <c r="TH193" s="1056"/>
      <c r="TI193" s="1056"/>
      <c r="TJ193" s="1056"/>
      <c r="TK193" s="1056"/>
      <c r="TL193" s="1056"/>
      <c r="TM193" s="1056"/>
      <c r="TN193" s="1056"/>
      <c r="TO193" s="1056"/>
      <c r="TP193" s="1056"/>
      <c r="TQ193" s="1056"/>
      <c r="TR193" s="1056"/>
      <c r="TS193" s="1056"/>
      <c r="TT193" s="1056"/>
      <c r="TU193" s="1056"/>
      <c r="TV193" s="1056"/>
      <c r="TW193" s="1056"/>
      <c r="TX193" s="1056"/>
      <c r="TY193" s="1056"/>
      <c r="TZ193" s="1056"/>
      <c r="UA193" s="1056"/>
      <c r="UB193" s="1056"/>
      <c r="UC193" s="1056"/>
      <c r="UD193" s="1056"/>
      <c r="UE193" s="1056"/>
      <c r="UF193" s="1056"/>
      <c r="UG193" s="1056"/>
      <c r="UH193" s="1056"/>
      <c r="UI193" s="1056"/>
      <c r="UJ193" s="1056"/>
      <c r="UK193" s="1056"/>
      <c r="UL193" s="1056"/>
      <c r="UM193" s="1056"/>
      <c r="UN193" s="1056"/>
      <c r="UO193" s="1056"/>
      <c r="UP193" s="1056"/>
      <c r="UQ193" s="1056"/>
      <c r="UR193" s="1056"/>
      <c r="US193" s="1056"/>
      <c r="UT193" s="1056"/>
      <c r="UU193" s="1056"/>
      <c r="UV193" s="1056"/>
      <c r="UW193" s="1056"/>
      <c r="UX193" s="1056"/>
      <c r="UY193" s="1056"/>
      <c r="UZ193" s="1056"/>
      <c r="VA193" s="1056"/>
      <c r="VB193" s="1056"/>
      <c r="VC193" s="1056"/>
      <c r="VD193" s="1056"/>
      <c r="VE193" s="1056"/>
      <c r="VF193" s="1056"/>
      <c r="VG193" s="1056"/>
      <c r="VH193" s="1056"/>
      <c r="VI193" s="1056"/>
      <c r="VJ193" s="1056"/>
      <c r="VK193" s="1056"/>
      <c r="VL193" s="1056"/>
      <c r="VM193" s="1056"/>
      <c r="VN193" s="1056"/>
      <c r="VO193" s="1056"/>
      <c r="VP193" s="1056"/>
      <c r="VQ193" s="1056"/>
      <c r="VR193" s="1056"/>
      <c r="VS193" s="1056"/>
      <c r="VT193" s="1056"/>
      <c r="VU193" s="1056"/>
      <c r="VV193" s="1056"/>
      <c r="VW193" s="1056"/>
      <c r="VX193" s="1056"/>
      <c r="VY193" s="1056"/>
      <c r="VZ193" s="1056"/>
      <c r="WA193" s="1056"/>
      <c r="WB193" s="1056"/>
      <c r="WC193" s="1056"/>
      <c r="WD193" s="1056"/>
      <c r="WE193" s="1056"/>
      <c r="WF193" s="1056"/>
      <c r="WG193" s="1056"/>
      <c r="WH193" s="1056"/>
      <c r="WI193" s="1056"/>
      <c r="WJ193" s="1056"/>
      <c r="WK193" s="1056"/>
      <c r="WL193" s="1056"/>
      <c r="WM193" s="1056"/>
      <c r="WN193" s="1056"/>
      <c r="WO193" s="1056"/>
      <c r="WP193" s="1056"/>
      <c r="WQ193" s="1056"/>
      <c r="WR193" s="1056"/>
      <c r="WS193" s="1056"/>
      <c r="WT193" s="1056"/>
      <c r="WU193" s="1056"/>
      <c r="WV193" s="1056"/>
      <c r="WW193" s="1056"/>
      <c r="WX193" s="1056"/>
      <c r="WY193" s="1056"/>
      <c r="WZ193" s="1056"/>
      <c r="XA193" s="1056"/>
      <c r="XB193" s="1056"/>
      <c r="XC193" s="1056"/>
      <c r="XD193" s="1056"/>
      <c r="XE193" s="1056"/>
      <c r="XF193" s="1056"/>
      <c r="XG193" s="1056"/>
      <c r="XH193" s="1056"/>
      <c r="XI193" s="1056"/>
      <c r="XJ193" s="1056"/>
      <c r="XK193" s="1056"/>
      <c r="XL193" s="1056"/>
      <c r="XM193" s="1056"/>
      <c r="XN193" s="1056"/>
      <c r="XO193" s="1056"/>
      <c r="XP193" s="1056"/>
      <c r="XQ193" s="1056"/>
      <c r="XR193" s="1056"/>
      <c r="XS193" s="1056"/>
      <c r="XT193" s="1056"/>
      <c r="XU193" s="1056"/>
      <c r="XV193" s="1056"/>
      <c r="XW193" s="1056"/>
      <c r="XX193" s="1056"/>
      <c r="XY193" s="1056"/>
      <c r="XZ193" s="1056"/>
      <c r="YA193" s="1056"/>
      <c r="YB193" s="1056"/>
      <c r="YC193" s="1056"/>
      <c r="YD193" s="1056"/>
      <c r="YE193" s="1056"/>
      <c r="YF193" s="1056"/>
      <c r="YG193" s="1056"/>
      <c r="YH193" s="1056"/>
      <c r="YI193" s="1056"/>
      <c r="YJ193" s="1056"/>
      <c r="YK193" s="1056"/>
      <c r="YL193" s="1056"/>
      <c r="YM193" s="1056"/>
      <c r="YN193" s="1056"/>
      <c r="YO193" s="1056"/>
      <c r="YP193" s="1056"/>
      <c r="YQ193" s="1056"/>
      <c r="YR193" s="1056"/>
      <c r="YS193" s="1056"/>
      <c r="YT193" s="1056"/>
      <c r="YU193" s="1056"/>
      <c r="YV193" s="1056"/>
      <c r="YW193" s="1056"/>
      <c r="YX193" s="1056"/>
      <c r="YY193" s="1056"/>
      <c r="YZ193" s="1056"/>
      <c r="ZA193" s="1056"/>
      <c r="ZB193" s="1056"/>
      <c r="ZC193" s="1056"/>
      <c r="ZD193" s="1056"/>
      <c r="ZE193" s="1056"/>
      <c r="ZF193" s="1056"/>
      <c r="ZG193" s="1056"/>
      <c r="ZH193" s="1056"/>
      <c r="ZI193" s="1056"/>
      <c r="ZJ193" s="1056"/>
      <c r="ZK193" s="1056"/>
      <c r="ZL193" s="1056"/>
      <c r="ZM193" s="1056"/>
      <c r="ZN193" s="1056"/>
      <c r="ZO193" s="1056"/>
      <c r="ZP193" s="1056"/>
      <c r="ZQ193" s="1056"/>
      <c r="ZR193" s="1056"/>
      <c r="ZS193" s="1056"/>
      <c r="ZT193" s="1056"/>
      <c r="ZU193" s="1056"/>
      <c r="ZV193" s="1056"/>
      <c r="ZW193" s="1056"/>
      <c r="ZX193" s="1056"/>
      <c r="ZY193" s="1056"/>
      <c r="ZZ193" s="1056"/>
      <c r="AAA193" s="1056"/>
      <c r="AAB193" s="1056"/>
      <c r="AAC193" s="1056"/>
      <c r="AAD193" s="1056"/>
      <c r="AAE193" s="1056"/>
      <c r="AAF193" s="1056"/>
      <c r="AAG193" s="1056"/>
      <c r="AAH193" s="1056"/>
      <c r="AAI193" s="1056"/>
      <c r="AAJ193" s="1056"/>
      <c r="AAK193" s="1056"/>
      <c r="AAL193" s="1056"/>
      <c r="AAM193" s="1056"/>
      <c r="AAN193" s="1056"/>
      <c r="AAO193" s="1056"/>
      <c r="AAP193" s="1056"/>
      <c r="AAQ193" s="1056"/>
      <c r="AAR193" s="1056"/>
      <c r="AAS193" s="1056"/>
      <c r="AAT193" s="1056"/>
      <c r="AAU193" s="1056"/>
      <c r="AAV193" s="1056"/>
      <c r="AAW193" s="1056"/>
      <c r="AAX193" s="1056"/>
      <c r="AAY193" s="1056"/>
      <c r="AAZ193" s="1056"/>
      <c r="ABA193" s="1056"/>
      <c r="ABB193" s="1056"/>
      <c r="ABC193" s="1056"/>
      <c r="ABD193" s="1056"/>
      <c r="ABE193" s="1056"/>
      <c r="ABF193" s="1056"/>
      <c r="ABG193" s="1056"/>
      <c r="ABH193" s="1056"/>
      <c r="ABI193" s="1056"/>
      <c r="ABJ193" s="1056"/>
      <c r="ABK193" s="1056"/>
      <c r="ABL193" s="1056"/>
      <c r="ABM193" s="1056"/>
      <c r="ABN193" s="1056"/>
      <c r="ABO193" s="1056"/>
      <c r="ABP193" s="1056"/>
      <c r="ABQ193" s="1056"/>
      <c r="ABR193" s="1056"/>
      <c r="ABS193" s="1056"/>
      <c r="ABT193" s="1056"/>
      <c r="ABU193" s="1056"/>
      <c r="ABV193" s="1056"/>
      <c r="ABW193" s="1056"/>
      <c r="ABX193" s="1056"/>
      <c r="ABY193" s="1056"/>
      <c r="ABZ193" s="1056"/>
      <c r="ACA193" s="1056"/>
      <c r="ACB193" s="1056"/>
      <c r="ACC193" s="1056"/>
      <c r="ACD193" s="1056"/>
      <c r="ACE193" s="1056"/>
      <c r="ACF193" s="1056"/>
      <c r="ACG193" s="1056"/>
      <c r="ACH193" s="1056"/>
      <c r="ACI193" s="1056"/>
      <c r="ACJ193" s="1056"/>
      <c r="ACK193" s="1056"/>
      <c r="ACL193" s="1056"/>
      <c r="ACM193" s="1056"/>
      <c r="ACN193" s="1056"/>
      <c r="ACO193" s="1056"/>
      <c r="ACP193" s="1056"/>
      <c r="ACQ193" s="1056"/>
      <c r="ACR193" s="1056"/>
      <c r="ACS193" s="1056"/>
      <c r="ACT193" s="1056"/>
      <c r="ACU193" s="1056"/>
      <c r="ACV193" s="1056"/>
      <c r="ACW193" s="1056"/>
      <c r="ACX193" s="1056"/>
      <c r="ACY193" s="1056"/>
      <c r="ACZ193" s="1056"/>
      <c r="ADA193" s="1056"/>
      <c r="ADB193" s="1056"/>
      <c r="ADC193" s="1056"/>
      <c r="ADD193" s="1056"/>
      <c r="ADE193" s="1056"/>
      <c r="ADF193" s="1056"/>
      <c r="ADG193" s="1056"/>
      <c r="ADH193" s="1056"/>
      <c r="ADI193" s="1056"/>
      <c r="ADJ193" s="1056"/>
      <c r="ADK193" s="1056"/>
      <c r="ADL193" s="1056"/>
      <c r="ADM193" s="1056"/>
      <c r="ADN193" s="1056"/>
      <c r="ADO193" s="1056"/>
      <c r="ADP193" s="1056"/>
      <c r="ADQ193" s="1056"/>
      <c r="ADR193" s="1056"/>
      <c r="ADS193" s="1056"/>
      <c r="ADT193" s="1056"/>
      <c r="ADU193" s="1056"/>
      <c r="ADV193" s="1056"/>
      <c r="ADW193" s="1056"/>
      <c r="ADX193" s="1056"/>
      <c r="ADY193" s="1056"/>
      <c r="ADZ193" s="1056"/>
      <c r="AEA193" s="1056"/>
      <c r="AEB193" s="1056"/>
      <c r="AEC193" s="1056"/>
      <c r="AED193" s="1056"/>
      <c r="AEE193" s="1056"/>
      <c r="AEF193" s="1056"/>
      <c r="AEG193" s="1056"/>
      <c r="AEH193" s="1056"/>
      <c r="AEI193" s="1056"/>
      <c r="AEJ193" s="1056"/>
      <c r="AEK193" s="1056"/>
      <c r="AEL193" s="1056"/>
      <c r="AEM193" s="1056"/>
      <c r="AEN193" s="1056"/>
      <c r="AEO193" s="1056"/>
      <c r="AEP193" s="1056"/>
      <c r="AEQ193" s="1056"/>
      <c r="AER193" s="1056"/>
      <c r="AES193" s="1056"/>
      <c r="AET193" s="1056"/>
      <c r="AEU193" s="1056"/>
      <c r="AEV193" s="1056"/>
      <c r="AEW193" s="1056"/>
      <c r="AEX193" s="1056"/>
      <c r="AEY193" s="1056"/>
      <c r="AEZ193" s="1056"/>
      <c r="AFA193" s="1056"/>
      <c r="AFB193" s="1056"/>
      <c r="AFC193" s="1056"/>
      <c r="AFD193" s="1056"/>
      <c r="AFE193" s="1056"/>
      <c r="AFF193" s="1056"/>
      <c r="AFG193" s="1056"/>
      <c r="AFH193" s="1056"/>
      <c r="AFI193" s="1056"/>
      <c r="AFJ193" s="1056"/>
      <c r="AFK193" s="1056"/>
      <c r="AFL193" s="1056"/>
      <c r="AFM193" s="1056"/>
      <c r="AFN193" s="1056"/>
      <c r="AFO193" s="1056"/>
      <c r="AFP193" s="1056"/>
      <c r="AFQ193" s="1056"/>
      <c r="AFR193" s="1056"/>
      <c r="AFS193" s="1056"/>
      <c r="AFT193" s="1056"/>
      <c r="AFU193" s="1056"/>
      <c r="AFV193" s="1056"/>
      <c r="AFW193" s="1056"/>
      <c r="AFX193" s="1056"/>
      <c r="AFY193" s="1056"/>
      <c r="AFZ193" s="1056"/>
      <c r="AGA193" s="1056"/>
      <c r="AGB193" s="1056"/>
      <c r="AGC193" s="1056"/>
      <c r="AGD193" s="1056"/>
      <c r="AGE193" s="1056"/>
      <c r="AGF193" s="1056"/>
      <c r="AGG193" s="1056"/>
      <c r="AGH193" s="1056"/>
      <c r="AGI193" s="1056"/>
      <c r="AGJ193" s="1056"/>
      <c r="AGK193" s="1056"/>
      <c r="AGL193" s="1056"/>
      <c r="AGM193" s="1056"/>
      <c r="AGN193" s="1056"/>
      <c r="AGO193" s="1056"/>
      <c r="AGP193" s="1056"/>
      <c r="AGQ193" s="1056"/>
      <c r="AGR193" s="1056"/>
      <c r="AGS193" s="1056"/>
      <c r="AGT193" s="1056"/>
      <c r="AGU193" s="1056"/>
      <c r="AGV193" s="1056"/>
      <c r="AGW193" s="1056"/>
      <c r="AGX193" s="1056"/>
      <c r="AGY193" s="1056"/>
      <c r="AGZ193" s="1056"/>
      <c r="AHA193" s="1056"/>
      <c r="AHB193" s="1056"/>
      <c r="AHC193" s="1056"/>
      <c r="AHD193" s="1056"/>
      <c r="AHE193" s="1056"/>
      <c r="AHF193" s="1056"/>
      <c r="AHG193" s="1056"/>
      <c r="AHH193" s="1056"/>
      <c r="AHI193" s="1056"/>
      <c r="AHJ193" s="1056"/>
      <c r="AHK193" s="1056"/>
      <c r="AHL193" s="1056"/>
      <c r="AHM193" s="1056"/>
      <c r="AHN193" s="1056"/>
      <c r="AHO193" s="1056"/>
      <c r="AHP193" s="1056"/>
      <c r="AHQ193" s="1056"/>
      <c r="AHR193" s="1056"/>
      <c r="AHS193" s="1056"/>
      <c r="AHT193" s="1056"/>
      <c r="AHU193" s="1056"/>
      <c r="AHV193" s="1056"/>
      <c r="AHW193" s="1056"/>
      <c r="AHX193" s="1056"/>
      <c r="AHY193" s="1056"/>
      <c r="AHZ193" s="1056"/>
      <c r="AIA193" s="1056"/>
      <c r="AIB193" s="1056"/>
      <c r="AIC193" s="1056"/>
      <c r="AID193" s="1056"/>
      <c r="AIE193" s="1056"/>
      <c r="AIF193" s="1056"/>
      <c r="AIG193" s="1056"/>
      <c r="AIH193" s="1056"/>
      <c r="AII193" s="1056"/>
      <c r="AIJ193" s="1056"/>
      <c r="AIK193" s="1056"/>
      <c r="AIL193" s="1056"/>
      <c r="AIM193" s="1056"/>
      <c r="AIN193" s="1056"/>
      <c r="AIO193" s="1056"/>
      <c r="AIP193" s="1056"/>
      <c r="AIQ193" s="1056"/>
      <c r="AIR193" s="1056"/>
      <c r="AIS193" s="1056"/>
      <c r="AIT193" s="1056"/>
      <c r="AIU193" s="1056"/>
      <c r="AIV193" s="1056"/>
      <c r="AIW193" s="1056"/>
      <c r="AIX193" s="1056"/>
      <c r="AIY193" s="1056"/>
      <c r="AIZ193" s="1056"/>
      <c r="AJA193" s="1056"/>
      <c r="AJB193" s="1056"/>
      <c r="AJC193" s="1056"/>
      <c r="AJD193" s="1056"/>
      <c r="AJE193" s="1056"/>
      <c r="AJF193" s="1056"/>
      <c r="AJG193" s="1056"/>
      <c r="AJH193" s="1056"/>
      <c r="AJI193" s="1056"/>
      <c r="AJJ193" s="1056"/>
      <c r="AJK193" s="1056"/>
      <c r="AJL193" s="1056"/>
      <c r="AJM193" s="1056"/>
      <c r="AJN193" s="1056"/>
      <c r="AJO193" s="1056"/>
      <c r="AJP193" s="1056"/>
      <c r="AJQ193" s="1056"/>
      <c r="AJR193" s="1056"/>
      <c r="AJS193" s="1056"/>
      <c r="AJT193" s="1056"/>
      <c r="AJU193" s="1056"/>
      <c r="AJV193" s="1056"/>
      <c r="AJW193" s="1056"/>
      <c r="AJX193" s="1056"/>
      <c r="AJY193" s="1056"/>
      <c r="AJZ193" s="1056"/>
      <c r="AKA193" s="1056"/>
      <c r="AKB193" s="1056"/>
      <c r="AKC193" s="1056"/>
      <c r="AKD193" s="1056"/>
      <c r="AKE193" s="1056"/>
      <c r="AKF193" s="1056"/>
      <c r="AKG193" s="1056"/>
      <c r="AKH193" s="1056"/>
      <c r="AKI193" s="1056"/>
      <c r="AKJ193" s="1056"/>
      <c r="AKK193" s="1056"/>
      <c r="AKL193" s="1056"/>
      <c r="AKM193" s="1056"/>
      <c r="AKN193" s="1056"/>
      <c r="AKO193" s="1056"/>
      <c r="AKP193" s="1056"/>
      <c r="AKQ193" s="1056"/>
      <c r="AKR193" s="1056"/>
      <c r="AKS193" s="1056"/>
      <c r="AKT193" s="1056"/>
      <c r="AKU193" s="1056"/>
      <c r="AKV193" s="1056"/>
      <c r="AKW193" s="1056"/>
      <c r="AKX193" s="1056"/>
      <c r="AKY193" s="1056"/>
      <c r="AKZ193" s="1056"/>
      <c r="ALA193" s="1056"/>
      <c r="ALB193" s="1056"/>
      <c r="ALC193" s="1056"/>
      <c r="ALD193" s="1056"/>
      <c r="ALE193" s="1056"/>
      <c r="ALF193" s="1056"/>
      <c r="ALG193" s="1056"/>
      <c r="ALH193" s="1056"/>
      <c r="ALI193" s="1056"/>
      <c r="ALJ193" s="1056"/>
      <c r="ALK193" s="1056"/>
      <c r="ALL193" s="1056"/>
      <c r="ALM193" s="1056"/>
      <c r="ALN193" s="1056"/>
      <c r="ALO193" s="1056"/>
      <c r="ALP193" s="1056"/>
      <c r="ALQ193" s="1056"/>
      <c r="ALR193" s="1056"/>
      <c r="ALS193" s="1056"/>
      <c r="ALT193" s="1056"/>
      <c r="ALU193" s="1056"/>
      <c r="ALV193" s="1056"/>
      <c r="ALW193" s="1056"/>
      <c r="ALX193" s="1056"/>
      <c r="ALY193" s="1056"/>
      <c r="ALZ193" s="1056"/>
      <c r="AMA193" s="1056"/>
      <c r="AMB193" s="1056"/>
      <c r="AMC193" s="1056"/>
      <c r="AMD193" s="1056"/>
      <c r="AME193" s="1056"/>
      <c r="AMF193" s="1056"/>
      <c r="AMG193" s="1056"/>
      <c r="AMH193" s="1056"/>
      <c r="AMI193" s="1056"/>
      <c r="AMJ193" s="1056"/>
      <c r="AMK193" s="1056"/>
      <c r="AML193" s="1056"/>
      <c r="AMM193" s="1056"/>
      <c r="AMN193" s="1056"/>
      <c r="AMO193" s="1056"/>
      <c r="AMP193" s="1056"/>
      <c r="AMQ193" s="1056"/>
      <c r="AMR193" s="1056"/>
      <c r="AMS193" s="1056"/>
      <c r="AMT193" s="1056"/>
      <c r="AMU193" s="1056"/>
      <c r="AMV193" s="1056"/>
      <c r="AMW193" s="1056"/>
      <c r="AMX193" s="1056"/>
      <c r="AMY193" s="1056"/>
      <c r="AMZ193" s="1056"/>
      <c r="ANA193" s="1056"/>
      <c r="ANB193" s="1056"/>
      <c r="ANC193" s="1056"/>
      <c r="AND193" s="1056"/>
      <c r="ANE193" s="1056"/>
      <c r="ANF193" s="1056"/>
      <c r="ANG193" s="1056"/>
      <c r="ANH193" s="1056"/>
      <c r="ANI193" s="1056"/>
      <c r="ANJ193" s="1056"/>
      <c r="ANK193" s="1056"/>
      <c r="ANL193" s="1056"/>
      <c r="ANM193" s="1056"/>
      <c r="ANN193" s="1056"/>
      <c r="ANO193" s="1056"/>
      <c r="ANP193" s="1056"/>
      <c r="ANQ193" s="1056"/>
      <c r="ANR193" s="1056"/>
      <c r="ANS193" s="1056"/>
      <c r="ANT193" s="1056"/>
      <c r="ANU193" s="1056"/>
      <c r="ANV193" s="1056"/>
      <c r="ANW193" s="1056"/>
      <c r="ANX193" s="1056"/>
      <c r="ANY193" s="1056"/>
      <c r="ANZ193" s="1056"/>
      <c r="AOA193" s="1056"/>
      <c r="AOB193" s="1056"/>
      <c r="AOC193" s="1056"/>
      <c r="AOD193" s="1056"/>
      <c r="AOE193" s="1056"/>
      <c r="AOF193" s="1056"/>
      <c r="AOG193" s="1056"/>
      <c r="AOH193" s="1056"/>
      <c r="AOI193" s="1056"/>
      <c r="AOJ193" s="1056"/>
      <c r="AOK193" s="1056"/>
      <c r="AOL193" s="1056"/>
      <c r="AOM193" s="1056"/>
      <c r="AON193" s="1056"/>
      <c r="AOO193" s="1056"/>
      <c r="AOP193" s="1056"/>
      <c r="AOQ193" s="1056"/>
      <c r="AOR193" s="1056"/>
      <c r="AOS193" s="1056"/>
      <c r="AOT193" s="1056"/>
      <c r="AOU193" s="1056"/>
      <c r="AOV193" s="1056"/>
      <c r="AOW193" s="1056"/>
      <c r="AOX193" s="1056"/>
      <c r="AOY193" s="1056"/>
      <c r="AOZ193" s="1056"/>
      <c r="APA193" s="1056"/>
      <c r="APB193" s="1056"/>
      <c r="APC193" s="1056"/>
      <c r="APD193" s="1056"/>
      <c r="APE193" s="1056"/>
      <c r="APF193" s="1056"/>
      <c r="APG193" s="1056"/>
      <c r="APH193" s="1056"/>
      <c r="API193" s="1056"/>
      <c r="APJ193" s="1056"/>
      <c r="APK193" s="1056"/>
      <c r="APL193" s="1056"/>
      <c r="APM193" s="1056"/>
      <c r="APN193" s="1056"/>
      <c r="APO193" s="1056"/>
      <c r="APP193" s="1056"/>
      <c r="APQ193" s="1056"/>
      <c r="APR193" s="1056"/>
      <c r="APS193" s="1056"/>
      <c r="APT193" s="1056"/>
      <c r="APU193" s="1056"/>
      <c r="APV193" s="1056"/>
      <c r="APW193" s="1056"/>
      <c r="APX193" s="1056"/>
      <c r="APY193" s="1056"/>
      <c r="APZ193" s="1056"/>
      <c r="AQA193" s="1056"/>
      <c r="AQB193" s="1056"/>
      <c r="AQC193" s="1056"/>
      <c r="AQD193" s="1056"/>
      <c r="AQE193" s="1056"/>
      <c r="AQF193" s="1056"/>
      <c r="AQG193" s="1056"/>
      <c r="AQH193" s="1056"/>
      <c r="AQI193" s="1056"/>
      <c r="AQJ193" s="1056"/>
      <c r="AQK193" s="1056"/>
      <c r="AQL193" s="1056"/>
      <c r="AQM193" s="1056"/>
      <c r="AQN193" s="1056"/>
      <c r="AQO193" s="1056"/>
      <c r="AQP193" s="1056"/>
      <c r="AQQ193" s="1056"/>
      <c r="AQR193" s="1056"/>
      <c r="AQS193" s="1056"/>
      <c r="AQT193" s="1056"/>
      <c r="AQU193" s="1056"/>
      <c r="AQV193" s="1056"/>
      <c r="AQW193" s="1056"/>
      <c r="AQX193" s="1056"/>
      <c r="AQY193" s="1056"/>
      <c r="AQZ193" s="1056"/>
      <c r="ARA193" s="1056"/>
      <c r="ARB193" s="1056"/>
      <c r="ARC193" s="1056"/>
      <c r="ARD193" s="1056"/>
      <c r="ARE193" s="1056"/>
      <c r="ARF193" s="1056"/>
      <c r="ARG193" s="1056"/>
      <c r="ARH193" s="1056"/>
      <c r="ARI193" s="1056"/>
      <c r="ARJ193" s="1056"/>
      <c r="ARK193" s="1056"/>
      <c r="ARL193" s="1056"/>
      <c r="ARM193" s="1056"/>
      <c r="ARN193" s="1056"/>
      <c r="ARO193" s="1056"/>
      <c r="ARP193" s="1056"/>
      <c r="ARQ193" s="1056"/>
      <c r="ARR193" s="1056"/>
      <c r="ARS193" s="1056"/>
      <c r="ART193" s="1056"/>
      <c r="ARU193" s="1056"/>
      <c r="ARV193" s="1056"/>
      <c r="ARW193" s="1056"/>
      <c r="ARX193" s="1056"/>
      <c r="ARY193" s="1056"/>
      <c r="ARZ193" s="1056"/>
      <c r="ASA193" s="1056"/>
      <c r="ASB193" s="1056"/>
      <c r="ASC193" s="1056"/>
      <c r="ASD193" s="1056"/>
      <c r="ASE193" s="1056"/>
      <c r="ASF193" s="1056"/>
      <c r="ASG193" s="1056"/>
      <c r="ASH193" s="1056"/>
      <c r="ASI193" s="1056"/>
      <c r="ASJ193" s="1056"/>
      <c r="ASK193" s="1056"/>
      <c r="ASL193" s="1056"/>
      <c r="ASM193" s="1056"/>
      <c r="ASN193" s="1056"/>
      <c r="ASO193" s="1056"/>
      <c r="ASP193" s="1056"/>
      <c r="ASQ193" s="1056"/>
      <c r="ASR193" s="1056"/>
      <c r="ASS193" s="1056"/>
      <c r="AST193" s="1056"/>
      <c r="ASU193" s="1056"/>
      <c r="ASV193" s="1056"/>
      <c r="ASW193" s="1056"/>
      <c r="ASX193" s="1056"/>
      <c r="ASY193" s="1056"/>
      <c r="ASZ193" s="1056"/>
      <c r="ATA193" s="1056"/>
      <c r="ATB193" s="1056"/>
      <c r="ATC193" s="1056"/>
      <c r="ATD193" s="1056"/>
      <c r="ATE193" s="1056"/>
      <c r="ATF193" s="1056"/>
      <c r="ATG193" s="1056"/>
      <c r="ATH193" s="1056"/>
      <c r="ATI193" s="1056"/>
      <c r="ATJ193" s="1056"/>
      <c r="ATK193" s="1056"/>
      <c r="ATL193" s="1056"/>
      <c r="ATM193" s="1056"/>
      <c r="ATN193" s="1056"/>
      <c r="ATO193" s="1056"/>
      <c r="ATP193" s="1056"/>
      <c r="ATQ193" s="1056"/>
      <c r="ATR193" s="1056"/>
      <c r="ATS193" s="1056"/>
      <c r="ATT193" s="1056"/>
      <c r="ATU193" s="1056"/>
      <c r="ATV193" s="1056"/>
      <c r="ATW193" s="1056"/>
      <c r="ATX193" s="1056"/>
      <c r="ATY193" s="1056"/>
      <c r="ATZ193" s="1056"/>
      <c r="AUA193" s="1056"/>
      <c r="AUB193" s="1056"/>
      <c r="AUC193" s="1056"/>
      <c r="AUD193" s="1056"/>
      <c r="AUE193" s="1056"/>
      <c r="AUF193" s="1056"/>
      <c r="AUG193" s="1056"/>
      <c r="AUH193" s="1056"/>
      <c r="AUI193" s="1056"/>
      <c r="AUJ193" s="1056"/>
      <c r="AUK193" s="1056"/>
      <c r="AUL193" s="1056"/>
      <c r="AUM193" s="1056"/>
      <c r="AUN193" s="1056"/>
      <c r="AUO193" s="1056"/>
      <c r="AUP193" s="1056"/>
      <c r="AUQ193" s="1056"/>
      <c r="AUR193" s="1056"/>
      <c r="AUS193" s="1056"/>
      <c r="AUT193" s="1056"/>
      <c r="AUU193" s="1056"/>
      <c r="AUV193" s="1056"/>
      <c r="AUW193" s="1056"/>
      <c r="AUX193" s="1056"/>
      <c r="AUY193" s="1056"/>
      <c r="AUZ193" s="1056"/>
      <c r="AVA193" s="1056"/>
      <c r="AVB193" s="1056"/>
      <c r="AVC193" s="1056"/>
      <c r="AVD193" s="1056"/>
      <c r="AVE193" s="1056"/>
      <c r="AVF193" s="1056"/>
      <c r="AVG193" s="1056"/>
      <c r="AVH193" s="1056"/>
      <c r="AVI193" s="1056"/>
      <c r="AVJ193" s="1056"/>
      <c r="AVK193" s="1056"/>
      <c r="AVL193" s="1056"/>
      <c r="AVM193" s="1056"/>
      <c r="AVN193" s="1056"/>
      <c r="AVO193" s="1056"/>
      <c r="AVP193" s="1056"/>
      <c r="AVQ193" s="1056"/>
      <c r="AVR193" s="1056"/>
      <c r="AVS193" s="1056"/>
      <c r="AVT193" s="1056"/>
      <c r="AVU193" s="1056"/>
      <c r="AVV193" s="1056"/>
      <c r="AVW193" s="1056"/>
      <c r="AVX193" s="1056"/>
      <c r="AVY193" s="1056"/>
      <c r="AVZ193" s="1056"/>
      <c r="AWA193" s="1056"/>
      <c r="AWB193" s="1056"/>
      <c r="AWC193" s="1056"/>
      <c r="AWD193" s="1056"/>
      <c r="AWE193" s="1056"/>
      <c r="AWF193" s="1056"/>
      <c r="AWG193" s="1056"/>
      <c r="AWH193" s="1056"/>
      <c r="AWI193" s="1056"/>
      <c r="AWJ193" s="1056"/>
      <c r="AWK193" s="1056"/>
      <c r="AWL193" s="1056"/>
      <c r="AWM193" s="1056"/>
      <c r="AWN193" s="1056"/>
      <c r="AWO193" s="1056"/>
      <c r="AWP193" s="1056"/>
      <c r="AWQ193" s="1056"/>
      <c r="AWR193" s="1056"/>
      <c r="AWS193" s="1056"/>
      <c r="AWT193" s="1056"/>
      <c r="AWU193" s="1056"/>
      <c r="AWV193" s="1056"/>
      <c r="AWW193" s="1056"/>
      <c r="AWX193" s="1056"/>
      <c r="AWY193" s="1056"/>
      <c r="AWZ193" s="1056"/>
      <c r="AXA193" s="1056"/>
      <c r="AXB193" s="1056"/>
      <c r="AXC193" s="1056"/>
      <c r="AXD193" s="1056"/>
      <c r="AXE193" s="1056"/>
      <c r="AXF193" s="1056"/>
      <c r="AXG193" s="1056"/>
      <c r="AXH193" s="1056"/>
      <c r="AXI193" s="1056"/>
      <c r="AXJ193" s="1056"/>
      <c r="AXK193" s="1056"/>
      <c r="AXL193" s="1056"/>
      <c r="AXM193" s="1056"/>
      <c r="AXN193" s="1056"/>
      <c r="AXO193" s="1056"/>
      <c r="AXP193" s="1056"/>
      <c r="AXQ193" s="1056"/>
      <c r="AXR193" s="1056"/>
      <c r="AXS193" s="1056"/>
      <c r="AXT193" s="1056"/>
      <c r="AXU193" s="1056"/>
      <c r="AXV193" s="1056"/>
      <c r="AXW193" s="1056"/>
      <c r="AXX193" s="1056"/>
      <c r="AXY193" s="1056"/>
      <c r="AXZ193" s="1056"/>
      <c r="AYA193" s="1056"/>
      <c r="AYB193" s="1056"/>
      <c r="AYC193" s="1056"/>
      <c r="AYD193" s="1056"/>
      <c r="AYE193" s="1056"/>
      <c r="AYF193" s="1056"/>
      <c r="AYG193" s="1056"/>
      <c r="AYH193" s="1056"/>
      <c r="AYI193" s="1056"/>
      <c r="AYJ193" s="1056"/>
      <c r="AYK193" s="1056"/>
      <c r="AYL193" s="1056"/>
      <c r="AYM193" s="1056"/>
      <c r="AYN193" s="1056"/>
      <c r="AYO193" s="1056"/>
      <c r="AYP193" s="1056"/>
      <c r="AYQ193" s="1056"/>
      <c r="AYR193" s="1056"/>
      <c r="AYS193" s="1056"/>
      <c r="AYT193" s="1056"/>
      <c r="AYU193" s="1056"/>
      <c r="AYV193" s="1056"/>
      <c r="AYW193" s="1056"/>
      <c r="AYX193" s="1056"/>
      <c r="AYY193" s="1056"/>
      <c r="AYZ193" s="1056"/>
      <c r="AZA193" s="1056"/>
      <c r="AZB193" s="1056"/>
      <c r="AZC193" s="1056"/>
      <c r="AZD193" s="1056"/>
      <c r="AZE193" s="1056"/>
      <c r="AZF193" s="1056"/>
      <c r="AZG193" s="1056"/>
      <c r="AZH193" s="1056"/>
      <c r="AZI193" s="1056"/>
      <c r="AZJ193" s="1056"/>
      <c r="AZK193" s="1056"/>
      <c r="AZL193" s="1056"/>
      <c r="AZM193" s="1056"/>
      <c r="AZN193" s="1056"/>
      <c r="AZO193" s="1056"/>
      <c r="AZP193" s="1056"/>
      <c r="AZQ193" s="1056"/>
      <c r="AZR193" s="1056"/>
      <c r="AZS193" s="1056"/>
      <c r="AZT193" s="1056"/>
      <c r="AZU193" s="1056"/>
      <c r="AZV193" s="1056"/>
      <c r="AZW193" s="1056"/>
      <c r="AZX193" s="1056"/>
      <c r="AZY193" s="1056"/>
      <c r="AZZ193" s="1056"/>
      <c r="BAA193" s="1056"/>
      <c r="BAB193" s="1056"/>
      <c r="BAC193" s="1056"/>
      <c r="BAD193" s="1056"/>
      <c r="BAE193" s="1056"/>
      <c r="BAF193" s="1056"/>
      <c r="BAG193" s="1056"/>
      <c r="BAH193" s="1056"/>
      <c r="BAI193" s="1056"/>
      <c r="BAJ193" s="1056"/>
      <c r="BAK193" s="1056"/>
      <c r="BAL193" s="1056"/>
      <c r="BAM193" s="1056"/>
      <c r="BAN193" s="1056"/>
      <c r="BAO193" s="1056"/>
      <c r="BAP193" s="1056"/>
      <c r="BAQ193" s="1056"/>
      <c r="BAR193" s="1056"/>
      <c r="BAS193" s="1056"/>
      <c r="BAT193" s="1056"/>
      <c r="BAU193" s="1056"/>
      <c r="BAV193" s="1056"/>
      <c r="BAW193" s="1056"/>
      <c r="BAX193" s="1056"/>
      <c r="BAY193" s="1056"/>
      <c r="BAZ193" s="1056"/>
      <c r="BBA193" s="1056"/>
      <c r="BBB193" s="1056"/>
      <c r="BBC193" s="1056"/>
      <c r="BBD193" s="1056"/>
      <c r="BBE193" s="1056"/>
      <c r="BBF193" s="1056"/>
      <c r="BBG193" s="1056"/>
      <c r="BBH193" s="1056"/>
      <c r="BBI193" s="1056"/>
      <c r="BBJ193" s="1056"/>
      <c r="BBK193" s="1056"/>
      <c r="BBL193" s="1056"/>
      <c r="BBM193" s="1056"/>
      <c r="BBN193" s="1056"/>
      <c r="BBO193" s="1056"/>
      <c r="BBP193" s="1056"/>
      <c r="BBQ193" s="1056"/>
      <c r="BBR193" s="1056"/>
      <c r="BBS193" s="1056"/>
      <c r="BBT193" s="1056"/>
      <c r="BBU193" s="1056"/>
      <c r="BBV193" s="1056"/>
      <c r="BBW193" s="1056"/>
      <c r="BBX193" s="1056"/>
      <c r="BBY193" s="1056"/>
      <c r="BBZ193" s="1056"/>
      <c r="BCA193" s="1056"/>
      <c r="BCB193" s="1056"/>
      <c r="BCC193" s="1056"/>
      <c r="BCD193" s="1056"/>
      <c r="BCE193" s="1056"/>
      <c r="BCF193" s="1056"/>
      <c r="BCG193" s="1056"/>
      <c r="BCH193" s="1056"/>
      <c r="BCI193" s="1056"/>
      <c r="BCJ193" s="1056"/>
      <c r="BCK193" s="1056"/>
      <c r="BCL193" s="1056"/>
      <c r="BCM193" s="1056"/>
      <c r="BCN193" s="1056"/>
      <c r="BCO193" s="1056"/>
      <c r="BCP193" s="1056"/>
      <c r="BCQ193" s="1056"/>
      <c r="BCR193" s="1056"/>
      <c r="BCS193" s="1056"/>
      <c r="BCT193" s="1056"/>
      <c r="BCU193" s="1056"/>
      <c r="BCV193" s="1056"/>
      <c r="BCW193" s="1056"/>
      <c r="BCX193" s="1056"/>
      <c r="BCY193" s="1056"/>
      <c r="BCZ193" s="1056"/>
      <c r="BDA193" s="1056"/>
      <c r="BDB193" s="1056"/>
      <c r="BDC193" s="1056"/>
      <c r="BDD193" s="1056"/>
      <c r="BDE193" s="1056"/>
      <c r="BDF193" s="1056"/>
      <c r="BDG193" s="1056"/>
      <c r="BDH193" s="1056"/>
      <c r="BDI193" s="1056"/>
      <c r="BDJ193" s="1056"/>
      <c r="BDK193" s="1056"/>
      <c r="BDL193" s="1056"/>
      <c r="BDM193" s="1056"/>
      <c r="BDN193" s="1056"/>
      <c r="BDO193" s="1056"/>
      <c r="BDP193" s="1056"/>
      <c r="BDQ193" s="1056"/>
      <c r="BDR193" s="1056"/>
      <c r="BDS193" s="1056"/>
      <c r="BDT193" s="1056"/>
      <c r="BDU193" s="1056"/>
      <c r="BDV193" s="1056"/>
      <c r="BDW193" s="1056"/>
      <c r="BDX193" s="1056"/>
      <c r="BDY193" s="1056"/>
      <c r="BDZ193" s="1056"/>
      <c r="BEA193" s="1056"/>
      <c r="BEB193" s="1056"/>
      <c r="BEC193" s="1056"/>
      <c r="BED193" s="1056"/>
      <c r="BEE193" s="1056"/>
      <c r="BEF193" s="1056"/>
      <c r="BEG193" s="1056"/>
      <c r="BEH193" s="1056"/>
      <c r="BEI193" s="1056"/>
      <c r="BEJ193" s="1056"/>
      <c r="BEK193" s="1056"/>
      <c r="BEL193" s="1056"/>
      <c r="BEM193" s="1056"/>
      <c r="BEN193" s="1056"/>
      <c r="BEO193" s="1056"/>
      <c r="BEP193" s="1056"/>
      <c r="BEQ193" s="1056"/>
      <c r="BER193" s="1056"/>
      <c r="BES193" s="1056"/>
      <c r="BET193" s="1056"/>
      <c r="BEU193" s="1056"/>
      <c r="BEV193" s="1056"/>
      <c r="BEW193" s="1056"/>
      <c r="BEX193" s="1056"/>
      <c r="BEY193" s="1056"/>
      <c r="BEZ193" s="1056"/>
      <c r="BFA193" s="1056"/>
      <c r="BFB193" s="1056"/>
      <c r="BFC193" s="1056"/>
      <c r="BFD193" s="1056"/>
      <c r="BFE193" s="1056"/>
      <c r="BFF193" s="1056"/>
      <c r="BFG193" s="1056"/>
      <c r="BFH193" s="1056"/>
      <c r="BFI193" s="1056"/>
      <c r="BFJ193" s="1056"/>
      <c r="BFK193" s="1056"/>
      <c r="BFL193" s="1056"/>
      <c r="BFM193" s="1056"/>
      <c r="BFN193" s="1056"/>
      <c r="BFO193" s="1056"/>
      <c r="BFP193" s="1056"/>
      <c r="BFQ193" s="1056"/>
      <c r="BFR193" s="1056"/>
      <c r="BFS193" s="1056"/>
      <c r="BFT193" s="1056"/>
      <c r="BFU193" s="1056"/>
      <c r="BFV193" s="1056"/>
      <c r="BFW193" s="1056"/>
      <c r="BFX193" s="1056"/>
      <c r="BFY193" s="1056"/>
      <c r="BFZ193" s="1056"/>
      <c r="BGA193" s="1056"/>
      <c r="BGB193" s="1056"/>
      <c r="BGC193" s="1056"/>
      <c r="BGD193" s="1056"/>
      <c r="BGE193" s="1056"/>
      <c r="BGF193" s="1056"/>
      <c r="BGG193" s="1056"/>
      <c r="BGH193" s="1056"/>
      <c r="BGI193" s="1056"/>
      <c r="BGJ193" s="1056"/>
      <c r="BGK193" s="1056"/>
      <c r="BGL193" s="1056"/>
      <c r="BGM193" s="1056"/>
      <c r="BGN193" s="1056"/>
      <c r="BGO193" s="1056"/>
      <c r="BGP193" s="1056"/>
      <c r="BGQ193" s="1056"/>
      <c r="BGR193" s="1056"/>
      <c r="BGS193" s="1056"/>
      <c r="BGT193" s="1056"/>
      <c r="BGU193" s="1056"/>
      <c r="BGV193" s="1056"/>
      <c r="BGW193" s="1056"/>
      <c r="BGX193" s="1056"/>
      <c r="BGY193" s="1056"/>
      <c r="BGZ193" s="1056"/>
      <c r="BHA193" s="1056"/>
      <c r="BHB193" s="1056"/>
      <c r="BHC193" s="1056"/>
      <c r="BHD193" s="1056"/>
      <c r="BHE193" s="1056"/>
      <c r="BHF193" s="1056"/>
      <c r="BHG193" s="1056"/>
      <c r="BHH193" s="1056"/>
      <c r="BHI193" s="1056"/>
      <c r="BHJ193" s="1056"/>
      <c r="BHK193" s="1056"/>
      <c r="BHL193" s="1056"/>
      <c r="BHM193" s="1056"/>
      <c r="BHN193" s="1056"/>
      <c r="BHO193" s="1056"/>
      <c r="BHP193" s="1056"/>
      <c r="BHQ193" s="1056"/>
      <c r="BHR193" s="1056"/>
      <c r="BHS193" s="1056"/>
      <c r="BHT193" s="1056"/>
      <c r="BHU193" s="1056"/>
      <c r="BHV193" s="1056"/>
      <c r="BHW193" s="1056"/>
      <c r="BHX193" s="1056"/>
      <c r="BHY193" s="1056"/>
      <c r="BHZ193" s="1056"/>
      <c r="BIA193" s="1056"/>
      <c r="BIB193" s="1056"/>
      <c r="BIC193" s="1056"/>
      <c r="BID193" s="1056"/>
      <c r="BIE193" s="1056"/>
      <c r="BIF193" s="1056"/>
      <c r="BIG193" s="1056"/>
      <c r="BIH193" s="1056"/>
      <c r="BII193" s="1056"/>
      <c r="BIJ193" s="1056"/>
      <c r="BIK193" s="1056"/>
      <c r="BIL193" s="1056"/>
      <c r="BIM193" s="1056"/>
      <c r="BIN193" s="1056"/>
      <c r="BIO193" s="1056"/>
      <c r="BIP193" s="1056"/>
      <c r="BIQ193" s="1056"/>
      <c r="BIR193" s="1056"/>
      <c r="BIS193" s="1056"/>
      <c r="BIT193" s="1056"/>
      <c r="BIU193" s="1056"/>
      <c r="BIV193" s="1056"/>
      <c r="BIW193" s="1056"/>
      <c r="BIX193" s="1056"/>
      <c r="BIY193" s="1056"/>
      <c r="BIZ193" s="1056"/>
      <c r="BJA193" s="1056"/>
      <c r="BJB193" s="1056"/>
      <c r="BJC193" s="1056"/>
      <c r="BJD193" s="1056"/>
      <c r="BJE193" s="1056"/>
      <c r="BJF193" s="1056"/>
      <c r="BJG193" s="1056"/>
      <c r="BJH193" s="1056"/>
      <c r="BJI193" s="1056"/>
      <c r="BJJ193" s="1056"/>
      <c r="BJK193" s="1056"/>
      <c r="BJL193" s="1056"/>
      <c r="BJM193" s="1056"/>
      <c r="BJN193" s="1056"/>
      <c r="BJO193" s="1056"/>
      <c r="BJP193" s="1056"/>
      <c r="BJQ193" s="1056"/>
      <c r="BJR193" s="1056"/>
      <c r="BJS193" s="1056"/>
      <c r="BJT193" s="1056"/>
      <c r="BJU193" s="1056"/>
      <c r="BJV193" s="1056"/>
      <c r="BJW193" s="1056"/>
      <c r="BJX193" s="1056"/>
      <c r="BJY193" s="1056"/>
      <c r="BJZ193" s="1056"/>
      <c r="BKA193" s="1056"/>
      <c r="BKB193" s="1056"/>
      <c r="BKC193" s="1056"/>
      <c r="BKD193" s="1056"/>
      <c r="BKE193" s="1056"/>
      <c r="BKF193" s="1056"/>
      <c r="BKG193" s="1056"/>
      <c r="BKH193" s="1056"/>
      <c r="BKI193" s="1056"/>
      <c r="BKJ193" s="1056"/>
      <c r="BKK193" s="1056"/>
      <c r="BKL193" s="1056"/>
      <c r="BKM193" s="1056"/>
      <c r="BKN193" s="1056"/>
      <c r="BKO193" s="1056"/>
      <c r="BKP193" s="1056"/>
      <c r="BKQ193" s="1056"/>
      <c r="BKR193" s="1056"/>
      <c r="BKS193" s="1056"/>
      <c r="BKT193" s="1056"/>
      <c r="BKU193" s="1056"/>
      <c r="BKV193" s="1056"/>
      <c r="BKW193" s="1056"/>
      <c r="BKX193" s="1056"/>
      <c r="BKY193" s="1056"/>
      <c r="BKZ193" s="1056"/>
      <c r="BLA193" s="1056"/>
      <c r="BLB193" s="1056"/>
      <c r="BLC193" s="1056"/>
      <c r="BLD193" s="1056"/>
      <c r="BLE193" s="1056"/>
      <c r="BLF193" s="1056"/>
      <c r="BLG193" s="1056"/>
      <c r="BLH193" s="1056"/>
      <c r="BLI193" s="1056"/>
      <c r="BLJ193" s="1056"/>
      <c r="BLK193" s="1056"/>
      <c r="BLL193" s="1056"/>
      <c r="BLM193" s="1056"/>
      <c r="BLN193" s="1056"/>
      <c r="BLO193" s="1056"/>
      <c r="BLP193" s="1056"/>
      <c r="BLQ193" s="1056"/>
      <c r="BLR193" s="1056"/>
      <c r="BLS193" s="1056"/>
      <c r="BLT193" s="1056"/>
      <c r="BLU193" s="1056"/>
      <c r="BLV193" s="1056"/>
      <c r="BLW193" s="1056"/>
      <c r="BLX193" s="1056"/>
      <c r="BLY193" s="1056"/>
      <c r="BLZ193" s="1056"/>
      <c r="BMA193" s="1056"/>
      <c r="BMB193" s="1056"/>
      <c r="BMC193" s="1056"/>
      <c r="BMD193" s="1056"/>
      <c r="BME193" s="1056"/>
      <c r="BMF193" s="1056"/>
      <c r="BMG193" s="1056"/>
      <c r="BMH193" s="1056"/>
      <c r="BMI193" s="1056"/>
      <c r="BMJ193" s="1056"/>
      <c r="BMK193" s="1056"/>
      <c r="BML193" s="1056"/>
      <c r="BMM193" s="1056"/>
      <c r="BMN193" s="1056"/>
      <c r="BMO193" s="1056"/>
      <c r="BMP193" s="1056"/>
      <c r="BMQ193" s="1056"/>
      <c r="BMR193" s="1056"/>
      <c r="BMS193" s="1056"/>
      <c r="BMT193" s="1056"/>
      <c r="BMU193" s="1056"/>
      <c r="BMV193" s="1056"/>
      <c r="BMW193" s="1056"/>
      <c r="BMX193" s="1056"/>
      <c r="BMY193" s="1056"/>
      <c r="BMZ193" s="1056"/>
      <c r="BNA193" s="1056"/>
      <c r="BNB193" s="1056"/>
      <c r="BNC193" s="1056"/>
      <c r="BND193" s="1056"/>
      <c r="BNE193" s="1056"/>
      <c r="BNF193" s="1056"/>
      <c r="BNG193" s="1056"/>
      <c r="BNH193" s="1056"/>
      <c r="BNI193" s="1056"/>
      <c r="BNJ193" s="1056"/>
      <c r="BNK193" s="1056"/>
      <c r="BNL193" s="1056"/>
      <c r="BNM193" s="1056"/>
      <c r="BNN193" s="1056"/>
      <c r="BNO193" s="1056"/>
      <c r="BNP193" s="1056"/>
      <c r="BNQ193" s="1056"/>
      <c r="BNR193" s="1056"/>
      <c r="BNS193" s="1056"/>
      <c r="BNT193" s="1056"/>
      <c r="BNU193" s="1056"/>
      <c r="BNV193" s="1056"/>
      <c r="BNW193" s="1056"/>
      <c r="BNX193" s="1056"/>
      <c r="BNY193" s="1056"/>
      <c r="BNZ193" s="1056"/>
      <c r="BOA193" s="1056"/>
      <c r="BOB193" s="1056"/>
      <c r="BOC193" s="1056"/>
      <c r="BOD193" s="1056"/>
      <c r="BOE193" s="1056"/>
      <c r="BOF193" s="1056"/>
      <c r="BOG193" s="1056"/>
      <c r="BOH193" s="1056"/>
      <c r="BOI193" s="1056"/>
      <c r="BOJ193" s="1056"/>
      <c r="BOK193" s="1056"/>
      <c r="BOL193" s="1056"/>
      <c r="BOM193" s="1056"/>
      <c r="BON193" s="1056"/>
      <c r="BOO193" s="1056"/>
      <c r="BOP193" s="1056"/>
      <c r="BOQ193" s="1056"/>
      <c r="BOR193" s="1056"/>
      <c r="BOS193" s="1056"/>
      <c r="BOT193" s="1056"/>
      <c r="BOU193" s="1056"/>
      <c r="BOV193" s="1056"/>
      <c r="BOW193" s="1056"/>
      <c r="BOX193" s="1056"/>
      <c r="BOY193" s="1056"/>
      <c r="BOZ193" s="1056"/>
      <c r="BPA193" s="1056"/>
      <c r="BPB193" s="1056"/>
      <c r="BPC193" s="1056"/>
      <c r="BPD193" s="1056"/>
      <c r="BPE193" s="1056"/>
      <c r="BPF193" s="1056"/>
      <c r="BPG193" s="1056"/>
      <c r="BPH193" s="1056"/>
      <c r="BPI193" s="1056"/>
      <c r="BPJ193" s="1056"/>
      <c r="BPK193" s="1056"/>
      <c r="BPL193" s="1056"/>
      <c r="BPM193" s="1056"/>
      <c r="BPN193" s="1056"/>
      <c r="BPO193" s="1056"/>
      <c r="BPP193" s="1056"/>
      <c r="BPQ193" s="1056"/>
      <c r="BPR193" s="1056"/>
      <c r="BPS193" s="1056"/>
      <c r="BPT193" s="1056"/>
      <c r="BPU193" s="1056"/>
      <c r="BPV193" s="1056"/>
      <c r="BPW193" s="1056"/>
      <c r="BPX193" s="1056"/>
      <c r="BPY193" s="1056"/>
      <c r="BPZ193" s="1056"/>
      <c r="BQA193" s="1056"/>
      <c r="BQB193" s="1056"/>
      <c r="BQC193" s="1056"/>
      <c r="BQD193" s="1056"/>
      <c r="BQE193" s="1056"/>
      <c r="BQF193" s="1056"/>
      <c r="BQG193" s="1056"/>
      <c r="BQH193" s="1056"/>
      <c r="BQI193" s="1056"/>
      <c r="BQJ193" s="1056"/>
      <c r="BQK193" s="1056"/>
      <c r="BQL193" s="1056"/>
      <c r="BQM193" s="1056"/>
      <c r="BQN193" s="1056"/>
      <c r="BQO193" s="1056"/>
      <c r="BQP193" s="1056"/>
      <c r="BQQ193" s="1056"/>
      <c r="BQR193" s="1056"/>
      <c r="BQS193" s="1056"/>
      <c r="BQT193" s="1056"/>
      <c r="BQU193" s="1056"/>
      <c r="BQV193" s="1056"/>
      <c r="BQW193" s="1056"/>
      <c r="BQX193" s="1056"/>
      <c r="BQY193" s="1056"/>
      <c r="BQZ193" s="1056"/>
      <c r="BRA193" s="1056"/>
      <c r="BRB193" s="1056"/>
      <c r="BRC193" s="1056"/>
      <c r="BRD193" s="1056"/>
      <c r="BRE193" s="1056"/>
      <c r="BRF193" s="1056"/>
      <c r="BRG193" s="1056"/>
      <c r="BRH193" s="1056"/>
      <c r="BRI193" s="1056"/>
      <c r="BRJ193" s="1056"/>
      <c r="BRK193" s="1056"/>
      <c r="BRL193" s="1056"/>
      <c r="BRM193" s="1056"/>
      <c r="BRN193" s="1056"/>
      <c r="BRO193" s="1056"/>
      <c r="BRP193" s="1056"/>
      <c r="BRQ193" s="1056"/>
      <c r="BRR193" s="1056"/>
      <c r="BRS193" s="1056"/>
      <c r="BRT193" s="1056"/>
      <c r="BRU193" s="1056"/>
      <c r="BRV193" s="1056"/>
      <c r="BRW193" s="1056"/>
      <c r="BRX193" s="1056"/>
      <c r="BRY193" s="1056"/>
      <c r="BRZ193" s="1056"/>
      <c r="BSA193" s="1056"/>
      <c r="BSB193" s="1056"/>
      <c r="BSC193" s="1056"/>
      <c r="BSD193" s="1056"/>
      <c r="BSE193" s="1056"/>
      <c r="BSF193" s="1056"/>
      <c r="BSG193" s="1056"/>
      <c r="BSH193" s="1056"/>
      <c r="BSI193" s="1056"/>
      <c r="BSJ193" s="1056"/>
      <c r="BSK193" s="1056"/>
      <c r="BSL193" s="1056"/>
      <c r="BSM193" s="1056"/>
      <c r="BSN193" s="1056"/>
      <c r="BSO193" s="1056"/>
      <c r="BSP193" s="1056"/>
      <c r="BSQ193" s="1056"/>
      <c r="BSR193" s="1056"/>
      <c r="BSS193" s="1056"/>
      <c r="BST193" s="1056"/>
      <c r="BSU193" s="1056"/>
      <c r="BSV193" s="1056"/>
      <c r="BSW193" s="1056"/>
      <c r="BSX193" s="1056"/>
      <c r="BSY193" s="1056"/>
      <c r="BSZ193" s="1056"/>
      <c r="BTA193" s="1056"/>
      <c r="BTB193" s="1056"/>
      <c r="BTC193" s="1056"/>
      <c r="BTD193" s="1056"/>
      <c r="BTE193" s="1056"/>
      <c r="BTF193" s="1056"/>
      <c r="BTG193" s="1056"/>
      <c r="BTH193" s="1056"/>
      <c r="BTI193" s="1056"/>
    </row>
    <row r="194" spans="1:1881" s="1060" customFormat="1" ht="83.25" hidden="1" customHeight="1" x14ac:dyDescent="0.3">
      <c r="A194" s="1059">
        <v>364</v>
      </c>
      <c r="B194" s="808" t="s">
        <v>56</v>
      </c>
      <c r="C194" s="808" t="s">
        <v>1422</v>
      </c>
      <c r="D194" s="746" t="s">
        <v>1424</v>
      </c>
      <c r="E194" s="1053" t="e">
        <f>HLOOKUP($D$2,'2020 Data(H)'!$C$1:$AI$426,125,FALSE)</f>
        <v>#N/A</v>
      </c>
      <c r="F194" s="286">
        <v>0</v>
      </c>
      <c r="G194" s="722">
        <f t="shared" si="2"/>
        <v>0</v>
      </c>
      <c r="H194" s="764"/>
      <c r="I194" s="1055"/>
      <c r="J194" s="1056"/>
      <c r="K194" s="1056"/>
      <c r="L194" s="1056"/>
      <c r="M194" s="1056"/>
      <c r="N194" s="1058"/>
      <c r="O194" s="1056"/>
      <c r="P194" s="1056"/>
      <c r="Q194" s="1056"/>
      <c r="R194" s="1056"/>
      <c r="S194" s="1056"/>
      <c r="T194" s="1056"/>
      <c r="U194" s="1056"/>
      <c r="V194" s="1056"/>
      <c r="W194" s="1056"/>
      <c r="X194" s="1056"/>
      <c r="Y194" s="1056"/>
      <c r="Z194" s="1059"/>
      <c r="AA194" s="1059"/>
      <c r="AB194" s="1059"/>
      <c r="AC194" s="1059"/>
      <c r="AD194" s="1059"/>
      <c r="AE194" s="1059"/>
      <c r="AF194" s="1059"/>
      <c r="AG194" s="1059"/>
      <c r="AH194" s="1059"/>
      <c r="AI194" s="1059"/>
      <c r="AJ194" s="1059"/>
      <c r="AK194" s="1059"/>
      <c r="AL194" s="1059"/>
      <c r="AM194" s="1059"/>
      <c r="AN194" s="1059"/>
      <c r="AO194" s="1059"/>
      <c r="AP194" s="1059"/>
      <c r="AQ194" s="1059"/>
      <c r="AR194" s="1059"/>
      <c r="AS194" s="1056"/>
      <c r="AT194" s="1056"/>
      <c r="AU194" s="1056"/>
      <c r="AV194" s="1056"/>
      <c r="AW194" s="1056"/>
      <c r="AX194" s="1056"/>
      <c r="AY194" s="1056"/>
      <c r="AZ194" s="1056"/>
      <c r="BA194" s="1056"/>
      <c r="BB194" s="1056"/>
      <c r="BC194" s="1056"/>
      <c r="BD194" s="1056"/>
      <c r="BE194" s="1056"/>
      <c r="BF194" s="1056"/>
      <c r="BG194" s="1056"/>
      <c r="BH194" s="1056"/>
      <c r="BI194" s="1056"/>
      <c r="BJ194" s="1056"/>
      <c r="BK194" s="1056"/>
      <c r="BL194" s="1056"/>
      <c r="BM194" s="1056"/>
      <c r="BN194" s="1056"/>
      <c r="BO194" s="1056"/>
      <c r="BP194" s="1056"/>
      <c r="BQ194" s="1056"/>
      <c r="BR194" s="1056"/>
      <c r="BS194" s="1056"/>
      <c r="BT194" s="1056"/>
      <c r="BU194" s="1056"/>
      <c r="BV194" s="1056"/>
      <c r="BW194" s="1056"/>
      <c r="BX194" s="1056"/>
      <c r="BY194" s="1056"/>
      <c r="BZ194" s="1056"/>
      <c r="CA194" s="1056"/>
      <c r="CB194" s="1056"/>
      <c r="CC194" s="1056"/>
      <c r="CD194" s="1056"/>
      <c r="CE194" s="1056"/>
      <c r="CF194" s="1056"/>
      <c r="CG194" s="1056"/>
      <c r="CH194" s="1056"/>
      <c r="CI194" s="1056"/>
      <c r="CJ194" s="1056"/>
      <c r="CK194" s="1056"/>
      <c r="CL194" s="1056"/>
      <c r="CM194" s="1056"/>
      <c r="CN194" s="1056"/>
      <c r="CO194" s="1056"/>
      <c r="CP194" s="1056"/>
      <c r="CQ194" s="1056"/>
      <c r="CR194" s="1056"/>
      <c r="CS194" s="1056"/>
      <c r="CT194" s="1056"/>
      <c r="CU194" s="1056"/>
      <c r="CV194" s="1056"/>
      <c r="CW194" s="1056"/>
      <c r="CX194" s="1056"/>
      <c r="CY194" s="1056"/>
      <c r="CZ194" s="1056"/>
      <c r="DA194" s="1056"/>
      <c r="DB194" s="1056"/>
      <c r="DC194" s="1056"/>
      <c r="DD194" s="1056"/>
      <c r="DE194" s="1056"/>
      <c r="DF194" s="1056"/>
      <c r="DG194" s="1056"/>
      <c r="DH194" s="1056"/>
      <c r="DI194" s="1056"/>
      <c r="DJ194" s="1056"/>
      <c r="DK194" s="1056"/>
      <c r="DL194" s="1056"/>
      <c r="DM194" s="1056"/>
      <c r="DN194" s="1056"/>
      <c r="DO194" s="1056"/>
      <c r="DP194" s="1056"/>
      <c r="DQ194" s="1056"/>
      <c r="DR194" s="1056"/>
      <c r="DS194" s="1056"/>
      <c r="DT194" s="1056"/>
      <c r="DU194" s="1056"/>
      <c r="DV194" s="1056"/>
      <c r="DW194" s="1056"/>
      <c r="DX194" s="1056"/>
      <c r="DY194" s="1056"/>
      <c r="DZ194" s="1056"/>
      <c r="EA194" s="1056"/>
      <c r="EB194" s="1056"/>
      <c r="EC194" s="1056"/>
      <c r="ED194" s="1056"/>
      <c r="EE194" s="1056"/>
      <c r="EF194" s="1056"/>
      <c r="EG194" s="1056"/>
      <c r="EH194" s="1056"/>
      <c r="EI194" s="1056"/>
      <c r="EJ194" s="1056"/>
      <c r="EK194" s="1056"/>
      <c r="EL194" s="1056"/>
      <c r="EM194" s="1056"/>
      <c r="EN194" s="1056"/>
      <c r="EO194" s="1056"/>
      <c r="EP194" s="1056"/>
      <c r="EQ194" s="1056"/>
      <c r="ER194" s="1056"/>
      <c r="ES194" s="1056"/>
      <c r="ET194" s="1056"/>
      <c r="EU194" s="1056"/>
      <c r="EV194" s="1056"/>
      <c r="EW194" s="1056"/>
      <c r="EX194" s="1056"/>
      <c r="EY194" s="1056"/>
      <c r="EZ194" s="1056"/>
      <c r="FA194" s="1056"/>
      <c r="FB194" s="1056"/>
      <c r="FC194" s="1056"/>
      <c r="FD194" s="1056"/>
      <c r="FE194" s="1056"/>
      <c r="FF194" s="1056"/>
      <c r="FG194" s="1056"/>
      <c r="FH194" s="1056"/>
      <c r="FI194" s="1056"/>
      <c r="FJ194" s="1056"/>
      <c r="FK194" s="1056"/>
      <c r="FL194" s="1056"/>
      <c r="FM194" s="1056"/>
      <c r="FN194" s="1056"/>
      <c r="FO194" s="1056"/>
      <c r="FP194" s="1056"/>
      <c r="FQ194" s="1056"/>
      <c r="FR194" s="1056"/>
      <c r="FS194" s="1056"/>
      <c r="FT194" s="1056"/>
      <c r="FU194" s="1056"/>
      <c r="FV194" s="1056"/>
      <c r="FW194" s="1056"/>
      <c r="FX194" s="1056"/>
      <c r="FY194" s="1056"/>
      <c r="FZ194" s="1056"/>
      <c r="GA194" s="1056"/>
      <c r="GB194" s="1056"/>
      <c r="GC194" s="1056"/>
      <c r="GD194" s="1056"/>
      <c r="GE194" s="1056"/>
      <c r="GF194" s="1056"/>
      <c r="GG194" s="1056"/>
      <c r="GH194" s="1056"/>
      <c r="GI194" s="1056"/>
      <c r="GJ194" s="1056"/>
      <c r="GK194" s="1056"/>
      <c r="GL194" s="1056"/>
      <c r="GM194" s="1056"/>
      <c r="GN194" s="1056"/>
      <c r="GO194" s="1056"/>
      <c r="GP194" s="1056"/>
      <c r="GQ194" s="1056"/>
      <c r="GR194" s="1056"/>
      <c r="GS194" s="1056"/>
      <c r="GT194" s="1056"/>
      <c r="GU194" s="1056"/>
      <c r="GV194" s="1056"/>
      <c r="GW194" s="1056"/>
      <c r="GX194" s="1056"/>
      <c r="GY194" s="1056"/>
      <c r="GZ194" s="1056"/>
      <c r="HA194" s="1056"/>
      <c r="HB194" s="1056"/>
      <c r="HC194" s="1056"/>
      <c r="HD194" s="1056"/>
      <c r="HE194" s="1056"/>
      <c r="HF194" s="1056"/>
      <c r="HG194" s="1056"/>
      <c r="HH194" s="1056"/>
      <c r="HI194" s="1056"/>
      <c r="HJ194" s="1056"/>
      <c r="HK194" s="1056"/>
      <c r="HL194" s="1056"/>
      <c r="HM194" s="1056"/>
      <c r="HN194" s="1056"/>
      <c r="HO194" s="1056"/>
      <c r="HP194" s="1056"/>
      <c r="HQ194" s="1056"/>
      <c r="HR194" s="1056"/>
      <c r="HS194" s="1056"/>
      <c r="HT194" s="1056"/>
      <c r="HU194" s="1056"/>
      <c r="HV194" s="1056"/>
      <c r="HW194" s="1056"/>
      <c r="HX194" s="1056"/>
      <c r="HY194" s="1056"/>
      <c r="HZ194" s="1056"/>
      <c r="IA194" s="1056"/>
      <c r="IB194" s="1056"/>
      <c r="IC194" s="1056"/>
      <c r="ID194" s="1056"/>
      <c r="IE194" s="1056"/>
      <c r="IF194" s="1056"/>
      <c r="IG194" s="1056"/>
      <c r="IH194" s="1056"/>
      <c r="II194" s="1056"/>
      <c r="IJ194" s="1056"/>
      <c r="IK194" s="1056"/>
      <c r="IL194" s="1056"/>
      <c r="IM194" s="1056"/>
      <c r="IN194" s="1056"/>
      <c r="IO194" s="1056"/>
      <c r="IP194" s="1056"/>
      <c r="IQ194" s="1056"/>
      <c r="IR194" s="1056"/>
      <c r="IS194" s="1056"/>
      <c r="IT194" s="1056"/>
      <c r="IU194" s="1056"/>
      <c r="IV194" s="1056"/>
      <c r="IW194" s="1056"/>
      <c r="IX194" s="1056"/>
      <c r="IY194" s="1056"/>
      <c r="IZ194" s="1056"/>
      <c r="JA194" s="1056"/>
      <c r="JB194" s="1056"/>
      <c r="JC194" s="1056"/>
      <c r="JD194" s="1056"/>
      <c r="JE194" s="1056"/>
      <c r="JF194" s="1056"/>
      <c r="JG194" s="1056"/>
      <c r="JH194" s="1056"/>
      <c r="JI194" s="1056"/>
      <c r="JJ194" s="1056"/>
      <c r="JK194" s="1056"/>
      <c r="JL194" s="1056"/>
      <c r="JM194" s="1056"/>
      <c r="JN194" s="1056"/>
      <c r="JO194" s="1056"/>
      <c r="JP194" s="1056"/>
      <c r="JQ194" s="1056"/>
      <c r="JR194" s="1056"/>
      <c r="JS194" s="1056"/>
      <c r="JT194" s="1056"/>
      <c r="JU194" s="1056"/>
      <c r="JV194" s="1056"/>
      <c r="JW194" s="1056"/>
      <c r="JX194" s="1056"/>
      <c r="JY194" s="1056"/>
      <c r="JZ194" s="1056"/>
      <c r="KA194" s="1056"/>
      <c r="KB194" s="1056"/>
      <c r="KC194" s="1056"/>
      <c r="KD194" s="1056"/>
      <c r="KE194" s="1056"/>
      <c r="KF194" s="1056"/>
      <c r="KG194" s="1056"/>
      <c r="KH194" s="1056"/>
      <c r="KI194" s="1056"/>
      <c r="KJ194" s="1056"/>
      <c r="KK194" s="1056"/>
      <c r="KL194" s="1056"/>
      <c r="KM194" s="1056"/>
      <c r="KN194" s="1056"/>
      <c r="KO194" s="1056"/>
      <c r="KP194" s="1056"/>
      <c r="KQ194" s="1056"/>
      <c r="KR194" s="1056"/>
      <c r="KS194" s="1056"/>
      <c r="KT194" s="1056"/>
      <c r="KU194" s="1056"/>
      <c r="KV194" s="1056"/>
      <c r="KW194" s="1056"/>
      <c r="KX194" s="1056"/>
      <c r="KY194" s="1056"/>
      <c r="KZ194" s="1056"/>
      <c r="LA194" s="1056"/>
      <c r="LB194" s="1056"/>
      <c r="LC194" s="1056"/>
      <c r="LD194" s="1056"/>
      <c r="LE194" s="1056"/>
      <c r="LF194" s="1056"/>
      <c r="LG194" s="1056"/>
      <c r="LH194" s="1056"/>
      <c r="LI194" s="1056"/>
      <c r="LJ194" s="1056"/>
      <c r="LK194" s="1056"/>
      <c r="LL194" s="1056"/>
      <c r="LM194" s="1056"/>
      <c r="LN194" s="1056"/>
      <c r="LO194" s="1056"/>
      <c r="LP194" s="1056"/>
      <c r="LQ194" s="1056"/>
      <c r="LR194" s="1056"/>
      <c r="LS194" s="1056"/>
      <c r="LT194" s="1056"/>
      <c r="LU194" s="1056"/>
      <c r="LV194" s="1056"/>
      <c r="LW194" s="1056"/>
      <c r="LX194" s="1056"/>
      <c r="LY194" s="1056"/>
      <c r="LZ194" s="1056"/>
      <c r="MA194" s="1056"/>
      <c r="MB194" s="1056"/>
      <c r="MC194" s="1056"/>
      <c r="MD194" s="1056"/>
      <c r="ME194" s="1056"/>
      <c r="MF194" s="1056"/>
      <c r="MG194" s="1056"/>
      <c r="MH194" s="1056"/>
      <c r="MI194" s="1056"/>
      <c r="MJ194" s="1056"/>
      <c r="MK194" s="1056"/>
      <c r="ML194" s="1056"/>
      <c r="MM194" s="1056"/>
      <c r="MN194" s="1056"/>
      <c r="MO194" s="1056"/>
      <c r="MP194" s="1056"/>
      <c r="MQ194" s="1056"/>
      <c r="MR194" s="1056"/>
      <c r="MS194" s="1056"/>
      <c r="MT194" s="1056"/>
      <c r="MU194" s="1056"/>
      <c r="MV194" s="1056"/>
      <c r="MW194" s="1056"/>
      <c r="MX194" s="1056"/>
      <c r="MY194" s="1056"/>
      <c r="MZ194" s="1056"/>
      <c r="NA194" s="1056"/>
      <c r="NB194" s="1056"/>
      <c r="NC194" s="1056"/>
      <c r="ND194" s="1056"/>
      <c r="NE194" s="1056"/>
      <c r="NF194" s="1056"/>
      <c r="NG194" s="1056"/>
      <c r="NH194" s="1056"/>
      <c r="NI194" s="1056"/>
      <c r="NJ194" s="1056"/>
      <c r="NK194" s="1056"/>
      <c r="NL194" s="1056"/>
      <c r="NM194" s="1056"/>
      <c r="NN194" s="1056"/>
      <c r="NO194" s="1056"/>
      <c r="NP194" s="1056"/>
      <c r="NQ194" s="1056"/>
      <c r="NR194" s="1056"/>
      <c r="NS194" s="1056"/>
      <c r="NT194" s="1056"/>
      <c r="NU194" s="1056"/>
      <c r="NV194" s="1056"/>
      <c r="NW194" s="1056"/>
      <c r="NX194" s="1056"/>
      <c r="NY194" s="1056"/>
      <c r="NZ194" s="1056"/>
      <c r="OA194" s="1056"/>
      <c r="OB194" s="1056"/>
      <c r="OC194" s="1056"/>
      <c r="OD194" s="1056"/>
      <c r="OE194" s="1056"/>
      <c r="OF194" s="1056"/>
      <c r="OG194" s="1056"/>
      <c r="OH194" s="1056"/>
      <c r="OI194" s="1056"/>
      <c r="OJ194" s="1056"/>
      <c r="OK194" s="1056"/>
      <c r="OL194" s="1056"/>
      <c r="OM194" s="1056"/>
      <c r="ON194" s="1056"/>
      <c r="OO194" s="1056"/>
      <c r="OP194" s="1056"/>
      <c r="OQ194" s="1056"/>
      <c r="OR194" s="1056"/>
      <c r="OS194" s="1056"/>
      <c r="OT194" s="1056"/>
      <c r="OU194" s="1056"/>
      <c r="OV194" s="1056"/>
      <c r="OW194" s="1056"/>
      <c r="OX194" s="1056"/>
      <c r="OY194" s="1056"/>
      <c r="OZ194" s="1056"/>
      <c r="PA194" s="1056"/>
      <c r="PB194" s="1056"/>
      <c r="PC194" s="1056"/>
      <c r="PD194" s="1056"/>
      <c r="PE194" s="1056"/>
      <c r="PF194" s="1056"/>
      <c r="PG194" s="1056"/>
      <c r="PH194" s="1056"/>
      <c r="PI194" s="1056"/>
      <c r="PJ194" s="1056"/>
      <c r="PK194" s="1056"/>
      <c r="PL194" s="1056"/>
      <c r="PM194" s="1056"/>
      <c r="PN194" s="1056"/>
      <c r="PO194" s="1056"/>
      <c r="PP194" s="1056"/>
      <c r="PQ194" s="1056"/>
      <c r="PR194" s="1056"/>
      <c r="PS194" s="1056"/>
      <c r="PT194" s="1056"/>
      <c r="PU194" s="1056"/>
      <c r="PV194" s="1056"/>
      <c r="PW194" s="1056"/>
      <c r="PX194" s="1056"/>
      <c r="PY194" s="1056"/>
      <c r="PZ194" s="1056"/>
      <c r="QA194" s="1056"/>
      <c r="QB194" s="1056"/>
      <c r="QC194" s="1056"/>
      <c r="QD194" s="1056"/>
      <c r="QE194" s="1056"/>
      <c r="QF194" s="1056"/>
      <c r="QG194" s="1056"/>
      <c r="QH194" s="1056"/>
      <c r="QI194" s="1056"/>
      <c r="QJ194" s="1056"/>
      <c r="QK194" s="1056"/>
      <c r="QL194" s="1056"/>
      <c r="QM194" s="1056"/>
      <c r="QN194" s="1056"/>
      <c r="QO194" s="1056"/>
      <c r="QP194" s="1056"/>
      <c r="QQ194" s="1056"/>
      <c r="QR194" s="1056"/>
      <c r="QS194" s="1056"/>
      <c r="QT194" s="1056"/>
      <c r="QU194" s="1056"/>
      <c r="QV194" s="1056"/>
      <c r="QW194" s="1056"/>
      <c r="QX194" s="1056"/>
      <c r="QY194" s="1056"/>
      <c r="QZ194" s="1056"/>
      <c r="RA194" s="1056"/>
      <c r="RB194" s="1056"/>
      <c r="RC194" s="1056"/>
      <c r="RD194" s="1056"/>
      <c r="RE194" s="1056"/>
      <c r="RF194" s="1056"/>
      <c r="RG194" s="1056"/>
      <c r="RH194" s="1056"/>
      <c r="RI194" s="1056"/>
      <c r="RJ194" s="1056"/>
      <c r="RK194" s="1056"/>
      <c r="RL194" s="1056"/>
      <c r="RM194" s="1056"/>
      <c r="RN194" s="1056"/>
      <c r="RO194" s="1056"/>
      <c r="RP194" s="1056"/>
      <c r="RQ194" s="1056"/>
      <c r="RR194" s="1056"/>
      <c r="RS194" s="1056"/>
      <c r="RT194" s="1056"/>
      <c r="RU194" s="1056"/>
      <c r="RV194" s="1056"/>
      <c r="RW194" s="1056"/>
      <c r="RX194" s="1056"/>
      <c r="RY194" s="1056"/>
      <c r="RZ194" s="1056"/>
      <c r="SA194" s="1056"/>
      <c r="SB194" s="1056"/>
      <c r="SC194" s="1056"/>
      <c r="SD194" s="1056"/>
      <c r="SE194" s="1056"/>
      <c r="SF194" s="1056"/>
      <c r="SG194" s="1056"/>
      <c r="SH194" s="1056"/>
      <c r="SI194" s="1056"/>
      <c r="SJ194" s="1056"/>
      <c r="SK194" s="1056"/>
      <c r="SL194" s="1056"/>
      <c r="SM194" s="1056"/>
      <c r="SN194" s="1056"/>
      <c r="SO194" s="1056"/>
      <c r="SP194" s="1056"/>
      <c r="SQ194" s="1056"/>
      <c r="SR194" s="1056"/>
      <c r="SS194" s="1056"/>
      <c r="ST194" s="1056"/>
      <c r="SU194" s="1056"/>
      <c r="SV194" s="1056"/>
      <c r="SW194" s="1056"/>
      <c r="SX194" s="1056"/>
      <c r="SY194" s="1056"/>
      <c r="SZ194" s="1056"/>
      <c r="TA194" s="1056"/>
      <c r="TB194" s="1056"/>
      <c r="TC194" s="1056"/>
      <c r="TD194" s="1056"/>
      <c r="TE194" s="1056"/>
      <c r="TF194" s="1056"/>
      <c r="TG194" s="1056"/>
      <c r="TH194" s="1056"/>
      <c r="TI194" s="1056"/>
      <c r="TJ194" s="1056"/>
      <c r="TK194" s="1056"/>
      <c r="TL194" s="1056"/>
      <c r="TM194" s="1056"/>
      <c r="TN194" s="1056"/>
      <c r="TO194" s="1056"/>
      <c r="TP194" s="1056"/>
      <c r="TQ194" s="1056"/>
      <c r="TR194" s="1056"/>
      <c r="TS194" s="1056"/>
      <c r="TT194" s="1056"/>
      <c r="TU194" s="1056"/>
      <c r="TV194" s="1056"/>
      <c r="TW194" s="1056"/>
      <c r="TX194" s="1056"/>
      <c r="TY194" s="1056"/>
      <c r="TZ194" s="1056"/>
      <c r="UA194" s="1056"/>
      <c r="UB194" s="1056"/>
      <c r="UC194" s="1056"/>
      <c r="UD194" s="1056"/>
      <c r="UE194" s="1056"/>
      <c r="UF194" s="1056"/>
      <c r="UG194" s="1056"/>
      <c r="UH194" s="1056"/>
      <c r="UI194" s="1056"/>
      <c r="UJ194" s="1056"/>
      <c r="UK194" s="1056"/>
      <c r="UL194" s="1056"/>
      <c r="UM194" s="1056"/>
      <c r="UN194" s="1056"/>
      <c r="UO194" s="1056"/>
      <c r="UP194" s="1056"/>
      <c r="UQ194" s="1056"/>
      <c r="UR194" s="1056"/>
      <c r="US194" s="1056"/>
      <c r="UT194" s="1056"/>
      <c r="UU194" s="1056"/>
      <c r="UV194" s="1056"/>
      <c r="UW194" s="1056"/>
      <c r="UX194" s="1056"/>
      <c r="UY194" s="1056"/>
      <c r="UZ194" s="1056"/>
      <c r="VA194" s="1056"/>
      <c r="VB194" s="1056"/>
      <c r="VC194" s="1056"/>
      <c r="VD194" s="1056"/>
      <c r="VE194" s="1056"/>
      <c r="VF194" s="1056"/>
      <c r="VG194" s="1056"/>
      <c r="VH194" s="1056"/>
      <c r="VI194" s="1056"/>
      <c r="VJ194" s="1056"/>
      <c r="VK194" s="1056"/>
      <c r="VL194" s="1056"/>
      <c r="VM194" s="1056"/>
      <c r="VN194" s="1056"/>
      <c r="VO194" s="1056"/>
      <c r="VP194" s="1056"/>
      <c r="VQ194" s="1056"/>
      <c r="VR194" s="1056"/>
      <c r="VS194" s="1056"/>
      <c r="VT194" s="1056"/>
      <c r="VU194" s="1056"/>
      <c r="VV194" s="1056"/>
      <c r="VW194" s="1056"/>
      <c r="VX194" s="1056"/>
      <c r="VY194" s="1056"/>
      <c r="VZ194" s="1056"/>
      <c r="WA194" s="1056"/>
      <c r="WB194" s="1056"/>
      <c r="WC194" s="1056"/>
      <c r="WD194" s="1056"/>
      <c r="WE194" s="1056"/>
      <c r="WF194" s="1056"/>
      <c r="WG194" s="1056"/>
      <c r="WH194" s="1056"/>
      <c r="WI194" s="1056"/>
      <c r="WJ194" s="1056"/>
      <c r="WK194" s="1056"/>
      <c r="WL194" s="1056"/>
      <c r="WM194" s="1056"/>
      <c r="WN194" s="1056"/>
      <c r="WO194" s="1056"/>
      <c r="WP194" s="1056"/>
      <c r="WQ194" s="1056"/>
      <c r="WR194" s="1056"/>
      <c r="WS194" s="1056"/>
      <c r="WT194" s="1056"/>
      <c r="WU194" s="1056"/>
      <c r="WV194" s="1056"/>
      <c r="WW194" s="1056"/>
      <c r="WX194" s="1056"/>
      <c r="WY194" s="1056"/>
      <c r="WZ194" s="1056"/>
      <c r="XA194" s="1056"/>
      <c r="XB194" s="1056"/>
      <c r="XC194" s="1056"/>
      <c r="XD194" s="1056"/>
      <c r="XE194" s="1056"/>
      <c r="XF194" s="1056"/>
      <c r="XG194" s="1056"/>
      <c r="XH194" s="1056"/>
      <c r="XI194" s="1056"/>
      <c r="XJ194" s="1056"/>
      <c r="XK194" s="1056"/>
      <c r="XL194" s="1056"/>
      <c r="XM194" s="1056"/>
      <c r="XN194" s="1056"/>
      <c r="XO194" s="1056"/>
      <c r="XP194" s="1056"/>
      <c r="XQ194" s="1056"/>
      <c r="XR194" s="1056"/>
      <c r="XS194" s="1056"/>
      <c r="XT194" s="1056"/>
      <c r="XU194" s="1056"/>
      <c r="XV194" s="1056"/>
      <c r="XW194" s="1056"/>
      <c r="XX194" s="1056"/>
      <c r="XY194" s="1056"/>
      <c r="XZ194" s="1056"/>
      <c r="YA194" s="1056"/>
      <c r="YB194" s="1056"/>
      <c r="YC194" s="1056"/>
      <c r="YD194" s="1056"/>
      <c r="YE194" s="1056"/>
      <c r="YF194" s="1056"/>
      <c r="YG194" s="1056"/>
      <c r="YH194" s="1056"/>
      <c r="YI194" s="1056"/>
      <c r="YJ194" s="1056"/>
      <c r="YK194" s="1056"/>
      <c r="YL194" s="1056"/>
      <c r="YM194" s="1056"/>
      <c r="YN194" s="1056"/>
      <c r="YO194" s="1056"/>
      <c r="YP194" s="1056"/>
      <c r="YQ194" s="1056"/>
      <c r="YR194" s="1056"/>
      <c r="YS194" s="1056"/>
      <c r="YT194" s="1056"/>
      <c r="YU194" s="1056"/>
      <c r="YV194" s="1056"/>
      <c r="YW194" s="1056"/>
      <c r="YX194" s="1056"/>
      <c r="YY194" s="1056"/>
      <c r="YZ194" s="1056"/>
      <c r="ZA194" s="1056"/>
      <c r="ZB194" s="1056"/>
      <c r="ZC194" s="1056"/>
      <c r="ZD194" s="1056"/>
      <c r="ZE194" s="1056"/>
      <c r="ZF194" s="1056"/>
      <c r="ZG194" s="1056"/>
      <c r="ZH194" s="1056"/>
      <c r="ZI194" s="1056"/>
      <c r="ZJ194" s="1056"/>
      <c r="ZK194" s="1056"/>
      <c r="ZL194" s="1056"/>
      <c r="ZM194" s="1056"/>
      <c r="ZN194" s="1056"/>
      <c r="ZO194" s="1056"/>
      <c r="ZP194" s="1056"/>
      <c r="ZQ194" s="1056"/>
      <c r="ZR194" s="1056"/>
      <c r="ZS194" s="1056"/>
      <c r="ZT194" s="1056"/>
      <c r="ZU194" s="1056"/>
      <c r="ZV194" s="1056"/>
      <c r="ZW194" s="1056"/>
      <c r="ZX194" s="1056"/>
      <c r="ZY194" s="1056"/>
      <c r="ZZ194" s="1056"/>
      <c r="AAA194" s="1056"/>
      <c r="AAB194" s="1056"/>
      <c r="AAC194" s="1056"/>
      <c r="AAD194" s="1056"/>
      <c r="AAE194" s="1056"/>
      <c r="AAF194" s="1056"/>
      <c r="AAG194" s="1056"/>
      <c r="AAH194" s="1056"/>
      <c r="AAI194" s="1056"/>
      <c r="AAJ194" s="1056"/>
      <c r="AAK194" s="1056"/>
      <c r="AAL194" s="1056"/>
      <c r="AAM194" s="1056"/>
      <c r="AAN194" s="1056"/>
      <c r="AAO194" s="1056"/>
      <c r="AAP194" s="1056"/>
      <c r="AAQ194" s="1056"/>
      <c r="AAR194" s="1056"/>
      <c r="AAS194" s="1056"/>
      <c r="AAT194" s="1056"/>
      <c r="AAU194" s="1056"/>
      <c r="AAV194" s="1056"/>
      <c r="AAW194" s="1056"/>
      <c r="AAX194" s="1056"/>
      <c r="AAY194" s="1056"/>
      <c r="AAZ194" s="1056"/>
      <c r="ABA194" s="1056"/>
      <c r="ABB194" s="1056"/>
      <c r="ABC194" s="1056"/>
      <c r="ABD194" s="1056"/>
      <c r="ABE194" s="1056"/>
      <c r="ABF194" s="1056"/>
      <c r="ABG194" s="1056"/>
      <c r="ABH194" s="1056"/>
      <c r="ABI194" s="1056"/>
      <c r="ABJ194" s="1056"/>
      <c r="ABK194" s="1056"/>
      <c r="ABL194" s="1056"/>
      <c r="ABM194" s="1056"/>
      <c r="ABN194" s="1056"/>
      <c r="ABO194" s="1056"/>
      <c r="ABP194" s="1056"/>
      <c r="ABQ194" s="1056"/>
      <c r="ABR194" s="1056"/>
      <c r="ABS194" s="1056"/>
      <c r="ABT194" s="1056"/>
      <c r="ABU194" s="1056"/>
      <c r="ABV194" s="1056"/>
      <c r="ABW194" s="1056"/>
      <c r="ABX194" s="1056"/>
      <c r="ABY194" s="1056"/>
      <c r="ABZ194" s="1056"/>
      <c r="ACA194" s="1056"/>
      <c r="ACB194" s="1056"/>
      <c r="ACC194" s="1056"/>
      <c r="ACD194" s="1056"/>
      <c r="ACE194" s="1056"/>
      <c r="ACF194" s="1056"/>
      <c r="ACG194" s="1056"/>
      <c r="ACH194" s="1056"/>
      <c r="ACI194" s="1056"/>
      <c r="ACJ194" s="1056"/>
      <c r="ACK194" s="1056"/>
      <c r="ACL194" s="1056"/>
      <c r="ACM194" s="1056"/>
      <c r="ACN194" s="1056"/>
      <c r="ACO194" s="1056"/>
      <c r="ACP194" s="1056"/>
      <c r="ACQ194" s="1056"/>
      <c r="ACR194" s="1056"/>
      <c r="ACS194" s="1056"/>
      <c r="ACT194" s="1056"/>
      <c r="ACU194" s="1056"/>
      <c r="ACV194" s="1056"/>
      <c r="ACW194" s="1056"/>
      <c r="ACX194" s="1056"/>
      <c r="ACY194" s="1056"/>
      <c r="ACZ194" s="1056"/>
      <c r="ADA194" s="1056"/>
      <c r="ADB194" s="1056"/>
      <c r="ADC194" s="1056"/>
      <c r="ADD194" s="1056"/>
      <c r="ADE194" s="1056"/>
      <c r="ADF194" s="1056"/>
      <c r="ADG194" s="1056"/>
      <c r="ADH194" s="1056"/>
      <c r="ADI194" s="1056"/>
      <c r="ADJ194" s="1056"/>
      <c r="ADK194" s="1056"/>
      <c r="ADL194" s="1056"/>
      <c r="ADM194" s="1056"/>
      <c r="ADN194" s="1056"/>
      <c r="ADO194" s="1056"/>
      <c r="ADP194" s="1056"/>
      <c r="ADQ194" s="1056"/>
      <c r="ADR194" s="1056"/>
      <c r="ADS194" s="1056"/>
      <c r="ADT194" s="1056"/>
      <c r="ADU194" s="1056"/>
      <c r="ADV194" s="1056"/>
      <c r="ADW194" s="1056"/>
      <c r="ADX194" s="1056"/>
      <c r="ADY194" s="1056"/>
      <c r="ADZ194" s="1056"/>
      <c r="AEA194" s="1056"/>
      <c r="AEB194" s="1056"/>
      <c r="AEC194" s="1056"/>
      <c r="AED194" s="1056"/>
      <c r="AEE194" s="1056"/>
      <c r="AEF194" s="1056"/>
      <c r="AEG194" s="1056"/>
      <c r="AEH194" s="1056"/>
      <c r="AEI194" s="1056"/>
      <c r="AEJ194" s="1056"/>
      <c r="AEK194" s="1056"/>
      <c r="AEL194" s="1056"/>
      <c r="AEM194" s="1056"/>
      <c r="AEN194" s="1056"/>
      <c r="AEO194" s="1056"/>
      <c r="AEP194" s="1056"/>
      <c r="AEQ194" s="1056"/>
      <c r="AER194" s="1056"/>
      <c r="AES194" s="1056"/>
      <c r="AET194" s="1056"/>
      <c r="AEU194" s="1056"/>
      <c r="AEV194" s="1056"/>
      <c r="AEW194" s="1056"/>
      <c r="AEX194" s="1056"/>
      <c r="AEY194" s="1056"/>
      <c r="AEZ194" s="1056"/>
      <c r="AFA194" s="1056"/>
      <c r="AFB194" s="1056"/>
      <c r="AFC194" s="1056"/>
      <c r="AFD194" s="1056"/>
      <c r="AFE194" s="1056"/>
      <c r="AFF194" s="1056"/>
      <c r="AFG194" s="1056"/>
      <c r="AFH194" s="1056"/>
      <c r="AFI194" s="1056"/>
      <c r="AFJ194" s="1056"/>
      <c r="AFK194" s="1056"/>
      <c r="AFL194" s="1056"/>
      <c r="AFM194" s="1056"/>
      <c r="AFN194" s="1056"/>
      <c r="AFO194" s="1056"/>
      <c r="AFP194" s="1056"/>
      <c r="AFQ194" s="1056"/>
      <c r="AFR194" s="1056"/>
      <c r="AFS194" s="1056"/>
      <c r="AFT194" s="1056"/>
      <c r="AFU194" s="1056"/>
      <c r="AFV194" s="1056"/>
      <c r="AFW194" s="1056"/>
      <c r="AFX194" s="1056"/>
      <c r="AFY194" s="1056"/>
      <c r="AFZ194" s="1056"/>
      <c r="AGA194" s="1056"/>
      <c r="AGB194" s="1056"/>
      <c r="AGC194" s="1056"/>
      <c r="AGD194" s="1056"/>
      <c r="AGE194" s="1056"/>
      <c r="AGF194" s="1056"/>
      <c r="AGG194" s="1056"/>
      <c r="AGH194" s="1056"/>
      <c r="AGI194" s="1056"/>
      <c r="AGJ194" s="1056"/>
      <c r="AGK194" s="1056"/>
      <c r="AGL194" s="1056"/>
      <c r="AGM194" s="1056"/>
      <c r="AGN194" s="1056"/>
      <c r="AGO194" s="1056"/>
      <c r="AGP194" s="1056"/>
      <c r="AGQ194" s="1056"/>
      <c r="AGR194" s="1056"/>
      <c r="AGS194" s="1056"/>
      <c r="AGT194" s="1056"/>
      <c r="AGU194" s="1056"/>
      <c r="AGV194" s="1056"/>
      <c r="AGW194" s="1056"/>
      <c r="AGX194" s="1056"/>
      <c r="AGY194" s="1056"/>
      <c r="AGZ194" s="1056"/>
      <c r="AHA194" s="1056"/>
      <c r="AHB194" s="1056"/>
      <c r="AHC194" s="1056"/>
      <c r="AHD194" s="1056"/>
      <c r="AHE194" s="1056"/>
      <c r="AHF194" s="1056"/>
      <c r="AHG194" s="1056"/>
      <c r="AHH194" s="1056"/>
      <c r="AHI194" s="1056"/>
      <c r="AHJ194" s="1056"/>
      <c r="AHK194" s="1056"/>
      <c r="AHL194" s="1056"/>
      <c r="AHM194" s="1056"/>
      <c r="AHN194" s="1056"/>
      <c r="AHO194" s="1056"/>
      <c r="AHP194" s="1056"/>
      <c r="AHQ194" s="1056"/>
      <c r="AHR194" s="1056"/>
      <c r="AHS194" s="1056"/>
      <c r="AHT194" s="1056"/>
      <c r="AHU194" s="1056"/>
      <c r="AHV194" s="1056"/>
      <c r="AHW194" s="1056"/>
      <c r="AHX194" s="1056"/>
      <c r="AHY194" s="1056"/>
      <c r="AHZ194" s="1056"/>
      <c r="AIA194" s="1056"/>
      <c r="AIB194" s="1056"/>
      <c r="AIC194" s="1056"/>
      <c r="AID194" s="1056"/>
      <c r="AIE194" s="1056"/>
      <c r="AIF194" s="1056"/>
      <c r="AIG194" s="1056"/>
      <c r="AIH194" s="1056"/>
      <c r="AII194" s="1056"/>
      <c r="AIJ194" s="1056"/>
      <c r="AIK194" s="1056"/>
      <c r="AIL194" s="1056"/>
      <c r="AIM194" s="1056"/>
      <c r="AIN194" s="1056"/>
      <c r="AIO194" s="1056"/>
      <c r="AIP194" s="1056"/>
      <c r="AIQ194" s="1056"/>
      <c r="AIR194" s="1056"/>
      <c r="AIS194" s="1056"/>
      <c r="AIT194" s="1056"/>
      <c r="AIU194" s="1056"/>
      <c r="AIV194" s="1056"/>
      <c r="AIW194" s="1056"/>
      <c r="AIX194" s="1056"/>
      <c r="AIY194" s="1056"/>
      <c r="AIZ194" s="1056"/>
      <c r="AJA194" s="1056"/>
      <c r="AJB194" s="1056"/>
      <c r="AJC194" s="1056"/>
      <c r="AJD194" s="1056"/>
      <c r="AJE194" s="1056"/>
      <c r="AJF194" s="1056"/>
      <c r="AJG194" s="1056"/>
      <c r="AJH194" s="1056"/>
      <c r="AJI194" s="1056"/>
      <c r="AJJ194" s="1056"/>
      <c r="AJK194" s="1056"/>
      <c r="AJL194" s="1056"/>
      <c r="AJM194" s="1056"/>
      <c r="AJN194" s="1056"/>
      <c r="AJO194" s="1056"/>
      <c r="AJP194" s="1056"/>
      <c r="AJQ194" s="1056"/>
      <c r="AJR194" s="1056"/>
      <c r="AJS194" s="1056"/>
      <c r="AJT194" s="1056"/>
      <c r="AJU194" s="1056"/>
      <c r="AJV194" s="1056"/>
      <c r="AJW194" s="1056"/>
      <c r="AJX194" s="1056"/>
      <c r="AJY194" s="1056"/>
      <c r="AJZ194" s="1056"/>
      <c r="AKA194" s="1056"/>
      <c r="AKB194" s="1056"/>
      <c r="AKC194" s="1056"/>
      <c r="AKD194" s="1056"/>
      <c r="AKE194" s="1056"/>
      <c r="AKF194" s="1056"/>
      <c r="AKG194" s="1056"/>
      <c r="AKH194" s="1056"/>
      <c r="AKI194" s="1056"/>
      <c r="AKJ194" s="1056"/>
      <c r="AKK194" s="1056"/>
      <c r="AKL194" s="1056"/>
      <c r="AKM194" s="1056"/>
      <c r="AKN194" s="1056"/>
      <c r="AKO194" s="1056"/>
      <c r="AKP194" s="1056"/>
      <c r="AKQ194" s="1056"/>
      <c r="AKR194" s="1056"/>
      <c r="AKS194" s="1056"/>
      <c r="AKT194" s="1056"/>
      <c r="AKU194" s="1056"/>
      <c r="AKV194" s="1056"/>
      <c r="AKW194" s="1056"/>
      <c r="AKX194" s="1056"/>
      <c r="AKY194" s="1056"/>
      <c r="AKZ194" s="1056"/>
      <c r="ALA194" s="1056"/>
      <c r="ALB194" s="1056"/>
      <c r="ALC194" s="1056"/>
      <c r="ALD194" s="1056"/>
      <c r="ALE194" s="1056"/>
      <c r="ALF194" s="1056"/>
      <c r="ALG194" s="1056"/>
      <c r="ALH194" s="1056"/>
      <c r="ALI194" s="1056"/>
      <c r="ALJ194" s="1056"/>
      <c r="ALK194" s="1056"/>
      <c r="ALL194" s="1056"/>
      <c r="ALM194" s="1056"/>
      <c r="ALN194" s="1056"/>
      <c r="ALO194" s="1056"/>
      <c r="ALP194" s="1056"/>
      <c r="ALQ194" s="1056"/>
      <c r="ALR194" s="1056"/>
      <c r="ALS194" s="1056"/>
      <c r="ALT194" s="1056"/>
      <c r="ALU194" s="1056"/>
      <c r="ALV194" s="1056"/>
      <c r="ALW194" s="1056"/>
      <c r="ALX194" s="1056"/>
      <c r="ALY194" s="1056"/>
      <c r="ALZ194" s="1056"/>
      <c r="AMA194" s="1056"/>
      <c r="AMB194" s="1056"/>
      <c r="AMC194" s="1056"/>
      <c r="AMD194" s="1056"/>
      <c r="AME194" s="1056"/>
      <c r="AMF194" s="1056"/>
      <c r="AMG194" s="1056"/>
      <c r="AMH194" s="1056"/>
      <c r="AMI194" s="1056"/>
      <c r="AMJ194" s="1056"/>
      <c r="AMK194" s="1056"/>
      <c r="AML194" s="1056"/>
      <c r="AMM194" s="1056"/>
      <c r="AMN194" s="1056"/>
      <c r="AMO194" s="1056"/>
      <c r="AMP194" s="1056"/>
      <c r="AMQ194" s="1056"/>
      <c r="AMR194" s="1056"/>
      <c r="AMS194" s="1056"/>
      <c r="AMT194" s="1056"/>
      <c r="AMU194" s="1056"/>
      <c r="AMV194" s="1056"/>
      <c r="AMW194" s="1056"/>
      <c r="AMX194" s="1056"/>
      <c r="AMY194" s="1056"/>
      <c r="AMZ194" s="1056"/>
      <c r="ANA194" s="1056"/>
      <c r="ANB194" s="1056"/>
      <c r="ANC194" s="1056"/>
      <c r="AND194" s="1056"/>
      <c r="ANE194" s="1056"/>
      <c r="ANF194" s="1056"/>
      <c r="ANG194" s="1056"/>
      <c r="ANH194" s="1056"/>
      <c r="ANI194" s="1056"/>
      <c r="ANJ194" s="1056"/>
      <c r="ANK194" s="1056"/>
      <c r="ANL194" s="1056"/>
      <c r="ANM194" s="1056"/>
      <c r="ANN194" s="1056"/>
      <c r="ANO194" s="1056"/>
      <c r="ANP194" s="1056"/>
      <c r="ANQ194" s="1056"/>
      <c r="ANR194" s="1056"/>
      <c r="ANS194" s="1056"/>
      <c r="ANT194" s="1056"/>
      <c r="ANU194" s="1056"/>
      <c r="ANV194" s="1056"/>
      <c r="ANW194" s="1056"/>
      <c r="ANX194" s="1056"/>
      <c r="ANY194" s="1056"/>
      <c r="ANZ194" s="1056"/>
      <c r="AOA194" s="1056"/>
      <c r="AOB194" s="1056"/>
      <c r="AOC194" s="1056"/>
      <c r="AOD194" s="1056"/>
      <c r="AOE194" s="1056"/>
      <c r="AOF194" s="1056"/>
      <c r="AOG194" s="1056"/>
      <c r="AOH194" s="1056"/>
      <c r="AOI194" s="1056"/>
      <c r="AOJ194" s="1056"/>
      <c r="AOK194" s="1056"/>
      <c r="AOL194" s="1056"/>
      <c r="AOM194" s="1056"/>
      <c r="AON194" s="1056"/>
      <c r="AOO194" s="1056"/>
      <c r="AOP194" s="1056"/>
      <c r="AOQ194" s="1056"/>
      <c r="AOR194" s="1056"/>
      <c r="AOS194" s="1056"/>
      <c r="AOT194" s="1056"/>
      <c r="AOU194" s="1056"/>
      <c r="AOV194" s="1056"/>
      <c r="AOW194" s="1056"/>
      <c r="AOX194" s="1056"/>
      <c r="AOY194" s="1056"/>
      <c r="AOZ194" s="1056"/>
      <c r="APA194" s="1056"/>
      <c r="APB194" s="1056"/>
      <c r="APC194" s="1056"/>
      <c r="APD194" s="1056"/>
      <c r="APE194" s="1056"/>
      <c r="APF194" s="1056"/>
      <c r="APG194" s="1056"/>
      <c r="APH194" s="1056"/>
      <c r="API194" s="1056"/>
      <c r="APJ194" s="1056"/>
      <c r="APK194" s="1056"/>
      <c r="APL194" s="1056"/>
      <c r="APM194" s="1056"/>
      <c r="APN194" s="1056"/>
      <c r="APO194" s="1056"/>
      <c r="APP194" s="1056"/>
      <c r="APQ194" s="1056"/>
      <c r="APR194" s="1056"/>
      <c r="APS194" s="1056"/>
      <c r="APT194" s="1056"/>
      <c r="APU194" s="1056"/>
      <c r="APV194" s="1056"/>
      <c r="APW194" s="1056"/>
      <c r="APX194" s="1056"/>
      <c r="APY194" s="1056"/>
      <c r="APZ194" s="1056"/>
      <c r="AQA194" s="1056"/>
      <c r="AQB194" s="1056"/>
      <c r="AQC194" s="1056"/>
      <c r="AQD194" s="1056"/>
      <c r="AQE194" s="1056"/>
      <c r="AQF194" s="1056"/>
      <c r="AQG194" s="1056"/>
      <c r="AQH194" s="1056"/>
      <c r="AQI194" s="1056"/>
      <c r="AQJ194" s="1056"/>
      <c r="AQK194" s="1056"/>
      <c r="AQL194" s="1056"/>
      <c r="AQM194" s="1056"/>
      <c r="AQN194" s="1056"/>
      <c r="AQO194" s="1056"/>
      <c r="AQP194" s="1056"/>
      <c r="AQQ194" s="1056"/>
      <c r="AQR194" s="1056"/>
      <c r="AQS194" s="1056"/>
      <c r="AQT194" s="1056"/>
      <c r="AQU194" s="1056"/>
      <c r="AQV194" s="1056"/>
      <c r="AQW194" s="1056"/>
      <c r="AQX194" s="1056"/>
      <c r="AQY194" s="1056"/>
      <c r="AQZ194" s="1056"/>
      <c r="ARA194" s="1056"/>
      <c r="ARB194" s="1056"/>
      <c r="ARC194" s="1056"/>
      <c r="ARD194" s="1056"/>
      <c r="ARE194" s="1056"/>
      <c r="ARF194" s="1056"/>
      <c r="ARG194" s="1056"/>
      <c r="ARH194" s="1056"/>
      <c r="ARI194" s="1056"/>
      <c r="ARJ194" s="1056"/>
      <c r="ARK194" s="1056"/>
      <c r="ARL194" s="1056"/>
      <c r="ARM194" s="1056"/>
      <c r="ARN194" s="1056"/>
      <c r="ARO194" s="1056"/>
      <c r="ARP194" s="1056"/>
      <c r="ARQ194" s="1056"/>
      <c r="ARR194" s="1056"/>
      <c r="ARS194" s="1056"/>
      <c r="ART194" s="1056"/>
      <c r="ARU194" s="1056"/>
      <c r="ARV194" s="1056"/>
      <c r="ARW194" s="1056"/>
      <c r="ARX194" s="1056"/>
      <c r="ARY194" s="1056"/>
      <c r="ARZ194" s="1056"/>
      <c r="ASA194" s="1056"/>
      <c r="ASB194" s="1056"/>
      <c r="ASC194" s="1056"/>
      <c r="ASD194" s="1056"/>
      <c r="ASE194" s="1056"/>
      <c r="ASF194" s="1056"/>
      <c r="ASG194" s="1056"/>
      <c r="ASH194" s="1056"/>
      <c r="ASI194" s="1056"/>
      <c r="ASJ194" s="1056"/>
      <c r="ASK194" s="1056"/>
      <c r="ASL194" s="1056"/>
      <c r="ASM194" s="1056"/>
      <c r="ASN194" s="1056"/>
      <c r="ASO194" s="1056"/>
      <c r="ASP194" s="1056"/>
      <c r="ASQ194" s="1056"/>
      <c r="ASR194" s="1056"/>
      <c r="ASS194" s="1056"/>
      <c r="AST194" s="1056"/>
      <c r="ASU194" s="1056"/>
      <c r="ASV194" s="1056"/>
      <c r="ASW194" s="1056"/>
      <c r="ASX194" s="1056"/>
      <c r="ASY194" s="1056"/>
      <c r="ASZ194" s="1056"/>
      <c r="ATA194" s="1056"/>
      <c r="ATB194" s="1056"/>
      <c r="ATC194" s="1056"/>
      <c r="ATD194" s="1056"/>
      <c r="ATE194" s="1056"/>
      <c r="ATF194" s="1056"/>
      <c r="ATG194" s="1056"/>
      <c r="ATH194" s="1056"/>
      <c r="ATI194" s="1056"/>
      <c r="ATJ194" s="1056"/>
      <c r="ATK194" s="1056"/>
      <c r="ATL194" s="1056"/>
      <c r="ATM194" s="1056"/>
      <c r="ATN194" s="1056"/>
      <c r="ATO194" s="1056"/>
      <c r="ATP194" s="1056"/>
      <c r="ATQ194" s="1056"/>
      <c r="ATR194" s="1056"/>
      <c r="ATS194" s="1056"/>
      <c r="ATT194" s="1056"/>
      <c r="ATU194" s="1056"/>
      <c r="ATV194" s="1056"/>
      <c r="ATW194" s="1056"/>
      <c r="ATX194" s="1056"/>
      <c r="ATY194" s="1056"/>
      <c r="ATZ194" s="1056"/>
      <c r="AUA194" s="1056"/>
      <c r="AUB194" s="1056"/>
      <c r="AUC194" s="1056"/>
      <c r="AUD194" s="1056"/>
      <c r="AUE194" s="1056"/>
      <c r="AUF194" s="1056"/>
      <c r="AUG194" s="1056"/>
      <c r="AUH194" s="1056"/>
      <c r="AUI194" s="1056"/>
      <c r="AUJ194" s="1056"/>
      <c r="AUK194" s="1056"/>
      <c r="AUL194" s="1056"/>
      <c r="AUM194" s="1056"/>
      <c r="AUN194" s="1056"/>
      <c r="AUO194" s="1056"/>
      <c r="AUP194" s="1056"/>
      <c r="AUQ194" s="1056"/>
      <c r="AUR194" s="1056"/>
      <c r="AUS194" s="1056"/>
      <c r="AUT194" s="1056"/>
      <c r="AUU194" s="1056"/>
      <c r="AUV194" s="1056"/>
      <c r="AUW194" s="1056"/>
      <c r="AUX194" s="1056"/>
      <c r="AUY194" s="1056"/>
      <c r="AUZ194" s="1056"/>
      <c r="AVA194" s="1056"/>
      <c r="AVB194" s="1056"/>
      <c r="AVC194" s="1056"/>
      <c r="AVD194" s="1056"/>
      <c r="AVE194" s="1056"/>
      <c r="AVF194" s="1056"/>
      <c r="AVG194" s="1056"/>
      <c r="AVH194" s="1056"/>
      <c r="AVI194" s="1056"/>
      <c r="AVJ194" s="1056"/>
      <c r="AVK194" s="1056"/>
      <c r="AVL194" s="1056"/>
      <c r="AVM194" s="1056"/>
      <c r="AVN194" s="1056"/>
      <c r="AVO194" s="1056"/>
      <c r="AVP194" s="1056"/>
      <c r="AVQ194" s="1056"/>
      <c r="AVR194" s="1056"/>
      <c r="AVS194" s="1056"/>
      <c r="AVT194" s="1056"/>
      <c r="AVU194" s="1056"/>
      <c r="AVV194" s="1056"/>
      <c r="AVW194" s="1056"/>
      <c r="AVX194" s="1056"/>
      <c r="AVY194" s="1056"/>
      <c r="AVZ194" s="1056"/>
      <c r="AWA194" s="1056"/>
      <c r="AWB194" s="1056"/>
      <c r="AWC194" s="1056"/>
      <c r="AWD194" s="1056"/>
      <c r="AWE194" s="1056"/>
      <c r="AWF194" s="1056"/>
      <c r="AWG194" s="1056"/>
      <c r="AWH194" s="1056"/>
      <c r="AWI194" s="1056"/>
      <c r="AWJ194" s="1056"/>
      <c r="AWK194" s="1056"/>
      <c r="AWL194" s="1056"/>
      <c r="AWM194" s="1056"/>
      <c r="AWN194" s="1056"/>
      <c r="AWO194" s="1056"/>
      <c r="AWP194" s="1056"/>
      <c r="AWQ194" s="1056"/>
      <c r="AWR194" s="1056"/>
      <c r="AWS194" s="1056"/>
      <c r="AWT194" s="1056"/>
      <c r="AWU194" s="1056"/>
      <c r="AWV194" s="1056"/>
      <c r="AWW194" s="1056"/>
      <c r="AWX194" s="1056"/>
      <c r="AWY194" s="1056"/>
      <c r="AWZ194" s="1056"/>
      <c r="AXA194" s="1056"/>
      <c r="AXB194" s="1056"/>
      <c r="AXC194" s="1056"/>
      <c r="AXD194" s="1056"/>
      <c r="AXE194" s="1056"/>
      <c r="AXF194" s="1056"/>
      <c r="AXG194" s="1056"/>
      <c r="AXH194" s="1056"/>
      <c r="AXI194" s="1056"/>
      <c r="AXJ194" s="1056"/>
      <c r="AXK194" s="1056"/>
      <c r="AXL194" s="1056"/>
      <c r="AXM194" s="1056"/>
      <c r="AXN194" s="1056"/>
      <c r="AXO194" s="1056"/>
      <c r="AXP194" s="1056"/>
      <c r="AXQ194" s="1056"/>
      <c r="AXR194" s="1056"/>
      <c r="AXS194" s="1056"/>
      <c r="AXT194" s="1056"/>
      <c r="AXU194" s="1056"/>
      <c r="AXV194" s="1056"/>
      <c r="AXW194" s="1056"/>
      <c r="AXX194" s="1056"/>
      <c r="AXY194" s="1056"/>
      <c r="AXZ194" s="1056"/>
      <c r="AYA194" s="1056"/>
      <c r="AYB194" s="1056"/>
      <c r="AYC194" s="1056"/>
      <c r="AYD194" s="1056"/>
      <c r="AYE194" s="1056"/>
      <c r="AYF194" s="1056"/>
      <c r="AYG194" s="1056"/>
      <c r="AYH194" s="1056"/>
      <c r="AYI194" s="1056"/>
      <c r="AYJ194" s="1056"/>
      <c r="AYK194" s="1056"/>
      <c r="AYL194" s="1056"/>
      <c r="AYM194" s="1056"/>
      <c r="AYN194" s="1056"/>
      <c r="AYO194" s="1056"/>
      <c r="AYP194" s="1056"/>
      <c r="AYQ194" s="1056"/>
      <c r="AYR194" s="1056"/>
      <c r="AYS194" s="1056"/>
      <c r="AYT194" s="1056"/>
      <c r="AYU194" s="1056"/>
      <c r="AYV194" s="1056"/>
      <c r="AYW194" s="1056"/>
      <c r="AYX194" s="1056"/>
      <c r="AYY194" s="1056"/>
      <c r="AYZ194" s="1056"/>
      <c r="AZA194" s="1056"/>
      <c r="AZB194" s="1056"/>
      <c r="AZC194" s="1056"/>
      <c r="AZD194" s="1056"/>
      <c r="AZE194" s="1056"/>
      <c r="AZF194" s="1056"/>
      <c r="AZG194" s="1056"/>
      <c r="AZH194" s="1056"/>
      <c r="AZI194" s="1056"/>
      <c r="AZJ194" s="1056"/>
      <c r="AZK194" s="1056"/>
      <c r="AZL194" s="1056"/>
      <c r="AZM194" s="1056"/>
      <c r="AZN194" s="1056"/>
      <c r="AZO194" s="1056"/>
      <c r="AZP194" s="1056"/>
      <c r="AZQ194" s="1056"/>
      <c r="AZR194" s="1056"/>
      <c r="AZS194" s="1056"/>
      <c r="AZT194" s="1056"/>
      <c r="AZU194" s="1056"/>
      <c r="AZV194" s="1056"/>
      <c r="AZW194" s="1056"/>
      <c r="AZX194" s="1056"/>
      <c r="AZY194" s="1056"/>
      <c r="AZZ194" s="1056"/>
      <c r="BAA194" s="1056"/>
      <c r="BAB194" s="1056"/>
      <c r="BAC194" s="1056"/>
      <c r="BAD194" s="1056"/>
      <c r="BAE194" s="1056"/>
      <c r="BAF194" s="1056"/>
      <c r="BAG194" s="1056"/>
      <c r="BAH194" s="1056"/>
      <c r="BAI194" s="1056"/>
      <c r="BAJ194" s="1056"/>
      <c r="BAK194" s="1056"/>
      <c r="BAL194" s="1056"/>
      <c r="BAM194" s="1056"/>
      <c r="BAN194" s="1056"/>
      <c r="BAO194" s="1056"/>
      <c r="BAP194" s="1056"/>
      <c r="BAQ194" s="1056"/>
      <c r="BAR194" s="1056"/>
      <c r="BAS194" s="1056"/>
      <c r="BAT194" s="1056"/>
      <c r="BAU194" s="1056"/>
      <c r="BAV194" s="1056"/>
      <c r="BAW194" s="1056"/>
      <c r="BAX194" s="1056"/>
      <c r="BAY194" s="1056"/>
      <c r="BAZ194" s="1056"/>
      <c r="BBA194" s="1056"/>
      <c r="BBB194" s="1056"/>
      <c r="BBC194" s="1056"/>
      <c r="BBD194" s="1056"/>
      <c r="BBE194" s="1056"/>
      <c r="BBF194" s="1056"/>
      <c r="BBG194" s="1056"/>
      <c r="BBH194" s="1056"/>
      <c r="BBI194" s="1056"/>
      <c r="BBJ194" s="1056"/>
      <c r="BBK194" s="1056"/>
      <c r="BBL194" s="1056"/>
      <c r="BBM194" s="1056"/>
      <c r="BBN194" s="1056"/>
      <c r="BBO194" s="1056"/>
      <c r="BBP194" s="1056"/>
      <c r="BBQ194" s="1056"/>
      <c r="BBR194" s="1056"/>
      <c r="BBS194" s="1056"/>
      <c r="BBT194" s="1056"/>
      <c r="BBU194" s="1056"/>
      <c r="BBV194" s="1056"/>
      <c r="BBW194" s="1056"/>
      <c r="BBX194" s="1056"/>
      <c r="BBY194" s="1056"/>
      <c r="BBZ194" s="1056"/>
      <c r="BCA194" s="1056"/>
      <c r="BCB194" s="1056"/>
      <c r="BCC194" s="1056"/>
      <c r="BCD194" s="1056"/>
      <c r="BCE194" s="1056"/>
      <c r="BCF194" s="1056"/>
      <c r="BCG194" s="1056"/>
      <c r="BCH194" s="1056"/>
      <c r="BCI194" s="1056"/>
      <c r="BCJ194" s="1056"/>
      <c r="BCK194" s="1056"/>
      <c r="BCL194" s="1056"/>
      <c r="BCM194" s="1056"/>
      <c r="BCN194" s="1056"/>
      <c r="BCO194" s="1056"/>
      <c r="BCP194" s="1056"/>
      <c r="BCQ194" s="1056"/>
      <c r="BCR194" s="1056"/>
      <c r="BCS194" s="1056"/>
      <c r="BCT194" s="1056"/>
      <c r="BCU194" s="1056"/>
      <c r="BCV194" s="1056"/>
      <c r="BCW194" s="1056"/>
      <c r="BCX194" s="1056"/>
      <c r="BCY194" s="1056"/>
      <c r="BCZ194" s="1056"/>
      <c r="BDA194" s="1056"/>
      <c r="BDB194" s="1056"/>
      <c r="BDC194" s="1056"/>
      <c r="BDD194" s="1056"/>
      <c r="BDE194" s="1056"/>
      <c r="BDF194" s="1056"/>
      <c r="BDG194" s="1056"/>
      <c r="BDH194" s="1056"/>
      <c r="BDI194" s="1056"/>
      <c r="BDJ194" s="1056"/>
      <c r="BDK194" s="1056"/>
      <c r="BDL194" s="1056"/>
      <c r="BDM194" s="1056"/>
      <c r="BDN194" s="1056"/>
      <c r="BDO194" s="1056"/>
      <c r="BDP194" s="1056"/>
      <c r="BDQ194" s="1056"/>
      <c r="BDR194" s="1056"/>
      <c r="BDS194" s="1056"/>
      <c r="BDT194" s="1056"/>
      <c r="BDU194" s="1056"/>
      <c r="BDV194" s="1056"/>
      <c r="BDW194" s="1056"/>
      <c r="BDX194" s="1056"/>
      <c r="BDY194" s="1056"/>
      <c r="BDZ194" s="1056"/>
      <c r="BEA194" s="1056"/>
      <c r="BEB194" s="1056"/>
      <c r="BEC194" s="1056"/>
      <c r="BED194" s="1056"/>
      <c r="BEE194" s="1056"/>
      <c r="BEF194" s="1056"/>
      <c r="BEG194" s="1056"/>
      <c r="BEH194" s="1056"/>
      <c r="BEI194" s="1056"/>
      <c r="BEJ194" s="1056"/>
      <c r="BEK194" s="1056"/>
      <c r="BEL194" s="1056"/>
      <c r="BEM194" s="1056"/>
      <c r="BEN194" s="1056"/>
      <c r="BEO194" s="1056"/>
      <c r="BEP194" s="1056"/>
      <c r="BEQ194" s="1056"/>
      <c r="BER194" s="1056"/>
      <c r="BES194" s="1056"/>
      <c r="BET194" s="1056"/>
      <c r="BEU194" s="1056"/>
      <c r="BEV194" s="1056"/>
      <c r="BEW194" s="1056"/>
      <c r="BEX194" s="1056"/>
      <c r="BEY194" s="1056"/>
      <c r="BEZ194" s="1056"/>
      <c r="BFA194" s="1056"/>
      <c r="BFB194" s="1056"/>
      <c r="BFC194" s="1056"/>
      <c r="BFD194" s="1056"/>
      <c r="BFE194" s="1056"/>
      <c r="BFF194" s="1056"/>
      <c r="BFG194" s="1056"/>
      <c r="BFH194" s="1056"/>
      <c r="BFI194" s="1056"/>
      <c r="BFJ194" s="1056"/>
      <c r="BFK194" s="1056"/>
      <c r="BFL194" s="1056"/>
      <c r="BFM194" s="1056"/>
      <c r="BFN194" s="1056"/>
      <c r="BFO194" s="1056"/>
      <c r="BFP194" s="1056"/>
      <c r="BFQ194" s="1056"/>
      <c r="BFR194" s="1056"/>
      <c r="BFS194" s="1056"/>
      <c r="BFT194" s="1056"/>
      <c r="BFU194" s="1056"/>
      <c r="BFV194" s="1056"/>
      <c r="BFW194" s="1056"/>
      <c r="BFX194" s="1056"/>
      <c r="BFY194" s="1056"/>
      <c r="BFZ194" s="1056"/>
      <c r="BGA194" s="1056"/>
      <c r="BGB194" s="1056"/>
      <c r="BGC194" s="1056"/>
      <c r="BGD194" s="1056"/>
      <c r="BGE194" s="1056"/>
      <c r="BGF194" s="1056"/>
      <c r="BGG194" s="1056"/>
      <c r="BGH194" s="1056"/>
      <c r="BGI194" s="1056"/>
      <c r="BGJ194" s="1056"/>
      <c r="BGK194" s="1056"/>
      <c r="BGL194" s="1056"/>
      <c r="BGM194" s="1056"/>
      <c r="BGN194" s="1056"/>
      <c r="BGO194" s="1056"/>
      <c r="BGP194" s="1056"/>
      <c r="BGQ194" s="1056"/>
      <c r="BGR194" s="1056"/>
      <c r="BGS194" s="1056"/>
      <c r="BGT194" s="1056"/>
      <c r="BGU194" s="1056"/>
      <c r="BGV194" s="1056"/>
      <c r="BGW194" s="1056"/>
      <c r="BGX194" s="1056"/>
      <c r="BGY194" s="1056"/>
      <c r="BGZ194" s="1056"/>
      <c r="BHA194" s="1056"/>
      <c r="BHB194" s="1056"/>
      <c r="BHC194" s="1056"/>
      <c r="BHD194" s="1056"/>
      <c r="BHE194" s="1056"/>
      <c r="BHF194" s="1056"/>
      <c r="BHG194" s="1056"/>
      <c r="BHH194" s="1056"/>
      <c r="BHI194" s="1056"/>
      <c r="BHJ194" s="1056"/>
      <c r="BHK194" s="1056"/>
      <c r="BHL194" s="1056"/>
      <c r="BHM194" s="1056"/>
      <c r="BHN194" s="1056"/>
      <c r="BHO194" s="1056"/>
      <c r="BHP194" s="1056"/>
      <c r="BHQ194" s="1056"/>
      <c r="BHR194" s="1056"/>
      <c r="BHS194" s="1056"/>
      <c r="BHT194" s="1056"/>
      <c r="BHU194" s="1056"/>
      <c r="BHV194" s="1056"/>
      <c r="BHW194" s="1056"/>
      <c r="BHX194" s="1056"/>
      <c r="BHY194" s="1056"/>
      <c r="BHZ194" s="1056"/>
      <c r="BIA194" s="1056"/>
      <c r="BIB194" s="1056"/>
      <c r="BIC194" s="1056"/>
      <c r="BID194" s="1056"/>
      <c r="BIE194" s="1056"/>
      <c r="BIF194" s="1056"/>
      <c r="BIG194" s="1056"/>
      <c r="BIH194" s="1056"/>
      <c r="BII194" s="1056"/>
      <c r="BIJ194" s="1056"/>
      <c r="BIK194" s="1056"/>
      <c r="BIL194" s="1056"/>
      <c r="BIM194" s="1056"/>
      <c r="BIN194" s="1056"/>
      <c r="BIO194" s="1056"/>
      <c r="BIP194" s="1056"/>
      <c r="BIQ194" s="1056"/>
      <c r="BIR194" s="1056"/>
      <c r="BIS194" s="1056"/>
      <c r="BIT194" s="1056"/>
      <c r="BIU194" s="1056"/>
      <c r="BIV194" s="1056"/>
      <c r="BIW194" s="1056"/>
      <c r="BIX194" s="1056"/>
      <c r="BIY194" s="1056"/>
      <c r="BIZ194" s="1056"/>
      <c r="BJA194" s="1056"/>
      <c r="BJB194" s="1056"/>
      <c r="BJC194" s="1056"/>
      <c r="BJD194" s="1056"/>
      <c r="BJE194" s="1056"/>
      <c r="BJF194" s="1056"/>
      <c r="BJG194" s="1056"/>
      <c r="BJH194" s="1056"/>
      <c r="BJI194" s="1056"/>
      <c r="BJJ194" s="1056"/>
      <c r="BJK194" s="1056"/>
      <c r="BJL194" s="1056"/>
      <c r="BJM194" s="1056"/>
      <c r="BJN194" s="1056"/>
      <c r="BJO194" s="1056"/>
      <c r="BJP194" s="1056"/>
      <c r="BJQ194" s="1056"/>
      <c r="BJR194" s="1056"/>
      <c r="BJS194" s="1056"/>
      <c r="BJT194" s="1056"/>
      <c r="BJU194" s="1056"/>
      <c r="BJV194" s="1056"/>
      <c r="BJW194" s="1056"/>
      <c r="BJX194" s="1056"/>
      <c r="BJY194" s="1056"/>
      <c r="BJZ194" s="1056"/>
      <c r="BKA194" s="1056"/>
      <c r="BKB194" s="1056"/>
      <c r="BKC194" s="1056"/>
      <c r="BKD194" s="1056"/>
      <c r="BKE194" s="1056"/>
      <c r="BKF194" s="1056"/>
      <c r="BKG194" s="1056"/>
      <c r="BKH194" s="1056"/>
      <c r="BKI194" s="1056"/>
      <c r="BKJ194" s="1056"/>
      <c r="BKK194" s="1056"/>
      <c r="BKL194" s="1056"/>
      <c r="BKM194" s="1056"/>
      <c r="BKN194" s="1056"/>
      <c r="BKO194" s="1056"/>
      <c r="BKP194" s="1056"/>
      <c r="BKQ194" s="1056"/>
      <c r="BKR194" s="1056"/>
      <c r="BKS194" s="1056"/>
      <c r="BKT194" s="1056"/>
      <c r="BKU194" s="1056"/>
      <c r="BKV194" s="1056"/>
      <c r="BKW194" s="1056"/>
      <c r="BKX194" s="1056"/>
      <c r="BKY194" s="1056"/>
      <c r="BKZ194" s="1056"/>
      <c r="BLA194" s="1056"/>
      <c r="BLB194" s="1056"/>
      <c r="BLC194" s="1056"/>
      <c r="BLD194" s="1056"/>
      <c r="BLE194" s="1056"/>
      <c r="BLF194" s="1056"/>
      <c r="BLG194" s="1056"/>
      <c r="BLH194" s="1056"/>
      <c r="BLI194" s="1056"/>
      <c r="BLJ194" s="1056"/>
      <c r="BLK194" s="1056"/>
      <c r="BLL194" s="1056"/>
      <c r="BLM194" s="1056"/>
      <c r="BLN194" s="1056"/>
      <c r="BLO194" s="1056"/>
      <c r="BLP194" s="1056"/>
      <c r="BLQ194" s="1056"/>
      <c r="BLR194" s="1056"/>
      <c r="BLS194" s="1056"/>
      <c r="BLT194" s="1056"/>
      <c r="BLU194" s="1056"/>
      <c r="BLV194" s="1056"/>
      <c r="BLW194" s="1056"/>
      <c r="BLX194" s="1056"/>
      <c r="BLY194" s="1056"/>
      <c r="BLZ194" s="1056"/>
      <c r="BMA194" s="1056"/>
      <c r="BMB194" s="1056"/>
      <c r="BMC194" s="1056"/>
      <c r="BMD194" s="1056"/>
      <c r="BME194" s="1056"/>
      <c r="BMF194" s="1056"/>
      <c r="BMG194" s="1056"/>
      <c r="BMH194" s="1056"/>
      <c r="BMI194" s="1056"/>
      <c r="BMJ194" s="1056"/>
      <c r="BMK194" s="1056"/>
      <c r="BML194" s="1056"/>
      <c r="BMM194" s="1056"/>
      <c r="BMN194" s="1056"/>
      <c r="BMO194" s="1056"/>
      <c r="BMP194" s="1056"/>
      <c r="BMQ194" s="1056"/>
      <c r="BMR194" s="1056"/>
      <c r="BMS194" s="1056"/>
      <c r="BMT194" s="1056"/>
      <c r="BMU194" s="1056"/>
      <c r="BMV194" s="1056"/>
      <c r="BMW194" s="1056"/>
      <c r="BMX194" s="1056"/>
      <c r="BMY194" s="1056"/>
      <c r="BMZ194" s="1056"/>
      <c r="BNA194" s="1056"/>
      <c r="BNB194" s="1056"/>
      <c r="BNC194" s="1056"/>
      <c r="BND194" s="1056"/>
      <c r="BNE194" s="1056"/>
      <c r="BNF194" s="1056"/>
      <c r="BNG194" s="1056"/>
      <c r="BNH194" s="1056"/>
      <c r="BNI194" s="1056"/>
      <c r="BNJ194" s="1056"/>
      <c r="BNK194" s="1056"/>
      <c r="BNL194" s="1056"/>
      <c r="BNM194" s="1056"/>
      <c r="BNN194" s="1056"/>
      <c r="BNO194" s="1056"/>
      <c r="BNP194" s="1056"/>
      <c r="BNQ194" s="1056"/>
      <c r="BNR194" s="1056"/>
      <c r="BNS194" s="1056"/>
      <c r="BNT194" s="1056"/>
      <c r="BNU194" s="1056"/>
      <c r="BNV194" s="1056"/>
      <c r="BNW194" s="1056"/>
      <c r="BNX194" s="1056"/>
      <c r="BNY194" s="1056"/>
      <c r="BNZ194" s="1056"/>
      <c r="BOA194" s="1056"/>
      <c r="BOB194" s="1056"/>
      <c r="BOC194" s="1056"/>
      <c r="BOD194" s="1056"/>
      <c r="BOE194" s="1056"/>
      <c r="BOF194" s="1056"/>
      <c r="BOG194" s="1056"/>
      <c r="BOH194" s="1056"/>
      <c r="BOI194" s="1056"/>
      <c r="BOJ194" s="1056"/>
      <c r="BOK194" s="1056"/>
      <c r="BOL194" s="1056"/>
      <c r="BOM194" s="1056"/>
      <c r="BON194" s="1056"/>
      <c r="BOO194" s="1056"/>
      <c r="BOP194" s="1056"/>
      <c r="BOQ194" s="1056"/>
      <c r="BOR194" s="1056"/>
      <c r="BOS194" s="1056"/>
      <c r="BOT194" s="1056"/>
      <c r="BOU194" s="1056"/>
      <c r="BOV194" s="1056"/>
      <c r="BOW194" s="1056"/>
      <c r="BOX194" s="1056"/>
      <c r="BOY194" s="1056"/>
      <c r="BOZ194" s="1056"/>
      <c r="BPA194" s="1056"/>
      <c r="BPB194" s="1056"/>
      <c r="BPC194" s="1056"/>
      <c r="BPD194" s="1056"/>
      <c r="BPE194" s="1056"/>
      <c r="BPF194" s="1056"/>
      <c r="BPG194" s="1056"/>
      <c r="BPH194" s="1056"/>
      <c r="BPI194" s="1056"/>
      <c r="BPJ194" s="1056"/>
      <c r="BPK194" s="1056"/>
      <c r="BPL194" s="1056"/>
      <c r="BPM194" s="1056"/>
      <c r="BPN194" s="1056"/>
      <c r="BPO194" s="1056"/>
      <c r="BPP194" s="1056"/>
      <c r="BPQ194" s="1056"/>
      <c r="BPR194" s="1056"/>
      <c r="BPS194" s="1056"/>
      <c r="BPT194" s="1056"/>
      <c r="BPU194" s="1056"/>
      <c r="BPV194" s="1056"/>
      <c r="BPW194" s="1056"/>
      <c r="BPX194" s="1056"/>
      <c r="BPY194" s="1056"/>
      <c r="BPZ194" s="1056"/>
      <c r="BQA194" s="1056"/>
      <c r="BQB194" s="1056"/>
      <c r="BQC194" s="1056"/>
      <c r="BQD194" s="1056"/>
      <c r="BQE194" s="1056"/>
      <c r="BQF194" s="1056"/>
      <c r="BQG194" s="1056"/>
      <c r="BQH194" s="1056"/>
      <c r="BQI194" s="1056"/>
      <c r="BQJ194" s="1056"/>
      <c r="BQK194" s="1056"/>
      <c r="BQL194" s="1056"/>
      <c r="BQM194" s="1056"/>
      <c r="BQN194" s="1056"/>
      <c r="BQO194" s="1056"/>
      <c r="BQP194" s="1056"/>
      <c r="BQQ194" s="1056"/>
      <c r="BQR194" s="1056"/>
      <c r="BQS194" s="1056"/>
      <c r="BQT194" s="1056"/>
      <c r="BQU194" s="1056"/>
      <c r="BQV194" s="1056"/>
      <c r="BQW194" s="1056"/>
      <c r="BQX194" s="1056"/>
      <c r="BQY194" s="1056"/>
      <c r="BQZ194" s="1056"/>
      <c r="BRA194" s="1056"/>
      <c r="BRB194" s="1056"/>
      <c r="BRC194" s="1056"/>
      <c r="BRD194" s="1056"/>
      <c r="BRE194" s="1056"/>
      <c r="BRF194" s="1056"/>
      <c r="BRG194" s="1056"/>
      <c r="BRH194" s="1056"/>
      <c r="BRI194" s="1056"/>
      <c r="BRJ194" s="1056"/>
      <c r="BRK194" s="1056"/>
      <c r="BRL194" s="1056"/>
      <c r="BRM194" s="1056"/>
      <c r="BRN194" s="1056"/>
      <c r="BRO194" s="1056"/>
      <c r="BRP194" s="1056"/>
      <c r="BRQ194" s="1056"/>
      <c r="BRR194" s="1056"/>
      <c r="BRS194" s="1056"/>
      <c r="BRT194" s="1056"/>
      <c r="BRU194" s="1056"/>
      <c r="BRV194" s="1056"/>
      <c r="BRW194" s="1056"/>
      <c r="BRX194" s="1056"/>
      <c r="BRY194" s="1056"/>
      <c r="BRZ194" s="1056"/>
      <c r="BSA194" s="1056"/>
      <c r="BSB194" s="1056"/>
      <c r="BSC194" s="1056"/>
      <c r="BSD194" s="1056"/>
      <c r="BSE194" s="1056"/>
      <c r="BSF194" s="1056"/>
      <c r="BSG194" s="1056"/>
      <c r="BSH194" s="1056"/>
      <c r="BSI194" s="1056"/>
      <c r="BSJ194" s="1056"/>
      <c r="BSK194" s="1056"/>
      <c r="BSL194" s="1056"/>
      <c r="BSM194" s="1056"/>
      <c r="BSN194" s="1056"/>
      <c r="BSO194" s="1056"/>
      <c r="BSP194" s="1056"/>
      <c r="BSQ194" s="1056"/>
      <c r="BSR194" s="1056"/>
      <c r="BSS194" s="1056"/>
      <c r="BST194" s="1056"/>
      <c r="BSU194" s="1056"/>
      <c r="BSV194" s="1056"/>
      <c r="BSW194" s="1056"/>
      <c r="BSX194" s="1056"/>
      <c r="BSY194" s="1056"/>
      <c r="BSZ194" s="1056"/>
      <c r="BTA194" s="1056"/>
      <c r="BTB194" s="1056"/>
      <c r="BTC194" s="1056"/>
      <c r="BTD194" s="1056"/>
      <c r="BTE194" s="1056"/>
      <c r="BTF194" s="1056"/>
      <c r="BTG194" s="1056"/>
      <c r="BTH194" s="1056"/>
      <c r="BTI194" s="1056"/>
    </row>
    <row r="195" spans="1:1881" s="1060" customFormat="1" ht="93" hidden="1" customHeight="1" x14ac:dyDescent="0.3">
      <c r="A195" s="1059">
        <v>192</v>
      </c>
      <c r="B195" s="808" t="s">
        <v>58</v>
      </c>
      <c r="C195" s="808" t="s">
        <v>1422</v>
      </c>
      <c r="D195" s="746" t="s">
        <v>1425</v>
      </c>
      <c r="E195" s="1053" t="e">
        <f>HLOOKUP($D$2,'2020 Data(H)'!$C$1:$AI$426,73,FALSE)</f>
        <v>#N/A</v>
      </c>
      <c r="F195" s="286">
        <v>0</v>
      </c>
      <c r="G195" s="722">
        <f t="shared" si="2"/>
        <v>0</v>
      </c>
      <c r="H195" s="764"/>
      <c r="I195" s="1055"/>
      <c r="J195" s="1056"/>
      <c r="K195" s="1056"/>
      <c r="L195" s="1056"/>
      <c r="M195" s="1056"/>
      <c r="N195" s="1058"/>
      <c r="O195" s="1056"/>
      <c r="P195" s="1056"/>
      <c r="Q195" s="1056"/>
      <c r="R195" s="1056"/>
      <c r="S195" s="1056"/>
      <c r="T195" s="1056"/>
      <c r="U195" s="1056"/>
      <c r="V195" s="1056"/>
      <c r="W195" s="1056"/>
      <c r="X195" s="1056"/>
      <c r="Y195" s="1056"/>
      <c r="Z195" s="1059"/>
      <c r="AA195" s="1059"/>
      <c r="AB195" s="1059"/>
      <c r="AC195" s="1059"/>
      <c r="AD195" s="1059"/>
      <c r="AE195" s="1059"/>
      <c r="AF195" s="1059"/>
      <c r="AG195" s="1059"/>
      <c r="AH195" s="1059"/>
      <c r="AI195" s="1059"/>
      <c r="AJ195" s="1059"/>
      <c r="AK195" s="1059"/>
      <c r="AL195" s="1059"/>
      <c r="AM195" s="1059"/>
      <c r="AN195" s="1059"/>
      <c r="AO195" s="1059"/>
      <c r="AP195" s="1059"/>
      <c r="AQ195" s="1059"/>
      <c r="AR195" s="1059"/>
      <c r="AS195" s="1056"/>
      <c r="AT195" s="1056"/>
      <c r="AU195" s="1056"/>
      <c r="AV195" s="1056"/>
      <c r="AW195" s="1056"/>
      <c r="AX195" s="1056"/>
      <c r="AY195" s="1056"/>
      <c r="AZ195" s="1056"/>
      <c r="BA195" s="1056"/>
      <c r="BB195" s="1056"/>
      <c r="BC195" s="1056"/>
      <c r="BD195" s="1056"/>
      <c r="BE195" s="1056"/>
      <c r="BF195" s="1056"/>
      <c r="BG195" s="1056"/>
      <c r="BH195" s="1056"/>
      <c r="BI195" s="1056"/>
      <c r="BJ195" s="1056"/>
      <c r="BK195" s="1056"/>
      <c r="BL195" s="1056"/>
      <c r="BM195" s="1056"/>
      <c r="BN195" s="1056"/>
      <c r="BO195" s="1056"/>
      <c r="BP195" s="1056"/>
      <c r="BQ195" s="1056"/>
      <c r="BR195" s="1056"/>
      <c r="BS195" s="1056"/>
      <c r="BT195" s="1056"/>
      <c r="BU195" s="1056"/>
      <c r="BV195" s="1056"/>
      <c r="BW195" s="1056"/>
      <c r="BX195" s="1056"/>
      <c r="BY195" s="1056"/>
      <c r="BZ195" s="1056"/>
      <c r="CA195" s="1056"/>
      <c r="CB195" s="1056"/>
      <c r="CC195" s="1056"/>
      <c r="CD195" s="1056"/>
      <c r="CE195" s="1056"/>
      <c r="CF195" s="1056"/>
      <c r="CG195" s="1056"/>
      <c r="CH195" s="1056"/>
      <c r="CI195" s="1056"/>
      <c r="CJ195" s="1056"/>
      <c r="CK195" s="1056"/>
      <c r="CL195" s="1056"/>
      <c r="CM195" s="1056"/>
      <c r="CN195" s="1056"/>
      <c r="CO195" s="1056"/>
      <c r="CP195" s="1056"/>
      <c r="CQ195" s="1056"/>
      <c r="CR195" s="1056"/>
      <c r="CS195" s="1056"/>
      <c r="CT195" s="1056"/>
      <c r="CU195" s="1056"/>
      <c r="CV195" s="1056"/>
      <c r="CW195" s="1056"/>
      <c r="CX195" s="1056"/>
      <c r="CY195" s="1056"/>
      <c r="CZ195" s="1056"/>
      <c r="DA195" s="1056"/>
      <c r="DB195" s="1056"/>
      <c r="DC195" s="1056"/>
      <c r="DD195" s="1056"/>
      <c r="DE195" s="1056"/>
      <c r="DF195" s="1056"/>
      <c r="DG195" s="1056"/>
      <c r="DH195" s="1056"/>
      <c r="DI195" s="1056"/>
      <c r="DJ195" s="1056"/>
      <c r="DK195" s="1056"/>
      <c r="DL195" s="1056"/>
      <c r="DM195" s="1056"/>
      <c r="DN195" s="1056"/>
      <c r="DO195" s="1056"/>
      <c r="DP195" s="1056"/>
      <c r="DQ195" s="1056"/>
      <c r="DR195" s="1056"/>
      <c r="DS195" s="1056"/>
      <c r="DT195" s="1056"/>
      <c r="DU195" s="1056"/>
      <c r="DV195" s="1056"/>
      <c r="DW195" s="1056"/>
      <c r="DX195" s="1056"/>
      <c r="DY195" s="1056"/>
      <c r="DZ195" s="1056"/>
      <c r="EA195" s="1056"/>
      <c r="EB195" s="1056"/>
      <c r="EC195" s="1056"/>
      <c r="ED195" s="1056"/>
      <c r="EE195" s="1056"/>
      <c r="EF195" s="1056"/>
      <c r="EG195" s="1056"/>
      <c r="EH195" s="1056"/>
      <c r="EI195" s="1056"/>
      <c r="EJ195" s="1056"/>
      <c r="EK195" s="1056"/>
      <c r="EL195" s="1056"/>
      <c r="EM195" s="1056"/>
      <c r="EN195" s="1056"/>
      <c r="EO195" s="1056"/>
      <c r="EP195" s="1056"/>
      <c r="EQ195" s="1056"/>
      <c r="ER195" s="1056"/>
      <c r="ES195" s="1056"/>
      <c r="ET195" s="1056"/>
      <c r="EU195" s="1056"/>
      <c r="EV195" s="1056"/>
      <c r="EW195" s="1056"/>
      <c r="EX195" s="1056"/>
      <c r="EY195" s="1056"/>
      <c r="EZ195" s="1056"/>
      <c r="FA195" s="1056"/>
      <c r="FB195" s="1056"/>
      <c r="FC195" s="1056"/>
      <c r="FD195" s="1056"/>
      <c r="FE195" s="1056"/>
      <c r="FF195" s="1056"/>
      <c r="FG195" s="1056"/>
      <c r="FH195" s="1056"/>
      <c r="FI195" s="1056"/>
      <c r="FJ195" s="1056"/>
      <c r="FK195" s="1056"/>
      <c r="FL195" s="1056"/>
      <c r="FM195" s="1056"/>
      <c r="FN195" s="1056"/>
      <c r="FO195" s="1056"/>
      <c r="FP195" s="1056"/>
      <c r="FQ195" s="1056"/>
      <c r="FR195" s="1056"/>
      <c r="FS195" s="1056"/>
      <c r="FT195" s="1056"/>
      <c r="FU195" s="1056"/>
      <c r="FV195" s="1056"/>
      <c r="FW195" s="1056"/>
      <c r="FX195" s="1056"/>
      <c r="FY195" s="1056"/>
      <c r="FZ195" s="1056"/>
      <c r="GA195" s="1056"/>
      <c r="GB195" s="1056"/>
      <c r="GC195" s="1056"/>
      <c r="GD195" s="1056"/>
      <c r="GE195" s="1056"/>
      <c r="GF195" s="1056"/>
      <c r="GG195" s="1056"/>
      <c r="GH195" s="1056"/>
      <c r="GI195" s="1056"/>
      <c r="GJ195" s="1056"/>
      <c r="GK195" s="1056"/>
      <c r="GL195" s="1056"/>
      <c r="GM195" s="1056"/>
      <c r="GN195" s="1056"/>
      <c r="GO195" s="1056"/>
      <c r="GP195" s="1056"/>
      <c r="GQ195" s="1056"/>
      <c r="GR195" s="1056"/>
      <c r="GS195" s="1056"/>
      <c r="GT195" s="1056"/>
      <c r="GU195" s="1056"/>
      <c r="GV195" s="1056"/>
      <c r="GW195" s="1056"/>
      <c r="GX195" s="1056"/>
      <c r="GY195" s="1056"/>
      <c r="GZ195" s="1056"/>
      <c r="HA195" s="1056"/>
      <c r="HB195" s="1056"/>
      <c r="HC195" s="1056"/>
      <c r="HD195" s="1056"/>
      <c r="HE195" s="1056"/>
      <c r="HF195" s="1056"/>
      <c r="HG195" s="1056"/>
      <c r="HH195" s="1056"/>
      <c r="HI195" s="1056"/>
      <c r="HJ195" s="1056"/>
      <c r="HK195" s="1056"/>
      <c r="HL195" s="1056"/>
      <c r="HM195" s="1056"/>
      <c r="HN195" s="1056"/>
      <c r="HO195" s="1056"/>
      <c r="HP195" s="1056"/>
      <c r="HQ195" s="1056"/>
      <c r="HR195" s="1056"/>
      <c r="HS195" s="1056"/>
      <c r="HT195" s="1056"/>
      <c r="HU195" s="1056"/>
      <c r="HV195" s="1056"/>
      <c r="HW195" s="1056"/>
      <c r="HX195" s="1056"/>
      <c r="HY195" s="1056"/>
      <c r="HZ195" s="1056"/>
      <c r="IA195" s="1056"/>
      <c r="IB195" s="1056"/>
      <c r="IC195" s="1056"/>
      <c r="ID195" s="1056"/>
      <c r="IE195" s="1056"/>
      <c r="IF195" s="1056"/>
      <c r="IG195" s="1056"/>
      <c r="IH195" s="1056"/>
      <c r="II195" s="1056"/>
      <c r="IJ195" s="1056"/>
      <c r="IK195" s="1056"/>
      <c r="IL195" s="1056"/>
      <c r="IM195" s="1056"/>
      <c r="IN195" s="1056"/>
      <c r="IO195" s="1056"/>
      <c r="IP195" s="1056"/>
      <c r="IQ195" s="1056"/>
      <c r="IR195" s="1056"/>
      <c r="IS195" s="1056"/>
      <c r="IT195" s="1056"/>
      <c r="IU195" s="1056"/>
      <c r="IV195" s="1056"/>
      <c r="IW195" s="1056"/>
      <c r="IX195" s="1056"/>
      <c r="IY195" s="1056"/>
      <c r="IZ195" s="1056"/>
      <c r="JA195" s="1056"/>
      <c r="JB195" s="1056"/>
      <c r="JC195" s="1056"/>
      <c r="JD195" s="1056"/>
      <c r="JE195" s="1056"/>
      <c r="JF195" s="1056"/>
      <c r="JG195" s="1056"/>
      <c r="JH195" s="1056"/>
      <c r="JI195" s="1056"/>
      <c r="JJ195" s="1056"/>
      <c r="JK195" s="1056"/>
      <c r="JL195" s="1056"/>
      <c r="JM195" s="1056"/>
      <c r="JN195" s="1056"/>
      <c r="JO195" s="1056"/>
      <c r="JP195" s="1056"/>
      <c r="JQ195" s="1056"/>
      <c r="JR195" s="1056"/>
      <c r="JS195" s="1056"/>
      <c r="JT195" s="1056"/>
      <c r="JU195" s="1056"/>
      <c r="JV195" s="1056"/>
      <c r="JW195" s="1056"/>
      <c r="JX195" s="1056"/>
      <c r="JY195" s="1056"/>
      <c r="JZ195" s="1056"/>
      <c r="KA195" s="1056"/>
      <c r="KB195" s="1056"/>
      <c r="KC195" s="1056"/>
      <c r="KD195" s="1056"/>
      <c r="KE195" s="1056"/>
      <c r="KF195" s="1056"/>
      <c r="KG195" s="1056"/>
      <c r="KH195" s="1056"/>
      <c r="KI195" s="1056"/>
      <c r="KJ195" s="1056"/>
      <c r="KK195" s="1056"/>
      <c r="KL195" s="1056"/>
      <c r="KM195" s="1056"/>
      <c r="KN195" s="1056"/>
      <c r="KO195" s="1056"/>
      <c r="KP195" s="1056"/>
      <c r="KQ195" s="1056"/>
      <c r="KR195" s="1056"/>
      <c r="KS195" s="1056"/>
      <c r="KT195" s="1056"/>
      <c r="KU195" s="1056"/>
      <c r="KV195" s="1056"/>
      <c r="KW195" s="1056"/>
      <c r="KX195" s="1056"/>
      <c r="KY195" s="1056"/>
      <c r="KZ195" s="1056"/>
      <c r="LA195" s="1056"/>
      <c r="LB195" s="1056"/>
      <c r="LC195" s="1056"/>
      <c r="LD195" s="1056"/>
      <c r="LE195" s="1056"/>
      <c r="LF195" s="1056"/>
      <c r="LG195" s="1056"/>
      <c r="LH195" s="1056"/>
      <c r="LI195" s="1056"/>
      <c r="LJ195" s="1056"/>
      <c r="LK195" s="1056"/>
      <c r="LL195" s="1056"/>
      <c r="LM195" s="1056"/>
      <c r="LN195" s="1056"/>
      <c r="LO195" s="1056"/>
      <c r="LP195" s="1056"/>
      <c r="LQ195" s="1056"/>
      <c r="LR195" s="1056"/>
      <c r="LS195" s="1056"/>
      <c r="LT195" s="1056"/>
      <c r="LU195" s="1056"/>
      <c r="LV195" s="1056"/>
      <c r="LW195" s="1056"/>
      <c r="LX195" s="1056"/>
      <c r="LY195" s="1056"/>
      <c r="LZ195" s="1056"/>
      <c r="MA195" s="1056"/>
      <c r="MB195" s="1056"/>
      <c r="MC195" s="1056"/>
      <c r="MD195" s="1056"/>
      <c r="ME195" s="1056"/>
      <c r="MF195" s="1056"/>
      <c r="MG195" s="1056"/>
      <c r="MH195" s="1056"/>
      <c r="MI195" s="1056"/>
      <c r="MJ195" s="1056"/>
      <c r="MK195" s="1056"/>
      <c r="ML195" s="1056"/>
      <c r="MM195" s="1056"/>
      <c r="MN195" s="1056"/>
      <c r="MO195" s="1056"/>
      <c r="MP195" s="1056"/>
      <c r="MQ195" s="1056"/>
      <c r="MR195" s="1056"/>
      <c r="MS195" s="1056"/>
      <c r="MT195" s="1056"/>
      <c r="MU195" s="1056"/>
      <c r="MV195" s="1056"/>
      <c r="MW195" s="1056"/>
      <c r="MX195" s="1056"/>
      <c r="MY195" s="1056"/>
      <c r="MZ195" s="1056"/>
      <c r="NA195" s="1056"/>
      <c r="NB195" s="1056"/>
      <c r="NC195" s="1056"/>
      <c r="ND195" s="1056"/>
      <c r="NE195" s="1056"/>
      <c r="NF195" s="1056"/>
      <c r="NG195" s="1056"/>
      <c r="NH195" s="1056"/>
      <c r="NI195" s="1056"/>
      <c r="NJ195" s="1056"/>
      <c r="NK195" s="1056"/>
      <c r="NL195" s="1056"/>
      <c r="NM195" s="1056"/>
      <c r="NN195" s="1056"/>
      <c r="NO195" s="1056"/>
      <c r="NP195" s="1056"/>
      <c r="NQ195" s="1056"/>
      <c r="NR195" s="1056"/>
      <c r="NS195" s="1056"/>
      <c r="NT195" s="1056"/>
      <c r="NU195" s="1056"/>
      <c r="NV195" s="1056"/>
      <c r="NW195" s="1056"/>
      <c r="NX195" s="1056"/>
      <c r="NY195" s="1056"/>
      <c r="NZ195" s="1056"/>
      <c r="OA195" s="1056"/>
      <c r="OB195" s="1056"/>
      <c r="OC195" s="1056"/>
      <c r="OD195" s="1056"/>
      <c r="OE195" s="1056"/>
      <c r="OF195" s="1056"/>
      <c r="OG195" s="1056"/>
      <c r="OH195" s="1056"/>
      <c r="OI195" s="1056"/>
      <c r="OJ195" s="1056"/>
      <c r="OK195" s="1056"/>
      <c r="OL195" s="1056"/>
      <c r="OM195" s="1056"/>
      <c r="ON195" s="1056"/>
      <c r="OO195" s="1056"/>
      <c r="OP195" s="1056"/>
      <c r="OQ195" s="1056"/>
      <c r="OR195" s="1056"/>
      <c r="OS195" s="1056"/>
      <c r="OT195" s="1056"/>
      <c r="OU195" s="1056"/>
      <c r="OV195" s="1056"/>
      <c r="OW195" s="1056"/>
      <c r="OX195" s="1056"/>
      <c r="OY195" s="1056"/>
      <c r="OZ195" s="1056"/>
      <c r="PA195" s="1056"/>
      <c r="PB195" s="1056"/>
      <c r="PC195" s="1056"/>
      <c r="PD195" s="1056"/>
      <c r="PE195" s="1056"/>
      <c r="PF195" s="1056"/>
      <c r="PG195" s="1056"/>
      <c r="PH195" s="1056"/>
      <c r="PI195" s="1056"/>
      <c r="PJ195" s="1056"/>
      <c r="PK195" s="1056"/>
      <c r="PL195" s="1056"/>
      <c r="PM195" s="1056"/>
      <c r="PN195" s="1056"/>
      <c r="PO195" s="1056"/>
      <c r="PP195" s="1056"/>
      <c r="PQ195" s="1056"/>
      <c r="PR195" s="1056"/>
      <c r="PS195" s="1056"/>
      <c r="PT195" s="1056"/>
      <c r="PU195" s="1056"/>
      <c r="PV195" s="1056"/>
      <c r="PW195" s="1056"/>
      <c r="PX195" s="1056"/>
      <c r="PY195" s="1056"/>
      <c r="PZ195" s="1056"/>
      <c r="QA195" s="1056"/>
      <c r="QB195" s="1056"/>
      <c r="QC195" s="1056"/>
      <c r="QD195" s="1056"/>
      <c r="QE195" s="1056"/>
      <c r="QF195" s="1056"/>
      <c r="QG195" s="1056"/>
      <c r="QH195" s="1056"/>
      <c r="QI195" s="1056"/>
      <c r="QJ195" s="1056"/>
      <c r="QK195" s="1056"/>
      <c r="QL195" s="1056"/>
      <c r="QM195" s="1056"/>
      <c r="QN195" s="1056"/>
      <c r="QO195" s="1056"/>
      <c r="QP195" s="1056"/>
      <c r="QQ195" s="1056"/>
      <c r="QR195" s="1056"/>
      <c r="QS195" s="1056"/>
      <c r="QT195" s="1056"/>
      <c r="QU195" s="1056"/>
      <c r="QV195" s="1056"/>
      <c r="QW195" s="1056"/>
      <c r="QX195" s="1056"/>
      <c r="QY195" s="1056"/>
      <c r="QZ195" s="1056"/>
      <c r="RA195" s="1056"/>
      <c r="RB195" s="1056"/>
      <c r="RC195" s="1056"/>
      <c r="RD195" s="1056"/>
      <c r="RE195" s="1056"/>
      <c r="RF195" s="1056"/>
      <c r="RG195" s="1056"/>
      <c r="RH195" s="1056"/>
      <c r="RI195" s="1056"/>
      <c r="RJ195" s="1056"/>
      <c r="RK195" s="1056"/>
      <c r="RL195" s="1056"/>
      <c r="RM195" s="1056"/>
      <c r="RN195" s="1056"/>
      <c r="RO195" s="1056"/>
      <c r="RP195" s="1056"/>
      <c r="RQ195" s="1056"/>
      <c r="RR195" s="1056"/>
      <c r="RS195" s="1056"/>
      <c r="RT195" s="1056"/>
      <c r="RU195" s="1056"/>
      <c r="RV195" s="1056"/>
      <c r="RW195" s="1056"/>
      <c r="RX195" s="1056"/>
      <c r="RY195" s="1056"/>
      <c r="RZ195" s="1056"/>
      <c r="SA195" s="1056"/>
      <c r="SB195" s="1056"/>
      <c r="SC195" s="1056"/>
      <c r="SD195" s="1056"/>
      <c r="SE195" s="1056"/>
      <c r="SF195" s="1056"/>
      <c r="SG195" s="1056"/>
      <c r="SH195" s="1056"/>
      <c r="SI195" s="1056"/>
      <c r="SJ195" s="1056"/>
      <c r="SK195" s="1056"/>
      <c r="SL195" s="1056"/>
      <c r="SM195" s="1056"/>
      <c r="SN195" s="1056"/>
      <c r="SO195" s="1056"/>
      <c r="SP195" s="1056"/>
      <c r="SQ195" s="1056"/>
      <c r="SR195" s="1056"/>
      <c r="SS195" s="1056"/>
      <c r="ST195" s="1056"/>
      <c r="SU195" s="1056"/>
      <c r="SV195" s="1056"/>
      <c r="SW195" s="1056"/>
      <c r="SX195" s="1056"/>
      <c r="SY195" s="1056"/>
      <c r="SZ195" s="1056"/>
      <c r="TA195" s="1056"/>
      <c r="TB195" s="1056"/>
      <c r="TC195" s="1056"/>
      <c r="TD195" s="1056"/>
      <c r="TE195" s="1056"/>
      <c r="TF195" s="1056"/>
      <c r="TG195" s="1056"/>
      <c r="TH195" s="1056"/>
      <c r="TI195" s="1056"/>
      <c r="TJ195" s="1056"/>
      <c r="TK195" s="1056"/>
      <c r="TL195" s="1056"/>
      <c r="TM195" s="1056"/>
      <c r="TN195" s="1056"/>
      <c r="TO195" s="1056"/>
      <c r="TP195" s="1056"/>
      <c r="TQ195" s="1056"/>
      <c r="TR195" s="1056"/>
      <c r="TS195" s="1056"/>
      <c r="TT195" s="1056"/>
      <c r="TU195" s="1056"/>
      <c r="TV195" s="1056"/>
      <c r="TW195" s="1056"/>
      <c r="TX195" s="1056"/>
      <c r="TY195" s="1056"/>
      <c r="TZ195" s="1056"/>
      <c r="UA195" s="1056"/>
      <c r="UB195" s="1056"/>
      <c r="UC195" s="1056"/>
      <c r="UD195" s="1056"/>
      <c r="UE195" s="1056"/>
      <c r="UF195" s="1056"/>
      <c r="UG195" s="1056"/>
      <c r="UH195" s="1056"/>
      <c r="UI195" s="1056"/>
      <c r="UJ195" s="1056"/>
      <c r="UK195" s="1056"/>
      <c r="UL195" s="1056"/>
      <c r="UM195" s="1056"/>
      <c r="UN195" s="1056"/>
      <c r="UO195" s="1056"/>
      <c r="UP195" s="1056"/>
      <c r="UQ195" s="1056"/>
      <c r="UR195" s="1056"/>
      <c r="US195" s="1056"/>
      <c r="UT195" s="1056"/>
      <c r="UU195" s="1056"/>
      <c r="UV195" s="1056"/>
      <c r="UW195" s="1056"/>
      <c r="UX195" s="1056"/>
      <c r="UY195" s="1056"/>
      <c r="UZ195" s="1056"/>
      <c r="VA195" s="1056"/>
      <c r="VB195" s="1056"/>
      <c r="VC195" s="1056"/>
      <c r="VD195" s="1056"/>
      <c r="VE195" s="1056"/>
      <c r="VF195" s="1056"/>
      <c r="VG195" s="1056"/>
      <c r="VH195" s="1056"/>
      <c r="VI195" s="1056"/>
      <c r="VJ195" s="1056"/>
      <c r="VK195" s="1056"/>
      <c r="VL195" s="1056"/>
      <c r="VM195" s="1056"/>
      <c r="VN195" s="1056"/>
      <c r="VO195" s="1056"/>
      <c r="VP195" s="1056"/>
      <c r="VQ195" s="1056"/>
      <c r="VR195" s="1056"/>
      <c r="VS195" s="1056"/>
      <c r="VT195" s="1056"/>
      <c r="VU195" s="1056"/>
      <c r="VV195" s="1056"/>
      <c r="VW195" s="1056"/>
      <c r="VX195" s="1056"/>
      <c r="VY195" s="1056"/>
      <c r="VZ195" s="1056"/>
      <c r="WA195" s="1056"/>
      <c r="WB195" s="1056"/>
      <c r="WC195" s="1056"/>
      <c r="WD195" s="1056"/>
      <c r="WE195" s="1056"/>
      <c r="WF195" s="1056"/>
      <c r="WG195" s="1056"/>
      <c r="WH195" s="1056"/>
      <c r="WI195" s="1056"/>
      <c r="WJ195" s="1056"/>
      <c r="WK195" s="1056"/>
      <c r="WL195" s="1056"/>
      <c r="WM195" s="1056"/>
      <c r="WN195" s="1056"/>
      <c r="WO195" s="1056"/>
      <c r="WP195" s="1056"/>
      <c r="WQ195" s="1056"/>
      <c r="WR195" s="1056"/>
      <c r="WS195" s="1056"/>
      <c r="WT195" s="1056"/>
      <c r="WU195" s="1056"/>
      <c r="WV195" s="1056"/>
      <c r="WW195" s="1056"/>
      <c r="WX195" s="1056"/>
      <c r="WY195" s="1056"/>
      <c r="WZ195" s="1056"/>
      <c r="XA195" s="1056"/>
      <c r="XB195" s="1056"/>
      <c r="XC195" s="1056"/>
      <c r="XD195" s="1056"/>
      <c r="XE195" s="1056"/>
      <c r="XF195" s="1056"/>
      <c r="XG195" s="1056"/>
      <c r="XH195" s="1056"/>
      <c r="XI195" s="1056"/>
      <c r="XJ195" s="1056"/>
      <c r="XK195" s="1056"/>
      <c r="XL195" s="1056"/>
      <c r="XM195" s="1056"/>
      <c r="XN195" s="1056"/>
      <c r="XO195" s="1056"/>
      <c r="XP195" s="1056"/>
      <c r="XQ195" s="1056"/>
      <c r="XR195" s="1056"/>
      <c r="XS195" s="1056"/>
      <c r="XT195" s="1056"/>
      <c r="XU195" s="1056"/>
      <c r="XV195" s="1056"/>
      <c r="XW195" s="1056"/>
      <c r="XX195" s="1056"/>
      <c r="XY195" s="1056"/>
      <c r="XZ195" s="1056"/>
      <c r="YA195" s="1056"/>
      <c r="YB195" s="1056"/>
      <c r="YC195" s="1056"/>
      <c r="YD195" s="1056"/>
      <c r="YE195" s="1056"/>
      <c r="YF195" s="1056"/>
      <c r="YG195" s="1056"/>
      <c r="YH195" s="1056"/>
      <c r="YI195" s="1056"/>
      <c r="YJ195" s="1056"/>
      <c r="YK195" s="1056"/>
      <c r="YL195" s="1056"/>
      <c r="YM195" s="1056"/>
      <c r="YN195" s="1056"/>
      <c r="YO195" s="1056"/>
      <c r="YP195" s="1056"/>
      <c r="YQ195" s="1056"/>
      <c r="YR195" s="1056"/>
      <c r="YS195" s="1056"/>
      <c r="YT195" s="1056"/>
      <c r="YU195" s="1056"/>
      <c r="YV195" s="1056"/>
      <c r="YW195" s="1056"/>
      <c r="YX195" s="1056"/>
      <c r="YY195" s="1056"/>
      <c r="YZ195" s="1056"/>
      <c r="ZA195" s="1056"/>
      <c r="ZB195" s="1056"/>
      <c r="ZC195" s="1056"/>
      <c r="ZD195" s="1056"/>
      <c r="ZE195" s="1056"/>
      <c r="ZF195" s="1056"/>
      <c r="ZG195" s="1056"/>
      <c r="ZH195" s="1056"/>
      <c r="ZI195" s="1056"/>
      <c r="ZJ195" s="1056"/>
      <c r="ZK195" s="1056"/>
      <c r="ZL195" s="1056"/>
      <c r="ZM195" s="1056"/>
      <c r="ZN195" s="1056"/>
      <c r="ZO195" s="1056"/>
      <c r="ZP195" s="1056"/>
      <c r="ZQ195" s="1056"/>
      <c r="ZR195" s="1056"/>
      <c r="ZS195" s="1056"/>
      <c r="ZT195" s="1056"/>
      <c r="ZU195" s="1056"/>
      <c r="ZV195" s="1056"/>
      <c r="ZW195" s="1056"/>
      <c r="ZX195" s="1056"/>
      <c r="ZY195" s="1056"/>
      <c r="ZZ195" s="1056"/>
      <c r="AAA195" s="1056"/>
      <c r="AAB195" s="1056"/>
      <c r="AAC195" s="1056"/>
      <c r="AAD195" s="1056"/>
      <c r="AAE195" s="1056"/>
      <c r="AAF195" s="1056"/>
      <c r="AAG195" s="1056"/>
      <c r="AAH195" s="1056"/>
      <c r="AAI195" s="1056"/>
      <c r="AAJ195" s="1056"/>
      <c r="AAK195" s="1056"/>
      <c r="AAL195" s="1056"/>
      <c r="AAM195" s="1056"/>
      <c r="AAN195" s="1056"/>
      <c r="AAO195" s="1056"/>
      <c r="AAP195" s="1056"/>
      <c r="AAQ195" s="1056"/>
      <c r="AAR195" s="1056"/>
      <c r="AAS195" s="1056"/>
      <c r="AAT195" s="1056"/>
      <c r="AAU195" s="1056"/>
      <c r="AAV195" s="1056"/>
      <c r="AAW195" s="1056"/>
      <c r="AAX195" s="1056"/>
      <c r="AAY195" s="1056"/>
      <c r="AAZ195" s="1056"/>
      <c r="ABA195" s="1056"/>
      <c r="ABB195" s="1056"/>
      <c r="ABC195" s="1056"/>
      <c r="ABD195" s="1056"/>
      <c r="ABE195" s="1056"/>
      <c r="ABF195" s="1056"/>
      <c r="ABG195" s="1056"/>
      <c r="ABH195" s="1056"/>
      <c r="ABI195" s="1056"/>
      <c r="ABJ195" s="1056"/>
      <c r="ABK195" s="1056"/>
      <c r="ABL195" s="1056"/>
      <c r="ABM195" s="1056"/>
      <c r="ABN195" s="1056"/>
      <c r="ABO195" s="1056"/>
      <c r="ABP195" s="1056"/>
      <c r="ABQ195" s="1056"/>
      <c r="ABR195" s="1056"/>
      <c r="ABS195" s="1056"/>
      <c r="ABT195" s="1056"/>
      <c r="ABU195" s="1056"/>
      <c r="ABV195" s="1056"/>
      <c r="ABW195" s="1056"/>
      <c r="ABX195" s="1056"/>
      <c r="ABY195" s="1056"/>
      <c r="ABZ195" s="1056"/>
      <c r="ACA195" s="1056"/>
      <c r="ACB195" s="1056"/>
      <c r="ACC195" s="1056"/>
      <c r="ACD195" s="1056"/>
      <c r="ACE195" s="1056"/>
      <c r="ACF195" s="1056"/>
      <c r="ACG195" s="1056"/>
      <c r="ACH195" s="1056"/>
      <c r="ACI195" s="1056"/>
      <c r="ACJ195" s="1056"/>
      <c r="ACK195" s="1056"/>
      <c r="ACL195" s="1056"/>
      <c r="ACM195" s="1056"/>
      <c r="ACN195" s="1056"/>
      <c r="ACO195" s="1056"/>
      <c r="ACP195" s="1056"/>
      <c r="ACQ195" s="1056"/>
      <c r="ACR195" s="1056"/>
      <c r="ACS195" s="1056"/>
      <c r="ACT195" s="1056"/>
      <c r="ACU195" s="1056"/>
      <c r="ACV195" s="1056"/>
      <c r="ACW195" s="1056"/>
      <c r="ACX195" s="1056"/>
      <c r="ACY195" s="1056"/>
      <c r="ACZ195" s="1056"/>
      <c r="ADA195" s="1056"/>
      <c r="ADB195" s="1056"/>
      <c r="ADC195" s="1056"/>
      <c r="ADD195" s="1056"/>
      <c r="ADE195" s="1056"/>
      <c r="ADF195" s="1056"/>
      <c r="ADG195" s="1056"/>
      <c r="ADH195" s="1056"/>
      <c r="ADI195" s="1056"/>
      <c r="ADJ195" s="1056"/>
      <c r="ADK195" s="1056"/>
      <c r="ADL195" s="1056"/>
      <c r="ADM195" s="1056"/>
      <c r="ADN195" s="1056"/>
      <c r="ADO195" s="1056"/>
      <c r="ADP195" s="1056"/>
      <c r="ADQ195" s="1056"/>
      <c r="ADR195" s="1056"/>
      <c r="ADS195" s="1056"/>
      <c r="ADT195" s="1056"/>
      <c r="ADU195" s="1056"/>
      <c r="ADV195" s="1056"/>
      <c r="ADW195" s="1056"/>
      <c r="ADX195" s="1056"/>
      <c r="ADY195" s="1056"/>
      <c r="ADZ195" s="1056"/>
      <c r="AEA195" s="1056"/>
      <c r="AEB195" s="1056"/>
      <c r="AEC195" s="1056"/>
      <c r="AED195" s="1056"/>
      <c r="AEE195" s="1056"/>
      <c r="AEF195" s="1056"/>
      <c r="AEG195" s="1056"/>
      <c r="AEH195" s="1056"/>
      <c r="AEI195" s="1056"/>
      <c r="AEJ195" s="1056"/>
      <c r="AEK195" s="1056"/>
      <c r="AEL195" s="1056"/>
      <c r="AEM195" s="1056"/>
      <c r="AEN195" s="1056"/>
      <c r="AEO195" s="1056"/>
      <c r="AEP195" s="1056"/>
      <c r="AEQ195" s="1056"/>
      <c r="AER195" s="1056"/>
      <c r="AES195" s="1056"/>
      <c r="AET195" s="1056"/>
      <c r="AEU195" s="1056"/>
      <c r="AEV195" s="1056"/>
      <c r="AEW195" s="1056"/>
      <c r="AEX195" s="1056"/>
      <c r="AEY195" s="1056"/>
      <c r="AEZ195" s="1056"/>
      <c r="AFA195" s="1056"/>
      <c r="AFB195" s="1056"/>
      <c r="AFC195" s="1056"/>
      <c r="AFD195" s="1056"/>
      <c r="AFE195" s="1056"/>
      <c r="AFF195" s="1056"/>
      <c r="AFG195" s="1056"/>
      <c r="AFH195" s="1056"/>
      <c r="AFI195" s="1056"/>
      <c r="AFJ195" s="1056"/>
      <c r="AFK195" s="1056"/>
      <c r="AFL195" s="1056"/>
      <c r="AFM195" s="1056"/>
      <c r="AFN195" s="1056"/>
      <c r="AFO195" s="1056"/>
      <c r="AFP195" s="1056"/>
      <c r="AFQ195" s="1056"/>
      <c r="AFR195" s="1056"/>
      <c r="AFS195" s="1056"/>
      <c r="AFT195" s="1056"/>
      <c r="AFU195" s="1056"/>
      <c r="AFV195" s="1056"/>
      <c r="AFW195" s="1056"/>
      <c r="AFX195" s="1056"/>
      <c r="AFY195" s="1056"/>
      <c r="AFZ195" s="1056"/>
      <c r="AGA195" s="1056"/>
      <c r="AGB195" s="1056"/>
      <c r="AGC195" s="1056"/>
      <c r="AGD195" s="1056"/>
      <c r="AGE195" s="1056"/>
      <c r="AGF195" s="1056"/>
      <c r="AGG195" s="1056"/>
      <c r="AGH195" s="1056"/>
      <c r="AGI195" s="1056"/>
      <c r="AGJ195" s="1056"/>
      <c r="AGK195" s="1056"/>
      <c r="AGL195" s="1056"/>
      <c r="AGM195" s="1056"/>
      <c r="AGN195" s="1056"/>
      <c r="AGO195" s="1056"/>
      <c r="AGP195" s="1056"/>
      <c r="AGQ195" s="1056"/>
      <c r="AGR195" s="1056"/>
      <c r="AGS195" s="1056"/>
      <c r="AGT195" s="1056"/>
      <c r="AGU195" s="1056"/>
      <c r="AGV195" s="1056"/>
      <c r="AGW195" s="1056"/>
      <c r="AGX195" s="1056"/>
      <c r="AGY195" s="1056"/>
      <c r="AGZ195" s="1056"/>
      <c r="AHA195" s="1056"/>
      <c r="AHB195" s="1056"/>
      <c r="AHC195" s="1056"/>
      <c r="AHD195" s="1056"/>
      <c r="AHE195" s="1056"/>
      <c r="AHF195" s="1056"/>
      <c r="AHG195" s="1056"/>
      <c r="AHH195" s="1056"/>
      <c r="AHI195" s="1056"/>
      <c r="AHJ195" s="1056"/>
      <c r="AHK195" s="1056"/>
      <c r="AHL195" s="1056"/>
      <c r="AHM195" s="1056"/>
      <c r="AHN195" s="1056"/>
      <c r="AHO195" s="1056"/>
      <c r="AHP195" s="1056"/>
      <c r="AHQ195" s="1056"/>
      <c r="AHR195" s="1056"/>
      <c r="AHS195" s="1056"/>
      <c r="AHT195" s="1056"/>
      <c r="AHU195" s="1056"/>
      <c r="AHV195" s="1056"/>
      <c r="AHW195" s="1056"/>
      <c r="AHX195" s="1056"/>
      <c r="AHY195" s="1056"/>
      <c r="AHZ195" s="1056"/>
      <c r="AIA195" s="1056"/>
      <c r="AIB195" s="1056"/>
      <c r="AIC195" s="1056"/>
      <c r="AID195" s="1056"/>
      <c r="AIE195" s="1056"/>
      <c r="AIF195" s="1056"/>
      <c r="AIG195" s="1056"/>
      <c r="AIH195" s="1056"/>
      <c r="AII195" s="1056"/>
      <c r="AIJ195" s="1056"/>
      <c r="AIK195" s="1056"/>
      <c r="AIL195" s="1056"/>
      <c r="AIM195" s="1056"/>
      <c r="AIN195" s="1056"/>
      <c r="AIO195" s="1056"/>
      <c r="AIP195" s="1056"/>
      <c r="AIQ195" s="1056"/>
      <c r="AIR195" s="1056"/>
      <c r="AIS195" s="1056"/>
      <c r="AIT195" s="1056"/>
      <c r="AIU195" s="1056"/>
      <c r="AIV195" s="1056"/>
      <c r="AIW195" s="1056"/>
      <c r="AIX195" s="1056"/>
      <c r="AIY195" s="1056"/>
      <c r="AIZ195" s="1056"/>
      <c r="AJA195" s="1056"/>
      <c r="AJB195" s="1056"/>
      <c r="AJC195" s="1056"/>
      <c r="AJD195" s="1056"/>
      <c r="AJE195" s="1056"/>
      <c r="AJF195" s="1056"/>
      <c r="AJG195" s="1056"/>
      <c r="AJH195" s="1056"/>
      <c r="AJI195" s="1056"/>
      <c r="AJJ195" s="1056"/>
      <c r="AJK195" s="1056"/>
      <c r="AJL195" s="1056"/>
      <c r="AJM195" s="1056"/>
      <c r="AJN195" s="1056"/>
      <c r="AJO195" s="1056"/>
      <c r="AJP195" s="1056"/>
      <c r="AJQ195" s="1056"/>
      <c r="AJR195" s="1056"/>
      <c r="AJS195" s="1056"/>
      <c r="AJT195" s="1056"/>
      <c r="AJU195" s="1056"/>
      <c r="AJV195" s="1056"/>
      <c r="AJW195" s="1056"/>
      <c r="AJX195" s="1056"/>
      <c r="AJY195" s="1056"/>
      <c r="AJZ195" s="1056"/>
      <c r="AKA195" s="1056"/>
      <c r="AKB195" s="1056"/>
      <c r="AKC195" s="1056"/>
      <c r="AKD195" s="1056"/>
      <c r="AKE195" s="1056"/>
      <c r="AKF195" s="1056"/>
      <c r="AKG195" s="1056"/>
      <c r="AKH195" s="1056"/>
      <c r="AKI195" s="1056"/>
      <c r="AKJ195" s="1056"/>
      <c r="AKK195" s="1056"/>
      <c r="AKL195" s="1056"/>
      <c r="AKM195" s="1056"/>
      <c r="AKN195" s="1056"/>
      <c r="AKO195" s="1056"/>
      <c r="AKP195" s="1056"/>
      <c r="AKQ195" s="1056"/>
      <c r="AKR195" s="1056"/>
      <c r="AKS195" s="1056"/>
      <c r="AKT195" s="1056"/>
      <c r="AKU195" s="1056"/>
      <c r="AKV195" s="1056"/>
      <c r="AKW195" s="1056"/>
      <c r="AKX195" s="1056"/>
      <c r="AKY195" s="1056"/>
      <c r="AKZ195" s="1056"/>
      <c r="ALA195" s="1056"/>
      <c r="ALB195" s="1056"/>
      <c r="ALC195" s="1056"/>
      <c r="ALD195" s="1056"/>
      <c r="ALE195" s="1056"/>
      <c r="ALF195" s="1056"/>
      <c r="ALG195" s="1056"/>
      <c r="ALH195" s="1056"/>
      <c r="ALI195" s="1056"/>
      <c r="ALJ195" s="1056"/>
      <c r="ALK195" s="1056"/>
      <c r="ALL195" s="1056"/>
      <c r="ALM195" s="1056"/>
      <c r="ALN195" s="1056"/>
      <c r="ALO195" s="1056"/>
      <c r="ALP195" s="1056"/>
      <c r="ALQ195" s="1056"/>
      <c r="ALR195" s="1056"/>
      <c r="ALS195" s="1056"/>
      <c r="ALT195" s="1056"/>
      <c r="ALU195" s="1056"/>
      <c r="ALV195" s="1056"/>
      <c r="ALW195" s="1056"/>
      <c r="ALX195" s="1056"/>
      <c r="ALY195" s="1056"/>
      <c r="ALZ195" s="1056"/>
      <c r="AMA195" s="1056"/>
      <c r="AMB195" s="1056"/>
      <c r="AMC195" s="1056"/>
      <c r="AMD195" s="1056"/>
      <c r="AME195" s="1056"/>
      <c r="AMF195" s="1056"/>
      <c r="AMG195" s="1056"/>
      <c r="AMH195" s="1056"/>
      <c r="AMI195" s="1056"/>
      <c r="AMJ195" s="1056"/>
      <c r="AMK195" s="1056"/>
      <c r="AML195" s="1056"/>
      <c r="AMM195" s="1056"/>
      <c r="AMN195" s="1056"/>
      <c r="AMO195" s="1056"/>
      <c r="AMP195" s="1056"/>
      <c r="AMQ195" s="1056"/>
      <c r="AMR195" s="1056"/>
      <c r="AMS195" s="1056"/>
      <c r="AMT195" s="1056"/>
      <c r="AMU195" s="1056"/>
      <c r="AMV195" s="1056"/>
      <c r="AMW195" s="1056"/>
      <c r="AMX195" s="1056"/>
      <c r="AMY195" s="1056"/>
      <c r="AMZ195" s="1056"/>
      <c r="ANA195" s="1056"/>
      <c r="ANB195" s="1056"/>
      <c r="ANC195" s="1056"/>
      <c r="AND195" s="1056"/>
      <c r="ANE195" s="1056"/>
      <c r="ANF195" s="1056"/>
      <c r="ANG195" s="1056"/>
      <c r="ANH195" s="1056"/>
      <c r="ANI195" s="1056"/>
      <c r="ANJ195" s="1056"/>
      <c r="ANK195" s="1056"/>
      <c r="ANL195" s="1056"/>
      <c r="ANM195" s="1056"/>
      <c r="ANN195" s="1056"/>
      <c r="ANO195" s="1056"/>
      <c r="ANP195" s="1056"/>
      <c r="ANQ195" s="1056"/>
      <c r="ANR195" s="1056"/>
      <c r="ANS195" s="1056"/>
      <c r="ANT195" s="1056"/>
      <c r="ANU195" s="1056"/>
      <c r="ANV195" s="1056"/>
      <c r="ANW195" s="1056"/>
      <c r="ANX195" s="1056"/>
      <c r="ANY195" s="1056"/>
      <c r="ANZ195" s="1056"/>
      <c r="AOA195" s="1056"/>
      <c r="AOB195" s="1056"/>
      <c r="AOC195" s="1056"/>
      <c r="AOD195" s="1056"/>
      <c r="AOE195" s="1056"/>
      <c r="AOF195" s="1056"/>
      <c r="AOG195" s="1056"/>
      <c r="AOH195" s="1056"/>
      <c r="AOI195" s="1056"/>
      <c r="AOJ195" s="1056"/>
      <c r="AOK195" s="1056"/>
      <c r="AOL195" s="1056"/>
      <c r="AOM195" s="1056"/>
      <c r="AON195" s="1056"/>
      <c r="AOO195" s="1056"/>
      <c r="AOP195" s="1056"/>
      <c r="AOQ195" s="1056"/>
      <c r="AOR195" s="1056"/>
      <c r="AOS195" s="1056"/>
      <c r="AOT195" s="1056"/>
      <c r="AOU195" s="1056"/>
      <c r="AOV195" s="1056"/>
      <c r="AOW195" s="1056"/>
      <c r="AOX195" s="1056"/>
      <c r="AOY195" s="1056"/>
      <c r="AOZ195" s="1056"/>
      <c r="APA195" s="1056"/>
      <c r="APB195" s="1056"/>
      <c r="APC195" s="1056"/>
      <c r="APD195" s="1056"/>
      <c r="APE195" s="1056"/>
      <c r="APF195" s="1056"/>
      <c r="APG195" s="1056"/>
      <c r="APH195" s="1056"/>
      <c r="API195" s="1056"/>
      <c r="APJ195" s="1056"/>
      <c r="APK195" s="1056"/>
      <c r="APL195" s="1056"/>
      <c r="APM195" s="1056"/>
      <c r="APN195" s="1056"/>
      <c r="APO195" s="1056"/>
      <c r="APP195" s="1056"/>
      <c r="APQ195" s="1056"/>
      <c r="APR195" s="1056"/>
      <c r="APS195" s="1056"/>
      <c r="APT195" s="1056"/>
      <c r="APU195" s="1056"/>
      <c r="APV195" s="1056"/>
      <c r="APW195" s="1056"/>
      <c r="APX195" s="1056"/>
      <c r="APY195" s="1056"/>
      <c r="APZ195" s="1056"/>
      <c r="AQA195" s="1056"/>
      <c r="AQB195" s="1056"/>
      <c r="AQC195" s="1056"/>
      <c r="AQD195" s="1056"/>
      <c r="AQE195" s="1056"/>
      <c r="AQF195" s="1056"/>
      <c r="AQG195" s="1056"/>
      <c r="AQH195" s="1056"/>
      <c r="AQI195" s="1056"/>
      <c r="AQJ195" s="1056"/>
      <c r="AQK195" s="1056"/>
      <c r="AQL195" s="1056"/>
      <c r="AQM195" s="1056"/>
      <c r="AQN195" s="1056"/>
      <c r="AQO195" s="1056"/>
      <c r="AQP195" s="1056"/>
      <c r="AQQ195" s="1056"/>
      <c r="AQR195" s="1056"/>
      <c r="AQS195" s="1056"/>
      <c r="AQT195" s="1056"/>
      <c r="AQU195" s="1056"/>
      <c r="AQV195" s="1056"/>
      <c r="AQW195" s="1056"/>
      <c r="AQX195" s="1056"/>
      <c r="AQY195" s="1056"/>
      <c r="AQZ195" s="1056"/>
      <c r="ARA195" s="1056"/>
      <c r="ARB195" s="1056"/>
      <c r="ARC195" s="1056"/>
      <c r="ARD195" s="1056"/>
      <c r="ARE195" s="1056"/>
      <c r="ARF195" s="1056"/>
      <c r="ARG195" s="1056"/>
      <c r="ARH195" s="1056"/>
      <c r="ARI195" s="1056"/>
      <c r="ARJ195" s="1056"/>
      <c r="ARK195" s="1056"/>
      <c r="ARL195" s="1056"/>
      <c r="ARM195" s="1056"/>
      <c r="ARN195" s="1056"/>
      <c r="ARO195" s="1056"/>
      <c r="ARP195" s="1056"/>
      <c r="ARQ195" s="1056"/>
      <c r="ARR195" s="1056"/>
      <c r="ARS195" s="1056"/>
      <c r="ART195" s="1056"/>
      <c r="ARU195" s="1056"/>
      <c r="ARV195" s="1056"/>
      <c r="ARW195" s="1056"/>
      <c r="ARX195" s="1056"/>
      <c r="ARY195" s="1056"/>
      <c r="ARZ195" s="1056"/>
      <c r="ASA195" s="1056"/>
      <c r="ASB195" s="1056"/>
      <c r="ASC195" s="1056"/>
      <c r="ASD195" s="1056"/>
      <c r="ASE195" s="1056"/>
      <c r="ASF195" s="1056"/>
      <c r="ASG195" s="1056"/>
      <c r="ASH195" s="1056"/>
      <c r="ASI195" s="1056"/>
      <c r="ASJ195" s="1056"/>
      <c r="ASK195" s="1056"/>
      <c r="ASL195" s="1056"/>
      <c r="ASM195" s="1056"/>
      <c r="ASN195" s="1056"/>
      <c r="ASO195" s="1056"/>
      <c r="ASP195" s="1056"/>
      <c r="ASQ195" s="1056"/>
      <c r="ASR195" s="1056"/>
      <c r="ASS195" s="1056"/>
      <c r="AST195" s="1056"/>
      <c r="ASU195" s="1056"/>
      <c r="ASV195" s="1056"/>
      <c r="ASW195" s="1056"/>
      <c r="ASX195" s="1056"/>
      <c r="ASY195" s="1056"/>
      <c r="ASZ195" s="1056"/>
      <c r="ATA195" s="1056"/>
      <c r="ATB195" s="1056"/>
      <c r="ATC195" s="1056"/>
      <c r="ATD195" s="1056"/>
      <c r="ATE195" s="1056"/>
      <c r="ATF195" s="1056"/>
      <c r="ATG195" s="1056"/>
      <c r="ATH195" s="1056"/>
      <c r="ATI195" s="1056"/>
      <c r="ATJ195" s="1056"/>
      <c r="ATK195" s="1056"/>
      <c r="ATL195" s="1056"/>
      <c r="ATM195" s="1056"/>
      <c r="ATN195" s="1056"/>
      <c r="ATO195" s="1056"/>
      <c r="ATP195" s="1056"/>
      <c r="ATQ195" s="1056"/>
      <c r="ATR195" s="1056"/>
      <c r="ATS195" s="1056"/>
      <c r="ATT195" s="1056"/>
      <c r="ATU195" s="1056"/>
      <c r="ATV195" s="1056"/>
      <c r="ATW195" s="1056"/>
      <c r="ATX195" s="1056"/>
      <c r="ATY195" s="1056"/>
      <c r="ATZ195" s="1056"/>
      <c r="AUA195" s="1056"/>
      <c r="AUB195" s="1056"/>
      <c r="AUC195" s="1056"/>
      <c r="AUD195" s="1056"/>
      <c r="AUE195" s="1056"/>
      <c r="AUF195" s="1056"/>
      <c r="AUG195" s="1056"/>
      <c r="AUH195" s="1056"/>
      <c r="AUI195" s="1056"/>
      <c r="AUJ195" s="1056"/>
      <c r="AUK195" s="1056"/>
      <c r="AUL195" s="1056"/>
      <c r="AUM195" s="1056"/>
      <c r="AUN195" s="1056"/>
      <c r="AUO195" s="1056"/>
      <c r="AUP195" s="1056"/>
      <c r="AUQ195" s="1056"/>
      <c r="AUR195" s="1056"/>
      <c r="AUS195" s="1056"/>
      <c r="AUT195" s="1056"/>
      <c r="AUU195" s="1056"/>
      <c r="AUV195" s="1056"/>
      <c r="AUW195" s="1056"/>
      <c r="AUX195" s="1056"/>
      <c r="AUY195" s="1056"/>
      <c r="AUZ195" s="1056"/>
      <c r="AVA195" s="1056"/>
      <c r="AVB195" s="1056"/>
      <c r="AVC195" s="1056"/>
      <c r="AVD195" s="1056"/>
      <c r="AVE195" s="1056"/>
      <c r="AVF195" s="1056"/>
      <c r="AVG195" s="1056"/>
      <c r="AVH195" s="1056"/>
      <c r="AVI195" s="1056"/>
      <c r="AVJ195" s="1056"/>
      <c r="AVK195" s="1056"/>
      <c r="AVL195" s="1056"/>
      <c r="AVM195" s="1056"/>
      <c r="AVN195" s="1056"/>
      <c r="AVO195" s="1056"/>
      <c r="AVP195" s="1056"/>
      <c r="AVQ195" s="1056"/>
      <c r="AVR195" s="1056"/>
      <c r="AVS195" s="1056"/>
      <c r="AVT195" s="1056"/>
      <c r="AVU195" s="1056"/>
      <c r="AVV195" s="1056"/>
      <c r="AVW195" s="1056"/>
      <c r="AVX195" s="1056"/>
      <c r="AVY195" s="1056"/>
      <c r="AVZ195" s="1056"/>
      <c r="AWA195" s="1056"/>
      <c r="AWB195" s="1056"/>
      <c r="AWC195" s="1056"/>
      <c r="AWD195" s="1056"/>
      <c r="AWE195" s="1056"/>
      <c r="AWF195" s="1056"/>
      <c r="AWG195" s="1056"/>
      <c r="AWH195" s="1056"/>
      <c r="AWI195" s="1056"/>
      <c r="AWJ195" s="1056"/>
      <c r="AWK195" s="1056"/>
      <c r="AWL195" s="1056"/>
      <c r="AWM195" s="1056"/>
      <c r="AWN195" s="1056"/>
      <c r="AWO195" s="1056"/>
      <c r="AWP195" s="1056"/>
      <c r="AWQ195" s="1056"/>
      <c r="AWR195" s="1056"/>
      <c r="AWS195" s="1056"/>
      <c r="AWT195" s="1056"/>
      <c r="AWU195" s="1056"/>
      <c r="AWV195" s="1056"/>
      <c r="AWW195" s="1056"/>
      <c r="AWX195" s="1056"/>
      <c r="AWY195" s="1056"/>
      <c r="AWZ195" s="1056"/>
      <c r="AXA195" s="1056"/>
      <c r="AXB195" s="1056"/>
      <c r="AXC195" s="1056"/>
      <c r="AXD195" s="1056"/>
      <c r="AXE195" s="1056"/>
      <c r="AXF195" s="1056"/>
      <c r="AXG195" s="1056"/>
      <c r="AXH195" s="1056"/>
      <c r="AXI195" s="1056"/>
      <c r="AXJ195" s="1056"/>
      <c r="AXK195" s="1056"/>
      <c r="AXL195" s="1056"/>
      <c r="AXM195" s="1056"/>
      <c r="AXN195" s="1056"/>
      <c r="AXO195" s="1056"/>
      <c r="AXP195" s="1056"/>
      <c r="AXQ195" s="1056"/>
      <c r="AXR195" s="1056"/>
      <c r="AXS195" s="1056"/>
      <c r="AXT195" s="1056"/>
      <c r="AXU195" s="1056"/>
      <c r="AXV195" s="1056"/>
      <c r="AXW195" s="1056"/>
      <c r="AXX195" s="1056"/>
      <c r="AXY195" s="1056"/>
      <c r="AXZ195" s="1056"/>
      <c r="AYA195" s="1056"/>
      <c r="AYB195" s="1056"/>
      <c r="AYC195" s="1056"/>
      <c r="AYD195" s="1056"/>
      <c r="AYE195" s="1056"/>
      <c r="AYF195" s="1056"/>
      <c r="AYG195" s="1056"/>
      <c r="AYH195" s="1056"/>
      <c r="AYI195" s="1056"/>
      <c r="AYJ195" s="1056"/>
      <c r="AYK195" s="1056"/>
      <c r="AYL195" s="1056"/>
      <c r="AYM195" s="1056"/>
      <c r="AYN195" s="1056"/>
      <c r="AYO195" s="1056"/>
      <c r="AYP195" s="1056"/>
      <c r="AYQ195" s="1056"/>
      <c r="AYR195" s="1056"/>
      <c r="AYS195" s="1056"/>
      <c r="AYT195" s="1056"/>
      <c r="AYU195" s="1056"/>
      <c r="AYV195" s="1056"/>
      <c r="AYW195" s="1056"/>
      <c r="AYX195" s="1056"/>
      <c r="AYY195" s="1056"/>
      <c r="AYZ195" s="1056"/>
      <c r="AZA195" s="1056"/>
      <c r="AZB195" s="1056"/>
      <c r="AZC195" s="1056"/>
      <c r="AZD195" s="1056"/>
      <c r="AZE195" s="1056"/>
      <c r="AZF195" s="1056"/>
      <c r="AZG195" s="1056"/>
      <c r="AZH195" s="1056"/>
      <c r="AZI195" s="1056"/>
      <c r="AZJ195" s="1056"/>
      <c r="AZK195" s="1056"/>
      <c r="AZL195" s="1056"/>
      <c r="AZM195" s="1056"/>
      <c r="AZN195" s="1056"/>
      <c r="AZO195" s="1056"/>
      <c r="AZP195" s="1056"/>
      <c r="AZQ195" s="1056"/>
      <c r="AZR195" s="1056"/>
      <c r="AZS195" s="1056"/>
      <c r="AZT195" s="1056"/>
      <c r="AZU195" s="1056"/>
      <c r="AZV195" s="1056"/>
      <c r="AZW195" s="1056"/>
      <c r="AZX195" s="1056"/>
      <c r="AZY195" s="1056"/>
      <c r="AZZ195" s="1056"/>
      <c r="BAA195" s="1056"/>
      <c r="BAB195" s="1056"/>
      <c r="BAC195" s="1056"/>
      <c r="BAD195" s="1056"/>
      <c r="BAE195" s="1056"/>
      <c r="BAF195" s="1056"/>
      <c r="BAG195" s="1056"/>
      <c r="BAH195" s="1056"/>
      <c r="BAI195" s="1056"/>
      <c r="BAJ195" s="1056"/>
      <c r="BAK195" s="1056"/>
      <c r="BAL195" s="1056"/>
      <c r="BAM195" s="1056"/>
      <c r="BAN195" s="1056"/>
      <c r="BAO195" s="1056"/>
      <c r="BAP195" s="1056"/>
      <c r="BAQ195" s="1056"/>
      <c r="BAR195" s="1056"/>
      <c r="BAS195" s="1056"/>
      <c r="BAT195" s="1056"/>
      <c r="BAU195" s="1056"/>
      <c r="BAV195" s="1056"/>
      <c r="BAW195" s="1056"/>
      <c r="BAX195" s="1056"/>
      <c r="BAY195" s="1056"/>
      <c r="BAZ195" s="1056"/>
      <c r="BBA195" s="1056"/>
      <c r="BBB195" s="1056"/>
      <c r="BBC195" s="1056"/>
      <c r="BBD195" s="1056"/>
      <c r="BBE195" s="1056"/>
      <c r="BBF195" s="1056"/>
      <c r="BBG195" s="1056"/>
      <c r="BBH195" s="1056"/>
      <c r="BBI195" s="1056"/>
      <c r="BBJ195" s="1056"/>
      <c r="BBK195" s="1056"/>
      <c r="BBL195" s="1056"/>
      <c r="BBM195" s="1056"/>
      <c r="BBN195" s="1056"/>
      <c r="BBO195" s="1056"/>
      <c r="BBP195" s="1056"/>
      <c r="BBQ195" s="1056"/>
      <c r="BBR195" s="1056"/>
      <c r="BBS195" s="1056"/>
      <c r="BBT195" s="1056"/>
      <c r="BBU195" s="1056"/>
      <c r="BBV195" s="1056"/>
      <c r="BBW195" s="1056"/>
      <c r="BBX195" s="1056"/>
      <c r="BBY195" s="1056"/>
      <c r="BBZ195" s="1056"/>
      <c r="BCA195" s="1056"/>
      <c r="BCB195" s="1056"/>
      <c r="BCC195" s="1056"/>
      <c r="BCD195" s="1056"/>
      <c r="BCE195" s="1056"/>
      <c r="BCF195" s="1056"/>
      <c r="BCG195" s="1056"/>
      <c r="BCH195" s="1056"/>
      <c r="BCI195" s="1056"/>
      <c r="BCJ195" s="1056"/>
      <c r="BCK195" s="1056"/>
      <c r="BCL195" s="1056"/>
      <c r="BCM195" s="1056"/>
      <c r="BCN195" s="1056"/>
      <c r="BCO195" s="1056"/>
      <c r="BCP195" s="1056"/>
      <c r="BCQ195" s="1056"/>
      <c r="BCR195" s="1056"/>
      <c r="BCS195" s="1056"/>
      <c r="BCT195" s="1056"/>
      <c r="BCU195" s="1056"/>
      <c r="BCV195" s="1056"/>
      <c r="BCW195" s="1056"/>
      <c r="BCX195" s="1056"/>
      <c r="BCY195" s="1056"/>
      <c r="BCZ195" s="1056"/>
      <c r="BDA195" s="1056"/>
      <c r="BDB195" s="1056"/>
      <c r="BDC195" s="1056"/>
      <c r="BDD195" s="1056"/>
      <c r="BDE195" s="1056"/>
      <c r="BDF195" s="1056"/>
      <c r="BDG195" s="1056"/>
      <c r="BDH195" s="1056"/>
      <c r="BDI195" s="1056"/>
      <c r="BDJ195" s="1056"/>
      <c r="BDK195" s="1056"/>
      <c r="BDL195" s="1056"/>
      <c r="BDM195" s="1056"/>
      <c r="BDN195" s="1056"/>
      <c r="BDO195" s="1056"/>
      <c r="BDP195" s="1056"/>
      <c r="BDQ195" s="1056"/>
      <c r="BDR195" s="1056"/>
      <c r="BDS195" s="1056"/>
      <c r="BDT195" s="1056"/>
      <c r="BDU195" s="1056"/>
      <c r="BDV195" s="1056"/>
      <c r="BDW195" s="1056"/>
      <c r="BDX195" s="1056"/>
      <c r="BDY195" s="1056"/>
      <c r="BDZ195" s="1056"/>
      <c r="BEA195" s="1056"/>
      <c r="BEB195" s="1056"/>
      <c r="BEC195" s="1056"/>
      <c r="BED195" s="1056"/>
      <c r="BEE195" s="1056"/>
      <c r="BEF195" s="1056"/>
      <c r="BEG195" s="1056"/>
      <c r="BEH195" s="1056"/>
      <c r="BEI195" s="1056"/>
      <c r="BEJ195" s="1056"/>
      <c r="BEK195" s="1056"/>
      <c r="BEL195" s="1056"/>
      <c r="BEM195" s="1056"/>
      <c r="BEN195" s="1056"/>
      <c r="BEO195" s="1056"/>
      <c r="BEP195" s="1056"/>
      <c r="BEQ195" s="1056"/>
      <c r="BER195" s="1056"/>
      <c r="BES195" s="1056"/>
      <c r="BET195" s="1056"/>
      <c r="BEU195" s="1056"/>
      <c r="BEV195" s="1056"/>
      <c r="BEW195" s="1056"/>
      <c r="BEX195" s="1056"/>
      <c r="BEY195" s="1056"/>
      <c r="BEZ195" s="1056"/>
      <c r="BFA195" s="1056"/>
      <c r="BFB195" s="1056"/>
      <c r="BFC195" s="1056"/>
      <c r="BFD195" s="1056"/>
      <c r="BFE195" s="1056"/>
      <c r="BFF195" s="1056"/>
      <c r="BFG195" s="1056"/>
      <c r="BFH195" s="1056"/>
      <c r="BFI195" s="1056"/>
      <c r="BFJ195" s="1056"/>
      <c r="BFK195" s="1056"/>
      <c r="BFL195" s="1056"/>
      <c r="BFM195" s="1056"/>
      <c r="BFN195" s="1056"/>
      <c r="BFO195" s="1056"/>
      <c r="BFP195" s="1056"/>
      <c r="BFQ195" s="1056"/>
      <c r="BFR195" s="1056"/>
      <c r="BFS195" s="1056"/>
      <c r="BFT195" s="1056"/>
      <c r="BFU195" s="1056"/>
      <c r="BFV195" s="1056"/>
      <c r="BFW195" s="1056"/>
      <c r="BFX195" s="1056"/>
      <c r="BFY195" s="1056"/>
      <c r="BFZ195" s="1056"/>
      <c r="BGA195" s="1056"/>
      <c r="BGB195" s="1056"/>
      <c r="BGC195" s="1056"/>
      <c r="BGD195" s="1056"/>
      <c r="BGE195" s="1056"/>
      <c r="BGF195" s="1056"/>
      <c r="BGG195" s="1056"/>
      <c r="BGH195" s="1056"/>
      <c r="BGI195" s="1056"/>
      <c r="BGJ195" s="1056"/>
      <c r="BGK195" s="1056"/>
      <c r="BGL195" s="1056"/>
      <c r="BGM195" s="1056"/>
      <c r="BGN195" s="1056"/>
      <c r="BGO195" s="1056"/>
      <c r="BGP195" s="1056"/>
      <c r="BGQ195" s="1056"/>
      <c r="BGR195" s="1056"/>
      <c r="BGS195" s="1056"/>
      <c r="BGT195" s="1056"/>
      <c r="BGU195" s="1056"/>
      <c r="BGV195" s="1056"/>
      <c r="BGW195" s="1056"/>
      <c r="BGX195" s="1056"/>
      <c r="BGY195" s="1056"/>
      <c r="BGZ195" s="1056"/>
      <c r="BHA195" s="1056"/>
      <c r="BHB195" s="1056"/>
      <c r="BHC195" s="1056"/>
      <c r="BHD195" s="1056"/>
      <c r="BHE195" s="1056"/>
      <c r="BHF195" s="1056"/>
      <c r="BHG195" s="1056"/>
      <c r="BHH195" s="1056"/>
      <c r="BHI195" s="1056"/>
      <c r="BHJ195" s="1056"/>
      <c r="BHK195" s="1056"/>
      <c r="BHL195" s="1056"/>
      <c r="BHM195" s="1056"/>
      <c r="BHN195" s="1056"/>
      <c r="BHO195" s="1056"/>
      <c r="BHP195" s="1056"/>
      <c r="BHQ195" s="1056"/>
      <c r="BHR195" s="1056"/>
      <c r="BHS195" s="1056"/>
      <c r="BHT195" s="1056"/>
      <c r="BHU195" s="1056"/>
      <c r="BHV195" s="1056"/>
      <c r="BHW195" s="1056"/>
      <c r="BHX195" s="1056"/>
      <c r="BHY195" s="1056"/>
      <c r="BHZ195" s="1056"/>
      <c r="BIA195" s="1056"/>
      <c r="BIB195" s="1056"/>
      <c r="BIC195" s="1056"/>
      <c r="BID195" s="1056"/>
      <c r="BIE195" s="1056"/>
      <c r="BIF195" s="1056"/>
      <c r="BIG195" s="1056"/>
      <c r="BIH195" s="1056"/>
      <c r="BII195" s="1056"/>
      <c r="BIJ195" s="1056"/>
      <c r="BIK195" s="1056"/>
      <c r="BIL195" s="1056"/>
      <c r="BIM195" s="1056"/>
      <c r="BIN195" s="1056"/>
      <c r="BIO195" s="1056"/>
      <c r="BIP195" s="1056"/>
      <c r="BIQ195" s="1056"/>
      <c r="BIR195" s="1056"/>
      <c r="BIS195" s="1056"/>
      <c r="BIT195" s="1056"/>
      <c r="BIU195" s="1056"/>
      <c r="BIV195" s="1056"/>
      <c r="BIW195" s="1056"/>
      <c r="BIX195" s="1056"/>
      <c r="BIY195" s="1056"/>
      <c r="BIZ195" s="1056"/>
      <c r="BJA195" s="1056"/>
      <c r="BJB195" s="1056"/>
      <c r="BJC195" s="1056"/>
      <c r="BJD195" s="1056"/>
      <c r="BJE195" s="1056"/>
      <c r="BJF195" s="1056"/>
      <c r="BJG195" s="1056"/>
      <c r="BJH195" s="1056"/>
      <c r="BJI195" s="1056"/>
      <c r="BJJ195" s="1056"/>
      <c r="BJK195" s="1056"/>
      <c r="BJL195" s="1056"/>
      <c r="BJM195" s="1056"/>
      <c r="BJN195" s="1056"/>
      <c r="BJO195" s="1056"/>
      <c r="BJP195" s="1056"/>
      <c r="BJQ195" s="1056"/>
      <c r="BJR195" s="1056"/>
      <c r="BJS195" s="1056"/>
      <c r="BJT195" s="1056"/>
      <c r="BJU195" s="1056"/>
      <c r="BJV195" s="1056"/>
      <c r="BJW195" s="1056"/>
      <c r="BJX195" s="1056"/>
      <c r="BJY195" s="1056"/>
      <c r="BJZ195" s="1056"/>
      <c r="BKA195" s="1056"/>
      <c r="BKB195" s="1056"/>
      <c r="BKC195" s="1056"/>
      <c r="BKD195" s="1056"/>
      <c r="BKE195" s="1056"/>
      <c r="BKF195" s="1056"/>
      <c r="BKG195" s="1056"/>
      <c r="BKH195" s="1056"/>
      <c r="BKI195" s="1056"/>
      <c r="BKJ195" s="1056"/>
      <c r="BKK195" s="1056"/>
      <c r="BKL195" s="1056"/>
      <c r="BKM195" s="1056"/>
      <c r="BKN195" s="1056"/>
      <c r="BKO195" s="1056"/>
      <c r="BKP195" s="1056"/>
      <c r="BKQ195" s="1056"/>
      <c r="BKR195" s="1056"/>
      <c r="BKS195" s="1056"/>
      <c r="BKT195" s="1056"/>
      <c r="BKU195" s="1056"/>
      <c r="BKV195" s="1056"/>
      <c r="BKW195" s="1056"/>
      <c r="BKX195" s="1056"/>
      <c r="BKY195" s="1056"/>
      <c r="BKZ195" s="1056"/>
      <c r="BLA195" s="1056"/>
      <c r="BLB195" s="1056"/>
      <c r="BLC195" s="1056"/>
      <c r="BLD195" s="1056"/>
      <c r="BLE195" s="1056"/>
      <c r="BLF195" s="1056"/>
      <c r="BLG195" s="1056"/>
      <c r="BLH195" s="1056"/>
      <c r="BLI195" s="1056"/>
      <c r="BLJ195" s="1056"/>
      <c r="BLK195" s="1056"/>
      <c r="BLL195" s="1056"/>
      <c r="BLM195" s="1056"/>
      <c r="BLN195" s="1056"/>
      <c r="BLO195" s="1056"/>
      <c r="BLP195" s="1056"/>
      <c r="BLQ195" s="1056"/>
      <c r="BLR195" s="1056"/>
      <c r="BLS195" s="1056"/>
      <c r="BLT195" s="1056"/>
      <c r="BLU195" s="1056"/>
      <c r="BLV195" s="1056"/>
      <c r="BLW195" s="1056"/>
      <c r="BLX195" s="1056"/>
      <c r="BLY195" s="1056"/>
      <c r="BLZ195" s="1056"/>
      <c r="BMA195" s="1056"/>
      <c r="BMB195" s="1056"/>
      <c r="BMC195" s="1056"/>
      <c r="BMD195" s="1056"/>
      <c r="BME195" s="1056"/>
      <c r="BMF195" s="1056"/>
      <c r="BMG195" s="1056"/>
      <c r="BMH195" s="1056"/>
      <c r="BMI195" s="1056"/>
      <c r="BMJ195" s="1056"/>
      <c r="BMK195" s="1056"/>
      <c r="BML195" s="1056"/>
      <c r="BMM195" s="1056"/>
      <c r="BMN195" s="1056"/>
      <c r="BMO195" s="1056"/>
      <c r="BMP195" s="1056"/>
      <c r="BMQ195" s="1056"/>
      <c r="BMR195" s="1056"/>
      <c r="BMS195" s="1056"/>
      <c r="BMT195" s="1056"/>
      <c r="BMU195" s="1056"/>
      <c r="BMV195" s="1056"/>
      <c r="BMW195" s="1056"/>
      <c r="BMX195" s="1056"/>
      <c r="BMY195" s="1056"/>
      <c r="BMZ195" s="1056"/>
      <c r="BNA195" s="1056"/>
      <c r="BNB195" s="1056"/>
      <c r="BNC195" s="1056"/>
      <c r="BND195" s="1056"/>
      <c r="BNE195" s="1056"/>
      <c r="BNF195" s="1056"/>
      <c r="BNG195" s="1056"/>
      <c r="BNH195" s="1056"/>
      <c r="BNI195" s="1056"/>
      <c r="BNJ195" s="1056"/>
      <c r="BNK195" s="1056"/>
      <c r="BNL195" s="1056"/>
      <c r="BNM195" s="1056"/>
      <c r="BNN195" s="1056"/>
      <c r="BNO195" s="1056"/>
      <c r="BNP195" s="1056"/>
      <c r="BNQ195" s="1056"/>
      <c r="BNR195" s="1056"/>
      <c r="BNS195" s="1056"/>
      <c r="BNT195" s="1056"/>
      <c r="BNU195" s="1056"/>
      <c r="BNV195" s="1056"/>
      <c r="BNW195" s="1056"/>
      <c r="BNX195" s="1056"/>
      <c r="BNY195" s="1056"/>
      <c r="BNZ195" s="1056"/>
      <c r="BOA195" s="1056"/>
      <c r="BOB195" s="1056"/>
      <c r="BOC195" s="1056"/>
      <c r="BOD195" s="1056"/>
      <c r="BOE195" s="1056"/>
      <c r="BOF195" s="1056"/>
      <c r="BOG195" s="1056"/>
      <c r="BOH195" s="1056"/>
      <c r="BOI195" s="1056"/>
      <c r="BOJ195" s="1056"/>
      <c r="BOK195" s="1056"/>
      <c r="BOL195" s="1056"/>
      <c r="BOM195" s="1056"/>
      <c r="BON195" s="1056"/>
      <c r="BOO195" s="1056"/>
      <c r="BOP195" s="1056"/>
      <c r="BOQ195" s="1056"/>
      <c r="BOR195" s="1056"/>
      <c r="BOS195" s="1056"/>
      <c r="BOT195" s="1056"/>
      <c r="BOU195" s="1056"/>
      <c r="BOV195" s="1056"/>
      <c r="BOW195" s="1056"/>
      <c r="BOX195" s="1056"/>
      <c r="BOY195" s="1056"/>
      <c r="BOZ195" s="1056"/>
      <c r="BPA195" s="1056"/>
      <c r="BPB195" s="1056"/>
      <c r="BPC195" s="1056"/>
      <c r="BPD195" s="1056"/>
      <c r="BPE195" s="1056"/>
      <c r="BPF195" s="1056"/>
      <c r="BPG195" s="1056"/>
      <c r="BPH195" s="1056"/>
      <c r="BPI195" s="1056"/>
      <c r="BPJ195" s="1056"/>
      <c r="BPK195" s="1056"/>
      <c r="BPL195" s="1056"/>
      <c r="BPM195" s="1056"/>
      <c r="BPN195" s="1056"/>
      <c r="BPO195" s="1056"/>
      <c r="BPP195" s="1056"/>
      <c r="BPQ195" s="1056"/>
      <c r="BPR195" s="1056"/>
      <c r="BPS195" s="1056"/>
      <c r="BPT195" s="1056"/>
      <c r="BPU195" s="1056"/>
      <c r="BPV195" s="1056"/>
      <c r="BPW195" s="1056"/>
      <c r="BPX195" s="1056"/>
      <c r="BPY195" s="1056"/>
      <c r="BPZ195" s="1056"/>
      <c r="BQA195" s="1056"/>
      <c r="BQB195" s="1056"/>
      <c r="BQC195" s="1056"/>
      <c r="BQD195" s="1056"/>
      <c r="BQE195" s="1056"/>
      <c r="BQF195" s="1056"/>
      <c r="BQG195" s="1056"/>
      <c r="BQH195" s="1056"/>
      <c r="BQI195" s="1056"/>
      <c r="BQJ195" s="1056"/>
      <c r="BQK195" s="1056"/>
      <c r="BQL195" s="1056"/>
      <c r="BQM195" s="1056"/>
      <c r="BQN195" s="1056"/>
      <c r="BQO195" s="1056"/>
      <c r="BQP195" s="1056"/>
      <c r="BQQ195" s="1056"/>
      <c r="BQR195" s="1056"/>
      <c r="BQS195" s="1056"/>
      <c r="BQT195" s="1056"/>
      <c r="BQU195" s="1056"/>
      <c r="BQV195" s="1056"/>
      <c r="BQW195" s="1056"/>
      <c r="BQX195" s="1056"/>
      <c r="BQY195" s="1056"/>
      <c r="BQZ195" s="1056"/>
      <c r="BRA195" s="1056"/>
      <c r="BRB195" s="1056"/>
      <c r="BRC195" s="1056"/>
      <c r="BRD195" s="1056"/>
      <c r="BRE195" s="1056"/>
      <c r="BRF195" s="1056"/>
      <c r="BRG195" s="1056"/>
      <c r="BRH195" s="1056"/>
      <c r="BRI195" s="1056"/>
      <c r="BRJ195" s="1056"/>
      <c r="BRK195" s="1056"/>
      <c r="BRL195" s="1056"/>
      <c r="BRM195" s="1056"/>
      <c r="BRN195" s="1056"/>
      <c r="BRO195" s="1056"/>
      <c r="BRP195" s="1056"/>
      <c r="BRQ195" s="1056"/>
      <c r="BRR195" s="1056"/>
      <c r="BRS195" s="1056"/>
      <c r="BRT195" s="1056"/>
      <c r="BRU195" s="1056"/>
      <c r="BRV195" s="1056"/>
      <c r="BRW195" s="1056"/>
      <c r="BRX195" s="1056"/>
      <c r="BRY195" s="1056"/>
      <c r="BRZ195" s="1056"/>
      <c r="BSA195" s="1056"/>
      <c r="BSB195" s="1056"/>
      <c r="BSC195" s="1056"/>
      <c r="BSD195" s="1056"/>
      <c r="BSE195" s="1056"/>
      <c r="BSF195" s="1056"/>
      <c r="BSG195" s="1056"/>
      <c r="BSH195" s="1056"/>
      <c r="BSI195" s="1056"/>
      <c r="BSJ195" s="1056"/>
      <c r="BSK195" s="1056"/>
      <c r="BSL195" s="1056"/>
      <c r="BSM195" s="1056"/>
      <c r="BSN195" s="1056"/>
      <c r="BSO195" s="1056"/>
      <c r="BSP195" s="1056"/>
      <c r="BSQ195" s="1056"/>
      <c r="BSR195" s="1056"/>
      <c r="BSS195" s="1056"/>
      <c r="BST195" s="1056"/>
      <c r="BSU195" s="1056"/>
      <c r="BSV195" s="1056"/>
      <c r="BSW195" s="1056"/>
      <c r="BSX195" s="1056"/>
      <c r="BSY195" s="1056"/>
      <c r="BSZ195" s="1056"/>
      <c r="BTA195" s="1056"/>
      <c r="BTB195" s="1056"/>
      <c r="BTC195" s="1056"/>
      <c r="BTD195" s="1056"/>
      <c r="BTE195" s="1056"/>
      <c r="BTF195" s="1056"/>
      <c r="BTG195" s="1056"/>
      <c r="BTH195" s="1056"/>
      <c r="BTI195" s="1056"/>
    </row>
    <row r="196" spans="1:1881" s="1060" customFormat="1" ht="108" hidden="1" customHeight="1" x14ac:dyDescent="0.3">
      <c r="A196" s="1059">
        <v>365</v>
      </c>
      <c r="B196" s="808" t="s">
        <v>66</v>
      </c>
      <c r="C196" s="808" t="s">
        <v>1422</v>
      </c>
      <c r="D196" s="746" t="s">
        <v>1426</v>
      </c>
      <c r="E196" s="1053" t="e">
        <f>HLOOKUP($D$2,'2020 Data(H)'!$C$1:$AI$426,126,FALSE)</f>
        <v>#N/A</v>
      </c>
      <c r="F196" s="286">
        <v>0</v>
      </c>
      <c r="G196" s="722">
        <f t="shared" si="2"/>
        <v>0</v>
      </c>
      <c r="H196" s="764"/>
      <c r="I196" s="1055"/>
      <c r="J196" s="1056"/>
      <c r="K196" s="1056"/>
      <c r="L196" s="1056"/>
      <c r="M196" s="1056"/>
      <c r="N196" s="1058"/>
      <c r="O196" s="1056"/>
      <c r="P196" s="1056"/>
      <c r="Q196" s="1056"/>
      <c r="R196" s="1056"/>
      <c r="S196" s="1056"/>
      <c r="T196" s="1056"/>
      <c r="U196" s="1056"/>
      <c r="V196" s="1056"/>
      <c r="W196" s="1056"/>
      <c r="X196" s="1056"/>
      <c r="Y196" s="1056"/>
      <c r="Z196" s="1059"/>
      <c r="AA196" s="1059"/>
      <c r="AB196" s="1059"/>
      <c r="AC196" s="1059"/>
      <c r="AD196" s="1059"/>
      <c r="AE196" s="1059"/>
      <c r="AF196" s="1059"/>
      <c r="AG196" s="1059"/>
      <c r="AH196" s="1059"/>
      <c r="AI196" s="1059"/>
      <c r="AJ196" s="1059"/>
      <c r="AK196" s="1059"/>
      <c r="AL196" s="1059"/>
      <c r="AM196" s="1059"/>
      <c r="AN196" s="1059"/>
      <c r="AO196" s="1059"/>
      <c r="AP196" s="1059"/>
      <c r="AQ196" s="1059"/>
      <c r="AR196" s="1059"/>
      <c r="AS196" s="1056"/>
      <c r="AT196" s="1056"/>
      <c r="AU196" s="1056"/>
      <c r="AV196" s="1056"/>
      <c r="AW196" s="1056"/>
      <c r="AX196" s="1056"/>
      <c r="AY196" s="1056"/>
      <c r="AZ196" s="1056"/>
      <c r="BA196" s="1056"/>
      <c r="BB196" s="1056"/>
      <c r="BC196" s="1056"/>
      <c r="BD196" s="1056"/>
      <c r="BE196" s="1056"/>
      <c r="BF196" s="1056"/>
      <c r="BG196" s="1056"/>
      <c r="BH196" s="1056"/>
      <c r="BI196" s="1056"/>
      <c r="BJ196" s="1056"/>
      <c r="BK196" s="1056"/>
      <c r="BL196" s="1056"/>
      <c r="BM196" s="1056"/>
      <c r="BN196" s="1056"/>
      <c r="BO196" s="1056"/>
      <c r="BP196" s="1056"/>
      <c r="BQ196" s="1056"/>
      <c r="BR196" s="1056"/>
      <c r="BS196" s="1056"/>
      <c r="BT196" s="1056"/>
      <c r="BU196" s="1056"/>
      <c r="BV196" s="1056"/>
      <c r="BW196" s="1056"/>
      <c r="BX196" s="1056"/>
      <c r="BY196" s="1056"/>
      <c r="BZ196" s="1056"/>
      <c r="CA196" s="1056"/>
      <c r="CB196" s="1056"/>
      <c r="CC196" s="1056"/>
      <c r="CD196" s="1056"/>
      <c r="CE196" s="1056"/>
      <c r="CF196" s="1056"/>
      <c r="CG196" s="1056"/>
      <c r="CH196" s="1056"/>
      <c r="CI196" s="1056"/>
      <c r="CJ196" s="1056"/>
      <c r="CK196" s="1056"/>
      <c r="CL196" s="1056"/>
      <c r="CM196" s="1056"/>
      <c r="CN196" s="1056"/>
      <c r="CO196" s="1056"/>
      <c r="CP196" s="1056"/>
      <c r="CQ196" s="1056"/>
      <c r="CR196" s="1056"/>
      <c r="CS196" s="1056"/>
      <c r="CT196" s="1056"/>
      <c r="CU196" s="1056"/>
      <c r="CV196" s="1056"/>
      <c r="CW196" s="1056"/>
      <c r="CX196" s="1056"/>
      <c r="CY196" s="1056"/>
      <c r="CZ196" s="1056"/>
      <c r="DA196" s="1056"/>
      <c r="DB196" s="1056"/>
      <c r="DC196" s="1056"/>
      <c r="DD196" s="1056"/>
      <c r="DE196" s="1056"/>
      <c r="DF196" s="1056"/>
      <c r="DG196" s="1056"/>
      <c r="DH196" s="1056"/>
      <c r="DI196" s="1056"/>
      <c r="DJ196" s="1056"/>
      <c r="DK196" s="1056"/>
      <c r="DL196" s="1056"/>
      <c r="DM196" s="1056"/>
      <c r="DN196" s="1056"/>
      <c r="DO196" s="1056"/>
      <c r="DP196" s="1056"/>
      <c r="DQ196" s="1056"/>
      <c r="DR196" s="1056"/>
      <c r="DS196" s="1056"/>
      <c r="DT196" s="1056"/>
      <c r="DU196" s="1056"/>
      <c r="DV196" s="1056"/>
      <c r="DW196" s="1056"/>
      <c r="DX196" s="1056"/>
      <c r="DY196" s="1056"/>
      <c r="DZ196" s="1056"/>
      <c r="EA196" s="1056"/>
      <c r="EB196" s="1056"/>
      <c r="EC196" s="1056"/>
      <c r="ED196" s="1056"/>
      <c r="EE196" s="1056"/>
      <c r="EF196" s="1056"/>
      <c r="EG196" s="1056"/>
      <c r="EH196" s="1056"/>
      <c r="EI196" s="1056"/>
      <c r="EJ196" s="1056"/>
      <c r="EK196" s="1056"/>
      <c r="EL196" s="1056"/>
      <c r="EM196" s="1056"/>
      <c r="EN196" s="1056"/>
      <c r="EO196" s="1056"/>
      <c r="EP196" s="1056"/>
      <c r="EQ196" s="1056"/>
      <c r="ER196" s="1056"/>
      <c r="ES196" s="1056"/>
      <c r="ET196" s="1056"/>
      <c r="EU196" s="1056"/>
      <c r="EV196" s="1056"/>
      <c r="EW196" s="1056"/>
      <c r="EX196" s="1056"/>
      <c r="EY196" s="1056"/>
      <c r="EZ196" s="1056"/>
      <c r="FA196" s="1056"/>
      <c r="FB196" s="1056"/>
      <c r="FC196" s="1056"/>
      <c r="FD196" s="1056"/>
      <c r="FE196" s="1056"/>
      <c r="FF196" s="1056"/>
      <c r="FG196" s="1056"/>
      <c r="FH196" s="1056"/>
      <c r="FI196" s="1056"/>
      <c r="FJ196" s="1056"/>
      <c r="FK196" s="1056"/>
      <c r="FL196" s="1056"/>
      <c r="FM196" s="1056"/>
      <c r="FN196" s="1056"/>
      <c r="FO196" s="1056"/>
      <c r="FP196" s="1056"/>
      <c r="FQ196" s="1056"/>
      <c r="FR196" s="1056"/>
      <c r="FS196" s="1056"/>
      <c r="FT196" s="1056"/>
      <c r="FU196" s="1056"/>
      <c r="FV196" s="1056"/>
      <c r="FW196" s="1056"/>
      <c r="FX196" s="1056"/>
      <c r="FY196" s="1056"/>
      <c r="FZ196" s="1056"/>
      <c r="GA196" s="1056"/>
      <c r="GB196" s="1056"/>
      <c r="GC196" s="1056"/>
      <c r="GD196" s="1056"/>
      <c r="GE196" s="1056"/>
      <c r="GF196" s="1056"/>
      <c r="GG196" s="1056"/>
      <c r="GH196" s="1056"/>
      <c r="GI196" s="1056"/>
      <c r="GJ196" s="1056"/>
      <c r="GK196" s="1056"/>
      <c r="GL196" s="1056"/>
      <c r="GM196" s="1056"/>
      <c r="GN196" s="1056"/>
      <c r="GO196" s="1056"/>
      <c r="GP196" s="1056"/>
      <c r="GQ196" s="1056"/>
      <c r="GR196" s="1056"/>
      <c r="GS196" s="1056"/>
      <c r="GT196" s="1056"/>
      <c r="GU196" s="1056"/>
      <c r="GV196" s="1056"/>
      <c r="GW196" s="1056"/>
      <c r="GX196" s="1056"/>
      <c r="GY196" s="1056"/>
      <c r="GZ196" s="1056"/>
      <c r="HA196" s="1056"/>
      <c r="HB196" s="1056"/>
      <c r="HC196" s="1056"/>
      <c r="HD196" s="1056"/>
      <c r="HE196" s="1056"/>
      <c r="HF196" s="1056"/>
      <c r="HG196" s="1056"/>
      <c r="HH196" s="1056"/>
      <c r="HI196" s="1056"/>
      <c r="HJ196" s="1056"/>
      <c r="HK196" s="1056"/>
      <c r="HL196" s="1056"/>
      <c r="HM196" s="1056"/>
      <c r="HN196" s="1056"/>
      <c r="HO196" s="1056"/>
      <c r="HP196" s="1056"/>
      <c r="HQ196" s="1056"/>
      <c r="HR196" s="1056"/>
      <c r="HS196" s="1056"/>
      <c r="HT196" s="1056"/>
      <c r="HU196" s="1056"/>
      <c r="HV196" s="1056"/>
      <c r="HW196" s="1056"/>
      <c r="HX196" s="1056"/>
      <c r="HY196" s="1056"/>
      <c r="HZ196" s="1056"/>
      <c r="IA196" s="1056"/>
      <c r="IB196" s="1056"/>
      <c r="IC196" s="1056"/>
      <c r="ID196" s="1056"/>
      <c r="IE196" s="1056"/>
      <c r="IF196" s="1056"/>
      <c r="IG196" s="1056"/>
      <c r="IH196" s="1056"/>
      <c r="II196" s="1056"/>
      <c r="IJ196" s="1056"/>
      <c r="IK196" s="1056"/>
      <c r="IL196" s="1056"/>
      <c r="IM196" s="1056"/>
      <c r="IN196" s="1056"/>
      <c r="IO196" s="1056"/>
      <c r="IP196" s="1056"/>
      <c r="IQ196" s="1056"/>
      <c r="IR196" s="1056"/>
      <c r="IS196" s="1056"/>
      <c r="IT196" s="1056"/>
      <c r="IU196" s="1056"/>
      <c r="IV196" s="1056"/>
      <c r="IW196" s="1056"/>
      <c r="IX196" s="1056"/>
      <c r="IY196" s="1056"/>
      <c r="IZ196" s="1056"/>
      <c r="JA196" s="1056"/>
      <c r="JB196" s="1056"/>
      <c r="JC196" s="1056"/>
      <c r="JD196" s="1056"/>
      <c r="JE196" s="1056"/>
      <c r="JF196" s="1056"/>
      <c r="JG196" s="1056"/>
      <c r="JH196" s="1056"/>
      <c r="JI196" s="1056"/>
      <c r="JJ196" s="1056"/>
      <c r="JK196" s="1056"/>
      <c r="JL196" s="1056"/>
      <c r="JM196" s="1056"/>
      <c r="JN196" s="1056"/>
      <c r="JO196" s="1056"/>
      <c r="JP196" s="1056"/>
      <c r="JQ196" s="1056"/>
      <c r="JR196" s="1056"/>
      <c r="JS196" s="1056"/>
      <c r="JT196" s="1056"/>
      <c r="JU196" s="1056"/>
      <c r="JV196" s="1056"/>
      <c r="JW196" s="1056"/>
      <c r="JX196" s="1056"/>
      <c r="JY196" s="1056"/>
      <c r="JZ196" s="1056"/>
      <c r="KA196" s="1056"/>
      <c r="KB196" s="1056"/>
      <c r="KC196" s="1056"/>
      <c r="KD196" s="1056"/>
      <c r="KE196" s="1056"/>
      <c r="KF196" s="1056"/>
      <c r="KG196" s="1056"/>
      <c r="KH196" s="1056"/>
      <c r="KI196" s="1056"/>
      <c r="KJ196" s="1056"/>
      <c r="KK196" s="1056"/>
      <c r="KL196" s="1056"/>
      <c r="KM196" s="1056"/>
      <c r="KN196" s="1056"/>
      <c r="KO196" s="1056"/>
      <c r="KP196" s="1056"/>
      <c r="KQ196" s="1056"/>
      <c r="KR196" s="1056"/>
      <c r="KS196" s="1056"/>
      <c r="KT196" s="1056"/>
      <c r="KU196" s="1056"/>
      <c r="KV196" s="1056"/>
      <c r="KW196" s="1056"/>
      <c r="KX196" s="1056"/>
      <c r="KY196" s="1056"/>
      <c r="KZ196" s="1056"/>
      <c r="LA196" s="1056"/>
      <c r="LB196" s="1056"/>
      <c r="LC196" s="1056"/>
      <c r="LD196" s="1056"/>
      <c r="LE196" s="1056"/>
      <c r="LF196" s="1056"/>
      <c r="LG196" s="1056"/>
      <c r="LH196" s="1056"/>
      <c r="LI196" s="1056"/>
      <c r="LJ196" s="1056"/>
      <c r="LK196" s="1056"/>
      <c r="LL196" s="1056"/>
      <c r="LM196" s="1056"/>
      <c r="LN196" s="1056"/>
      <c r="LO196" s="1056"/>
      <c r="LP196" s="1056"/>
      <c r="LQ196" s="1056"/>
      <c r="LR196" s="1056"/>
      <c r="LS196" s="1056"/>
      <c r="LT196" s="1056"/>
      <c r="LU196" s="1056"/>
      <c r="LV196" s="1056"/>
      <c r="LW196" s="1056"/>
      <c r="LX196" s="1056"/>
      <c r="LY196" s="1056"/>
      <c r="LZ196" s="1056"/>
      <c r="MA196" s="1056"/>
      <c r="MB196" s="1056"/>
      <c r="MC196" s="1056"/>
      <c r="MD196" s="1056"/>
      <c r="ME196" s="1056"/>
      <c r="MF196" s="1056"/>
      <c r="MG196" s="1056"/>
      <c r="MH196" s="1056"/>
      <c r="MI196" s="1056"/>
      <c r="MJ196" s="1056"/>
      <c r="MK196" s="1056"/>
      <c r="ML196" s="1056"/>
      <c r="MM196" s="1056"/>
      <c r="MN196" s="1056"/>
      <c r="MO196" s="1056"/>
      <c r="MP196" s="1056"/>
      <c r="MQ196" s="1056"/>
      <c r="MR196" s="1056"/>
      <c r="MS196" s="1056"/>
      <c r="MT196" s="1056"/>
      <c r="MU196" s="1056"/>
      <c r="MV196" s="1056"/>
      <c r="MW196" s="1056"/>
      <c r="MX196" s="1056"/>
      <c r="MY196" s="1056"/>
      <c r="MZ196" s="1056"/>
      <c r="NA196" s="1056"/>
      <c r="NB196" s="1056"/>
      <c r="NC196" s="1056"/>
      <c r="ND196" s="1056"/>
      <c r="NE196" s="1056"/>
      <c r="NF196" s="1056"/>
      <c r="NG196" s="1056"/>
      <c r="NH196" s="1056"/>
      <c r="NI196" s="1056"/>
      <c r="NJ196" s="1056"/>
      <c r="NK196" s="1056"/>
      <c r="NL196" s="1056"/>
      <c r="NM196" s="1056"/>
      <c r="NN196" s="1056"/>
      <c r="NO196" s="1056"/>
      <c r="NP196" s="1056"/>
      <c r="NQ196" s="1056"/>
      <c r="NR196" s="1056"/>
      <c r="NS196" s="1056"/>
      <c r="NT196" s="1056"/>
      <c r="NU196" s="1056"/>
      <c r="NV196" s="1056"/>
      <c r="NW196" s="1056"/>
      <c r="NX196" s="1056"/>
      <c r="NY196" s="1056"/>
      <c r="NZ196" s="1056"/>
      <c r="OA196" s="1056"/>
      <c r="OB196" s="1056"/>
      <c r="OC196" s="1056"/>
      <c r="OD196" s="1056"/>
      <c r="OE196" s="1056"/>
      <c r="OF196" s="1056"/>
      <c r="OG196" s="1056"/>
      <c r="OH196" s="1056"/>
      <c r="OI196" s="1056"/>
      <c r="OJ196" s="1056"/>
      <c r="OK196" s="1056"/>
      <c r="OL196" s="1056"/>
      <c r="OM196" s="1056"/>
      <c r="ON196" s="1056"/>
      <c r="OO196" s="1056"/>
      <c r="OP196" s="1056"/>
      <c r="OQ196" s="1056"/>
      <c r="OR196" s="1056"/>
      <c r="OS196" s="1056"/>
      <c r="OT196" s="1056"/>
      <c r="OU196" s="1056"/>
      <c r="OV196" s="1056"/>
      <c r="OW196" s="1056"/>
      <c r="OX196" s="1056"/>
      <c r="OY196" s="1056"/>
      <c r="OZ196" s="1056"/>
      <c r="PA196" s="1056"/>
      <c r="PB196" s="1056"/>
      <c r="PC196" s="1056"/>
      <c r="PD196" s="1056"/>
      <c r="PE196" s="1056"/>
      <c r="PF196" s="1056"/>
      <c r="PG196" s="1056"/>
      <c r="PH196" s="1056"/>
      <c r="PI196" s="1056"/>
      <c r="PJ196" s="1056"/>
      <c r="PK196" s="1056"/>
      <c r="PL196" s="1056"/>
      <c r="PM196" s="1056"/>
      <c r="PN196" s="1056"/>
      <c r="PO196" s="1056"/>
      <c r="PP196" s="1056"/>
      <c r="PQ196" s="1056"/>
      <c r="PR196" s="1056"/>
      <c r="PS196" s="1056"/>
      <c r="PT196" s="1056"/>
      <c r="PU196" s="1056"/>
      <c r="PV196" s="1056"/>
      <c r="PW196" s="1056"/>
      <c r="PX196" s="1056"/>
      <c r="PY196" s="1056"/>
      <c r="PZ196" s="1056"/>
      <c r="QA196" s="1056"/>
      <c r="QB196" s="1056"/>
      <c r="QC196" s="1056"/>
      <c r="QD196" s="1056"/>
      <c r="QE196" s="1056"/>
      <c r="QF196" s="1056"/>
      <c r="QG196" s="1056"/>
      <c r="QH196" s="1056"/>
      <c r="QI196" s="1056"/>
      <c r="QJ196" s="1056"/>
      <c r="QK196" s="1056"/>
      <c r="QL196" s="1056"/>
      <c r="QM196" s="1056"/>
      <c r="QN196" s="1056"/>
      <c r="QO196" s="1056"/>
      <c r="QP196" s="1056"/>
      <c r="QQ196" s="1056"/>
      <c r="QR196" s="1056"/>
      <c r="QS196" s="1056"/>
      <c r="QT196" s="1056"/>
      <c r="QU196" s="1056"/>
      <c r="QV196" s="1056"/>
      <c r="QW196" s="1056"/>
      <c r="QX196" s="1056"/>
      <c r="QY196" s="1056"/>
      <c r="QZ196" s="1056"/>
      <c r="RA196" s="1056"/>
      <c r="RB196" s="1056"/>
      <c r="RC196" s="1056"/>
      <c r="RD196" s="1056"/>
      <c r="RE196" s="1056"/>
      <c r="RF196" s="1056"/>
      <c r="RG196" s="1056"/>
      <c r="RH196" s="1056"/>
      <c r="RI196" s="1056"/>
      <c r="RJ196" s="1056"/>
      <c r="RK196" s="1056"/>
      <c r="RL196" s="1056"/>
      <c r="RM196" s="1056"/>
      <c r="RN196" s="1056"/>
      <c r="RO196" s="1056"/>
      <c r="RP196" s="1056"/>
      <c r="RQ196" s="1056"/>
      <c r="RR196" s="1056"/>
      <c r="RS196" s="1056"/>
      <c r="RT196" s="1056"/>
      <c r="RU196" s="1056"/>
      <c r="RV196" s="1056"/>
      <c r="RW196" s="1056"/>
      <c r="RX196" s="1056"/>
      <c r="RY196" s="1056"/>
      <c r="RZ196" s="1056"/>
      <c r="SA196" s="1056"/>
      <c r="SB196" s="1056"/>
      <c r="SC196" s="1056"/>
      <c r="SD196" s="1056"/>
      <c r="SE196" s="1056"/>
      <c r="SF196" s="1056"/>
      <c r="SG196" s="1056"/>
      <c r="SH196" s="1056"/>
      <c r="SI196" s="1056"/>
      <c r="SJ196" s="1056"/>
      <c r="SK196" s="1056"/>
      <c r="SL196" s="1056"/>
      <c r="SM196" s="1056"/>
      <c r="SN196" s="1056"/>
      <c r="SO196" s="1056"/>
      <c r="SP196" s="1056"/>
      <c r="SQ196" s="1056"/>
      <c r="SR196" s="1056"/>
      <c r="SS196" s="1056"/>
      <c r="ST196" s="1056"/>
      <c r="SU196" s="1056"/>
      <c r="SV196" s="1056"/>
      <c r="SW196" s="1056"/>
      <c r="SX196" s="1056"/>
      <c r="SY196" s="1056"/>
      <c r="SZ196" s="1056"/>
      <c r="TA196" s="1056"/>
      <c r="TB196" s="1056"/>
      <c r="TC196" s="1056"/>
      <c r="TD196" s="1056"/>
      <c r="TE196" s="1056"/>
      <c r="TF196" s="1056"/>
      <c r="TG196" s="1056"/>
      <c r="TH196" s="1056"/>
      <c r="TI196" s="1056"/>
      <c r="TJ196" s="1056"/>
      <c r="TK196" s="1056"/>
      <c r="TL196" s="1056"/>
      <c r="TM196" s="1056"/>
      <c r="TN196" s="1056"/>
      <c r="TO196" s="1056"/>
      <c r="TP196" s="1056"/>
      <c r="TQ196" s="1056"/>
      <c r="TR196" s="1056"/>
      <c r="TS196" s="1056"/>
      <c r="TT196" s="1056"/>
      <c r="TU196" s="1056"/>
      <c r="TV196" s="1056"/>
      <c r="TW196" s="1056"/>
      <c r="TX196" s="1056"/>
      <c r="TY196" s="1056"/>
      <c r="TZ196" s="1056"/>
      <c r="UA196" s="1056"/>
      <c r="UB196" s="1056"/>
      <c r="UC196" s="1056"/>
      <c r="UD196" s="1056"/>
      <c r="UE196" s="1056"/>
      <c r="UF196" s="1056"/>
      <c r="UG196" s="1056"/>
      <c r="UH196" s="1056"/>
      <c r="UI196" s="1056"/>
      <c r="UJ196" s="1056"/>
      <c r="UK196" s="1056"/>
      <c r="UL196" s="1056"/>
      <c r="UM196" s="1056"/>
      <c r="UN196" s="1056"/>
      <c r="UO196" s="1056"/>
      <c r="UP196" s="1056"/>
      <c r="UQ196" s="1056"/>
      <c r="UR196" s="1056"/>
      <c r="US196" s="1056"/>
      <c r="UT196" s="1056"/>
      <c r="UU196" s="1056"/>
      <c r="UV196" s="1056"/>
      <c r="UW196" s="1056"/>
      <c r="UX196" s="1056"/>
      <c r="UY196" s="1056"/>
      <c r="UZ196" s="1056"/>
      <c r="VA196" s="1056"/>
      <c r="VB196" s="1056"/>
      <c r="VC196" s="1056"/>
      <c r="VD196" s="1056"/>
      <c r="VE196" s="1056"/>
      <c r="VF196" s="1056"/>
      <c r="VG196" s="1056"/>
      <c r="VH196" s="1056"/>
      <c r="VI196" s="1056"/>
      <c r="VJ196" s="1056"/>
      <c r="VK196" s="1056"/>
      <c r="VL196" s="1056"/>
      <c r="VM196" s="1056"/>
      <c r="VN196" s="1056"/>
      <c r="VO196" s="1056"/>
      <c r="VP196" s="1056"/>
      <c r="VQ196" s="1056"/>
      <c r="VR196" s="1056"/>
      <c r="VS196" s="1056"/>
      <c r="VT196" s="1056"/>
      <c r="VU196" s="1056"/>
      <c r="VV196" s="1056"/>
      <c r="VW196" s="1056"/>
      <c r="VX196" s="1056"/>
      <c r="VY196" s="1056"/>
      <c r="VZ196" s="1056"/>
      <c r="WA196" s="1056"/>
      <c r="WB196" s="1056"/>
      <c r="WC196" s="1056"/>
      <c r="WD196" s="1056"/>
      <c r="WE196" s="1056"/>
      <c r="WF196" s="1056"/>
      <c r="WG196" s="1056"/>
      <c r="WH196" s="1056"/>
      <c r="WI196" s="1056"/>
      <c r="WJ196" s="1056"/>
      <c r="WK196" s="1056"/>
      <c r="WL196" s="1056"/>
      <c r="WM196" s="1056"/>
      <c r="WN196" s="1056"/>
      <c r="WO196" s="1056"/>
      <c r="WP196" s="1056"/>
      <c r="WQ196" s="1056"/>
      <c r="WR196" s="1056"/>
      <c r="WS196" s="1056"/>
      <c r="WT196" s="1056"/>
      <c r="WU196" s="1056"/>
      <c r="WV196" s="1056"/>
      <c r="WW196" s="1056"/>
      <c r="WX196" s="1056"/>
      <c r="WY196" s="1056"/>
      <c r="WZ196" s="1056"/>
      <c r="XA196" s="1056"/>
      <c r="XB196" s="1056"/>
      <c r="XC196" s="1056"/>
      <c r="XD196" s="1056"/>
      <c r="XE196" s="1056"/>
      <c r="XF196" s="1056"/>
      <c r="XG196" s="1056"/>
      <c r="XH196" s="1056"/>
      <c r="XI196" s="1056"/>
      <c r="XJ196" s="1056"/>
      <c r="XK196" s="1056"/>
      <c r="XL196" s="1056"/>
      <c r="XM196" s="1056"/>
      <c r="XN196" s="1056"/>
      <c r="XO196" s="1056"/>
      <c r="XP196" s="1056"/>
      <c r="XQ196" s="1056"/>
      <c r="XR196" s="1056"/>
      <c r="XS196" s="1056"/>
      <c r="XT196" s="1056"/>
      <c r="XU196" s="1056"/>
      <c r="XV196" s="1056"/>
      <c r="XW196" s="1056"/>
      <c r="XX196" s="1056"/>
      <c r="XY196" s="1056"/>
      <c r="XZ196" s="1056"/>
      <c r="YA196" s="1056"/>
      <c r="YB196" s="1056"/>
      <c r="YC196" s="1056"/>
      <c r="YD196" s="1056"/>
      <c r="YE196" s="1056"/>
      <c r="YF196" s="1056"/>
      <c r="YG196" s="1056"/>
      <c r="YH196" s="1056"/>
      <c r="YI196" s="1056"/>
      <c r="YJ196" s="1056"/>
      <c r="YK196" s="1056"/>
      <c r="YL196" s="1056"/>
      <c r="YM196" s="1056"/>
      <c r="YN196" s="1056"/>
      <c r="YO196" s="1056"/>
      <c r="YP196" s="1056"/>
      <c r="YQ196" s="1056"/>
      <c r="YR196" s="1056"/>
      <c r="YS196" s="1056"/>
      <c r="YT196" s="1056"/>
      <c r="YU196" s="1056"/>
      <c r="YV196" s="1056"/>
      <c r="YW196" s="1056"/>
      <c r="YX196" s="1056"/>
      <c r="YY196" s="1056"/>
      <c r="YZ196" s="1056"/>
      <c r="ZA196" s="1056"/>
      <c r="ZB196" s="1056"/>
      <c r="ZC196" s="1056"/>
      <c r="ZD196" s="1056"/>
      <c r="ZE196" s="1056"/>
      <c r="ZF196" s="1056"/>
      <c r="ZG196" s="1056"/>
      <c r="ZH196" s="1056"/>
      <c r="ZI196" s="1056"/>
      <c r="ZJ196" s="1056"/>
      <c r="ZK196" s="1056"/>
      <c r="ZL196" s="1056"/>
      <c r="ZM196" s="1056"/>
      <c r="ZN196" s="1056"/>
      <c r="ZO196" s="1056"/>
      <c r="ZP196" s="1056"/>
      <c r="ZQ196" s="1056"/>
      <c r="ZR196" s="1056"/>
      <c r="ZS196" s="1056"/>
      <c r="ZT196" s="1056"/>
      <c r="ZU196" s="1056"/>
      <c r="ZV196" s="1056"/>
      <c r="ZW196" s="1056"/>
      <c r="ZX196" s="1056"/>
      <c r="ZY196" s="1056"/>
      <c r="ZZ196" s="1056"/>
      <c r="AAA196" s="1056"/>
      <c r="AAB196" s="1056"/>
      <c r="AAC196" s="1056"/>
      <c r="AAD196" s="1056"/>
      <c r="AAE196" s="1056"/>
      <c r="AAF196" s="1056"/>
      <c r="AAG196" s="1056"/>
      <c r="AAH196" s="1056"/>
      <c r="AAI196" s="1056"/>
      <c r="AAJ196" s="1056"/>
      <c r="AAK196" s="1056"/>
      <c r="AAL196" s="1056"/>
      <c r="AAM196" s="1056"/>
      <c r="AAN196" s="1056"/>
      <c r="AAO196" s="1056"/>
      <c r="AAP196" s="1056"/>
      <c r="AAQ196" s="1056"/>
      <c r="AAR196" s="1056"/>
      <c r="AAS196" s="1056"/>
      <c r="AAT196" s="1056"/>
      <c r="AAU196" s="1056"/>
      <c r="AAV196" s="1056"/>
      <c r="AAW196" s="1056"/>
      <c r="AAX196" s="1056"/>
      <c r="AAY196" s="1056"/>
      <c r="AAZ196" s="1056"/>
      <c r="ABA196" s="1056"/>
      <c r="ABB196" s="1056"/>
      <c r="ABC196" s="1056"/>
      <c r="ABD196" s="1056"/>
      <c r="ABE196" s="1056"/>
      <c r="ABF196" s="1056"/>
      <c r="ABG196" s="1056"/>
      <c r="ABH196" s="1056"/>
      <c r="ABI196" s="1056"/>
      <c r="ABJ196" s="1056"/>
      <c r="ABK196" s="1056"/>
      <c r="ABL196" s="1056"/>
      <c r="ABM196" s="1056"/>
      <c r="ABN196" s="1056"/>
      <c r="ABO196" s="1056"/>
      <c r="ABP196" s="1056"/>
      <c r="ABQ196" s="1056"/>
      <c r="ABR196" s="1056"/>
      <c r="ABS196" s="1056"/>
      <c r="ABT196" s="1056"/>
      <c r="ABU196" s="1056"/>
      <c r="ABV196" s="1056"/>
      <c r="ABW196" s="1056"/>
      <c r="ABX196" s="1056"/>
      <c r="ABY196" s="1056"/>
      <c r="ABZ196" s="1056"/>
      <c r="ACA196" s="1056"/>
      <c r="ACB196" s="1056"/>
      <c r="ACC196" s="1056"/>
      <c r="ACD196" s="1056"/>
      <c r="ACE196" s="1056"/>
      <c r="ACF196" s="1056"/>
      <c r="ACG196" s="1056"/>
      <c r="ACH196" s="1056"/>
      <c r="ACI196" s="1056"/>
      <c r="ACJ196" s="1056"/>
      <c r="ACK196" s="1056"/>
      <c r="ACL196" s="1056"/>
      <c r="ACM196" s="1056"/>
      <c r="ACN196" s="1056"/>
      <c r="ACO196" s="1056"/>
      <c r="ACP196" s="1056"/>
      <c r="ACQ196" s="1056"/>
      <c r="ACR196" s="1056"/>
      <c r="ACS196" s="1056"/>
      <c r="ACT196" s="1056"/>
      <c r="ACU196" s="1056"/>
      <c r="ACV196" s="1056"/>
      <c r="ACW196" s="1056"/>
      <c r="ACX196" s="1056"/>
      <c r="ACY196" s="1056"/>
      <c r="ACZ196" s="1056"/>
      <c r="ADA196" s="1056"/>
      <c r="ADB196" s="1056"/>
      <c r="ADC196" s="1056"/>
      <c r="ADD196" s="1056"/>
      <c r="ADE196" s="1056"/>
      <c r="ADF196" s="1056"/>
      <c r="ADG196" s="1056"/>
      <c r="ADH196" s="1056"/>
      <c r="ADI196" s="1056"/>
      <c r="ADJ196" s="1056"/>
      <c r="ADK196" s="1056"/>
      <c r="ADL196" s="1056"/>
      <c r="ADM196" s="1056"/>
      <c r="ADN196" s="1056"/>
      <c r="ADO196" s="1056"/>
      <c r="ADP196" s="1056"/>
      <c r="ADQ196" s="1056"/>
      <c r="ADR196" s="1056"/>
      <c r="ADS196" s="1056"/>
      <c r="ADT196" s="1056"/>
      <c r="ADU196" s="1056"/>
      <c r="ADV196" s="1056"/>
      <c r="ADW196" s="1056"/>
      <c r="ADX196" s="1056"/>
      <c r="ADY196" s="1056"/>
      <c r="ADZ196" s="1056"/>
      <c r="AEA196" s="1056"/>
      <c r="AEB196" s="1056"/>
      <c r="AEC196" s="1056"/>
      <c r="AED196" s="1056"/>
      <c r="AEE196" s="1056"/>
      <c r="AEF196" s="1056"/>
      <c r="AEG196" s="1056"/>
      <c r="AEH196" s="1056"/>
      <c r="AEI196" s="1056"/>
      <c r="AEJ196" s="1056"/>
      <c r="AEK196" s="1056"/>
      <c r="AEL196" s="1056"/>
      <c r="AEM196" s="1056"/>
      <c r="AEN196" s="1056"/>
      <c r="AEO196" s="1056"/>
      <c r="AEP196" s="1056"/>
      <c r="AEQ196" s="1056"/>
      <c r="AER196" s="1056"/>
      <c r="AES196" s="1056"/>
      <c r="AET196" s="1056"/>
      <c r="AEU196" s="1056"/>
      <c r="AEV196" s="1056"/>
      <c r="AEW196" s="1056"/>
      <c r="AEX196" s="1056"/>
      <c r="AEY196" s="1056"/>
      <c r="AEZ196" s="1056"/>
      <c r="AFA196" s="1056"/>
      <c r="AFB196" s="1056"/>
      <c r="AFC196" s="1056"/>
      <c r="AFD196" s="1056"/>
      <c r="AFE196" s="1056"/>
      <c r="AFF196" s="1056"/>
      <c r="AFG196" s="1056"/>
      <c r="AFH196" s="1056"/>
      <c r="AFI196" s="1056"/>
      <c r="AFJ196" s="1056"/>
      <c r="AFK196" s="1056"/>
      <c r="AFL196" s="1056"/>
      <c r="AFM196" s="1056"/>
      <c r="AFN196" s="1056"/>
      <c r="AFO196" s="1056"/>
      <c r="AFP196" s="1056"/>
      <c r="AFQ196" s="1056"/>
      <c r="AFR196" s="1056"/>
      <c r="AFS196" s="1056"/>
      <c r="AFT196" s="1056"/>
      <c r="AFU196" s="1056"/>
      <c r="AFV196" s="1056"/>
      <c r="AFW196" s="1056"/>
      <c r="AFX196" s="1056"/>
      <c r="AFY196" s="1056"/>
      <c r="AFZ196" s="1056"/>
      <c r="AGA196" s="1056"/>
      <c r="AGB196" s="1056"/>
      <c r="AGC196" s="1056"/>
      <c r="AGD196" s="1056"/>
      <c r="AGE196" s="1056"/>
      <c r="AGF196" s="1056"/>
      <c r="AGG196" s="1056"/>
      <c r="AGH196" s="1056"/>
      <c r="AGI196" s="1056"/>
      <c r="AGJ196" s="1056"/>
      <c r="AGK196" s="1056"/>
      <c r="AGL196" s="1056"/>
      <c r="AGM196" s="1056"/>
      <c r="AGN196" s="1056"/>
      <c r="AGO196" s="1056"/>
      <c r="AGP196" s="1056"/>
      <c r="AGQ196" s="1056"/>
      <c r="AGR196" s="1056"/>
      <c r="AGS196" s="1056"/>
      <c r="AGT196" s="1056"/>
      <c r="AGU196" s="1056"/>
      <c r="AGV196" s="1056"/>
      <c r="AGW196" s="1056"/>
      <c r="AGX196" s="1056"/>
      <c r="AGY196" s="1056"/>
      <c r="AGZ196" s="1056"/>
      <c r="AHA196" s="1056"/>
      <c r="AHB196" s="1056"/>
      <c r="AHC196" s="1056"/>
      <c r="AHD196" s="1056"/>
      <c r="AHE196" s="1056"/>
      <c r="AHF196" s="1056"/>
      <c r="AHG196" s="1056"/>
      <c r="AHH196" s="1056"/>
      <c r="AHI196" s="1056"/>
      <c r="AHJ196" s="1056"/>
      <c r="AHK196" s="1056"/>
      <c r="AHL196" s="1056"/>
      <c r="AHM196" s="1056"/>
      <c r="AHN196" s="1056"/>
      <c r="AHO196" s="1056"/>
      <c r="AHP196" s="1056"/>
      <c r="AHQ196" s="1056"/>
      <c r="AHR196" s="1056"/>
      <c r="AHS196" s="1056"/>
      <c r="AHT196" s="1056"/>
      <c r="AHU196" s="1056"/>
      <c r="AHV196" s="1056"/>
      <c r="AHW196" s="1056"/>
      <c r="AHX196" s="1056"/>
      <c r="AHY196" s="1056"/>
      <c r="AHZ196" s="1056"/>
      <c r="AIA196" s="1056"/>
      <c r="AIB196" s="1056"/>
      <c r="AIC196" s="1056"/>
      <c r="AID196" s="1056"/>
      <c r="AIE196" s="1056"/>
      <c r="AIF196" s="1056"/>
      <c r="AIG196" s="1056"/>
      <c r="AIH196" s="1056"/>
      <c r="AII196" s="1056"/>
      <c r="AIJ196" s="1056"/>
      <c r="AIK196" s="1056"/>
      <c r="AIL196" s="1056"/>
      <c r="AIM196" s="1056"/>
      <c r="AIN196" s="1056"/>
      <c r="AIO196" s="1056"/>
      <c r="AIP196" s="1056"/>
      <c r="AIQ196" s="1056"/>
      <c r="AIR196" s="1056"/>
      <c r="AIS196" s="1056"/>
      <c r="AIT196" s="1056"/>
      <c r="AIU196" s="1056"/>
      <c r="AIV196" s="1056"/>
      <c r="AIW196" s="1056"/>
      <c r="AIX196" s="1056"/>
      <c r="AIY196" s="1056"/>
      <c r="AIZ196" s="1056"/>
      <c r="AJA196" s="1056"/>
      <c r="AJB196" s="1056"/>
      <c r="AJC196" s="1056"/>
      <c r="AJD196" s="1056"/>
      <c r="AJE196" s="1056"/>
      <c r="AJF196" s="1056"/>
      <c r="AJG196" s="1056"/>
      <c r="AJH196" s="1056"/>
      <c r="AJI196" s="1056"/>
      <c r="AJJ196" s="1056"/>
      <c r="AJK196" s="1056"/>
      <c r="AJL196" s="1056"/>
      <c r="AJM196" s="1056"/>
      <c r="AJN196" s="1056"/>
      <c r="AJO196" s="1056"/>
      <c r="AJP196" s="1056"/>
      <c r="AJQ196" s="1056"/>
      <c r="AJR196" s="1056"/>
      <c r="AJS196" s="1056"/>
      <c r="AJT196" s="1056"/>
      <c r="AJU196" s="1056"/>
      <c r="AJV196" s="1056"/>
      <c r="AJW196" s="1056"/>
      <c r="AJX196" s="1056"/>
      <c r="AJY196" s="1056"/>
      <c r="AJZ196" s="1056"/>
      <c r="AKA196" s="1056"/>
      <c r="AKB196" s="1056"/>
      <c r="AKC196" s="1056"/>
      <c r="AKD196" s="1056"/>
      <c r="AKE196" s="1056"/>
      <c r="AKF196" s="1056"/>
      <c r="AKG196" s="1056"/>
      <c r="AKH196" s="1056"/>
      <c r="AKI196" s="1056"/>
      <c r="AKJ196" s="1056"/>
      <c r="AKK196" s="1056"/>
      <c r="AKL196" s="1056"/>
      <c r="AKM196" s="1056"/>
      <c r="AKN196" s="1056"/>
      <c r="AKO196" s="1056"/>
      <c r="AKP196" s="1056"/>
      <c r="AKQ196" s="1056"/>
      <c r="AKR196" s="1056"/>
      <c r="AKS196" s="1056"/>
      <c r="AKT196" s="1056"/>
      <c r="AKU196" s="1056"/>
      <c r="AKV196" s="1056"/>
      <c r="AKW196" s="1056"/>
      <c r="AKX196" s="1056"/>
      <c r="AKY196" s="1056"/>
      <c r="AKZ196" s="1056"/>
      <c r="ALA196" s="1056"/>
      <c r="ALB196" s="1056"/>
      <c r="ALC196" s="1056"/>
      <c r="ALD196" s="1056"/>
      <c r="ALE196" s="1056"/>
      <c r="ALF196" s="1056"/>
      <c r="ALG196" s="1056"/>
      <c r="ALH196" s="1056"/>
      <c r="ALI196" s="1056"/>
      <c r="ALJ196" s="1056"/>
      <c r="ALK196" s="1056"/>
      <c r="ALL196" s="1056"/>
      <c r="ALM196" s="1056"/>
      <c r="ALN196" s="1056"/>
      <c r="ALO196" s="1056"/>
      <c r="ALP196" s="1056"/>
      <c r="ALQ196" s="1056"/>
      <c r="ALR196" s="1056"/>
      <c r="ALS196" s="1056"/>
      <c r="ALT196" s="1056"/>
      <c r="ALU196" s="1056"/>
      <c r="ALV196" s="1056"/>
      <c r="ALW196" s="1056"/>
      <c r="ALX196" s="1056"/>
      <c r="ALY196" s="1056"/>
      <c r="ALZ196" s="1056"/>
      <c r="AMA196" s="1056"/>
      <c r="AMB196" s="1056"/>
      <c r="AMC196" s="1056"/>
      <c r="AMD196" s="1056"/>
      <c r="AME196" s="1056"/>
      <c r="AMF196" s="1056"/>
      <c r="AMG196" s="1056"/>
      <c r="AMH196" s="1056"/>
      <c r="AMI196" s="1056"/>
      <c r="AMJ196" s="1056"/>
      <c r="AMK196" s="1056"/>
      <c r="AML196" s="1056"/>
      <c r="AMM196" s="1056"/>
      <c r="AMN196" s="1056"/>
      <c r="AMO196" s="1056"/>
      <c r="AMP196" s="1056"/>
      <c r="AMQ196" s="1056"/>
      <c r="AMR196" s="1056"/>
      <c r="AMS196" s="1056"/>
      <c r="AMT196" s="1056"/>
      <c r="AMU196" s="1056"/>
      <c r="AMV196" s="1056"/>
      <c r="AMW196" s="1056"/>
      <c r="AMX196" s="1056"/>
      <c r="AMY196" s="1056"/>
      <c r="AMZ196" s="1056"/>
      <c r="ANA196" s="1056"/>
      <c r="ANB196" s="1056"/>
      <c r="ANC196" s="1056"/>
      <c r="AND196" s="1056"/>
      <c r="ANE196" s="1056"/>
      <c r="ANF196" s="1056"/>
      <c r="ANG196" s="1056"/>
      <c r="ANH196" s="1056"/>
      <c r="ANI196" s="1056"/>
      <c r="ANJ196" s="1056"/>
      <c r="ANK196" s="1056"/>
      <c r="ANL196" s="1056"/>
      <c r="ANM196" s="1056"/>
      <c r="ANN196" s="1056"/>
      <c r="ANO196" s="1056"/>
      <c r="ANP196" s="1056"/>
      <c r="ANQ196" s="1056"/>
      <c r="ANR196" s="1056"/>
      <c r="ANS196" s="1056"/>
      <c r="ANT196" s="1056"/>
      <c r="ANU196" s="1056"/>
      <c r="ANV196" s="1056"/>
      <c r="ANW196" s="1056"/>
      <c r="ANX196" s="1056"/>
      <c r="ANY196" s="1056"/>
      <c r="ANZ196" s="1056"/>
      <c r="AOA196" s="1056"/>
      <c r="AOB196" s="1056"/>
      <c r="AOC196" s="1056"/>
      <c r="AOD196" s="1056"/>
      <c r="AOE196" s="1056"/>
      <c r="AOF196" s="1056"/>
      <c r="AOG196" s="1056"/>
      <c r="AOH196" s="1056"/>
      <c r="AOI196" s="1056"/>
      <c r="AOJ196" s="1056"/>
      <c r="AOK196" s="1056"/>
      <c r="AOL196" s="1056"/>
      <c r="AOM196" s="1056"/>
      <c r="AON196" s="1056"/>
      <c r="AOO196" s="1056"/>
      <c r="AOP196" s="1056"/>
      <c r="AOQ196" s="1056"/>
      <c r="AOR196" s="1056"/>
      <c r="AOS196" s="1056"/>
      <c r="AOT196" s="1056"/>
      <c r="AOU196" s="1056"/>
      <c r="AOV196" s="1056"/>
      <c r="AOW196" s="1056"/>
      <c r="AOX196" s="1056"/>
      <c r="AOY196" s="1056"/>
      <c r="AOZ196" s="1056"/>
      <c r="APA196" s="1056"/>
      <c r="APB196" s="1056"/>
      <c r="APC196" s="1056"/>
      <c r="APD196" s="1056"/>
      <c r="APE196" s="1056"/>
      <c r="APF196" s="1056"/>
      <c r="APG196" s="1056"/>
      <c r="APH196" s="1056"/>
      <c r="API196" s="1056"/>
      <c r="APJ196" s="1056"/>
      <c r="APK196" s="1056"/>
      <c r="APL196" s="1056"/>
      <c r="APM196" s="1056"/>
      <c r="APN196" s="1056"/>
      <c r="APO196" s="1056"/>
      <c r="APP196" s="1056"/>
      <c r="APQ196" s="1056"/>
      <c r="APR196" s="1056"/>
      <c r="APS196" s="1056"/>
      <c r="APT196" s="1056"/>
      <c r="APU196" s="1056"/>
      <c r="APV196" s="1056"/>
      <c r="APW196" s="1056"/>
      <c r="APX196" s="1056"/>
      <c r="APY196" s="1056"/>
      <c r="APZ196" s="1056"/>
      <c r="AQA196" s="1056"/>
      <c r="AQB196" s="1056"/>
      <c r="AQC196" s="1056"/>
      <c r="AQD196" s="1056"/>
      <c r="AQE196" s="1056"/>
      <c r="AQF196" s="1056"/>
      <c r="AQG196" s="1056"/>
      <c r="AQH196" s="1056"/>
      <c r="AQI196" s="1056"/>
      <c r="AQJ196" s="1056"/>
      <c r="AQK196" s="1056"/>
      <c r="AQL196" s="1056"/>
      <c r="AQM196" s="1056"/>
      <c r="AQN196" s="1056"/>
      <c r="AQO196" s="1056"/>
      <c r="AQP196" s="1056"/>
      <c r="AQQ196" s="1056"/>
      <c r="AQR196" s="1056"/>
      <c r="AQS196" s="1056"/>
      <c r="AQT196" s="1056"/>
      <c r="AQU196" s="1056"/>
      <c r="AQV196" s="1056"/>
      <c r="AQW196" s="1056"/>
      <c r="AQX196" s="1056"/>
      <c r="AQY196" s="1056"/>
      <c r="AQZ196" s="1056"/>
      <c r="ARA196" s="1056"/>
      <c r="ARB196" s="1056"/>
      <c r="ARC196" s="1056"/>
      <c r="ARD196" s="1056"/>
      <c r="ARE196" s="1056"/>
      <c r="ARF196" s="1056"/>
      <c r="ARG196" s="1056"/>
      <c r="ARH196" s="1056"/>
      <c r="ARI196" s="1056"/>
      <c r="ARJ196" s="1056"/>
      <c r="ARK196" s="1056"/>
      <c r="ARL196" s="1056"/>
      <c r="ARM196" s="1056"/>
      <c r="ARN196" s="1056"/>
      <c r="ARO196" s="1056"/>
      <c r="ARP196" s="1056"/>
      <c r="ARQ196" s="1056"/>
      <c r="ARR196" s="1056"/>
      <c r="ARS196" s="1056"/>
      <c r="ART196" s="1056"/>
      <c r="ARU196" s="1056"/>
      <c r="ARV196" s="1056"/>
      <c r="ARW196" s="1056"/>
      <c r="ARX196" s="1056"/>
      <c r="ARY196" s="1056"/>
      <c r="ARZ196" s="1056"/>
      <c r="ASA196" s="1056"/>
      <c r="ASB196" s="1056"/>
      <c r="ASC196" s="1056"/>
      <c r="ASD196" s="1056"/>
      <c r="ASE196" s="1056"/>
      <c r="ASF196" s="1056"/>
      <c r="ASG196" s="1056"/>
      <c r="ASH196" s="1056"/>
      <c r="ASI196" s="1056"/>
      <c r="ASJ196" s="1056"/>
      <c r="ASK196" s="1056"/>
      <c r="ASL196" s="1056"/>
      <c r="ASM196" s="1056"/>
      <c r="ASN196" s="1056"/>
      <c r="ASO196" s="1056"/>
      <c r="ASP196" s="1056"/>
      <c r="ASQ196" s="1056"/>
      <c r="ASR196" s="1056"/>
      <c r="ASS196" s="1056"/>
      <c r="AST196" s="1056"/>
      <c r="ASU196" s="1056"/>
      <c r="ASV196" s="1056"/>
      <c r="ASW196" s="1056"/>
      <c r="ASX196" s="1056"/>
      <c r="ASY196" s="1056"/>
      <c r="ASZ196" s="1056"/>
      <c r="ATA196" s="1056"/>
      <c r="ATB196" s="1056"/>
      <c r="ATC196" s="1056"/>
      <c r="ATD196" s="1056"/>
      <c r="ATE196" s="1056"/>
      <c r="ATF196" s="1056"/>
      <c r="ATG196" s="1056"/>
      <c r="ATH196" s="1056"/>
      <c r="ATI196" s="1056"/>
      <c r="ATJ196" s="1056"/>
      <c r="ATK196" s="1056"/>
      <c r="ATL196" s="1056"/>
      <c r="ATM196" s="1056"/>
      <c r="ATN196" s="1056"/>
      <c r="ATO196" s="1056"/>
      <c r="ATP196" s="1056"/>
      <c r="ATQ196" s="1056"/>
      <c r="ATR196" s="1056"/>
      <c r="ATS196" s="1056"/>
      <c r="ATT196" s="1056"/>
      <c r="ATU196" s="1056"/>
      <c r="ATV196" s="1056"/>
      <c r="ATW196" s="1056"/>
      <c r="ATX196" s="1056"/>
      <c r="ATY196" s="1056"/>
      <c r="ATZ196" s="1056"/>
      <c r="AUA196" s="1056"/>
      <c r="AUB196" s="1056"/>
      <c r="AUC196" s="1056"/>
      <c r="AUD196" s="1056"/>
      <c r="AUE196" s="1056"/>
      <c r="AUF196" s="1056"/>
      <c r="AUG196" s="1056"/>
      <c r="AUH196" s="1056"/>
      <c r="AUI196" s="1056"/>
      <c r="AUJ196" s="1056"/>
      <c r="AUK196" s="1056"/>
      <c r="AUL196" s="1056"/>
      <c r="AUM196" s="1056"/>
      <c r="AUN196" s="1056"/>
      <c r="AUO196" s="1056"/>
      <c r="AUP196" s="1056"/>
      <c r="AUQ196" s="1056"/>
      <c r="AUR196" s="1056"/>
      <c r="AUS196" s="1056"/>
      <c r="AUT196" s="1056"/>
      <c r="AUU196" s="1056"/>
      <c r="AUV196" s="1056"/>
      <c r="AUW196" s="1056"/>
      <c r="AUX196" s="1056"/>
      <c r="AUY196" s="1056"/>
      <c r="AUZ196" s="1056"/>
      <c r="AVA196" s="1056"/>
      <c r="AVB196" s="1056"/>
      <c r="AVC196" s="1056"/>
      <c r="AVD196" s="1056"/>
      <c r="AVE196" s="1056"/>
      <c r="AVF196" s="1056"/>
      <c r="AVG196" s="1056"/>
      <c r="AVH196" s="1056"/>
      <c r="AVI196" s="1056"/>
      <c r="AVJ196" s="1056"/>
      <c r="AVK196" s="1056"/>
      <c r="AVL196" s="1056"/>
      <c r="AVM196" s="1056"/>
      <c r="AVN196" s="1056"/>
      <c r="AVO196" s="1056"/>
      <c r="AVP196" s="1056"/>
      <c r="AVQ196" s="1056"/>
      <c r="AVR196" s="1056"/>
      <c r="AVS196" s="1056"/>
      <c r="AVT196" s="1056"/>
      <c r="AVU196" s="1056"/>
      <c r="AVV196" s="1056"/>
      <c r="AVW196" s="1056"/>
      <c r="AVX196" s="1056"/>
      <c r="AVY196" s="1056"/>
      <c r="AVZ196" s="1056"/>
      <c r="AWA196" s="1056"/>
      <c r="AWB196" s="1056"/>
      <c r="AWC196" s="1056"/>
      <c r="AWD196" s="1056"/>
      <c r="AWE196" s="1056"/>
      <c r="AWF196" s="1056"/>
      <c r="AWG196" s="1056"/>
      <c r="AWH196" s="1056"/>
      <c r="AWI196" s="1056"/>
      <c r="AWJ196" s="1056"/>
      <c r="AWK196" s="1056"/>
      <c r="AWL196" s="1056"/>
      <c r="AWM196" s="1056"/>
      <c r="AWN196" s="1056"/>
      <c r="AWO196" s="1056"/>
      <c r="AWP196" s="1056"/>
      <c r="AWQ196" s="1056"/>
      <c r="AWR196" s="1056"/>
      <c r="AWS196" s="1056"/>
      <c r="AWT196" s="1056"/>
      <c r="AWU196" s="1056"/>
      <c r="AWV196" s="1056"/>
      <c r="AWW196" s="1056"/>
      <c r="AWX196" s="1056"/>
      <c r="AWY196" s="1056"/>
      <c r="AWZ196" s="1056"/>
      <c r="AXA196" s="1056"/>
      <c r="AXB196" s="1056"/>
      <c r="AXC196" s="1056"/>
      <c r="AXD196" s="1056"/>
      <c r="AXE196" s="1056"/>
      <c r="AXF196" s="1056"/>
      <c r="AXG196" s="1056"/>
      <c r="AXH196" s="1056"/>
      <c r="AXI196" s="1056"/>
      <c r="AXJ196" s="1056"/>
      <c r="AXK196" s="1056"/>
      <c r="AXL196" s="1056"/>
      <c r="AXM196" s="1056"/>
      <c r="AXN196" s="1056"/>
      <c r="AXO196" s="1056"/>
      <c r="AXP196" s="1056"/>
      <c r="AXQ196" s="1056"/>
      <c r="AXR196" s="1056"/>
      <c r="AXS196" s="1056"/>
      <c r="AXT196" s="1056"/>
      <c r="AXU196" s="1056"/>
      <c r="AXV196" s="1056"/>
      <c r="AXW196" s="1056"/>
      <c r="AXX196" s="1056"/>
      <c r="AXY196" s="1056"/>
      <c r="AXZ196" s="1056"/>
      <c r="AYA196" s="1056"/>
      <c r="AYB196" s="1056"/>
      <c r="AYC196" s="1056"/>
      <c r="AYD196" s="1056"/>
      <c r="AYE196" s="1056"/>
      <c r="AYF196" s="1056"/>
      <c r="AYG196" s="1056"/>
      <c r="AYH196" s="1056"/>
      <c r="AYI196" s="1056"/>
      <c r="AYJ196" s="1056"/>
      <c r="AYK196" s="1056"/>
      <c r="AYL196" s="1056"/>
      <c r="AYM196" s="1056"/>
      <c r="AYN196" s="1056"/>
      <c r="AYO196" s="1056"/>
      <c r="AYP196" s="1056"/>
      <c r="AYQ196" s="1056"/>
      <c r="AYR196" s="1056"/>
      <c r="AYS196" s="1056"/>
      <c r="AYT196" s="1056"/>
      <c r="AYU196" s="1056"/>
      <c r="AYV196" s="1056"/>
      <c r="AYW196" s="1056"/>
      <c r="AYX196" s="1056"/>
      <c r="AYY196" s="1056"/>
      <c r="AYZ196" s="1056"/>
      <c r="AZA196" s="1056"/>
      <c r="AZB196" s="1056"/>
      <c r="AZC196" s="1056"/>
      <c r="AZD196" s="1056"/>
      <c r="AZE196" s="1056"/>
      <c r="AZF196" s="1056"/>
      <c r="AZG196" s="1056"/>
      <c r="AZH196" s="1056"/>
      <c r="AZI196" s="1056"/>
      <c r="AZJ196" s="1056"/>
      <c r="AZK196" s="1056"/>
      <c r="AZL196" s="1056"/>
      <c r="AZM196" s="1056"/>
      <c r="AZN196" s="1056"/>
      <c r="AZO196" s="1056"/>
      <c r="AZP196" s="1056"/>
      <c r="AZQ196" s="1056"/>
      <c r="AZR196" s="1056"/>
      <c r="AZS196" s="1056"/>
      <c r="AZT196" s="1056"/>
      <c r="AZU196" s="1056"/>
      <c r="AZV196" s="1056"/>
      <c r="AZW196" s="1056"/>
      <c r="AZX196" s="1056"/>
      <c r="AZY196" s="1056"/>
      <c r="AZZ196" s="1056"/>
      <c r="BAA196" s="1056"/>
      <c r="BAB196" s="1056"/>
      <c r="BAC196" s="1056"/>
      <c r="BAD196" s="1056"/>
      <c r="BAE196" s="1056"/>
      <c r="BAF196" s="1056"/>
      <c r="BAG196" s="1056"/>
      <c r="BAH196" s="1056"/>
      <c r="BAI196" s="1056"/>
      <c r="BAJ196" s="1056"/>
      <c r="BAK196" s="1056"/>
      <c r="BAL196" s="1056"/>
      <c r="BAM196" s="1056"/>
      <c r="BAN196" s="1056"/>
      <c r="BAO196" s="1056"/>
      <c r="BAP196" s="1056"/>
      <c r="BAQ196" s="1056"/>
      <c r="BAR196" s="1056"/>
      <c r="BAS196" s="1056"/>
      <c r="BAT196" s="1056"/>
      <c r="BAU196" s="1056"/>
      <c r="BAV196" s="1056"/>
      <c r="BAW196" s="1056"/>
      <c r="BAX196" s="1056"/>
      <c r="BAY196" s="1056"/>
      <c r="BAZ196" s="1056"/>
      <c r="BBA196" s="1056"/>
      <c r="BBB196" s="1056"/>
      <c r="BBC196" s="1056"/>
      <c r="BBD196" s="1056"/>
      <c r="BBE196" s="1056"/>
      <c r="BBF196" s="1056"/>
      <c r="BBG196" s="1056"/>
      <c r="BBH196" s="1056"/>
      <c r="BBI196" s="1056"/>
      <c r="BBJ196" s="1056"/>
      <c r="BBK196" s="1056"/>
      <c r="BBL196" s="1056"/>
      <c r="BBM196" s="1056"/>
      <c r="BBN196" s="1056"/>
      <c r="BBO196" s="1056"/>
      <c r="BBP196" s="1056"/>
      <c r="BBQ196" s="1056"/>
      <c r="BBR196" s="1056"/>
      <c r="BBS196" s="1056"/>
      <c r="BBT196" s="1056"/>
      <c r="BBU196" s="1056"/>
      <c r="BBV196" s="1056"/>
      <c r="BBW196" s="1056"/>
      <c r="BBX196" s="1056"/>
      <c r="BBY196" s="1056"/>
      <c r="BBZ196" s="1056"/>
      <c r="BCA196" s="1056"/>
      <c r="BCB196" s="1056"/>
      <c r="BCC196" s="1056"/>
      <c r="BCD196" s="1056"/>
      <c r="BCE196" s="1056"/>
      <c r="BCF196" s="1056"/>
      <c r="BCG196" s="1056"/>
      <c r="BCH196" s="1056"/>
      <c r="BCI196" s="1056"/>
      <c r="BCJ196" s="1056"/>
      <c r="BCK196" s="1056"/>
      <c r="BCL196" s="1056"/>
      <c r="BCM196" s="1056"/>
      <c r="BCN196" s="1056"/>
      <c r="BCO196" s="1056"/>
      <c r="BCP196" s="1056"/>
      <c r="BCQ196" s="1056"/>
      <c r="BCR196" s="1056"/>
      <c r="BCS196" s="1056"/>
      <c r="BCT196" s="1056"/>
      <c r="BCU196" s="1056"/>
      <c r="BCV196" s="1056"/>
      <c r="BCW196" s="1056"/>
      <c r="BCX196" s="1056"/>
      <c r="BCY196" s="1056"/>
      <c r="BCZ196" s="1056"/>
      <c r="BDA196" s="1056"/>
      <c r="BDB196" s="1056"/>
      <c r="BDC196" s="1056"/>
      <c r="BDD196" s="1056"/>
      <c r="BDE196" s="1056"/>
      <c r="BDF196" s="1056"/>
      <c r="BDG196" s="1056"/>
      <c r="BDH196" s="1056"/>
      <c r="BDI196" s="1056"/>
      <c r="BDJ196" s="1056"/>
      <c r="BDK196" s="1056"/>
      <c r="BDL196" s="1056"/>
      <c r="BDM196" s="1056"/>
      <c r="BDN196" s="1056"/>
      <c r="BDO196" s="1056"/>
      <c r="BDP196" s="1056"/>
      <c r="BDQ196" s="1056"/>
      <c r="BDR196" s="1056"/>
      <c r="BDS196" s="1056"/>
      <c r="BDT196" s="1056"/>
      <c r="BDU196" s="1056"/>
      <c r="BDV196" s="1056"/>
      <c r="BDW196" s="1056"/>
      <c r="BDX196" s="1056"/>
      <c r="BDY196" s="1056"/>
      <c r="BDZ196" s="1056"/>
      <c r="BEA196" s="1056"/>
      <c r="BEB196" s="1056"/>
      <c r="BEC196" s="1056"/>
      <c r="BED196" s="1056"/>
      <c r="BEE196" s="1056"/>
      <c r="BEF196" s="1056"/>
      <c r="BEG196" s="1056"/>
      <c r="BEH196" s="1056"/>
      <c r="BEI196" s="1056"/>
      <c r="BEJ196" s="1056"/>
      <c r="BEK196" s="1056"/>
      <c r="BEL196" s="1056"/>
      <c r="BEM196" s="1056"/>
      <c r="BEN196" s="1056"/>
      <c r="BEO196" s="1056"/>
      <c r="BEP196" s="1056"/>
      <c r="BEQ196" s="1056"/>
      <c r="BER196" s="1056"/>
      <c r="BES196" s="1056"/>
      <c r="BET196" s="1056"/>
      <c r="BEU196" s="1056"/>
      <c r="BEV196" s="1056"/>
      <c r="BEW196" s="1056"/>
      <c r="BEX196" s="1056"/>
      <c r="BEY196" s="1056"/>
      <c r="BEZ196" s="1056"/>
      <c r="BFA196" s="1056"/>
      <c r="BFB196" s="1056"/>
      <c r="BFC196" s="1056"/>
      <c r="BFD196" s="1056"/>
      <c r="BFE196" s="1056"/>
      <c r="BFF196" s="1056"/>
      <c r="BFG196" s="1056"/>
      <c r="BFH196" s="1056"/>
      <c r="BFI196" s="1056"/>
      <c r="BFJ196" s="1056"/>
      <c r="BFK196" s="1056"/>
      <c r="BFL196" s="1056"/>
      <c r="BFM196" s="1056"/>
      <c r="BFN196" s="1056"/>
      <c r="BFO196" s="1056"/>
      <c r="BFP196" s="1056"/>
      <c r="BFQ196" s="1056"/>
      <c r="BFR196" s="1056"/>
      <c r="BFS196" s="1056"/>
      <c r="BFT196" s="1056"/>
      <c r="BFU196" s="1056"/>
      <c r="BFV196" s="1056"/>
      <c r="BFW196" s="1056"/>
      <c r="BFX196" s="1056"/>
      <c r="BFY196" s="1056"/>
      <c r="BFZ196" s="1056"/>
      <c r="BGA196" s="1056"/>
      <c r="BGB196" s="1056"/>
      <c r="BGC196" s="1056"/>
      <c r="BGD196" s="1056"/>
      <c r="BGE196" s="1056"/>
      <c r="BGF196" s="1056"/>
      <c r="BGG196" s="1056"/>
      <c r="BGH196" s="1056"/>
      <c r="BGI196" s="1056"/>
      <c r="BGJ196" s="1056"/>
      <c r="BGK196" s="1056"/>
      <c r="BGL196" s="1056"/>
      <c r="BGM196" s="1056"/>
      <c r="BGN196" s="1056"/>
      <c r="BGO196" s="1056"/>
      <c r="BGP196" s="1056"/>
      <c r="BGQ196" s="1056"/>
      <c r="BGR196" s="1056"/>
      <c r="BGS196" s="1056"/>
      <c r="BGT196" s="1056"/>
      <c r="BGU196" s="1056"/>
      <c r="BGV196" s="1056"/>
      <c r="BGW196" s="1056"/>
      <c r="BGX196" s="1056"/>
      <c r="BGY196" s="1056"/>
      <c r="BGZ196" s="1056"/>
      <c r="BHA196" s="1056"/>
      <c r="BHB196" s="1056"/>
      <c r="BHC196" s="1056"/>
      <c r="BHD196" s="1056"/>
      <c r="BHE196" s="1056"/>
      <c r="BHF196" s="1056"/>
      <c r="BHG196" s="1056"/>
      <c r="BHH196" s="1056"/>
      <c r="BHI196" s="1056"/>
      <c r="BHJ196" s="1056"/>
      <c r="BHK196" s="1056"/>
      <c r="BHL196" s="1056"/>
      <c r="BHM196" s="1056"/>
      <c r="BHN196" s="1056"/>
      <c r="BHO196" s="1056"/>
      <c r="BHP196" s="1056"/>
      <c r="BHQ196" s="1056"/>
      <c r="BHR196" s="1056"/>
      <c r="BHS196" s="1056"/>
      <c r="BHT196" s="1056"/>
      <c r="BHU196" s="1056"/>
      <c r="BHV196" s="1056"/>
      <c r="BHW196" s="1056"/>
      <c r="BHX196" s="1056"/>
      <c r="BHY196" s="1056"/>
      <c r="BHZ196" s="1056"/>
      <c r="BIA196" s="1056"/>
      <c r="BIB196" s="1056"/>
      <c r="BIC196" s="1056"/>
      <c r="BID196" s="1056"/>
      <c r="BIE196" s="1056"/>
      <c r="BIF196" s="1056"/>
      <c r="BIG196" s="1056"/>
      <c r="BIH196" s="1056"/>
      <c r="BII196" s="1056"/>
      <c r="BIJ196" s="1056"/>
      <c r="BIK196" s="1056"/>
      <c r="BIL196" s="1056"/>
      <c r="BIM196" s="1056"/>
      <c r="BIN196" s="1056"/>
      <c r="BIO196" s="1056"/>
      <c r="BIP196" s="1056"/>
      <c r="BIQ196" s="1056"/>
      <c r="BIR196" s="1056"/>
      <c r="BIS196" s="1056"/>
      <c r="BIT196" s="1056"/>
      <c r="BIU196" s="1056"/>
      <c r="BIV196" s="1056"/>
      <c r="BIW196" s="1056"/>
      <c r="BIX196" s="1056"/>
      <c r="BIY196" s="1056"/>
      <c r="BIZ196" s="1056"/>
      <c r="BJA196" s="1056"/>
      <c r="BJB196" s="1056"/>
      <c r="BJC196" s="1056"/>
      <c r="BJD196" s="1056"/>
      <c r="BJE196" s="1056"/>
      <c r="BJF196" s="1056"/>
      <c r="BJG196" s="1056"/>
      <c r="BJH196" s="1056"/>
      <c r="BJI196" s="1056"/>
      <c r="BJJ196" s="1056"/>
      <c r="BJK196" s="1056"/>
      <c r="BJL196" s="1056"/>
      <c r="BJM196" s="1056"/>
      <c r="BJN196" s="1056"/>
      <c r="BJO196" s="1056"/>
      <c r="BJP196" s="1056"/>
      <c r="BJQ196" s="1056"/>
      <c r="BJR196" s="1056"/>
      <c r="BJS196" s="1056"/>
      <c r="BJT196" s="1056"/>
      <c r="BJU196" s="1056"/>
      <c r="BJV196" s="1056"/>
      <c r="BJW196" s="1056"/>
      <c r="BJX196" s="1056"/>
      <c r="BJY196" s="1056"/>
      <c r="BJZ196" s="1056"/>
      <c r="BKA196" s="1056"/>
      <c r="BKB196" s="1056"/>
      <c r="BKC196" s="1056"/>
      <c r="BKD196" s="1056"/>
      <c r="BKE196" s="1056"/>
      <c r="BKF196" s="1056"/>
      <c r="BKG196" s="1056"/>
      <c r="BKH196" s="1056"/>
      <c r="BKI196" s="1056"/>
      <c r="BKJ196" s="1056"/>
      <c r="BKK196" s="1056"/>
      <c r="BKL196" s="1056"/>
      <c r="BKM196" s="1056"/>
      <c r="BKN196" s="1056"/>
      <c r="BKO196" s="1056"/>
      <c r="BKP196" s="1056"/>
      <c r="BKQ196" s="1056"/>
      <c r="BKR196" s="1056"/>
      <c r="BKS196" s="1056"/>
      <c r="BKT196" s="1056"/>
      <c r="BKU196" s="1056"/>
      <c r="BKV196" s="1056"/>
      <c r="BKW196" s="1056"/>
      <c r="BKX196" s="1056"/>
      <c r="BKY196" s="1056"/>
      <c r="BKZ196" s="1056"/>
      <c r="BLA196" s="1056"/>
      <c r="BLB196" s="1056"/>
      <c r="BLC196" s="1056"/>
      <c r="BLD196" s="1056"/>
      <c r="BLE196" s="1056"/>
      <c r="BLF196" s="1056"/>
      <c r="BLG196" s="1056"/>
      <c r="BLH196" s="1056"/>
      <c r="BLI196" s="1056"/>
      <c r="BLJ196" s="1056"/>
      <c r="BLK196" s="1056"/>
      <c r="BLL196" s="1056"/>
      <c r="BLM196" s="1056"/>
      <c r="BLN196" s="1056"/>
      <c r="BLO196" s="1056"/>
      <c r="BLP196" s="1056"/>
      <c r="BLQ196" s="1056"/>
      <c r="BLR196" s="1056"/>
      <c r="BLS196" s="1056"/>
      <c r="BLT196" s="1056"/>
      <c r="BLU196" s="1056"/>
      <c r="BLV196" s="1056"/>
      <c r="BLW196" s="1056"/>
      <c r="BLX196" s="1056"/>
      <c r="BLY196" s="1056"/>
      <c r="BLZ196" s="1056"/>
      <c r="BMA196" s="1056"/>
      <c r="BMB196" s="1056"/>
      <c r="BMC196" s="1056"/>
      <c r="BMD196" s="1056"/>
      <c r="BME196" s="1056"/>
      <c r="BMF196" s="1056"/>
      <c r="BMG196" s="1056"/>
      <c r="BMH196" s="1056"/>
      <c r="BMI196" s="1056"/>
      <c r="BMJ196" s="1056"/>
      <c r="BMK196" s="1056"/>
      <c r="BML196" s="1056"/>
      <c r="BMM196" s="1056"/>
      <c r="BMN196" s="1056"/>
      <c r="BMO196" s="1056"/>
      <c r="BMP196" s="1056"/>
      <c r="BMQ196" s="1056"/>
      <c r="BMR196" s="1056"/>
      <c r="BMS196" s="1056"/>
      <c r="BMT196" s="1056"/>
      <c r="BMU196" s="1056"/>
      <c r="BMV196" s="1056"/>
      <c r="BMW196" s="1056"/>
      <c r="BMX196" s="1056"/>
      <c r="BMY196" s="1056"/>
      <c r="BMZ196" s="1056"/>
      <c r="BNA196" s="1056"/>
      <c r="BNB196" s="1056"/>
      <c r="BNC196" s="1056"/>
      <c r="BND196" s="1056"/>
      <c r="BNE196" s="1056"/>
      <c r="BNF196" s="1056"/>
      <c r="BNG196" s="1056"/>
      <c r="BNH196" s="1056"/>
      <c r="BNI196" s="1056"/>
      <c r="BNJ196" s="1056"/>
      <c r="BNK196" s="1056"/>
      <c r="BNL196" s="1056"/>
      <c r="BNM196" s="1056"/>
      <c r="BNN196" s="1056"/>
      <c r="BNO196" s="1056"/>
      <c r="BNP196" s="1056"/>
      <c r="BNQ196" s="1056"/>
      <c r="BNR196" s="1056"/>
      <c r="BNS196" s="1056"/>
      <c r="BNT196" s="1056"/>
      <c r="BNU196" s="1056"/>
      <c r="BNV196" s="1056"/>
      <c r="BNW196" s="1056"/>
      <c r="BNX196" s="1056"/>
      <c r="BNY196" s="1056"/>
      <c r="BNZ196" s="1056"/>
      <c r="BOA196" s="1056"/>
      <c r="BOB196" s="1056"/>
      <c r="BOC196" s="1056"/>
      <c r="BOD196" s="1056"/>
      <c r="BOE196" s="1056"/>
      <c r="BOF196" s="1056"/>
      <c r="BOG196" s="1056"/>
      <c r="BOH196" s="1056"/>
      <c r="BOI196" s="1056"/>
      <c r="BOJ196" s="1056"/>
      <c r="BOK196" s="1056"/>
      <c r="BOL196" s="1056"/>
      <c r="BOM196" s="1056"/>
      <c r="BON196" s="1056"/>
      <c r="BOO196" s="1056"/>
      <c r="BOP196" s="1056"/>
      <c r="BOQ196" s="1056"/>
      <c r="BOR196" s="1056"/>
      <c r="BOS196" s="1056"/>
      <c r="BOT196" s="1056"/>
      <c r="BOU196" s="1056"/>
      <c r="BOV196" s="1056"/>
      <c r="BOW196" s="1056"/>
      <c r="BOX196" s="1056"/>
      <c r="BOY196" s="1056"/>
      <c r="BOZ196" s="1056"/>
      <c r="BPA196" s="1056"/>
      <c r="BPB196" s="1056"/>
      <c r="BPC196" s="1056"/>
      <c r="BPD196" s="1056"/>
      <c r="BPE196" s="1056"/>
      <c r="BPF196" s="1056"/>
      <c r="BPG196" s="1056"/>
      <c r="BPH196" s="1056"/>
      <c r="BPI196" s="1056"/>
      <c r="BPJ196" s="1056"/>
      <c r="BPK196" s="1056"/>
      <c r="BPL196" s="1056"/>
      <c r="BPM196" s="1056"/>
      <c r="BPN196" s="1056"/>
      <c r="BPO196" s="1056"/>
      <c r="BPP196" s="1056"/>
      <c r="BPQ196" s="1056"/>
      <c r="BPR196" s="1056"/>
      <c r="BPS196" s="1056"/>
      <c r="BPT196" s="1056"/>
      <c r="BPU196" s="1056"/>
      <c r="BPV196" s="1056"/>
      <c r="BPW196" s="1056"/>
      <c r="BPX196" s="1056"/>
      <c r="BPY196" s="1056"/>
      <c r="BPZ196" s="1056"/>
      <c r="BQA196" s="1056"/>
      <c r="BQB196" s="1056"/>
      <c r="BQC196" s="1056"/>
      <c r="BQD196" s="1056"/>
      <c r="BQE196" s="1056"/>
      <c r="BQF196" s="1056"/>
      <c r="BQG196" s="1056"/>
      <c r="BQH196" s="1056"/>
      <c r="BQI196" s="1056"/>
      <c r="BQJ196" s="1056"/>
      <c r="BQK196" s="1056"/>
      <c r="BQL196" s="1056"/>
      <c r="BQM196" s="1056"/>
      <c r="BQN196" s="1056"/>
      <c r="BQO196" s="1056"/>
      <c r="BQP196" s="1056"/>
      <c r="BQQ196" s="1056"/>
      <c r="BQR196" s="1056"/>
      <c r="BQS196" s="1056"/>
      <c r="BQT196" s="1056"/>
      <c r="BQU196" s="1056"/>
      <c r="BQV196" s="1056"/>
      <c r="BQW196" s="1056"/>
      <c r="BQX196" s="1056"/>
      <c r="BQY196" s="1056"/>
      <c r="BQZ196" s="1056"/>
      <c r="BRA196" s="1056"/>
      <c r="BRB196" s="1056"/>
      <c r="BRC196" s="1056"/>
      <c r="BRD196" s="1056"/>
      <c r="BRE196" s="1056"/>
      <c r="BRF196" s="1056"/>
      <c r="BRG196" s="1056"/>
      <c r="BRH196" s="1056"/>
      <c r="BRI196" s="1056"/>
      <c r="BRJ196" s="1056"/>
      <c r="BRK196" s="1056"/>
      <c r="BRL196" s="1056"/>
      <c r="BRM196" s="1056"/>
      <c r="BRN196" s="1056"/>
      <c r="BRO196" s="1056"/>
      <c r="BRP196" s="1056"/>
      <c r="BRQ196" s="1056"/>
      <c r="BRR196" s="1056"/>
      <c r="BRS196" s="1056"/>
      <c r="BRT196" s="1056"/>
      <c r="BRU196" s="1056"/>
      <c r="BRV196" s="1056"/>
      <c r="BRW196" s="1056"/>
      <c r="BRX196" s="1056"/>
      <c r="BRY196" s="1056"/>
      <c r="BRZ196" s="1056"/>
      <c r="BSA196" s="1056"/>
      <c r="BSB196" s="1056"/>
      <c r="BSC196" s="1056"/>
      <c r="BSD196" s="1056"/>
      <c r="BSE196" s="1056"/>
      <c r="BSF196" s="1056"/>
      <c r="BSG196" s="1056"/>
      <c r="BSH196" s="1056"/>
      <c r="BSI196" s="1056"/>
      <c r="BSJ196" s="1056"/>
      <c r="BSK196" s="1056"/>
      <c r="BSL196" s="1056"/>
      <c r="BSM196" s="1056"/>
      <c r="BSN196" s="1056"/>
      <c r="BSO196" s="1056"/>
      <c r="BSP196" s="1056"/>
      <c r="BSQ196" s="1056"/>
      <c r="BSR196" s="1056"/>
      <c r="BSS196" s="1056"/>
      <c r="BST196" s="1056"/>
      <c r="BSU196" s="1056"/>
      <c r="BSV196" s="1056"/>
      <c r="BSW196" s="1056"/>
      <c r="BSX196" s="1056"/>
      <c r="BSY196" s="1056"/>
      <c r="BSZ196" s="1056"/>
      <c r="BTA196" s="1056"/>
      <c r="BTB196" s="1056"/>
      <c r="BTC196" s="1056"/>
      <c r="BTD196" s="1056"/>
      <c r="BTE196" s="1056"/>
      <c r="BTF196" s="1056"/>
      <c r="BTG196" s="1056"/>
      <c r="BTH196" s="1056"/>
      <c r="BTI196" s="1056"/>
    </row>
    <row r="197" spans="1:1881" s="1060" customFormat="1" ht="84.75" hidden="1" customHeight="1" x14ac:dyDescent="0.3">
      <c r="A197" s="1059">
        <v>366</v>
      </c>
      <c r="B197" s="808" t="s">
        <v>66</v>
      </c>
      <c r="C197" s="808" t="s">
        <v>1422</v>
      </c>
      <c r="D197" s="746" t="s">
        <v>1427</v>
      </c>
      <c r="E197" s="1053" t="e">
        <f>HLOOKUP($D$2,'2020 Data(H)'!$C$1:$AI$426,127,FALSE)</f>
        <v>#N/A</v>
      </c>
      <c r="F197" s="286">
        <v>0</v>
      </c>
      <c r="G197" s="722">
        <f t="shared" si="2"/>
        <v>0</v>
      </c>
      <c r="H197" s="764"/>
      <c r="I197" s="1055"/>
      <c r="J197" s="1056"/>
      <c r="K197" s="1056"/>
      <c r="L197" s="1056"/>
      <c r="M197" s="1056"/>
      <c r="N197" s="1058"/>
      <c r="O197" s="1056"/>
      <c r="P197" s="1056"/>
      <c r="Q197" s="1056"/>
      <c r="R197" s="1056"/>
      <c r="S197" s="1056"/>
      <c r="T197" s="1056"/>
      <c r="U197" s="1056"/>
      <c r="V197" s="1056"/>
      <c r="W197" s="1056"/>
      <c r="X197" s="1056"/>
      <c r="Y197" s="1056"/>
      <c r="Z197" s="1059"/>
      <c r="AA197" s="1059"/>
      <c r="AB197" s="1059"/>
      <c r="AC197" s="1059"/>
      <c r="AD197" s="1059"/>
      <c r="AE197" s="1059"/>
      <c r="AF197" s="1059"/>
      <c r="AG197" s="1059"/>
      <c r="AH197" s="1059"/>
      <c r="AI197" s="1059"/>
      <c r="AJ197" s="1059"/>
      <c r="AK197" s="1059"/>
      <c r="AL197" s="1059"/>
      <c r="AM197" s="1059"/>
      <c r="AN197" s="1059"/>
      <c r="AO197" s="1059"/>
      <c r="AP197" s="1059"/>
      <c r="AQ197" s="1059"/>
      <c r="AR197" s="1059"/>
      <c r="AS197" s="1056"/>
      <c r="AT197" s="1056"/>
      <c r="AU197" s="1056"/>
      <c r="AV197" s="1056"/>
      <c r="AW197" s="1056"/>
      <c r="AX197" s="1056"/>
      <c r="AY197" s="1056"/>
      <c r="AZ197" s="1056"/>
      <c r="BA197" s="1056"/>
      <c r="BB197" s="1056"/>
      <c r="BC197" s="1056"/>
      <c r="BD197" s="1056"/>
      <c r="BE197" s="1056"/>
      <c r="BF197" s="1056"/>
      <c r="BG197" s="1056"/>
      <c r="BH197" s="1056"/>
      <c r="BI197" s="1056"/>
      <c r="BJ197" s="1056"/>
      <c r="BK197" s="1056"/>
      <c r="BL197" s="1056"/>
      <c r="BM197" s="1056"/>
      <c r="BN197" s="1056"/>
      <c r="BO197" s="1056"/>
      <c r="BP197" s="1056"/>
      <c r="BQ197" s="1056"/>
      <c r="BR197" s="1056"/>
      <c r="BS197" s="1056"/>
      <c r="BT197" s="1056"/>
      <c r="BU197" s="1056"/>
      <c r="BV197" s="1056"/>
      <c r="BW197" s="1056"/>
      <c r="BX197" s="1056"/>
      <c r="BY197" s="1056"/>
      <c r="BZ197" s="1056"/>
      <c r="CA197" s="1056"/>
      <c r="CB197" s="1056"/>
      <c r="CC197" s="1056"/>
      <c r="CD197" s="1056"/>
      <c r="CE197" s="1056"/>
      <c r="CF197" s="1056"/>
      <c r="CG197" s="1056"/>
      <c r="CH197" s="1056"/>
      <c r="CI197" s="1056"/>
      <c r="CJ197" s="1056"/>
      <c r="CK197" s="1056"/>
      <c r="CL197" s="1056"/>
      <c r="CM197" s="1056"/>
      <c r="CN197" s="1056"/>
      <c r="CO197" s="1056"/>
      <c r="CP197" s="1056"/>
      <c r="CQ197" s="1056"/>
      <c r="CR197" s="1056"/>
      <c r="CS197" s="1056"/>
      <c r="CT197" s="1056"/>
      <c r="CU197" s="1056"/>
      <c r="CV197" s="1056"/>
      <c r="CW197" s="1056"/>
      <c r="CX197" s="1056"/>
      <c r="CY197" s="1056"/>
      <c r="CZ197" s="1056"/>
      <c r="DA197" s="1056"/>
      <c r="DB197" s="1056"/>
      <c r="DC197" s="1056"/>
      <c r="DD197" s="1056"/>
      <c r="DE197" s="1056"/>
      <c r="DF197" s="1056"/>
      <c r="DG197" s="1056"/>
      <c r="DH197" s="1056"/>
      <c r="DI197" s="1056"/>
      <c r="DJ197" s="1056"/>
      <c r="DK197" s="1056"/>
      <c r="DL197" s="1056"/>
      <c r="DM197" s="1056"/>
      <c r="DN197" s="1056"/>
      <c r="DO197" s="1056"/>
      <c r="DP197" s="1056"/>
      <c r="DQ197" s="1056"/>
      <c r="DR197" s="1056"/>
      <c r="DS197" s="1056"/>
      <c r="DT197" s="1056"/>
      <c r="DU197" s="1056"/>
      <c r="DV197" s="1056"/>
      <c r="DW197" s="1056"/>
      <c r="DX197" s="1056"/>
      <c r="DY197" s="1056"/>
      <c r="DZ197" s="1056"/>
      <c r="EA197" s="1056"/>
      <c r="EB197" s="1056"/>
      <c r="EC197" s="1056"/>
      <c r="ED197" s="1056"/>
      <c r="EE197" s="1056"/>
      <c r="EF197" s="1056"/>
      <c r="EG197" s="1056"/>
      <c r="EH197" s="1056"/>
      <c r="EI197" s="1056"/>
      <c r="EJ197" s="1056"/>
      <c r="EK197" s="1056"/>
      <c r="EL197" s="1056"/>
      <c r="EM197" s="1056"/>
      <c r="EN197" s="1056"/>
      <c r="EO197" s="1056"/>
      <c r="EP197" s="1056"/>
      <c r="EQ197" s="1056"/>
      <c r="ER197" s="1056"/>
      <c r="ES197" s="1056"/>
      <c r="ET197" s="1056"/>
      <c r="EU197" s="1056"/>
      <c r="EV197" s="1056"/>
      <c r="EW197" s="1056"/>
      <c r="EX197" s="1056"/>
      <c r="EY197" s="1056"/>
      <c r="EZ197" s="1056"/>
      <c r="FA197" s="1056"/>
      <c r="FB197" s="1056"/>
      <c r="FC197" s="1056"/>
      <c r="FD197" s="1056"/>
      <c r="FE197" s="1056"/>
      <c r="FF197" s="1056"/>
      <c r="FG197" s="1056"/>
      <c r="FH197" s="1056"/>
      <c r="FI197" s="1056"/>
      <c r="FJ197" s="1056"/>
      <c r="FK197" s="1056"/>
      <c r="FL197" s="1056"/>
      <c r="FM197" s="1056"/>
      <c r="FN197" s="1056"/>
      <c r="FO197" s="1056"/>
      <c r="FP197" s="1056"/>
      <c r="FQ197" s="1056"/>
      <c r="FR197" s="1056"/>
      <c r="FS197" s="1056"/>
      <c r="FT197" s="1056"/>
      <c r="FU197" s="1056"/>
      <c r="FV197" s="1056"/>
      <c r="FW197" s="1056"/>
      <c r="FX197" s="1056"/>
      <c r="FY197" s="1056"/>
      <c r="FZ197" s="1056"/>
      <c r="GA197" s="1056"/>
      <c r="GB197" s="1056"/>
      <c r="GC197" s="1056"/>
      <c r="GD197" s="1056"/>
      <c r="GE197" s="1056"/>
      <c r="GF197" s="1056"/>
      <c r="GG197" s="1056"/>
      <c r="GH197" s="1056"/>
      <c r="GI197" s="1056"/>
      <c r="GJ197" s="1056"/>
      <c r="GK197" s="1056"/>
      <c r="GL197" s="1056"/>
      <c r="GM197" s="1056"/>
      <c r="GN197" s="1056"/>
      <c r="GO197" s="1056"/>
      <c r="GP197" s="1056"/>
      <c r="GQ197" s="1056"/>
      <c r="GR197" s="1056"/>
      <c r="GS197" s="1056"/>
      <c r="GT197" s="1056"/>
      <c r="GU197" s="1056"/>
      <c r="GV197" s="1056"/>
      <c r="GW197" s="1056"/>
      <c r="GX197" s="1056"/>
      <c r="GY197" s="1056"/>
      <c r="GZ197" s="1056"/>
      <c r="HA197" s="1056"/>
      <c r="HB197" s="1056"/>
      <c r="HC197" s="1056"/>
      <c r="HD197" s="1056"/>
      <c r="HE197" s="1056"/>
      <c r="HF197" s="1056"/>
      <c r="HG197" s="1056"/>
      <c r="HH197" s="1056"/>
      <c r="HI197" s="1056"/>
      <c r="HJ197" s="1056"/>
      <c r="HK197" s="1056"/>
      <c r="HL197" s="1056"/>
      <c r="HM197" s="1056"/>
      <c r="HN197" s="1056"/>
      <c r="HO197" s="1056"/>
      <c r="HP197" s="1056"/>
      <c r="HQ197" s="1056"/>
      <c r="HR197" s="1056"/>
      <c r="HS197" s="1056"/>
      <c r="HT197" s="1056"/>
      <c r="HU197" s="1056"/>
      <c r="HV197" s="1056"/>
      <c r="HW197" s="1056"/>
      <c r="HX197" s="1056"/>
      <c r="HY197" s="1056"/>
      <c r="HZ197" s="1056"/>
      <c r="IA197" s="1056"/>
      <c r="IB197" s="1056"/>
      <c r="IC197" s="1056"/>
      <c r="ID197" s="1056"/>
      <c r="IE197" s="1056"/>
      <c r="IF197" s="1056"/>
      <c r="IG197" s="1056"/>
      <c r="IH197" s="1056"/>
      <c r="II197" s="1056"/>
      <c r="IJ197" s="1056"/>
      <c r="IK197" s="1056"/>
      <c r="IL197" s="1056"/>
      <c r="IM197" s="1056"/>
      <c r="IN197" s="1056"/>
      <c r="IO197" s="1056"/>
      <c r="IP197" s="1056"/>
      <c r="IQ197" s="1056"/>
      <c r="IR197" s="1056"/>
      <c r="IS197" s="1056"/>
      <c r="IT197" s="1056"/>
      <c r="IU197" s="1056"/>
      <c r="IV197" s="1056"/>
      <c r="IW197" s="1056"/>
      <c r="IX197" s="1056"/>
      <c r="IY197" s="1056"/>
      <c r="IZ197" s="1056"/>
      <c r="JA197" s="1056"/>
      <c r="JB197" s="1056"/>
      <c r="JC197" s="1056"/>
      <c r="JD197" s="1056"/>
      <c r="JE197" s="1056"/>
      <c r="JF197" s="1056"/>
      <c r="JG197" s="1056"/>
      <c r="JH197" s="1056"/>
      <c r="JI197" s="1056"/>
      <c r="JJ197" s="1056"/>
      <c r="JK197" s="1056"/>
      <c r="JL197" s="1056"/>
      <c r="JM197" s="1056"/>
      <c r="JN197" s="1056"/>
      <c r="JO197" s="1056"/>
      <c r="JP197" s="1056"/>
      <c r="JQ197" s="1056"/>
      <c r="JR197" s="1056"/>
      <c r="JS197" s="1056"/>
      <c r="JT197" s="1056"/>
      <c r="JU197" s="1056"/>
      <c r="JV197" s="1056"/>
      <c r="JW197" s="1056"/>
      <c r="JX197" s="1056"/>
      <c r="JY197" s="1056"/>
      <c r="JZ197" s="1056"/>
      <c r="KA197" s="1056"/>
      <c r="KB197" s="1056"/>
      <c r="KC197" s="1056"/>
      <c r="KD197" s="1056"/>
      <c r="KE197" s="1056"/>
      <c r="KF197" s="1056"/>
      <c r="KG197" s="1056"/>
      <c r="KH197" s="1056"/>
      <c r="KI197" s="1056"/>
      <c r="KJ197" s="1056"/>
      <c r="KK197" s="1056"/>
      <c r="KL197" s="1056"/>
      <c r="KM197" s="1056"/>
      <c r="KN197" s="1056"/>
      <c r="KO197" s="1056"/>
      <c r="KP197" s="1056"/>
      <c r="KQ197" s="1056"/>
      <c r="KR197" s="1056"/>
      <c r="KS197" s="1056"/>
      <c r="KT197" s="1056"/>
      <c r="KU197" s="1056"/>
      <c r="KV197" s="1056"/>
      <c r="KW197" s="1056"/>
      <c r="KX197" s="1056"/>
      <c r="KY197" s="1056"/>
      <c r="KZ197" s="1056"/>
      <c r="LA197" s="1056"/>
      <c r="LB197" s="1056"/>
      <c r="LC197" s="1056"/>
      <c r="LD197" s="1056"/>
      <c r="LE197" s="1056"/>
      <c r="LF197" s="1056"/>
      <c r="LG197" s="1056"/>
      <c r="LH197" s="1056"/>
      <c r="LI197" s="1056"/>
      <c r="LJ197" s="1056"/>
      <c r="LK197" s="1056"/>
      <c r="LL197" s="1056"/>
      <c r="LM197" s="1056"/>
      <c r="LN197" s="1056"/>
      <c r="LO197" s="1056"/>
      <c r="LP197" s="1056"/>
      <c r="LQ197" s="1056"/>
      <c r="LR197" s="1056"/>
      <c r="LS197" s="1056"/>
      <c r="LT197" s="1056"/>
      <c r="LU197" s="1056"/>
      <c r="LV197" s="1056"/>
      <c r="LW197" s="1056"/>
      <c r="LX197" s="1056"/>
      <c r="LY197" s="1056"/>
      <c r="LZ197" s="1056"/>
      <c r="MA197" s="1056"/>
      <c r="MB197" s="1056"/>
      <c r="MC197" s="1056"/>
      <c r="MD197" s="1056"/>
      <c r="ME197" s="1056"/>
      <c r="MF197" s="1056"/>
      <c r="MG197" s="1056"/>
      <c r="MH197" s="1056"/>
      <c r="MI197" s="1056"/>
      <c r="MJ197" s="1056"/>
      <c r="MK197" s="1056"/>
      <c r="ML197" s="1056"/>
      <c r="MM197" s="1056"/>
      <c r="MN197" s="1056"/>
      <c r="MO197" s="1056"/>
      <c r="MP197" s="1056"/>
      <c r="MQ197" s="1056"/>
      <c r="MR197" s="1056"/>
      <c r="MS197" s="1056"/>
      <c r="MT197" s="1056"/>
      <c r="MU197" s="1056"/>
      <c r="MV197" s="1056"/>
      <c r="MW197" s="1056"/>
      <c r="MX197" s="1056"/>
      <c r="MY197" s="1056"/>
      <c r="MZ197" s="1056"/>
      <c r="NA197" s="1056"/>
      <c r="NB197" s="1056"/>
      <c r="NC197" s="1056"/>
      <c r="ND197" s="1056"/>
      <c r="NE197" s="1056"/>
      <c r="NF197" s="1056"/>
      <c r="NG197" s="1056"/>
      <c r="NH197" s="1056"/>
      <c r="NI197" s="1056"/>
      <c r="NJ197" s="1056"/>
      <c r="NK197" s="1056"/>
      <c r="NL197" s="1056"/>
      <c r="NM197" s="1056"/>
      <c r="NN197" s="1056"/>
      <c r="NO197" s="1056"/>
      <c r="NP197" s="1056"/>
      <c r="NQ197" s="1056"/>
      <c r="NR197" s="1056"/>
      <c r="NS197" s="1056"/>
      <c r="NT197" s="1056"/>
      <c r="NU197" s="1056"/>
      <c r="NV197" s="1056"/>
      <c r="NW197" s="1056"/>
      <c r="NX197" s="1056"/>
      <c r="NY197" s="1056"/>
      <c r="NZ197" s="1056"/>
      <c r="OA197" s="1056"/>
      <c r="OB197" s="1056"/>
      <c r="OC197" s="1056"/>
      <c r="OD197" s="1056"/>
      <c r="OE197" s="1056"/>
      <c r="OF197" s="1056"/>
      <c r="OG197" s="1056"/>
      <c r="OH197" s="1056"/>
      <c r="OI197" s="1056"/>
      <c r="OJ197" s="1056"/>
      <c r="OK197" s="1056"/>
      <c r="OL197" s="1056"/>
      <c r="OM197" s="1056"/>
      <c r="ON197" s="1056"/>
      <c r="OO197" s="1056"/>
      <c r="OP197" s="1056"/>
      <c r="OQ197" s="1056"/>
      <c r="OR197" s="1056"/>
      <c r="OS197" s="1056"/>
      <c r="OT197" s="1056"/>
      <c r="OU197" s="1056"/>
      <c r="OV197" s="1056"/>
      <c r="OW197" s="1056"/>
      <c r="OX197" s="1056"/>
      <c r="OY197" s="1056"/>
      <c r="OZ197" s="1056"/>
      <c r="PA197" s="1056"/>
      <c r="PB197" s="1056"/>
      <c r="PC197" s="1056"/>
      <c r="PD197" s="1056"/>
      <c r="PE197" s="1056"/>
      <c r="PF197" s="1056"/>
      <c r="PG197" s="1056"/>
      <c r="PH197" s="1056"/>
      <c r="PI197" s="1056"/>
      <c r="PJ197" s="1056"/>
      <c r="PK197" s="1056"/>
      <c r="PL197" s="1056"/>
      <c r="PM197" s="1056"/>
      <c r="PN197" s="1056"/>
      <c r="PO197" s="1056"/>
      <c r="PP197" s="1056"/>
      <c r="PQ197" s="1056"/>
      <c r="PR197" s="1056"/>
      <c r="PS197" s="1056"/>
      <c r="PT197" s="1056"/>
      <c r="PU197" s="1056"/>
      <c r="PV197" s="1056"/>
      <c r="PW197" s="1056"/>
      <c r="PX197" s="1056"/>
      <c r="PY197" s="1056"/>
      <c r="PZ197" s="1056"/>
      <c r="QA197" s="1056"/>
      <c r="QB197" s="1056"/>
      <c r="QC197" s="1056"/>
      <c r="QD197" s="1056"/>
      <c r="QE197" s="1056"/>
      <c r="QF197" s="1056"/>
      <c r="QG197" s="1056"/>
      <c r="QH197" s="1056"/>
      <c r="QI197" s="1056"/>
      <c r="QJ197" s="1056"/>
      <c r="QK197" s="1056"/>
      <c r="QL197" s="1056"/>
      <c r="QM197" s="1056"/>
      <c r="QN197" s="1056"/>
      <c r="QO197" s="1056"/>
      <c r="QP197" s="1056"/>
      <c r="QQ197" s="1056"/>
      <c r="QR197" s="1056"/>
      <c r="QS197" s="1056"/>
      <c r="QT197" s="1056"/>
      <c r="QU197" s="1056"/>
      <c r="QV197" s="1056"/>
      <c r="QW197" s="1056"/>
      <c r="QX197" s="1056"/>
      <c r="QY197" s="1056"/>
      <c r="QZ197" s="1056"/>
      <c r="RA197" s="1056"/>
      <c r="RB197" s="1056"/>
      <c r="RC197" s="1056"/>
      <c r="RD197" s="1056"/>
      <c r="RE197" s="1056"/>
      <c r="RF197" s="1056"/>
      <c r="RG197" s="1056"/>
      <c r="RH197" s="1056"/>
      <c r="RI197" s="1056"/>
      <c r="RJ197" s="1056"/>
      <c r="RK197" s="1056"/>
      <c r="RL197" s="1056"/>
      <c r="RM197" s="1056"/>
      <c r="RN197" s="1056"/>
      <c r="RO197" s="1056"/>
      <c r="RP197" s="1056"/>
      <c r="RQ197" s="1056"/>
      <c r="RR197" s="1056"/>
      <c r="RS197" s="1056"/>
      <c r="RT197" s="1056"/>
      <c r="RU197" s="1056"/>
      <c r="RV197" s="1056"/>
      <c r="RW197" s="1056"/>
      <c r="RX197" s="1056"/>
      <c r="RY197" s="1056"/>
      <c r="RZ197" s="1056"/>
      <c r="SA197" s="1056"/>
      <c r="SB197" s="1056"/>
      <c r="SC197" s="1056"/>
      <c r="SD197" s="1056"/>
      <c r="SE197" s="1056"/>
      <c r="SF197" s="1056"/>
      <c r="SG197" s="1056"/>
      <c r="SH197" s="1056"/>
      <c r="SI197" s="1056"/>
      <c r="SJ197" s="1056"/>
      <c r="SK197" s="1056"/>
      <c r="SL197" s="1056"/>
      <c r="SM197" s="1056"/>
      <c r="SN197" s="1056"/>
      <c r="SO197" s="1056"/>
      <c r="SP197" s="1056"/>
      <c r="SQ197" s="1056"/>
      <c r="SR197" s="1056"/>
      <c r="SS197" s="1056"/>
      <c r="ST197" s="1056"/>
      <c r="SU197" s="1056"/>
      <c r="SV197" s="1056"/>
      <c r="SW197" s="1056"/>
      <c r="SX197" s="1056"/>
      <c r="SY197" s="1056"/>
      <c r="SZ197" s="1056"/>
      <c r="TA197" s="1056"/>
      <c r="TB197" s="1056"/>
      <c r="TC197" s="1056"/>
      <c r="TD197" s="1056"/>
      <c r="TE197" s="1056"/>
      <c r="TF197" s="1056"/>
      <c r="TG197" s="1056"/>
      <c r="TH197" s="1056"/>
      <c r="TI197" s="1056"/>
      <c r="TJ197" s="1056"/>
      <c r="TK197" s="1056"/>
      <c r="TL197" s="1056"/>
      <c r="TM197" s="1056"/>
      <c r="TN197" s="1056"/>
      <c r="TO197" s="1056"/>
      <c r="TP197" s="1056"/>
      <c r="TQ197" s="1056"/>
      <c r="TR197" s="1056"/>
      <c r="TS197" s="1056"/>
      <c r="TT197" s="1056"/>
      <c r="TU197" s="1056"/>
      <c r="TV197" s="1056"/>
      <c r="TW197" s="1056"/>
      <c r="TX197" s="1056"/>
      <c r="TY197" s="1056"/>
      <c r="TZ197" s="1056"/>
      <c r="UA197" s="1056"/>
      <c r="UB197" s="1056"/>
      <c r="UC197" s="1056"/>
      <c r="UD197" s="1056"/>
      <c r="UE197" s="1056"/>
      <c r="UF197" s="1056"/>
      <c r="UG197" s="1056"/>
      <c r="UH197" s="1056"/>
      <c r="UI197" s="1056"/>
      <c r="UJ197" s="1056"/>
      <c r="UK197" s="1056"/>
      <c r="UL197" s="1056"/>
      <c r="UM197" s="1056"/>
      <c r="UN197" s="1056"/>
      <c r="UO197" s="1056"/>
      <c r="UP197" s="1056"/>
      <c r="UQ197" s="1056"/>
      <c r="UR197" s="1056"/>
      <c r="US197" s="1056"/>
      <c r="UT197" s="1056"/>
      <c r="UU197" s="1056"/>
      <c r="UV197" s="1056"/>
      <c r="UW197" s="1056"/>
      <c r="UX197" s="1056"/>
      <c r="UY197" s="1056"/>
      <c r="UZ197" s="1056"/>
      <c r="VA197" s="1056"/>
      <c r="VB197" s="1056"/>
      <c r="VC197" s="1056"/>
      <c r="VD197" s="1056"/>
      <c r="VE197" s="1056"/>
      <c r="VF197" s="1056"/>
      <c r="VG197" s="1056"/>
      <c r="VH197" s="1056"/>
      <c r="VI197" s="1056"/>
      <c r="VJ197" s="1056"/>
      <c r="VK197" s="1056"/>
      <c r="VL197" s="1056"/>
      <c r="VM197" s="1056"/>
      <c r="VN197" s="1056"/>
      <c r="VO197" s="1056"/>
      <c r="VP197" s="1056"/>
      <c r="VQ197" s="1056"/>
      <c r="VR197" s="1056"/>
      <c r="VS197" s="1056"/>
      <c r="VT197" s="1056"/>
      <c r="VU197" s="1056"/>
      <c r="VV197" s="1056"/>
      <c r="VW197" s="1056"/>
      <c r="VX197" s="1056"/>
      <c r="VY197" s="1056"/>
      <c r="VZ197" s="1056"/>
      <c r="WA197" s="1056"/>
      <c r="WB197" s="1056"/>
      <c r="WC197" s="1056"/>
      <c r="WD197" s="1056"/>
      <c r="WE197" s="1056"/>
      <c r="WF197" s="1056"/>
      <c r="WG197" s="1056"/>
      <c r="WH197" s="1056"/>
      <c r="WI197" s="1056"/>
      <c r="WJ197" s="1056"/>
      <c r="WK197" s="1056"/>
      <c r="WL197" s="1056"/>
      <c r="WM197" s="1056"/>
      <c r="WN197" s="1056"/>
      <c r="WO197" s="1056"/>
      <c r="WP197" s="1056"/>
      <c r="WQ197" s="1056"/>
      <c r="WR197" s="1056"/>
      <c r="WS197" s="1056"/>
      <c r="WT197" s="1056"/>
      <c r="WU197" s="1056"/>
      <c r="WV197" s="1056"/>
      <c r="WW197" s="1056"/>
      <c r="WX197" s="1056"/>
      <c r="WY197" s="1056"/>
      <c r="WZ197" s="1056"/>
      <c r="XA197" s="1056"/>
      <c r="XB197" s="1056"/>
      <c r="XC197" s="1056"/>
      <c r="XD197" s="1056"/>
      <c r="XE197" s="1056"/>
      <c r="XF197" s="1056"/>
      <c r="XG197" s="1056"/>
      <c r="XH197" s="1056"/>
      <c r="XI197" s="1056"/>
      <c r="XJ197" s="1056"/>
      <c r="XK197" s="1056"/>
      <c r="XL197" s="1056"/>
      <c r="XM197" s="1056"/>
      <c r="XN197" s="1056"/>
      <c r="XO197" s="1056"/>
      <c r="XP197" s="1056"/>
      <c r="XQ197" s="1056"/>
      <c r="XR197" s="1056"/>
      <c r="XS197" s="1056"/>
      <c r="XT197" s="1056"/>
      <c r="XU197" s="1056"/>
      <c r="XV197" s="1056"/>
      <c r="XW197" s="1056"/>
      <c r="XX197" s="1056"/>
      <c r="XY197" s="1056"/>
      <c r="XZ197" s="1056"/>
      <c r="YA197" s="1056"/>
      <c r="YB197" s="1056"/>
      <c r="YC197" s="1056"/>
      <c r="YD197" s="1056"/>
      <c r="YE197" s="1056"/>
      <c r="YF197" s="1056"/>
      <c r="YG197" s="1056"/>
      <c r="YH197" s="1056"/>
      <c r="YI197" s="1056"/>
      <c r="YJ197" s="1056"/>
      <c r="YK197" s="1056"/>
      <c r="YL197" s="1056"/>
      <c r="YM197" s="1056"/>
      <c r="YN197" s="1056"/>
      <c r="YO197" s="1056"/>
      <c r="YP197" s="1056"/>
      <c r="YQ197" s="1056"/>
      <c r="YR197" s="1056"/>
      <c r="YS197" s="1056"/>
      <c r="YT197" s="1056"/>
      <c r="YU197" s="1056"/>
      <c r="YV197" s="1056"/>
      <c r="YW197" s="1056"/>
      <c r="YX197" s="1056"/>
      <c r="YY197" s="1056"/>
      <c r="YZ197" s="1056"/>
      <c r="ZA197" s="1056"/>
      <c r="ZB197" s="1056"/>
      <c r="ZC197" s="1056"/>
      <c r="ZD197" s="1056"/>
      <c r="ZE197" s="1056"/>
      <c r="ZF197" s="1056"/>
      <c r="ZG197" s="1056"/>
      <c r="ZH197" s="1056"/>
      <c r="ZI197" s="1056"/>
      <c r="ZJ197" s="1056"/>
      <c r="ZK197" s="1056"/>
      <c r="ZL197" s="1056"/>
      <c r="ZM197" s="1056"/>
      <c r="ZN197" s="1056"/>
      <c r="ZO197" s="1056"/>
      <c r="ZP197" s="1056"/>
      <c r="ZQ197" s="1056"/>
      <c r="ZR197" s="1056"/>
      <c r="ZS197" s="1056"/>
      <c r="ZT197" s="1056"/>
      <c r="ZU197" s="1056"/>
      <c r="ZV197" s="1056"/>
      <c r="ZW197" s="1056"/>
      <c r="ZX197" s="1056"/>
      <c r="ZY197" s="1056"/>
      <c r="ZZ197" s="1056"/>
      <c r="AAA197" s="1056"/>
      <c r="AAB197" s="1056"/>
      <c r="AAC197" s="1056"/>
      <c r="AAD197" s="1056"/>
      <c r="AAE197" s="1056"/>
      <c r="AAF197" s="1056"/>
      <c r="AAG197" s="1056"/>
      <c r="AAH197" s="1056"/>
      <c r="AAI197" s="1056"/>
      <c r="AAJ197" s="1056"/>
      <c r="AAK197" s="1056"/>
      <c r="AAL197" s="1056"/>
      <c r="AAM197" s="1056"/>
      <c r="AAN197" s="1056"/>
      <c r="AAO197" s="1056"/>
      <c r="AAP197" s="1056"/>
      <c r="AAQ197" s="1056"/>
      <c r="AAR197" s="1056"/>
      <c r="AAS197" s="1056"/>
      <c r="AAT197" s="1056"/>
      <c r="AAU197" s="1056"/>
      <c r="AAV197" s="1056"/>
      <c r="AAW197" s="1056"/>
      <c r="AAX197" s="1056"/>
      <c r="AAY197" s="1056"/>
      <c r="AAZ197" s="1056"/>
      <c r="ABA197" s="1056"/>
      <c r="ABB197" s="1056"/>
      <c r="ABC197" s="1056"/>
      <c r="ABD197" s="1056"/>
      <c r="ABE197" s="1056"/>
      <c r="ABF197" s="1056"/>
      <c r="ABG197" s="1056"/>
      <c r="ABH197" s="1056"/>
      <c r="ABI197" s="1056"/>
      <c r="ABJ197" s="1056"/>
      <c r="ABK197" s="1056"/>
      <c r="ABL197" s="1056"/>
      <c r="ABM197" s="1056"/>
      <c r="ABN197" s="1056"/>
      <c r="ABO197" s="1056"/>
      <c r="ABP197" s="1056"/>
      <c r="ABQ197" s="1056"/>
      <c r="ABR197" s="1056"/>
      <c r="ABS197" s="1056"/>
      <c r="ABT197" s="1056"/>
      <c r="ABU197" s="1056"/>
      <c r="ABV197" s="1056"/>
      <c r="ABW197" s="1056"/>
      <c r="ABX197" s="1056"/>
      <c r="ABY197" s="1056"/>
      <c r="ABZ197" s="1056"/>
      <c r="ACA197" s="1056"/>
      <c r="ACB197" s="1056"/>
      <c r="ACC197" s="1056"/>
      <c r="ACD197" s="1056"/>
      <c r="ACE197" s="1056"/>
      <c r="ACF197" s="1056"/>
      <c r="ACG197" s="1056"/>
      <c r="ACH197" s="1056"/>
      <c r="ACI197" s="1056"/>
      <c r="ACJ197" s="1056"/>
      <c r="ACK197" s="1056"/>
      <c r="ACL197" s="1056"/>
      <c r="ACM197" s="1056"/>
      <c r="ACN197" s="1056"/>
      <c r="ACO197" s="1056"/>
      <c r="ACP197" s="1056"/>
      <c r="ACQ197" s="1056"/>
      <c r="ACR197" s="1056"/>
      <c r="ACS197" s="1056"/>
      <c r="ACT197" s="1056"/>
      <c r="ACU197" s="1056"/>
      <c r="ACV197" s="1056"/>
      <c r="ACW197" s="1056"/>
      <c r="ACX197" s="1056"/>
      <c r="ACY197" s="1056"/>
      <c r="ACZ197" s="1056"/>
      <c r="ADA197" s="1056"/>
      <c r="ADB197" s="1056"/>
      <c r="ADC197" s="1056"/>
      <c r="ADD197" s="1056"/>
      <c r="ADE197" s="1056"/>
      <c r="ADF197" s="1056"/>
      <c r="ADG197" s="1056"/>
      <c r="ADH197" s="1056"/>
      <c r="ADI197" s="1056"/>
      <c r="ADJ197" s="1056"/>
      <c r="ADK197" s="1056"/>
      <c r="ADL197" s="1056"/>
      <c r="ADM197" s="1056"/>
      <c r="ADN197" s="1056"/>
      <c r="ADO197" s="1056"/>
      <c r="ADP197" s="1056"/>
      <c r="ADQ197" s="1056"/>
      <c r="ADR197" s="1056"/>
      <c r="ADS197" s="1056"/>
      <c r="ADT197" s="1056"/>
      <c r="ADU197" s="1056"/>
      <c r="ADV197" s="1056"/>
      <c r="ADW197" s="1056"/>
      <c r="ADX197" s="1056"/>
      <c r="ADY197" s="1056"/>
      <c r="ADZ197" s="1056"/>
      <c r="AEA197" s="1056"/>
      <c r="AEB197" s="1056"/>
      <c r="AEC197" s="1056"/>
      <c r="AED197" s="1056"/>
      <c r="AEE197" s="1056"/>
      <c r="AEF197" s="1056"/>
      <c r="AEG197" s="1056"/>
      <c r="AEH197" s="1056"/>
      <c r="AEI197" s="1056"/>
      <c r="AEJ197" s="1056"/>
      <c r="AEK197" s="1056"/>
      <c r="AEL197" s="1056"/>
      <c r="AEM197" s="1056"/>
      <c r="AEN197" s="1056"/>
      <c r="AEO197" s="1056"/>
      <c r="AEP197" s="1056"/>
      <c r="AEQ197" s="1056"/>
      <c r="AER197" s="1056"/>
      <c r="AES197" s="1056"/>
      <c r="AET197" s="1056"/>
      <c r="AEU197" s="1056"/>
      <c r="AEV197" s="1056"/>
      <c r="AEW197" s="1056"/>
      <c r="AEX197" s="1056"/>
      <c r="AEY197" s="1056"/>
      <c r="AEZ197" s="1056"/>
      <c r="AFA197" s="1056"/>
      <c r="AFB197" s="1056"/>
      <c r="AFC197" s="1056"/>
      <c r="AFD197" s="1056"/>
      <c r="AFE197" s="1056"/>
      <c r="AFF197" s="1056"/>
      <c r="AFG197" s="1056"/>
      <c r="AFH197" s="1056"/>
      <c r="AFI197" s="1056"/>
      <c r="AFJ197" s="1056"/>
      <c r="AFK197" s="1056"/>
      <c r="AFL197" s="1056"/>
      <c r="AFM197" s="1056"/>
      <c r="AFN197" s="1056"/>
      <c r="AFO197" s="1056"/>
      <c r="AFP197" s="1056"/>
      <c r="AFQ197" s="1056"/>
      <c r="AFR197" s="1056"/>
      <c r="AFS197" s="1056"/>
      <c r="AFT197" s="1056"/>
      <c r="AFU197" s="1056"/>
      <c r="AFV197" s="1056"/>
      <c r="AFW197" s="1056"/>
      <c r="AFX197" s="1056"/>
      <c r="AFY197" s="1056"/>
      <c r="AFZ197" s="1056"/>
      <c r="AGA197" s="1056"/>
      <c r="AGB197" s="1056"/>
      <c r="AGC197" s="1056"/>
      <c r="AGD197" s="1056"/>
      <c r="AGE197" s="1056"/>
      <c r="AGF197" s="1056"/>
      <c r="AGG197" s="1056"/>
      <c r="AGH197" s="1056"/>
      <c r="AGI197" s="1056"/>
      <c r="AGJ197" s="1056"/>
      <c r="AGK197" s="1056"/>
      <c r="AGL197" s="1056"/>
      <c r="AGM197" s="1056"/>
      <c r="AGN197" s="1056"/>
      <c r="AGO197" s="1056"/>
      <c r="AGP197" s="1056"/>
      <c r="AGQ197" s="1056"/>
      <c r="AGR197" s="1056"/>
      <c r="AGS197" s="1056"/>
      <c r="AGT197" s="1056"/>
      <c r="AGU197" s="1056"/>
      <c r="AGV197" s="1056"/>
      <c r="AGW197" s="1056"/>
      <c r="AGX197" s="1056"/>
      <c r="AGY197" s="1056"/>
      <c r="AGZ197" s="1056"/>
      <c r="AHA197" s="1056"/>
      <c r="AHB197" s="1056"/>
      <c r="AHC197" s="1056"/>
      <c r="AHD197" s="1056"/>
      <c r="AHE197" s="1056"/>
      <c r="AHF197" s="1056"/>
      <c r="AHG197" s="1056"/>
      <c r="AHH197" s="1056"/>
      <c r="AHI197" s="1056"/>
      <c r="AHJ197" s="1056"/>
      <c r="AHK197" s="1056"/>
      <c r="AHL197" s="1056"/>
      <c r="AHM197" s="1056"/>
      <c r="AHN197" s="1056"/>
      <c r="AHO197" s="1056"/>
      <c r="AHP197" s="1056"/>
      <c r="AHQ197" s="1056"/>
      <c r="AHR197" s="1056"/>
      <c r="AHS197" s="1056"/>
      <c r="AHT197" s="1056"/>
      <c r="AHU197" s="1056"/>
      <c r="AHV197" s="1056"/>
      <c r="AHW197" s="1056"/>
      <c r="AHX197" s="1056"/>
      <c r="AHY197" s="1056"/>
      <c r="AHZ197" s="1056"/>
      <c r="AIA197" s="1056"/>
      <c r="AIB197" s="1056"/>
      <c r="AIC197" s="1056"/>
      <c r="AID197" s="1056"/>
      <c r="AIE197" s="1056"/>
      <c r="AIF197" s="1056"/>
      <c r="AIG197" s="1056"/>
      <c r="AIH197" s="1056"/>
      <c r="AII197" s="1056"/>
      <c r="AIJ197" s="1056"/>
      <c r="AIK197" s="1056"/>
      <c r="AIL197" s="1056"/>
      <c r="AIM197" s="1056"/>
      <c r="AIN197" s="1056"/>
      <c r="AIO197" s="1056"/>
      <c r="AIP197" s="1056"/>
      <c r="AIQ197" s="1056"/>
      <c r="AIR197" s="1056"/>
      <c r="AIS197" s="1056"/>
      <c r="AIT197" s="1056"/>
      <c r="AIU197" s="1056"/>
      <c r="AIV197" s="1056"/>
      <c r="AIW197" s="1056"/>
      <c r="AIX197" s="1056"/>
      <c r="AIY197" s="1056"/>
      <c r="AIZ197" s="1056"/>
      <c r="AJA197" s="1056"/>
      <c r="AJB197" s="1056"/>
      <c r="AJC197" s="1056"/>
      <c r="AJD197" s="1056"/>
      <c r="AJE197" s="1056"/>
      <c r="AJF197" s="1056"/>
      <c r="AJG197" s="1056"/>
      <c r="AJH197" s="1056"/>
      <c r="AJI197" s="1056"/>
      <c r="AJJ197" s="1056"/>
      <c r="AJK197" s="1056"/>
      <c r="AJL197" s="1056"/>
      <c r="AJM197" s="1056"/>
      <c r="AJN197" s="1056"/>
      <c r="AJO197" s="1056"/>
      <c r="AJP197" s="1056"/>
      <c r="AJQ197" s="1056"/>
      <c r="AJR197" s="1056"/>
      <c r="AJS197" s="1056"/>
      <c r="AJT197" s="1056"/>
      <c r="AJU197" s="1056"/>
      <c r="AJV197" s="1056"/>
      <c r="AJW197" s="1056"/>
      <c r="AJX197" s="1056"/>
      <c r="AJY197" s="1056"/>
      <c r="AJZ197" s="1056"/>
      <c r="AKA197" s="1056"/>
      <c r="AKB197" s="1056"/>
      <c r="AKC197" s="1056"/>
      <c r="AKD197" s="1056"/>
      <c r="AKE197" s="1056"/>
      <c r="AKF197" s="1056"/>
      <c r="AKG197" s="1056"/>
      <c r="AKH197" s="1056"/>
      <c r="AKI197" s="1056"/>
      <c r="AKJ197" s="1056"/>
      <c r="AKK197" s="1056"/>
      <c r="AKL197" s="1056"/>
      <c r="AKM197" s="1056"/>
      <c r="AKN197" s="1056"/>
      <c r="AKO197" s="1056"/>
      <c r="AKP197" s="1056"/>
      <c r="AKQ197" s="1056"/>
      <c r="AKR197" s="1056"/>
      <c r="AKS197" s="1056"/>
      <c r="AKT197" s="1056"/>
      <c r="AKU197" s="1056"/>
      <c r="AKV197" s="1056"/>
      <c r="AKW197" s="1056"/>
      <c r="AKX197" s="1056"/>
      <c r="AKY197" s="1056"/>
      <c r="AKZ197" s="1056"/>
      <c r="ALA197" s="1056"/>
      <c r="ALB197" s="1056"/>
      <c r="ALC197" s="1056"/>
      <c r="ALD197" s="1056"/>
      <c r="ALE197" s="1056"/>
      <c r="ALF197" s="1056"/>
      <c r="ALG197" s="1056"/>
      <c r="ALH197" s="1056"/>
      <c r="ALI197" s="1056"/>
      <c r="ALJ197" s="1056"/>
      <c r="ALK197" s="1056"/>
      <c r="ALL197" s="1056"/>
      <c r="ALM197" s="1056"/>
      <c r="ALN197" s="1056"/>
      <c r="ALO197" s="1056"/>
      <c r="ALP197" s="1056"/>
      <c r="ALQ197" s="1056"/>
      <c r="ALR197" s="1056"/>
      <c r="ALS197" s="1056"/>
      <c r="ALT197" s="1056"/>
      <c r="ALU197" s="1056"/>
      <c r="ALV197" s="1056"/>
      <c r="ALW197" s="1056"/>
      <c r="ALX197" s="1056"/>
      <c r="ALY197" s="1056"/>
      <c r="ALZ197" s="1056"/>
      <c r="AMA197" s="1056"/>
      <c r="AMB197" s="1056"/>
      <c r="AMC197" s="1056"/>
      <c r="AMD197" s="1056"/>
      <c r="AME197" s="1056"/>
      <c r="AMF197" s="1056"/>
      <c r="AMG197" s="1056"/>
      <c r="AMH197" s="1056"/>
      <c r="AMI197" s="1056"/>
      <c r="AMJ197" s="1056"/>
      <c r="AMK197" s="1056"/>
      <c r="AML197" s="1056"/>
      <c r="AMM197" s="1056"/>
      <c r="AMN197" s="1056"/>
      <c r="AMO197" s="1056"/>
      <c r="AMP197" s="1056"/>
      <c r="AMQ197" s="1056"/>
      <c r="AMR197" s="1056"/>
      <c r="AMS197" s="1056"/>
      <c r="AMT197" s="1056"/>
      <c r="AMU197" s="1056"/>
      <c r="AMV197" s="1056"/>
      <c r="AMW197" s="1056"/>
      <c r="AMX197" s="1056"/>
      <c r="AMY197" s="1056"/>
      <c r="AMZ197" s="1056"/>
      <c r="ANA197" s="1056"/>
      <c r="ANB197" s="1056"/>
      <c r="ANC197" s="1056"/>
      <c r="AND197" s="1056"/>
      <c r="ANE197" s="1056"/>
      <c r="ANF197" s="1056"/>
      <c r="ANG197" s="1056"/>
      <c r="ANH197" s="1056"/>
      <c r="ANI197" s="1056"/>
      <c r="ANJ197" s="1056"/>
      <c r="ANK197" s="1056"/>
      <c r="ANL197" s="1056"/>
      <c r="ANM197" s="1056"/>
      <c r="ANN197" s="1056"/>
      <c r="ANO197" s="1056"/>
      <c r="ANP197" s="1056"/>
      <c r="ANQ197" s="1056"/>
      <c r="ANR197" s="1056"/>
      <c r="ANS197" s="1056"/>
      <c r="ANT197" s="1056"/>
      <c r="ANU197" s="1056"/>
      <c r="ANV197" s="1056"/>
      <c r="ANW197" s="1056"/>
      <c r="ANX197" s="1056"/>
      <c r="ANY197" s="1056"/>
      <c r="ANZ197" s="1056"/>
      <c r="AOA197" s="1056"/>
      <c r="AOB197" s="1056"/>
      <c r="AOC197" s="1056"/>
      <c r="AOD197" s="1056"/>
      <c r="AOE197" s="1056"/>
      <c r="AOF197" s="1056"/>
      <c r="AOG197" s="1056"/>
      <c r="AOH197" s="1056"/>
      <c r="AOI197" s="1056"/>
      <c r="AOJ197" s="1056"/>
      <c r="AOK197" s="1056"/>
      <c r="AOL197" s="1056"/>
      <c r="AOM197" s="1056"/>
      <c r="AON197" s="1056"/>
      <c r="AOO197" s="1056"/>
      <c r="AOP197" s="1056"/>
      <c r="AOQ197" s="1056"/>
      <c r="AOR197" s="1056"/>
      <c r="AOS197" s="1056"/>
      <c r="AOT197" s="1056"/>
      <c r="AOU197" s="1056"/>
      <c r="AOV197" s="1056"/>
      <c r="AOW197" s="1056"/>
      <c r="AOX197" s="1056"/>
      <c r="AOY197" s="1056"/>
      <c r="AOZ197" s="1056"/>
      <c r="APA197" s="1056"/>
      <c r="APB197" s="1056"/>
      <c r="APC197" s="1056"/>
      <c r="APD197" s="1056"/>
      <c r="APE197" s="1056"/>
      <c r="APF197" s="1056"/>
      <c r="APG197" s="1056"/>
      <c r="APH197" s="1056"/>
      <c r="API197" s="1056"/>
      <c r="APJ197" s="1056"/>
      <c r="APK197" s="1056"/>
      <c r="APL197" s="1056"/>
      <c r="APM197" s="1056"/>
      <c r="APN197" s="1056"/>
      <c r="APO197" s="1056"/>
      <c r="APP197" s="1056"/>
      <c r="APQ197" s="1056"/>
      <c r="APR197" s="1056"/>
      <c r="APS197" s="1056"/>
      <c r="APT197" s="1056"/>
      <c r="APU197" s="1056"/>
      <c r="APV197" s="1056"/>
      <c r="APW197" s="1056"/>
      <c r="APX197" s="1056"/>
      <c r="APY197" s="1056"/>
      <c r="APZ197" s="1056"/>
      <c r="AQA197" s="1056"/>
      <c r="AQB197" s="1056"/>
      <c r="AQC197" s="1056"/>
      <c r="AQD197" s="1056"/>
      <c r="AQE197" s="1056"/>
      <c r="AQF197" s="1056"/>
      <c r="AQG197" s="1056"/>
      <c r="AQH197" s="1056"/>
      <c r="AQI197" s="1056"/>
      <c r="AQJ197" s="1056"/>
      <c r="AQK197" s="1056"/>
      <c r="AQL197" s="1056"/>
      <c r="AQM197" s="1056"/>
      <c r="AQN197" s="1056"/>
      <c r="AQO197" s="1056"/>
      <c r="AQP197" s="1056"/>
      <c r="AQQ197" s="1056"/>
      <c r="AQR197" s="1056"/>
      <c r="AQS197" s="1056"/>
      <c r="AQT197" s="1056"/>
      <c r="AQU197" s="1056"/>
      <c r="AQV197" s="1056"/>
      <c r="AQW197" s="1056"/>
      <c r="AQX197" s="1056"/>
      <c r="AQY197" s="1056"/>
      <c r="AQZ197" s="1056"/>
      <c r="ARA197" s="1056"/>
      <c r="ARB197" s="1056"/>
      <c r="ARC197" s="1056"/>
      <c r="ARD197" s="1056"/>
      <c r="ARE197" s="1056"/>
      <c r="ARF197" s="1056"/>
      <c r="ARG197" s="1056"/>
      <c r="ARH197" s="1056"/>
      <c r="ARI197" s="1056"/>
      <c r="ARJ197" s="1056"/>
      <c r="ARK197" s="1056"/>
      <c r="ARL197" s="1056"/>
      <c r="ARM197" s="1056"/>
      <c r="ARN197" s="1056"/>
      <c r="ARO197" s="1056"/>
      <c r="ARP197" s="1056"/>
      <c r="ARQ197" s="1056"/>
      <c r="ARR197" s="1056"/>
      <c r="ARS197" s="1056"/>
      <c r="ART197" s="1056"/>
      <c r="ARU197" s="1056"/>
      <c r="ARV197" s="1056"/>
      <c r="ARW197" s="1056"/>
      <c r="ARX197" s="1056"/>
      <c r="ARY197" s="1056"/>
      <c r="ARZ197" s="1056"/>
      <c r="ASA197" s="1056"/>
      <c r="ASB197" s="1056"/>
      <c r="ASC197" s="1056"/>
      <c r="ASD197" s="1056"/>
      <c r="ASE197" s="1056"/>
      <c r="ASF197" s="1056"/>
      <c r="ASG197" s="1056"/>
      <c r="ASH197" s="1056"/>
      <c r="ASI197" s="1056"/>
      <c r="ASJ197" s="1056"/>
      <c r="ASK197" s="1056"/>
      <c r="ASL197" s="1056"/>
      <c r="ASM197" s="1056"/>
      <c r="ASN197" s="1056"/>
      <c r="ASO197" s="1056"/>
      <c r="ASP197" s="1056"/>
      <c r="ASQ197" s="1056"/>
      <c r="ASR197" s="1056"/>
      <c r="ASS197" s="1056"/>
      <c r="AST197" s="1056"/>
      <c r="ASU197" s="1056"/>
      <c r="ASV197" s="1056"/>
      <c r="ASW197" s="1056"/>
      <c r="ASX197" s="1056"/>
      <c r="ASY197" s="1056"/>
      <c r="ASZ197" s="1056"/>
      <c r="ATA197" s="1056"/>
      <c r="ATB197" s="1056"/>
      <c r="ATC197" s="1056"/>
      <c r="ATD197" s="1056"/>
      <c r="ATE197" s="1056"/>
      <c r="ATF197" s="1056"/>
      <c r="ATG197" s="1056"/>
      <c r="ATH197" s="1056"/>
      <c r="ATI197" s="1056"/>
      <c r="ATJ197" s="1056"/>
      <c r="ATK197" s="1056"/>
      <c r="ATL197" s="1056"/>
      <c r="ATM197" s="1056"/>
      <c r="ATN197" s="1056"/>
      <c r="ATO197" s="1056"/>
      <c r="ATP197" s="1056"/>
      <c r="ATQ197" s="1056"/>
      <c r="ATR197" s="1056"/>
      <c r="ATS197" s="1056"/>
      <c r="ATT197" s="1056"/>
      <c r="ATU197" s="1056"/>
      <c r="ATV197" s="1056"/>
      <c r="ATW197" s="1056"/>
      <c r="ATX197" s="1056"/>
      <c r="ATY197" s="1056"/>
      <c r="ATZ197" s="1056"/>
      <c r="AUA197" s="1056"/>
      <c r="AUB197" s="1056"/>
      <c r="AUC197" s="1056"/>
      <c r="AUD197" s="1056"/>
      <c r="AUE197" s="1056"/>
      <c r="AUF197" s="1056"/>
      <c r="AUG197" s="1056"/>
      <c r="AUH197" s="1056"/>
      <c r="AUI197" s="1056"/>
      <c r="AUJ197" s="1056"/>
      <c r="AUK197" s="1056"/>
      <c r="AUL197" s="1056"/>
      <c r="AUM197" s="1056"/>
      <c r="AUN197" s="1056"/>
      <c r="AUO197" s="1056"/>
      <c r="AUP197" s="1056"/>
      <c r="AUQ197" s="1056"/>
      <c r="AUR197" s="1056"/>
      <c r="AUS197" s="1056"/>
      <c r="AUT197" s="1056"/>
      <c r="AUU197" s="1056"/>
      <c r="AUV197" s="1056"/>
      <c r="AUW197" s="1056"/>
      <c r="AUX197" s="1056"/>
      <c r="AUY197" s="1056"/>
      <c r="AUZ197" s="1056"/>
      <c r="AVA197" s="1056"/>
      <c r="AVB197" s="1056"/>
      <c r="AVC197" s="1056"/>
      <c r="AVD197" s="1056"/>
      <c r="AVE197" s="1056"/>
      <c r="AVF197" s="1056"/>
      <c r="AVG197" s="1056"/>
      <c r="AVH197" s="1056"/>
      <c r="AVI197" s="1056"/>
      <c r="AVJ197" s="1056"/>
      <c r="AVK197" s="1056"/>
      <c r="AVL197" s="1056"/>
      <c r="AVM197" s="1056"/>
      <c r="AVN197" s="1056"/>
      <c r="AVO197" s="1056"/>
      <c r="AVP197" s="1056"/>
      <c r="AVQ197" s="1056"/>
      <c r="AVR197" s="1056"/>
      <c r="AVS197" s="1056"/>
      <c r="AVT197" s="1056"/>
      <c r="AVU197" s="1056"/>
      <c r="AVV197" s="1056"/>
      <c r="AVW197" s="1056"/>
      <c r="AVX197" s="1056"/>
      <c r="AVY197" s="1056"/>
      <c r="AVZ197" s="1056"/>
      <c r="AWA197" s="1056"/>
      <c r="AWB197" s="1056"/>
      <c r="AWC197" s="1056"/>
      <c r="AWD197" s="1056"/>
      <c r="AWE197" s="1056"/>
      <c r="AWF197" s="1056"/>
      <c r="AWG197" s="1056"/>
      <c r="AWH197" s="1056"/>
      <c r="AWI197" s="1056"/>
      <c r="AWJ197" s="1056"/>
      <c r="AWK197" s="1056"/>
      <c r="AWL197" s="1056"/>
      <c r="AWM197" s="1056"/>
      <c r="AWN197" s="1056"/>
      <c r="AWO197" s="1056"/>
      <c r="AWP197" s="1056"/>
      <c r="AWQ197" s="1056"/>
      <c r="AWR197" s="1056"/>
      <c r="AWS197" s="1056"/>
      <c r="AWT197" s="1056"/>
      <c r="AWU197" s="1056"/>
      <c r="AWV197" s="1056"/>
      <c r="AWW197" s="1056"/>
      <c r="AWX197" s="1056"/>
      <c r="AWY197" s="1056"/>
      <c r="AWZ197" s="1056"/>
      <c r="AXA197" s="1056"/>
      <c r="AXB197" s="1056"/>
      <c r="AXC197" s="1056"/>
      <c r="AXD197" s="1056"/>
      <c r="AXE197" s="1056"/>
      <c r="AXF197" s="1056"/>
      <c r="AXG197" s="1056"/>
      <c r="AXH197" s="1056"/>
      <c r="AXI197" s="1056"/>
      <c r="AXJ197" s="1056"/>
      <c r="AXK197" s="1056"/>
      <c r="AXL197" s="1056"/>
      <c r="AXM197" s="1056"/>
      <c r="AXN197" s="1056"/>
      <c r="AXO197" s="1056"/>
      <c r="AXP197" s="1056"/>
      <c r="AXQ197" s="1056"/>
      <c r="AXR197" s="1056"/>
      <c r="AXS197" s="1056"/>
      <c r="AXT197" s="1056"/>
      <c r="AXU197" s="1056"/>
      <c r="AXV197" s="1056"/>
      <c r="AXW197" s="1056"/>
      <c r="AXX197" s="1056"/>
      <c r="AXY197" s="1056"/>
      <c r="AXZ197" s="1056"/>
      <c r="AYA197" s="1056"/>
      <c r="AYB197" s="1056"/>
      <c r="AYC197" s="1056"/>
      <c r="AYD197" s="1056"/>
      <c r="AYE197" s="1056"/>
      <c r="AYF197" s="1056"/>
      <c r="AYG197" s="1056"/>
      <c r="AYH197" s="1056"/>
      <c r="AYI197" s="1056"/>
      <c r="AYJ197" s="1056"/>
      <c r="AYK197" s="1056"/>
      <c r="AYL197" s="1056"/>
      <c r="AYM197" s="1056"/>
      <c r="AYN197" s="1056"/>
      <c r="AYO197" s="1056"/>
      <c r="AYP197" s="1056"/>
      <c r="AYQ197" s="1056"/>
      <c r="AYR197" s="1056"/>
      <c r="AYS197" s="1056"/>
      <c r="AYT197" s="1056"/>
      <c r="AYU197" s="1056"/>
      <c r="AYV197" s="1056"/>
      <c r="AYW197" s="1056"/>
      <c r="AYX197" s="1056"/>
      <c r="AYY197" s="1056"/>
      <c r="AYZ197" s="1056"/>
      <c r="AZA197" s="1056"/>
      <c r="AZB197" s="1056"/>
      <c r="AZC197" s="1056"/>
      <c r="AZD197" s="1056"/>
      <c r="AZE197" s="1056"/>
      <c r="AZF197" s="1056"/>
      <c r="AZG197" s="1056"/>
      <c r="AZH197" s="1056"/>
      <c r="AZI197" s="1056"/>
      <c r="AZJ197" s="1056"/>
      <c r="AZK197" s="1056"/>
      <c r="AZL197" s="1056"/>
      <c r="AZM197" s="1056"/>
      <c r="AZN197" s="1056"/>
      <c r="AZO197" s="1056"/>
      <c r="AZP197" s="1056"/>
      <c r="AZQ197" s="1056"/>
      <c r="AZR197" s="1056"/>
      <c r="AZS197" s="1056"/>
      <c r="AZT197" s="1056"/>
      <c r="AZU197" s="1056"/>
      <c r="AZV197" s="1056"/>
      <c r="AZW197" s="1056"/>
      <c r="AZX197" s="1056"/>
      <c r="AZY197" s="1056"/>
      <c r="AZZ197" s="1056"/>
      <c r="BAA197" s="1056"/>
      <c r="BAB197" s="1056"/>
      <c r="BAC197" s="1056"/>
      <c r="BAD197" s="1056"/>
      <c r="BAE197" s="1056"/>
      <c r="BAF197" s="1056"/>
      <c r="BAG197" s="1056"/>
      <c r="BAH197" s="1056"/>
      <c r="BAI197" s="1056"/>
      <c r="BAJ197" s="1056"/>
      <c r="BAK197" s="1056"/>
      <c r="BAL197" s="1056"/>
      <c r="BAM197" s="1056"/>
      <c r="BAN197" s="1056"/>
      <c r="BAO197" s="1056"/>
      <c r="BAP197" s="1056"/>
      <c r="BAQ197" s="1056"/>
      <c r="BAR197" s="1056"/>
      <c r="BAS197" s="1056"/>
      <c r="BAT197" s="1056"/>
      <c r="BAU197" s="1056"/>
      <c r="BAV197" s="1056"/>
      <c r="BAW197" s="1056"/>
      <c r="BAX197" s="1056"/>
      <c r="BAY197" s="1056"/>
      <c r="BAZ197" s="1056"/>
      <c r="BBA197" s="1056"/>
      <c r="BBB197" s="1056"/>
      <c r="BBC197" s="1056"/>
      <c r="BBD197" s="1056"/>
      <c r="BBE197" s="1056"/>
      <c r="BBF197" s="1056"/>
      <c r="BBG197" s="1056"/>
      <c r="BBH197" s="1056"/>
      <c r="BBI197" s="1056"/>
      <c r="BBJ197" s="1056"/>
      <c r="BBK197" s="1056"/>
      <c r="BBL197" s="1056"/>
      <c r="BBM197" s="1056"/>
      <c r="BBN197" s="1056"/>
      <c r="BBO197" s="1056"/>
      <c r="BBP197" s="1056"/>
      <c r="BBQ197" s="1056"/>
      <c r="BBR197" s="1056"/>
      <c r="BBS197" s="1056"/>
      <c r="BBT197" s="1056"/>
      <c r="BBU197" s="1056"/>
      <c r="BBV197" s="1056"/>
      <c r="BBW197" s="1056"/>
      <c r="BBX197" s="1056"/>
      <c r="BBY197" s="1056"/>
      <c r="BBZ197" s="1056"/>
      <c r="BCA197" s="1056"/>
      <c r="BCB197" s="1056"/>
      <c r="BCC197" s="1056"/>
      <c r="BCD197" s="1056"/>
      <c r="BCE197" s="1056"/>
      <c r="BCF197" s="1056"/>
      <c r="BCG197" s="1056"/>
      <c r="BCH197" s="1056"/>
      <c r="BCI197" s="1056"/>
      <c r="BCJ197" s="1056"/>
      <c r="BCK197" s="1056"/>
      <c r="BCL197" s="1056"/>
      <c r="BCM197" s="1056"/>
      <c r="BCN197" s="1056"/>
      <c r="BCO197" s="1056"/>
      <c r="BCP197" s="1056"/>
      <c r="BCQ197" s="1056"/>
      <c r="BCR197" s="1056"/>
      <c r="BCS197" s="1056"/>
      <c r="BCT197" s="1056"/>
      <c r="BCU197" s="1056"/>
      <c r="BCV197" s="1056"/>
      <c r="BCW197" s="1056"/>
      <c r="BCX197" s="1056"/>
      <c r="BCY197" s="1056"/>
      <c r="BCZ197" s="1056"/>
      <c r="BDA197" s="1056"/>
      <c r="BDB197" s="1056"/>
      <c r="BDC197" s="1056"/>
      <c r="BDD197" s="1056"/>
      <c r="BDE197" s="1056"/>
      <c r="BDF197" s="1056"/>
      <c r="BDG197" s="1056"/>
      <c r="BDH197" s="1056"/>
      <c r="BDI197" s="1056"/>
      <c r="BDJ197" s="1056"/>
      <c r="BDK197" s="1056"/>
      <c r="BDL197" s="1056"/>
      <c r="BDM197" s="1056"/>
      <c r="BDN197" s="1056"/>
      <c r="BDO197" s="1056"/>
      <c r="BDP197" s="1056"/>
      <c r="BDQ197" s="1056"/>
      <c r="BDR197" s="1056"/>
      <c r="BDS197" s="1056"/>
      <c r="BDT197" s="1056"/>
      <c r="BDU197" s="1056"/>
      <c r="BDV197" s="1056"/>
      <c r="BDW197" s="1056"/>
      <c r="BDX197" s="1056"/>
      <c r="BDY197" s="1056"/>
      <c r="BDZ197" s="1056"/>
      <c r="BEA197" s="1056"/>
      <c r="BEB197" s="1056"/>
      <c r="BEC197" s="1056"/>
      <c r="BED197" s="1056"/>
      <c r="BEE197" s="1056"/>
      <c r="BEF197" s="1056"/>
      <c r="BEG197" s="1056"/>
      <c r="BEH197" s="1056"/>
      <c r="BEI197" s="1056"/>
      <c r="BEJ197" s="1056"/>
      <c r="BEK197" s="1056"/>
      <c r="BEL197" s="1056"/>
      <c r="BEM197" s="1056"/>
      <c r="BEN197" s="1056"/>
      <c r="BEO197" s="1056"/>
      <c r="BEP197" s="1056"/>
      <c r="BEQ197" s="1056"/>
      <c r="BER197" s="1056"/>
      <c r="BES197" s="1056"/>
      <c r="BET197" s="1056"/>
      <c r="BEU197" s="1056"/>
      <c r="BEV197" s="1056"/>
      <c r="BEW197" s="1056"/>
      <c r="BEX197" s="1056"/>
      <c r="BEY197" s="1056"/>
      <c r="BEZ197" s="1056"/>
      <c r="BFA197" s="1056"/>
      <c r="BFB197" s="1056"/>
      <c r="BFC197" s="1056"/>
      <c r="BFD197" s="1056"/>
      <c r="BFE197" s="1056"/>
      <c r="BFF197" s="1056"/>
      <c r="BFG197" s="1056"/>
      <c r="BFH197" s="1056"/>
      <c r="BFI197" s="1056"/>
      <c r="BFJ197" s="1056"/>
      <c r="BFK197" s="1056"/>
      <c r="BFL197" s="1056"/>
      <c r="BFM197" s="1056"/>
      <c r="BFN197" s="1056"/>
      <c r="BFO197" s="1056"/>
      <c r="BFP197" s="1056"/>
      <c r="BFQ197" s="1056"/>
      <c r="BFR197" s="1056"/>
      <c r="BFS197" s="1056"/>
      <c r="BFT197" s="1056"/>
      <c r="BFU197" s="1056"/>
      <c r="BFV197" s="1056"/>
      <c r="BFW197" s="1056"/>
      <c r="BFX197" s="1056"/>
      <c r="BFY197" s="1056"/>
      <c r="BFZ197" s="1056"/>
      <c r="BGA197" s="1056"/>
      <c r="BGB197" s="1056"/>
      <c r="BGC197" s="1056"/>
      <c r="BGD197" s="1056"/>
      <c r="BGE197" s="1056"/>
      <c r="BGF197" s="1056"/>
      <c r="BGG197" s="1056"/>
      <c r="BGH197" s="1056"/>
      <c r="BGI197" s="1056"/>
      <c r="BGJ197" s="1056"/>
      <c r="BGK197" s="1056"/>
      <c r="BGL197" s="1056"/>
      <c r="BGM197" s="1056"/>
      <c r="BGN197" s="1056"/>
      <c r="BGO197" s="1056"/>
      <c r="BGP197" s="1056"/>
      <c r="BGQ197" s="1056"/>
      <c r="BGR197" s="1056"/>
      <c r="BGS197" s="1056"/>
      <c r="BGT197" s="1056"/>
      <c r="BGU197" s="1056"/>
      <c r="BGV197" s="1056"/>
      <c r="BGW197" s="1056"/>
      <c r="BGX197" s="1056"/>
      <c r="BGY197" s="1056"/>
      <c r="BGZ197" s="1056"/>
      <c r="BHA197" s="1056"/>
      <c r="BHB197" s="1056"/>
      <c r="BHC197" s="1056"/>
      <c r="BHD197" s="1056"/>
      <c r="BHE197" s="1056"/>
      <c r="BHF197" s="1056"/>
      <c r="BHG197" s="1056"/>
      <c r="BHH197" s="1056"/>
      <c r="BHI197" s="1056"/>
      <c r="BHJ197" s="1056"/>
      <c r="BHK197" s="1056"/>
      <c r="BHL197" s="1056"/>
      <c r="BHM197" s="1056"/>
      <c r="BHN197" s="1056"/>
      <c r="BHO197" s="1056"/>
      <c r="BHP197" s="1056"/>
      <c r="BHQ197" s="1056"/>
      <c r="BHR197" s="1056"/>
      <c r="BHS197" s="1056"/>
      <c r="BHT197" s="1056"/>
      <c r="BHU197" s="1056"/>
      <c r="BHV197" s="1056"/>
      <c r="BHW197" s="1056"/>
      <c r="BHX197" s="1056"/>
      <c r="BHY197" s="1056"/>
      <c r="BHZ197" s="1056"/>
      <c r="BIA197" s="1056"/>
      <c r="BIB197" s="1056"/>
      <c r="BIC197" s="1056"/>
      <c r="BID197" s="1056"/>
      <c r="BIE197" s="1056"/>
      <c r="BIF197" s="1056"/>
      <c r="BIG197" s="1056"/>
      <c r="BIH197" s="1056"/>
      <c r="BII197" s="1056"/>
      <c r="BIJ197" s="1056"/>
      <c r="BIK197" s="1056"/>
      <c r="BIL197" s="1056"/>
      <c r="BIM197" s="1056"/>
      <c r="BIN197" s="1056"/>
      <c r="BIO197" s="1056"/>
      <c r="BIP197" s="1056"/>
      <c r="BIQ197" s="1056"/>
      <c r="BIR197" s="1056"/>
      <c r="BIS197" s="1056"/>
      <c r="BIT197" s="1056"/>
      <c r="BIU197" s="1056"/>
      <c r="BIV197" s="1056"/>
      <c r="BIW197" s="1056"/>
      <c r="BIX197" s="1056"/>
      <c r="BIY197" s="1056"/>
      <c r="BIZ197" s="1056"/>
      <c r="BJA197" s="1056"/>
      <c r="BJB197" s="1056"/>
      <c r="BJC197" s="1056"/>
      <c r="BJD197" s="1056"/>
      <c r="BJE197" s="1056"/>
      <c r="BJF197" s="1056"/>
      <c r="BJG197" s="1056"/>
      <c r="BJH197" s="1056"/>
      <c r="BJI197" s="1056"/>
      <c r="BJJ197" s="1056"/>
      <c r="BJK197" s="1056"/>
      <c r="BJL197" s="1056"/>
      <c r="BJM197" s="1056"/>
      <c r="BJN197" s="1056"/>
      <c r="BJO197" s="1056"/>
      <c r="BJP197" s="1056"/>
      <c r="BJQ197" s="1056"/>
      <c r="BJR197" s="1056"/>
      <c r="BJS197" s="1056"/>
      <c r="BJT197" s="1056"/>
      <c r="BJU197" s="1056"/>
      <c r="BJV197" s="1056"/>
      <c r="BJW197" s="1056"/>
      <c r="BJX197" s="1056"/>
      <c r="BJY197" s="1056"/>
      <c r="BJZ197" s="1056"/>
      <c r="BKA197" s="1056"/>
      <c r="BKB197" s="1056"/>
      <c r="BKC197" s="1056"/>
      <c r="BKD197" s="1056"/>
      <c r="BKE197" s="1056"/>
      <c r="BKF197" s="1056"/>
      <c r="BKG197" s="1056"/>
      <c r="BKH197" s="1056"/>
      <c r="BKI197" s="1056"/>
      <c r="BKJ197" s="1056"/>
      <c r="BKK197" s="1056"/>
      <c r="BKL197" s="1056"/>
      <c r="BKM197" s="1056"/>
      <c r="BKN197" s="1056"/>
      <c r="BKO197" s="1056"/>
      <c r="BKP197" s="1056"/>
      <c r="BKQ197" s="1056"/>
      <c r="BKR197" s="1056"/>
      <c r="BKS197" s="1056"/>
      <c r="BKT197" s="1056"/>
      <c r="BKU197" s="1056"/>
      <c r="BKV197" s="1056"/>
      <c r="BKW197" s="1056"/>
      <c r="BKX197" s="1056"/>
      <c r="BKY197" s="1056"/>
      <c r="BKZ197" s="1056"/>
      <c r="BLA197" s="1056"/>
      <c r="BLB197" s="1056"/>
      <c r="BLC197" s="1056"/>
      <c r="BLD197" s="1056"/>
      <c r="BLE197" s="1056"/>
      <c r="BLF197" s="1056"/>
      <c r="BLG197" s="1056"/>
      <c r="BLH197" s="1056"/>
      <c r="BLI197" s="1056"/>
      <c r="BLJ197" s="1056"/>
      <c r="BLK197" s="1056"/>
      <c r="BLL197" s="1056"/>
      <c r="BLM197" s="1056"/>
      <c r="BLN197" s="1056"/>
      <c r="BLO197" s="1056"/>
      <c r="BLP197" s="1056"/>
      <c r="BLQ197" s="1056"/>
      <c r="BLR197" s="1056"/>
      <c r="BLS197" s="1056"/>
      <c r="BLT197" s="1056"/>
      <c r="BLU197" s="1056"/>
      <c r="BLV197" s="1056"/>
      <c r="BLW197" s="1056"/>
      <c r="BLX197" s="1056"/>
      <c r="BLY197" s="1056"/>
      <c r="BLZ197" s="1056"/>
      <c r="BMA197" s="1056"/>
      <c r="BMB197" s="1056"/>
      <c r="BMC197" s="1056"/>
      <c r="BMD197" s="1056"/>
      <c r="BME197" s="1056"/>
      <c r="BMF197" s="1056"/>
      <c r="BMG197" s="1056"/>
      <c r="BMH197" s="1056"/>
      <c r="BMI197" s="1056"/>
      <c r="BMJ197" s="1056"/>
      <c r="BMK197" s="1056"/>
      <c r="BML197" s="1056"/>
      <c r="BMM197" s="1056"/>
      <c r="BMN197" s="1056"/>
      <c r="BMO197" s="1056"/>
      <c r="BMP197" s="1056"/>
      <c r="BMQ197" s="1056"/>
      <c r="BMR197" s="1056"/>
      <c r="BMS197" s="1056"/>
      <c r="BMT197" s="1056"/>
      <c r="BMU197" s="1056"/>
      <c r="BMV197" s="1056"/>
      <c r="BMW197" s="1056"/>
      <c r="BMX197" s="1056"/>
      <c r="BMY197" s="1056"/>
      <c r="BMZ197" s="1056"/>
      <c r="BNA197" s="1056"/>
      <c r="BNB197" s="1056"/>
      <c r="BNC197" s="1056"/>
      <c r="BND197" s="1056"/>
      <c r="BNE197" s="1056"/>
      <c r="BNF197" s="1056"/>
      <c r="BNG197" s="1056"/>
      <c r="BNH197" s="1056"/>
      <c r="BNI197" s="1056"/>
      <c r="BNJ197" s="1056"/>
      <c r="BNK197" s="1056"/>
      <c r="BNL197" s="1056"/>
      <c r="BNM197" s="1056"/>
      <c r="BNN197" s="1056"/>
      <c r="BNO197" s="1056"/>
      <c r="BNP197" s="1056"/>
      <c r="BNQ197" s="1056"/>
      <c r="BNR197" s="1056"/>
      <c r="BNS197" s="1056"/>
      <c r="BNT197" s="1056"/>
      <c r="BNU197" s="1056"/>
      <c r="BNV197" s="1056"/>
      <c r="BNW197" s="1056"/>
      <c r="BNX197" s="1056"/>
      <c r="BNY197" s="1056"/>
      <c r="BNZ197" s="1056"/>
      <c r="BOA197" s="1056"/>
      <c r="BOB197" s="1056"/>
      <c r="BOC197" s="1056"/>
      <c r="BOD197" s="1056"/>
      <c r="BOE197" s="1056"/>
      <c r="BOF197" s="1056"/>
      <c r="BOG197" s="1056"/>
      <c r="BOH197" s="1056"/>
      <c r="BOI197" s="1056"/>
      <c r="BOJ197" s="1056"/>
      <c r="BOK197" s="1056"/>
      <c r="BOL197" s="1056"/>
      <c r="BOM197" s="1056"/>
      <c r="BON197" s="1056"/>
      <c r="BOO197" s="1056"/>
      <c r="BOP197" s="1056"/>
      <c r="BOQ197" s="1056"/>
      <c r="BOR197" s="1056"/>
      <c r="BOS197" s="1056"/>
      <c r="BOT197" s="1056"/>
      <c r="BOU197" s="1056"/>
      <c r="BOV197" s="1056"/>
      <c r="BOW197" s="1056"/>
      <c r="BOX197" s="1056"/>
      <c r="BOY197" s="1056"/>
      <c r="BOZ197" s="1056"/>
      <c r="BPA197" s="1056"/>
      <c r="BPB197" s="1056"/>
      <c r="BPC197" s="1056"/>
      <c r="BPD197" s="1056"/>
      <c r="BPE197" s="1056"/>
      <c r="BPF197" s="1056"/>
      <c r="BPG197" s="1056"/>
      <c r="BPH197" s="1056"/>
      <c r="BPI197" s="1056"/>
      <c r="BPJ197" s="1056"/>
      <c r="BPK197" s="1056"/>
      <c r="BPL197" s="1056"/>
      <c r="BPM197" s="1056"/>
      <c r="BPN197" s="1056"/>
      <c r="BPO197" s="1056"/>
      <c r="BPP197" s="1056"/>
      <c r="BPQ197" s="1056"/>
      <c r="BPR197" s="1056"/>
      <c r="BPS197" s="1056"/>
      <c r="BPT197" s="1056"/>
      <c r="BPU197" s="1056"/>
      <c r="BPV197" s="1056"/>
      <c r="BPW197" s="1056"/>
      <c r="BPX197" s="1056"/>
      <c r="BPY197" s="1056"/>
      <c r="BPZ197" s="1056"/>
      <c r="BQA197" s="1056"/>
      <c r="BQB197" s="1056"/>
      <c r="BQC197" s="1056"/>
      <c r="BQD197" s="1056"/>
      <c r="BQE197" s="1056"/>
      <c r="BQF197" s="1056"/>
      <c r="BQG197" s="1056"/>
      <c r="BQH197" s="1056"/>
      <c r="BQI197" s="1056"/>
      <c r="BQJ197" s="1056"/>
      <c r="BQK197" s="1056"/>
      <c r="BQL197" s="1056"/>
      <c r="BQM197" s="1056"/>
      <c r="BQN197" s="1056"/>
      <c r="BQO197" s="1056"/>
      <c r="BQP197" s="1056"/>
      <c r="BQQ197" s="1056"/>
      <c r="BQR197" s="1056"/>
      <c r="BQS197" s="1056"/>
      <c r="BQT197" s="1056"/>
      <c r="BQU197" s="1056"/>
      <c r="BQV197" s="1056"/>
      <c r="BQW197" s="1056"/>
      <c r="BQX197" s="1056"/>
      <c r="BQY197" s="1056"/>
      <c r="BQZ197" s="1056"/>
      <c r="BRA197" s="1056"/>
      <c r="BRB197" s="1056"/>
      <c r="BRC197" s="1056"/>
      <c r="BRD197" s="1056"/>
      <c r="BRE197" s="1056"/>
      <c r="BRF197" s="1056"/>
      <c r="BRG197" s="1056"/>
      <c r="BRH197" s="1056"/>
      <c r="BRI197" s="1056"/>
      <c r="BRJ197" s="1056"/>
      <c r="BRK197" s="1056"/>
      <c r="BRL197" s="1056"/>
      <c r="BRM197" s="1056"/>
      <c r="BRN197" s="1056"/>
      <c r="BRO197" s="1056"/>
      <c r="BRP197" s="1056"/>
      <c r="BRQ197" s="1056"/>
      <c r="BRR197" s="1056"/>
      <c r="BRS197" s="1056"/>
      <c r="BRT197" s="1056"/>
      <c r="BRU197" s="1056"/>
      <c r="BRV197" s="1056"/>
      <c r="BRW197" s="1056"/>
      <c r="BRX197" s="1056"/>
      <c r="BRY197" s="1056"/>
      <c r="BRZ197" s="1056"/>
      <c r="BSA197" s="1056"/>
      <c r="BSB197" s="1056"/>
      <c r="BSC197" s="1056"/>
      <c r="BSD197" s="1056"/>
      <c r="BSE197" s="1056"/>
      <c r="BSF197" s="1056"/>
      <c r="BSG197" s="1056"/>
      <c r="BSH197" s="1056"/>
      <c r="BSI197" s="1056"/>
      <c r="BSJ197" s="1056"/>
      <c r="BSK197" s="1056"/>
      <c r="BSL197" s="1056"/>
      <c r="BSM197" s="1056"/>
      <c r="BSN197" s="1056"/>
      <c r="BSO197" s="1056"/>
      <c r="BSP197" s="1056"/>
      <c r="BSQ197" s="1056"/>
      <c r="BSR197" s="1056"/>
      <c r="BSS197" s="1056"/>
      <c r="BST197" s="1056"/>
      <c r="BSU197" s="1056"/>
      <c r="BSV197" s="1056"/>
      <c r="BSW197" s="1056"/>
      <c r="BSX197" s="1056"/>
      <c r="BSY197" s="1056"/>
      <c r="BSZ197" s="1056"/>
      <c r="BTA197" s="1056"/>
      <c r="BTB197" s="1056"/>
      <c r="BTC197" s="1056"/>
      <c r="BTD197" s="1056"/>
      <c r="BTE197" s="1056"/>
      <c r="BTF197" s="1056"/>
      <c r="BTG197" s="1056"/>
      <c r="BTH197" s="1056"/>
      <c r="BTI197" s="1056"/>
    </row>
    <row r="198" spans="1:1881" s="1056" customFormat="1" ht="93.75" hidden="1" customHeight="1" x14ac:dyDescent="0.3">
      <c r="A198" s="1059">
        <v>53</v>
      </c>
      <c r="B198" s="735" t="s">
        <v>66</v>
      </c>
      <c r="C198" s="735" t="s">
        <v>1422</v>
      </c>
      <c r="D198" s="1052" t="s">
        <v>1428</v>
      </c>
      <c r="E198" s="1053" t="e">
        <f>HLOOKUP($D$2,'2020 Data(H)'!$C$1:$AI$426,40,FALSE)</f>
        <v>#N/A</v>
      </c>
      <c r="F198" s="286">
        <v>0</v>
      </c>
      <c r="G198" s="722">
        <f>IF(H198=0,,"Error: Total revenues less total expenses do not equal total change in net position. Account number 93-94+363-364+192+365-366-53=0  The amount of the formula is in the cell to the right")</f>
        <v>0</v>
      </c>
      <c r="H198" s="1054">
        <f>+F188-F191+F193-F194+F195+F196-F197-F198</f>
        <v>0</v>
      </c>
      <c r="I198" s="1055"/>
      <c r="N198" s="1058"/>
      <c r="Z198" s="1059"/>
      <c r="AA198" s="1059"/>
      <c r="AB198" s="1059"/>
      <c r="AC198" s="1059"/>
      <c r="AD198" s="1059"/>
      <c r="AE198" s="1059"/>
      <c r="AF198" s="1059"/>
      <c r="AG198" s="1059"/>
      <c r="AH198" s="1059"/>
      <c r="AI198" s="1059"/>
      <c r="AJ198" s="1059"/>
      <c r="AK198" s="1059"/>
      <c r="AL198" s="1059"/>
      <c r="AM198" s="1059"/>
      <c r="AN198" s="1059"/>
      <c r="AO198" s="1059"/>
      <c r="AP198" s="1059"/>
      <c r="AQ198" s="1059"/>
      <c r="AR198" s="1059"/>
    </row>
    <row r="199" spans="1:1881" s="1056" customFormat="1" ht="135" hidden="1" customHeight="1" x14ac:dyDescent="0.3">
      <c r="A199" s="1059">
        <v>378</v>
      </c>
      <c r="B199" s="1077" t="s">
        <v>56</v>
      </c>
      <c r="C199" s="808" t="s">
        <v>1422</v>
      </c>
      <c r="D199" s="1052" t="s">
        <v>1429</v>
      </c>
      <c r="E199" s="1053" t="e">
        <f>HLOOKUP($D$2,'2020 Data(H)'!$C$1:$AI$426,137,FALSE)</f>
        <v>#N/A</v>
      </c>
      <c r="F199" s="285">
        <v>0</v>
      </c>
      <c r="G199" s="722" t="e">
        <f>IF(F168-F198-F199=E168,,"Error: Beginning Balance does not agree with our records.  Acct #s (362-53-378)=prior year 362  The amount of the formula is in the cell to the right")</f>
        <v>#N/A</v>
      </c>
      <c r="H199" s="1054" t="e">
        <f>+F168-F198-F199-E168</f>
        <v>#N/A</v>
      </c>
      <c r="I199" s="1055"/>
      <c r="N199" s="1058"/>
      <c r="Z199" s="1059"/>
      <c r="AA199" s="1059"/>
      <c r="AB199" s="1059"/>
      <c r="AC199" s="1059"/>
      <c r="AD199" s="1059"/>
      <c r="AE199" s="1059"/>
      <c r="AF199" s="1059"/>
      <c r="AG199" s="1059"/>
      <c r="AH199" s="1059"/>
      <c r="AI199" s="1059"/>
      <c r="AJ199" s="1059"/>
      <c r="AK199" s="1059"/>
      <c r="AL199" s="1059"/>
      <c r="AM199" s="1059"/>
      <c r="AN199" s="1059"/>
      <c r="AO199" s="1059"/>
      <c r="AP199" s="1059"/>
      <c r="AQ199" s="1059"/>
      <c r="AR199" s="1059"/>
    </row>
    <row r="200" spans="1:1881" s="1060" customFormat="1" ht="30.75" hidden="1" customHeight="1" x14ac:dyDescent="0.3">
      <c r="A200" s="1059"/>
      <c r="B200" s="843" t="s">
        <v>508</v>
      </c>
      <c r="C200" s="843"/>
      <c r="D200" s="845"/>
      <c r="E200" s="1098"/>
      <c r="F200" s="850"/>
      <c r="G200" s="831"/>
      <c r="H200" s="764"/>
      <c r="I200" s="1055"/>
      <c r="J200" s="1056"/>
      <c r="K200" s="1056"/>
      <c r="L200" s="1056"/>
      <c r="M200" s="1056"/>
      <c r="N200" s="1058"/>
      <c r="O200" s="1056"/>
      <c r="P200" s="1056"/>
      <c r="Q200" s="1056"/>
      <c r="R200" s="1056"/>
      <c r="S200" s="1056"/>
      <c r="T200" s="1056"/>
      <c r="U200" s="1056"/>
      <c r="V200" s="1056"/>
      <c r="W200" s="1056"/>
      <c r="X200" s="1056"/>
      <c r="Y200" s="1056"/>
      <c r="Z200" s="1059"/>
      <c r="AA200" s="1059"/>
      <c r="AB200" s="1059"/>
      <c r="AC200" s="1059"/>
      <c r="AD200" s="1059"/>
      <c r="AE200" s="1059"/>
      <c r="AF200" s="1059"/>
      <c r="AG200" s="1059"/>
      <c r="AH200" s="1059"/>
      <c r="AI200" s="1059"/>
      <c r="AJ200" s="1059"/>
      <c r="AK200" s="1059"/>
      <c r="AL200" s="1059"/>
      <c r="AM200" s="1059"/>
      <c r="AN200" s="1059"/>
      <c r="AO200" s="1059"/>
      <c r="AP200" s="1059"/>
      <c r="AQ200" s="1059"/>
      <c r="AR200" s="1059"/>
      <c r="AS200" s="1056"/>
      <c r="AT200" s="1056"/>
      <c r="AU200" s="1056"/>
      <c r="AV200" s="1056"/>
      <c r="AW200" s="1056"/>
      <c r="AX200" s="1056"/>
      <c r="AY200" s="1056"/>
      <c r="AZ200" s="1056"/>
      <c r="BA200" s="1056"/>
      <c r="BB200" s="1056"/>
      <c r="BC200" s="1056"/>
      <c r="BD200" s="1056"/>
      <c r="BE200" s="1056"/>
      <c r="BF200" s="1056"/>
      <c r="BG200" s="1056"/>
      <c r="BH200" s="1056"/>
      <c r="BI200" s="1056"/>
      <c r="BJ200" s="1056"/>
      <c r="BK200" s="1056"/>
      <c r="BL200" s="1056"/>
      <c r="BM200" s="1056"/>
      <c r="BN200" s="1056"/>
      <c r="BO200" s="1056"/>
      <c r="BP200" s="1056"/>
      <c r="BQ200" s="1056"/>
      <c r="BR200" s="1056"/>
      <c r="BS200" s="1056"/>
      <c r="BT200" s="1056"/>
      <c r="BU200" s="1056"/>
      <c r="BV200" s="1056"/>
      <c r="BW200" s="1056"/>
      <c r="BX200" s="1056"/>
      <c r="BY200" s="1056"/>
      <c r="BZ200" s="1056"/>
      <c r="CA200" s="1056"/>
      <c r="CB200" s="1056"/>
      <c r="CC200" s="1056"/>
      <c r="CD200" s="1056"/>
      <c r="CE200" s="1056"/>
      <c r="CF200" s="1056"/>
      <c r="CG200" s="1056"/>
      <c r="CH200" s="1056"/>
      <c r="CI200" s="1056"/>
      <c r="CJ200" s="1056"/>
      <c r="CK200" s="1056"/>
      <c r="CL200" s="1056"/>
      <c r="CM200" s="1056"/>
      <c r="CN200" s="1056"/>
      <c r="CO200" s="1056"/>
      <c r="CP200" s="1056"/>
      <c r="CQ200" s="1056"/>
      <c r="CR200" s="1056"/>
      <c r="CS200" s="1056"/>
      <c r="CT200" s="1056"/>
      <c r="CU200" s="1056"/>
      <c r="CV200" s="1056"/>
      <c r="CW200" s="1056"/>
      <c r="CX200" s="1056"/>
      <c r="CY200" s="1056"/>
      <c r="CZ200" s="1056"/>
      <c r="DA200" s="1056"/>
      <c r="DB200" s="1056"/>
      <c r="DC200" s="1056"/>
      <c r="DD200" s="1056"/>
      <c r="DE200" s="1056"/>
      <c r="DF200" s="1056"/>
      <c r="DG200" s="1056"/>
      <c r="DH200" s="1056"/>
      <c r="DI200" s="1056"/>
      <c r="DJ200" s="1056"/>
      <c r="DK200" s="1056"/>
      <c r="DL200" s="1056"/>
      <c r="DM200" s="1056"/>
      <c r="DN200" s="1056"/>
      <c r="DO200" s="1056"/>
      <c r="DP200" s="1056"/>
      <c r="DQ200" s="1056"/>
      <c r="DR200" s="1056"/>
      <c r="DS200" s="1056"/>
      <c r="DT200" s="1056"/>
      <c r="DU200" s="1056"/>
      <c r="DV200" s="1056"/>
      <c r="DW200" s="1056"/>
      <c r="DX200" s="1056"/>
      <c r="DY200" s="1056"/>
      <c r="DZ200" s="1056"/>
      <c r="EA200" s="1056"/>
      <c r="EB200" s="1056"/>
      <c r="EC200" s="1056"/>
      <c r="ED200" s="1056"/>
      <c r="EE200" s="1056"/>
      <c r="EF200" s="1056"/>
      <c r="EG200" s="1056"/>
      <c r="EH200" s="1056"/>
      <c r="EI200" s="1056"/>
      <c r="EJ200" s="1056"/>
      <c r="EK200" s="1056"/>
      <c r="EL200" s="1056"/>
      <c r="EM200" s="1056"/>
      <c r="EN200" s="1056"/>
      <c r="EO200" s="1056"/>
      <c r="EP200" s="1056"/>
      <c r="EQ200" s="1056"/>
      <c r="ER200" s="1056"/>
      <c r="ES200" s="1056"/>
      <c r="ET200" s="1056"/>
      <c r="EU200" s="1056"/>
      <c r="EV200" s="1056"/>
      <c r="EW200" s="1056"/>
      <c r="EX200" s="1056"/>
      <c r="EY200" s="1056"/>
      <c r="EZ200" s="1056"/>
      <c r="FA200" s="1056"/>
      <c r="FB200" s="1056"/>
      <c r="FC200" s="1056"/>
      <c r="FD200" s="1056"/>
      <c r="FE200" s="1056"/>
      <c r="FF200" s="1056"/>
      <c r="FG200" s="1056"/>
      <c r="FH200" s="1056"/>
      <c r="FI200" s="1056"/>
      <c r="FJ200" s="1056"/>
      <c r="FK200" s="1056"/>
      <c r="FL200" s="1056"/>
      <c r="FM200" s="1056"/>
      <c r="FN200" s="1056"/>
      <c r="FO200" s="1056"/>
      <c r="FP200" s="1056"/>
      <c r="FQ200" s="1056"/>
      <c r="FR200" s="1056"/>
      <c r="FS200" s="1056"/>
      <c r="FT200" s="1056"/>
      <c r="FU200" s="1056"/>
      <c r="FV200" s="1056"/>
      <c r="FW200" s="1056"/>
      <c r="FX200" s="1056"/>
      <c r="FY200" s="1056"/>
      <c r="FZ200" s="1056"/>
      <c r="GA200" s="1056"/>
      <c r="GB200" s="1056"/>
      <c r="GC200" s="1056"/>
      <c r="GD200" s="1056"/>
      <c r="GE200" s="1056"/>
      <c r="GF200" s="1056"/>
      <c r="GG200" s="1056"/>
      <c r="GH200" s="1056"/>
      <c r="GI200" s="1056"/>
      <c r="GJ200" s="1056"/>
      <c r="GK200" s="1056"/>
      <c r="GL200" s="1056"/>
      <c r="GM200" s="1056"/>
      <c r="GN200" s="1056"/>
      <c r="GO200" s="1056"/>
      <c r="GP200" s="1056"/>
      <c r="GQ200" s="1056"/>
      <c r="GR200" s="1056"/>
      <c r="GS200" s="1056"/>
      <c r="GT200" s="1056"/>
      <c r="GU200" s="1056"/>
      <c r="GV200" s="1056"/>
      <c r="GW200" s="1056"/>
      <c r="GX200" s="1056"/>
      <c r="GY200" s="1056"/>
      <c r="GZ200" s="1056"/>
      <c r="HA200" s="1056"/>
      <c r="HB200" s="1056"/>
      <c r="HC200" s="1056"/>
      <c r="HD200" s="1056"/>
      <c r="HE200" s="1056"/>
      <c r="HF200" s="1056"/>
      <c r="HG200" s="1056"/>
      <c r="HH200" s="1056"/>
      <c r="HI200" s="1056"/>
      <c r="HJ200" s="1056"/>
      <c r="HK200" s="1056"/>
      <c r="HL200" s="1056"/>
      <c r="HM200" s="1056"/>
      <c r="HN200" s="1056"/>
      <c r="HO200" s="1056"/>
      <c r="HP200" s="1056"/>
      <c r="HQ200" s="1056"/>
      <c r="HR200" s="1056"/>
      <c r="HS200" s="1056"/>
      <c r="HT200" s="1056"/>
      <c r="HU200" s="1056"/>
      <c r="HV200" s="1056"/>
      <c r="HW200" s="1056"/>
      <c r="HX200" s="1056"/>
      <c r="HY200" s="1056"/>
      <c r="HZ200" s="1056"/>
      <c r="IA200" s="1056"/>
      <c r="IB200" s="1056"/>
      <c r="IC200" s="1056"/>
      <c r="ID200" s="1056"/>
      <c r="IE200" s="1056"/>
      <c r="IF200" s="1056"/>
      <c r="IG200" s="1056"/>
      <c r="IH200" s="1056"/>
      <c r="II200" s="1056"/>
      <c r="IJ200" s="1056"/>
      <c r="IK200" s="1056"/>
      <c r="IL200" s="1056"/>
      <c r="IM200" s="1056"/>
      <c r="IN200" s="1056"/>
      <c r="IO200" s="1056"/>
      <c r="IP200" s="1056"/>
      <c r="IQ200" s="1056"/>
      <c r="IR200" s="1056"/>
      <c r="IS200" s="1056"/>
      <c r="IT200" s="1056"/>
      <c r="IU200" s="1056"/>
      <c r="IV200" s="1056"/>
      <c r="IW200" s="1056"/>
      <c r="IX200" s="1056"/>
      <c r="IY200" s="1056"/>
      <c r="IZ200" s="1056"/>
      <c r="JA200" s="1056"/>
      <c r="JB200" s="1056"/>
      <c r="JC200" s="1056"/>
      <c r="JD200" s="1056"/>
      <c r="JE200" s="1056"/>
      <c r="JF200" s="1056"/>
      <c r="JG200" s="1056"/>
      <c r="JH200" s="1056"/>
      <c r="JI200" s="1056"/>
      <c r="JJ200" s="1056"/>
      <c r="JK200" s="1056"/>
      <c r="JL200" s="1056"/>
      <c r="JM200" s="1056"/>
      <c r="JN200" s="1056"/>
      <c r="JO200" s="1056"/>
      <c r="JP200" s="1056"/>
      <c r="JQ200" s="1056"/>
      <c r="JR200" s="1056"/>
      <c r="JS200" s="1056"/>
      <c r="JT200" s="1056"/>
      <c r="JU200" s="1056"/>
      <c r="JV200" s="1056"/>
      <c r="JW200" s="1056"/>
      <c r="JX200" s="1056"/>
      <c r="JY200" s="1056"/>
      <c r="JZ200" s="1056"/>
      <c r="KA200" s="1056"/>
      <c r="KB200" s="1056"/>
      <c r="KC200" s="1056"/>
      <c r="KD200" s="1056"/>
      <c r="KE200" s="1056"/>
      <c r="KF200" s="1056"/>
      <c r="KG200" s="1056"/>
      <c r="KH200" s="1056"/>
      <c r="KI200" s="1056"/>
      <c r="KJ200" s="1056"/>
      <c r="KK200" s="1056"/>
      <c r="KL200" s="1056"/>
      <c r="KM200" s="1056"/>
      <c r="KN200" s="1056"/>
      <c r="KO200" s="1056"/>
      <c r="KP200" s="1056"/>
      <c r="KQ200" s="1056"/>
      <c r="KR200" s="1056"/>
      <c r="KS200" s="1056"/>
      <c r="KT200" s="1056"/>
      <c r="KU200" s="1056"/>
      <c r="KV200" s="1056"/>
      <c r="KW200" s="1056"/>
      <c r="KX200" s="1056"/>
      <c r="KY200" s="1056"/>
      <c r="KZ200" s="1056"/>
      <c r="LA200" s="1056"/>
      <c r="LB200" s="1056"/>
      <c r="LC200" s="1056"/>
      <c r="LD200" s="1056"/>
      <c r="LE200" s="1056"/>
      <c r="LF200" s="1056"/>
      <c r="LG200" s="1056"/>
      <c r="LH200" s="1056"/>
      <c r="LI200" s="1056"/>
      <c r="LJ200" s="1056"/>
      <c r="LK200" s="1056"/>
      <c r="LL200" s="1056"/>
      <c r="LM200" s="1056"/>
      <c r="LN200" s="1056"/>
      <c r="LO200" s="1056"/>
      <c r="LP200" s="1056"/>
      <c r="LQ200" s="1056"/>
      <c r="LR200" s="1056"/>
      <c r="LS200" s="1056"/>
      <c r="LT200" s="1056"/>
      <c r="LU200" s="1056"/>
      <c r="LV200" s="1056"/>
      <c r="LW200" s="1056"/>
      <c r="LX200" s="1056"/>
      <c r="LY200" s="1056"/>
      <c r="LZ200" s="1056"/>
      <c r="MA200" s="1056"/>
      <c r="MB200" s="1056"/>
      <c r="MC200" s="1056"/>
      <c r="MD200" s="1056"/>
      <c r="ME200" s="1056"/>
      <c r="MF200" s="1056"/>
      <c r="MG200" s="1056"/>
      <c r="MH200" s="1056"/>
      <c r="MI200" s="1056"/>
      <c r="MJ200" s="1056"/>
      <c r="MK200" s="1056"/>
      <c r="ML200" s="1056"/>
      <c r="MM200" s="1056"/>
      <c r="MN200" s="1056"/>
      <c r="MO200" s="1056"/>
      <c r="MP200" s="1056"/>
      <c r="MQ200" s="1056"/>
      <c r="MR200" s="1056"/>
      <c r="MS200" s="1056"/>
      <c r="MT200" s="1056"/>
      <c r="MU200" s="1056"/>
      <c r="MV200" s="1056"/>
      <c r="MW200" s="1056"/>
      <c r="MX200" s="1056"/>
      <c r="MY200" s="1056"/>
      <c r="MZ200" s="1056"/>
      <c r="NA200" s="1056"/>
      <c r="NB200" s="1056"/>
      <c r="NC200" s="1056"/>
      <c r="ND200" s="1056"/>
      <c r="NE200" s="1056"/>
      <c r="NF200" s="1056"/>
      <c r="NG200" s="1056"/>
      <c r="NH200" s="1056"/>
      <c r="NI200" s="1056"/>
      <c r="NJ200" s="1056"/>
      <c r="NK200" s="1056"/>
      <c r="NL200" s="1056"/>
      <c r="NM200" s="1056"/>
      <c r="NN200" s="1056"/>
      <c r="NO200" s="1056"/>
      <c r="NP200" s="1056"/>
      <c r="NQ200" s="1056"/>
      <c r="NR200" s="1056"/>
      <c r="NS200" s="1056"/>
      <c r="NT200" s="1056"/>
      <c r="NU200" s="1056"/>
      <c r="NV200" s="1056"/>
      <c r="NW200" s="1056"/>
      <c r="NX200" s="1056"/>
      <c r="NY200" s="1056"/>
      <c r="NZ200" s="1056"/>
      <c r="OA200" s="1056"/>
      <c r="OB200" s="1056"/>
      <c r="OC200" s="1056"/>
      <c r="OD200" s="1056"/>
      <c r="OE200" s="1056"/>
      <c r="OF200" s="1056"/>
      <c r="OG200" s="1056"/>
      <c r="OH200" s="1056"/>
      <c r="OI200" s="1056"/>
      <c r="OJ200" s="1056"/>
      <c r="OK200" s="1056"/>
      <c r="OL200" s="1056"/>
      <c r="OM200" s="1056"/>
      <c r="ON200" s="1056"/>
      <c r="OO200" s="1056"/>
      <c r="OP200" s="1056"/>
      <c r="OQ200" s="1056"/>
      <c r="OR200" s="1056"/>
      <c r="OS200" s="1056"/>
      <c r="OT200" s="1056"/>
      <c r="OU200" s="1056"/>
      <c r="OV200" s="1056"/>
      <c r="OW200" s="1056"/>
      <c r="OX200" s="1056"/>
      <c r="OY200" s="1056"/>
      <c r="OZ200" s="1056"/>
      <c r="PA200" s="1056"/>
      <c r="PB200" s="1056"/>
      <c r="PC200" s="1056"/>
      <c r="PD200" s="1056"/>
      <c r="PE200" s="1056"/>
      <c r="PF200" s="1056"/>
      <c r="PG200" s="1056"/>
      <c r="PH200" s="1056"/>
      <c r="PI200" s="1056"/>
      <c r="PJ200" s="1056"/>
      <c r="PK200" s="1056"/>
      <c r="PL200" s="1056"/>
      <c r="PM200" s="1056"/>
      <c r="PN200" s="1056"/>
      <c r="PO200" s="1056"/>
      <c r="PP200" s="1056"/>
      <c r="PQ200" s="1056"/>
      <c r="PR200" s="1056"/>
      <c r="PS200" s="1056"/>
      <c r="PT200" s="1056"/>
      <c r="PU200" s="1056"/>
      <c r="PV200" s="1056"/>
      <c r="PW200" s="1056"/>
      <c r="PX200" s="1056"/>
      <c r="PY200" s="1056"/>
      <c r="PZ200" s="1056"/>
      <c r="QA200" s="1056"/>
      <c r="QB200" s="1056"/>
      <c r="QC200" s="1056"/>
      <c r="QD200" s="1056"/>
      <c r="QE200" s="1056"/>
      <c r="QF200" s="1056"/>
      <c r="QG200" s="1056"/>
      <c r="QH200" s="1056"/>
      <c r="QI200" s="1056"/>
      <c r="QJ200" s="1056"/>
      <c r="QK200" s="1056"/>
      <c r="QL200" s="1056"/>
      <c r="QM200" s="1056"/>
      <c r="QN200" s="1056"/>
      <c r="QO200" s="1056"/>
      <c r="QP200" s="1056"/>
      <c r="QQ200" s="1056"/>
      <c r="QR200" s="1056"/>
      <c r="QS200" s="1056"/>
      <c r="QT200" s="1056"/>
      <c r="QU200" s="1056"/>
      <c r="QV200" s="1056"/>
      <c r="QW200" s="1056"/>
      <c r="QX200" s="1056"/>
      <c r="QY200" s="1056"/>
      <c r="QZ200" s="1056"/>
      <c r="RA200" s="1056"/>
      <c r="RB200" s="1056"/>
      <c r="RC200" s="1056"/>
      <c r="RD200" s="1056"/>
      <c r="RE200" s="1056"/>
      <c r="RF200" s="1056"/>
      <c r="RG200" s="1056"/>
      <c r="RH200" s="1056"/>
      <c r="RI200" s="1056"/>
      <c r="RJ200" s="1056"/>
      <c r="RK200" s="1056"/>
      <c r="RL200" s="1056"/>
      <c r="RM200" s="1056"/>
      <c r="RN200" s="1056"/>
      <c r="RO200" s="1056"/>
      <c r="RP200" s="1056"/>
      <c r="RQ200" s="1056"/>
      <c r="RR200" s="1056"/>
      <c r="RS200" s="1056"/>
      <c r="RT200" s="1056"/>
      <c r="RU200" s="1056"/>
      <c r="RV200" s="1056"/>
      <c r="RW200" s="1056"/>
      <c r="RX200" s="1056"/>
      <c r="RY200" s="1056"/>
      <c r="RZ200" s="1056"/>
      <c r="SA200" s="1056"/>
      <c r="SB200" s="1056"/>
      <c r="SC200" s="1056"/>
      <c r="SD200" s="1056"/>
      <c r="SE200" s="1056"/>
      <c r="SF200" s="1056"/>
      <c r="SG200" s="1056"/>
      <c r="SH200" s="1056"/>
      <c r="SI200" s="1056"/>
      <c r="SJ200" s="1056"/>
      <c r="SK200" s="1056"/>
      <c r="SL200" s="1056"/>
      <c r="SM200" s="1056"/>
      <c r="SN200" s="1056"/>
      <c r="SO200" s="1056"/>
      <c r="SP200" s="1056"/>
      <c r="SQ200" s="1056"/>
      <c r="SR200" s="1056"/>
      <c r="SS200" s="1056"/>
      <c r="ST200" s="1056"/>
      <c r="SU200" s="1056"/>
      <c r="SV200" s="1056"/>
      <c r="SW200" s="1056"/>
      <c r="SX200" s="1056"/>
      <c r="SY200" s="1056"/>
      <c r="SZ200" s="1056"/>
      <c r="TA200" s="1056"/>
      <c r="TB200" s="1056"/>
      <c r="TC200" s="1056"/>
      <c r="TD200" s="1056"/>
      <c r="TE200" s="1056"/>
      <c r="TF200" s="1056"/>
      <c r="TG200" s="1056"/>
      <c r="TH200" s="1056"/>
      <c r="TI200" s="1056"/>
      <c r="TJ200" s="1056"/>
      <c r="TK200" s="1056"/>
      <c r="TL200" s="1056"/>
      <c r="TM200" s="1056"/>
      <c r="TN200" s="1056"/>
      <c r="TO200" s="1056"/>
      <c r="TP200" s="1056"/>
      <c r="TQ200" s="1056"/>
      <c r="TR200" s="1056"/>
      <c r="TS200" s="1056"/>
      <c r="TT200" s="1056"/>
      <c r="TU200" s="1056"/>
      <c r="TV200" s="1056"/>
      <c r="TW200" s="1056"/>
      <c r="TX200" s="1056"/>
      <c r="TY200" s="1056"/>
      <c r="TZ200" s="1056"/>
      <c r="UA200" s="1056"/>
      <c r="UB200" s="1056"/>
      <c r="UC200" s="1056"/>
      <c r="UD200" s="1056"/>
      <c r="UE200" s="1056"/>
      <c r="UF200" s="1056"/>
      <c r="UG200" s="1056"/>
      <c r="UH200" s="1056"/>
      <c r="UI200" s="1056"/>
      <c r="UJ200" s="1056"/>
      <c r="UK200" s="1056"/>
      <c r="UL200" s="1056"/>
      <c r="UM200" s="1056"/>
      <c r="UN200" s="1056"/>
      <c r="UO200" s="1056"/>
      <c r="UP200" s="1056"/>
      <c r="UQ200" s="1056"/>
      <c r="UR200" s="1056"/>
      <c r="US200" s="1056"/>
      <c r="UT200" s="1056"/>
      <c r="UU200" s="1056"/>
      <c r="UV200" s="1056"/>
      <c r="UW200" s="1056"/>
      <c r="UX200" s="1056"/>
      <c r="UY200" s="1056"/>
      <c r="UZ200" s="1056"/>
      <c r="VA200" s="1056"/>
      <c r="VB200" s="1056"/>
      <c r="VC200" s="1056"/>
      <c r="VD200" s="1056"/>
      <c r="VE200" s="1056"/>
      <c r="VF200" s="1056"/>
      <c r="VG200" s="1056"/>
      <c r="VH200" s="1056"/>
      <c r="VI200" s="1056"/>
      <c r="VJ200" s="1056"/>
      <c r="VK200" s="1056"/>
      <c r="VL200" s="1056"/>
      <c r="VM200" s="1056"/>
      <c r="VN200" s="1056"/>
      <c r="VO200" s="1056"/>
      <c r="VP200" s="1056"/>
      <c r="VQ200" s="1056"/>
      <c r="VR200" s="1056"/>
      <c r="VS200" s="1056"/>
      <c r="VT200" s="1056"/>
      <c r="VU200" s="1056"/>
      <c r="VV200" s="1056"/>
      <c r="VW200" s="1056"/>
      <c r="VX200" s="1056"/>
      <c r="VY200" s="1056"/>
      <c r="VZ200" s="1056"/>
      <c r="WA200" s="1056"/>
      <c r="WB200" s="1056"/>
      <c r="WC200" s="1056"/>
      <c r="WD200" s="1056"/>
      <c r="WE200" s="1056"/>
      <c r="WF200" s="1056"/>
      <c r="WG200" s="1056"/>
      <c r="WH200" s="1056"/>
      <c r="WI200" s="1056"/>
      <c r="WJ200" s="1056"/>
      <c r="WK200" s="1056"/>
      <c r="WL200" s="1056"/>
      <c r="WM200" s="1056"/>
      <c r="WN200" s="1056"/>
      <c r="WO200" s="1056"/>
      <c r="WP200" s="1056"/>
      <c r="WQ200" s="1056"/>
      <c r="WR200" s="1056"/>
      <c r="WS200" s="1056"/>
      <c r="WT200" s="1056"/>
      <c r="WU200" s="1056"/>
      <c r="WV200" s="1056"/>
      <c r="WW200" s="1056"/>
      <c r="WX200" s="1056"/>
      <c r="WY200" s="1056"/>
      <c r="WZ200" s="1056"/>
      <c r="XA200" s="1056"/>
      <c r="XB200" s="1056"/>
      <c r="XC200" s="1056"/>
      <c r="XD200" s="1056"/>
      <c r="XE200" s="1056"/>
      <c r="XF200" s="1056"/>
      <c r="XG200" s="1056"/>
      <c r="XH200" s="1056"/>
      <c r="XI200" s="1056"/>
      <c r="XJ200" s="1056"/>
      <c r="XK200" s="1056"/>
      <c r="XL200" s="1056"/>
      <c r="XM200" s="1056"/>
      <c r="XN200" s="1056"/>
      <c r="XO200" s="1056"/>
      <c r="XP200" s="1056"/>
      <c r="XQ200" s="1056"/>
      <c r="XR200" s="1056"/>
      <c r="XS200" s="1056"/>
      <c r="XT200" s="1056"/>
      <c r="XU200" s="1056"/>
      <c r="XV200" s="1056"/>
      <c r="XW200" s="1056"/>
      <c r="XX200" s="1056"/>
      <c r="XY200" s="1056"/>
      <c r="XZ200" s="1056"/>
      <c r="YA200" s="1056"/>
      <c r="YB200" s="1056"/>
      <c r="YC200" s="1056"/>
      <c r="YD200" s="1056"/>
      <c r="YE200" s="1056"/>
      <c r="YF200" s="1056"/>
      <c r="YG200" s="1056"/>
      <c r="YH200" s="1056"/>
      <c r="YI200" s="1056"/>
      <c r="YJ200" s="1056"/>
      <c r="YK200" s="1056"/>
      <c r="YL200" s="1056"/>
      <c r="YM200" s="1056"/>
      <c r="YN200" s="1056"/>
      <c r="YO200" s="1056"/>
      <c r="YP200" s="1056"/>
      <c r="YQ200" s="1056"/>
      <c r="YR200" s="1056"/>
      <c r="YS200" s="1056"/>
      <c r="YT200" s="1056"/>
      <c r="YU200" s="1056"/>
      <c r="YV200" s="1056"/>
      <c r="YW200" s="1056"/>
      <c r="YX200" s="1056"/>
      <c r="YY200" s="1056"/>
      <c r="YZ200" s="1056"/>
      <c r="ZA200" s="1056"/>
      <c r="ZB200" s="1056"/>
      <c r="ZC200" s="1056"/>
      <c r="ZD200" s="1056"/>
      <c r="ZE200" s="1056"/>
      <c r="ZF200" s="1056"/>
      <c r="ZG200" s="1056"/>
      <c r="ZH200" s="1056"/>
      <c r="ZI200" s="1056"/>
      <c r="ZJ200" s="1056"/>
      <c r="ZK200" s="1056"/>
      <c r="ZL200" s="1056"/>
      <c r="ZM200" s="1056"/>
      <c r="ZN200" s="1056"/>
      <c r="ZO200" s="1056"/>
      <c r="ZP200" s="1056"/>
      <c r="ZQ200" s="1056"/>
      <c r="ZR200" s="1056"/>
      <c r="ZS200" s="1056"/>
      <c r="ZT200" s="1056"/>
      <c r="ZU200" s="1056"/>
      <c r="ZV200" s="1056"/>
      <c r="ZW200" s="1056"/>
      <c r="ZX200" s="1056"/>
      <c r="ZY200" s="1056"/>
      <c r="ZZ200" s="1056"/>
      <c r="AAA200" s="1056"/>
      <c r="AAB200" s="1056"/>
      <c r="AAC200" s="1056"/>
      <c r="AAD200" s="1056"/>
      <c r="AAE200" s="1056"/>
      <c r="AAF200" s="1056"/>
      <c r="AAG200" s="1056"/>
      <c r="AAH200" s="1056"/>
      <c r="AAI200" s="1056"/>
      <c r="AAJ200" s="1056"/>
      <c r="AAK200" s="1056"/>
      <c r="AAL200" s="1056"/>
      <c r="AAM200" s="1056"/>
      <c r="AAN200" s="1056"/>
      <c r="AAO200" s="1056"/>
      <c r="AAP200" s="1056"/>
      <c r="AAQ200" s="1056"/>
      <c r="AAR200" s="1056"/>
      <c r="AAS200" s="1056"/>
      <c r="AAT200" s="1056"/>
      <c r="AAU200" s="1056"/>
      <c r="AAV200" s="1056"/>
      <c r="AAW200" s="1056"/>
      <c r="AAX200" s="1056"/>
      <c r="AAY200" s="1056"/>
      <c r="AAZ200" s="1056"/>
      <c r="ABA200" s="1056"/>
      <c r="ABB200" s="1056"/>
      <c r="ABC200" s="1056"/>
      <c r="ABD200" s="1056"/>
      <c r="ABE200" s="1056"/>
      <c r="ABF200" s="1056"/>
      <c r="ABG200" s="1056"/>
      <c r="ABH200" s="1056"/>
      <c r="ABI200" s="1056"/>
      <c r="ABJ200" s="1056"/>
      <c r="ABK200" s="1056"/>
      <c r="ABL200" s="1056"/>
      <c r="ABM200" s="1056"/>
      <c r="ABN200" s="1056"/>
      <c r="ABO200" s="1056"/>
      <c r="ABP200" s="1056"/>
      <c r="ABQ200" s="1056"/>
      <c r="ABR200" s="1056"/>
      <c r="ABS200" s="1056"/>
      <c r="ABT200" s="1056"/>
      <c r="ABU200" s="1056"/>
      <c r="ABV200" s="1056"/>
      <c r="ABW200" s="1056"/>
      <c r="ABX200" s="1056"/>
      <c r="ABY200" s="1056"/>
      <c r="ABZ200" s="1056"/>
      <c r="ACA200" s="1056"/>
      <c r="ACB200" s="1056"/>
      <c r="ACC200" s="1056"/>
      <c r="ACD200" s="1056"/>
      <c r="ACE200" s="1056"/>
      <c r="ACF200" s="1056"/>
      <c r="ACG200" s="1056"/>
      <c r="ACH200" s="1056"/>
      <c r="ACI200" s="1056"/>
      <c r="ACJ200" s="1056"/>
      <c r="ACK200" s="1056"/>
      <c r="ACL200" s="1056"/>
      <c r="ACM200" s="1056"/>
      <c r="ACN200" s="1056"/>
      <c r="ACO200" s="1056"/>
      <c r="ACP200" s="1056"/>
      <c r="ACQ200" s="1056"/>
      <c r="ACR200" s="1056"/>
      <c r="ACS200" s="1056"/>
      <c r="ACT200" s="1056"/>
      <c r="ACU200" s="1056"/>
      <c r="ACV200" s="1056"/>
      <c r="ACW200" s="1056"/>
      <c r="ACX200" s="1056"/>
      <c r="ACY200" s="1056"/>
      <c r="ACZ200" s="1056"/>
      <c r="ADA200" s="1056"/>
      <c r="ADB200" s="1056"/>
      <c r="ADC200" s="1056"/>
      <c r="ADD200" s="1056"/>
      <c r="ADE200" s="1056"/>
      <c r="ADF200" s="1056"/>
      <c r="ADG200" s="1056"/>
      <c r="ADH200" s="1056"/>
      <c r="ADI200" s="1056"/>
      <c r="ADJ200" s="1056"/>
      <c r="ADK200" s="1056"/>
      <c r="ADL200" s="1056"/>
      <c r="ADM200" s="1056"/>
      <c r="ADN200" s="1056"/>
      <c r="ADO200" s="1056"/>
      <c r="ADP200" s="1056"/>
      <c r="ADQ200" s="1056"/>
      <c r="ADR200" s="1056"/>
      <c r="ADS200" s="1056"/>
      <c r="ADT200" s="1056"/>
      <c r="ADU200" s="1056"/>
      <c r="ADV200" s="1056"/>
      <c r="ADW200" s="1056"/>
      <c r="ADX200" s="1056"/>
      <c r="ADY200" s="1056"/>
      <c r="ADZ200" s="1056"/>
      <c r="AEA200" s="1056"/>
      <c r="AEB200" s="1056"/>
      <c r="AEC200" s="1056"/>
      <c r="AED200" s="1056"/>
      <c r="AEE200" s="1056"/>
      <c r="AEF200" s="1056"/>
      <c r="AEG200" s="1056"/>
      <c r="AEH200" s="1056"/>
      <c r="AEI200" s="1056"/>
      <c r="AEJ200" s="1056"/>
      <c r="AEK200" s="1056"/>
      <c r="AEL200" s="1056"/>
      <c r="AEM200" s="1056"/>
      <c r="AEN200" s="1056"/>
      <c r="AEO200" s="1056"/>
      <c r="AEP200" s="1056"/>
      <c r="AEQ200" s="1056"/>
      <c r="AER200" s="1056"/>
      <c r="AES200" s="1056"/>
      <c r="AET200" s="1056"/>
      <c r="AEU200" s="1056"/>
      <c r="AEV200" s="1056"/>
      <c r="AEW200" s="1056"/>
      <c r="AEX200" s="1056"/>
      <c r="AEY200" s="1056"/>
      <c r="AEZ200" s="1056"/>
      <c r="AFA200" s="1056"/>
      <c r="AFB200" s="1056"/>
      <c r="AFC200" s="1056"/>
      <c r="AFD200" s="1056"/>
      <c r="AFE200" s="1056"/>
      <c r="AFF200" s="1056"/>
      <c r="AFG200" s="1056"/>
      <c r="AFH200" s="1056"/>
      <c r="AFI200" s="1056"/>
      <c r="AFJ200" s="1056"/>
      <c r="AFK200" s="1056"/>
      <c r="AFL200" s="1056"/>
      <c r="AFM200" s="1056"/>
      <c r="AFN200" s="1056"/>
      <c r="AFO200" s="1056"/>
      <c r="AFP200" s="1056"/>
      <c r="AFQ200" s="1056"/>
      <c r="AFR200" s="1056"/>
      <c r="AFS200" s="1056"/>
      <c r="AFT200" s="1056"/>
      <c r="AFU200" s="1056"/>
      <c r="AFV200" s="1056"/>
      <c r="AFW200" s="1056"/>
      <c r="AFX200" s="1056"/>
      <c r="AFY200" s="1056"/>
      <c r="AFZ200" s="1056"/>
      <c r="AGA200" s="1056"/>
      <c r="AGB200" s="1056"/>
      <c r="AGC200" s="1056"/>
      <c r="AGD200" s="1056"/>
      <c r="AGE200" s="1056"/>
      <c r="AGF200" s="1056"/>
      <c r="AGG200" s="1056"/>
      <c r="AGH200" s="1056"/>
      <c r="AGI200" s="1056"/>
      <c r="AGJ200" s="1056"/>
      <c r="AGK200" s="1056"/>
      <c r="AGL200" s="1056"/>
      <c r="AGM200" s="1056"/>
      <c r="AGN200" s="1056"/>
      <c r="AGO200" s="1056"/>
      <c r="AGP200" s="1056"/>
      <c r="AGQ200" s="1056"/>
      <c r="AGR200" s="1056"/>
      <c r="AGS200" s="1056"/>
      <c r="AGT200" s="1056"/>
      <c r="AGU200" s="1056"/>
      <c r="AGV200" s="1056"/>
      <c r="AGW200" s="1056"/>
      <c r="AGX200" s="1056"/>
      <c r="AGY200" s="1056"/>
      <c r="AGZ200" s="1056"/>
      <c r="AHA200" s="1056"/>
      <c r="AHB200" s="1056"/>
      <c r="AHC200" s="1056"/>
      <c r="AHD200" s="1056"/>
      <c r="AHE200" s="1056"/>
      <c r="AHF200" s="1056"/>
      <c r="AHG200" s="1056"/>
      <c r="AHH200" s="1056"/>
      <c r="AHI200" s="1056"/>
      <c r="AHJ200" s="1056"/>
      <c r="AHK200" s="1056"/>
      <c r="AHL200" s="1056"/>
      <c r="AHM200" s="1056"/>
      <c r="AHN200" s="1056"/>
      <c r="AHO200" s="1056"/>
      <c r="AHP200" s="1056"/>
      <c r="AHQ200" s="1056"/>
      <c r="AHR200" s="1056"/>
      <c r="AHS200" s="1056"/>
      <c r="AHT200" s="1056"/>
      <c r="AHU200" s="1056"/>
      <c r="AHV200" s="1056"/>
      <c r="AHW200" s="1056"/>
      <c r="AHX200" s="1056"/>
      <c r="AHY200" s="1056"/>
      <c r="AHZ200" s="1056"/>
      <c r="AIA200" s="1056"/>
      <c r="AIB200" s="1056"/>
      <c r="AIC200" s="1056"/>
      <c r="AID200" s="1056"/>
      <c r="AIE200" s="1056"/>
      <c r="AIF200" s="1056"/>
      <c r="AIG200" s="1056"/>
      <c r="AIH200" s="1056"/>
      <c r="AII200" s="1056"/>
      <c r="AIJ200" s="1056"/>
      <c r="AIK200" s="1056"/>
      <c r="AIL200" s="1056"/>
      <c r="AIM200" s="1056"/>
      <c r="AIN200" s="1056"/>
      <c r="AIO200" s="1056"/>
      <c r="AIP200" s="1056"/>
      <c r="AIQ200" s="1056"/>
      <c r="AIR200" s="1056"/>
      <c r="AIS200" s="1056"/>
      <c r="AIT200" s="1056"/>
      <c r="AIU200" s="1056"/>
      <c r="AIV200" s="1056"/>
      <c r="AIW200" s="1056"/>
      <c r="AIX200" s="1056"/>
      <c r="AIY200" s="1056"/>
      <c r="AIZ200" s="1056"/>
      <c r="AJA200" s="1056"/>
      <c r="AJB200" s="1056"/>
      <c r="AJC200" s="1056"/>
      <c r="AJD200" s="1056"/>
      <c r="AJE200" s="1056"/>
      <c r="AJF200" s="1056"/>
      <c r="AJG200" s="1056"/>
      <c r="AJH200" s="1056"/>
      <c r="AJI200" s="1056"/>
      <c r="AJJ200" s="1056"/>
      <c r="AJK200" s="1056"/>
      <c r="AJL200" s="1056"/>
      <c r="AJM200" s="1056"/>
      <c r="AJN200" s="1056"/>
      <c r="AJO200" s="1056"/>
      <c r="AJP200" s="1056"/>
      <c r="AJQ200" s="1056"/>
      <c r="AJR200" s="1056"/>
      <c r="AJS200" s="1056"/>
      <c r="AJT200" s="1056"/>
      <c r="AJU200" s="1056"/>
      <c r="AJV200" s="1056"/>
      <c r="AJW200" s="1056"/>
      <c r="AJX200" s="1056"/>
      <c r="AJY200" s="1056"/>
      <c r="AJZ200" s="1056"/>
      <c r="AKA200" s="1056"/>
      <c r="AKB200" s="1056"/>
      <c r="AKC200" s="1056"/>
      <c r="AKD200" s="1056"/>
      <c r="AKE200" s="1056"/>
      <c r="AKF200" s="1056"/>
      <c r="AKG200" s="1056"/>
      <c r="AKH200" s="1056"/>
      <c r="AKI200" s="1056"/>
      <c r="AKJ200" s="1056"/>
      <c r="AKK200" s="1056"/>
      <c r="AKL200" s="1056"/>
      <c r="AKM200" s="1056"/>
      <c r="AKN200" s="1056"/>
      <c r="AKO200" s="1056"/>
      <c r="AKP200" s="1056"/>
      <c r="AKQ200" s="1056"/>
      <c r="AKR200" s="1056"/>
      <c r="AKS200" s="1056"/>
      <c r="AKT200" s="1056"/>
      <c r="AKU200" s="1056"/>
      <c r="AKV200" s="1056"/>
      <c r="AKW200" s="1056"/>
      <c r="AKX200" s="1056"/>
      <c r="AKY200" s="1056"/>
      <c r="AKZ200" s="1056"/>
      <c r="ALA200" s="1056"/>
      <c r="ALB200" s="1056"/>
      <c r="ALC200" s="1056"/>
      <c r="ALD200" s="1056"/>
      <c r="ALE200" s="1056"/>
      <c r="ALF200" s="1056"/>
      <c r="ALG200" s="1056"/>
      <c r="ALH200" s="1056"/>
      <c r="ALI200" s="1056"/>
      <c r="ALJ200" s="1056"/>
      <c r="ALK200" s="1056"/>
      <c r="ALL200" s="1056"/>
      <c r="ALM200" s="1056"/>
      <c r="ALN200" s="1056"/>
      <c r="ALO200" s="1056"/>
      <c r="ALP200" s="1056"/>
      <c r="ALQ200" s="1056"/>
      <c r="ALR200" s="1056"/>
      <c r="ALS200" s="1056"/>
      <c r="ALT200" s="1056"/>
      <c r="ALU200" s="1056"/>
      <c r="ALV200" s="1056"/>
      <c r="ALW200" s="1056"/>
      <c r="ALX200" s="1056"/>
      <c r="ALY200" s="1056"/>
      <c r="ALZ200" s="1056"/>
      <c r="AMA200" s="1056"/>
      <c r="AMB200" s="1056"/>
      <c r="AMC200" s="1056"/>
      <c r="AMD200" s="1056"/>
      <c r="AME200" s="1056"/>
      <c r="AMF200" s="1056"/>
      <c r="AMG200" s="1056"/>
      <c r="AMH200" s="1056"/>
      <c r="AMI200" s="1056"/>
      <c r="AMJ200" s="1056"/>
      <c r="AMK200" s="1056"/>
      <c r="AML200" s="1056"/>
      <c r="AMM200" s="1056"/>
      <c r="AMN200" s="1056"/>
      <c r="AMO200" s="1056"/>
      <c r="AMP200" s="1056"/>
      <c r="AMQ200" s="1056"/>
      <c r="AMR200" s="1056"/>
      <c r="AMS200" s="1056"/>
      <c r="AMT200" s="1056"/>
      <c r="AMU200" s="1056"/>
      <c r="AMV200" s="1056"/>
      <c r="AMW200" s="1056"/>
      <c r="AMX200" s="1056"/>
      <c r="AMY200" s="1056"/>
      <c r="AMZ200" s="1056"/>
      <c r="ANA200" s="1056"/>
      <c r="ANB200" s="1056"/>
      <c r="ANC200" s="1056"/>
      <c r="AND200" s="1056"/>
      <c r="ANE200" s="1056"/>
      <c r="ANF200" s="1056"/>
      <c r="ANG200" s="1056"/>
      <c r="ANH200" s="1056"/>
      <c r="ANI200" s="1056"/>
      <c r="ANJ200" s="1056"/>
      <c r="ANK200" s="1056"/>
      <c r="ANL200" s="1056"/>
      <c r="ANM200" s="1056"/>
      <c r="ANN200" s="1056"/>
      <c r="ANO200" s="1056"/>
      <c r="ANP200" s="1056"/>
      <c r="ANQ200" s="1056"/>
      <c r="ANR200" s="1056"/>
      <c r="ANS200" s="1056"/>
      <c r="ANT200" s="1056"/>
      <c r="ANU200" s="1056"/>
      <c r="ANV200" s="1056"/>
      <c r="ANW200" s="1056"/>
      <c r="ANX200" s="1056"/>
      <c r="ANY200" s="1056"/>
      <c r="ANZ200" s="1056"/>
      <c r="AOA200" s="1056"/>
      <c r="AOB200" s="1056"/>
      <c r="AOC200" s="1056"/>
      <c r="AOD200" s="1056"/>
      <c r="AOE200" s="1056"/>
      <c r="AOF200" s="1056"/>
      <c r="AOG200" s="1056"/>
      <c r="AOH200" s="1056"/>
      <c r="AOI200" s="1056"/>
      <c r="AOJ200" s="1056"/>
      <c r="AOK200" s="1056"/>
      <c r="AOL200" s="1056"/>
      <c r="AOM200" s="1056"/>
      <c r="AON200" s="1056"/>
      <c r="AOO200" s="1056"/>
      <c r="AOP200" s="1056"/>
      <c r="AOQ200" s="1056"/>
      <c r="AOR200" s="1056"/>
      <c r="AOS200" s="1056"/>
      <c r="AOT200" s="1056"/>
      <c r="AOU200" s="1056"/>
      <c r="AOV200" s="1056"/>
      <c r="AOW200" s="1056"/>
      <c r="AOX200" s="1056"/>
      <c r="AOY200" s="1056"/>
      <c r="AOZ200" s="1056"/>
      <c r="APA200" s="1056"/>
      <c r="APB200" s="1056"/>
      <c r="APC200" s="1056"/>
      <c r="APD200" s="1056"/>
      <c r="APE200" s="1056"/>
      <c r="APF200" s="1056"/>
      <c r="APG200" s="1056"/>
      <c r="APH200" s="1056"/>
      <c r="API200" s="1056"/>
      <c r="APJ200" s="1056"/>
      <c r="APK200" s="1056"/>
      <c r="APL200" s="1056"/>
      <c r="APM200" s="1056"/>
      <c r="APN200" s="1056"/>
      <c r="APO200" s="1056"/>
      <c r="APP200" s="1056"/>
      <c r="APQ200" s="1056"/>
      <c r="APR200" s="1056"/>
      <c r="APS200" s="1056"/>
      <c r="APT200" s="1056"/>
      <c r="APU200" s="1056"/>
      <c r="APV200" s="1056"/>
      <c r="APW200" s="1056"/>
      <c r="APX200" s="1056"/>
      <c r="APY200" s="1056"/>
      <c r="APZ200" s="1056"/>
      <c r="AQA200" s="1056"/>
      <c r="AQB200" s="1056"/>
      <c r="AQC200" s="1056"/>
      <c r="AQD200" s="1056"/>
      <c r="AQE200" s="1056"/>
      <c r="AQF200" s="1056"/>
      <c r="AQG200" s="1056"/>
      <c r="AQH200" s="1056"/>
      <c r="AQI200" s="1056"/>
      <c r="AQJ200" s="1056"/>
      <c r="AQK200" s="1056"/>
      <c r="AQL200" s="1056"/>
      <c r="AQM200" s="1056"/>
      <c r="AQN200" s="1056"/>
      <c r="AQO200" s="1056"/>
      <c r="AQP200" s="1056"/>
      <c r="AQQ200" s="1056"/>
      <c r="AQR200" s="1056"/>
      <c r="AQS200" s="1056"/>
      <c r="AQT200" s="1056"/>
      <c r="AQU200" s="1056"/>
      <c r="AQV200" s="1056"/>
      <c r="AQW200" s="1056"/>
      <c r="AQX200" s="1056"/>
      <c r="AQY200" s="1056"/>
      <c r="AQZ200" s="1056"/>
      <c r="ARA200" s="1056"/>
      <c r="ARB200" s="1056"/>
      <c r="ARC200" s="1056"/>
      <c r="ARD200" s="1056"/>
      <c r="ARE200" s="1056"/>
      <c r="ARF200" s="1056"/>
      <c r="ARG200" s="1056"/>
      <c r="ARH200" s="1056"/>
      <c r="ARI200" s="1056"/>
      <c r="ARJ200" s="1056"/>
      <c r="ARK200" s="1056"/>
      <c r="ARL200" s="1056"/>
      <c r="ARM200" s="1056"/>
      <c r="ARN200" s="1056"/>
      <c r="ARO200" s="1056"/>
      <c r="ARP200" s="1056"/>
      <c r="ARQ200" s="1056"/>
      <c r="ARR200" s="1056"/>
      <c r="ARS200" s="1056"/>
      <c r="ART200" s="1056"/>
      <c r="ARU200" s="1056"/>
      <c r="ARV200" s="1056"/>
      <c r="ARW200" s="1056"/>
      <c r="ARX200" s="1056"/>
      <c r="ARY200" s="1056"/>
      <c r="ARZ200" s="1056"/>
      <c r="ASA200" s="1056"/>
      <c r="ASB200" s="1056"/>
      <c r="ASC200" s="1056"/>
      <c r="ASD200" s="1056"/>
      <c r="ASE200" s="1056"/>
      <c r="ASF200" s="1056"/>
      <c r="ASG200" s="1056"/>
      <c r="ASH200" s="1056"/>
      <c r="ASI200" s="1056"/>
      <c r="ASJ200" s="1056"/>
      <c r="ASK200" s="1056"/>
      <c r="ASL200" s="1056"/>
      <c r="ASM200" s="1056"/>
      <c r="ASN200" s="1056"/>
      <c r="ASO200" s="1056"/>
      <c r="ASP200" s="1056"/>
      <c r="ASQ200" s="1056"/>
      <c r="ASR200" s="1056"/>
      <c r="ASS200" s="1056"/>
      <c r="AST200" s="1056"/>
      <c r="ASU200" s="1056"/>
      <c r="ASV200" s="1056"/>
      <c r="ASW200" s="1056"/>
      <c r="ASX200" s="1056"/>
      <c r="ASY200" s="1056"/>
      <c r="ASZ200" s="1056"/>
      <c r="ATA200" s="1056"/>
      <c r="ATB200" s="1056"/>
      <c r="ATC200" s="1056"/>
      <c r="ATD200" s="1056"/>
      <c r="ATE200" s="1056"/>
      <c r="ATF200" s="1056"/>
      <c r="ATG200" s="1056"/>
      <c r="ATH200" s="1056"/>
      <c r="ATI200" s="1056"/>
      <c r="ATJ200" s="1056"/>
      <c r="ATK200" s="1056"/>
      <c r="ATL200" s="1056"/>
      <c r="ATM200" s="1056"/>
      <c r="ATN200" s="1056"/>
      <c r="ATO200" s="1056"/>
      <c r="ATP200" s="1056"/>
      <c r="ATQ200" s="1056"/>
      <c r="ATR200" s="1056"/>
      <c r="ATS200" s="1056"/>
      <c r="ATT200" s="1056"/>
      <c r="ATU200" s="1056"/>
      <c r="ATV200" s="1056"/>
      <c r="ATW200" s="1056"/>
      <c r="ATX200" s="1056"/>
      <c r="ATY200" s="1056"/>
      <c r="ATZ200" s="1056"/>
      <c r="AUA200" s="1056"/>
      <c r="AUB200" s="1056"/>
      <c r="AUC200" s="1056"/>
      <c r="AUD200" s="1056"/>
      <c r="AUE200" s="1056"/>
      <c r="AUF200" s="1056"/>
      <c r="AUG200" s="1056"/>
      <c r="AUH200" s="1056"/>
      <c r="AUI200" s="1056"/>
      <c r="AUJ200" s="1056"/>
      <c r="AUK200" s="1056"/>
      <c r="AUL200" s="1056"/>
      <c r="AUM200" s="1056"/>
      <c r="AUN200" s="1056"/>
      <c r="AUO200" s="1056"/>
      <c r="AUP200" s="1056"/>
      <c r="AUQ200" s="1056"/>
      <c r="AUR200" s="1056"/>
      <c r="AUS200" s="1056"/>
      <c r="AUT200" s="1056"/>
      <c r="AUU200" s="1056"/>
      <c r="AUV200" s="1056"/>
      <c r="AUW200" s="1056"/>
      <c r="AUX200" s="1056"/>
      <c r="AUY200" s="1056"/>
      <c r="AUZ200" s="1056"/>
      <c r="AVA200" s="1056"/>
      <c r="AVB200" s="1056"/>
      <c r="AVC200" s="1056"/>
      <c r="AVD200" s="1056"/>
      <c r="AVE200" s="1056"/>
      <c r="AVF200" s="1056"/>
      <c r="AVG200" s="1056"/>
      <c r="AVH200" s="1056"/>
      <c r="AVI200" s="1056"/>
      <c r="AVJ200" s="1056"/>
      <c r="AVK200" s="1056"/>
      <c r="AVL200" s="1056"/>
      <c r="AVM200" s="1056"/>
      <c r="AVN200" s="1056"/>
      <c r="AVO200" s="1056"/>
      <c r="AVP200" s="1056"/>
      <c r="AVQ200" s="1056"/>
      <c r="AVR200" s="1056"/>
      <c r="AVS200" s="1056"/>
      <c r="AVT200" s="1056"/>
      <c r="AVU200" s="1056"/>
      <c r="AVV200" s="1056"/>
      <c r="AVW200" s="1056"/>
      <c r="AVX200" s="1056"/>
      <c r="AVY200" s="1056"/>
      <c r="AVZ200" s="1056"/>
      <c r="AWA200" s="1056"/>
      <c r="AWB200" s="1056"/>
      <c r="AWC200" s="1056"/>
      <c r="AWD200" s="1056"/>
      <c r="AWE200" s="1056"/>
      <c r="AWF200" s="1056"/>
      <c r="AWG200" s="1056"/>
      <c r="AWH200" s="1056"/>
      <c r="AWI200" s="1056"/>
      <c r="AWJ200" s="1056"/>
      <c r="AWK200" s="1056"/>
      <c r="AWL200" s="1056"/>
      <c r="AWM200" s="1056"/>
      <c r="AWN200" s="1056"/>
      <c r="AWO200" s="1056"/>
      <c r="AWP200" s="1056"/>
      <c r="AWQ200" s="1056"/>
      <c r="AWR200" s="1056"/>
      <c r="AWS200" s="1056"/>
      <c r="AWT200" s="1056"/>
      <c r="AWU200" s="1056"/>
      <c r="AWV200" s="1056"/>
      <c r="AWW200" s="1056"/>
      <c r="AWX200" s="1056"/>
      <c r="AWY200" s="1056"/>
      <c r="AWZ200" s="1056"/>
      <c r="AXA200" s="1056"/>
      <c r="AXB200" s="1056"/>
      <c r="AXC200" s="1056"/>
      <c r="AXD200" s="1056"/>
      <c r="AXE200" s="1056"/>
      <c r="AXF200" s="1056"/>
      <c r="AXG200" s="1056"/>
      <c r="AXH200" s="1056"/>
      <c r="AXI200" s="1056"/>
      <c r="AXJ200" s="1056"/>
      <c r="AXK200" s="1056"/>
      <c r="AXL200" s="1056"/>
      <c r="AXM200" s="1056"/>
      <c r="AXN200" s="1056"/>
      <c r="AXO200" s="1056"/>
      <c r="AXP200" s="1056"/>
      <c r="AXQ200" s="1056"/>
      <c r="AXR200" s="1056"/>
      <c r="AXS200" s="1056"/>
      <c r="AXT200" s="1056"/>
      <c r="AXU200" s="1056"/>
      <c r="AXV200" s="1056"/>
      <c r="AXW200" s="1056"/>
      <c r="AXX200" s="1056"/>
      <c r="AXY200" s="1056"/>
      <c r="AXZ200" s="1056"/>
      <c r="AYA200" s="1056"/>
      <c r="AYB200" s="1056"/>
      <c r="AYC200" s="1056"/>
      <c r="AYD200" s="1056"/>
      <c r="AYE200" s="1056"/>
      <c r="AYF200" s="1056"/>
      <c r="AYG200" s="1056"/>
      <c r="AYH200" s="1056"/>
      <c r="AYI200" s="1056"/>
      <c r="AYJ200" s="1056"/>
      <c r="AYK200" s="1056"/>
      <c r="AYL200" s="1056"/>
      <c r="AYM200" s="1056"/>
      <c r="AYN200" s="1056"/>
      <c r="AYO200" s="1056"/>
      <c r="AYP200" s="1056"/>
      <c r="AYQ200" s="1056"/>
      <c r="AYR200" s="1056"/>
      <c r="AYS200" s="1056"/>
      <c r="AYT200" s="1056"/>
      <c r="AYU200" s="1056"/>
      <c r="AYV200" s="1056"/>
      <c r="AYW200" s="1056"/>
      <c r="AYX200" s="1056"/>
      <c r="AYY200" s="1056"/>
      <c r="AYZ200" s="1056"/>
      <c r="AZA200" s="1056"/>
      <c r="AZB200" s="1056"/>
      <c r="AZC200" s="1056"/>
      <c r="AZD200" s="1056"/>
      <c r="AZE200" s="1056"/>
      <c r="AZF200" s="1056"/>
      <c r="AZG200" s="1056"/>
      <c r="AZH200" s="1056"/>
      <c r="AZI200" s="1056"/>
      <c r="AZJ200" s="1056"/>
      <c r="AZK200" s="1056"/>
      <c r="AZL200" s="1056"/>
      <c r="AZM200" s="1056"/>
      <c r="AZN200" s="1056"/>
      <c r="AZO200" s="1056"/>
      <c r="AZP200" s="1056"/>
      <c r="AZQ200" s="1056"/>
      <c r="AZR200" s="1056"/>
      <c r="AZS200" s="1056"/>
      <c r="AZT200" s="1056"/>
      <c r="AZU200" s="1056"/>
      <c r="AZV200" s="1056"/>
      <c r="AZW200" s="1056"/>
      <c r="AZX200" s="1056"/>
      <c r="AZY200" s="1056"/>
      <c r="AZZ200" s="1056"/>
      <c r="BAA200" s="1056"/>
      <c r="BAB200" s="1056"/>
      <c r="BAC200" s="1056"/>
      <c r="BAD200" s="1056"/>
      <c r="BAE200" s="1056"/>
      <c r="BAF200" s="1056"/>
      <c r="BAG200" s="1056"/>
      <c r="BAH200" s="1056"/>
      <c r="BAI200" s="1056"/>
      <c r="BAJ200" s="1056"/>
      <c r="BAK200" s="1056"/>
      <c r="BAL200" s="1056"/>
      <c r="BAM200" s="1056"/>
      <c r="BAN200" s="1056"/>
      <c r="BAO200" s="1056"/>
      <c r="BAP200" s="1056"/>
      <c r="BAQ200" s="1056"/>
      <c r="BAR200" s="1056"/>
      <c r="BAS200" s="1056"/>
      <c r="BAT200" s="1056"/>
      <c r="BAU200" s="1056"/>
      <c r="BAV200" s="1056"/>
      <c r="BAW200" s="1056"/>
      <c r="BAX200" s="1056"/>
      <c r="BAY200" s="1056"/>
      <c r="BAZ200" s="1056"/>
      <c r="BBA200" s="1056"/>
      <c r="BBB200" s="1056"/>
      <c r="BBC200" s="1056"/>
      <c r="BBD200" s="1056"/>
      <c r="BBE200" s="1056"/>
      <c r="BBF200" s="1056"/>
      <c r="BBG200" s="1056"/>
      <c r="BBH200" s="1056"/>
      <c r="BBI200" s="1056"/>
      <c r="BBJ200" s="1056"/>
      <c r="BBK200" s="1056"/>
      <c r="BBL200" s="1056"/>
      <c r="BBM200" s="1056"/>
      <c r="BBN200" s="1056"/>
      <c r="BBO200" s="1056"/>
      <c r="BBP200" s="1056"/>
      <c r="BBQ200" s="1056"/>
      <c r="BBR200" s="1056"/>
      <c r="BBS200" s="1056"/>
      <c r="BBT200" s="1056"/>
      <c r="BBU200" s="1056"/>
      <c r="BBV200" s="1056"/>
      <c r="BBW200" s="1056"/>
      <c r="BBX200" s="1056"/>
      <c r="BBY200" s="1056"/>
      <c r="BBZ200" s="1056"/>
      <c r="BCA200" s="1056"/>
      <c r="BCB200" s="1056"/>
      <c r="BCC200" s="1056"/>
      <c r="BCD200" s="1056"/>
      <c r="BCE200" s="1056"/>
      <c r="BCF200" s="1056"/>
      <c r="BCG200" s="1056"/>
      <c r="BCH200" s="1056"/>
      <c r="BCI200" s="1056"/>
      <c r="BCJ200" s="1056"/>
      <c r="BCK200" s="1056"/>
      <c r="BCL200" s="1056"/>
      <c r="BCM200" s="1056"/>
      <c r="BCN200" s="1056"/>
      <c r="BCO200" s="1056"/>
      <c r="BCP200" s="1056"/>
      <c r="BCQ200" s="1056"/>
      <c r="BCR200" s="1056"/>
      <c r="BCS200" s="1056"/>
      <c r="BCT200" s="1056"/>
      <c r="BCU200" s="1056"/>
      <c r="BCV200" s="1056"/>
      <c r="BCW200" s="1056"/>
      <c r="BCX200" s="1056"/>
      <c r="BCY200" s="1056"/>
      <c r="BCZ200" s="1056"/>
      <c r="BDA200" s="1056"/>
      <c r="BDB200" s="1056"/>
      <c r="BDC200" s="1056"/>
      <c r="BDD200" s="1056"/>
      <c r="BDE200" s="1056"/>
      <c r="BDF200" s="1056"/>
      <c r="BDG200" s="1056"/>
      <c r="BDH200" s="1056"/>
      <c r="BDI200" s="1056"/>
      <c r="BDJ200" s="1056"/>
      <c r="BDK200" s="1056"/>
      <c r="BDL200" s="1056"/>
      <c r="BDM200" s="1056"/>
      <c r="BDN200" s="1056"/>
      <c r="BDO200" s="1056"/>
      <c r="BDP200" s="1056"/>
      <c r="BDQ200" s="1056"/>
      <c r="BDR200" s="1056"/>
      <c r="BDS200" s="1056"/>
      <c r="BDT200" s="1056"/>
      <c r="BDU200" s="1056"/>
      <c r="BDV200" s="1056"/>
      <c r="BDW200" s="1056"/>
      <c r="BDX200" s="1056"/>
      <c r="BDY200" s="1056"/>
      <c r="BDZ200" s="1056"/>
      <c r="BEA200" s="1056"/>
      <c r="BEB200" s="1056"/>
      <c r="BEC200" s="1056"/>
      <c r="BED200" s="1056"/>
      <c r="BEE200" s="1056"/>
      <c r="BEF200" s="1056"/>
      <c r="BEG200" s="1056"/>
      <c r="BEH200" s="1056"/>
      <c r="BEI200" s="1056"/>
      <c r="BEJ200" s="1056"/>
      <c r="BEK200" s="1056"/>
      <c r="BEL200" s="1056"/>
      <c r="BEM200" s="1056"/>
      <c r="BEN200" s="1056"/>
      <c r="BEO200" s="1056"/>
      <c r="BEP200" s="1056"/>
      <c r="BEQ200" s="1056"/>
      <c r="BER200" s="1056"/>
      <c r="BES200" s="1056"/>
      <c r="BET200" s="1056"/>
      <c r="BEU200" s="1056"/>
      <c r="BEV200" s="1056"/>
      <c r="BEW200" s="1056"/>
      <c r="BEX200" s="1056"/>
      <c r="BEY200" s="1056"/>
      <c r="BEZ200" s="1056"/>
      <c r="BFA200" s="1056"/>
      <c r="BFB200" s="1056"/>
      <c r="BFC200" s="1056"/>
      <c r="BFD200" s="1056"/>
      <c r="BFE200" s="1056"/>
      <c r="BFF200" s="1056"/>
      <c r="BFG200" s="1056"/>
      <c r="BFH200" s="1056"/>
      <c r="BFI200" s="1056"/>
      <c r="BFJ200" s="1056"/>
      <c r="BFK200" s="1056"/>
      <c r="BFL200" s="1056"/>
      <c r="BFM200" s="1056"/>
      <c r="BFN200" s="1056"/>
      <c r="BFO200" s="1056"/>
      <c r="BFP200" s="1056"/>
      <c r="BFQ200" s="1056"/>
      <c r="BFR200" s="1056"/>
      <c r="BFS200" s="1056"/>
      <c r="BFT200" s="1056"/>
      <c r="BFU200" s="1056"/>
      <c r="BFV200" s="1056"/>
      <c r="BFW200" s="1056"/>
      <c r="BFX200" s="1056"/>
      <c r="BFY200" s="1056"/>
      <c r="BFZ200" s="1056"/>
      <c r="BGA200" s="1056"/>
      <c r="BGB200" s="1056"/>
      <c r="BGC200" s="1056"/>
      <c r="BGD200" s="1056"/>
      <c r="BGE200" s="1056"/>
      <c r="BGF200" s="1056"/>
      <c r="BGG200" s="1056"/>
      <c r="BGH200" s="1056"/>
      <c r="BGI200" s="1056"/>
      <c r="BGJ200" s="1056"/>
      <c r="BGK200" s="1056"/>
      <c r="BGL200" s="1056"/>
      <c r="BGM200" s="1056"/>
      <c r="BGN200" s="1056"/>
      <c r="BGO200" s="1056"/>
      <c r="BGP200" s="1056"/>
      <c r="BGQ200" s="1056"/>
      <c r="BGR200" s="1056"/>
      <c r="BGS200" s="1056"/>
      <c r="BGT200" s="1056"/>
      <c r="BGU200" s="1056"/>
      <c r="BGV200" s="1056"/>
      <c r="BGW200" s="1056"/>
      <c r="BGX200" s="1056"/>
      <c r="BGY200" s="1056"/>
      <c r="BGZ200" s="1056"/>
      <c r="BHA200" s="1056"/>
      <c r="BHB200" s="1056"/>
      <c r="BHC200" s="1056"/>
      <c r="BHD200" s="1056"/>
      <c r="BHE200" s="1056"/>
      <c r="BHF200" s="1056"/>
      <c r="BHG200" s="1056"/>
      <c r="BHH200" s="1056"/>
      <c r="BHI200" s="1056"/>
      <c r="BHJ200" s="1056"/>
      <c r="BHK200" s="1056"/>
      <c r="BHL200" s="1056"/>
      <c r="BHM200" s="1056"/>
      <c r="BHN200" s="1056"/>
      <c r="BHO200" s="1056"/>
      <c r="BHP200" s="1056"/>
      <c r="BHQ200" s="1056"/>
      <c r="BHR200" s="1056"/>
      <c r="BHS200" s="1056"/>
      <c r="BHT200" s="1056"/>
      <c r="BHU200" s="1056"/>
      <c r="BHV200" s="1056"/>
      <c r="BHW200" s="1056"/>
      <c r="BHX200" s="1056"/>
      <c r="BHY200" s="1056"/>
      <c r="BHZ200" s="1056"/>
      <c r="BIA200" s="1056"/>
      <c r="BIB200" s="1056"/>
      <c r="BIC200" s="1056"/>
      <c r="BID200" s="1056"/>
      <c r="BIE200" s="1056"/>
      <c r="BIF200" s="1056"/>
      <c r="BIG200" s="1056"/>
      <c r="BIH200" s="1056"/>
      <c r="BII200" s="1056"/>
      <c r="BIJ200" s="1056"/>
      <c r="BIK200" s="1056"/>
      <c r="BIL200" s="1056"/>
      <c r="BIM200" s="1056"/>
      <c r="BIN200" s="1056"/>
      <c r="BIO200" s="1056"/>
      <c r="BIP200" s="1056"/>
      <c r="BIQ200" s="1056"/>
      <c r="BIR200" s="1056"/>
      <c r="BIS200" s="1056"/>
      <c r="BIT200" s="1056"/>
      <c r="BIU200" s="1056"/>
      <c r="BIV200" s="1056"/>
      <c r="BIW200" s="1056"/>
      <c r="BIX200" s="1056"/>
      <c r="BIY200" s="1056"/>
      <c r="BIZ200" s="1056"/>
      <c r="BJA200" s="1056"/>
      <c r="BJB200" s="1056"/>
      <c r="BJC200" s="1056"/>
      <c r="BJD200" s="1056"/>
      <c r="BJE200" s="1056"/>
      <c r="BJF200" s="1056"/>
      <c r="BJG200" s="1056"/>
      <c r="BJH200" s="1056"/>
      <c r="BJI200" s="1056"/>
      <c r="BJJ200" s="1056"/>
      <c r="BJK200" s="1056"/>
      <c r="BJL200" s="1056"/>
      <c r="BJM200" s="1056"/>
      <c r="BJN200" s="1056"/>
      <c r="BJO200" s="1056"/>
      <c r="BJP200" s="1056"/>
      <c r="BJQ200" s="1056"/>
      <c r="BJR200" s="1056"/>
      <c r="BJS200" s="1056"/>
      <c r="BJT200" s="1056"/>
      <c r="BJU200" s="1056"/>
      <c r="BJV200" s="1056"/>
      <c r="BJW200" s="1056"/>
      <c r="BJX200" s="1056"/>
      <c r="BJY200" s="1056"/>
      <c r="BJZ200" s="1056"/>
      <c r="BKA200" s="1056"/>
      <c r="BKB200" s="1056"/>
      <c r="BKC200" s="1056"/>
      <c r="BKD200" s="1056"/>
      <c r="BKE200" s="1056"/>
      <c r="BKF200" s="1056"/>
      <c r="BKG200" s="1056"/>
      <c r="BKH200" s="1056"/>
      <c r="BKI200" s="1056"/>
      <c r="BKJ200" s="1056"/>
      <c r="BKK200" s="1056"/>
      <c r="BKL200" s="1056"/>
      <c r="BKM200" s="1056"/>
      <c r="BKN200" s="1056"/>
      <c r="BKO200" s="1056"/>
      <c r="BKP200" s="1056"/>
      <c r="BKQ200" s="1056"/>
      <c r="BKR200" s="1056"/>
      <c r="BKS200" s="1056"/>
      <c r="BKT200" s="1056"/>
      <c r="BKU200" s="1056"/>
      <c r="BKV200" s="1056"/>
      <c r="BKW200" s="1056"/>
      <c r="BKX200" s="1056"/>
      <c r="BKY200" s="1056"/>
      <c r="BKZ200" s="1056"/>
      <c r="BLA200" s="1056"/>
      <c r="BLB200" s="1056"/>
      <c r="BLC200" s="1056"/>
      <c r="BLD200" s="1056"/>
      <c r="BLE200" s="1056"/>
      <c r="BLF200" s="1056"/>
      <c r="BLG200" s="1056"/>
      <c r="BLH200" s="1056"/>
      <c r="BLI200" s="1056"/>
      <c r="BLJ200" s="1056"/>
      <c r="BLK200" s="1056"/>
      <c r="BLL200" s="1056"/>
      <c r="BLM200" s="1056"/>
      <c r="BLN200" s="1056"/>
      <c r="BLO200" s="1056"/>
      <c r="BLP200" s="1056"/>
      <c r="BLQ200" s="1056"/>
      <c r="BLR200" s="1056"/>
      <c r="BLS200" s="1056"/>
      <c r="BLT200" s="1056"/>
      <c r="BLU200" s="1056"/>
      <c r="BLV200" s="1056"/>
      <c r="BLW200" s="1056"/>
      <c r="BLX200" s="1056"/>
      <c r="BLY200" s="1056"/>
      <c r="BLZ200" s="1056"/>
      <c r="BMA200" s="1056"/>
      <c r="BMB200" s="1056"/>
      <c r="BMC200" s="1056"/>
      <c r="BMD200" s="1056"/>
      <c r="BME200" s="1056"/>
      <c r="BMF200" s="1056"/>
      <c r="BMG200" s="1056"/>
      <c r="BMH200" s="1056"/>
      <c r="BMI200" s="1056"/>
      <c r="BMJ200" s="1056"/>
      <c r="BMK200" s="1056"/>
      <c r="BML200" s="1056"/>
      <c r="BMM200" s="1056"/>
      <c r="BMN200" s="1056"/>
      <c r="BMO200" s="1056"/>
      <c r="BMP200" s="1056"/>
      <c r="BMQ200" s="1056"/>
      <c r="BMR200" s="1056"/>
      <c r="BMS200" s="1056"/>
      <c r="BMT200" s="1056"/>
      <c r="BMU200" s="1056"/>
      <c r="BMV200" s="1056"/>
      <c r="BMW200" s="1056"/>
      <c r="BMX200" s="1056"/>
      <c r="BMY200" s="1056"/>
      <c r="BMZ200" s="1056"/>
      <c r="BNA200" s="1056"/>
      <c r="BNB200" s="1056"/>
      <c r="BNC200" s="1056"/>
      <c r="BND200" s="1056"/>
      <c r="BNE200" s="1056"/>
      <c r="BNF200" s="1056"/>
      <c r="BNG200" s="1056"/>
      <c r="BNH200" s="1056"/>
      <c r="BNI200" s="1056"/>
      <c r="BNJ200" s="1056"/>
      <c r="BNK200" s="1056"/>
      <c r="BNL200" s="1056"/>
      <c r="BNM200" s="1056"/>
      <c r="BNN200" s="1056"/>
      <c r="BNO200" s="1056"/>
      <c r="BNP200" s="1056"/>
      <c r="BNQ200" s="1056"/>
      <c r="BNR200" s="1056"/>
      <c r="BNS200" s="1056"/>
      <c r="BNT200" s="1056"/>
      <c r="BNU200" s="1056"/>
      <c r="BNV200" s="1056"/>
      <c r="BNW200" s="1056"/>
      <c r="BNX200" s="1056"/>
      <c r="BNY200" s="1056"/>
      <c r="BNZ200" s="1056"/>
      <c r="BOA200" s="1056"/>
      <c r="BOB200" s="1056"/>
      <c r="BOC200" s="1056"/>
      <c r="BOD200" s="1056"/>
      <c r="BOE200" s="1056"/>
      <c r="BOF200" s="1056"/>
      <c r="BOG200" s="1056"/>
      <c r="BOH200" s="1056"/>
      <c r="BOI200" s="1056"/>
      <c r="BOJ200" s="1056"/>
      <c r="BOK200" s="1056"/>
      <c r="BOL200" s="1056"/>
      <c r="BOM200" s="1056"/>
      <c r="BON200" s="1056"/>
      <c r="BOO200" s="1056"/>
      <c r="BOP200" s="1056"/>
      <c r="BOQ200" s="1056"/>
      <c r="BOR200" s="1056"/>
      <c r="BOS200" s="1056"/>
      <c r="BOT200" s="1056"/>
      <c r="BOU200" s="1056"/>
      <c r="BOV200" s="1056"/>
      <c r="BOW200" s="1056"/>
      <c r="BOX200" s="1056"/>
      <c r="BOY200" s="1056"/>
      <c r="BOZ200" s="1056"/>
      <c r="BPA200" s="1056"/>
      <c r="BPB200" s="1056"/>
      <c r="BPC200" s="1056"/>
      <c r="BPD200" s="1056"/>
      <c r="BPE200" s="1056"/>
      <c r="BPF200" s="1056"/>
      <c r="BPG200" s="1056"/>
      <c r="BPH200" s="1056"/>
      <c r="BPI200" s="1056"/>
      <c r="BPJ200" s="1056"/>
      <c r="BPK200" s="1056"/>
      <c r="BPL200" s="1056"/>
      <c r="BPM200" s="1056"/>
      <c r="BPN200" s="1056"/>
      <c r="BPO200" s="1056"/>
      <c r="BPP200" s="1056"/>
      <c r="BPQ200" s="1056"/>
      <c r="BPR200" s="1056"/>
      <c r="BPS200" s="1056"/>
      <c r="BPT200" s="1056"/>
      <c r="BPU200" s="1056"/>
      <c r="BPV200" s="1056"/>
      <c r="BPW200" s="1056"/>
      <c r="BPX200" s="1056"/>
      <c r="BPY200" s="1056"/>
      <c r="BPZ200" s="1056"/>
      <c r="BQA200" s="1056"/>
      <c r="BQB200" s="1056"/>
      <c r="BQC200" s="1056"/>
      <c r="BQD200" s="1056"/>
      <c r="BQE200" s="1056"/>
      <c r="BQF200" s="1056"/>
      <c r="BQG200" s="1056"/>
      <c r="BQH200" s="1056"/>
      <c r="BQI200" s="1056"/>
      <c r="BQJ200" s="1056"/>
      <c r="BQK200" s="1056"/>
      <c r="BQL200" s="1056"/>
      <c r="BQM200" s="1056"/>
      <c r="BQN200" s="1056"/>
      <c r="BQO200" s="1056"/>
      <c r="BQP200" s="1056"/>
      <c r="BQQ200" s="1056"/>
      <c r="BQR200" s="1056"/>
      <c r="BQS200" s="1056"/>
      <c r="BQT200" s="1056"/>
      <c r="BQU200" s="1056"/>
      <c r="BQV200" s="1056"/>
      <c r="BQW200" s="1056"/>
      <c r="BQX200" s="1056"/>
      <c r="BQY200" s="1056"/>
      <c r="BQZ200" s="1056"/>
      <c r="BRA200" s="1056"/>
      <c r="BRB200" s="1056"/>
      <c r="BRC200" s="1056"/>
      <c r="BRD200" s="1056"/>
      <c r="BRE200" s="1056"/>
      <c r="BRF200" s="1056"/>
      <c r="BRG200" s="1056"/>
      <c r="BRH200" s="1056"/>
      <c r="BRI200" s="1056"/>
      <c r="BRJ200" s="1056"/>
      <c r="BRK200" s="1056"/>
      <c r="BRL200" s="1056"/>
      <c r="BRM200" s="1056"/>
      <c r="BRN200" s="1056"/>
      <c r="BRO200" s="1056"/>
      <c r="BRP200" s="1056"/>
      <c r="BRQ200" s="1056"/>
      <c r="BRR200" s="1056"/>
      <c r="BRS200" s="1056"/>
      <c r="BRT200" s="1056"/>
      <c r="BRU200" s="1056"/>
      <c r="BRV200" s="1056"/>
      <c r="BRW200" s="1056"/>
      <c r="BRX200" s="1056"/>
      <c r="BRY200" s="1056"/>
      <c r="BRZ200" s="1056"/>
      <c r="BSA200" s="1056"/>
      <c r="BSB200" s="1056"/>
      <c r="BSC200" s="1056"/>
      <c r="BSD200" s="1056"/>
      <c r="BSE200" s="1056"/>
      <c r="BSF200" s="1056"/>
      <c r="BSG200" s="1056"/>
      <c r="BSH200" s="1056"/>
      <c r="BSI200" s="1056"/>
      <c r="BSJ200" s="1056"/>
      <c r="BSK200" s="1056"/>
      <c r="BSL200" s="1056"/>
      <c r="BSM200" s="1056"/>
      <c r="BSN200" s="1056"/>
      <c r="BSO200" s="1056"/>
      <c r="BSP200" s="1056"/>
      <c r="BSQ200" s="1056"/>
      <c r="BSR200" s="1056"/>
      <c r="BSS200" s="1056"/>
      <c r="BST200" s="1056"/>
      <c r="BSU200" s="1056"/>
      <c r="BSV200" s="1056"/>
      <c r="BSW200" s="1056"/>
      <c r="BSX200" s="1056"/>
      <c r="BSY200" s="1056"/>
      <c r="BSZ200" s="1056"/>
      <c r="BTA200" s="1056"/>
      <c r="BTB200" s="1056"/>
      <c r="BTC200" s="1056"/>
      <c r="BTD200" s="1056"/>
      <c r="BTE200" s="1056"/>
      <c r="BTF200" s="1056"/>
      <c r="BTG200" s="1056"/>
      <c r="BTH200" s="1056"/>
      <c r="BTI200" s="1056"/>
    </row>
    <row r="201" spans="1:1881" s="1060" customFormat="1" ht="13.5" hidden="1" customHeight="1" x14ac:dyDescent="0.3">
      <c r="A201" s="1059"/>
      <c r="B201" s="1102" t="s">
        <v>1430</v>
      </c>
      <c r="C201" s="843"/>
      <c r="D201" s="819"/>
      <c r="E201" s="819"/>
      <c r="F201" s="847"/>
      <c r="G201" s="840"/>
      <c r="H201" s="764"/>
      <c r="I201" s="1055"/>
      <c r="J201" s="1056"/>
      <c r="K201" s="1056"/>
      <c r="L201" s="1056"/>
      <c r="M201" s="1056"/>
      <c r="N201" s="1058"/>
      <c r="O201" s="1056"/>
      <c r="P201" s="1056"/>
      <c r="Q201" s="1056"/>
      <c r="R201" s="1056"/>
      <c r="S201" s="1056"/>
      <c r="T201" s="1056"/>
      <c r="U201" s="1056"/>
      <c r="V201" s="1056"/>
      <c r="W201" s="1056"/>
      <c r="X201" s="1056"/>
      <c r="Y201" s="1056"/>
      <c r="Z201" s="1059"/>
      <c r="AA201" s="1059"/>
      <c r="AB201" s="1059"/>
      <c r="AC201" s="1059"/>
      <c r="AD201" s="1059"/>
      <c r="AE201" s="1059"/>
      <c r="AF201" s="1059"/>
      <c r="AG201" s="1059"/>
      <c r="AH201" s="1059"/>
      <c r="AI201" s="1059"/>
      <c r="AJ201" s="1059"/>
      <c r="AK201" s="1059"/>
      <c r="AL201" s="1059"/>
      <c r="AM201" s="1059"/>
      <c r="AN201" s="1059"/>
      <c r="AO201" s="1059"/>
      <c r="AP201" s="1059"/>
      <c r="AQ201" s="1059"/>
      <c r="AR201" s="1059"/>
      <c r="AS201" s="1056"/>
      <c r="AT201" s="1056"/>
      <c r="AU201" s="1056"/>
      <c r="AV201" s="1056"/>
      <c r="AW201" s="1056"/>
      <c r="AX201" s="1056"/>
      <c r="AY201" s="1056"/>
      <c r="AZ201" s="1056"/>
      <c r="BA201" s="1056"/>
      <c r="BB201" s="1056"/>
      <c r="BC201" s="1056"/>
      <c r="BD201" s="1056"/>
      <c r="BE201" s="1056"/>
      <c r="BF201" s="1056"/>
      <c r="BG201" s="1056"/>
      <c r="BH201" s="1056"/>
      <c r="BI201" s="1056"/>
      <c r="BJ201" s="1056"/>
      <c r="BK201" s="1056"/>
      <c r="BL201" s="1056"/>
      <c r="BM201" s="1056"/>
      <c r="BN201" s="1056"/>
      <c r="BO201" s="1056"/>
      <c r="BP201" s="1056"/>
      <c r="BQ201" s="1056"/>
      <c r="BR201" s="1056"/>
      <c r="BS201" s="1056"/>
      <c r="BT201" s="1056"/>
      <c r="BU201" s="1056"/>
      <c r="BV201" s="1056"/>
      <c r="BW201" s="1056"/>
      <c r="BX201" s="1056"/>
      <c r="BY201" s="1056"/>
      <c r="BZ201" s="1056"/>
      <c r="CA201" s="1056"/>
      <c r="CB201" s="1056"/>
      <c r="CC201" s="1056"/>
      <c r="CD201" s="1056"/>
      <c r="CE201" s="1056"/>
      <c r="CF201" s="1056"/>
      <c r="CG201" s="1056"/>
      <c r="CH201" s="1056"/>
      <c r="CI201" s="1056"/>
      <c r="CJ201" s="1056"/>
      <c r="CK201" s="1056"/>
      <c r="CL201" s="1056"/>
      <c r="CM201" s="1056"/>
      <c r="CN201" s="1056"/>
      <c r="CO201" s="1056"/>
      <c r="CP201" s="1056"/>
      <c r="CQ201" s="1056"/>
      <c r="CR201" s="1056"/>
      <c r="CS201" s="1056"/>
      <c r="CT201" s="1056"/>
      <c r="CU201" s="1056"/>
      <c r="CV201" s="1056"/>
      <c r="CW201" s="1056"/>
      <c r="CX201" s="1056"/>
      <c r="CY201" s="1056"/>
      <c r="CZ201" s="1056"/>
      <c r="DA201" s="1056"/>
      <c r="DB201" s="1056"/>
      <c r="DC201" s="1056"/>
      <c r="DD201" s="1056"/>
      <c r="DE201" s="1056"/>
      <c r="DF201" s="1056"/>
      <c r="DG201" s="1056"/>
      <c r="DH201" s="1056"/>
      <c r="DI201" s="1056"/>
      <c r="DJ201" s="1056"/>
      <c r="DK201" s="1056"/>
      <c r="DL201" s="1056"/>
      <c r="DM201" s="1056"/>
      <c r="DN201" s="1056"/>
      <c r="DO201" s="1056"/>
      <c r="DP201" s="1056"/>
      <c r="DQ201" s="1056"/>
      <c r="DR201" s="1056"/>
      <c r="DS201" s="1056"/>
      <c r="DT201" s="1056"/>
      <c r="DU201" s="1056"/>
      <c r="DV201" s="1056"/>
      <c r="DW201" s="1056"/>
      <c r="DX201" s="1056"/>
      <c r="DY201" s="1056"/>
      <c r="DZ201" s="1056"/>
      <c r="EA201" s="1056"/>
      <c r="EB201" s="1056"/>
      <c r="EC201" s="1056"/>
      <c r="ED201" s="1056"/>
      <c r="EE201" s="1056"/>
      <c r="EF201" s="1056"/>
      <c r="EG201" s="1056"/>
      <c r="EH201" s="1056"/>
      <c r="EI201" s="1056"/>
      <c r="EJ201" s="1056"/>
      <c r="EK201" s="1056"/>
      <c r="EL201" s="1056"/>
      <c r="EM201" s="1056"/>
      <c r="EN201" s="1056"/>
      <c r="EO201" s="1056"/>
      <c r="EP201" s="1056"/>
      <c r="EQ201" s="1056"/>
      <c r="ER201" s="1056"/>
      <c r="ES201" s="1056"/>
      <c r="ET201" s="1056"/>
      <c r="EU201" s="1056"/>
      <c r="EV201" s="1056"/>
      <c r="EW201" s="1056"/>
      <c r="EX201" s="1056"/>
      <c r="EY201" s="1056"/>
      <c r="EZ201" s="1056"/>
      <c r="FA201" s="1056"/>
      <c r="FB201" s="1056"/>
      <c r="FC201" s="1056"/>
      <c r="FD201" s="1056"/>
      <c r="FE201" s="1056"/>
      <c r="FF201" s="1056"/>
      <c r="FG201" s="1056"/>
      <c r="FH201" s="1056"/>
      <c r="FI201" s="1056"/>
      <c r="FJ201" s="1056"/>
      <c r="FK201" s="1056"/>
      <c r="FL201" s="1056"/>
      <c r="FM201" s="1056"/>
      <c r="FN201" s="1056"/>
      <c r="FO201" s="1056"/>
      <c r="FP201" s="1056"/>
      <c r="FQ201" s="1056"/>
      <c r="FR201" s="1056"/>
      <c r="FS201" s="1056"/>
      <c r="FT201" s="1056"/>
      <c r="FU201" s="1056"/>
      <c r="FV201" s="1056"/>
      <c r="FW201" s="1056"/>
      <c r="FX201" s="1056"/>
      <c r="FY201" s="1056"/>
      <c r="FZ201" s="1056"/>
      <c r="GA201" s="1056"/>
      <c r="GB201" s="1056"/>
      <c r="GC201" s="1056"/>
      <c r="GD201" s="1056"/>
      <c r="GE201" s="1056"/>
      <c r="GF201" s="1056"/>
      <c r="GG201" s="1056"/>
      <c r="GH201" s="1056"/>
      <c r="GI201" s="1056"/>
      <c r="GJ201" s="1056"/>
      <c r="GK201" s="1056"/>
      <c r="GL201" s="1056"/>
      <c r="GM201" s="1056"/>
      <c r="GN201" s="1056"/>
      <c r="GO201" s="1056"/>
      <c r="GP201" s="1056"/>
      <c r="GQ201" s="1056"/>
      <c r="GR201" s="1056"/>
      <c r="GS201" s="1056"/>
      <c r="GT201" s="1056"/>
      <c r="GU201" s="1056"/>
      <c r="GV201" s="1056"/>
      <c r="GW201" s="1056"/>
      <c r="GX201" s="1056"/>
      <c r="GY201" s="1056"/>
      <c r="GZ201" s="1056"/>
      <c r="HA201" s="1056"/>
      <c r="HB201" s="1056"/>
      <c r="HC201" s="1056"/>
      <c r="HD201" s="1056"/>
      <c r="HE201" s="1056"/>
      <c r="HF201" s="1056"/>
      <c r="HG201" s="1056"/>
      <c r="HH201" s="1056"/>
      <c r="HI201" s="1056"/>
      <c r="HJ201" s="1056"/>
      <c r="HK201" s="1056"/>
      <c r="HL201" s="1056"/>
      <c r="HM201" s="1056"/>
      <c r="HN201" s="1056"/>
      <c r="HO201" s="1056"/>
      <c r="HP201" s="1056"/>
      <c r="HQ201" s="1056"/>
      <c r="HR201" s="1056"/>
      <c r="HS201" s="1056"/>
      <c r="HT201" s="1056"/>
      <c r="HU201" s="1056"/>
      <c r="HV201" s="1056"/>
      <c r="HW201" s="1056"/>
      <c r="HX201" s="1056"/>
      <c r="HY201" s="1056"/>
      <c r="HZ201" s="1056"/>
      <c r="IA201" s="1056"/>
      <c r="IB201" s="1056"/>
      <c r="IC201" s="1056"/>
      <c r="ID201" s="1056"/>
      <c r="IE201" s="1056"/>
      <c r="IF201" s="1056"/>
      <c r="IG201" s="1056"/>
      <c r="IH201" s="1056"/>
      <c r="II201" s="1056"/>
      <c r="IJ201" s="1056"/>
      <c r="IK201" s="1056"/>
      <c r="IL201" s="1056"/>
      <c r="IM201" s="1056"/>
      <c r="IN201" s="1056"/>
      <c r="IO201" s="1056"/>
      <c r="IP201" s="1056"/>
      <c r="IQ201" s="1056"/>
      <c r="IR201" s="1056"/>
      <c r="IS201" s="1056"/>
      <c r="IT201" s="1056"/>
      <c r="IU201" s="1056"/>
      <c r="IV201" s="1056"/>
      <c r="IW201" s="1056"/>
      <c r="IX201" s="1056"/>
      <c r="IY201" s="1056"/>
      <c r="IZ201" s="1056"/>
      <c r="JA201" s="1056"/>
      <c r="JB201" s="1056"/>
      <c r="JC201" s="1056"/>
      <c r="JD201" s="1056"/>
      <c r="JE201" s="1056"/>
      <c r="JF201" s="1056"/>
      <c r="JG201" s="1056"/>
      <c r="JH201" s="1056"/>
      <c r="JI201" s="1056"/>
      <c r="JJ201" s="1056"/>
      <c r="JK201" s="1056"/>
      <c r="JL201" s="1056"/>
      <c r="JM201" s="1056"/>
      <c r="JN201" s="1056"/>
      <c r="JO201" s="1056"/>
      <c r="JP201" s="1056"/>
      <c r="JQ201" s="1056"/>
      <c r="JR201" s="1056"/>
      <c r="JS201" s="1056"/>
      <c r="JT201" s="1056"/>
      <c r="JU201" s="1056"/>
      <c r="JV201" s="1056"/>
      <c r="JW201" s="1056"/>
      <c r="JX201" s="1056"/>
      <c r="JY201" s="1056"/>
      <c r="JZ201" s="1056"/>
      <c r="KA201" s="1056"/>
      <c r="KB201" s="1056"/>
      <c r="KC201" s="1056"/>
      <c r="KD201" s="1056"/>
      <c r="KE201" s="1056"/>
      <c r="KF201" s="1056"/>
      <c r="KG201" s="1056"/>
      <c r="KH201" s="1056"/>
      <c r="KI201" s="1056"/>
      <c r="KJ201" s="1056"/>
      <c r="KK201" s="1056"/>
      <c r="KL201" s="1056"/>
      <c r="KM201" s="1056"/>
      <c r="KN201" s="1056"/>
      <c r="KO201" s="1056"/>
      <c r="KP201" s="1056"/>
      <c r="KQ201" s="1056"/>
      <c r="KR201" s="1056"/>
      <c r="KS201" s="1056"/>
      <c r="KT201" s="1056"/>
      <c r="KU201" s="1056"/>
      <c r="KV201" s="1056"/>
      <c r="KW201" s="1056"/>
      <c r="KX201" s="1056"/>
      <c r="KY201" s="1056"/>
      <c r="KZ201" s="1056"/>
      <c r="LA201" s="1056"/>
      <c r="LB201" s="1056"/>
      <c r="LC201" s="1056"/>
      <c r="LD201" s="1056"/>
      <c r="LE201" s="1056"/>
      <c r="LF201" s="1056"/>
      <c r="LG201" s="1056"/>
      <c r="LH201" s="1056"/>
      <c r="LI201" s="1056"/>
      <c r="LJ201" s="1056"/>
      <c r="LK201" s="1056"/>
      <c r="LL201" s="1056"/>
      <c r="LM201" s="1056"/>
      <c r="LN201" s="1056"/>
      <c r="LO201" s="1056"/>
      <c r="LP201" s="1056"/>
      <c r="LQ201" s="1056"/>
      <c r="LR201" s="1056"/>
      <c r="LS201" s="1056"/>
      <c r="LT201" s="1056"/>
      <c r="LU201" s="1056"/>
      <c r="LV201" s="1056"/>
      <c r="LW201" s="1056"/>
      <c r="LX201" s="1056"/>
      <c r="LY201" s="1056"/>
      <c r="LZ201" s="1056"/>
      <c r="MA201" s="1056"/>
      <c r="MB201" s="1056"/>
      <c r="MC201" s="1056"/>
      <c r="MD201" s="1056"/>
      <c r="ME201" s="1056"/>
      <c r="MF201" s="1056"/>
      <c r="MG201" s="1056"/>
      <c r="MH201" s="1056"/>
      <c r="MI201" s="1056"/>
      <c r="MJ201" s="1056"/>
      <c r="MK201" s="1056"/>
      <c r="ML201" s="1056"/>
      <c r="MM201" s="1056"/>
      <c r="MN201" s="1056"/>
      <c r="MO201" s="1056"/>
      <c r="MP201" s="1056"/>
      <c r="MQ201" s="1056"/>
      <c r="MR201" s="1056"/>
      <c r="MS201" s="1056"/>
      <c r="MT201" s="1056"/>
      <c r="MU201" s="1056"/>
      <c r="MV201" s="1056"/>
      <c r="MW201" s="1056"/>
      <c r="MX201" s="1056"/>
      <c r="MY201" s="1056"/>
      <c r="MZ201" s="1056"/>
      <c r="NA201" s="1056"/>
      <c r="NB201" s="1056"/>
      <c r="NC201" s="1056"/>
      <c r="ND201" s="1056"/>
      <c r="NE201" s="1056"/>
      <c r="NF201" s="1056"/>
      <c r="NG201" s="1056"/>
      <c r="NH201" s="1056"/>
      <c r="NI201" s="1056"/>
      <c r="NJ201" s="1056"/>
      <c r="NK201" s="1056"/>
      <c r="NL201" s="1056"/>
      <c r="NM201" s="1056"/>
      <c r="NN201" s="1056"/>
      <c r="NO201" s="1056"/>
      <c r="NP201" s="1056"/>
      <c r="NQ201" s="1056"/>
      <c r="NR201" s="1056"/>
      <c r="NS201" s="1056"/>
      <c r="NT201" s="1056"/>
      <c r="NU201" s="1056"/>
      <c r="NV201" s="1056"/>
      <c r="NW201" s="1056"/>
      <c r="NX201" s="1056"/>
      <c r="NY201" s="1056"/>
      <c r="NZ201" s="1056"/>
      <c r="OA201" s="1056"/>
      <c r="OB201" s="1056"/>
      <c r="OC201" s="1056"/>
      <c r="OD201" s="1056"/>
      <c r="OE201" s="1056"/>
      <c r="OF201" s="1056"/>
      <c r="OG201" s="1056"/>
      <c r="OH201" s="1056"/>
      <c r="OI201" s="1056"/>
      <c r="OJ201" s="1056"/>
      <c r="OK201" s="1056"/>
      <c r="OL201" s="1056"/>
      <c r="OM201" s="1056"/>
      <c r="ON201" s="1056"/>
      <c r="OO201" s="1056"/>
      <c r="OP201" s="1056"/>
      <c r="OQ201" s="1056"/>
      <c r="OR201" s="1056"/>
      <c r="OS201" s="1056"/>
      <c r="OT201" s="1056"/>
      <c r="OU201" s="1056"/>
      <c r="OV201" s="1056"/>
      <c r="OW201" s="1056"/>
      <c r="OX201" s="1056"/>
      <c r="OY201" s="1056"/>
      <c r="OZ201" s="1056"/>
      <c r="PA201" s="1056"/>
      <c r="PB201" s="1056"/>
      <c r="PC201" s="1056"/>
      <c r="PD201" s="1056"/>
      <c r="PE201" s="1056"/>
      <c r="PF201" s="1056"/>
      <c r="PG201" s="1056"/>
      <c r="PH201" s="1056"/>
      <c r="PI201" s="1056"/>
      <c r="PJ201" s="1056"/>
      <c r="PK201" s="1056"/>
      <c r="PL201" s="1056"/>
      <c r="PM201" s="1056"/>
      <c r="PN201" s="1056"/>
      <c r="PO201" s="1056"/>
      <c r="PP201" s="1056"/>
      <c r="PQ201" s="1056"/>
      <c r="PR201" s="1056"/>
      <c r="PS201" s="1056"/>
      <c r="PT201" s="1056"/>
      <c r="PU201" s="1056"/>
      <c r="PV201" s="1056"/>
      <c r="PW201" s="1056"/>
      <c r="PX201" s="1056"/>
      <c r="PY201" s="1056"/>
      <c r="PZ201" s="1056"/>
      <c r="QA201" s="1056"/>
      <c r="QB201" s="1056"/>
      <c r="QC201" s="1056"/>
      <c r="QD201" s="1056"/>
      <c r="QE201" s="1056"/>
      <c r="QF201" s="1056"/>
      <c r="QG201" s="1056"/>
      <c r="QH201" s="1056"/>
      <c r="QI201" s="1056"/>
      <c r="QJ201" s="1056"/>
      <c r="QK201" s="1056"/>
      <c r="QL201" s="1056"/>
      <c r="QM201" s="1056"/>
      <c r="QN201" s="1056"/>
      <c r="QO201" s="1056"/>
      <c r="QP201" s="1056"/>
      <c r="QQ201" s="1056"/>
      <c r="QR201" s="1056"/>
      <c r="QS201" s="1056"/>
      <c r="QT201" s="1056"/>
      <c r="QU201" s="1056"/>
      <c r="QV201" s="1056"/>
      <c r="QW201" s="1056"/>
      <c r="QX201" s="1056"/>
      <c r="QY201" s="1056"/>
      <c r="QZ201" s="1056"/>
      <c r="RA201" s="1056"/>
      <c r="RB201" s="1056"/>
      <c r="RC201" s="1056"/>
      <c r="RD201" s="1056"/>
      <c r="RE201" s="1056"/>
      <c r="RF201" s="1056"/>
      <c r="RG201" s="1056"/>
      <c r="RH201" s="1056"/>
      <c r="RI201" s="1056"/>
      <c r="RJ201" s="1056"/>
      <c r="RK201" s="1056"/>
      <c r="RL201" s="1056"/>
      <c r="RM201" s="1056"/>
      <c r="RN201" s="1056"/>
      <c r="RO201" s="1056"/>
      <c r="RP201" s="1056"/>
      <c r="RQ201" s="1056"/>
      <c r="RR201" s="1056"/>
      <c r="RS201" s="1056"/>
      <c r="RT201" s="1056"/>
      <c r="RU201" s="1056"/>
      <c r="RV201" s="1056"/>
      <c r="RW201" s="1056"/>
      <c r="RX201" s="1056"/>
      <c r="RY201" s="1056"/>
      <c r="RZ201" s="1056"/>
      <c r="SA201" s="1056"/>
      <c r="SB201" s="1056"/>
      <c r="SC201" s="1056"/>
      <c r="SD201" s="1056"/>
      <c r="SE201" s="1056"/>
      <c r="SF201" s="1056"/>
      <c r="SG201" s="1056"/>
      <c r="SH201" s="1056"/>
      <c r="SI201" s="1056"/>
      <c r="SJ201" s="1056"/>
      <c r="SK201" s="1056"/>
      <c r="SL201" s="1056"/>
      <c r="SM201" s="1056"/>
      <c r="SN201" s="1056"/>
      <c r="SO201" s="1056"/>
      <c r="SP201" s="1056"/>
      <c r="SQ201" s="1056"/>
      <c r="SR201" s="1056"/>
      <c r="SS201" s="1056"/>
      <c r="ST201" s="1056"/>
      <c r="SU201" s="1056"/>
      <c r="SV201" s="1056"/>
      <c r="SW201" s="1056"/>
      <c r="SX201" s="1056"/>
      <c r="SY201" s="1056"/>
      <c r="SZ201" s="1056"/>
      <c r="TA201" s="1056"/>
      <c r="TB201" s="1056"/>
      <c r="TC201" s="1056"/>
      <c r="TD201" s="1056"/>
      <c r="TE201" s="1056"/>
      <c r="TF201" s="1056"/>
      <c r="TG201" s="1056"/>
      <c r="TH201" s="1056"/>
      <c r="TI201" s="1056"/>
      <c r="TJ201" s="1056"/>
      <c r="TK201" s="1056"/>
      <c r="TL201" s="1056"/>
      <c r="TM201" s="1056"/>
      <c r="TN201" s="1056"/>
      <c r="TO201" s="1056"/>
      <c r="TP201" s="1056"/>
      <c r="TQ201" s="1056"/>
      <c r="TR201" s="1056"/>
      <c r="TS201" s="1056"/>
      <c r="TT201" s="1056"/>
      <c r="TU201" s="1056"/>
      <c r="TV201" s="1056"/>
      <c r="TW201" s="1056"/>
      <c r="TX201" s="1056"/>
      <c r="TY201" s="1056"/>
      <c r="TZ201" s="1056"/>
      <c r="UA201" s="1056"/>
      <c r="UB201" s="1056"/>
      <c r="UC201" s="1056"/>
      <c r="UD201" s="1056"/>
      <c r="UE201" s="1056"/>
      <c r="UF201" s="1056"/>
      <c r="UG201" s="1056"/>
      <c r="UH201" s="1056"/>
      <c r="UI201" s="1056"/>
      <c r="UJ201" s="1056"/>
      <c r="UK201" s="1056"/>
      <c r="UL201" s="1056"/>
      <c r="UM201" s="1056"/>
      <c r="UN201" s="1056"/>
      <c r="UO201" s="1056"/>
      <c r="UP201" s="1056"/>
      <c r="UQ201" s="1056"/>
      <c r="UR201" s="1056"/>
      <c r="US201" s="1056"/>
      <c r="UT201" s="1056"/>
      <c r="UU201" s="1056"/>
      <c r="UV201" s="1056"/>
      <c r="UW201" s="1056"/>
      <c r="UX201" s="1056"/>
      <c r="UY201" s="1056"/>
      <c r="UZ201" s="1056"/>
      <c r="VA201" s="1056"/>
      <c r="VB201" s="1056"/>
      <c r="VC201" s="1056"/>
      <c r="VD201" s="1056"/>
      <c r="VE201" s="1056"/>
      <c r="VF201" s="1056"/>
      <c r="VG201" s="1056"/>
      <c r="VH201" s="1056"/>
      <c r="VI201" s="1056"/>
      <c r="VJ201" s="1056"/>
      <c r="VK201" s="1056"/>
      <c r="VL201" s="1056"/>
      <c r="VM201" s="1056"/>
      <c r="VN201" s="1056"/>
      <c r="VO201" s="1056"/>
      <c r="VP201" s="1056"/>
      <c r="VQ201" s="1056"/>
      <c r="VR201" s="1056"/>
      <c r="VS201" s="1056"/>
      <c r="VT201" s="1056"/>
      <c r="VU201" s="1056"/>
      <c r="VV201" s="1056"/>
      <c r="VW201" s="1056"/>
      <c r="VX201" s="1056"/>
      <c r="VY201" s="1056"/>
      <c r="VZ201" s="1056"/>
      <c r="WA201" s="1056"/>
      <c r="WB201" s="1056"/>
      <c r="WC201" s="1056"/>
      <c r="WD201" s="1056"/>
      <c r="WE201" s="1056"/>
      <c r="WF201" s="1056"/>
      <c r="WG201" s="1056"/>
      <c r="WH201" s="1056"/>
      <c r="WI201" s="1056"/>
      <c r="WJ201" s="1056"/>
      <c r="WK201" s="1056"/>
      <c r="WL201" s="1056"/>
      <c r="WM201" s="1056"/>
      <c r="WN201" s="1056"/>
      <c r="WO201" s="1056"/>
      <c r="WP201" s="1056"/>
      <c r="WQ201" s="1056"/>
      <c r="WR201" s="1056"/>
      <c r="WS201" s="1056"/>
      <c r="WT201" s="1056"/>
      <c r="WU201" s="1056"/>
      <c r="WV201" s="1056"/>
      <c r="WW201" s="1056"/>
      <c r="WX201" s="1056"/>
      <c r="WY201" s="1056"/>
      <c r="WZ201" s="1056"/>
      <c r="XA201" s="1056"/>
      <c r="XB201" s="1056"/>
      <c r="XC201" s="1056"/>
      <c r="XD201" s="1056"/>
      <c r="XE201" s="1056"/>
      <c r="XF201" s="1056"/>
      <c r="XG201" s="1056"/>
      <c r="XH201" s="1056"/>
      <c r="XI201" s="1056"/>
      <c r="XJ201" s="1056"/>
      <c r="XK201" s="1056"/>
      <c r="XL201" s="1056"/>
      <c r="XM201" s="1056"/>
      <c r="XN201" s="1056"/>
      <c r="XO201" s="1056"/>
      <c r="XP201" s="1056"/>
      <c r="XQ201" s="1056"/>
      <c r="XR201" s="1056"/>
      <c r="XS201" s="1056"/>
      <c r="XT201" s="1056"/>
      <c r="XU201" s="1056"/>
      <c r="XV201" s="1056"/>
      <c r="XW201" s="1056"/>
      <c r="XX201" s="1056"/>
      <c r="XY201" s="1056"/>
      <c r="XZ201" s="1056"/>
      <c r="YA201" s="1056"/>
      <c r="YB201" s="1056"/>
      <c r="YC201" s="1056"/>
      <c r="YD201" s="1056"/>
      <c r="YE201" s="1056"/>
      <c r="YF201" s="1056"/>
      <c r="YG201" s="1056"/>
      <c r="YH201" s="1056"/>
      <c r="YI201" s="1056"/>
      <c r="YJ201" s="1056"/>
      <c r="YK201" s="1056"/>
      <c r="YL201" s="1056"/>
      <c r="YM201" s="1056"/>
      <c r="YN201" s="1056"/>
      <c r="YO201" s="1056"/>
      <c r="YP201" s="1056"/>
      <c r="YQ201" s="1056"/>
      <c r="YR201" s="1056"/>
      <c r="YS201" s="1056"/>
      <c r="YT201" s="1056"/>
      <c r="YU201" s="1056"/>
      <c r="YV201" s="1056"/>
      <c r="YW201" s="1056"/>
      <c r="YX201" s="1056"/>
      <c r="YY201" s="1056"/>
      <c r="YZ201" s="1056"/>
      <c r="ZA201" s="1056"/>
      <c r="ZB201" s="1056"/>
      <c r="ZC201" s="1056"/>
      <c r="ZD201" s="1056"/>
      <c r="ZE201" s="1056"/>
      <c r="ZF201" s="1056"/>
      <c r="ZG201" s="1056"/>
      <c r="ZH201" s="1056"/>
      <c r="ZI201" s="1056"/>
      <c r="ZJ201" s="1056"/>
      <c r="ZK201" s="1056"/>
      <c r="ZL201" s="1056"/>
      <c r="ZM201" s="1056"/>
      <c r="ZN201" s="1056"/>
      <c r="ZO201" s="1056"/>
      <c r="ZP201" s="1056"/>
      <c r="ZQ201" s="1056"/>
      <c r="ZR201" s="1056"/>
      <c r="ZS201" s="1056"/>
      <c r="ZT201" s="1056"/>
      <c r="ZU201" s="1056"/>
      <c r="ZV201" s="1056"/>
      <c r="ZW201" s="1056"/>
      <c r="ZX201" s="1056"/>
      <c r="ZY201" s="1056"/>
      <c r="ZZ201" s="1056"/>
      <c r="AAA201" s="1056"/>
      <c r="AAB201" s="1056"/>
      <c r="AAC201" s="1056"/>
      <c r="AAD201" s="1056"/>
      <c r="AAE201" s="1056"/>
      <c r="AAF201" s="1056"/>
      <c r="AAG201" s="1056"/>
      <c r="AAH201" s="1056"/>
      <c r="AAI201" s="1056"/>
      <c r="AAJ201" s="1056"/>
      <c r="AAK201" s="1056"/>
      <c r="AAL201" s="1056"/>
      <c r="AAM201" s="1056"/>
      <c r="AAN201" s="1056"/>
      <c r="AAO201" s="1056"/>
      <c r="AAP201" s="1056"/>
      <c r="AAQ201" s="1056"/>
      <c r="AAR201" s="1056"/>
      <c r="AAS201" s="1056"/>
      <c r="AAT201" s="1056"/>
      <c r="AAU201" s="1056"/>
      <c r="AAV201" s="1056"/>
      <c r="AAW201" s="1056"/>
      <c r="AAX201" s="1056"/>
      <c r="AAY201" s="1056"/>
      <c r="AAZ201" s="1056"/>
      <c r="ABA201" s="1056"/>
      <c r="ABB201" s="1056"/>
      <c r="ABC201" s="1056"/>
      <c r="ABD201" s="1056"/>
      <c r="ABE201" s="1056"/>
      <c r="ABF201" s="1056"/>
      <c r="ABG201" s="1056"/>
      <c r="ABH201" s="1056"/>
      <c r="ABI201" s="1056"/>
      <c r="ABJ201" s="1056"/>
      <c r="ABK201" s="1056"/>
      <c r="ABL201" s="1056"/>
      <c r="ABM201" s="1056"/>
      <c r="ABN201" s="1056"/>
      <c r="ABO201" s="1056"/>
      <c r="ABP201" s="1056"/>
      <c r="ABQ201" s="1056"/>
      <c r="ABR201" s="1056"/>
      <c r="ABS201" s="1056"/>
      <c r="ABT201" s="1056"/>
      <c r="ABU201" s="1056"/>
      <c r="ABV201" s="1056"/>
      <c r="ABW201" s="1056"/>
      <c r="ABX201" s="1056"/>
      <c r="ABY201" s="1056"/>
      <c r="ABZ201" s="1056"/>
      <c r="ACA201" s="1056"/>
      <c r="ACB201" s="1056"/>
      <c r="ACC201" s="1056"/>
      <c r="ACD201" s="1056"/>
      <c r="ACE201" s="1056"/>
      <c r="ACF201" s="1056"/>
      <c r="ACG201" s="1056"/>
      <c r="ACH201" s="1056"/>
      <c r="ACI201" s="1056"/>
      <c r="ACJ201" s="1056"/>
      <c r="ACK201" s="1056"/>
      <c r="ACL201" s="1056"/>
      <c r="ACM201" s="1056"/>
      <c r="ACN201" s="1056"/>
      <c r="ACO201" s="1056"/>
      <c r="ACP201" s="1056"/>
      <c r="ACQ201" s="1056"/>
      <c r="ACR201" s="1056"/>
      <c r="ACS201" s="1056"/>
      <c r="ACT201" s="1056"/>
      <c r="ACU201" s="1056"/>
      <c r="ACV201" s="1056"/>
      <c r="ACW201" s="1056"/>
      <c r="ACX201" s="1056"/>
      <c r="ACY201" s="1056"/>
      <c r="ACZ201" s="1056"/>
      <c r="ADA201" s="1056"/>
      <c r="ADB201" s="1056"/>
      <c r="ADC201" s="1056"/>
      <c r="ADD201" s="1056"/>
      <c r="ADE201" s="1056"/>
      <c r="ADF201" s="1056"/>
      <c r="ADG201" s="1056"/>
      <c r="ADH201" s="1056"/>
      <c r="ADI201" s="1056"/>
      <c r="ADJ201" s="1056"/>
      <c r="ADK201" s="1056"/>
      <c r="ADL201" s="1056"/>
      <c r="ADM201" s="1056"/>
      <c r="ADN201" s="1056"/>
      <c r="ADO201" s="1056"/>
      <c r="ADP201" s="1056"/>
      <c r="ADQ201" s="1056"/>
      <c r="ADR201" s="1056"/>
      <c r="ADS201" s="1056"/>
      <c r="ADT201" s="1056"/>
      <c r="ADU201" s="1056"/>
      <c r="ADV201" s="1056"/>
      <c r="ADW201" s="1056"/>
      <c r="ADX201" s="1056"/>
      <c r="ADY201" s="1056"/>
      <c r="ADZ201" s="1056"/>
      <c r="AEA201" s="1056"/>
      <c r="AEB201" s="1056"/>
      <c r="AEC201" s="1056"/>
      <c r="AED201" s="1056"/>
      <c r="AEE201" s="1056"/>
      <c r="AEF201" s="1056"/>
      <c r="AEG201" s="1056"/>
      <c r="AEH201" s="1056"/>
      <c r="AEI201" s="1056"/>
      <c r="AEJ201" s="1056"/>
      <c r="AEK201" s="1056"/>
      <c r="AEL201" s="1056"/>
      <c r="AEM201" s="1056"/>
      <c r="AEN201" s="1056"/>
      <c r="AEO201" s="1056"/>
      <c r="AEP201" s="1056"/>
      <c r="AEQ201" s="1056"/>
      <c r="AER201" s="1056"/>
      <c r="AES201" s="1056"/>
      <c r="AET201" s="1056"/>
      <c r="AEU201" s="1056"/>
      <c r="AEV201" s="1056"/>
      <c r="AEW201" s="1056"/>
      <c r="AEX201" s="1056"/>
      <c r="AEY201" s="1056"/>
      <c r="AEZ201" s="1056"/>
      <c r="AFA201" s="1056"/>
      <c r="AFB201" s="1056"/>
      <c r="AFC201" s="1056"/>
      <c r="AFD201" s="1056"/>
      <c r="AFE201" s="1056"/>
      <c r="AFF201" s="1056"/>
      <c r="AFG201" s="1056"/>
      <c r="AFH201" s="1056"/>
      <c r="AFI201" s="1056"/>
      <c r="AFJ201" s="1056"/>
      <c r="AFK201" s="1056"/>
      <c r="AFL201" s="1056"/>
      <c r="AFM201" s="1056"/>
      <c r="AFN201" s="1056"/>
      <c r="AFO201" s="1056"/>
      <c r="AFP201" s="1056"/>
      <c r="AFQ201" s="1056"/>
      <c r="AFR201" s="1056"/>
      <c r="AFS201" s="1056"/>
      <c r="AFT201" s="1056"/>
      <c r="AFU201" s="1056"/>
      <c r="AFV201" s="1056"/>
      <c r="AFW201" s="1056"/>
      <c r="AFX201" s="1056"/>
      <c r="AFY201" s="1056"/>
      <c r="AFZ201" s="1056"/>
      <c r="AGA201" s="1056"/>
      <c r="AGB201" s="1056"/>
      <c r="AGC201" s="1056"/>
      <c r="AGD201" s="1056"/>
      <c r="AGE201" s="1056"/>
      <c r="AGF201" s="1056"/>
      <c r="AGG201" s="1056"/>
      <c r="AGH201" s="1056"/>
      <c r="AGI201" s="1056"/>
      <c r="AGJ201" s="1056"/>
      <c r="AGK201" s="1056"/>
      <c r="AGL201" s="1056"/>
      <c r="AGM201" s="1056"/>
      <c r="AGN201" s="1056"/>
      <c r="AGO201" s="1056"/>
      <c r="AGP201" s="1056"/>
      <c r="AGQ201" s="1056"/>
      <c r="AGR201" s="1056"/>
      <c r="AGS201" s="1056"/>
      <c r="AGT201" s="1056"/>
      <c r="AGU201" s="1056"/>
      <c r="AGV201" s="1056"/>
      <c r="AGW201" s="1056"/>
      <c r="AGX201" s="1056"/>
      <c r="AGY201" s="1056"/>
      <c r="AGZ201" s="1056"/>
      <c r="AHA201" s="1056"/>
      <c r="AHB201" s="1056"/>
      <c r="AHC201" s="1056"/>
      <c r="AHD201" s="1056"/>
      <c r="AHE201" s="1056"/>
      <c r="AHF201" s="1056"/>
      <c r="AHG201" s="1056"/>
      <c r="AHH201" s="1056"/>
      <c r="AHI201" s="1056"/>
      <c r="AHJ201" s="1056"/>
      <c r="AHK201" s="1056"/>
      <c r="AHL201" s="1056"/>
      <c r="AHM201" s="1056"/>
      <c r="AHN201" s="1056"/>
      <c r="AHO201" s="1056"/>
      <c r="AHP201" s="1056"/>
      <c r="AHQ201" s="1056"/>
      <c r="AHR201" s="1056"/>
      <c r="AHS201" s="1056"/>
      <c r="AHT201" s="1056"/>
      <c r="AHU201" s="1056"/>
      <c r="AHV201" s="1056"/>
      <c r="AHW201" s="1056"/>
      <c r="AHX201" s="1056"/>
      <c r="AHY201" s="1056"/>
      <c r="AHZ201" s="1056"/>
      <c r="AIA201" s="1056"/>
      <c r="AIB201" s="1056"/>
      <c r="AIC201" s="1056"/>
      <c r="AID201" s="1056"/>
      <c r="AIE201" s="1056"/>
      <c r="AIF201" s="1056"/>
      <c r="AIG201" s="1056"/>
      <c r="AIH201" s="1056"/>
      <c r="AII201" s="1056"/>
      <c r="AIJ201" s="1056"/>
      <c r="AIK201" s="1056"/>
      <c r="AIL201" s="1056"/>
      <c r="AIM201" s="1056"/>
      <c r="AIN201" s="1056"/>
      <c r="AIO201" s="1056"/>
      <c r="AIP201" s="1056"/>
      <c r="AIQ201" s="1056"/>
      <c r="AIR201" s="1056"/>
      <c r="AIS201" s="1056"/>
      <c r="AIT201" s="1056"/>
      <c r="AIU201" s="1056"/>
      <c r="AIV201" s="1056"/>
      <c r="AIW201" s="1056"/>
      <c r="AIX201" s="1056"/>
      <c r="AIY201" s="1056"/>
      <c r="AIZ201" s="1056"/>
      <c r="AJA201" s="1056"/>
      <c r="AJB201" s="1056"/>
      <c r="AJC201" s="1056"/>
      <c r="AJD201" s="1056"/>
      <c r="AJE201" s="1056"/>
      <c r="AJF201" s="1056"/>
      <c r="AJG201" s="1056"/>
      <c r="AJH201" s="1056"/>
      <c r="AJI201" s="1056"/>
      <c r="AJJ201" s="1056"/>
      <c r="AJK201" s="1056"/>
      <c r="AJL201" s="1056"/>
      <c r="AJM201" s="1056"/>
      <c r="AJN201" s="1056"/>
      <c r="AJO201" s="1056"/>
      <c r="AJP201" s="1056"/>
      <c r="AJQ201" s="1056"/>
      <c r="AJR201" s="1056"/>
      <c r="AJS201" s="1056"/>
      <c r="AJT201" s="1056"/>
      <c r="AJU201" s="1056"/>
      <c r="AJV201" s="1056"/>
      <c r="AJW201" s="1056"/>
      <c r="AJX201" s="1056"/>
      <c r="AJY201" s="1056"/>
      <c r="AJZ201" s="1056"/>
      <c r="AKA201" s="1056"/>
      <c r="AKB201" s="1056"/>
      <c r="AKC201" s="1056"/>
      <c r="AKD201" s="1056"/>
      <c r="AKE201" s="1056"/>
      <c r="AKF201" s="1056"/>
      <c r="AKG201" s="1056"/>
      <c r="AKH201" s="1056"/>
      <c r="AKI201" s="1056"/>
      <c r="AKJ201" s="1056"/>
      <c r="AKK201" s="1056"/>
      <c r="AKL201" s="1056"/>
      <c r="AKM201" s="1056"/>
      <c r="AKN201" s="1056"/>
      <c r="AKO201" s="1056"/>
      <c r="AKP201" s="1056"/>
      <c r="AKQ201" s="1056"/>
      <c r="AKR201" s="1056"/>
      <c r="AKS201" s="1056"/>
      <c r="AKT201" s="1056"/>
      <c r="AKU201" s="1056"/>
      <c r="AKV201" s="1056"/>
      <c r="AKW201" s="1056"/>
      <c r="AKX201" s="1056"/>
      <c r="AKY201" s="1056"/>
      <c r="AKZ201" s="1056"/>
      <c r="ALA201" s="1056"/>
      <c r="ALB201" s="1056"/>
      <c r="ALC201" s="1056"/>
      <c r="ALD201" s="1056"/>
      <c r="ALE201" s="1056"/>
      <c r="ALF201" s="1056"/>
      <c r="ALG201" s="1056"/>
      <c r="ALH201" s="1056"/>
      <c r="ALI201" s="1056"/>
      <c r="ALJ201" s="1056"/>
      <c r="ALK201" s="1056"/>
      <c r="ALL201" s="1056"/>
      <c r="ALM201" s="1056"/>
      <c r="ALN201" s="1056"/>
      <c r="ALO201" s="1056"/>
      <c r="ALP201" s="1056"/>
      <c r="ALQ201" s="1056"/>
      <c r="ALR201" s="1056"/>
      <c r="ALS201" s="1056"/>
      <c r="ALT201" s="1056"/>
      <c r="ALU201" s="1056"/>
      <c r="ALV201" s="1056"/>
      <c r="ALW201" s="1056"/>
      <c r="ALX201" s="1056"/>
      <c r="ALY201" s="1056"/>
      <c r="ALZ201" s="1056"/>
      <c r="AMA201" s="1056"/>
      <c r="AMB201" s="1056"/>
      <c r="AMC201" s="1056"/>
      <c r="AMD201" s="1056"/>
      <c r="AME201" s="1056"/>
      <c r="AMF201" s="1056"/>
      <c r="AMG201" s="1056"/>
      <c r="AMH201" s="1056"/>
      <c r="AMI201" s="1056"/>
      <c r="AMJ201" s="1056"/>
      <c r="AMK201" s="1056"/>
      <c r="AML201" s="1056"/>
      <c r="AMM201" s="1056"/>
      <c r="AMN201" s="1056"/>
      <c r="AMO201" s="1056"/>
      <c r="AMP201" s="1056"/>
      <c r="AMQ201" s="1056"/>
      <c r="AMR201" s="1056"/>
      <c r="AMS201" s="1056"/>
      <c r="AMT201" s="1056"/>
      <c r="AMU201" s="1056"/>
      <c r="AMV201" s="1056"/>
      <c r="AMW201" s="1056"/>
      <c r="AMX201" s="1056"/>
      <c r="AMY201" s="1056"/>
      <c r="AMZ201" s="1056"/>
      <c r="ANA201" s="1056"/>
      <c r="ANB201" s="1056"/>
      <c r="ANC201" s="1056"/>
      <c r="AND201" s="1056"/>
      <c r="ANE201" s="1056"/>
      <c r="ANF201" s="1056"/>
      <c r="ANG201" s="1056"/>
      <c r="ANH201" s="1056"/>
      <c r="ANI201" s="1056"/>
      <c r="ANJ201" s="1056"/>
      <c r="ANK201" s="1056"/>
      <c r="ANL201" s="1056"/>
      <c r="ANM201" s="1056"/>
      <c r="ANN201" s="1056"/>
      <c r="ANO201" s="1056"/>
      <c r="ANP201" s="1056"/>
      <c r="ANQ201" s="1056"/>
      <c r="ANR201" s="1056"/>
      <c r="ANS201" s="1056"/>
      <c r="ANT201" s="1056"/>
      <c r="ANU201" s="1056"/>
      <c r="ANV201" s="1056"/>
      <c r="ANW201" s="1056"/>
      <c r="ANX201" s="1056"/>
      <c r="ANY201" s="1056"/>
      <c r="ANZ201" s="1056"/>
      <c r="AOA201" s="1056"/>
      <c r="AOB201" s="1056"/>
      <c r="AOC201" s="1056"/>
      <c r="AOD201" s="1056"/>
      <c r="AOE201" s="1056"/>
      <c r="AOF201" s="1056"/>
      <c r="AOG201" s="1056"/>
      <c r="AOH201" s="1056"/>
      <c r="AOI201" s="1056"/>
      <c r="AOJ201" s="1056"/>
      <c r="AOK201" s="1056"/>
      <c r="AOL201" s="1056"/>
      <c r="AOM201" s="1056"/>
      <c r="AON201" s="1056"/>
      <c r="AOO201" s="1056"/>
      <c r="AOP201" s="1056"/>
      <c r="AOQ201" s="1056"/>
      <c r="AOR201" s="1056"/>
      <c r="AOS201" s="1056"/>
      <c r="AOT201" s="1056"/>
      <c r="AOU201" s="1056"/>
      <c r="AOV201" s="1056"/>
      <c r="AOW201" s="1056"/>
      <c r="AOX201" s="1056"/>
      <c r="AOY201" s="1056"/>
      <c r="AOZ201" s="1056"/>
      <c r="APA201" s="1056"/>
      <c r="APB201" s="1056"/>
      <c r="APC201" s="1056"/>
      <c r="APD201" s="1056"/>
      <c r="APE201" s="1056"/>
      <c r="APF201" s="1056"/>
      <c r="APG201" s="1056"/>
      <c r="APH201" s="1056"/>
      <c r="API201" s="1056"/>
      <c r="APJ201" s="1056"/>
      <c r="APK201" s="1056"/>
      <c r="APL201" s="1056"/>
      <c r="APM201" s="1056"/>
      <c r="APN201" s="1056"/>
      <c r="APO201" s="1056"/>
      <c r="APP201" s="1056"/>
      <c r="APQ201" s="1056"/>
      <c r="APR201" s="1056"/>
      <c r="APS201" s="1056"/>
      <c r="APT201" s="1056"/>
      <c r="APU201" s="1056"/>
      <c r="APV201" s="1056"/>
      <c r="APW201" s="1056"/>
      <c r="APX201" s="1056"/>
      <c r="APY201" s="1056"/>
      <c r="APZ201" s="1056"/>
      <c r="AQA201" s="1056"/>
      <c r="AQB201" s="1056"/>
      <c r="AQC201" s="1056"/>
      <c r="AQD201" s="1056"/>
      <c r="AQE201" s="1056"/>
      <c r="AQF201" s="1056"/>
      <c r="AQG201" s="1056"/>
      <c r="AQH201" s="1056"/>
      <c r="AQI201" s="1056"/>
      <c r="AQJ201" s="1056"/>
      <c r="AQK201" s="1056"/>
      <c r="AQL201" s="1056"/>
      <c r="AQM201" s="1056"/>
      <c r="AQN201" s="1056"/>
      <c r="AQO201" s="1056"/>
      <c r="AQP201" s="1056"/>
      <c r="AQQ201" s="1056"/>
      <c r="AQR201" s="1056"/>
      <c r="AQS201" s="1056"/>
      <c r="AQT201" s="1056"/>
      <c r="AQU201" s="1056"/>
      <c r="AQV201" s="1056"/>
      <c r="AQW201" s="1056"/>
      <c r="AQX201" s="1056"/>
      <c r="AQY201" s="1056"/>
      <c r="AQZ201" s="1056"/>
      <c r="ARA201" s="1056"/>
      <c r="ARB201" s="1056"/>
      <c r="ARC201" s="1056"/>
      <c r="ARD201" s="1056"/>
      <c r="ARE201" s="1056"/>
      <c r="ARF201" s="1056"/>
      <c r="ARG201" s="1056"/>
      <c r="ARH201" s="1056"/>
      <c r="ARI201" s="1056"/>
      <c r="ARJ201" s="1056"/>
      <c r="ARK201" s="1056"/>
      <c r="ARL201" s="1056"/>
      <c r="ARM201" s="1056"/>
      <c r="ARN201" s="1056"/>
      <c r="ARO201" s="1056"/>
      <c r="ARP201" s="1056"/>
      <c r="ARQ201" s="1056"/>
      <c r="ARR201" s="1056"/>
      <c r="ARS201" s="1056"/>
      <c r="ART201" s="1056"/>
      <c r="ARU201" s="1056"/>
      <c r="ARV201" s="1056"/>
      <c r="ARW201" s="1056"/>
      <c r="ARX201" s="1056"/>
      <c r="ARY201" s="1056"/>
      <c r="ARZ201" s="1056"/>
      <c r="ASA201" s="1056"/>
      <c r="ASB201" s="1056"/>
      <c r="ASC201" s="1056"/>
      <c r="ASD201" s="1056"/>
      <c r="ASE201" s="1056"/>
      <c r="ASF201" s="1056"/>
      <c r="ASG201" s="1056"/>
      <c r="ASH201" s="1056"/>
      <c r="ASI201" s="1056"/>
      <c r="ASJ201" s="1056"/>
      <c r="ASK201" s="1056"/>
      <c r="ASL201" s="1056"/>
      <c r="ASM201" s="1056"/>
      <c r="ASN201" s="1056"/>
      <c r="ASO201" s="1056"/>
      <c r="ASP201" s="1056"/>
      <c r="ASQ201" s="1056"/>
      <c r="ASR201" s="1056"/>
      <c r="ASS201" s="1056"/>
      <c r="AST201" s="1056"/>
      <c r="ASU201" s="1056"/>
      <c r="ASV201" s="1056"/>
      <c r="ASW201" s="1056"/>
      <c r="ASX201" s="1056"/>
      <c r="ASY201" s="1056"/>
      <c r="ASZ201" s="1056"/>
      <c r="ATA201" s="1056"/>
      <c r="ATB201" s="1056"/>
      <c r="ATC201" s="1056"/>
      <c r="ATD201" s="1056"/>
      <c r="ATE201" s="1056"/>
      <c r="ATF201" s="1056"/>
      <c r="ATG201" s="1056"/>
      <c r="ATH201" s="1056"/>
      <c r="ATI201" s="1056"/>
      <c r="ATJ201" s="1056"/>
      <c r="ATK201" s="1056"/>
      <c r="ATL201" s="1056"/>
      <c r="ATM201" s="1056"/>
      <c r="ATN201" s="1056"/>
      <c r="ATO201" s="1056"/>
      <c r="ATP201" s="1056"/>
      <c r="ATQ201" s="1056"/>
      <c r="ATR201" s="1056"/>
      <c r="ATS201" s="1056"/>
      <c r="ATT201" s="1056"/>
      <c r="ATU201" s="1056"/>
      <c r="ATV201" s="1056"/>
      <c r="ATW201" s="1056"/>
      <c r="ATX201" s="1056"/>
      <c r="ATY201" s="1056"/>
      <c r="ATZ201" s="1056"/>
      <c r="AUA201" s="1056"/>
      <c r="AUB201" s="1056"/>
      <c r="AUC201" s="1056"/>
      <c r="AUD201" s="1056"/>
      <c r="AUE201" s="1056"/>
      <c r="AUF201" s="1056"/>
      <c r="AUG201" s="1056"/>
      <c r="AUH201" s="1056"/>
      <c r="AUI201" s="1056"/>
      <c r="AUJ201" s="1056"/>
      <c r="AUK201" s="1056"/>
      <c r="AUL201" s="1056"/>
      <c r="AUM201" s="1056"/>
      <c r="AUN201" s="1056"/>
      <c r="AUO201" s="1056"/>
      <c r="AUP201" s="1056"/>
      <c r="AUQ201" s="1056"/>
      <c r="AUR201" s="1056"/>
      <c r="AUS201" s="1056"/>
      <c r="AUT201" s="1056"/>
      <c r="AUU201" s="1056"/>
      <c r="AUV201" s="1056"/>
      <c r="AUW201" s="1056"/>
      <c r="AUX201" s="1056"/>
      <c r="AUY201" s="1056"/>
      <c r="AUZ201" s="1056"/>
      <c r="AVA201" s="1056"/>
      <c r="AVB201" s="1056"/>
      <c r="AVC201" s="1056"/>
      <c r="AVD201" s="1056"/>
      <c r="AVE201" s="1056"/>
      <c r="AVF201" s="1056"/>
      <c r="AVG201" s="1056"/>
      <c r="AVH201" s="1056"/>
      <c r="AVI201" s="1056"/>
      <c r="AVJ201" s="1056"/>
      <c r="AVK201" s="1056"/>
      <c r="AVL201" s="1056"/>
      <c r="AVM201" s="1056"/>
      <c r="AVN201" s="1056"/>
      <c r="AVO201" s="1056"/>
      <c r="AVP201" s="1056"/>
      <c r="AVQ201" s="1056"/>
      <c r="AVR201" s="1056"/>
      <c r="AVS201" s="1056"/>
      <c r="AVT201" s="1056"/>
      <c r="AVU201" s="1056"/>
      <c r="AVV201" s="1056"/>
      <c r="AVW201" s="1056"/>
      <c r="AVX201" s="1056"/>
      <c r="AVY201" s="1056"/>
      <c r="AVZ201" s="1056"/>
      <c r="AWA201" s="1056"/>
      <c r="AWB201" s="1056"/>
      <c r="AWC201" s="1056"/>
      <c r="AWD201" s="1056"/>
      <c r="AWE201" s="1056"/>
      <c r="AWF201" s="1056"/>
      <c r="AWG201" s="1056"/>
      <c r="AWH201" s="1056"/>
      <c r="AWI201" s="1056"/>
      <c r="AWJ201" s="1056"/>
      <c r="AWK201" s="1056"/>
      <c r="AWL201" s="1056"/>
      <c r="AWM201" s="1056"/>
      <c r="AWN201" s="1056"/>
      <c r="AWO201" s="1056"/>
      <c r="AWP201" s="1056"/>
      <c r="AWQ201" s="1056"/>
      <c r="AWR201" s="1056"/>
      <c r="AWS201" s="1056"/>
      <c r="AWT201" s="1056"/>
      <c r="AWU201" s="1056"/>
      <c r="AWV201" s="1056"/>
      <c r="AWW201" s="1056"/>
      <c r="AWX201" s="1056"/>
      <c r="AWY201" s="1056"/>
      <c r="AWZ201" s="1056"/>
      <c r="AXA201" s="1056"/>
      <c r="AXB201" s="1056"/>
      <c r="AXC201" s="1056"/>
      <c r="AXD201" s="1056"/>
      <c r="AXE201" s="1056"/>
      <c r="AXF201" s="1056"/>
      <c r="AXG201" s="1056"/>
      <c r="AXH201" s="1056"/>
      <c r="AXI201" s="1056"/>
      <c r="AXJ201" s="1056"/>
      <c r="AXK201" s="1056"/>
      <c r="AXL201" s="1056"/>
      <c r="AXM201" s="1056"/>
      <c r="AXN201" s="1056"/>
      <c r="AXO201" s="1056"/>
      <c r="AXP201" s="1056"/>
      <c r="AXQ201" s="1056"/>
      <c r="AXR201" s="1056"/>
      <c r="AXS201" s="1056"/>
      <c r="AXT201" s="1056"/>
      <c r="AXU201" s="1056"/>
      <c r="AXV201" s="1056"/>
      <c r="AXW201" s="1056"/>
      <c r="AXX201" s="1056"/>
      <c r="AXY201" s="1056"/>
      <c r="AXZ201" s="1056"/>
      <c r="AYA201" s="1056"/>
      <c r="AYB201" s="1056"/>
      <c r="AYC201" s="1056"/>
      <c r="AYD201" s="1056"/>
      <c r="AYE201" s="1056"/>
      <c r="AYF201" s="1056"/>
      <c r="AYG201" s="1056"/>
      <c r="AYH201" s="1056"/>
      <c r="AYI201" s="1056"/>
      <c r="AYJ201" s="1056"/>
      <c r="AYK201" s="1056"/>
      <c r="AYL201" s="1056"/>
      <c r="AYM201" s="1056"/>
      <c r="AYN201" s="1056"/>
      <c r="AYO201" s="1056"/>
      <c r="AYP201" s="1056"/>
      <c r="AYQ201" s="1056"/>
      <c r="AYR201" s="1056"/>
      <c r="AYS201" s="1056"/>
      <c r="AYT201" s="1056"/>
      <c r="AYU201" s="1056"/>
      <c r="AYV201" s="1056"/>
      <c r="AYW201" s="1056"/>
      <c r="AYX201" s="1056"/>
      <c r="AYY201" s="1056"/>
      <c r="AYZ201" s="1056"/>
      <c r="AZA201" s="1056"/>
      <c r="AZB201" s="1056"/>
      <c r="AZC201" s="1056"/>
      <c r="AZD201" s="1056"/>
      <c r="AZE201" s="1056"/>
      <c r="AZF201" s="1056"/>
      <c r="AZG201" s="1056"/>
      <c r="AZH201" s="1056"/>
      <c r="AZI201" s="1056"/>
      <c r="AZJ201" s="1056"/>
      <c r="AZK201" s="1056"/>
      <c r="AZL201" s="1056"/>
      <c r="AZM201" s="1056"/>
      <c r="AZN201" s="1056"/>
      <c r="AZO201" s="1056"/>
      <c r="AZP201" s="1056"/>
      <c r="AZQ201" s="1056"/>
      <c r="AZR201" s="1056"/>
      <c r="AZS201" s="1056"/>
      <c r="AZT201" s="1056"/>
      <c r="AZU201" s="1056"/>
      <c r="AZV201" s="1056"/>
      <c r="AZW201" s="1056"/>
      <c r="AZX201" s="1056"/>
      <c r="AZY201" s="1056"/>
      <c r="AZZ201" s="1056"/>
      <c r="BAA201" s="1056"/>
      <c r="BAB201" s="1056"/>
      <c r="BAC201" s="1056"/>
      <c r="BAD201" s="1056"/>
      <c r="BAE201" s="1056"/>
      <c r="BAF201" s="1056"/>
      <c r="BAG201" s="1056"/>
      <c r="BAH201" s="1056"/>
      <c r="BAI201" s="1056"/>
      <c r="BAJ201" s="1056"/>
      <c r="BAK201" s="1056"/>
      <c r="BAL201" s="1056"/>
      <c r="BAM201" s="1056"/>
      <c r="BAN201" s="1056"/>
      <c r="BAO201" s="1056"/>
      <c r="BAP201" s="1056"/>
      <c r="BAQ201" s="1056"/>
      <c r="BAR201" s="1056"/>
      <c r="BAS201" s="1056"/>
      <c r="BAT201" s="1056"/>
      <c r="BAU201" s="1056"/>
      <c r="BAV201" s="1056"/>
      <c r="BAW201" s="1056"/>
      <c r="BAX201" s="1056"/>
      <c r="BAY201" s="1056"/>
      <c r="BAZ201" s="1056"/>
      <c r="BBA201" s="1056"/>
      <c r="BBB201" s="1056"/>
      <c r="BBC201" s="1056"/>
      <c r="BBD201" s="1056"/>
      <c r="BBE201" s="1056"/>
      <c r="BBF201" s="1056"/>
      <c r="BBG201" s="1056"/>
      <c r="BBH201" s="1056"/>
      <c r="BBI201" s="1056"/>
      <c r="BBJ201" s="1056"/>
      <c r="BBK201" s="1056"/>
      <c r="BBL201" s="1056"/>
      <c r="BBM201" s="1056"/>
      <c r="BBN201" s="1056"/>
      <c r="BBO201" s="1056"/>
      <c r="BBP201" s="1056"/>
      <c r="BBQ201" s="1056"/>
      <c r="BBR201" s="1056"/>
      <c r="BBS201" s="1056"/>
      <c r="BBT201" s="1056"/>
      <c r="BBU201" s="1056"/>
      <c r="BBV201" s="1056"/>
      <c r="BBW201" s="1056"/>
      <c r="BBX201" s="1056"/>
      <c r="BBY201" s="1056"/>
      <c r="BBZ201" s="1056"/>
      <c r="BCA201" s="1056"/>
      <c r="BCB201" s="1056"/>
      <c r="BCC201" s="1056"/>
      <c r="BCD201" s="1056"/>
      <c r="BCE201" s="1056"/>
      <c r="BCF201" s="1056"/>
      <c r="BCG201" s="1056"/>
      <c r="BCH201" s="1056"/>
      <c r="BCI201" s="1056"/>
      <c r="BCJ201" s="1056"/>
      <c r="BCK201" s="1056"/>
      <c r="BCL201" s="1056"/>
      <c r="BCM201" s="1056"/>
      <c r="BCN201" s="1056"/>
      <c r="BCO201" s="1056"/>
      <c r="BCP201" s="1056"/>
      <c r="BCQ201" s="1056"/>
      <c r="BCR201" s="1056"/>
      <c r="BCS201" s="1056"/>
      <c r="BCT201" s="1056"/>
      <c r="BCU201" s="1056"/>
      <c r="BCV201" s="1056"/>
      <c r="BCW201" s="1056"/>
      <c r="BCX201" s="1056"/>
      <c r="BCY201" s="1056"/>
      <c r="BCZ201" s="1056"/>
      <c r="BDA201" s="1056"/>
      <c r="BDB201" s="1056"/>
      <c r="BDC201" s="1056"/>
      <c r="BDD201" s="1056"/>
      <c r="BDE201" s="1056"/>
      <c r="BDF201" s="1056"/>
      <c r="BDG201" s="1056"/>
      <c r="BDH201" s="1056"/>
      <c r="BDI201" s="1056"/>
      <c r="BDJ201" s="1056"/>
      <c r="BDK201" s="1056"/>
      <c r="BDL201" s="1056"/>
      <c r="BDM201" s="1056"/>
      <c r="BDN201" s="1056"/>
      <c r="BDO201" s="1056"/>
      <c r="BDP201" s="1056"/>
      <c r="BDQ201" s="1056"/>
      <c r="BDR201" s="1056"/>
      <c r="BDS201" s="1056"/>
      <c r="BDT201" s="1056"/>
      <c r="BDU201" s="1056"/>
      <c r="BDV201" s="1056"/>
      <c r="BDW201" s="1056"/>
      <c r="BDX201" s="1056"/>
      <c r="BDY201" s="1056"/>
      <c r="BDZ201" s="1056"/>
      <c r="BEA201" s="1056"/>
      <c r="BEB201" s="1056"/>
      <c r="BEC201" s="1056"/>
      <c r="BED201" s="1056"/>
      <c r="BEE201" s="1056"/>
      <c r="BEF201" s="1056"/>
      <c r="BEG201" s="1056"/>
      <c r="BEH201" s="1056"/>
      <c r="BEI201" s="1056"/>
      <c r="BEJ201" s="1056"/>
      <c r="BEK201" s="1056"/>
      <c r="BEL201" s="1056"/>
      <c r="BEM201" s="1056"/>
      <c r="BEN201" s="1056"/>
      <c r="BEO201" s="1056"/>
      <c r="BEP201" s="1056"/>
      <c r="BEQ201" s="1056"/>
      <c r="BER201" s="1056"/>
      <c r="BES201" s="1056"/>
      <c r="BET201" s="1056"/>
      <c r="BEU201" s="1056"/>
      <c r="BEV201" s="1056"/>
      <c r="BEW201" s="1056"/>
      <c r="BEX201" s="1056"/>
      <c r="BEY201" s="1056"/>
      <c r="BEZ201" s="1056"/>
      <c r="BFA201" s="1056"/>
      <c r="BFB201" s="1056"/>
      <c r="BFC201" s="1056"/>
      <c r="BFD201" s="1056"/>
      <c r="BFE201" s="1056"/>
      <c r="BFF201" s="1056"/>
      <c r="BFG201" s="1056"/>
      <c r="BFH201" s="1056"/>
      <c r="BFI201" s="1056"/>
      <c r="BFJ201" s="1056"/>
      <c r="BFK201" s="1056"/>
      <c r="BFL201" s="1056"/>
      <c r="BFM201" s="1056"/>
      <c r="BFN201" s="1056"/>
      <c r="BFO201" s="1056"/>
      <c r="BFP201" s="1056"/>
      <c r="BFQ201" s="1056"/>
      <c r="BFR201" s="1056"/>
      <c r="BFS201" s="1056"/>
      <c r="BFT201" s="1056"/>
      <c r="BFU201" s="1056"/>
      <c r="BFV201" s="1056"/>
      <c r="BFW201" s="1056"/>
      <c r="BFX201" s="1056"/>
      <c r="BFY201" s="1056"/>
      <c r="BFZ201" s="1056"/>
      <c r="BGA201" s="1056"/>
      <c r="BGB201" s="1056"/>
      <c r="BGC201" s="1056"/>
      <c r="BGD201" s="1056"/>
      <c r="BGE201" s="1056"/>
      <c r="BGF201" s="1056"/>
      <c r="BGG201" s="1056"/>
      <c r="BGH201" s="1056"/>
      <c r="BGI201" s="1056"/>
      <c r="BGJ201" s="1056"/>
      <c r="BGK201" s="1056"/>
      <c r="BGL201" s="1056"/>
      <c r="BGM201" s="1056"/>
      <c r="BGN201" s="1056"/>
      <c r="BGO201" s="1056"/>
      <c r="BGP201" s="1056"/>
      <c r="BGQ201" s="1056"/>
      <c r="BGR201" s="1056"/>
      <c r="BGS201" s="1056"/>
      <c r="BGT201" s="1056"/>
      <c r="BGU201" s="1056"/>
      <c r="BGV201" s="1056"/>
      <c r="BGW201" s="1056"/>
      <c r="BGX201" s="1056"/>
      <c r="BGY201" s="1056"/>
      <c r="BGZ201" s="1056"/>
      <c r="BHA201" s="1056"/>
      <c r="BHB201" s="1056"/>
      <c r="BHC201" s="1056"/>
      <c r="BHD201" s="1056"/>
      <c r="BHE201" s="1056"/>
      <c r="BHF201" s="1056"/>
      <c r="BHG201" s="1056"/>
      <c r="BHH201" s="1056"/>
      <c r="BHI201" s="1056"/>
      <c r="BHJ201" s="1056"/>
      <c r="BHK201" s="1056"/>
      <c r="BHL201" s="1056"/>
      <c r="BHM201" s="1056"/>
      <c r="BHN201" s="1056"/>
      <c r="BHO201" s="1056"/>
      <c r="BHP201" s="1056"/>
      <c r="BHQ201" s="1056"/>
      <c r="BHR201" s="1056"/>
      <c r="BHS201" s="1056"/>
      <c r="BHT201" s="1056"/>
      <c r="BHU201" s="1056"/>
      <c r="BHV201" s="1056"/>
      <c r="BHW201" s="1056"/>
      <c r="BHX201" s="1056"/>
      <c r="BHY201" s="1056"/>
      <c r="BHZ201" s="1056"/>
      <c r="BIA201" s="1056"/>
      <c r="BIB201" s="1056"/>
      <c r="BIC201" s="1056"/>
      <c r="BID201" s="1056"/>
      <c r="BIE201" s="1056"/>
      <c r="BIF201" s="1056"/>
      <c r="BIG201" s="1056"/>
      <c r="BIH201" s="1056"/>
      <c r="BII201" s="1056"/>
      <c r="BIJ201" s="1056"/>
      <c r="BIK201" s="1056"/>
      <c r="BIL201" s="1056"/>
      <c r="BIM201" s="1056"/>
      <c r="BIN201" s="1056"/>
      <c r="BIO201" s="1056"/>
      <c r="BIP201" s="1056"/>
      <c r="BIQ201" s="1056"/>
      <c r="BIR201" s="1056"/>
      <c r="BIS201" s="1056"/>
      <c r="BIT201" s="1056"/>
      <c r="BIU201" s="1056"/>
      <c r="BIV201" s="1056"/>
      <c r="BIW201" s="1056"/>
      <c r="BIX201" s="1056"/>
      <c r="BIY201" s="1056"/>
      <c r="BIZ201" s="1056"/>
      <c r="BJA201" s="1056"/>
      <c r="BJB201" s="1056"/>
      <c r="BJC201" s="1056"/>
      <c r="BJD201" s="1056"/>
      <c r="BJE201" s="1056"/>
      <c r="BJF201" s="1056"/>
      <c r="BJG201" s="1056"/>
      <c r="BJH201" s="1056"/>
      <c r="BJI201" s="1056"/>
      <c r="BJJ201" s="1056"/>
      <c r="BJK201" s="1056"/>
      <c r="BJL201" s="1056"/>
      <c r="BJM201" s="1056"/>
      <c r="BJN201" s="1056"/>
      <c r="BJO201" s="1056"/>
      <c r="BJP201" s="1056"/>
      <c r="BJQ201" s="1056"/>
      <c r="BJR201" s="1056"/>
      <c r="BJS201" s="1056"/>
      <c r="BJT201" s="1056"/>
      <c r="BJU201" s="1056"/>
      <c r="BJV201" s="1056"/>
      <c r="BJW201" s="1056"/>
      <c r="BJX201" s="1056"/>
      <c r="BJY201" s="1056"/>
      <c r="BJZ201" s="1056"/>
      <c r="BKA201" s="1056"/>
      <c r="BKB201" s="1056"/>
      <c r="BKC201" s="1056"/>
      <c r="BKD201" s="1056"/>
      <c r="BKE201" s="1056"/>
      <c r="BKF201" s="1056"/>
      <c r="BKG201" s="1056"/>
      <c r="BKH201" s="1056"/>
      <c r="BKI201" s="1056"/>
      <c r="BKJ201" s="1056"/>
      <c r="BKK201" s="1056"/>
      <c r="BKL201" s="1056"/>
      <c r="BKM201" s="1056"/>
      <c r="BKN201" s="1056"/>
      <c r="BKO201" s="1056"/>
      <c r="BKP201" s="1056"/>
      <c r="BKQ201" s="1056"/>
      <c r="BKR201" s="1056"/>
      <c r="BKS201" s="1056"/>
      <c r="BKT201" s="1056"/>
      <c r="BKU201" s="1056"/>
      <c r="BKV201" s="1056"/>
      <c r="BKW201" s="1056"/>
      <c r="BKX201" s="1056"/>
      <c r="BKY201" s="1056"/>
      <c r="BKZ201" s="1056"/>
      <c r="BLA201" s="1056"/>
      <c r="BLB201" s="1056"/>
      <c r="BLC201" s="1056"/>
      <c r="BLD201" s="1056"/>
      <c r="BLE201" s="1056"/>
      <c r="BLF201" s="1056"/>
      <c r="BLG201" s="1056"/>
      <c r="BLH201" s="1056"/>
      <c r="BLI201" s="1056"/>
      <c r="BLJ201" s="1056"/>
      <c r="BLK201" s="1056"/>
      <c r="BLL201" s="1056"/>
      <c r="BLM201" s="1056"/>
      <c r="BLN201" s="1056"/>
      <c r="BLO201" s="1056"/>
      <c r="BLP201" s="1056"/>
      <c r="BLQ201" s="1056"/>
      <c r="BLR201" s="1056"/>
      <c r="BLS201" s="1056"/>
      <c r="BLT201" s="1056"/>
      <c r="BLU201" s="1056"/>
      <c r="BLV201" s="1056"/>
      <c r="BLW201" s="1056"/>
      <c r="BLX201" s="1056"/>
      <c r="BLY201" s="1056"/>
      <c r="BLZ201" s="1056"/>
      <c r="BMA201" s="1056"/>
      <c r="BMB201" s="1056"/>
      <c r="BMC201" s="1056"/>
      <c r="BMD201" s="1056"/>
      <c r="BME201" s="1056"/>
      <c r="BMF201" s="1056"/>
      <c r="BMG201" s="1056"/>
      <c r="BMH201" s="1056"/>
      <c r="BMI201" s="1056"/>
      <c r="BMJ201" s="1056"/>
      <c r="BMK201" s="1056"/>
      <c r="BML201" s="1056"/>
      <c r="BMM201" s="1056"/>
      <c r="BMN201" s="1056"/>
      <c r="BMO201" s="1056"/>
      <c r="BMP201" s="1056"/>
      <c r="BMQ201" s="1056"/>
      <c r="BMR201" s="1056"/>
      <c r="BMS201" s="1056"/>
      <c r="BMT201" s="1056"/>
      <c r="BMU201" s="1056"/>
      <c r="BMV201" s="1056"/>
      <c r="BMW201" s="1056"/>
      <c r="BMX201" s="1056"/>
      <c r="BMY201" s="1056"/>
      <c r="BMZ201" s="1056"/>
      <c r="BNA201" s="1056"/>
      <c r="BNB201" s="1056"/>
      <c r="BNC201" s="1056"/>
      <c r="BND201" s="1056"/>
      <c r="BNE201" s="1056"/>
      <c r="BNF201" s="1056"/>
      <c r="BNG201" s="1056"/>
      <c r="BNH201" s="1056"/>
      <c r="BNI201" s="1056"/>
      <c r="BNJ201" s="1056"/>
      <c r="BNK201" s="1056"/>
      <c r="BNL201" s="1056"/>
      <c r="BNM201" s="1056"/>
      <c r="BNN201" s="1056"/>
      <c r="BNO201" s="1056"/>
      <c r="BNP201" s="1056"/>
      <c r="BNQ201" s="1056"/>
      <c r="BNR201" s="1056"/>
      <c r="BNS201" s="1056"/>
      <c r="BNT201" s="1056"/>
      <c r="BNU201" s="1056"/>
      <c r="BNV201" s="1056"/>
      <c r="BNW201" s="1056"/>
      <c r="BNX201" s="1056"/>
      <c r="BNY201" s="1056"/>
      <c r="BNZ201" s="1056"/>
      <c r="BOA201" s="1056"/>
      <c r="BOB201" s="1056"/>
      <c r="BOC201" s="1056"/>
      <c r="BOD201" s="1056"/>
      <c r="BOE201" s="1056"/>
      <c r="BOF201" s="1056"/>
      <c r="BOG201" s="1056"/>
      <c r="BOH201" s="1056"/>
      <c r="BOI201" s="1056"/>
      <c r="BOJ201" s="1056"/>
      <c r="BOK201" s="1056"/>
      <c r="BOL201" s="1056"/>
      <c r="BOM201" s="1056"/>
      <c r="BON201" s="1056"/>
      <c r="BOO201" s="1056"/>
      <c r="BOP201" s="1056"/>
      <c r="BOQ201" s="1056"/>
      <c r="BOR201" s="1056"/>
      <c r="BOS201" s="1056"/>
      <c r="BOT201" s="1056"/>
      <c r="BOU201" s="1056"/>
      <c r="BOV201" s="1056"/>
      <c r="BOW201" s="1056"/>
      <c r="BOX201" s="1056"/>
      <c r="BOY201" s="1056"/>
      <c r="BOZ201" s="1056"/>
      <c r="BPA201" s="1056"/>
      <c r="BPB201" s="1056"/>
      <c r="BPC201" s="1056"/>
      <c r="BPD201" s="1056"/>
      <c r="BPE201" s="1056"/>
      <c r="BPF201" s="1056"/>
      <c r="BPG201" s="1056"/>
      <c r="BPH201" s="1056"/>
      <c r="BPI201" s="1056"/>
      <c r="BPJ201" s="1056"/>
      <c r="BPK201" s="1056"/>
      <c r="BPL201" s="1056"/>
      <c r="BPM201" s="1056"/>
      <c r="BPN201" s="1056"/>
      <c r="BPO201" s="1056"/>
      <c r="BPP201" s="1056"/>
      <c r="BPQ201" s="1056"/>
      <c r="BPR201" s="1056"/>
      <c r="BPS201" s="1056"/>
      <c r="BPT201" s="1056"/>
      <c r="BPU201" s="1056"/>
      <c r="BPV201" s="1056"/>
      <c r="BPW201" s="1056"/>
      <c r="BPX201" s="1056"/>
      <c r="BPY201" s="1056"/>
      <c r="BPZ201" s="1056"/>
      <c r="BQA201" s="1056"/>
      <c r="BQB201" s="1056"/>
      <c r="BQC201" s="1056"/>
      <c r="BQD201" s="1056"/>
      <c r="BQE201" s="1056"/>
      <c r="BQF201" s="1056"/>
      <c r="BQG201" s="1056"/>
      <c r="BQH201" s="1056"/>
      <c r="BQI201" s="1056"/>
      <c r="BQJ201" s="1056"/>
      <c r="BQK201" s="1056"/>
      <c r="BQL201" s="1056"/>
      <c r="BQM201" s="1056"/>
      <c r="BQN201" s="1056"/>
      <c r="BQO201" s="1056"/>
      <c r="BQP201" s="1056"/>
      <c r="BQQ201" s="1056"/>
      <c r="BQR201" s="1056"/>
      <c r="BQS201" s="1056"/>
      <c r="BQT201" s="1056"/>
      <c r="BQU201" s="1056"/>
      <c r="BQV201" s="1056"/>
      <c r="BQW201" s="1056"/>
      <c r="BQX201" s="1056"/>
      <c r="BQY201" s="1056"/>
      <c r="BQZ201" s="1056"/>
      <c r="BRA201" s="1056"/>
      <c r="BRB201" s="1056"/>
      <c r="BRC201" s="1056"/>
      <c r="BRD201" s="1056"/>
      <c r="BRE201" s="1056"/>
      <c r="BRF201" s="1056"/>
      <c r="BRG201" s="1056"/>
      <c r="BRH201" s="1056"/>
      <c r="BRI201" s="1056"/>
      <c r="BRJ201" s="1056"/>
      <c r="BRK201" s="1056"/>
      <c r="BRL201" s="1056"/>
      <c r="BRM201" s="1056"/>
      <c r="BRN201" s="1056"/>
      <c r="BRO201" s="1056"/>
      <c r="BRP201" s="1056"/>
      <c r="BRQ201" s="1056"/>
      <c r="BRR201" s="1056"/>
      <c r="BRS201" s="1056"/>
      <c r="BRT201" s="1056"/>
      <c r="BRU201" s="1056"/>
      <c r="BRV201" s="1056"/>
      <c r="BRW201" s="1056"/>
      <c r="BRX201" s="1056"/>
      <c r="BRY201" s="1056"/>
      <c r="BRZ201" s="1056"/>
      <c r="BSA201" s="1056"/>
      <c r="BSB201" s="1056"/>
      <c r="BSC201" s="1056"/>
      <c r="BSD201" s="1056"/>
      <c r="BSE201" s="1056"/>
      <c r="BSF201" s="1056"/>
      <c r="BSG201" s="1056"/>
      <c r="BSH201" s="1056"/>
      <c r="BSI201" s="1056"/>
      <c r="BSJ201" s="1056"/>
      <c r="BSK201" s="1056"/>
      <c r="BSL201" s="1056"/>
      <c r="BSM201" s="1056"/>
      <c r="BSN201" s="1056"/>
      <c r="BSO201" s="1056"/>
      <c r="BSP201" s="1056"/>
      <c r="BSQ201" s="1056"/>
      <c r="BSR201" s="1056"/>
      <c r="BSS201" s="1056"/>
      <c r="BST201" s="1056"/>
      <c r="BSU201" s="1056"/>
      <c r="BSV201" s="1056"/>
      <c r="BSW201" s="1056"/>
      <c r="BSX201" s="1056"/>
      <c r="BSY201" s="1056"/>
      <c r="BSZ201" s="1056"/>
      <c r="BTA201" s="1056"/>
      <c r="BTB201" s="1056"/>
      <c r="BTC201" s="1056"/>
      <c r="BTD201" s="1056"/>
      <c r="BTE201" s="1056"/>
      <c r="BTF201" s="1056"/>
      <c r="BTG201" s="1056"/>
      <c r="BTH201" s="1056"/>
      <c r="BTI201" s="1056"/>
    </row>
    <row r="202" spans="1:1881" s="1060" customFormat="1" ht="17.25" hidden="1" customHeight="1" x14ac:dyDescent="0.3">
      <c r="A202" s="1059"/>
      <c r="B202" s="843" t="s">
        <v>1431</v>
      </c>
      <c r="C202" s="843"/>
      <c r="D202" s="819"/>
      <c r="E202" s="817"/>
      <c r="F202" s="848"/>
      <c r="G202" s="842"/>
      <c r="H202" s="764"/>
      <c r="I202" s="1055"/>
      <c r="J202" s="1056"/>
      <c r="K202" s="1056"/>
      <c r="L202" s="1056"/>
      <c r="M202" s="1056"/>
      <c r="N202" s="1058"/>
      <c r="O202" s="1056"/>
      <c r="P202" s="1056"/>
      <c r="Q202" s="1056"/>
      <c r="R202" s="1056"/>
      <c r="S202" s="1056"/>
      <c r="T202" s="1056"/>
      <c r="U202" s="1056"/>
      <c r="V202" s="1056"/>
      <c r="W202" s="1056"/>
      <c r="X202" s="1056"/>
      <c r="Y202" s="1056"/>
      <c r="Z202" s="1059"/>
      <c r="AA202" s="1059"/>
      <c r="AB202" s="1059"/>
      <c r="AC202" s="1059"/>
      <c r="AD202" s="1059"/>
      <c r="AE202" s="1059"/>
      <c r="AF202" s="1059"/>
      <c r="AG202" s="1059"/>
      <c r="AH202" s="1059"/>
      <c r="AI202" s="1059"/>
      <c r="AJ202" s="1059"/>
      <c r="AK202" s="1059"/>
      <c r="AL202" s="1059"/>
      <c r="AM202" s="1059"/>
      <c r="AN202" s="1059"/>
      <c r="AO202" s="1059"/>
      <c r="AP202" s="1059"/>
      <c r="AQ202" s="1059"/>
      <c r="AR202" s="1059"/>
      <c r="AS202" s="1056"/>
      <c r="AT202" s="1056"/>
      <c r="AU202" s="1056"/>
      <c r="AV202" s="1056"/>
      <c r="AW202" s="1056"/>
      <c r="AX202" s="1056"/>
      <c r="AY202" s="1056"/>
      <c r="AZ202" s="1056"/>
      <c r="BA202" s="1056"/>
      <c r="BB202" s="1056"/>
      <c r="BC202" s="1056"/>
      <c r="BD202" s="1056"/>
      <c r="BE202" s="1056"/>
      <c r="BF202" s="1056"/>
      <c r="BG202" s="1056"/>
      <c r="BH202" s="1056"/>
      <c r="BI202" s="1056"/>
      <c r="BJ202" s="1056"/>
      <c r="BK202" s="1056"/>
      <c r="BL202" s="1056"/>
      <c r="BM202" s="1056"/>
      <c r="BN202" s="1056"/>
      <c r="BO202" s="1056"/>
      <c r="BP202" s="1056"/>
      <c r="BQ202" s="1056"/>
      <c r="BR202" s="1056"/>
      <c r="BS202" s="1056"/>
      <c r="BT202" s="1056"/>
      <c r="BU202" s="1056"/>
      <c r="BV202" s="1056"/>
      <c r="BW202" s="1056"/>
      <c r="BX202" s="1056"/>
      <c r="BY202" s="1056"/>
      <c r="BZ202" s="1056"/>
      <c r="CA202" s="1056"/>
      <c r="CB202" s="1056"/>
      <c r="CC202" s="1056"/>
      <c r="CD202" s="1056"/>
      <c r="CE202" s="1056"/>
      <c r="CF202" s="1056"/>
      <c r="CG202" s="1056"/>
      <c r="CH202" s="1056"/>
      <c r="CI202" s="1056"/>
      <c r="CJ202" s="1056"/>
      <c r="CK202" s="1056"/>
      <c r="CL202" s="1056"/>
      <c r="CM202" s="1056"/>
      <c r="CN202" s="1056"/>
      <c r="CO202" s="1056"/>
      <c r="CP202" s="1056"/>
      <c r="CQ202" s="1056"/>
      <c r="CR202" s="1056"/>
      <c r="CS202" s="1056"/>
      <c r="CT202" s="1056"/>
      <c r="CU202" s="1056"/>
      <c r="CV202" s="1056"/>
      <c r="CW202" s="1056"/>
      <c r="CX202" s="1056"/>
      <c r="CY202" s="1056"/>
      <c r="CZ202" s="1056"/>
      <c r="DA202" s="1056"/>
      <c r="DB202" s="1056"/>
      <c r="DC202" s="1056"/>
      <c r="DD202" s="1056"/>
      <c r="DE202" s="1056"/>
      <c r="DF202" s="1056"/>
      <c r="DG202" s="1056"/>
      <c r="DH202" s="1056"/>
      <c r="DI202" s="1056"/>
      <c r="DJ202" s="1056"/>
      <c r="DK202" s="1056"/>
      <c r="DL202" s="1056"/>
      <c r="DM202" s="1056"/>
      <c r="DN202" s="1056"/>
      <c r="DO202" s="1056"/>
      <c r="DP202" s="1056"/>
      <c r="DQ202" s="1056"/>
      <c r="DR202" s="1056"/>
      <c r="DS202" s="1056"/>
      <c r="DT202" s="1056"/>
      <c r="DU202" s="1056"/>
      <c r="DV202" s="1056"/>
      <c r="DW202" s="1056"/>
      <c r="DX202" s="1056"/>
      <c r="DY202" s="1056"/>
      <c r="DZ202" s="1056"/>
      <c r="EA202" s="1056"/>
      <c r="EB202" s="1056"/>
      <c r="EC202" s="1056"/>
      <c r="ED202" s="1056"/>
      <c r="EE202" s="1056"/>
      <c r="EF202" s="1056"/>
      <c r="EG202" s="1056"/>
      <c r="EH202" s="1056"/>
      <c r="EI202" s="1056"/>
      <c r="EJ202" s="1056"/>
      <c r="EK202" s="1056"/>
      <c r="EL202" s="1056"/>
      <c r="EM202" s="1056"/>
      <c r="EN202" s="1056"/>
      <c r="EO202" s="1056"/>
      <c r="EP202" s="1056"/>
      <c r="EQ202" s="1056"/>
      <c r="ER202" s="1056"/>
      <c r="ES202" s="1056"/>
      <c r="ET202" s="1056"/>
      <c r="EU202" s="1056"/>
      <c r="EV202" s="1056"/>
      <c r="EW202" s="1056"/>
      <c r="EX202" s="1056"/>
      <c r="EY202" s="1056"/>
      <c r="EZ202" s="1056"/>
      <c r="FA202" s="1056"/>
      <c r="FB202" s="1056"/>
      <c r="FC202" s="1056"/>
      <c r="FD202" s="1056"/>
      <c r="FE202" s="1056"/>
      <c r="FF202" s="1056"/>
      <c r="FG202" s="1056"/>
      <c r="FH202" s="1056"/>
      <c r="FI202" s="1056"/>
      <c r="FJ202" s="1056"/>
      <c r="FK202" s="1056"/>
      <c r="FL202" s="1056"/>
      <c r="FM202" s="1056"/>
      <c r="FN202" s="1056"/>
      <c r="FO202" s="1056"/>
      <c r="FP202" s="1056"/>
      <c r="FQ202" s="1056"/>
      <c r="FR202" s="1056"/>
      <c r="FS202" s="1056"/>
      <c r="FT202" s="1056"/>
      <c r="FU202" s="1056"/>
      <c r="FV202" s="1056"/>
      <c r="FW202" s="1056"/>
      <c r="FX202" s="1056"/>
      <c r="FY202" s="1056"/>
      <c r="FZ202" s="1056"/>
      <c r="GA202" s="1056"/>
      <c r="GB202" s="1056"/>
      <c r="GC202" s="1056"/>
      <c r="GD202" s="1056"/>
      <c r="GE202" s="1056"/>
      <c r="GF202" s="1056"/>
      <c r="GG202" s="1056"/>
      <c r="GH202" s="1056"/>
      <c r="GI202" s="1056"/>
      <c r="GJ202" s="1056"/>
      <c r="GK202" s="1056"/>
      <c r="GL202" s="1056"/>
      <c r="GM202" s="1056"/>
      <c r="GN202" s="1056"/>
      <c r="GO202" s="1056"/>
      <c r="GP202" s="1056"/>
      <c r="GQ202" s="1056"/>
      <c r="GR202" s="1056"/>
      <c r="GS202" s="1056"/>
      <c r="GT202" s="1056"/>
      <c r="GU202" s="1056"/>
      <c r="GV202" s="1056"/>
      <c r="GW202" s="1056"/>
      <c r="GX202" s="1056"/>
      <c r="GY202" s="1056"/>
      <c r="GZ202" s="1056"/>
      <c r="HA202" s="1056"/>
      <c r="HB202" s="1056"/>
      <c r="HC202" s="1056"/>
      <c r="HD202" s="1056"/>
      <c r="HE202" s="1056"/>
      <c r="HF202" s="1056"/>
      <c r="HG202" s="1056"/>
      <c r="HH202" s="1056"/>
      <c r="HI202" s="1056"/>
      <c r="HJ202" s="1056"/>
      <c r="HK202" s="1056"/>
      <c r="HL202" s="1056"/>
      <c r="HM202" s="1056"/>
      <c r="HN202" s="1056"/>
      <c r="HO202" s="1056"/>
      <c r="HP202" s="1056"/>
      <c r="HQ202" s="1056"/>
      <c r="HR202" s="1056"/>
      <c r="HS202" s="1056"/>
      <c r="HT202" s="1056"/>
      <c r="HU202" s="1056"/>
      <c r="HV202" s="1056"/>
      <c r="HW202" s="1056"/>
      <c r="HX202" s="1056"/>
      <c r="HY202" s="1056"/>
      <c r="HZ202" s="1056"/>
      <c r="IA202" s="1056"/>
      <c r="IB202" s="1056"/>
      <c r="IC202" s="1056"/>
      <c r="ID202" s="1056"/>
      <c r="IE202" s="1056"/>
      <c r="IF202" s="1056"/>
      <c r="IG202" s="1056"/>
      <c r="IH202" s="1056"/>
      <c r="II202" s="1056"/>
      <c r="IJ202" s="1056"/>
      <c r="IK202" s="1056"/>
      <c r="IL202" s="1056"/>
      <c r="IM202" s="1056"/>
      <c r="IN202" s="1056"/>
      <c r="IO202" s="1056"/>
      <c r="IP202" s="1056"/>
      <c r="IQ202" s="1056"/>
      <c r="IR202" s="1056"/>
      <c r="IS202" s="1056"/>
      <c r="IT202" s="1056"/>
      <c r="IU202" s="1056"/>
      <c r="IV202" s="1056"/>
      <c r="IW202" s="1056"/>
      <c r="IX202" s="1056"/>
      <c r="IY202" s="1056"/>
      <c r="IZ202" s="1056"/>
      <c r="JA202" s="1056"/>
      <c r="JB202" s="1056"/>
      <c r="JC202" s="1056"/>
      <c r="JD202" s="1056"/>
      <c r="JE202" s="1056"/>
      <c r="JF202" s="1056"/>
      <c r="JG202" s="1056"/>
      <c r="JH202" s="1056"/>
      <c r="JI202" s="1056"/>
      <c r="JJ202" s="1056"/>
      <c r="JK202" s="1056"/>
      <c r="JL202" s="1056"/>
      <c r="JM202" s="1056"/>
      <c r="JN202" s="1056"/>
      <c r="JO202" s="1056"/>
      <c r="JP202" s="1056"/>
      <c r="JQ202" s="1056"/>
      <c r="JR202" s="1056"/>
      <c r="JS202" s="1056"/>
      <c r="JT202" s="1056"/>
      <c r="JU202" s="1056"/>
      <c r="JV202" s="1056"/>
      <c r="JW202" s="1056"/>
      <c r="JX202" s="1056"/>
      <c r="JY202" s="1056"/>
      <c r="JZ202" s="1056"/>
      <c r="KA202" s="1056"/>
      <c r="KB202" s="1056"/>
      <c r="KC202" s="1056"/>
      <c r="KD202" s="1056"/>
      <c r="KE202" s="1056"/>
      <c r="KF202" s="1056"/>
      <c r="KG202" s="1056"/>
      <c r="KH202" s="1056"/>
      <c r="KI202" s="1056"/>
      <c r="KJ202" s="1056"/>
      <c r="KK202" s="1056"/>
      <c r="KL202" s="1056"/>
      <c r="KM202" s="1056"/>
      <c r="KN202" s="1056"/>
      <c r="KO202" s="1056"/>
      <c r="KP202" s="1056"/>
      <c r="KQ202" s="1056"/>
      <c r="KR202" s="1056"/>
      <c r="KS202" s="1056"/>
      <c r="KT202" s="1056"/>
      <c r="KU202" s="1056"/>
      <c r="KV202" s="1056"/>
      <c r="KW202" s="1056"/>
      <c r="KX202" s="1056"/>
      <c r="KY202" s="1056"/>
      <c r="KZ202" s="1056"/>
      <c r="LA202" s="1056"/>
      <c r="LB202" s="1056"/>
      <c r="LC202" s="1056"/>
      <c r="LD202" s="1056"/>
      <c r="LE202" s="1056"/>
      <c r="LF202" s="1056"/>
      <c r="LG202" s="1056"/>
      <c r="LH202" s="1056"/>
      <c r="LI202" s="1056"/>
      <c r="LJ202" s="1056"/>
      <c r="LK202" s="1056"/>
      <c r="LL202" s="1056"/>
      <c r="LM202" s="1056"/>
      <c r="LN202" s="1056"/>
      <c r="LO202" s="1056"/>
      <c r="LP202" s="1056"/>
      <c r="LQ202" s="1056"/>
      <c r="LR202" s="1056"/>
      <c r="LS202" s="1056"/>
      <c r="LT202" s="1056"/>
      <c r="LU202" s="1056"/>
      <c r="LV202" s="1056"/>
      <c r="LW202" s="1056"/>
      <c r="LX202" s="1056"/>
      <c r="LY202" s="1056"/>
      <c r="LZ202" s="1056"/>
      <c r="MA202" s="1056"/>
      <c r="MB202" s="1056"/>
      <c r="MC202" s="1056"/>
      <c r="MD202" s="1056"/>
      <c r="ME202" s="1056"/>
      <c r="MF202" s="1056"/>
      <c r="MG202" s="1056"/>
      <c r="MH202" s="1056"/>
      <c r="MI202" s="1056"/>
      <c r="MJ202" s="1056"/>
      <c r="MK202" s="1056"/>
      <c r="ML202" s="1056"/>
      <c r="MM202" s="1056"/>
      <c r="MN202" s="1056"/>
      <c r="MO202" s="1056"/>
      <c r="MP202" s="1056"/>
      <c r="MQ202" s="1056"/>
      <c r="MR202" s="1056"/>
      <c r="MS202" s="1056"/>
      <c r="MT202" s="1056"/>
      <c r="MU202" s="1056"/>
      <c r="MV202" s="1056"/>
      <c r="MW202" s="1056"/>
      <c r="MX202" s="1056"/>
      <c r="MY202" s="1056"/>
      <c r="MZ202" s="1056"/>
      <c r="NA202" s="1056"/>
      <c r="NB202" s="1056"/>
      <c r="NC202" s="1056"/>
      <c r="ND202" s="1056"/>
      <c r="NE202" s="1056"/>
      <c r="NF202" s="1056"/>
      <c r="NG202" s="1056"/>
      <c r="NH202" s="1056"/>
      <c r="NI202" s="1056"/>
      <c r="NJ202" s="1056"/>
      <c r="NK202" s="1056"/>
      <c r="NL202" s="1056"/>
      <c r="NM202" s="1056"/>
      <c r="NN202" s="1056"/>
      <c r="NO202" s="1056"/>
      <c r="NP202" s="1056"/>
      <c r="NQ202" s="1056"/>
      <c r="NR202" s="1056"/>
      <c r="NS202" s="1056"/>
      <c r="NT202" s="1056"/>
      <c r="NU202" s="1056"/>
      <c r="NV202" s="1056"/>
      <c r="NW202" s="1056"/>
      <c r="NX202" s="1056"/>
      <c r="NY202" s="1056"/>
      <c r="NZ202" s="1056"/>
      <c r="OA202" s="1056"/>
      <c r="OB202" s="1056"/>
      <c r="OC202" s="1056"/>
      <c r="OD202" s="1056"/>
      <c r="OE202" s="1056"/>
      <c r="OF202" s="1056"/>
      <c r="OG202" s="1056"/>
      <c r="OH202" s="1056"/>
      <c r="OI202" s="1056"/>
      <c r="OJ202" s="1056"/>
      <c r="OK202" s="1056"/>
      <c r="OL202" s="1056"/>
      <c r="OM202" s="1056"/>
      <c r="ON202" s="1056"/>
      <c r="OO202" s="1056"/>
      <c r="OP202" s="1056"/>
      <c r="OQ202" s="1056"/>
      <c r="OR202" s="1056"/>
      <c r="OS202" s="1056"/>
      <c r="OT202" s="1056"/>
      <c r="OU202" s="1056"/>
      <c r="OV202" s="1056"/>
      <c r="OW202" s="1056"/>
      <c r="OX202" s="1056"/>
      <c r="OY202" s="1056"/>
      <c r="OZ202" s="1056"/>
      <c r="PA202" s="1056"/>
      <c r="PB202" s="1056"/>
      <c r="PC202" s="1056"/>
      <c r="PD202" s="1056"/>
      <c r="PE202" s="1056"/>
      <c r="PF202" s="1056"/>
      <c r="PG202" s="1056"/>
      <c r="PH202" s="1056"/>
      <c r="PI202" s="1056"/>
      <c r="PJ202" s="1056"/>
      <c r="PK202" s="1056"/>
      <c r="PL202" s="1056"/>
      <c r="PM202" s="1056"/>
      <c r="PN202" s="1056"/>
      <c r="PO202" s="1056"/>
      <c r="PP202" s="1056"/>
      <c r="PQ202" s="1056"/>
      <c r="PR202" s="1056"/>
      <c r="PS202" s="1056"/>
      <c r="PT202" s="1056"/>
      <c r="PU202" s="1056"/>
      <c r="PV202" s="1056"/>
      <c r="PW202" s="1056"/>
      <c r="PX202" s="1056"/>
      <c r="PY202" s="1056"/>
      <c r="PZ202" s="1056"/>
      <c r="QA202" s="1056"/>
      <c r="QB202" s="1056"/>
      <c r="QC202" s="1056"/>
      <c r="QD202" s="1056"/>
      <c r="QE202" s="1056"/>
      <c r="QF202" s="1056"/>
      <c r="QG202" s="1056"/>
      <c r="QH202" s="1056"/>
      <c r="QI202" s="1056"/>
      <c r="QJ202" s="1056"/>
      <c r="QK202" s="1056"/>
      <c r="QL202" s="1056"/>
      <c r="QM202" s="1056"/>
      <c r="QN202" s="1056"/>
      <c r="QO202" s="1056"/>
      <c r="QP202" s="1056"/>
      <c r="QQ202" s="1056"/>
      <c r="QR202" s="1056"/>
      <c r="QS202" s="1056"/>
      <c r="QT202" s="1056"/>
      <c r="QU202" s="1056"/>
      <c r="QV202" s="1056"/>
      <c r="QW202" s="1056"/>
      <c r="QX202" s="1056"/>
      <c r="QY202" s="1056"/>
      <c r="QZ202" s="1056"/>
      <c r="RA202" s="1056"/>
      <c r="RB202" s="1056"/>
      <c r="RC202" s="1056"/>
      <c r="RD202" s="1056"/>
      <c r="RE202" s="1056"/>
      <c r="RF202" s="1056"/>
      <c r="RG202" s="1056"/>
      <c r="RH202" s="1056"/>
      <c r="RI202" s="1056"/>
      <c r="RJ202" s="1056"/>
      <c r="RK202" s="1056"/>
      <c r="RL202" s="1056"/>
      <c r="RM202" s="1056"/>
      <c r="RN202" s="1056"/>
      <c r="RO202" s="1056"/>
      <c r="RP202" s="1056"/>
      <c r="RQ202" s="1056"/>
      <c r="RR202" s="1056"/>
      <c r="RS202" s="1056"/>
      <c r="RT202" s="1056"/>
      <c r="RU202" s="1056"/>
      <c r="RV202" s="1056"/>
      <c r="RW202" s="1056"/>
      <c r="RX202" s="1056"/>
      <c r="RY202" s="1056"/>
      <c r="RZ202" s="1056"/>
      <c r="SA202" s="1056"/>
      <c r="SB202" s="1056"/>
      <c r="SC202" s="1056"/>
      <c r="SD202" s="1056"/>
      <c r="SE202" s="1056"/>
      <c r="SF202" s="1056"/>
      <c r="SG202" s="1056"/>
      <c r="SH202" s="1056"/>
      <c r="SI202" s="1056"/>
      <c r="SJ202" s="1056"/>
      <c r="SK202" s="1056"/>
      <c r="SL202" s="1056"/>
      <c r="SM202" s="1056"/>
      <c r="SN202" s="1056"/>
      <c r="SO202" s="1056"/>
      <c r="SP202" s="1056"/>
      <c r="SQ202" s="1056"/>
      <c r="SR202" s="1056"/>
      <c r="SS202" s="1056"/>
      <c r="ST202" s="1056"/>
      <c r="SU202" s="1056"/>
      <c r="SV202" s="1056"/>
      <c r="SW202" s="1056"/>
      <c r="SX202" s="1056"/>
      <c r="SY202" s="1056"/>
      <c r="SZ202" s="1056"/>
      <c r="TA202" s="1056"/>
      <c r="TB202" s="1056"/>
      <c r="TC202" s="1056"/>
      <c r="TD202" s="1056"/>
      <c r="TE202" s="1056"/>
      <c r="TF202" s="1056"/>
      <c r="TG202" s="1056"/>
      <c r="TH202" s="1056"/>
      <c r="TI202" s="1056"/>
      <c r="TJ202" s="1056"/>
      <c r="TK202" s="1056"/>
      <c r="TL202" s="1056"/>
      <c r="TM202" s="1056"/>
      <c r="TN202" s="1056"/>
      <c r="TO202" s="1056"/>
      <c r="TP202" s="1056"/>
      <c r="TQ202" s="1056"/>
      <c r="TR202" s="1056"/>
      <c r="TS202" s="1056"/>
      <c r="TT202" s="1056"/>
      <c r="TU202" s="1056"/>
      <c r="TV202" s="1056"/>
      <c r="TW202" s="1056"/>
      <c r="TX202" s="1056"/>
      <c r="TY202" s="1056"/>
      <c r="TZ202" s="1056"/>
      <c r="UA202" s="1056"/>
      <c r="UB202" s="1056"/>
      <c r="UC202" s="1056"/>
      <c r="UD202" s="1056"/>
      <c r="UE202" s="1056"/>
      <c r="UF202" s="1056"/>
      <c r="UG202" s="1056"/>
      <c r="UH202" s="1056"/>
      <c r="UI202" s="1056"/>
      <c r="UJ202" s="1056"/>
      <c r="UK202" s="1056"/>
      <c r="UL202" s="1056"/>
      <c r="UM202" s="1056"/>
      <c r="UN202" s="1056"/>
      <c r="UO202" s="1056"/>
      <c r="UP202" s="1056"/>
      <c r="UQ202" s="1056"/>
      <c r="UR202" s="1056"/>
      <c r="US202" s="1056"/>
      <c r="UT202" s="1056"/>
      <c r="UU202" s="1056"/>
      <c r="UV202" s="1056"/>
      <c r="UW202" s="1056"/>
      <c r="UX202" s="1056"/>
      <c r="UY202" s="1056"/>
      <c r="UZ202" s="1056"/>
      <c r="VA202" s="1056"/>
      <c r="VB202" s="1056"/>
      <c r="VC202" s="1056"/>
      <c r="VD202" s="1056"/>
      <c r="VE202" s="1056"/>
      <c r="VF202" s="1056"/>
      <c r="VG202" s="1056"/>
      <c r="VH202" s="1056"/>
      <c r="VI202" s="1056"/>
      <c r="VJ202" s="1056"/>
      <c r="VK202" s="1056"/>
      <c r="VL202" s="1056"/>
      <c r="VM202" s="1056"/>
      <c r="VN202" s="1056"/>
      <c r="VO202" s="1056"/>
      <c r="VP202" s="1056"/>
      <c r="VQ202" s="1056"/>
      <c r="VR202" s="1056"/>
      <c r="VS202" s="1056"/>
      <c r="VT202" s="1056"/>
      <c r="VU202" s="1056"/>
      <c r="VV202" s="1056"/>
      <c r="VW202" s="1056"/>
      <c r="VX202" s="1056"/>
      <c r="VY202" s="1056"/>
      <c r="VZ202" s="1056"/>
      <c r="WA202" s="1056"/>
      <c r="WB202" s="1056"/>
      <c r="WC202" s="1056"/>
      <c r="WD202" s="1056"/>
      <c r="WE202" s="1056"/>
      <c r="WF202" s="1056"/>
      <c r="WG202" s="1056"/>
      <c r="WH202" s="1056"/>
      <c r="WI202" s="1056"/>
      <c r="WJ202" s="1056"/>
      <c r="WK202" s="1056"/>
      <c r="WL202" s="1056"/>
      <c r="WM202" s="1056"/>
      <c r="WN202" s="1056"/>
      <c r="WO202" s="1056"/>
      <c r="WP202" s="1056"/>
      <c r="WQ202" s="1056"/>
      <c r="WR202" s="1056"/>
      <c r="WS202" s="1056"/>
      <c r="WT202" s="1056"/>
      <c r="WU202" s="1056"/>
      <c r="WV202" s="1056"/>
      <c r="WW202" s="1056"/>
      <c r="WX202" s="1056"/>
      <c r="WY202" s="1056"/>
      <c r="WZ202" s="1056"/>
      <c r="XA202" s="1056"/>
      <c r="XB202" s="1056"/>
      <c r="XC202" s="1056"/>
      <c r="XD202" s="1056"/>
      <c r="XE202" s="1056"/>
      <c r="XF202" s="1056"/>
      <c r="XG202" s="1056"/>
      <c r="XH202" s="1056"/>
      <c r="XI202" s="1056"/>
      <c r="XJ202" s="1056"/>
      <c r="XK202" s="1056"/>
      <c r="XL202" s="1056"/>
      <c r="XM202" s="1056"/>
      <c r="XN202" s="1056"/>
      <c r="XO202" s="1056"/>
      <c r="XP202" s="1056"/>
      <c r="XQ202" s="1056"/>
      <c r="XR202" s="1056"/>
      <c r="XS202" s="1056"/>
      <c r="XT202" s="1056"/>
      <c r="XU202" s="1056"/>
      <c r="XV202" s="1056"/>
      <c r="XW202" s="1056"/>
      <c r="XX202" s="1056"/>
      <c r="XY202" s="1056"/>
      <c r="XZ202" s="1056"/>
      <c r="YA202" s="1056"/>
      <c r="YB202" s="1056"/>
      <c r="YC202" s="1056"/>
      <c r="YD202" s="1056"/>
      <c r="YE202" s="1056"/>
      <c r="YF202" s="1056"/>
      <c r="YG202" s="1056"/>
      <c r="YH202" s="1056"/>
      <c r="YI202" s="1056"/>
      <c r="YJ202" s="1056"/>
      <c r="YK202" s="1056"/>
      <c r="YL202" s="1056"/>
      <c r="YM202" s="1056"/>
      <c r="YN202" s="1056"/>
      <c r="YO202" s="1056"/>
      <c r="YP202" s="1056"/>
      <c r="YQ202" s="1056"/>
      <c r="YR202" s="1056"/>
      <c r="YS202" s="1056"/>
      <c r="YT202" s="1056"/>
      <c r="YU202" s="1056"/>
      <c r="YV202" s="1056"/>
      <c r="YW202" s="1056"/>
      <c r="YX202" s="1056"/>
      <c r="YY202" s="1056"/>
      <c r="YZ202" s="1056"/>
      <c r="ZA202" s="1056"/>
      <c r="ZB202" s="1056"/>
      <c r="ZC202" s="1056"/>
      <c r="ZD202" s="1056"/>
      <c r="ZE202" s="1056"/>
      <c r="ZF202" s="1056"/>
      <c r="ZG202" s="1056"/>
      <c r="ZH202" s="1056"/>
      <c r="ZI202" s="1056"/>
      <c r="ZJ202" s="1056"/>
      <c r="ZK202" s="1056"/>
      <c r="ZL202" s="1056"/>
      <c r="ZM202" s="1056"/>
      <c r="ZN202" s="1056"/>
      <c r="ZO202" s="1056"/>
      <c r="ZP202" s="1056"/>
      <c r="ZQ202" s="1056"/>
      <c r="ZR202" s="1056"/>
      <c r="ZS202" s="1056"/>
      <c r="ZT202" s="1056"/>
      <c r="ZU202" s="1056"/>
      <c r="ZV202" s="1056"/>
      <c r="ZW202" s="1056"/>
      <c r="ZX202" s="1056"/>
      <c r="ZY202" s="1056"/>
      <c r="ZZ202" s="1056"/>
      <c r="AAA202" s="1056"/>
      <c r="AAB202" s="1056"/>
      <c r="AAC202" s="1056"/>
      <c r="AAD202" s="1056"/>
      <c r="AAE202" s="1056"/>
      <c r="AAF202" s="1056"/>
      <c r="AAG202" s="1056"/>
      <c r="AAH202" s="1056"/>
      <c r="AAI202" s="1056"/>
      <c r="AAJ202" s="1056"/>
      <c r="AAK202" s="1056"/>
      <c r="AAL202" s="1056"/>
      <c r="AAM202" s="1056"/>
      <c r="AAN202" s="1056"/>
      <c r="AAO202" s="1056"/>
      <c r="AAP202" s="1056"/>
      <c r="AAQ202" s="1056"/>
      <c r="AAR202" s="1056"/>
      <c r="AAS202" s="1056"/>
      <c r="AAT202" s="1056"/>
      <c r="AAU202" s="1056"/>
      <c r="AAV202" s="1056"/>
      <c r="AAW202" s="1056"/>
      <c r="AAX202" s="1056"/>
      <c r="AAY202" s="1056"/>
      <c r="AAZ202" s="1056"/>
      <c r="ABA202" s="1056"/>
      <c r="ABB202" s="1056"/>
      <c r="ABC202" s="1056"/>
      <c r="ABD202" s="1056"/>
      <c r="ABE202" s="1056"/>
      <c r="ABF202" s="1056"/>
      <c r="ABG202" s="1056"/>
      <c r="ABH202" s="1056"/>
      <c r="ABI202" s="1056"/>
      <c r="ABJ202" s="1056"/>
      <c r="ABK202" s="1056"/>
      <c r="ABL202" s="1056"/>
      <c r="ABM202" s="1056"/>
      <c r="ABN202" s="1056"/>
      <c r="ABO202" s="1056"/>
      <c r="ABP202" s="1056"/>
      <c r="ABQ202" s="1056"/>
      <c r="ABR202" s="1056"/>
      <c r="ABS202" s="1056"/>
      <c r="ABT202" s="1056"/>
      <c r="ABU202" s="1056"/>
      <c r="ABV202" s="1056"/>
      <c r="ABW202" s="1056"/>
      <c r="ABX202" s="1056"/>
      <c r="ABY202" s="1056"/>
      <c r="ABZ202" s="1056"/>
      <c r="ACA202" s="1056"/>
      <c r="ACB202" s="1056"/>
      <c r="ACC202" s="1056"/>
      <c r="ACD202" s="1056"/>
      <c r="ACE202" s="1056"/>
      <c r="ACF202" s="1056"/>
      <c r="ACG202" s="1056"/>
      <c r="ACH202" s="1056"/>
      <c r="ACI202" s="1056"/>
      <c r="ACJ202" s="1056"/>
      <c r="ACK202" s="1056"/>
      <c r="ACL202" s="1056"/>
      <c r="ACM202" s="1056"/>
      <c r="ACN202" s="1056"/>
      <c r="ACO202" s="1056"/>
      <c r="ACP202" s="1056"/>
      <c r="ACQ202" s="1056"/>
      <c r="ACR202" s="1056"/>
      <c r="ACS202" s="1056"/>
      <c r="ACT202" s="1056"/>
      <c r="ACU202" s="1056"/>
      <c r="ACV202" s="1056"/>
      <c r="ACW202" s="1056"/>
      <c r="ACX202" s="1056"/>
      <c r="ACY202" s="1056"/>
      <c r="ACZ202" s="1056"/>
      <c r="ADA202" s="1056"/>
      <c r="ADB202" s="1056"/>
      <c r="ADC202" s="1056"/>
      <c r="ADD202" s="1056"/>
      <c r="ADE202" s="1056"/>
      <c r="ADF202" s="1056"/>
      <c r="ADG202" s="1056"/>
      <c r="ADH202" s="1056"/>
      <c r="ADI202" s="1056"/>
      <c r="ADJ202" s="1056"/>
      <c r="ADK202" s="1056"/>
      <c r="ADL202" s="1056"/>
      <c r="ADM202" s="1056"/>
      <c r="ADN202" s="1056"/>
      <c r="ADO202" s="1056"/>
      <c r="ADP202" s="1056"/>
      <c r="ADQ202" s="1056"/>
      <c r="ADR202" s="1056"/>
      <c r="ADS202" s="1056"/>
      <c r="ADT202" s="1056"/>
      <c r="ADU202" s="1056"/>
      <c r="ADV202" s="1056"/>
      <c r="ADW202" s="1056"/>
      <c r="ADX202" s="1056"/>
      <c r="ADY202" s="1056"/>
      <c r="ADZ202" s="1056"/>
      <c r="AEA202" s="1056"/>
      <c r="AEB202" s="1056"/>
      <c r="AEC202" s="1056"/>
      <c r="AED202" s="1056"/>
      <c r="AEE202" s="1056"/>
      <c r="AEF202" s="1056"/>
      <c r="AEG202" s="1056"/>
      <c r="AEH202" s="1056"/>
      <c r="AEI202" s="1056"/>
      <c r="AEJ202" s="1056"/>
      <c r="AEK202" s="1056"/>
      <c r="AEL202" s="1056"/>
      <c r="AEM202" s="1056"/>
      <c r="AEN202" s="1056"/>
      <c r="AEO202" s="1056"/>
      <c r="AEP202" s="1056"/>
      <c r="AEQ202" s="1056"/>
      <c r="AER202" s="1056"/>
      <c r="AES202" s="1056"/>
      <c r="AET202" s="1056"/>
      <c r="AEU202" s="1056"/>
      <c r="AEV202" s="1056"/>
      <c r="AEW202" s="1056"/>
      <c r="AEX202" s="1056"/>
      <c r="AEY202" s="1056"/>
      <c r="AEZ202" s="1056"/>
      <c r="AFA202" s="1056"/>
      <c r="AFB202" s="1056"/>
      <c r="AFC202" s="1056"/>
      <c r="AFD202" s="1056"/>
      <c r="AFE202" s="1056"/>
      <c r="AFF202" s="1056"/>
      <c r="AFG202" s="1056"/>
      <c r="AFH202" s="1056"/>
      <c r="AFI202" s="1056"/>
      <c r="AFJ202" s="1056"/>
      <c r="AFK202" s="1056"/>
      <c r="AFL202" s="1056"/>
      <c r="AFM202" s="1056"/>
      <c r="AFN202" s="1056"/>
      <c r="AFO202" s="1056"/>
      <c r="AFP202" s="1056"/>
      <c r="AFQ202" s="1056"/>
      <c r="AFR202" s="1056"/>
      <c r="AFS202" s="1056"/>
      <c r="AFT202" s="1056"/>
      <c r="AFU202" s="1056"/>
      <c r="AFV202" s="1056"/>
      <c r="AFW202" s="1056"/>
      <c r="AFX202" s="1056"/>
      <c r="AFY202" s="1056"/>
      <c r="AFZ202" s="1056"/>
      <c r="AGA202" s="1056"/>
      <c r="AGB202" s="1056"/>
      <c r="AGC202" s="1056"/>
      <c r="AGD202" s="1056"/>
      <c r="AGE202" s="1056"/>
      <c r="AGF202" s="1056"/>
      <c r="AGG202" s="1056"/>
      <c r="AGH202" s="1056"/>
      <c r="AGI202" s="1056"/>
      <c r="AGJ202" s="1056"/>
      <c r="AGK202" s="1056"/>
      <c r="AGL202" s="1056"/>
      <c r="AGM202" s="1056"/>
      <c r="AGN202" s="1056"/>
      <c r="AGO202" s="1056"/>
      <c r="AGP202" s="1056"/>
      <c r="AGQ202" s="1056"/>
      <c r="AGR202" s="1056"/>
      <c r="AGS202" s="1056"/>
      <c r="AGT202" s="1056"/>
      <c r="AGU202" s="1056"/>
      <c r="AGV202" s="1056"/>
      <c r="AGW202" s="1056"/>
      <c r="AGX202" s="1056"/>
      <c r="AGY202" s="1056"/>
      <c r="AGZ202" s="1056"/>
      <c r="AHA202" s="1056"/>
      <c r="AHB202" s="1056"/>
      <c r="AHC202" s="1056"/>
      <c r="AHD202" s="1056"/>
      <c r="AHE202" s="1056"/>
      <c r="AHF202" s="1056"/>
      <c r="AHG202" s="1056"/>
      <c r="AHH202" s="1056"/>
      <c r="AHI202" s="1056"/>
      <c r="AHJ202" s="1056"/>
      <c r="AHK202" s="1056"/>
      <c r="AHL202" s="1056"/>
      <c r="AHM202" s="1056"/>
      <c r="AHN202" s="1056"/>
      <c r="AHO202" s="1056"/>
      <c r="AHP202" s="1056"/>
      <c r="AHQ202" s="1056"/>
      <c r="AHR202" s="1056"/>
      <c r="AHS202" s="1056"/>
      <c r="AHT202" s="1056"/>
      <c r="AHU202" s="1056"/>
      <c r="AHV202" s="1056"/>
      <c r="AHW202" s="1056"/>
      <c r="AHX202" s="1056"/>
      <c r="AHY202" s="1056"/>
      <c r="AHZ202" s="1056"/>
      <c r="AIA202" s="1056"/>
      <c r="AIB202" s="1056"/>
      <c r="AIC202" s="1056"/>
      <c r="AID202" s="1056"/>
      <c r="AIE202" s="1056"/>
      <c r="AIF202" s="1056"/>
      <c r="AIG202" s="1056"/>
      <c r="AIH202" s="1056"/>
      <c r="AII202" s="1056"/>
      <c r="AIJ202" s="1056"/>
      <c r="AIK202" s="1056"/>
      <c r="AIL202" s="1056"/>
      <c r="AIM202" s="1056"/>
      <c r="AIN202" s="1056"/>
      <c r="AIO202" s="1056"/>
      <c r="AIP202" s="1056"/>
      <c r="AIQ202" s="1056"/>
      <c r="AIR202" s="1056"/>
      <c r="AIS202" s="1056"/>
      <c r="AIT202" s="1056"/>
      <c r="AIU202" s="1056"/>
      <c r="AIV202" s="1056"/>
      <c r="AIW202" s="1056"/>
      <c r="AIX202" s="1056"/>
      <c r="AIY202" s="1056"/>
      <c r="AIZ202" s="1056"/>
      <c r="AJA202" s="1056"/>
      <c r="AJB202" s="1056"/>
      <c r="AJC202" s="1056"/>
      <c r="AJD202" s="1056"/>
      <c r="AJE202" s="1056"/>
      <c r="AJF202" s="1056"/>
      <c r="AJG202" s="1056"/>
      <c r="AJH202" s="1056"/>
      <c r="AJI202" s="1056"/>
      <c r="AJJ202" s="1056"/>
      <c r="AJK202" s="1056"/>
      <c r="AJL202" s="1056"/>
      <c r="AJM202" s="1056"/>
      <c r="AJN202" s="1056"/>
      <c r="AJO202" s="1056"/>
      <c r="AJP202" s="1056"/>
      <c r="AJQ202" s="1056"/>
      <c r="AJR202" s="1056"/>
      <c r="AJS202" s="1056"/>
      <c r="AJT202" s="1056"/>
      <c r="AJU202" s="1056"/>
      <c r="AJV202" s="1056"/>
      <c r="AJW202" s="1056"/>
      <c r="AJX202" s="1056"/>
      <c r="AJY202" s="1056"/>
      <c r="AJZ202" s="1056"/>
      <c r="AKA202" s="1056"/>
      <c r="AKB202" s="1056"/>
      <c r="AKC202" s="1056"/>
      <c r="AKD202" s="1056"/>
      <c r="AKE202" s="1056"/>
      <c r="AKF202" s="1056"/>
      <c r="AKG202" s="1056"/>
      <c r="AKH202" s="1056"/>
      <c r="AKI202" s="1056"/>
      <c r="AKJ202" s="1056"/>
      <c r="AKK202" s="1056"/>
      <c r="AKL202" s="1056"/>
      <c r="AKM202" s="1056"/>
      <c r="AKN202" s="1056"/>
      <c r="AKO202" s="1056"/>
      <c r="AKP202" s="1056"/>
      <c r="AKQ202" s="1056"/>
      <c r="AKR202" s="1056"/>
      <c r="AKS202" s="1056"/>
      <c r="AKT202" s="1056"/>
      <c r="AKU202" s="1056"/>
      <c r="AKV202" s="1056"/>
      <c r="AKW202" s="1056"/>
      <c r="AKX202" s="1056"/>
      <c r="AKY202" s="1056"/>
      <c r="AKZ202" s="1056"/>
      <c r="ALA202" s="1056"/>
      <c r="ALB202" s="1056"/>
      <c r="ALC202" s="1056"/>
      <c r="ALD202" s="1056"/>
      <c r="ALE202" s="1056"/>
      <c r="ALF202" s="1056"/>
      <c r="ALG202" s="1056"/>
      <c r="ALH202" s="1056"/>
      <c r="ALI202" s="1056"/>
      <c r="ALJ202" s="1056"/>
      <c r="ALK202" s="1056"/>
      <c r="ALL202" s="1056"/>
      <c r="ALM202" s="1056"/>
      <c r="ALN202" s="1056"/>
      <c r="ALO202" s="1056"/>
      <c r="ALP202" s="1056"/>
      <c r="ALQ202" s="1056"/>
      <c r="ALR202" s="1056"/>
      <c r="ALS202" s="1056"/>
      <c r="ALT202" s="1056"/>
      <c r="ALU202" s="1056"/>
      <c r="ALV202" s="1056"/>
      <c r="ALW202" s="1056"/>
      <c r="ALX202" s="1056"/>
      <c r="ALY202" s="1056"/>
      <c r="ALZ202" s="1056"/>
      <c r="AMA202" s="1056"/>
      <c r="AMB202" s="1056"/>
      <c r="AMC202" s="1056"/>
      <c r="AMD202" s="1056"/>
      <c r="AME202" s="1056"/>
      <c r="AMF202" s="1056"/>
      <c r="AMG202" s="1056"/>
      <c r="AMH202" s="1056"/>
      <c r="AMI202" s="1056"/>
      <c r="AMJ202" s="1056"/>
      <c r="AMK202" s="1056"/>
      <c r="AML202" s="1056"/>
      <c r="AMM202" s="1056"/>
      <c r="AMN202" s="1056"/>
      <c r="AMO202" s="1056"/>
      <c r="AMP202" s="1056"/>
      <c r="AMQ202" s="1056"/>
      <c r="AMR202" s="1056"/>
      <c r="AMS202" s="1056"/>
      <c r="AMT202" s="1056"/>
      <c r="AMU202" s="1056"/>
      <c r="AMV202" s="1056"/>
      <c r="AMW202" s="1056"/>
      <c r="AMX202" s="1056"/>
      <c r="AMY202" s="1056"/>
      <c r="AMZ202" s="1056"/>
      <c r="ANA202" s="1056"/>
      <c r="ANB202" s="1056"/>
      <c r="ANC202" s="1056"/>
      <c r="AND202" s="1056"/>
      <c r="ANE202" s="1056"/>
      <c r="ANF202" s="1056"/>
      <c r="ANG202" s="1056"/>
      <c r="ANH202" s="1056"/>
      <c r="ANI202" s="1056"/>
      <c r="ANJ202" s="1056"/>
      <c r="ANK202" s="1056"/>
      <c r="ANL202" s="1056"/>
      <c r="ANM202" s="1056"/>
      <c r="ANN202" s="1056"/>
      <c r="ANO202" s="1056"/>
      <c r="ANP202" s="1056"/>
      <c r="ANQ202" s="1056"/>
      <c r="ANR202" s="1056"/>
      <c r="ANS202" s="1056"/>
      <c r="ANT202" s="1056"/>
      <c r="ANU202" s="1056"/>
      <c r="ANV202" s="1056"/>
      <c r="ANW202" s="1056"/>
      <c r="ANX202" s="1056"/>
      <c r="ANY202" s="1056"/>
      <c r="ANZ202" s="1056"/>
      <c r="AOA202" s="1056"/>
      <c r="AOB202" s="1056"/>
      <c r="AOC202" s="1056"/>
      <c r="AOD202" s="1056"/>
      <c r="AOE202" s="1056"/>
      <c r="AOF202" s="1056"/>
      <c r="AOG202" s="1056"/>
      <c r="AOH202" s="1056"/>
      <c r="AOI202" s="1056"/>
      <c r="AOJ202" s="1056"/>
      <c r="AOK202" s="1056"/>
      <c r="AOL202" s="1056"/>
      <c r="AOM202" s="1056"/>
      <c r="AON202" s="1056"/>
      <c r="AOO202" s="1056"/>
      <c r="AOP202" s="1056"/>
      <c r="AOQ202" s="1056"/>
      <c r="AOR202" s="1056"/>
      <c r="AOS202" s="1056"/>
      <c r="AOT202" s="1056"/>
      <c r="AOU202" s="1056"/>
      <c r="AOV202" s="1056"/>
      <c r="AOW202" s="1056"/>
      <c r="AOX202" s="1056"/>
      <c r="AOY202" s="1056"/>
      <c r="AOZ202" s="1056"/>
      <c r="APA202" s="1056"/>
      <c r="APB202" s="1056"/>
      <c r="APC202" s="1056"/>
      <c r="APD202" s="1056"/>
      <c r="APE202" s="1056"/>
      <c r="APF202" s="1056"/>
      <c r="APG202" s="1056"/>
      <c r="APH202" s="1056"/>
      <c r="API202" s="1056"/>
      <c r="APJ202" s="1056"/>
      <c r="APK202" s="1056"/>
      <c r="APL202" s="1056"/>
      <c r="APM202" s="1056"/>
      <c r="APN202" s="1056"/>
      <c r="APO202" s="1056"/>
      <c r="APP202" s="1056"/>
      <c r="APQ202" s="1056"/>
      <c r="APR202" s="1056"/>
      <c r="APS202" s="1056"/>
      <c r="APT202" s="1056"/>
      <c r="APU202" s="1056"/>
      <c r="APV202" s="1056"/>
      <c r="APW202" s="1056"/>
      <c r="APX202" s="1056"/>
      <c r="APY202" s="1056"/>
      <c r="APZ202" s="1056"/>
      <c r="AQA202" s="1056"/>
      <c r="AQB202" s="1056"/>
      <c r="AQC202" s="1056"/>
      <c r="AQD202" s="1056"/>
      <c r="AQE202" s="1056"/>
      <c r="AQF202" s="1056"/>
      <c r="AQG202" s="1056"/>
      <c r="AQH202" s="1056"/>
      <c r="AQI202" s="1056"/>
      <c r="AQJ202" s="1056"/>
      <c r="AQK202" s="1056"/>
      <c r="AQL202" s="1056"/>
      <c r="AQM202" s="1056"/>
      <c r="AQN202" s="1056"/>
      <c r="AQO202" s="1056"/>
      <c r="AQP202" s="1056"/>
      <c r="AQQ202" s="1056"/>
      <c r="AQR202" s="1056"/>
      <c r="AQS202" s="1056"/>
      <c r="AQT202" s="1056"/>
      <c r="AQU202" s="1056"/>
      <c r="AQV202" s="1056"/>
      <c r="AQW202" s="1056"/>
      <c r="AQX202" s="1056"/>
      <c r="AQY202" s="1056"/>
      <c r="AQZ202" s="1056"/>
      <c r="ARA202" s="1056"/>
      <c r="ARB202" s="1056"/>
      <c r="ARC202" s="1056"/>
      <c r="ARD202" s="1056"/>
      <c r="ARE202" s="1056"/>
      <c r="ARF202" s="1056"/>
      <c r="ARG202" s="1056"/>
      <c r="ARH202" s="1056"/>
      <c r="ARI202" s="1056"/>
      <c r="ARJ202" s="1056"/>
      <c r="ARK202" s="1056"/>
      <c r="ARL202" s="1056"/>
      <c r="ARM202" s="1056"/>
      <c r="ARN202" s="1056"/>
      <c r="ARO202" s="1056"/>
      <c r="ARP202" s="1056"/>
      <c r="ARQ202" s="1056"/>
      <c r="ARR202" s="1056"/>
      <c r="ARS202" s="1056"/>
      <c r="ART202" s="1056"/>
      <c r="ARU202" s="1056"/>
      <c r="ARV202" s="1056"/>
      <c r="ARW202" s="1056"/>
      <c r="ARX202" s="1056"/>
      <c r="ARY202" s="1056"/>
      <c r="ARZ202" s="1056"/>
      <c r="ASA202" s="1056"/>
      <c r="ASB202" s="1056"/>
      <c r="ASC202" s="1056"/>
      <c r="ASD202" s="1056"/>
      <c r="ASE202" s="1056"/>
      <c r="ASF202" s="1056"/>
      <c r="ASG202" s="1056"/>
      <c r="ASH202" s="1056"/>
      <c r="ASI202" s="1056"/>
      <c r="ASJ202" s="1056"/>
      <c r="ASK202" s="1056"/>
      <c r="ASL202" s="1056"/>
      <c r="ASM202" s="1056"/>
      <c r="ASN202" s="1056"/>
      <c r="ASO202" s="1056"/>
      <c r="ASP202" s="1056"/>
      <c r="ASQ202" s="1056"/>
      <c r="ASR202" s="1056"/>
      <c r="ASS202" s="1056"/>
      <c r="AST202" s="1056"/>
      <c r="ASU202" s="1056"/>
      <c r="ASV202" s="1056"/>
      <c r="ASW202" s="1056"/>
      <c r="ASX202" s="1056"/>
      <c r="ASY202" s="1056"/>
      <c r="ASZ202" s="1056"/>
      <c r="ATA202" s="1056"/>
      <c r="ATB202" s="1056"/>
      <c r="ATC202" s="1056"/>
      <c r="ATD202" s="1056"/>
      <c r="ATE202" s="1056"/>
      <c r="ATF202" s="1056"/>
      <c r="ATG202" s="1056"/>
      <c r="ATH202" s="1056"/>
      <c r="ATI202" s="1056"/>
      <c r="ATJ202" s="1056"/>
      <c r="ATK202" s="1056"/>
      <c r="ATL202" s="1056"/>
      <c r="ATM202" s="1056"/>
      <c r="ATN202" s="1056"/>
      <c r="ATO202" s="1056"/>
      <c r="ATP202" s="1056"/>
      <c r="ATQ202" s="1056"/>
      <c r="ATR202" s="1056"/>
      <c r="ATS202" s="1056"/>
      <c r="ATT202" s="1056"/>
      <c r="ATU202" s="1056"/>
      <c r="ATV202" s="1056"/>
      <c r="ATW202" s="1056"/>
      <c r="ATX202" s="1056"/>
      <c r="ATY202" s="1056"/>
      <c r="ATZ202" s="1056"/>
      <c r="AUA202" s="1056"/>
      <c r="AUB202" s="1056"/>
      <c r="AUC202" s="1056"/>
      <c r="AUD202" s="1056"/>
      <c r="AUE202" s="1056"/>
      <c r="AUF202" s="1056"/>
      <c r="AUG202" s="1056"/>
      <c r="AUH202" s="1056"/>
      <c r="AUI202" s="1056"/>
      <c r="AUJ202" s="1056"/>
      <c r="AUK202" s="1056"/>
      <c r="AUL202" s="1056"/>
      <c r="AUM202" s="1056"/>
      <c r="AUN202" s="1056"/>
      <c r="AUO202" s="1056"/>
      <c r="AUP202" s="1056"/>
      <c r="AUQ202" s="1056"/>
      <c r="AUR202" s="1056"/>
      <c r="AUS202" s="1056"/>
      <c r="AUT202" s="1056"/>
      <c r="AUU202" s="1056"/>
      <c r="AUV202" s="1056"/>
      <c r="AUW202" s="1056"/>
      <c r="AUX202" s="1056"/>
      <c r="AUY202" s="1056"/>
      <c r="AUZ202" s="1056"/>
      <c r="AVA202" s="1056"/>
      <c r="AVB202" s="1056"/>
      <c r="AVC202" s="1056"/>
      <c r="AVD202" s="1056"/>
      <c r="AVE202" s="1056"/>
      <c r="AVF202" s="1056"/>
      <c r="AVG202" s="1056"/>
      <c r="AVH202" s="1056"/>
      <c r="AVI202" s="1056"/>
      <c r="AVJ202" s="1056"/>
      <c r="AVK202" s="1056"/>
      <c r="AVL202" s="1056"/>
      <c r="AVM202" s="1056"/>
      <c r="AVN202" s="1056"/>
      <c r="AVO202" s="1056"/>
      <c r="AVP202" s="1056"/>
      <c r="AVQ202" s="1056"/>
      <c r="AVR202" s="1056"/>
      <c r="AVS202" s="1056"/>
      <c r="AVT202" s="1056"/>
      <c r="AVU202" s="1056"/>
      <c r="AVV202" s="1056"/>
      <c r="AVW202" s="1056"/>
      <c r="AVX202" s="1056"/>
      <c r="AVY202" s="1056"/>
      <c r="AVZ202" s="1056"/>
      <c r="AWA202" s="1056"/>
      <c r="AWB202" s="1056"/>
      <c r="AWC202" s="1056"/>
      <c r="AWD202" s="1056"/>
      <c r="AWE202" s="1056"/>
      <c r="AWF202" s="1056"/>
      <c r="AWG202" s="1056"/>
      <c r="AWH202" s="1056"/>
      <c r="AWI202" s="1056"/>
      <c r="AWJ202" s="1056"/>
      <c r="AWK202" s="1056"/>
      <c r="AWL202" s="1056"/>
      <c r="AWM202" s="1056"/>
      <c r="AWN202" s="1056"/>
      <c r="AWO202" s="1056"/>
      <c r="AWP202" s="1056"/>
      <c r="AWQ202" s="1056"/>
      <c r="AWR202" s="1056"/>
      <c r="AWS202" s="1056"/>
      <c r="AWT202" s="1056"/>
      <c r="AWU202" s="1056"/>
      <c r="AWV202" s="1056"/>
      <c r="AWW202" s="1056"/>
      <c r="AWX202" s="1056"/>
      <c r="AWY202" s="1056"/>
      <c r="AWZ202" s="1056"/>
      <c r="AXA202" s="1056"/>
      <c r="AXB202" s="1056"/>
      <c r="AXC202" s="1056"/>
      <c r="AXD202" s="1056"/>
      <c r="AXE202" s="1056"/>
      <c r="AXF202" s="1056"/>
      <c r="AXG202" s="1056"/>
      <c r="AXH202" s="1056"/>
      <c r="AXI202" s="1056"/>
      <c r="AXJ202" s="1056"/>
      <c r="AXK202" s="1056"/>
      <c r="AXL202" s="1056"/>
      <c r="AXM202" s="1056"/>
      <c r="AXN202" s="1056"/>
      <c r="AXO202" s="1056"/>
      <c r="AXP202" s="1056"/>
      <c r="AXQ202" s="1056"/>
      <c r="AXR202" s="1056"/>
      <c r="AXS202" s="1056"/>
      <c r="AXT202" s="1056"/>
      <c r="AXU202" s="1056"/>
      <c r="AXV202" s="1056"/>
      <c r="AXW202" s="1056"/>
      <c r="AXX202" s="1056"/>
      <c r="AXY202" s="1056"/>
      <c r="AXZ202" s="1056"/>
      <c r="AYA202" s="1056"/>
      <c r="AYB202" s="1056"/>
      <c r="AYC202" s="1056"/>
      <c r="AYD202" s="1056"/>
      <c r="AYE202" s="1056"/>
      <c r="AYF202" s="1056"/>
      <c r="AYG202" s="1056"/>
      <c r="AYH202" s="1056"/>
      <c r="AYI202" s="1056"/>
      <c r="AYJ202" s="1056"/>
      <c r="AYK202" s="1056"/>
      <c r="AYL202" s="1056"/>
      <c r="AYM202" s="1056"/>
      <c r="AYN202" s="1056"/>
      <c r="AYO202" s="1056"/>
      <c r="AYP202" s="1056"/>
      <c r="AYQ202" s="1056"/>
      <c r="AYR202" s="1056"/>
      <c r="AYS202" s="1056"/>
      <c r="AYT202" s="1056"/>
      <c r="AYU202" s="1056"/>
      <c r="AYV202" s="1056"/>
      <c r="AYW202" s="1056"/>
      <c r="AYX202" s="1056"/>
      <c r="AYY202" s="1056"/>
      <c r="AYZ202" s="1056"/>
      <c r="AZA202" s="1056"/>
      <c r="AZB202" s="1056"/>
      <c r="AZC202" s="1056"/>
      <c r="AZD202" s="1056"/>
      <c r="AZE202" s="1056"/>
      <c r="AZF202" s="1056"/>
      <c r="AZG202" s="1056"/>
      <c r="AZH202" s="1056"/>
      <c r="AZI202" s="1056"/>
      <c r="AZJ202" s="1056"/>
      <c r="AZK202" s="1056"/>
      <c r="AZL202" s="1056"/>
      <c r="AZM202" s="1056"/>
      <c r="AZN202" s="1056"/>
      <c r="AZO202" s="1056"/>
      <c r="AZP202" s="1056"/>
      <c r="AZQ202" s="1056"/>
      <c r="AZR202" s="1056"/>
      <c r="AZS202" s="1056"/>
      <c r="AZT202" s="1056"/>
      <c r="AZU202" s="1056"/>
      <c r="AZV202" s="1056"/>
      <c r="AZW202" s="1056"/>
      <c r="AZX202" s="1056"/>
      <c r="AZY202" s="1056"/>
      <c r="AZZ202" s="1056"/>
      <c r="BAA202" s="1056"/>
      <c r="BAB202" s="1056"/>
      <c r="BAC202" s="1056"/>
      <c r="BAD202" s="1056"/>
      <c r="BAE202" s="1056"/>
      <c r="BAF202" s="1056"/>
      <c r="BAG202" s="1056"/>
      <c r="BAH202" s="1056"/>
      <c r="BAI202" s="1056"/>
      <c r="BAJ202" s="1056"/>
      <c r="BAK202" s="1056"/>
      <c r="BAL202" s="1056"/>
      <c r="BAM202" s="1056"/>
      <c r="BAN202" s="1056"/>
      <c r="BAO202" s="1056"/>
      <c r="BAP202" s="1056"/>
      <c r="BAQ202" s="1056"/>
      <c r="BAR202" s="1056"/>
      <c r="BAS202" s="1056"/>
      <c r="BAT202" s="1056"/>
      <c r="BAU202" s="1056"/>
      <c r="BAV202" s="1056"/>
      <c r="BAW202" s="1056"/>
      <c r="BAX202" s="1056"/>
      <c r="BAY202" s="1056"/>
      <c r="BAZ202" s="1056"/>
      <c r="BBA202" s="1056"/>
      <c r="BBB202" s="1056"/>
      <c r="BBC202" s="1056"/>
      <c r="BBD202" s="1056"/>
      <c r="BBE202" s="1056"/>
      <c r="BBF202" s="1056"/>
      <c r="BBG202" s="1056"/>
      <c r="BBH202" s="1056"/>
      <c r="BBI202" s="1056"/>
      <c r="BBJ202" s="1056"/>
      <c r="BBK202" s="1056"/>
      <c r="BBL202" s="1056"/>
      <c r="BBM202" s="1056"/>
      <c r="BBN202" s="1056"/>
      <c r="BBO202" s="1056"/>
      <c r="BBP202" s="1056"/>
      <c r="BBQ202" s="1056"/>
      <c r="BBR202" s="1056"/>
      <c r="BBS202" s="1056"/>
      <c r="BBT202" s="1056"/>
      <c r="BBU202" s="1056"/>
      <c r="BBV202" s="1056"/>
      <c r="BBW202" s="1056"/>
      <c r="BBX202" s="1056"/>
      <c r="BBY202" s="1056"/>
      <c r="BBZ202" s="1056"/>
      <c r="BCA202" s="1056"/>
      <c r="BCB202" s="1056"/>
      <c r="BCC202" s="1056"/>
      <c r="BCD202" s="1056"/>
      <c r="BCE202" s="1056"/>
      <c r="BCF202" s="1056"/>
      <c r="BCG202" s="1056"/>
      <c r="BCH202" s="1056"/>
      <c r="BCI202" s="1056"/>
      <c r="BCJ202" s="1056"/>
      <c r="BCK202" s="1056"/>
      <c r="BCL202" s="1056"/>
      <c r="BCM202" s="1056"/>
      <c r="BCN202" s="1056"/>
      <c r="BCO202" s="1056"/>
      <c r="BCP202" s="1056"/>
      <c r="BCQ202" s="1056"/>
      <c r="BCR202" s="1056"/>
      <c r="BCS202" s="1056"/>
      <c r="BCT202" s="1056"/>
      <c r="BCU202" s="1056"/>
      <c r="BCV202" s="1056"/>
      <c r="BCW202" s="1056"/>
      <c r="BCX202" s="1056"/>
      <c r="BCY202" s="1056"/>
      <c r="BCZ202" s="1056"/>
      <c r="BDA202" s="1056"/>
      <c r="BDB202" s="1056"/>
      <c r="BDC202" s="1056"/>
      <c r="BDD202" s="1056"/>
      <c r="BDE202" s="1056"/>
      <c r="BDF202" s="1056"/>
      <c r="BDG202" s="1056"/>
      <c r="BDH202" s="1056"/>
      <c r="BDI202" s="1056"/>
      <c r="BDJ202" s="1056"/>
      <c r="BDK202" s="1056"/>
      <c r="BDL202" s="1056"/>
      <c r="BDM202" s="1056"/>
      <c r="BDN202" s="1056"/>
      <c r="BDO202" s="1056"/>
      <c r="BDP202" s="1056"/>
      <c r="BDQ202" s="1056"/>
      <c r="BDR202" s="1056"/>
      <c r="BDS202" s="1056"/>
      <c r="BDT202" s="1056"/>
      <c r="BDU202" s="1056"/>
      <c r="BDV202" s="1056"/>
      <c r="BDW202" s="1056"/>
      <c r="BDX202" s="1056"/>
      <c r="BDY202" s="1056"/>
      <c r="BDZ202" s="1056"/>
      <c r="BEA202" s="1056"/>
      <c r="BEB202" s="1056"/>
      <c r="BEC202" s="1056"/>
      <c r="BED202" s="1056"/>
      <c r="BEE202" s="1056"/>
      <c r="BEF202" s="1056"/>
      <c r="BEG202" s="1056"/>
      <c r="BEH202" s="1056"/>
      <c r="BEI202" s="1056"/>
      <c r="BEJ202" s="1056"/>
      <c r="BEK202" s="1056"/>
      <c r="BEL202" s="1056"/>
      <c r="BEM202" s="1056"/>
      <c r="BEN202" s="1056"/>
      <c r="BEO202" s="1056"/>
      <c r="BEP202" s="1056"/>
      <c r="BEQ202" s="1056"/>
      <c r="BER202" s="1056"/>
      <c r="BES202" s="1056"/>
      <c r="BET202" s="1056"/>
      <c r="BEU202" s="1056"/>
      <c r="BEV202" s="1056"/>
      <c r="BEW202" s="1056"/>
      <c r="BEX202" s="1056"/>
      <c r="BEY202" s="1056"/>
      <c r="BEZ202" s="1056"/>
      <c r="BFA202" s="1056"/>
      <c r="BFB202" s="1056"/>
      <c r="BFC202" s="1056"/>
      <c r="BFD202" s="1056"/>
      <c r="BFE202" s="1056"/>
      <c r="BFF202" s="1056"/>
      <c r="BFG202" s="1056"/>
      <c r="BFH202" s="1056"/>
      <c r="BFI202" s="1056"/>
      <c r="BFJ202" s="1056"/>
      <c r="BFK202" s="1056"/>
      <c r="BFL202" s="1056"/>
      <c r="BFM202" s="1056"/>
      <c r="BFN202" s="1056"/>
      <c r="BFO202" s="1056"/>
      <c r="BFP202" s="1056"/>
      <c r="BFQ202" s="1056"/>
      <c r="BFR202" s="1056"/>
      <c r="BFS202" s="1056"/>
      <c r="BFT202" s="1056"/>
      <c r="BFU202" s="1056"/>
      <c r="BFV202" s="1056"/>
      <c r="BFW202" s="1056"/>
      <c r="BFX202" s="1056"/>
      <c r="BFY202" s="1056"/>
      <c r="BFZ202" s="1056"/>
      <c r="BGA202" s="1056"/>
      <c r="BGB202" s="1056"/>
      <c r="BGC202" s="1056"/>
      <c r="BGD202" s="1056"/>
      <c r="BGE202" s="1056"/>
      <c r="BGF202" s="1056"/>
      <c r="BGG202" s="1056"/>
      <c r="BGH202" s="1056"/>
      <c r="BGI202" s="1056"/>
      <c r="BGJ202" s="1056"/>
      <c r="BGK202" s="1056"/>
      <c r="BGL202" s="1056"/>
      <c r="BGM202" s="1056"/>
      <c r="BGN202" s="1056"/>
      <c r="BGO202" s="1056"/>
      <c r="BGP202" s="1056"/>
      <c r="BGQ202" s="1056"/>
      <c r="BGR202" s="1056"/>
      <c r="BGS202" s="1056"/>
      <c r="BGT202" s="1056"/>
      <c r="BGU202" s="1056"/>
      <c r="BGV202" s="1056"/>
      <c r="BGW202" s="1056"/>
      <c r="BGX202" s="1056"/>
      <c r="BGY202" s="1056"/>
      <c r="BGZ202" s="1056"/>
      <c r="BHA202" s="1056"/>
      <c r="BHB202" s="1056"/>
      <c r="BHC202" s="1056"/>
      <c r="BHD202" s="1056"/>
      <c r="BHE202" s="1056"/>
      <c r="BHF202" s="1056"/>
      <c r="BHG202" s="1056"/>
      <c r="BHH202" s="1056"/>
      <c r="BHI202" s="1056"/>
      <c r="BHJ202" s="1056"/>
      <c r="BHK202" s="1056"/>
      <c r="BHL202" s="1056"/>
      <c r="BHM202" s="1056"/>
      <c r="BHN202" s="1056"/>
      <c r="BHO202" s="1056"/>
      <c r="BHP202" s="1056"/>
      <c r="BHQ202" s="1056"/>
      <c r="BHR202" s="1056"/>
      <c r="BHS202" s="1056"/>
      <c r="BHT202" s="1056"/>
      <c r="BHU202" s="1056"/>
      <c r="BHV202" s="1056"/>
      <c r="BHW202" s="1056"/>
      <c r="BHX202" s="1056"/>
      <c r="BHY202" s="1056"/>
      <c r="BHZ202" s="1056"/>
      <c r="BIA202" s="1056"/>
      <c r="BIB202" s="1056"/>
      <c r="BIC202" s="1056"/>
      <c r="BID202" s="1056"/>
      <c r="BIE202" s="1056"/>
      <c r="BIF202" s="1056"/>
      <c r="BIG202" s="1056"/>
      <c r="BIH202" s="1056"/>
      <c r="BII202" s="1056"/>
      <c r="BIJ202" s="1056"/>
      <c r="BIK202" s="1056"/>
      <c r="BIL202" s="1056"/>
      <c r="BIM202" s="1056"/>
      <c r="BIN202" s="1056"/>
      <c r="BIO202" s="1056"/>
      <c r="BIP202" s="1056"/>
      <c r="BIQ202" s="1056"/>
      <c r="BIR202" s="1056"/>
      <c r="BIS202" s="1056"/>
      <c r="BIT202" s="1056"/>
      <c r="BIU202" s="1056"/>
      <c r="BIV202" s="1056"/>
      <c r="BIW202" s="1056"/>
      <c r="BIX202" s="1056"/>
      <c r="BIY202" s="1056"/>
      <c r="BIZ202" s="1056"/>
      <c r="BJA202" s="1056"/>
      <c r="BJB202" s="1056"/>
      <c r="BJC202" s="1056"/>
      <c r="BJD202" s="1056"/>
      <c r="BJE202" s="1056"/>
      <c r="BJF202" s="1056"/>
      <c r="BJG202" s="1056"/>
      <c r="BJH202" s="1056"/>
      <c r="BJI202" s="1056"/>
      <c r="BJJ202" s="1056"/>
      <c r="BJK202" s="1056"/>
      <c r="BJL202" s="1056"/>
      <c r="BJM202" s="1056"/>
      <c r="BJN202" s="1056"/>
      <c r="BJO202" s="1056"/>
      <c r="BJP202" s="1056"/>
      <c r="BJQ202" s="1056"/>
      <c r="BJR202" s="1056"/>
      <c r="BJS202" s="1056"/>
      <c r="BJT202" s="1056"/>
      <c r="BJU202" s="1056"/>
      <c r="BJV202" s="1056"/>
      <c r="BJW202" s="1056"/>
      <c r="BJX202" s="1056"/>
      <c r="BJY202" s="1056"/>
      <c r="BJZ202" s="1056"/>
      <c r="BKA202" s="1056"/>
      <c r="BKB202" s="1056"/>
      <c r="BKC202" s="1056"/>
      <c r="BKD202" s="1056"/>
      <c r="BKE202" s="1056"/>
      <c r="BKF202" s="1056"/>
      <c r="BKG202" s="1056"/>
      <c r="BKH202" s="1056"/>
      <c r="BKI202" s="1056"/>
      <c r="BKJ202" s="1056"/>
      <c r="BKK202" s="1056"/>
      <c r="BKL202" s="1056"/>
      <c r="BKM202" s="1056"/>
      <c r="BKN202" s="1056"/>
      <c r="BKO202" s="1056"/>
      <c r="BKP202" s="1056"/>
      <c r="BKQ202" s="1056"/>
      <c r="BKR202" s="1056"/>
      <c r="BKS202" s="1056"/>
      <c r="BKT202" s="1056"/>
      <c r="BKU202" s="1056"/>
      <c r="BKV202" s="1056"/>
      <c r="BKW202" s="1056"/>
      <c r="BKX202" s="1056"/>
      <c r="BKY202" s="1056"/>
      <c r="BKZ202" s="1056"/>
      <c r="BLA202" s="1056"/>
      <c r="BLB202" s="1056"/>
      <c r="BLC202" s="1056"/>
      <c r="BLD202" s="1056"/>
      <c r="BLE202" s="1056"/>
      <c r="BLF202" s="1056"/>
      <c r="BLG202" s="1056"/>
      <c r="BLH202" s="1056"/>
      <c r="BLI202" s="1056"/>
      <c r="BLJ202" s="1056"/>
      <c r="BLK202" s="1056"/>
      <c r="BLL202" s="1056"/>
      <c r="BLM202" s="1056"/>
      <c r="BLN202" s="1056"/>
      <c r="BLO202" s="1056"/>
      <c r="BLP202" s="1056"/>
      <c r="BLQ202" s="1056"/>
      <c r="BLR202" s="1056"/>
      <c r="BLS202" s="1056"/>
      <c r="BLT202" s="1056"/>
      <c r="BLU202" s="1056"/>
      <c r="BLV202" s="1056"/>
      <c r="BLW202" s="1056"/>
      <c r="BLX202" s="1056"/>
      <c r="BLY202" s="1056"/>
      <c r="BLZ202" s="1056"/>
      <c r="BMA202" s="1056"/>
      <c r="BMB202" s="1056"/>
      <c r="BMC202" s="1056"/>
      <c r="BMD202" s="1056"/>
      <c r="BME202" s="1056"/>
      <c r="BMF202" s="1056"/>
      <c r="BMG202" s="1056"/>
      <c r="BMH202" s="1056"/>
      <c r="BMI202" s="1056"/>
      <c r="BMJ202" s="1056"/>
      <c r="BMK202" s="1056"/>
      <c r="BML202" s="1056"/>
      <c r="BMM202" s="1056"/>
      <c r="BMN202" s="1056"/>
      <c r="BMO202" s="1056"/>
      <c r="BMP202" s="1056"/>
      <c r="BMQ202" s="1056"/>
      <c r="BMR202" s="1056"/>
      <c r="BMS202" s="1056"/>
      <c r="BMT202" s="1056"/>
      <c r="BMU202" s="1056"/>
      <c r="BMV202" s="1056"/>
      <c r="BMW202" s="1056"/>
      <c r="BMX202" s="1056"/>
      <c r="BMY202" s="1056"/>
      <c r="BMZ202" s="1056"/>
      <c r="BNA202" s="1056"/>
      <c r="BNB202" s="1056"/>
      <c r="BNC202" s="1056"/>
      <c r="BND202" s="1056"/>
      <c r="BNE202" s="1056"/>
      <c r="BNF202" s="1056"/>
      <c r="BNG202" s="1056"/>
      <c r="BNH202" s="1056"/>
      <c r="BNI202" s="1056"/>
      <c r="BNJ202" s="1056"/>
      <c r="BNK202" s="1056"/>
      <c r="BNL202" s="1056"/>
      <c r="BNM202" s="1056"/>
      <c r="BNN202" s="1056"/>
      <c r="BNO202" s="1056"/>
      <c r="BNP202" s="1056"/>
      <c r="BNQ202" s="1056"/>
      <c r="BNR202" s="1056"/>
      <c r="BNS202" s="1056"/>
      <c r="BNT202" s="1056"/>
      <c r="BNU202" s="1056"/>
      <c r="BNV202" s="1056"/>
      <c r="BNW202" s="1056"/>
      <c r="BNX202" s="1056"/>
      <c r="BNY202" s="1056"/>
      <c r="BNZ202" s="1056"/>
      <c r="BOA202" s="1056"/>
      <c r="BOB202" s="1056"/>
      <c r="BOC202" s="1056"/>
      <c r="BOD202" s="1056"/>
      <c r="BOE202" s="1056"/>
      <c r="BOF202" s="1056"/>
      <c r="BOG202" s="1056"/>
      <c r="BOH202" s="1056"/>
      <c r="BOI202" s="1056"/>
      <c r="BOJ202" s="1056"/>
      <c r="BOK202" s="1056"/>
      <c r="BOL202" s="1056"/>
      <c r="BOM202" s="1056"/>
      <c r="BON202" s="1056"/>
      <c r="BOO202" s="1056"/>
      <c r="BOP202" s="1056"/>
      <c r="BOQ202" s="1056"/>
      <c r="BOR202" s="1056"/>
      <c r="BOS202" s="1056"/>
      <c r="BOT202" s="1056"/>
      <c r="BOU202" s="1056"/>
      <c r="BOV202" s="1056"/>
      <c r="BOW202" s="1056"/>
      <c r="BOX202" s="1056"/>
      <c r="BOY202" s="1056"/>
      <c r="BOZ202" s="1056"/>
      <c r="BPA202" s="1056"/>
      <c r="BPB202" s="1056"/>
      <c r="BPC202" s="1056"/>
      <c r="BPD202" s="1056"/>
      <c r="BPE202" s="1056"/>
      <c r="BPF202" s="1056"/>
      <c r="BPG202" s="1056"/>
      <c r="BPH202" s="1056"/>
      <c r="BPI202" s="1056"/>
      <c r="BPJ202" s="1056"/>
      <c r="BPK202" s="1056"/>
      <c r="BPL202" s="1056"/>
      <c r="BPM202" s="1056"/>
      <c r="BPN202" s="1056"/>
      <c r="BPO202" s="1056"/>
      <c r="BPP202" s="1056"/>
      <c r="BPQ202" s="1056"/>
      <c r="BPR202" s="1056"/>
      <c r="BPS202" s="1056"/>
      <c r="BPT202" s="1056"/>
      <c r="BPU202" s="1056"/>
      <c r="BPV202" s="1056"/>
      <c r="BPW202" s="1056"/>
      <c r="BPX202" s="1056"/>
      <c r="BPY202" s="1056"/>
      <c r="BPZ202" s="1056"/>
      <c r="BQA202" s="1056"/>
      <c r="BQB202" s="1056"/>
      <c r="BQC202" s="1056"/>
      <c r="BQD202" s="1056"/>
      <c r="BQE202" s="1056"/>
      <c r="BQF202" s="1056"/>
      <c r="BQG202" s="1056"/>
      <c r="BQH202" s="1056"/>
      <c r="BQI202" s="1056"/>
      <c r="BQJ202" s="1056"/>
      <c r="BQK202" s="1056"/>
      <c r="BQL202" s="1056"/>
      <c r="BQM202" s="1056"/>
      <c r="BQN202" s="1056"/>
      <c r="BQO202" s="1056"/>
      <c r="BQP202" s="1056"/>
      <c r="BQQ202" s="1056"/>
      <c r="BQR202" s="1056"/>
      <c r="BQS202" s="1056"/>
      <c r="BQT202" s="1056"/>
      <c r="BQU202" s="1056"/>
      <c r="BQV202" s="1056"/>
      <c r="BQW202" s="1056"/>
      <c r="BQX202" s="1056"/>
      <c r="BQY202" s="1056"/>
      <c r="BQZ202" s="1056"/>
      <c r="BRA202" s="1056"/>
      <c r="BRB202" s="1056"/>
      <c r="BRC202" s="1056"/>
      <c r="BRD202" s="1056"/>
      <c r="BRE202" s="1056"/>
      <c r="BRF202" s="1056"/>
      <c r="BRG202" s="1056"/>
      <c r="BRH202" s="1056"/>
      <c r="BRI202" s="1056"/>
      <c r="BRJ202" s="1056"/>
      <c r="BRK202" s="1056"/>
      <c r="BRL202" s="1056"/>
      <c r="BRM202" s="1056"/>
      <c r="BRN202" s="1056"/>
      <c r="BRO202" s="1056"/>
      <c r="BRP202" s="1056"/>
      <c r="BRQ202" s="1056"/>
      <c r="BRR202" s="1056"/>
      <c r="BRS202" s="1056"/>
      <c r="BRT202" s="1056"/>
      <c r="BRU202" s="1056"/>
      <c r="BRV202" s="1056"/>
      <c r="BRW202" s="1056"/>
      <c r="BRX202" s="1056"/>
      <c r="BRY202" s="1056"/>
      <c r="BRZ202" s="1056"/>
      <c r="BSA202" s="1056"/>
      <c r="BSB202" s="1056"/>
      <c r="BSC202" s="1056"/>
      <c r="BSD202" s="1056"/>
      <c r="BSE202" s="1056"/>
      <c r="BSF202" s="1056"/>
      <c r="BSG202" s="1056"/>
      <c r="BSH202" s="1056"/>
      <c r="BSI202" s="1056"/>
      <c r="BSJ202" s="1056"/>
      <c r="BSK202" s="1056"/>
      <c r="BSL202" s="1056"/>
      <c r="BSM202" s="1056"/>
      <c r="BSN202" s="1056"/>
      <c r="BSO202" s="1056"/>
      <c r="BSP202" s="1056"/>
      <c r="BSQ202" s="1056"/>
      <c r="BSR202" s="1056"/>
      <c r="BSS202" s="1056"/>
      <c r="BST202" s="1056"/>
      <c r="BSU202" s="1056"/>
      <c r="BSV202" s="1056"/>
      <c r="BSW202" s="1056"/>
      <c r="BSX202" s="1056"/>
      <c r="BSY202" s="1056"/>
      <c r="BSZ202" s="1056"/>
      <c r="BTA202" s="1056"/>
      <c r="BTB202" s="1056"/>
      <c r="BTC202" s="1056"/>
      <c r="BTD202" s="1056"/>
      <c r="BTE202" s="1056"/>
      <c r="BTF202" s="1056"/>
      <c r="BTG202" s="1056"/>
      <c r="BTH202" s="1056"/>
      <c r="BTI202" s="1056"/>
    </row>
    <row r="203" spans="1:1881" s="1060" customFormat="1" ht="13.5" hidden="1" customHeight="1" x14ac:dyDescent="0.3">
      <c r="A203" s="1059"/>
      <c r="B203" s="843" t="s">
        <v>23</v>
      </c>
      <c r="C203" s="843"/>
      <c r="D203" s="819"/>
      <c r="E203" s="817"/>
      <c r="F203" s="848"/>
      <c r="G203" s="842"/>
      <c r="H203" s="764"/>
      <c r="I203" s="1055"/>
      <c r="J203" s="1056"/>
      <c r="K203" s="1056"/>
      <c r="L203" s="1056"/>
      <c r="M203" s="1056"/>
      <c r="N203" s="1058"/>
      <c r="O203" s="1056"/>
      <c r="P203" s="1056"/>
      <c r="Q203" s="1056"/>
      <c r="R203" s="1056"/>
      <c r="S203" s="1056"/>
      <c r="T203" s="1056"/>
      <c r="U203" s="1056"/>
      <c r="V203" s="1056"/>
      <c r="W203" s="1056"/>
      <c r="X203" s="1056"/>
      <c r="Y203" s="1056"/>
      <c r="Z203" s="1059"/>
      <c r="AA203" s="1059"/>
      <c r="AB203" s="1059"/>
      <c r="AC203" s="1059"/>
      <c r="AD203" s="1059"/>
      <c r="AE203" s="1059"/>
      <c r="AF203" s="1059"/>
      <c r="AG203" s="1059"/>
      <c r="AH203" s="1059"/>
      <c r="AI203" s="1059"/>
      <c r="AJ203" s="1059"/>
      <c r="AK203" s="1059"/>
      <c r="AL203" s="1059"/>
      <c r="AM203" s="1059"/>
      <c r="AN203" s="1059"/>
      <c r="AO203" s="1059"/>
      <c r="AP203" s="1059"/>
      <c r="AQ203" s="1059"/>
      <c r="AR203" s="1059"/>
      <c r="AS203" s="1056"/>
      <c r="AT203" s="1056"/>
      <c r="AU203" s="1056"/>
      <c r="AV203" s="1056"/>
      <c r="AW203" s="1056"/>
      <c r="AX203" s="1056"/>
      <c r="AY203" s="1056"/>
      <c r="AZ203" s="1056"/>
      <c r="BA203" s="1056"/>
      <c r="BB203" s="1056"/>
      <c r="BC203" s="1056"/>
      <c r="BD203" s="1056"/>
      <c r="BE203" s="1056"/>
      <c r="BF203" s="1056"/>
      <c r="BG203" s="1056"/>
      <c r="BH203" s="1056"/>
      <c r="BI203" s="1056"/>
      <c r="BJ203" s="1056"/>
      <c r="BK203" s="1056"/>
      <c r="BL203" s="1056"/>
      <c r="BM203" s="1056"/>
      <c r="BN203" s="1056"/>
      <c r="BO203" s="1056"/>
      <c r="BP203" s="1056"/>
      <c r="BQ203" s="1056"/>
      <c r="BR203" s="1056"/>
      <c r="BS203" s="1056"/>
      <c r="BT203" s="1056"/>
      <c r="BU203" s="1056"/>
      <c r="BV203" s="1056"/>
      <c r="BW203" s="1056"/>
      <c r="BX203" s="1056"/>
      <c r="BY203" s="1056"/>
      <c r="BZ203" s="1056"/>
      <c r="CA203" s="1056"/>
      <c r="CB203" s="1056"/>
      <c r="CC203" s="1056"/>
      <c r="CD203" s="1056"/>
      <c r="CE203" s="1056"/>
      <c r="CF203" s="1056"/>
      <c r="CG203" s="1056"/>
      <c r="CH203" s="1056"/>
      <c r="CI203" s="1056"/>
      <c r="CJ203" s="1056"/>
      <c r="CK203" s="1056"/>
      <c r="CL203" s="1056"/>
      <c r="CM203" s="1056"/>
      <c r="CN203" s="1056"/>
      <c r="CO203" s="1056"/>
      <c r="CP203" s="1056"/>
      <c r="CQ203" s="1056"/>
      <c r="CR203" s="1056"/>
      <c r="CS203" s="1056"/>
      <c r="CT203" s="1056"/>
      <c r="CU203" s="1056"/>
      <c r="CV203" s="1056"/>
      <c r="CW203" s="1056"/>
      <c r="CX203" s="1056"/>
      <c r="CY203" s="1056"/>
      <c r="CZ203" s="1056"/>
      <c r="DA203" s="1056"/>
      <c r="DB203" s="1056"/>
      <c r="DC203" s="1056"/>
      <c r="DD203" s="1056"/>
      <c r="DE203" s="1056"/>
      <c r="DF203" s="1056"/>
      <c r="DG203" s="1056"/>
      <c r="DH203" s="1056"/>
      <c r="DI203" s="1056"/>
      <c r="DJ203" s="1056"/>
      <c r="DK203" s="1056"/>
      <c r="DL203" s="1056"/>
      <c r="DM203" s="1056"/>
      <c r="DN203" s="1056"/>
      <c r="DO203" s="1056"/>
      <c r="DP203" s="1056"/>
      <c r="DQ203" s="1056"/>
      <c r="DR203" s="1056"/>
      <c r="DS203" s="1056"/>
      <c r="DT203" s="1056"/>
      <c r="DU203" s="1056"/>
      <c r="DV203" s="1056"/>
      <c r="DW203" s="1056"/>
      <c r="DX203" s="1056"/>
      <c r="DY203" s="1056"/>
      <c r="DZ203" s="1056"/>
      <c r="EA203" s="1056"/>
      <c r="EB203" s="1056"/>
      <c r="EC203" s="1056"/>
      <c r="ED203" s="1056"/>
      <c r="EE203" s="1056"/>
      <c r="EF203" s="1056"/>
      <c r="EG203" s="1056"/>
      <c r="EH203" s="1056"/>
      <c r="EI203" s="1056"/>
      <c r="EJ203" s="1056"/>
      <c r="EK203" s="1056"/>
      <c r="EL203" s="1056"/>
      <c r="EM203" s="1056"/>
      <c r="EN203" s="1056"/>
      <c r="EO203" s="1056"/>
      <c r="EP203" s="1056"/>
      <c r="EQ203" s="1056"/>
      <c r="ER203" s="1056"/>
      <c r="ES203" s="1056"/>
      <c r="ET203" s="1056"/>
      <c r="EU203" s="1056"/>
      <c r="EV203" s="1056"/>
      <c r="EW203" s="1056"/>
      <c r="EX203" s="1056"/>
      <c r="EY203" s="1056"/>
      <c r="EZ203" s="1056"/>
      <c r="FA203" s="1056"/>
      <c r="FB203" s="1056"/>
      <c r="FC203" s="1056"/>
      <c r="FD203" s="1056"/>
      <c r="FE203" s="1056"/>
      <c r="FF203" s="1056"/>
      <c r="FG203" s="1056"/>
      <c r="FH203" s="1056"/>
      <c r="FI203" s="1056"/>
      <c r="FJ203" s="1056"/>
      <c r="FK203" s="1056"/>
      <c r="FL203" s="1056"/>
      <c r="FM203" s="1056"/>
      <c r="FN203" s="1056"/>
      <c r="FO203" s="1056"/>
      <c r="FP203" s="1056"/>
      <c r="FQ203" s="1056"/>
      <c r="FR203" s="1056"/>
      <c r="FS203" s="1056"/>
      <c r="FT203" s="1056"/>
      <c r="FU203" s="1056"/>
      <c r="FV203" s="1056"/>
      <c r="FW203" s="1056"/>
      <c r="FX203" s="1056"/>
      <c r="FY203" s="1056"/>
      <c r="FZ203" s="1056"/>
      <c r="GA203" s="1056"/>
      <c r="GB203" s="1056"/>
      <c r="GC203" s="1056"/>
      <c r="GD203" s="1056"/>
      <c r="GE203" s="1056"/>
      <c r="GF203" s="1056"/>
      <c r="GG203" s="1056"/>
      <c r="GH203" s="1056"/>
      <c r="GI203" s="1056"/>
      <c r="GJ203" s="1056"/>
      <c r="GK203" s="1056"/>
      <c r="GL203" s="1056"/>
      <c r="GM203" s="1056"/>
      <c r="GN203" s="1056"/>
      <c r="GO203" s="1056"/>
      <c r="GP203" s="1056"/>
      <c r="GQ203" s="1056"/>
      <c r="GR203" s="1056"/>
      <c r="GS203" s="1056"/>
      <c r="GT203" s="1056"/>
      <c r="GU203" s="1056"/>
      <c r="GV203" s="1056"/>
      <c r="GW203" s="1056"/>
      <c r="GX203" s="1056"/>
      <c r="GY203" s="1056"/>
      <c r="GZ203" s="1056"/>
      <c r="HA203" s="1056"/>
      <c r="HB203" s="1056"/>
      <c r="HC203" s="1056"/>
      <c r="HD203" s="1056"/>
      <c r="HE203" s="1056"/>
      <c r="HF203" s="1056"/>
      <c r="HG203" s="1056"/>
      <c r="HH203" s="1056"/>
      <c r="HI203" s="1056"/>
      <c r="HJ203" s="1056"/>
      <c r="HK203" s="1056"/>
      <c r="HL203" s="1056"/>
      <c r="HM203" s="1056"/>
      <c r="HN203" s="1056"/>
      <c r="HO203" s="1056"/>
      <c r="HP203" s="1056"/>
      <c r="HQ203" s="1056"/>
      <c r="HR203" s="1056"/>
      <c r="HS203" s="1056"/>
      <c r="HT203" s="1056"/>
      <c r="HU203" s="1056"/>
      <c r="HV203" s="1056"/>
      <c r="HW203" s="1056"/>
      <c r="HX203" s="1056"/>
      <c r="HY203" s="1056"/>
      <c r="HZ203" s="1056"/>
      <c r="IA203" s="1056"/>
      <c r="IB203" s="1056"/>
      <c r="IC203" s="1056"/>
      <c r="ID203" s="1056"/>
      <c r="IE203" s="1056"/>
      <c r="IF203" s="1056"/>
      <c r="IG203" s="1056"/>
      <c r="IH203" s="1056"/>
      <c r="II203" s="1056"/>
      <c r="IJ203" s="1056"/>
      <c r="IK203" s="1056"/>
      <c r="IL203" s="1056"/>
      <c r="IM203" s="1056"/>
      <c r="IN203" s="1056"/>
      <c r="IO203" s="1056"/>
      <c r="IP203" s="1056"/>
      <c r="IQ203" s="1056"/>
      <c r="IR203" s="1056"/>
      <c r="IS203" s="1056"/>
      <c r="IT203" s="1056"/>
      <c r="IU203" s="1056"/>
      <c r="IV203" s="1056"/>
      <c r="IW203" s="1056"/>
      <c r="IX203" s="1056"/>
      <c r="IY203" s="1056"/>
      <c r="IZ203" s="1056"/>
      <c r="JA203" s="1056"/>
      <c r="JB203" s="1056"/>
      <c r="JC203" s="1056"/>
      <c r="JD203" s="1056"/>
      <c r="JE203" s="1056"/>
      <c r="JF203" s="1056"/>
      <c r="JG203" s="1056"/>
      <c r="JH203" s="1056"/>
      <c r="JI203" s="1056"/>
      <c r="JJ203" s="1056"/>
      <c r="JK203" s="1056"/>
      <c r="JL203" s="1056"/>
      <c r="JM203" s="1056"/>
      <c r="JN203" s="1056"/>
      <c r="JO203" s="1056"/>
      <c r="JP203" s="1056"/>
      <c r="JQ203" s="1056"/>
      <c r="JR203" s="1056"/>
      <c r="JS203" s="1056"/>
      <c r="JT203" s="1056"/>
      <c r="JU203" s="1056"/>
      <c r="JV203" s="1056"/>
      <c r="JW203" s="1056"/>
      <c r="JX203" s="1056"/>
      <c r="JY203" s="1056"/>
      <c r="JZ203" s="1056"/>
      <c r="KA203" s="1056"/>
      <c r="KB203" s="1056"/>
      <c r="KC203" s="1056"/>
      <c r="KD203" s="1056"/>
      <c r="KE203" s="1056"/>
      <c r="KF203" s="1056"/>
      <c r="KG203" s="1056"/>
      <c r="KH203" s="1056"/>
      <c r="KI203" s="1056"/>
      <c r="KJ203" s="1056"/>
      <c r="KK203" s="1056"/>
      <c r="KL203" s="1056"/>
      <c r="KM203" s="1056"/>
      <c r="KN203" s="1056"/>
      <c r="KO203" s="1056"/>
      <c r="KP203" s="1056"/>
      <c r="KQ203" s="1056"/>
      <c r="KR203" s="1056"/>
      <c r="KS203" s="1056"/>
      <c r="KT203" s="1056"/>
      <c r="KU203" s="1056"/>
      <c r="KV203" s="1056"/>
      <c r="KW203" s="1056"/>
      <c r="KX203" s="1056"/>
      <c r="KY203" s="1056"/>
      <c r="KZ203" s="1056"/>
      <c r="LA203" s="1056"/>
      <c r="LB203" s="1056"/>
      <c r="LC203" s="1056"/>
      <c r="LD203" s="1056"/>
      <c r="LE203" s="1056"/>
      <c r="LF203" s="1056"/>
      <c r="LG203" s="1056"/>
      <c r="LH203" s="1056"/>
      <c r="LI203" s="1056"/>
      <c r="LJ203" s="1056"/>
      <c r="LK203" s="1056"/>
      <c r="LL203" s="1056"/>
      <c r="LM203" s="1056"/>
      <c r="LN203" s="1056"/>
      <c r="LO203" s="1056"/>
      <c r="LP203" s="1056"/>
      <c r="LQ203" s="1056"/>
      <c r="LR203" s="1056"/>
      <c r="LS203" s="1056"/>
      <c r="LT203" s="1056"/>
      <c r="LU203" s="1056"/>
      <c r="LV203" s="1056"/>
      <c r="LW203" s="1056"/>
      <c r="LX203" s="1056"/>
      <c r="LY203" s="1056"/>
      <c r="LZ203" s="1056"/>
      <c r="MA203" s="1056"/>
      <c r="MB203" s="1056"/>
      <c r="MC203" s="1056"/>
      <c r="MD203" s="1056"/>
      <c r="ME203" s="1056"/>
      <c r="MF203" s="1056"/>
      <c r="MG203" s="1056"/>
      <c r="MH203" s="1056"/>
      <c r="MI203" s="1056"/>
      <c r="MJ203" s="1056"/>
      <c r="MK203" s="1056"/>
      <c r="ML203" s="1056"/>
      <c r="MM203" s="1056"/>
      <c r="MN203" s="1056"/>
      <c r="MO203" s="1056"/>
      <c r="MP203" s="1056"/>
      <c r="MQ203" s="1056"/>
      <c r="MR203" s="1056"/>
      <c r="MS203" s="1056"/>
      <c r="MT203" s="1056"/>
      <c r="MU203" s="1056"/>
      <c r="MV203" s="1056"/>
      <c r="MW203" s="1056"/>
      <c r="MX203" s="1056"/>
      <c r="MY203" s="1056"/>
      <c r="MZ203" s="1056"/>
      <c r="NA203" s="1056"/>
      <c r="NB203" s="1056"/>
      <c r="NC203" s="1056"/>
      <c r="ND203" s="1056"/>
      <c r="NE203" s="1056"/>
      <c r="NF203" s="1056"/>
      <c r="NG203" s="1056"/>
      <c r="NH203" s="1056"/>
      <c r="NI203" s="1056"/>
      <c r="NJ203" s="1056"/>
      <c r="NK203" s="1056"/>
      <c r="NL203" s="1056"/>
      <c r="NM203" s="1056"/>
      <c r="NN203" s="1056"/>
      <c r="NO203" s="1056"/>
      <c r="NP203" s="1056"/>
      <c r="NQ203" s="1056"/>
      <c r="NR203" s="1056"/>
      <c r="NS203" s="1056"/>
      <c r="NT203" s="1056"/>
      <c r="NU203" s="1056"/>
      <c r="NV203" s="1056"/>
      <c r="NW203" s="1056"/>
      <c r="NX203" s="1056"/>
      <c r="NY203" s="1056"/>
      <c r="NZ203" s="1056"/>
      <c r="OA203" s="1056"/>
      <c r="OB203" s="1056"/>
      <c r="OC203" s="1056"/>
      <c r="OD203" s="1056"/>
      <c r="OE203" s="1056"/>
      <c r="OF203" s="1056"/>
      <c r="OG203" s="1056"/>
      <c r="OH203" s="1056"/>
      <c r="OI203" s="1056"/>
      <c r="OJ203" s="1056"/>
      <c r="OK203" s="1056"/>
      <c r="OL203" s="1056"/>
      <c r="OM203" s="1056"/>
      <c r="ON203" s="1056"/>
      <c r="OO203" s="1056"/>
      <c r="OP203" s="1056"/>
      <c r="OQ203" s="1056"/>
      <c r="OR203" s="1056"/>
      <c r="OS203" s="1056"/>
      <c r="OT203" s="1056"/>
      <c r="OU203" s="1056"/>
      <c r="OV203" s="1056"/>
      <c r="OW203" s="1056"/>
      <c r="OX203" s="1056"/>
      <c r="OY203" s="1056"/>
      <c r="OZ203" s="1056"/>
      <c r="PA203" s="1056"/>
      <c r="PB203" s="1056"/>
      <c r="PC203" s="1056"/>
      <c r="PD203" s="1056"/>
      <c r="PE203" s="1056"/>
      <c r="PF203" s="1056"/>
      <c r="PG203" s="1056"/>
      <c r="PH203" s="1056"/>
      <c r="PI203" s="1056"/>
      <c r="PJ203" s="1056"/>
      <c r="PK203" s="1056"/>
      <c r="PL203" s="1056"/>
      <c r="PM203" s="1056"/>
      <c r="PN203" s="1056"/>
      <c r="PO203" s="1056"/>
      <c r="PP203" s="1056"/>
      <c r="PQ203" s="1056"/>
      <c r="PR203" s="1056"/>
      <c r="PS203" s="1056"/>
      <c r="PT203" s="1056"/>
      <c r="PU203" s="1056"/>
      <c r="PV203" s="1056"/>
      <c r="PW203" s="1056"/>
      <c r="PX203" s="1056"/>
      <c r="PY203" s="1056"/>
      <c r="PZ203" s="1056"/>
      <c r="QA203" s="1056"/>
      <c r="QB203" s="1056"/>
      <c r="QC203" s="1056"/>
      <c r="QD203" s="1056"/>
      <c r="QE203" s="1056"/>
      <c r="QF203" s="1056"/>
      <c r="QG203" s="1056"/>
      <c r="QH203" s="1056"/>
      <c r="QI203" s="1056"/>
      <c r="QJ203" s="1056"/>
      <c r="QK203" s="1056"/>
      <c r="QL203" s="1056"/>
      <c r="QM203" s="1056"/>
      <c r="QN203" s="1056"/>
      <c r="QO203" s="1056"/>
      <c r="QP203" s="1056"/>
      <c r="QQ203" s="1056"/>
      <c r="QR203" s="1056"/>
      <c r="QS203" s="1056"/>
      <c r="QT203" s="1056"/>
      <c r="QU203" s="1056"/>
      <c r="QV203" s="1056"/>
      <c r="QW203" s="1056"/>
      <c r="QX203" s="1056"/>
      <c r="QY203" s="1056"/>
      <c r="QZ203" s="1056"/>
      <c r="RA203" s="1056"/>
      <c r="RB203" s="1056"/>
      <c r="RC203" s="1056"/>
      <c r="RD203" s="1056"/>
      <c r="RE203" s="1056"/>
      <c r="RF203" s="1056"/>
      <c r="RG203" s="1056"/>
      <c r="RH203" s="1056"/>
      <c r="RI203" s="1056"/>
      <c r="RJ203" s="1056"/>
      <c r="RK203" s="1056"/>
      <c r="RL203" s="1056"/>
      <c r="RM203" s="1056"/>
      <c r="RN203" s="1056"/>
      <c r="RO203" s="1056"/>
      <c r="RP203" s="1056"/>
      <c r="RQ203" s="1056"/>
      <c r="RR203" s="1056"/>
      <c r="RS203" s="1056"/>
      <c r="RT203" s="1056"/>
      <c r="RU203" s="1056"/>
      <c r="RV203" s="1056"/>
      <c r="RW203" s="1056"/>
      <c r="RX203" s="1056"/>
      <c r="RY203" s="1056"/>
      <c r="RZ203" s="1056"/>
      <c r="SA203" s="1056"/>
      <c r="SB203" s="1056"/>
      <c r="SC203" s="1056"/>
      <c r="SD203" s="1056"/>
      <c r="SE203" s="1056"/>
      <c r="SF203" s="1056"/>
      <c r="SG203" s="1056"/>
      <c r="SH203" s="1056"/>
      <c r="SI203" s="1056"/>
      <c r="SJ203" s="1056"/>
      <c r="SK203" s="1056"/>
      <c r="SL203" s="1056"/>
      <c r="SM203" s="1056"/>
      <c r="SN203" s="1056"/>
      <c r="SO203" s="1056"/>
      <c r="SP203" s="1056"/>
      <c r="SQ203" s="1056"/>
      <c r="SR203" s="1056"/>
      <c r="SS203" s="1056"/>
      <c r="ST203" s="1056"/>
      <c r="SU203" s="1056"/>
      <c r="SV203" s="1056"/>
      <c r="SW203" s="1056"/>
      <c r="SX203" s="1056"/>
      <c r="SY203" s="1056"/>
      <c r="SZ203" s="1056"/>
      <c r="TA203" s="1056"/>
      <c r="TB203" s="1056"/>
      <c r="TC203" s="1056"/>
      <c r="TD203" s="1056"/>
      <c r="TE203" s="1056"/>
      <c r="TF203" s="1056"/>
      <c r="TG203" s="1056"/>
      <c r="TH203" s="1056"/>
      <c r="TI203" s="1056"/>
      <c r="TJ203" s="1056"/>
      <c r="TK203" s="1056"/>
      <c r="TL203" s="1056"/>
      <c r="TM203" s="1056"/>
      <c r="TN203" s="1056"/>
      <c r="TO203" s="1056"/>
      <c r="TP203" s="1056"/>
      <c r="TQ203" s="1056"/>
      <c r="TR203" s="1056"/>
      <c r="TS203" s="1056"/>
      <c r="TT203" s="1056"/>
      <c r="TU203" s="1056"/>
      <c r="TV203" s="1056"/>
      <c r="TW203" s="1056"/>
      <c r="TX203" s="1056"/>
      <c r="TY203" s="1056"/>
      <c r="TZ203" s="1056"/>
      <c r="UA203" s="1056"/>
      <c r="UB203" s="1056"/>
      <c r="UC203" s="1056"/>
      <c r="UD203" s="1056"/>
      <c r="UE203" s="1056"/>
      <c r="UF203" s="1056"/>
      <c r="UG203" s="1056"/>
      <c r="UH203" s="1056"/>
      <c r="UI203" s="1056"/>
      <c r="UJ203" s="1056"/>
      <c r="UK203" s="1056"/>
      <c r="UL203" s="1056"/>
      <c r="UM203" s="1056"/>
      <c r="UN203" s="1056"/>
      <c r="UO203" s="1056"/>
      <c r="UP203" s="1056"/>
      <c r="UQ203" s="1056"/>
      <c r="UR203" s="1056"/>
      <c r="US203" s="1056"/>
      <c r="UT203" s="1056"/>
      <c r="UU203" s="1056"/>
      <c r="UV203" s="1056"/>
      <c r="UW203" s="1056"/>
      <c r="UX203" s="1056"/>
      <c r="UY203" s="1056"/>
      <c r="UZ203" s="1056"/>
      <c r="VA203" s="1056"/>
      <c r="VB203" s="1056"/>
      <c r="VC203" s="1056"/>
      <c r="VD203" s="1056"/>
      <c r="VE203" s="1056"/>
      <c r="VF203" s="1056"/>
      <c r="VG203" s="1056"/>
      <c r="VH203" s="1056"/>
      <c r="VI203" s="1056"/>
      <c r="VJ203" s="1056"/>
      <c r="VK203" s="1056"/>
      <c r="VL203" s="1056"/>
      <c r="VM203" s="1056"/>
      <c r="VN203" s="1056"/>
      <c r="VO203" s="1056"/>
      <c r="VP203" s="1056"/>
      <c r="VQ203" s="1056"/>
      <c r="VR203" s="1056"/>
      <c r="VS203" s="1056"/>
      <c r="VT203" s="1056"/>
      <c r="VU203" s="1056"/>
      <c r="VV203" s="1056"/>
      <c r="VW203" s="1056"/>
      <c r="VX203" s="1056"/>
      <c r="VY203" s="1056"/>
      <c r="VZ203" s="1056"/>
      <c r="WA203" s="1056"/>
      <c r="WB203" s="1056"/>
      <c r="WC203" s="1056"/>
      <c r="WD203" s="1056"/>
      <c r="WE203" s="1056"/>
      <c r="WF203" s="1056"/>
      <c r="WG203" s="1056"/>
      <c r="WH203" s="1056"/>
      <c r="WI203" s="1056"/>
      <c r="WJ203" s="1056"/>
      <c r="WK203" s="1056"/>
      <c r="WL203" s="1056"/>
      <c r="WM203" s="1056"/>
      <c r="WN203" s="1056"/>
      <c r="WO203" s="1056"/>
      <c r="WP203" s="1056"/>
      <c r="WQ203" s="1056"/>
      <c r="WR203" s="1056"/>
      <c r="WS203" s="1056"/>
      <c r="WT203" s="1056"/>
      <c r="WU203" s="1056"/>
      <c r="WV203" s="1056"/>
      <c r="WW203" s="1056"/>
      <c r="WX203" s="1056"/>
      <c r="WY203" s="1056"/>
      <c r="WZ203" s="1056"/>
      <c r="XA203" s="1056"/>
      <c r="XB203" s="1056"/>
      <c r="XC203" s="1056"/>
      <c r="XD203" s="1056"/>
      <c r="XE203" s="1056"/>
      <c r="XF203" s="1056"/>
      <c r="XG203" s="1056"/>
      <c r="XH203" s="1056"/>
      <c r="XI203" s="1056"/>
      <c r="XJ203" s="1056"/>
      <c r="XK203" s="1056"/>
      <c r="XL203" s="1056"/>
      <c r="XM203" s="1056"/>
      <c r="XN203" s="1056"/>
      <c r="XO203" s="1056"/>
      <c r="XP203" s="1056"/>
      <c r="XQ203" s="1056"/>
      <c r="XR203" s="1056"/>
      <c r="XS203" s="1056"/>
      <c r="XT203" s="1056"/>
      <c r="XU203" s="1056"/>
      <c r="XV203" s="1056"/>
      <c r="XW203" s="1056"/>
      <c r="XX203" s="1056"/>
      <c r="XY203" s="1056"/>
      <c r="XZ203" s="1056"/>
      <c r="YA203" s="1056"/>
      <c r="YB203" s="1056"/>
      <c r="YC203" s="1056"/>
      <c r="YD203" s="1056"/>
      <c r="YE203" s="1056"/>
      <c r="YF203" s="1056"/>
      <c r="YG203" s="1056"/>
      <c r="YH203" s="1056"/>
      <c r="YI203" s="1056"/>
      <c r="YJ203" s="1056"/>
      <c r="YK203" s="1056"/>
      <c r="YL203" s="1056"/>
      <c r="YM203" s="1056"/>
      <c r="YN203" s="1056"/>
      <c r="YO203" s="1056"/>
      <c r="YP203" s="1056"/>
      <c r="YQ203" s="1056"/>
      <c r="YR203" s="1056"/>
      <c r="YS203" s="1056"/>
      <c r="YT203" s="1056"/>
      <c r="YU203" s="1056"/>
      <c r="YV203" s="1056"/>
      <c r="YW203" s="1056"/>
      <c r="YX203" s="1056"/>
      <c r="YY203" s="1056"/>
      <c r="YZ203" s="1056"/>
      <c r="ZA203" s="1056"/>
      <c r="ZB203" s="1056"/>
      <c r="ZC203" s="1056"/>
      <c r="ZD203" s="1056"/>
      <c r="ZE203" s="1056"/>
      <c r="ZF203" s="1056"/>
      <c r="ZG203" s="1056"/>
      <c r="ZH203" s="1056"/>
      <c r="ZI203" s="1056"/>
      <c r="ZJ203" s="1056"/>
      <c r="ZK203" s="1056"/>
      <c r="ZL203" s="1056"/>
      <c r="ZM203" s="1056"/>
      <c r="ZN203" s="1056"/>
      <c r="ZO203" s="1056"/>
      <c r="ZP203" s="1056"/>
      <c r="ZQ203" s="1056"/>
      <c r="ZR203" s="1056"/>
      <c r="ZS203" s="1056"/>
      <c r="ZT203" s="1056"/>
      <c r="ZU203" s="1056"/>
      <c r="ZV203" s="1056"/>
      <c r="ZW203" s="1056"/>
      <c r="ZX203" s="1056"/>
      <c r="ZY203" s="1056"/>
      <c r="ZZ203" s="1056"/>
      <c r="AAA203" s="1056"/>
      <c r="AAB203" s="1056"/>
      <c r="AAC203" s="1056"/>
      <c r="AAD203" s="1056"/>
      <c r="AAE203" s="1056"/>
      <c r="AAF203" s="1056"/>
      <c r="AAG203" s="1056"/>
      <c r="AAH203" s="1056"/>
      <c r="AAI203" s="1056"/>
      <c r="AAJ203" s="1056"/>
      <c r="AAK203" s="1056"/>
      <c r="AAL203" s="1056"/>
      <c r="AAM203" s="1056"/>
      <c r="AAN203" s="1056"/>
      <c r="AAO203" s="1056"/>
      <c r="AAP203" s="1056"/>
      <c r="AAQ203" s="1056"/>
      <c r="AAR203" s="1056"/>
      <c r="AAS203" s="1056"/>
      <c r="AAT203" s="1056"/>
      <c r="AAU203" s="1056"/>
      <c r="AAV203" s="1056"/>
      <c r="AAW203" s="1056"/>
      <c r="AAX203" s="1056"/>
      <c r="AAY203" s="1056"/>
      <c r="AAZ203" s="1056"/>
      <c r="ABA203" s="1056"/>
      <c r="ABB203" s="1056"/>
      <c r="ABC203" s="1056"/>
      <c r="ABD203" s="1056"/>
      <c r="ABE203" s="1056"/>
      <c r="ABF203" s="1056"/>
      <c r="ABG203" s="1056"/>
      <c r="ABH203" s="1056"/>
      <c r="ABI203" s="1056"/>
      <c r="ABJ203" s="1056"/>
      <c r="ABK203" s="1056"/>
      <c r="ABL203" s="1056"/>
      <c r="ABM203" s="1056"/>
      <c r="ABN203" s="1056"/>
      <c r="ABO203" s="1056"/>
      <c r="ABP203" s="1056"/>
      <c r="ABQ203" s="1056"/>
      <c r="ABR203" s="1056"/>
      <c r="ABS203" s="1056"/>
      <c r="ABT203" s="1056"/>
      <c r="ABU203" s="1056"/>
      <c r="ABV203" s="1056"/>
      <c r="ABW203" s="1056"/>
      <c r="ABX203" s="1056"/>
      <c r="ABY203" s="1056"/>
      <c r="ABZ203" s="1056"/>
      <c r="ACA203" s="1056"/>
      <c r="ACB203" s="1056"/>
      <c r="ACC203" s="1056"/>
      <c r="ACD203" s="1056"/>
      <c r="ACE203" s="1056"/>
      <c r="ACF203" s="1056"/>
      <c r="ACG203" s="1056"/>
      <c r="ACH203" s="1056"/>
      <c r="ACI203" s="1056"/>
      <c r="ACJ203" s="1056"/>
      <c r="ACK203" s="1056"/>
      <c r="ACL203" s="1056"/>
      <c r="ACM203" s="1056"/>
      <c r="ACN203" s="1056"/>
      <c r="ACO203" s="1056"/>
      <c r="ACP203" s="1056"/>
      <c r="ACQ203" s="1056"/>
      <c r="ACR203" s="1056"/>
      <c r="ACS203" s="1056"/>
      <c r="ACT203" s="1056"/>
      <c r="ACU203" s="1056"/>
      <c r="ACV203" s="1056"/>
      <c r="ACW203" s="1056"/>
      <c r="ACX203" s="1056"/>
      <c r="ACY203" s="1056"/>
      <c r="ACZ203" s="1056"/>
      <c r="ADA203" s="1056"/>
      <c r="ADB203" s="1056"/>
      <c r="ADC203" s="1056"/>
      <c r="ADD203" s="1056"/>
      <c r="ADE203" s="1056"/>
      <c r="ADF203" s="1056"/>
      <c r="ADG203" s="1056"/>
      <c r="ADH203" s="1056"/>
      <c r="ADI203" s="1056"/>
      <c r="ADJ203" s="1056"/>
      <c r="ADK203" s="1056"/>
      <c r="ADL203" s="1056"/>
      <c r="ADM203" s="1056"/>
      <c r="ADN203" s="1056"/>
      <c r="ADO203" s="1056"/>
      <c r="ADP203" s="1056"/>
      <c r="ADQ203" s="1056"/>
      <c r="ADR203" s="1056"/>
      <c r="ADS203" s="1056"/>
      <c r="ADT203" s="1056"/>
      <c r="ADU203" s="1056"/>
      <c r="ADV203" s="1056"/>
      <c r="ADW203" s="1056"/>
      <c r="ADX203" s="1056"/>
      <c r="ADY203" s="1056"/>
      <c r="ADZ203" s="1056"/>
      <c r="AEA203" s="1056"/>
      <c r="AEB203" s="1056"/>
      <c r="AEC203" s="1056"/>
      <c r="AED203" s="1056"/>
      <c r="AEE203" s="1056"/>
      <c r="AEF203" s="1056"/>
      <c r="AEG203" s="1056"/>
      <c r="AEH203" s="1056"/>
      <c r="AEI203" s="1056"/>
      <c r="AEJ203" s="1056"/>
      <c r="AEK203" s="1056"/>
      <c r="AEL203" s="1056"/>
      <c r="AEM203" s="1056"/>
      <c r="AEN203" s="1056"/>
      <c r="AEO203" s="1056"/>
      <c r="AEP203" s="1056"/>
      <c r="AEQ203" s="1056"/>
      <c r="AER203" s="1056"/>
      <c r="AES203" s="1056"/>
      <c r="AET203" s="1056"/>
      <c r="AEU203" s="1056"/>
      <c r="AEV203" s="1056"/>
      <c r="AEW203" s="1056"/>
      <c r="AEX203" s="1056"/>
      <c r="AEY203" s="1056"/>
      <c r="AEZ203" s="1056"/>
      <c r="AFA203" s="1056"/>
      <c r="AFB203" s="1056"/>
      <c r="AFC203" s="1056"/>
      <c r="AFD203" s="1056"/>
      <c r="AFE203" s="1056"/>
      <c r="AFF203" s="1056"/>
      <c r="AFG203" s="1056"/>
      <c r="AFH203" s="1056"/>
      <c r="AFI203" s="1056"/>
      <c r="AFJ203" s="1056"/>
      <c r="AFK203" s="1056"/>
      <c r="AFL203" s="1056"/>
      <c r="AFM203" s="1056"/>
      <c r="AFN203" s="1056"/>
      <c r="AFO203" s="1056"/>
      <c r="AFP203" s="1056"/>
      <c r="AFQ203" s="1056"/>
      <c r="AFR203" s="1056"/>
      <c r="AFS203" s="1056"/>
      <c r="AFT203" s="1056"/>
      <c r="AFU203" s="1056"/>
      <c r="AFV203" s="1056"/>
      <c r="AFW203" s="1056"/>
      <c r="AFX203" s="1056"/>
      <c r="AFY203" s="1056"/>
      <c r="AFZ203" s="1056"/>
      <c r="AGA203" s="1056"/>
      <c r="AGB203" s="1056"/>
      <c r="AGC203" s="1056"/>
      <c r="AGD203" s="1056"/>
      <c r="AGE203" s="1056"/>
      <c r="AGF203" s="1056"/>
      <c r="AGG203" s="1056"/>
      <c r="AGH203" s="1056"/>
      <c r="AGI203" s="1056"/>
      <c r="AGJ203" s="1056"/>
      <c r="AGK203" s="1056"/>
      <c r="AGL203" s="1056"/>
      <c r="AGM203" s="1056"/>
      <c r="AGN203" s="1056"/>
      <c r="AGO203" s="1056"/>
      <c r="AGP203" s="1056"/>
      <c r="AGQ203" s="1056"/>
      <c r="AGR203" s="1056"/>
      <c r="AGS203" s="1056"/>
      <c r="AGT203" s="1056"/>
      <c r="AGU203" s="1056"/>
      <c r="AGV203" s="1056"/>
      <c r="AGW203" s="1056"/>
      <c r="AGX203" s="1056"/>
      <c r="AGY203" s="1056"/>
      <c r="AGZ203" s="1056"/>
      <c r="AHA203" s="1056"/>
      <c r="AHB203" s="1056"/>
      <c r="AHC203" s="1056"/>
      <c r="AHD203" s="1056"/>
      <c r="AHE203" s="1056"/>
      <c r="AHF203" s="1056"/>
      <c r="AHG203" s="1056"/>
      <c r="AHH203" s="1056"/>
      <c r="AHI203" s="1056"/>
      <c r="AHJ203" s="1056"/>
      <c r="AHK203" s="1056"/>
      <c r="AHL203" s="1056"/>
      <c r="AHM203" s="1056"/>
      <c r="AHN203" s="1056"/>
      <c r="AHO203" s="1056"/>
      <c r="AHP203" s="1056"/>
      <c r="AHQ203" s="1056"/>
      <c r="AHR203" s="1056"/>
      <c r="AHS203" s="1056"/>
      <c r="AHT203" s="1056"/>
      <c r="AHU203" s="1056"/>
      <c r="AHV203" s="1056"/>
      <c r="AHW203" s="1056"/>
      <c r="AHX203" s="1056"/>
      <c r="AHY203" s="1056"/>
      <c r="AHZ203" s="1056"/>
      <c r="AIA203" s="1056"/>
      <c r="AIB203" s="1056"/>
      <c r="AIC203" s="1056"/>
      <c r="AID203" s="1056"/>
      <c r="AIE203" s="1056"/>
      <c r="AIF203" s="1056"/>
      <c r="AIG203" s="1056"/>
      <c r="AIH203" s="1056"/>
      <c r="AII203" s="1056"/>
      <c r="AIJ203" s="1056"/>
      <c r="AIK203" s="1056"/>
      <c r="AIL203" s="1056"/>
      <c r="AIM203" s="1056"/>
      <c r="AIN203" s="1056"/>
      <c r="AIO203" s="1056"/>
      <c r="AIP203" s="1056"/>
      <c r="AIQ203" s="1056"/>
      <c r="AIR203" s="1056"/>
      <c r="AIS203" s="1056"/>
      <c r="AIT203" s="1056"/>
      <c r="AIU203" s="1056"/>
      <c r="AIV203" s="1056"/>
      <c r="AIW203" s="1056"/>
      <c r="AIX203" s="1056"/>
      <c r="AIY203" s="1056"/>
      <c r="AIZ203" s="1056"/>
      <c r="AJA203" s="1056"/>
      <c r="AJB203" s="1056"/>
      <c r="AJC203" s="1056"/>
      <c r="AJD203" s="1056"/>
      <c r="AJE203" s="1056"/>
      <c r="AJF203" s="1056"/>
      <c r="AJG203" s="1056"/>
      <c r="AJH203" s="1056"/>
      <c r="AJI203" s="1056"/>
      <c r="AJJ203" s="1056"/>
      <c r="AJK203" s="1056"/>
      <c r="AJL203" s="1056"/>
      <c r="AJM203" s="1056"/>
      <c r="AJN203" s="1056"/>
      <c r="AJO203" s="1056"/>
      <c r="AJP203" s="1056"/>
      <c r="AJQ203" s="1056"/>
      <c r="AJR203" s="1056"/>
      <c r="AJS203" s="1056"/>
      <c r="AJT203" s="1056"/>
      <c r="AJU203" s="1056"/>
      <c r="AJV203" s="1056"/>
      <c r="AJW203" s="1056"/>
      <c r="AJX203" s="1056"/>
      <c r="AJY203" s="1056"/>
      <c r="AJZ203" s="1056"/>
      <c r="AKA203" s="1056"/>
      <c r="AKB203" s="1056"/>
      <c r="AKC203" s="1056"/>
      <c r="AKD203" s="1056"/>
      <c r="AKE203" s="1056"/>
      <c r="AKF203" s="1056"/>
      <c r="AKG203" s="1056"/>
      <c r="AKH203" s="1056"/>
      <c r="AKI203" s="1056"/>
      <c r="AKJ203" s="1056"/>
      <c r="AKK203" s="1056"/>
      <c r="AKL203" s="1056"/>
      <c r="AKM203" s="1056"/>
      <c r="AKN203" s="1056"/>
      <c r="AKO203" s="1056"/>
      <c r="AKP203" s="1056"/>
      <c r="AKQ203" s="1056"/>
      <c r="AKR203" s="1056"/>
      <c r="AKS203" s="1056"/>
      <c r="AKT203" s="1056"/>
      <c r="AKU203" s="1056"/>
      <c r="AKV203" s="1056"/>
      <c r="AKW203" s="1056"/>
      <c r="AKX203" s="1056"/>
      <c r="AKY203" s="1056"/>
      <c r="AKZ203" s="1056"/>
      <c r="ALA203" s="1056"/>
      <c r="ALB203" s="1056"/>
      <c r="ALC203" s="1056"/>
      <c r="ALD203" s="1056"/>
      <c r="ALE203" s="1056"/>
      <c r="ALF203" s="1056"/>
      <c r="ALG203" s="1056"/>
      <c r="ALH203" s="1056"/>
      <c r="ALI203" s="1056"/>
      <c r="ALJ203" s="1056"/>
      <c r="ALK203" s="1056"/>
      <c r="ALL203" s="1056"/>
      <c r="ALM203" s="1056"/>
      <c r="ALN203" s="1056"/>
      <c r="ALO203" s="1056"/>
      <c r="ALP203" s="1056"/>
      <c r="ALQ203" s="1056"/>
      <c r="ALR203" s="1056"/>
      <c r="ALS203" s="1056"/>
      <c r="ALT203" s="1056"/>
      <c r="ALU203" s="1056"/>
      <c r="ALV203" s="1056"/>
      <c r="ALW203" s="1056"/>
      <c r="ALX203" s="1056"/>
      <c r="ALY203" s="1056"/>
      <c r="ALZ203" s="1056"/>
      <c r="AMA203" s="1056"/>
      <c r="AMB203" s="1056"/>
      <c r="AMC203" s="1056"/>
      <c r="AMD203" s="1056"/>
      <c r="AME203" s="1056"/>
      <c r="AMF203" s="1056"/>
      <c r="AMG203" s="1056"/>
      <c r="AMH203" s="1056"/>
      <c r="AMI203" s="1056"/>
      <c r="AMJ203" s="1056"/>
      <c r="AMK203" s="1056"/>
      <c r="AML203" s="1056"/>
      <c r="AMM203" s="1056"/>
      <c r="AMN203" s="1056"/>
      <c r="AMO203" s="1056"/>
      <c r="AMP203" s="1056"/>
      <c r="AMQ203" s="1056"/>
      <c r="AMR203" s="1056"/>
      <c r="AMS203" s="1056"/>
      <c r="AMT203" s="1056"/>
      <c r="AMU203" s="1056"/>
      <c r="AMV203" s="1056"/>
      <c r="AMW203" s="1056"/>
      <c r="AMX203" s="1056"/>
      <c r="AMY203" s="1056"/>
      <c r="AMZ203" s="1056"/>
      <c r="ANA203" s="1056"/>
      <c r="ANB203" s="1056"/>
      <c r="ANC203" s="1056"/>
      <c r="AND203" s="1056"/>
      <c r="ANE203" s="1056"/>
      <c r="ANF203" s="1056"/>
      <c r="ANG203" s="1056"/>
      <c r="ANH203" s="1056"/>
      <c r="ANI203" s="1056"/>
      <c r="ANJ203" s="1056"/>
      <c r="ANK203" s="1056"/>
      <c r="ANL203" s="1056"/>
      <c r="ANM203" s="1056"/>
      <c r="ANN203" s="1056"/>
      <c r="ANO203" s="1056"/>
      <c r="ANP203" s="1056"/>
      <c r="ANQ203" s="1056"/>
      <c r="ANR203" s="1056"/>
      <c r="ANS203" s="1056"/>
      <c r="ANT203" s="1056"/>
      <c r="ANU203" s="1056"/>
      <c r="ANV203" s="1056"/>
      <c r="ANW203" s="1056"/>
      <c r="ANX203" s="1056"/>
      <c r="ANY203" s="1056"/>
      <c r="ANZ203" s="1056"/>
      <c r="AOA203" s="1056"/>
      <c r="AOB203" s="1056"/>
      <c r="AOC203" s="1056"/>
      <c r="AOD203" s="1056"/>
      <c r="AOE203" s="1056"/>
      <c r="AOF203" s="1056"/>
      <c r="AOG203" s="1056"/>
      <c r="AOH203" s="1056"/>
      <c r="AOI203" s="1056"/>
      <c r="AOJ203" s="1056"/>
      <c r="AOK203" s="1056"/>
      <c r="AOL203" s="1056"/>
      <c r="AOM203" s="1056"/>
      <c r="AON203" s="1056"/>
      <c r="AOO203" s="1056"/>
      <c r="AOP203" s="1056"/>
      <c r="AOQ203" s="1056"/>
      <c r="AOR203" s="1056"/>
      <c r="AOS203" s="1056"/>
      <c r="AOT203" s="1056"/>
      <c r="AOU203" s="1056"/>
      <c r="AOV203" s="1056"/>
      <c r="AOW203" s="1056"/>
      <c r="AOX203" s="1056"/>
      <c r="AOY203" s="1056"/>
      <c r="AOZ203" s="1056"/>
      <c r="APA203" s="1056"/>
      <c r="APB203" s="1056"/>
      <c r="APC203" s="1056"/>
      <c r="APD203" s="1056"/>
      <c r="APE203" s="1056"/>
      <c r="APF203" s="1056"/>
      <c r="APG203" s="1056"/>
      <c r="APH203" s="1056"/>
      <c r="API203" s="1056"/>
      <c r="APJ203" s="1056"/>
      <c r="APK203" s="1056"/>
      <c r="APL203" s="1056"/>
      <c r="APM203" s="1056"/>
      <c r="APN203" s="1056"/>
      <c r="APO203" s="1056"/>
      <c r="APP203" s="1056"/>
      <c r="APQ203" s="1056"/>
      <c r="APR203" s="1056"/>
      <c r="APS203" s="1056"/>
      <c r="APT203" s="1056"/>
      <c r="APU203" s="1056"/>
      <c r="APV203" s="1056"/>
      <c r="APW203" s="1056"/>
      <c r="APX203" s="1056"/>
      <c r="APY203" s="1056"/>
      <c r="APZ203" s="1056"/>
      <c r="AQA203" s="1056"/>
      <c r="AQB203" s="1056"/>
      <c r="AQC203" s="1056"/>
      <c r="AQD203" s="1056"/>
      <c r="AQE203" s="1056"/>
      <c r="AQF203" s="1056"/>
      <c r="AQG203" s="1056"/>
      <c r="AQH203" s="1056"/>
      <c r="AQI203" s="1056"/>
      <c r="AQJ203" s="1056"/>
      <c r="AQK203" s="1056"/>
      <c r="AQL203" s="1056"/>
      <c r="AQM203" s="1056"/>
      <c r="AQN203" s="1056"/>
      <c r="AQO203" s="1056"/>
      <c r="AQP203" s="1056"/>
      <c r="AQQ203" s="1056"/>
      <c r="AQR203" s="1056"/>
      <c r="AQS203" s="1056"/>
      <c r="AQT203" s="1056"/>
      <c r="AQU203" s="1056"/>
      <c r="AQV203" s="1056"/>
      <c r="AQW203" s="1056"/>
      <c r="AQX203" s="1056"/>
      <c r="AQY203" s="1056"/>
      <c r="AQZ203" s="1056"/>
      <c r="ARA203" s="1056"/>
      <c r="ARB203" s="1056"/>
      <c r="ARC203" s="1056"/>
      <c r="ARD203" s="1056"/>
      <c r="ARE203" s="1056"/>
      <c r="ARF203" s="1056"/>
      <c r="ARG203" s="1056"/>
      <c r="ARH203" s="1056"/>
      <c r="ARI203" s="1056"/>
      <c r="ARJ203" s="1056"/>
      <c r="ARK203" s="1056"/>
      <c r="ARL203" s="1056"/>
      <c r="ARM203" s="1056"/>
      <c r="ARN203" s="1056"/>
      <c r="ARO203" s="1056"/>
      <c r="ARP203" s="1056"/>
      <c r="ARQ203" s="1056"/>
      <c r="ARR203" s="1056"/>
      <c r="ARS203" s="1056"/>
      <c r="ART203" s="1056"/>
      <c r="ARU203" s="1056"/>
      <c r="ARV203" s="1056"/>
      <c r="ARW203" s="1056"/>
      <c r="ARX203" s="1056"/>
      <c r="ARY203" s="1056"/>
      <c r="ARZ203" s="1056"/>
      <c r="ASA203" s="1056"/>
      <c r="ASB203" s="1056"/>
      <c r="ASC203" s="1056"/>
      <c r="ASD203" s="1056"/>
      <c r="ASE203" s="1056"/>
      <c r="ASF203" s="1056"/>
      <c r="ASG203" s="1056"/>
      <c r="ASH203" s="1056"/>
      <c r="ASI203" s="1056"/>
      <c r="ASJ203" s="1056"/>
      <c r="ASK203" s="1056"/>
      <c r="ASL203" s="1056"/>
      <c r="ASM203" s="1056"/>
      <c r="ASN203" s="1056"/>
      <c r="ASO203" s="1056"/>
      <c r="ASP203" s="1056"/>
      <c r="ASQ203" s="1056"/>
      <c r="ASR203" s="1056"/>
      <c r="ASS203" s="1056"/>
      <c r="AST203" s="1056"/>
      <c r="ASU203" s="1056"/>
      <c r="ASV203" s="1056"/>
      <c r="ASW203" s="1056"/>
      <c r="ASX203" s="1056"/>
      <c r="ASY203" s="1056"/>
      <c r="ASZ203" s="1056"/>
      <c r="ATA203" s="1056"/>
      <c r="ATB203" s="1056"/>
      <c r="ATC203" s="1056"/>
      <c r="ATD203" s="1056"/>
      <c r="ATE203" s="1056"/>
      <c r="ATF203" s="1056"/>
      <c r="ATG203" s="1056"/>
      <c r="ATH203" s="1056"/>
      <c r="ATI203" s="1056"/>
      <c r="ATJ203" s="1056"/>
      <c r="ATK203" s="1056"/>
      <c r="ATL203" s="1056"/>
      <c r="ATM203" s="1056"/>
      <c r="ATN203" s="1056"/>
      <c r="ATO203" s="1056"/>
      <c r="ATP203" s="1056"/>
      <c r="ATQ203" s="1056"/>
      <c r="ATR203" s="1056"/>
      <c r="ATS203" s="1056"/>
      <c r="ATT203" s="1056"/>
      <c r="ATU203" s="1056"/>
      <c r="ATV203" s="1056"/>
      <c r="ATW203" s="1056"/>
      <c r="ATX203" s="1056"/>
      <c r="ATY203" s="1056"/>
      <c r="ATZ203" s="1056"/>
      <c r="AUA203" s="1056"/>
      <c r="AUB203" s="1056"/>
      <c r="AUC203" s="1056"/>
      <c r="AUD203" s="1056"/>
      <c r="AUE203" s="1056"/>
      <c r="AUF203" s="1056"/>
      <c r="AUG203" s="1056"/>
      <c r="AUH203" s="1056"/>
      <c r="AUI203" s="1056"/>
      <c r="AUJ203" s="1056"/>
      <c r="AUK203" s="1056"/>
      <c r="AUL203" s="1056"/>
      <c r="AUM203" s="1056"/>
      <c r="AUN203" s="1056"/>
      <c r="AUO203" s="1056"/>
      <c r="AUP203" s="1056"/>
      <c r="AUQ203" s="1056"/>
      <c r="AUR203" s="1056"/>
      <c r="AUS203" s="1056"/>
      <c r="AUT203" s="1056"/>
      <c r="AUU203" s="1056"/>
      <c r="AUV203" s="1056"/>
      <c r="AUW203" s="1056"/>
      <c r="AUX203" s="1056"/>
      <c r="AUY203" s="1056"/>
      <c r="AUZ203" s="1056"/>
      <c r="AVA203" s="1056"/>
      <c r="AVB203" s="1056"/>
      <c r="AVC203" s="1056"/>
      <c r="AVD203" s="1056"/>
      <c r="AVE203" s="1056"/>
      <c r="AVF203" s="1056"/>
      <c r="AVG203" s="1056"/>
      <c r="AVH203" s="1056"/>
      <c r="AVI203" s="1056"/>
      <c r="AVJ203" s="1056"/>
      <c r="AVK203" s="1056"/>
      <c r="AVL203" s="1056"/>
      <c r="AVM203" s="1056"/>
      <c r="AVN203" s="1056"/>
      <c r="AVO203" s="1056"/>
      <c r="AVP203" s="1056"/>
      <c r="AVQ203" s="1056"/>
      <c r="AVR203" s="1056"/>
      <c r="AVS203" s="1056"/>
      <c r="AVT203" s="1056"/>
      <c r="AVU203" s="1056"/>
      <c r="AVV203" s="1056"/>
      <c r="AVW203" s="1056"/>
      <c r="AVX203" s="1056"/>
      <c r="AVY203" s="1056"/>
      <c r="AVZ203" s="1056"/>
      <c r="AWA203" s="1056"/>
      <c r="AWB203" s="1056"/>
      <c r="AWC203" s="1056"/>
      <c r="AWD203" s="1056"/>
      <c r="AWE203" s="1056"/>
      <c r="AWF203" s="1056"/>
      <c r="AWG203" s="1056"/>
      <c r="AWH203" s="1056"/>
      <c r="AWI203" s="1056"/>
      <c r="AWJ203" s="1056"/>
      <c r="AWK203" s="1056"/>
      <c r="AWL203" s="1056"/>
      <c r="AWM203" s="1056"/>
      <c r="AWN203" s="1056"/>
      <c r="AWO203" s="1056"/>
      <c r="AWP203" s="1056"/>
      <c r="AWQ203" s="1056"/>
      <c r="AWR203" s="1056"/>
      <c r="AWS203" s="1056"/>
      <c r="AWT203" s="1056"/>
      <c r="AWU203" s="1056"/>
      <c r="AWV203" s="1056"/>
      <c r="AWW203" s="1056"/>
      <c r="AWX203" s="1056"/>
      <c r="AWY203" s="1056"/>
      <c r="AWZ203" s="1056"/>
      <c r="AXA203" s="1056"/>
      <c r="AXB203" s="1056"/>
      <c r="AXC203" s="1056"/>
      <c r="AXD203" s="1056"/>
      <c r="AXE203" s="1056"/>
      <c r="AXF203" s="1056"/>
      <c r="AXG203" s="1056"/>
      <c r="AXH203" s="1056"/>
      <c r="AXI203" s="1056"/>
      <c r="AXJ203" s="1056"/>
      <c r="AXK203" s="1056"/>
      <c r="AXL203" s="1056"/>
      <c r="AXM203" s="1056"/>
      <c r="AXN203" s="1056"/>
      <c r="AXO203" s="1056"/>
      <c r="AXP203" s="1056"/>
      <c r="AXQ203" s="1056"/>
      <c r="AXR203" s="1056"/>
      <c r="AXS203" s="1056"/>
      <c r="AXT203" s="1056"/>
      <c r="AXU203" s="1056"/>
      <c r="AXV203" s="1056"/>
      <c r="AXW203" s="1056"/>
      <c r="AXX203" s="1056"/>
      <c r="AXY203" s="1056"/>
      <c r="AXZ203" s="1056"/>
      <c r="AYA203" s="1056"/>
      <c r="AYB203" s="1056"/>
      <c r="AYC203" s="1056"/>
      <c r="AYD203" s="1056"/>
      <c r="AYE203" s="1056"/>
      <c r="AYF203" s="1056"/>
      <c r="AYG203" s="1056"/>
      <c r="AYH203" s="1056"/>
      <c r="AYI203" s="1056"/>
      <c r="AYJ203" s="1056"/>
      <c r="AYK203" s="1056"/>
      <c r="AYL203" s="1056"/>
      <c r="AYM203" s="1056"/>
      <c r="AYN203" s="1056"/>
      <c r="AYO203" s="1056"/>
      <c r="AYP203" s="1056"/>
      <c r="AYQ203" s="1056"/>
      <c r="AYR203" s="1056"/>
      <c r="AYS203" s="1056"/>
      <c r="AYT203" s="1056"/>
      <c r="AYU203" s="1056"/>
      <c r="AYV203" s="1056"/>
      <c r="AYW203" s="1056"/>
      <c r="AYX203" s="1056"/>
      <c r="AYY203" s="1056"/>
      <c r="AYZ203" s="1056"/>
      <c r="AZA203" s="1056"/>
      <c r="AZB203" s="1056"/>
      <c r="AZC203" s="1056"/>
      <c r="AZD203" s="1056"/>
      <c r="AZE203" s="1056"/>
      <c r="AZF203" s="1056"/>
      <c r="AZG203" s="1056"/>
      <c r="AZH203" s="1056"/>
      <c r="AZI203" s="1056"/>
      <c r="AZJ203" s="1056"/>
      <c r="AZK203" s="1056"/>
      <c r="AZL203" s="1056"/>
      <c r="AZM203" s="1056"/>
      <c r="AZN203" s="1056"/>
      <c r="AZO203" s="1056"/>
      <c r="AZP203" s="1056"/>
      <c r="AZQ203" s="1056"/>
      <c r="AZR203" s="1056"/>
      <c r="AZS203" s="1056"/>
      <c r="AZT203" s="1056"/>
      <c r="AZU203" s="1056"/>
      <c r="AZV203" s="1056"/>
      <c r="AZW203" s="1056"/>
      <c r="AZX203" s="1056"/>
      <c r="AZY203" s="1056"/>
      <c r="AZZ203" s="1056"/>
      <c r="BAA203" s="1056"/>
      <c r="BAB203" s="1056"/>
      <c r="BAC203" s="1056"/>
      <c r="BAD203" s="1056"/>
      <c r="BAE203" s="1056"/>
      <c r="BAF203" s="1056"/>
      <c r="BAG203" s="1056"/>
      <c r="BAH203" s="1056"/>
      <c r="BAI203" s="1056"/>
      <c r="BAJ203" s="1056"/>
      <c r="BAK203" s="1056"/>
      <c r="BAL203" s="1056"/>
      <c r="BAM203" s="1056"/>
      <c r="BAN203" s="1056"/>
      <c r="BAO203" s="1056"/>
      <c r="BAP203" s="1056"/>
      <c r="BAQ203" s="1056"/>
      <c r="BAR203" s="1056"/>
      <c r="BAS203" s="1056"/>
      <c r="BAT203" s="1056"/>
      <c r="BAU203" s="1056"/>
      <c r="BAV203" s="1056"/>
      <c r="BAW203" s="1056"/>
      <c r="BAX203" s="1056"/>
      <c r="BAY203" s="1056"/>
      <c r="BAZ203" s="1056"/>
      <c r="BBA203" s="1056"/>
      <c r="BBB203" s="1056"/>
      <c r="BBC203" s="1056"/>
      <c r="BBD203" s="1056"/>
      <c r="BBE203" s="1056"/>
      <c r="BBF203" s="1056"/>
      <c r="BBG203" s="1056"/>
      <c r="BBH203" s="1056"/>
      <c r="BBI203" s="1056"/>
      <c r="BBJ203" s="1056"/>
      <c r="BBK203" s="1056"/>
      <c r="BBL203" s="1056"/>
      <c r="BBM203" s="1056"/>
      <c r="BBN203" s="1056"/>
      <c r="BBO203" s="1056"/>
      <c r="BBP203" s="1056"/>
      <c r="BBQ203" s="1056"/>
      <c r="BBR203" s="1056"/>
      <c r="BBS203" s="1056"/>
      <c r="BBT203" s="1056"/>
      <c r="BBU203" s="1056"/>
      <c r="BBV203" s="1056"/>
      <c r="BBW203" s="1056"/>
      <c r="BBX203" s="1056"/>
      <c r="BBY203" s="1056"/>
      <c r="BBZ203" s="1056"/>
      <c r="BCA203" s="1056"/>
      <c r="BCB203" s="1056"/>
      <c r="BCC203" s="1056"/>
      <c r="BCD203" s="1056"/>
      <c r="BCE203" s="1056"/>
      <c r="BCF203" s="1056"/>
      <c r="BCG203" s="1056"/>
      <c r="BCH203" s="1056"/>
      <c r="BCI203" s="1056"/>
      <c r="BCJ203" s="1056"/>
      <c r="BCK203" s="1056"/>
      <c r="BCL203" s="1056"/>
      <c r="BCM203" s="1056"/>
      <c r="BCN203" s="1056"/>
      <c r="BCO203" s="1056"/>
      <c r="BCP203" s="1056"/>
      <c r="BCQ203" s="1056"/>
      <c r="BCR203" s="1056"/>
      <c r="BCS203" s="1056"/>
      <c r="BCT203" s="1056"/>
      <c r="BCU203" s="1056"/>
      <c r="BCV203" s="1056"/>
      <c r="BCW203" s="1056"/>
      <c r="BCX203" s="1056"/>
      <c r="BCY203" s="1056"/>
      <c r="BCZ203" s="1056"/>
      <c r="BDA203" s="1056"/>
      <c r="BDB203" s="1056"/>
      <c r="BDC203" s="1056"/>
      <c r="BDD203" s="1056"/>
      <c r="BDE203" s="1056"/>
      <c r="BDF203" s="1056"/>
      <c r="BDG203" s="1056"/>
      <c r="BDH203" s="1056"/>
      <c r="BDI203" s="1056"/>
      <c r="BDJ203" s="1056"/>
      <c r="BDK203" s="1056"/>
      <c r="BDL203" s="1056"/>
      <c r="BDM203" s="1056"/>
      <c r="BDN203" s="1056"/>
      <c r="BDO203" s="1056"/>
      <c r="BDP203" s="1056"/>
      <c r="BDQ203" s="1056"/>
      <c r="BDR203" s="1056"/>
      <c r="BDS203" s="1056"/>
      <c r="BDT203" s="1056"/>
      <c r="BDU203" s="1056"/>
      <c r="BDV203" s="1056"/>
      <c r="BDW203" s="1056"/>
      <c r="BDX203" s="1056"/>
      <c r="BDY203" s="1056"/>
      <c r="BDZ203" s="1056"/>
      <c r="BEA203" s="1056"/>
      <c r="BEB203" s="1056"/>
      <c r="BEC203" s="1056"/>
      <c r="BED203" s="1056"/>
      <c r="BEE203" s="1056"/>
      <c r="BEF203" s="1056"/>
      <c r="BEG203" s="1056"/>
      <c r="BEH203" s="1056"/>
      <c r="BEI203" s="1056"/>
      <c r="BEJ203" s="1056"/>
      <c r="BEK203" s="1056"/>
      <c r="BEL203" s="1056"/>
      <c r="BEM203" s="1056"/>
      <c r="BEN203" s="1056"/>
      <c r="BEO203" s="1056"/>
      <c r="BEP203" s="1056"/>
      <c r="BEQ203" s="1056"/>
      <c r="BER203" s="1056"/>
      <c r="BES203" s="1056"/>
      <c r="BET203" s="1056"/>
      <c r="BEU203" s="1056"/>
      <c r="BEV203" s="1056"/>
      <c r="BEW203" s="1056"/>
      <c r="BEX203" s="1056"/>
      <c r="BEY203" s="1056"/>
      <c r="BEZ203" s="1056"/>
      <c r="BFA203" s="1056"/>
      <c r="BFB203" s="1056"/>
      <c r="BFC203" s="1056"/>
      <c r="BFD203" s="1056"/>
      <c r="BFE203" s="1056"/>
      <c r="BFF203" s="1056"/>
      <c r="BFG203" s="1056"/>
      <c r="BFH203" s="1056"/>
      <c r="BFI203" s="1056"/>
      <c r="BFJ203" s="1056"/>
      <c r="BFK203" s="1056"/>
      <c r="BFL203" s="1056"/>
      <c r="BFM203" s="1056"/>
      <c r="BFN203" s="1056"/>
      <c r="BFO203" s="1056"/>
      <c r="BFP203" s="1056"/>
      <c r="BFQ203" s="1056"/>
      <c r="BFR203" s="1056"/>
      <c r="BFS203" s="1056"/>
      <c r="BFT203" s="1056"/>
      <c r="BFU203" s="1056"/>
      <c r="BFV203" s="1056"/>
      <c r="BFW203" s="1056"/>
      <c r="BFX203" s="1056"/>
      <c r="BFY203" s="1056"/>
      <c r="BFZ203" s="1056"/>
      <c r="BGA203" s="1056"/>
      <c r="BGB203" s="1056"/>
      <c r="BGC203" s="1056"/>
      <c r="BGD203" s="1056"/>
      <c r="BGE203" s="1056"/>
      <c r="BGF203" s="1056"/>
      <c r="BGG203" s="1056"/>
      <c r="BGH203" s="1056"/>
      <c r="BGI203" s="1056"/>
      <c r="BGJ203" s="1056"/>
      <c r="BGK203" s="1056"/>
      <c r="BGL203" s="1056"/>
      <c r="BGM203" s="1056"/>
      <c r="BGN203" s="1056"/>
      <c r="BGO203" s="1056"/>
      <c r="BGP203" s="1056"/>
      <c r="BGQ203" s="1056"/>
      <c r="BGR203" s="1056"/>
      <c r="BGS203" s="1056"/>
      <c r="BGT203" s="1056"/>
      <c r="BGU203" s="1056"/>
      <c r="BGV203" s="1056"/>
      <c r="BGW203" s="1056"/>
      <c r="BGX203" s="1056"/>
      <c r="BGY203" s="1056"/>
      <c r="BGZ203" s="1056"/>
      <c r="BHA203" s="1056"/>
      <c r="BHB203" s="1056"/>
      <c r="BHC203" s="1056"/>
      <c r="BHD203" s="1056"/>
      <c r="BHE203" s="1056"/>
      <c r="BHF203" s="1056"/>
      <c r="BHG203" s="1056"/>
      <c r="BHH203" s="1056"/>
      <c r="BHI203" s="1056"/>
      <c r="BHJ203" s="1056"/>
      <c r="BHK203" s="1056"/>
      <c r="BHL203" s="1056"/>
      <c r="BHM203" s="1056"/>
      <c r="BHN203" s="1056"/>
      <c r="BHO203" s="1056"/>
      <c r="BHP203" s="1056"/>
      <c r="BHQ203" s="1056"/>
      <c r="BHR203" s="1056"/>
      <c r="BHS203" s="1056"/>
      <c r="BHT203" s="1056"/>
      <c r="BHU203" s="1056"/>
      <c r="BHV203" s="1056"/>
      <c r="BHW203" s="1056"/>
      <c r="BHX203" s="1056"/>
      <c r="BHY203" s="1056"/>
      <c r="BHZ203" s="1056"/>
      <c r="BIA203" s="1056"/>
      <c r="BIB203" s="1056"/>
      <c r="BIC203" s="1056"/>
      <c r="BID203" s="1056"/>
      <c r="BIE203" s="1056"/>
      <c r="BIF203" s="1056"/>
      <c r="BIG203" s="1056"/>
      <c r="BIH203" s="1056"/>
      <c r="BII203" s="1056"/>
      <c r="BIJ203" s="1056"/>
      <c r="BIK203" s="1056"/>
      <c r="BIL203" s="1056"/>
      <c r="BIM203" s="1056"/>
      <c r="BIN203" s="1056"/>
      <c r="BIO203" s="1056"/>
      <c r="BIP203" s="1056"/>
      <c r="BIQ203" s="1056"/>
      <c r="BIR203" s="1056"/>
      <c r="BIS203" s="1056"/>
      <c r="BIT203" s="1056"/>
      <c r="BIU203" s="1056"/>
      <c r="BIV203" s="1056"/>
      <c r="BIW203" s="1056"/>
      <c r="BIX203" s="1056"/>
      <c r="BIY203" s="1056"/>
      <c r="BIZ203" s="1056"/>
      <c r="BJA203" s="1056"/>
      <c r="BJB203" s="1056"/>
      <c r="BJC203" s="1056"/>
      <c r="BJD203" s="1056"/>
      <c r="BJE203" s="1056"/>
      <c r="BJF203" s="1056"/>
      <c r="BJG203" s="1056"/>
      <c r="BJH203" s="1056"/>
      <c r="BJI203" s="1056"/>
      <c r="BJJ203" s="1056"/>
      <c r="BJK203" s="1056"/>
      <c r="BJL203" s="1056"/>
      <c r="BJM203" s="1056"/>
      <c r="BJN203" s="1056"/>
      <c r="BJO203" s="1056"/>
      <c r="BJP203" s="1056"/>
      <c r="BJQ203" s="1056"/>
      <c r="BJR203" s="1056"/>
      <c r="BJS203" s="1056"/>
      <c r="BJT203" s="1056"/>
      <c r="BJU203" s="1056"/>
      <c r="BJV203" s="1056"/>
      <c r="BJW203" s="1056"/>
      <c r="BJX203" s="1056"/>
      <c r="BJY203" s="1056"/>
      <c r="BJZ203" s="1056"/>
      <c r="BKA203" s="1056"/>
      <c r="BKB203" s="1056"/>
      <c r="BKC203" s="1056"/>
      <c r="BKD203" s="1056"/>
      <c r="BKE203" s="1056"/>
      <c r="BKF203" s="1056"/>
      <c r="BKG203" s="1056"/>
      <c r="BKH203" s="1056"/>
      <c r="BKI203" s="1056"/>
      <c r="BKJ203" s="1056"/>
      <c r="BKK203" s="1056"/>
      <c r="BKL203" s="1056"/>
      <c r="BKM203" s="1056"/>
      <c r="BKN203" s="1056"/>
      <c r="BKO203" s="1056"/>
      <c r="BKP203" s="1056"/>
      <c r="BKQ203" s="1056"/>
      <c r="BKR203" s="1056"/>
      <c r="BKS203" s="1056"/>
      <c r="BKT203" s="1056"/>
      <c r="BKU203" s="1056"/>
      <c r="BKV203" s="1056"/>
      <c r="BKW203" s="1056"/>
      <c r="BKX203" s="1056"/>
      <c r="BKY203" s="1056"/>
      <c r="BKZ203" s="1056"/>
      <c r="BLA203" s="1056"/>
      <c r="BLB203" s="1056"/>
      <c r="BLC203" s="1056"/>
      <c r="BLD203" s="1056"/>
      <c r="BLE203" s="1056"/>
      <c r="BLF203" s="1056"/>
      <c r="BLG203" s="1056"/>
      <c r="BLH203" s="1056"/>
      <c r="BLI203" s="1056"/>
      <c r="BLJ203" s="1056"/>
      <c r="BLK203" s="1056"/>
      <c r="BLL203" s="1056"/>
      <c r="BLM203" s="1056"/>
      <c r="BLN203" s="1056"/>
      <c r="BLO203" s="1056"/>
      <c r="BLP203" s="1056"/>
      <c r="BLQ203" s="1056"/>
      <c r="BLR203" s="1056"/>
      <c r="BLS203" s="1056"/>
      <c r="BLT203" s="1056"/>
      <c r="BLU203" s="1056"/>
      <c r="BLV203" s="1056"/>
      <c r="BLW203" s="1056"/>
      <c r="BLX203" s="1056"/>
      <c r="BLY203" s="1056"/>
      <c r="BLZ203" s="1056"/>
      <c r="BMA203" s="1056"/>
      <c r="BMB203" s="1056"/>
      <c r="BMC203" s="1056"/>
      <c r="BMD203" s="1056"/>
      <c r="BME203" s="1056"/>
      <c r="BMF203" s="1056"/>
      <c r="BMG203" s="1056"/>
      <c r="BMH203" s="1056"/>
      <c r="BMI203" s="1056"/>
      <c r="BMJ203" s="1056"/>
      <c r="BMK203" s="1056"/>
      <c r="BML203" s="1056"/>
      <c r="BMM203" s="1056"/>
      <c r="BMN203" s="1056"/>
      <c r="BMO203" s="1056"/>
      <c r="BMP203" s="1056"/>
      <c r="BMQ203" s="1056"/>
      <c r="BMR203" s="1056"/>
      <c r="BMS203" s="1056"/>
      <c r="BMT203" s="1056"/>
      <c r="BMU203" s="1056"/>
      <c r="BMV203" s="1056"/>
      <c r="BMW203" s="1056"/>
      <c r="BMX203" s="1056"/>
      <c r="BMY203" s="1056"/>
      <c r="BMZ203" s="1056"/>
      <c r="BNA203" s="1056"/>
      <c r="BNB203" s="1056"/>
      <c r="BNC203" s="1056"/>
      <c r="BND203" s="1056"/>
      <c r="BNE203" s="1056"/>
      <c r="BNF203" s="1056"/>
      <c r="BNG203" s="1056"/>
      <c r="BNH203" s="1056"/>
      <c r="BNI203" s="1056"/>
      <c r="BNJ203" s="1056"/>
      <c r="BNK203" s="1056"/>
      <c r="BNL203" s="1056"/>
      <c r="BNM203" s="1056"/>
      <c r="BNN203" s="1056"/>
      <c r="BNO203" s="1056"/>
      <c r="BNP203" s="1056"/>
      <c r="BNQ203" s="1056"/>
      <c r="BNR203" s="1056"/>
      <c r="BNS203" s="1056"/>
      <c r="BNT203" s="1056"/>
      <c r="BNU203" s="1056"/>
      <c r="BNV203" s="1056"/>
      <c r="BNW203" s="1056"/>
      <c r="BNX203" s="1056"/>
      <c r="BNY203" s="1056"/>
      <c r="BNZ203" s="1056"/>
      <c r="BOA203" s="1056"/>
      <c r="BOB203" s="1056"/>
      <c r="BOC203" s="1056"/>
      <c r="BOD203" s="1056"/>
      <c r="BOE203" s="1056"/>
      <c r="BOF203" s="1056"/>
      <c r="BOG203" s="1056"/>
      <c r="BOH203" s="1056"/>
      <c r="BOI203" s="1056"/>
      <c r="BOJ203" s="1056"/>
      <c r="BOK203" s="1056"/>
      <c r="BOL203" s="1056"/>
      <c r="BOM203" s="1056"/>
      <c r="BON203" s="1056"/>
      <c r="BOO203" s="1056"/>
      <c r="BOP203" s="1056"/>
      <c r="BOQ203" s="1056"/>
      <c r="BOR203" s="1056"/>
      <c r="BOS203" s="1056"/>
      <c r="BOT203" s="1056"/>
      <c r="BOU203" s="1056"/>
      <c r="BOV203" s="1056"/>
      <c r="BOW203" s="1056"/>
      <c r="BOX203" s="1056"/>
      <c r="BOY203" s="1056"/>
      <c r="BOZ203" s="1056"/>
      <c r="BPA203" s="1056"/>
      <c r="BPB203" s="1056"/>
      <c r="BPC203" s="1056"/>
      <c r="BPD203" s="1056"/>
      <c r="BPE203" s="1056"/>
      <c r="BPF203" s="1056"/>
      <c r="BPG203" s="1056"/>
      <c r="BPH203" s="1056"/>
      <c r="BPI203" s="1056"/>
      <c r="BPJ203" s="1056"/>
      <c r="BPK203" s="1056"/>
      <c r="BPL203" s="1056"/>
      <c r="BPM203" s="1056"/>
      <c r="BPN203" s="1056"/>
      <c r="BPO203" s="1056"/>
      <c r="BPP203" s="1056"/>
      <c r="BPQ203" s="1056"/>
      <c r="BPR203" s="1056"/>
      <c r="BPS203" s="1056"/>
      <c r="BPT203" s="1056"/>
      <c r="BPU203" s="1056"/>
      <c r="BPV203" s="1056"/>
      <c r="BPW203" s="1056"/>
      <c r="BPX203" s="1056"/>
      <c r="BPY203" s="1056"/>
      <c r="BPZ203" s="1056"/>
      <c r="BQA203" s="1056"/>
      <c r="BQB203" s="1056"/>
      <c r="BQC203" s="1056"/>
      <c r="BQD203" s="1056"/>
      <c r="BQE203" s="1056"/>
      <c r="BQF203" s="1056"/>
      <c r="BQG203" s="1056"/>
      <c r="BQH203" s="1056"/>
      <c r="BQI203" s="1056"/>
      <c r="BQJ203" s="1056"/>
      <c r="BQK203" s="1056"/>
      <c r="BQL203" s="1056"/>
      <c r="BQM203" s="1056"/>
      <c r="BQN203" s="1056"/>
      <c r="BQO203" s="1056"/>
      <c r="BQP203" s="1056"/>
      <c r="BQQ203" s="1056"/>
      <c r="BQR203" s="1056"/>
      <c r="BQS203" s="1056"/>
      <c r="BQT203" s="1056"/>
      <c r="BQU203" s="1056"/>
      <c r="BQV203" s="1056"/>
      <c r="BQW203" s="1056"/>
      <c r="BQX203" s="1056"/>
      <c r="BQY203" s="1056"/>
      <c r="BQZ203" s="1056"/>
      <c r="BRA203" s="1056"/>
      <c r="BRB203" s="1056"/>
      <c r="BRC203" s="1056"/>
      <c r="BRD203" s="1056"/>
      <c r="BRE203" s="1056"/>
      <c r="BRF203" s="1056"/>
      <c r="BRG203" s="1056"/>
      <c r="BRH203" s="1056"/>
      <c r="BRI203" s="1056"/>
      <c r="BRJ203" s="1056"/>
      <c r="BRK203" s="1056"/>
      <c r="BRL203" s="1056"/>
      <c r="BRM203" s="1056"/>
      <c r="BRN203" s="1056"/>
      <c r="BRO203" s="1056"/>
      <c r="BRP203" s="1056"/>
      <c r="BRQ203" s="1056"/>
      <c r="BRR203" s="1056"/>
      <c r="BRS203" s="1056"/>
      <c r="BRT203" s="1056"/>
      <c r="BRU203" s="1056"/>
      <c r="BRV203" s="1056"/>
      <c r="BRW203" s="1056"/>
      <c r="BRX203" s="1056"/>
      <c r="BRY203" s="1056"/>
      <c r="BRZ203" s="1056"/>
      <c r="BSA203" s="1056"/>
      <c r="BSB203" s="1056"/>
      <c r="BSC203" s="1056"/>
      <c r="BSD203" s="1056"/>
      <c r="BSE203" s="1056"/>
      <c r="BSF203" s="1056"/>
      <c r="BSG203" s="1056"/>
      <c r="BSH203" s="1056"/>
      <c r="BSI203" s="1056"/>
      <c r="BSJ203" s="1056"/>
      <c r="BSK203" s="1056"/>
      <c r="BSL203" s="1056"/>
      <c r="BSM203" s="1056"/>
      <c r="BSN203" s="1056"/>
      <c r="BSO203" s="1056"/>
      <c r="BSP203" s="1056"/>
      <c r="BSQ203" s="1056"/>
      <c r="BSR203" s="1056"/>
      <c r="BSS203" s="1056"/>
      <c r="BST203" s="1056"/>
      <c r="BSU203" s="1056"/>
      <c r="BSV203" s="1056"/>
      <c r="BSW203" s="1056"/>
      <c r="BSX203" s="1056"/>
      <c r="BSY203" s="1056"/>
      <c r="BSZ203" s="1056"/>
      <c r="BTA203" s="1056"/>
      <c r="BTB203" s="1056"/>
      <c r="BTC203" s="1056"/>
      <c r="BTD203" s="1056"/>
      <c r="BTE203" s="1056"/>
      <c r="BTF203" s="1056"/>
      <c r="BTG203" s="1056"/>
      <c r="BTH203" s="1056"/>
      <c r="BTI203" s="1056"/>
    </row>
    <row r="204" spans="1:1881" s="1060" customFormat="1" ht="59.25" hidden="1" customHeight="1" x14ac:dyDescent="0.3">
      <c r="A204" s="1059">
        <v>51</v>
      </c>
      <c r="B204" s="808" t="s">
        <v>302</v>
      </c>
      <c r="C204" s="808" t="s">
        <v>1432</v>
      </c>
      <c r="D204" s="746" t="s">
        <v>1433</v>
      </c>
      <c r="E204" s="1053" t="e">
        <f>HLOOKUP($D$2,'2020 Data(H)'!$C$1:$AI$426,38,FALSE)</f>
        <v>#N/A</v>
      </c>
      <c r="F204" s="286">
        <v>0</v>
      </c>
      <c r="G204" s="722"/>
      <c r="H204" s="764"/>
      <c r="I204" s="1055"/>
      <c r="J204" s="1056"/>
      <c r="K204" s="1056"/>
      <c r="L204" s="1056"/>
      <c r="M204" s="1056"/>
      <c r="N204" s="1058"/>
      <c r="O204" s="1056"/>
      <c r="P204" s="1056"/>
      <c r="Q204" s="1056"/>
      <c r="R204" s="1056"/>
      <c r="S204" s="1056"/>
      <c r="T204" s="1056"/>
      <c r="U204" s="1056"/>
      <c r="V204" s="1056"/>
      <c r="W204" s="1056"/>
      <c r="X204" s="1056"/>
      <c r="Y204" s="1056"/>
      <c r="Z204" s="1059"/>
      <c r="AA204" s="1059"/>
      <c r="AB204" s="1059"/>
      <c r="AC204" s="1059"/>
      <c r="AD204" s="1059"/>
      <c r="AE204" s="1059"/>
      <c r="AF204" s="1059"/>
      <c r="AG204" s="1059"/>
      <c r="AH204" s="1059"/>
      <c r="AI204" s="1059"/>
      <c r="AJ204" s="1059"/>
      <c r="AK204" s="1059"/>
      <c r="AL204" s="1059"/>
      <c r="AM204" s="1059"/>
      <c r="AN204" s="1059"/>
      <c r="AO204" s="1059"/>
      <c r="AP204" s="1059"/>
      <c r="AQ204" s="1059"/>
      <c r="AR204" s="1059"/>
      <c r="AS204" s="1056"/>
      <c r="AT204" s="1056"/>
      <c r="AU204" s="1056"/>
      <c r="AV204" s="1056"/>
      <c r="AW204" s="1056"/>
      <c r="AX204" s="1056"/>
      <c r="AY204" s="1056"/>
      <c r="AZ204" s="1056"/>
      <c r="BA204" s="1056"/>
      <c r="BB204" s="1056"/>
      <c r="BC204" s="1056"/>
      <c r="BD204" s="1056"/>
      <c r="BE204" s="1056"/>
      <c r="BF204" s="1056"/>
      <c r="BG204" s="1056"/>
      <c r="BH204" s="1056"/>
      <c r="BI204" s="1056"/>
      <c r="BJ204" s="1056"/>
      <c r="BK204" s="1056"/>
      <c r="BL204" s="1056"/>
      <c r="BM204" s="1056"/>
      <c r="BN204" s="1056"/>
      <c r="BO204" s="1056"/>
      <c r="BP204" s="1056"/>
      <c r="BQ204" s="1056"/>
      <c r="BR204" s="1056"/>
      <c r="BS204" s="1056"/>
      <c r="BT204" s="1056"/>
      <c r="BU204" s="1056"/>
      <c r="BV204" s="1056"/>
      <c r="BW204" s="1056"/>
      <c r="BX204" s="1056"/>
      <c r="BY204" s="1056"/>
      <c r="BZ204" s="1056"/>
      <c r="CA204" s="1056"/>
      <c r="CB204" s="1056"/>
      <c r="CC204" s="1056"/>
      <c r="CD204" s="1056"/>
      <c r="CE204" s="1056"/>
      <c r="CF204" s="1056"/>
      <c r="CG204" s="1056"/>
      <c r="CH204" s="1056"/>
      <c r="CI204" s="1056"/>
      <c r="CJ204" s="1056"/>
      <c r="CK204" s="1056"/>
      <c r="CL204" s="1056"/>
      <c r="CM204" s="1056"/>
      <c r="CN204" s="1056"/>
      <c r="CO204" s="1056"/>
      <c r="CP204" s="1056"/>
      <c r="CQ204" s="1056"/>
      <c r="CR204" s="1056"/>
      <c r="CS204" s="1056"/>
      <c r="CT204" s="1056"/>
      <c r="CU204" s="1056"/>
      <c r="CV204" s="1056"/>
      <c r="CW204" s="1056"/>
      <c r="CX204" s="1056"/>
      <c r="CY204" s="1056"/>
      <c r="CZ204" s="1056"/>
      <c r="DA204" s="1056"/>
      <c r="DB204" s="1056"/>
      <c r="DC204" s="1056"/>
      <c r="DD204" s="1056"/>
      <c r="DE204" s="1056"/>
      <c r="DF204" s="1056"/>
      <c r="DG204" s="1056"/>
      <c r="DH204" s="1056"/>
      <c r="DI204" s="1056"/>
      <c r="DJ204" s="1056"/>
      <c r="DK204" s="1056"/>
      <c r="DL204" s="1056"/>
      <c r="DM204" s="1056"/>
      <c r="DN204" s="1056"/>
      <c r="DO204" s="1056"/>
      <c r="DP204" s="1056"/>
      <c r="DQ204" s="1056"/>
      <c r="DR204" s="1056"/>
      <c r="DS204" s="1056"/>
      <c r="DT204" s="1056"/>
      <c r="DU204" s="1056"/>
      <c r="DV204" s="1056"/>
      <c r="DW204" s="1056"/>
      <c r="DX204" s="1056"/>
      <c r="DY204" s="1056"/>
      <c r="DZ204" s="1056"/>
      <c r="EA204" s="1056"/>
      <c r="EB204" s="1056"/>
      <c r="EC204" s="1056"/>
      <c r="ED204" s="1056"/>
      <c r="EE204" s="1056"/>
      <c r="EF204" s="1056"/>
      <c r="EG204" s="1056"/>
      <c r="EH204" s="1056"/>
      <c r="EI204" s="1056"/>
      <c r="EJ204" s="1056"/>
      <c r="EK204" s="1056"/>
      <c r="EL204" s="1056"/>
      <c r="EM204" s="1056"/>
      <c r="EN204" s="1056"/>
      <c r="EO204" s="1056"/>
      <c r="EP204" s="1056"/>
      <c r="EQ204" s="1056"/>
      <c r="ER204" s="1056"/>
      <c r="ES204" s="1056"/>
      <c r="ET204" s="1056"/>
      <c r="EU204" s="1056"/>
      <c r="EV204" s="1056"/>
      <c r="EW204" s="1056"/>
      <c r="EX204" s="1056"/>
      <c r="EY204" s="1056"/>
      <c r="EZ204" s="1056"/>
      <c r="FA204" s="1056"/>
      <c r="FB204" s="1056"/>
      <c r="FC204" s="1056"/>
      <c r="FD204" s="1056"/>
      <c r="FE204" s="1056"/>
      <c r="FF204" s="1056"/>
      <c r="FG204" s="1056"/>
      <c r="FH204" s="1056"/>
      <c r="FI204" s="1056"/>
      <c r="FJ204" s="1056"/>
      <c r="FK204" s="1056"/>
      <c r="FL204" s="1056"/>
      <c r="FM204" s="1056"/>
      <c r="FN204" s="1056"/>
      <c r="FO204" s="1056"/>
      <c r="FP204" s="1056"/>
      <c r="FQ204" s="1056"/>
      <c r="FR204" s="1056"/>
      <c r="FS204" s="1056"/>
      <c r="FT204" s="1056"/>
      <c r="FU204" s="1056"/>
      <c r="FV204" s="1056"/>
      <c r="FW204" s="1056"/>
      <c r="FX204" s="1056"/>
      <c r="FY204" s="1056"/>
      <c r="FZ204" s="1056"/>
      <c r="GA204" s="1056"/>
      <c r="GB204" s="1056"/>
      <c r="GC204" s="1056"/>
      <c r="GD204" s="1056"/>
      <c r="GE204" s="1056"/>
      <c r="GF204" s="1056"/>
      <c r="GG204" s="1056"/>
      <c r="GH204" s="1056"/>
      <c r="GI204" s="1056"/>
      <c r="GJ204" s="1056"/>
      <c r="GK204" s="1056"/>
      <c r="GL204" s="1056"/>
      <c r="GM204" s="1056"/>
      <c r="GN204" s="1056"/>
      <c r="GO204" s="1056"/>
      <c r="GP204" s="1056"/>
      <c r="GQ204" s="1056"/>
      <c r="GR204" s="1056"/>
      <c r="GS204" s="1056"/>
      <c r="GT204" s="1056"/>
      <c r="GU204" s="1056"/>
      <c r="GV204" s="1056"/>
      <c r="GW204" s="1056"/>
      <c r="GX204" s="1056"/>
      <c r="GY204" s="1056"/>
      <c r="GZ204" s="1056"/>
      <c r="HA204" s="1056"/>
      <c r="HB204" s="1056"/>
      <c r="HC204" s="1056"/>
      <c r="HD204" s="1056"/>
      <c r="HE204" s="1056"/>
      <c r="HF204" s="1056"/>
      <c r="HG204" s="1056"/>
      <c r="HH204" s="1056"/>
      <c r="HI204" s="1056"/>
      <c r="HJ204" s="1056"/>
      <c r="HK204" s="1056"/>
      <c r="HL204" s="1056"/>
      <c r="HM204" s="1056"/>
      <c r="HN204" s="1056"/>
      <c r="HO204" s="1056"/>
      <c r="HP204" s="1056"/>
      <c r="HQ204" s="1056"/>
      <c r="HR204" s="1056"/>
      <c r="HS204" s="1056"/>
      <c r="HT204" s="1056"/>
      <c r="HU204" s="1056"/>
      <c r="HV204" s="1056"/>
      <c r="HW204" s="1056"/>
      <c r="HX204" s="1056"/>
      <c r="HY204" s="1056"/>
      <c r="HZ204" s="1056"/>
      <c r="IA204" s="1056"/>
      <c r="IB204" s="1056"/>
      <c r="IC204" s="1056"/>
      <c r="ID204" s="1056"/>
      <c r="IE204" s="1056"/>
      <c r="IF204" s="1056"/>
      <c r="IG204" s="1056"/>
      <c r="IH204" s="1056"/>
      <c r="II204" s="1056"/>
      <c r="IJ204" s="1056"/>
      <c r="IK204" s="1056"/>
      <c r="IL204" s="1056"/>
      <c r="IM204" s="1056"/>
      <c r="IN204" s="1056"/>
      <c r="IO204" s="1056"/>
      <c r="IP204" s="1056"/>
      <c r="IQ204" s="1056"/>
      <c r="IR204" s="1056"/>
      <c r="IS204" s="1056"/>
      <c r="IT204" s="1056"/>
      <c r="IU204" s="1056"/>
      <c r="IV204" s="1056"/>
      <c r="IW204" s="1056"/>
      <c r="IX204" s="1056"/>
      <c r="IY204" s="1056"/>
      <c r="IZ204" s="1056"/>
      <c r="JA204" s="1056"/>
      <c r="JB204" s="1056"/>
      <c r="JC204" s="1056"/>
      <c r="JD204" s="1056"/>
      <c r="JE204" s="1056"/>
      <c r="JF204" s="1056"/>
      <c r="JG204" s="1056"/>
      <c r="JH204" s="1056"/>
      <c r="JI204" s="1056"/>
      <c r="JJ204" s="1056"/>
      <c r="JK204" s="1056"/>
      <c r="JL204" s="1056"/>
      <c r="JM204" s="1056"/>
      <c r="JN204" s="1056"/>
      <c r="JO204" s="1056"/>
      <c r="JP204" s="1056"/>
      <c r="JQ204" s="1056"/>
      <c r="JR204" s="1056"/>
      <c r="JS204" s="1056"/>
      <c r="JT204" s="1056"/>
      <c r="JU204" s="1056"/>
      <c r="JV204" s="1056"/>
      <c r="JW204" s="1056"/>
      <c r="JX204" s="1056"/>
      <c r="JY204" s="1056"/>
      <c r="JZ204" s="1056"/>
      <c r="KA204" s="1056"/>
      <c r="KB204" s="1056"/>
      <c r="KC204" s="1056"/>
      <c r="KD204" s="1056"/>
      <c r="KE204" s="1056"/>
      <c r="KF204" s="1056"/>
      <c r="KG204" s="1056"/>
      <c r="KH204" s="1056"/>
      <c r="KI204" s="1056"/>
      <c r="KJ204" s="1056"/>
      <c r="KK204" s="1056"/>
      <c r="KL204" s="1056"/>
      <c r="KM204" s="1056"/>
      <c r="KN204" s="1056"/>
      <c r="KO204" s="1056"/>
      <c r="KP204" s="1056"/>
      <c r="KQ204" s="1056"/>
      <c r="KR204" s="1056"/>
      <c r="KS204" s="1056"/>
      <c r="KT204" s="1056"/>
      <c r="KU204" s="1056"/>
      <c r="KV204" s="1056"/>
      <c r="KW204" s="1056"/>
      <c r="KX204" s="1056"/>
      <c r="KY204" s="1056"/>
      <c r="KZ204" s="1056"/>
      <c r="LA204" s="1056"/>
      <c r="LB204" s="1056"/>
      <c r="LC204" s="1056"/>
      <c r="LD204" s="1056"/>
      <c r="LE204" s="1056"/>
      <c r="LF204" s="1056"/>
      <c r="LG204" s="1056"/>
      <c r="LH204" s="1056"/>
      <c r="LI204" s="1056"/>
      <c r="LJ204" s="1056"/>
      <c r="LK204" s="1056"/>
      <c r="LL204" s="1056"/>
      <c r="LM204" s="1056"/>
      <c r="LN204" s="1056"/>
      <c r="LO204" s="1056"/>
      <c r="LP204" s="1056"/>
      <c r="LQ204" s="1056"/>
      <c r="LR204" s="1056"/>
      <c r="LS204" s="1056"/>
      <c r="LT204" s="1056"/>
      <c r="LU204" s="1056"/>
      <c r="LV204" s="1056"/>
      <c r="LW204" s="1056"/>
      <c r="LX204" s="1056"/>
      <c r="LY204" s="1056"/>
      <c r="LZ204" s="1056"/>
      <c r="MA204" s="1056"/>
      <c r="MB204" s="1056"/>
      <c r="MC204" s="1056"/>
      <c r="MD204" s="1056"/>
      <c r="ME204" s="1056"/>
      <c r="MF204" s="1056"/>
      <c r="MG204" s="1056"/>
      <c r="MH204" s="1056"/>
      <c r="MI204" s="1056"/>
      <c r="MJ204" s="1056"/>
      <c r="MK204" s="1056"/>
      <c r="ML204" s="1056"/>
      <c r="MM204" s="1056"/>
      <c r="MN204" s="1056"/>
      <c r="MO204" s="1056"/>
      <c r="MP204" s="1056"/>
      <c r="MQ204" s="1056"/>
      <c r="MR204" s="1056"/>
      <c r="MS204" s="1056"/>
      <c r="MT204" s="1056"/>
      <c r="MU204" s="1056"/>
      <c r="MV204" s="1056"/>
      <c r="MW204" s="1056"/>
      <c r="MX204" s="1056"/>
      <c r="MY204" s="1056"/>
      <c r="MZ204" s="1056"/>
      <c r="NA204" s="1056"/>
      <c r="NB204" s="1056"/>
      <c r="NC204" s="1056"/>
      <c r="ND204" s="1056"/>
      <c r="NE204" s="1056"/>
      <c r="NF204" s="1056"/>
      <c r="NG204" s="1056"/>
      <c r="NH204" s="1056"/>
      <c r="NI204" s="1056"/>
      <c r="NJ204" s="1056"/>
      <c r="NK204" s="1056"/>
      <c r="NL204" s="1056"/>
      <c r="NM204" s="1056"/>
      <c r="NN204" s="1056"/>
      <c r="NO204" s="1056"/>
      <c r="NP204" s="1056"/>
      <c r="NQ204" s="1056"/>
      <c r="NR204" s="1056"/>
      <c r="NS204" s="1056"/>
      <c r="NT204" s="1056"/>
      <c r="NU204" s="1056"/>
      <c r="NV204" s="1056"/>
      <c r="NW204" s="1056"/>
      <c r="NX204" s="1056"/>
      <c r="NY204" s="1056"/>
      <c r="NZ204" s="1056"/>
      <c r="OA204" s="1056"/>
      <c r="OB204" s="1056"/>
      <c r="OC204" s="1056"/>
      <c r="OD204" s="1056"/>
      <c r="OE204" s="1056"/>
      <c r="OF204" s="1056"/>
      <c r="OG204" s="1056"/>
      <c r="OH204" s="1056"/>
      <c r="OI204" s="1056"/>
      <c r="OJ204" s="1056"/>
      <c r="OK204" s="1056"/>
      <c r="OL204" s="1056"/>
      <c r="OM204" s="1056"/>
      <c r="ON204" s="1056"/>
      <c r="OO204" s="1056"/>
      <c r="OP204" s="1056"/>
      <c r="OQ204" s="1056"/>
      <c r="OR204" s="1056"/>
      <c r="OS204" s="1056"/>
      <c r="OT204" s="1056"/>
      <c r="OU204" s="1056"/>
      <c r="OV204" s="1056"/>
      <c r="OW204" s="1056"/>
      <c r="OX204" s="1056"/>
      <c r="OY204" s="1056"/>
      <c r="OZ204" s="1056"/>
      <c r="PA204" s="1056"/>
      <c r="PB204" s="1056"/>
      <c r="PC204" s="1056"/>
      <c r="PD204" s="1056"/>
      <c r="PE204" s="1056"/>
      <c r="PF204" s="1056"/>
      <c r="PG204" s="1056"/>
      <c r="PH204" s="1056"/>
      <c r="PI204" s="1056"/>
      <c r="PJ204" s="1056"/>
      <c r="PK204" s="1056"/>
      <c r="PL204" s="1056"/>
      <c r="PM204" s="1056"/>
      <c r="PN204" s="1056"/>
      <c r="PO204" s="1056"/>
      <c r="PP204" s="1056"/>
      <c r="PQ204" s="1056"/>
      <c r="PR204" s="1056"/>
      <c r="PS204" s="1056"/>
      <c r="PT204" s="1056"/>
      <c r="PU204" s="1056"/>
      <c r="PV204" s="1056"/>
      <c r="PW204" s="1056"/>
      <c r="PX204" s="1056"/>
      <c r="PY204" s="1056"/>
      <c r="PZ204" s="1056"/>
      <c r="QA204" s="1056"/>
      <c r="QB204" s="1056"/>
      <c r="QC204" s="1056"/>
      <c r="QD204" s="1056"/>
      <c r="QE204" s="1056"/>
      <c r="QF204" s="1056"/>
      <c r="QG204" s="1056"/>
      <c r="QH204" s="1056"/>
      <c r="QI204" s="1056"/>
      <c r="QJ204" s="1056"/>
      <c r="QK204" s="1056"/>
      <c r="QL204" s="1056"/>
      <c r="QM204" s="1056"/>
      <c r="QN204" s="1056"/>
      <c r="QO204" s="1056"/>
      <c r="QP204" s="1056"/>
      <c r="QQ204" s="1056"/>
      <c r="QR204" s="1056"/>
      <c r="QS204" s="1056"/>
      <c r="QT204" s="1056"/>
      <c r="QU204" s="1056"/>
      <c r="QV204" s="1056"/>
      <c r="QW204" s="1056"/>
      <c r="QX204" s="1056"/>
      <c r="QY204" s="1056"/>
      <c r="QZ204" s="1056"/>
      <c r="RA204" s="1056"/>
      <c r="RB204" s="1056"/>
      <c r="RC204" s="1056"/>
      <c r="RD204" s="1056"/>
      <c r="RE204" s="1056"/>
      <c r="RF204" s="1056"/>
      <c r="RG204" s="1056"/>
      <c r="RH204" s="1056"/>
      <c r="RI204" s="1056"/>
      <c r="RJ204" s="1056"/>
      <c r="RK204" s="1056"/>
      <c r="RL204" s="1056"/>
      <c r="RM204" s="1056"/>
      <c r="RN204" s="1056"/>
      <c r="RO204" s="1056"/>
      <c r="RP204" s="1056"/>
      <c r="RQ204" s="1056"/>
      <c r="RR204" s="1056"/>
      <c r="RS204" s="1056"/>
      <c r="RT204" s="1056"/>
      <c r="RU204" s="1056"/>
      <c r="RV204" s="1056"/>
      <c r="RW204" s="1056"/>
      <c r="RX204" s="1056"/>
      <c r="RY204" s="1056"/>
      <c r="RZ204" s="1056"/>
      <c r="SA204" s="1056"/>
      <c r="SB204" s="1056"/>
      <c r="SC204" s="1056"/>
      <c r="SD204" s="1056"/>
      <c r="SE204" s="1056"/>
      <c r="SF204" s="1056"/>
      <c r="SG204" s="1056"/>
      <c r="SH204" s="1056"/>
      <c r="SI204" s="1056"/>
      <c r="SJ204" s="1056"/>
      <c r="SK204" s="1056"/>
      <c r="SL204" s="1056"/>
      <c r="SM204" s="1056"/>
      <c r="SN204" s="1056"/>
      <c r="SO204" s="1056"/>
      <c r="SP204" s="1056"/>
      <c r="SQ204" s="1056"/>
      <c r="SR204" s="1056"/>
      <c r="SS204" s="1056"/>
      <c r="ST204" s="1056"/>
      <c r="SU204" s="1056"/>
      <c r="SV204" s="1056"/>
      <c r="SW204" s="1056"/>
      <c r="SX204" s="1056"/>
      <c r="SY204" s="1056"/>
      <c r="SZ204" s="1056"/>
      <c r="TA204" s="1056"/>
      <c r="TB204" s="1056"/>
      <c r="TC204" s="1056"/>
      <c r="TD204" s="1056"/>
      <c r="TE204" s="1056"/>
      <c r="TF204" s="1056"/>
      <c r="TG204" s="1056"/>
      <c r="TH204" s="1056"/>
      <c r="TI204" s="1056"/>
      <c r="TJ204" s="1056"/>
      <c r="TK204" s="1056"/>
      <c r="TL204" s="1056"/>
      <c r="TM204" s="1056"/>
      <c r="TN204" s="1056"/>
      <c r="TO204" s="1056"/>
      <c r="TP204" s="1056"/>
      <c r="TQ204" s="1056"/>
      <c r="TR204" s="1056"/>
      <c r="TS204" s="1056"/>
      <c r="TT204" s="1056"/>
      <c r="TU204" s="1056"/>
      <c r="TV204" s="1056"/>
      <c r="TW204" s="1056"/>
      <c r="TX204" s="1056"/>
      <c r="TY204" s="1056"/>
      <c r="TZ204" s="1056"/>
      <c r="UA204" s="1056"/>
      <c r="UB204" s="1056"/>
      <c r="UC204" s="1056"/>
      <c r="UD204" s="1056"/>
      <c r="UE204" s="1056"/>
      <c r="UF204" s="1056"/>
      <c r="UG204" s="1056"/>
      <c r="UH204" s="1056"/>
      <c r="UI204" s="1056"/>
      <c r="UJ204" s="1056"/>
      <c r="UK204" s="1056"/>
      <c r="UL204" s="1056"/>
      <c r="UM204" s="1056"/>
      <c r="UN204" s="1056"/>
      <c r="UO204" s="1056"/>
      <c r="UP204" s="1056"/>
      <c r="UQ204" s="1056"/>
      <c r="UR204" s="1056"/>
      <c r="US204" s="1056"/>
      <c r="UT204" s="1056"/>
      <c r="UU204" s="1056"/>
      <c r="UV204" s="1056"/>
      <c r="UW204" s="1056"/>
      <c r="UX204" s="1056"/>
      <c r="UY204" s="1056"/>
      <c r="UZ204" s="1056"/>
      <c r="VA204" s="1056"/>
      <c r="VB204" s="1056"/>
      <c r="VC204" s="1056"/>
      <c r="VD204" s="1056"/>
      <c r="VE204" s="1056"/>
      <c r="VF204" s="1056"/>
      <c r="VG204" s="1056"/>
      <c r="VH204" s="1056"/>
      <c r="VI204" s="1056"/>
      <c r="VJ204" s="1056"/>
      <c r="VK204" s="1056"/>
      <c r="VL204" s="1056"/>
      <c r="VM204" s="1056"/>
      <c r="VN204" s="1056"/>
      <c r="VO204" s="1056"/>
      <c r="VP204" s="1056"/>
      <c r="VQ204" s="1056"/>
      <c r="VR204" s="1056"/>
      <c r="VS204" s="1056"/>
      <c r="VT204" s="1056"/>
      <c r="VU204" s="1056"/>
      <c r="VV204" s="1056"/>
      <c r="VW204" s="1056"/>
      <c r="VX204" s="1056"/>
      <c r="VY204" s="1056"/>
      <c r="VZ204" s="1056"/>
      <c r="WA204" s="1056"/>
      <c r="WB204" s="1056"/>
      <c r="WC204" s="1056"/>
      <c r="WD204" s="1056"/>
      <c r="WE204" s="1056"/>
      <c r="WF204" s="1056"/>
      <c r="WG204" s="1056"/>
      <c r="WH204" s="1056"/>
      <c r="WI204" s="1056"/>
      <c r="WJ204" s="1056"/>
      <c r="WK204" s="1056"/>
      <c r="WL204" s="1056"/>
      <c r="WM204" s="1056"/>
      <c r="WN204" s="1056"/>
      <c r="WO204" s="1056"/>
      <c r="WP204" s="1056"/>
      <c r="WQ204" s="1056"/>
      <c r="WR204" s="1056"/>
      <c r="WS204" s="1056"/>
      <c r="WT204" s="1056"/>
      <c r="WU204" s="1056"/>
      <c r="WV204" s="1056"/>
      <c r="WW204" s="1056"/>
      <c r="WX204" s="1056"/>
      <c r="WY204" s="1056"/>
      <c r="WZ204" s="1056"/>
      <c r="XA204" s="1056"/>
      <c r="XB204" s="1056"/>
      <c r="XC204" s="1056"/>
      <c r="XD204" s="1056"/>
      <c r="XE204" s="1056"/>
      <c r="XF204" s="1056"/>
      <c r="XG204" s="1056"/>
      <c r="XH204" s="1056"/>
      <c r="XI204" s="1056"/>
      <c r="XJ204" s="1056"/>
      <c r="XK204" s="1056"/>
      <c r="XL204" s="1056"/>
      <c r="XM204" s="1056"/>
      <c r="XN204" s="1056"/>
      <c r="XO204" s="1056"/>
      <c r="XP204" s="1056"/>
      <c r="XQ204" s="1056"/>
      <c r="XR204" s="1056"/>
      <c r="XS204" s="1056"/>
      <c r="XT204" s="1056"/>
      <c r="XU204" s="1056"/>
      <c r="XV204" s="1056"/>
      <c r="XW204" s="1056"/>
      <c r="XX204" s="1056"/>
      <c r="XY204" s="1056"/>
      <c r="XZ204" s="1056"/>
      <c r="YA204" s="1056"/>
      <c r="YB204" s="1056"/>
      <c r="YC204" s="1056"/>
      <c r="YD204" s="1056"/>
      <c r="YE204" s="1056"/>
      <c r="YF204" s="1056"/>
      <c r="YG204" s="1056"/>
      <c r="YH204" s="1056"/>
      <c r="YI204" s="1056"/>
      <c r="YJ204" s="1056"/>
      <c r="YK204" s="1056"/>
      <c r="YL204" s="1056"/>
      <c r="YM204" s="1056"/>
      <c r="YN204" s="1056"/>
      <c r="YO204" s="1056"/>
      <c r="YP204" s="1056"/>
      <c r="YQ204" s="1056"/>
      <c r="YR204" s="1056"/>
      <c r="YS204" s="1056"/>
      <c r="YT204" s="1056"/>
      <c r="YU204" s="1056"/>
      <c r="YV204" s="1056"/>
      <c r="YW204" s="1056"/>
      <c r="YX204" s="1056"/>
      <c r="YY204" s="1056"/>
      <c r="YZ204" s="1056"/>
      <c r="ZA204" s="1056"/>
      <c r="ZB204" s="1056"/>
      <c r="ZC204" s="1056"/>
      <c r="ZD204" s="1056"/>
      <c r="ZE204" s="1056"/>
      <c r="ZF204" s="1056"/>
      <c r="ZG204" s="1056"/>
      <c r="ZH204" s="1056"/>
      <c r="ZI204" s="1056"/>
      <c r="ZJ204" s="1056"/>
      <c r="ZK204" s="1056"/>
      <c r="ZL204" s="1056"/>
      <c r="ZM204" s="1056"/>
      <c r="ZN204" s="1056"/>
      <c r="ZO204" s="1056"/>
      <c r="ZP204" s="1056"/>
      <c r="ZQ204" s="1056"/>
      <c r="ZR204" s="1056"/>
      <c r="ZS204" s="1056"/>
      <c r="ZT204" s="1056"/>
      <c r="ZU204" s="1056"/>
      <c r="ZV204" s="1056"/>
      <c r="ZW204" s="1056"/>
      <c r="ZX204" s="1056"/>
      <c r="ZY204" s="1056"/>
      <c r="ZZ204" s="1056"/>
      <c r="AAA204" s="1056"/>
      <c r="AAB204" s="1056"/>
      <c r="AAC204" s="1056"/>
      <c r="AAD204" s="1056"/>
      <c r="AAE204" s="1056"/>
      <c r="AAF204" s="1056"/>
      <c r="AAG204" s="1056"/>
      <c r="AAH204" s="1056"/>
      <c r="AAI204" s="1056"/>
      <c r="AAJ204" s="1056"/>
      <c r="AAK204" s="1056"/>
      <c r="AAL204" s="1056"/>
      <c r="AAM204" s="1056"/>
      <c r="AAN204" s="1056"/>
      <c r="AAO204" s="1056"/>
      <c r="AAP204" s="1056"/>
      <c r="AAQ204" s="1056"/>
      <c r="AAR204" s="1056"/>
      <c r="AAS204" s="1056"/>
      <c r="AAT204" s="1056"/>
      <c r="AAU204" s="1056"/>
      <c r="AAV204" s="1056"/>
      <c r="AAW204" s="1056"/>
      <c r="AAX204" s="1056"/>
      <c r="AAY204" s="1056"/>
      <c r="AAZ204" s="1056"/>
      <c r="ABA204" s="1056"/>
      <c r="ABB204" s="1056"/>
      <c r="ABC204" s="1056"/>
      <c r="ABD204" s="1056"/>
      <c r="ABE204" s="1056"/>
      <c r="ABF204" s="1056"/>
      <c r="ABG204" s="1056"/>
      <c r="ABH204" s="1056"/>
      <c r="ABI204" s="1056"/>
      <c r="ABJ204" s="1056"/>
      <c r="ABK204" s="1056"/>
      <c r="ABL204" s="1056"/>
      <c r="ABM204" s="1056"/>
      <c r="ABN204" s="1056"/>
      <c r="ABO204" s="1056"/>
      <c r="ABP204" s="1056"/>
      <c r="ABQ204" s="1056"/>
      <c r="ABR204" s="1056"/>
      <c r="ABS204" s="1056"/>
      <c r="ABT204" s="1056"/>
      <c r="ABU204" s="1056"/>
      <c r="ABV204" s="1056"/>
      <c r="ABW204" s="1056"/>
      <c r="ABX204" s="1056"/>
      <c r="ABY204" s="1056"/>
      <c r="ABZ204" s="1056"/>
      <c r="ACA204" s="1056"/>
      <c r="ACB204" s="1056"/>
      <c r="ACC204" s="1056"/>
      <c r="ACD204" s="1056"/>
      <c r="ACE204" s="1056"/>
      <c r="ACF204" s="1056"/>
      <c r="ACG204" s="1056"/>
      <c r="ACH204" s="1056"/>
      <c r="ACI204" s="1056"/>
      <c r="ACJ204" s="1056"/>
      <c r="ACK204" s="1056"/>
      <c r="ACL204" s="1056"/>
      <c r="ACM204" s="1056"/>
      <c r="ACN204" s="1056"/>
      <c r="ACO204" s="1056"/>
      <c r="ACP204" s="1056"/>
      <c r="ACQ204" s="1056"/>
      <c r="ACR204" s="1056"/>
      <c r="ACS204" s="1056"/>
      <c r="ACT204" s="1056"/>
      <c r="ACU204" s="1056"/>
      <c r="ACV204" s="1056"/>
      <c r="ACW204" s="1056"/>
      <c r="ACX204" s="1056"/>
      <c r="ACY204" s="1056"/>
      <c r="ACZ204" s="1056"/>
      <c r="ADA204" s="1056"/>
      <c r="ADB204" s="1056"/>
      <c r="ADC204" s="1056"/>
      <c r="ADD204" s="1056"/>
      <c r="ADE204" s="1056"/>
      <c r="ADF204" s="1056"/>
      <c r="ADG204" s="1056"/>
      <c r="ADH204" s="1056"/>
      <c r="ADI204" s="1056"/>
      <c r="ADJ204" s="1056"/>
      <c r="ADK204" s="1056"/>
      <c r="ADL204" s="1056"/>
      <c r="ADM204" s="1056"/>
      <c r="ADN204" s="1056"/>
      <c r="ADO204" s="1056"/>
      <c r="ADP204" s="1056"/>
      <c r="ADQ204" s="1056"/>
      <c r="ADR204" s="1056"/>
      <c r="ADS204" s="1056"/>
      <c r="ADT204" s="1056"/>
      <c r="ADU204" s="1056"/>
      <c r="ADV204" s="1056"/>
      <c r="ADW204" s="1056"/>
      <c r="ADX204" s="1056"/>
      <c r="ADY204" s="1056"/>
      <c r="ADZ204" s="1056"/>
      <c r="AEA204" s="1056"/>
      <c r="AEB204" s="1056"/>
      <c r="AEC204" s="1056"/>
      <c r="AED204" s="1056"/>
      <c r="AEE204" s="1056"/>
      <c r="AEF204" s="1056"/>
      <c r="AEG204" s="1056"/>
      <c r="AEH204" s="1056"/>
      <c r="AEI204" s="1056"/>
      <c r="AEJ204" s="1056"/>
      <c r="AEK204" s="1056"/>
      <c r="AEL204" s="1056"/>
      <c r="AEM204" s="1056"/>
      <c r="AEN204" s="1056"/>
      <c r="AEO204" s="1056"/>
      <c r="AEP204" s="1056"/>
      <c r="AEQ204" s="1056"/>
      <c r="AER204" s="1056"/>
      <c r="AES204" s="1056"/>
      <c r="AET204" s="1056"/>
      <c r="AEU204" s="1056"/>
      <c r="AEV204" s="1056"/>
      <c r="AEW204" s="1056"/>
      <c r="AEX204" s="1056"/>
      <c r="AEY204" s="1056"/>
      <c r="AEZ204" s="1056"/>
      <c r="AFA204" s="1056"/>
      <c r="AFB204" s="1056"/>
      <c r="AFC204" s="1056"/>
      <c r="AFD204" s="1056"/>
      <c r="AFE204" s="1056"/>
      <c r="AFF204" s="1056"/>
      <c r="AFG204" s="1056"/>
      <c r="AFH204" s="1056"/>
      <c r="AFI204" s="1056"/>
      <c r="AFJ204" s="1056"/>
      <c r="AFK204" s="1056"/>
      <c r="AFL204" s="1056"/>
      <c r="AFM204" s="1056"/>
      <c r="AFN204" s="1056"/>
      <c r="AFO204" s="1056"/>
      <c r="AFP204" s="1056"/>
      <c r="AFQ204" s="1056"/>
      <c r="AFR204" s="1056"/>
      <c r="AFS204" s="1056"/>
      <c r="AFT204" s="1056"/>
      <c r="AFU204" s="1056"/>
      <c r="AFV204" s="1056"/>
      <c r="AFW204" s="1056"/>
      <c r="AFX204" s="1056"/>
      <c r="AFY204" s="1056"/>
      <c r="AFZ204" s="1056"/>
      <c r="AGA204" s="1056"/>
      <c r="AGB204" s="1056"/>
      <c r="AGC204" s="1056"/>
      <c r="AGD204" s="1056"/>
      <c r="AGE204" s="1056"/>
      <c r="AGF204" s="1056"/>
      <c r="AGG204" s="1056"/>
      <c r="AGH204" s="1056"/>
      <c r="AGI204" s="1056"/>
      <c r="AGJ204" s="1056"/>
      <c r="AGK204" s="1056"/>
      <c r="AGL204" s="1056"/>
      <c r="AGM204" s="1056"/>
      <c r="AGN204" s="1056"/>
      <c r="AGO204" s="1056"/>
      <c r="AGP204" s="1056"/>
      <c r="AGQ204" s="1056"/>
      <c r="AGR204" s="1056"/>
      <c r="AGS204" s="1056"/>
      <c r="AGT204" s="1056"/>
      <c r="AGU204" s="1056"/>
      <c r="AGV204" s="1056"/>
      <c r="AGW204" s="1056"/>
      <c r="AGX204" s="1056"/>
      <c r="AGY204" s="1056"/>
      <c r="AGZ204" s="1056"/>
      <c r="AHA204" s="1056"/>
      <c r="AHB204" s="1056"/>
      <c r="AHC204" s="1056"/>
      <c r="AHD204" s="1056"/>
      <c r="AHE204" s="1056"/>
      <c r="AHF204" s="1056"/>
      <c r="AHG204" s="1056"/>
      <c r="AHH204" s="1056"/>
      <c r="AHI204" s="1056"/>
      <c r="AHJ204" s="1056"/>
      <c r="AHK204" s="1056"/>
      <c r="AHL204" s="1056"/>
      <c r="AHM204" s="1056"/>
      <c r="AHN204" s="1056"/>
      <c r="AHO204" s="1056"/>
      <c r="AHP204" s="1056"/>
      <c r="AHQ204" s="1056"/>
      <c r="AHR204" s="1056"/>
      <c r="AHS204" s="1056"/>
      <c r="AHT204" s="1056"/>
      <c r="AHU204" s="1056"/>
      <c r="AHV204" s="1056"/>
      <c r="AHW204" s="1056"/>
      <c r="AHX204" s="1056"/>
      <c r="AHY204" s="1056"/>
      <c r="AHZ204" s="1056"/>
      <c r="AIA204" s="1056"/>
      <c r="AIB204" s="1056"/>
      <c r="AIC204" s="1056"/>
      <c r="AID204" s="1056"/>
      <c r="AIE204" s="1056"/>
      <c r="AIF204" s="1056"/>
      <c r="AIG204" s="1056"/>
      <c r="AIH204" s="1056"/>
      <c r="AII204" s="1056"/>
      <c r="AIJ204" s="1056"/>
      <c r="AIK204" s="1056"/>
      <c r="AIL204" s="1056"/>
      <c r="AIM204" s="1056"/>
      <c r="AIN204" s="1056"/>
      <c r="AIO204" s="1056"/>
      <c r="AIP204" s="1056"/>
      <c r="AIQ204" s="1056"/>
      <c r="AIR204" s="1056"/>
      <c r="AIS204" s="1056"/>
      <c r="AIT204" s="1056"/>
      <c r="AIU204" s="1056"/>
      <c r="AIV204" s="1056"/>
      <c r="AIW204" s="1056"/>
      <c r="AIX204" s="1056"/>
      <c r="AIY204" s="1056"/>
      <c r="AIZ204" s="1056"/>
      <c r="AJA204" s="1056"/>
      <c r="AJB204" s="1056"/>
      <c r="AJC204" s="1056"/>
      <c r="AJD204" s="1056"/>
      <c r="AJE204" s="1056"/>
      <c r="AJF204" s="1056"/>
      <c r="AJG204" s="1056"/>
      <c r="AJH204" s="1056"/>
      <c r="AJI204" s="1056"/>
      <c r="AJJ204" s="1056"/>
      <c r="AJK204" s="1056"/>
      <c r="AJL204" s="1056"/>
      <c r="AJM204" s="1056"/>
      <c r="AJN204" s="1056"/>
      <c r="AJO204" s="1056"/>
      <c r="AJP204" s="1056"/>
      <c r="AJQ204" s="1056"/>
      <c r="AJR204" s="1056"/>
      <c r="AJS204" s="1056"/>
      <c r="AJT204" s="1056"/>
      <c r="AJU204" s="1056"/>
      <c r="AJV204" s="1056"/>
      <c r="AJW204" s="1056"/>
      <c r="AJX204" s="1056"/>
      <c r="AJY204" s="1056"/>
      <c r="AJZ204" s="1056"/>
      <c r="AKA204" s="1056"/>
      <c r="AKB204" s="1056"/>
      <c r="AKC204" s="1056"/>
      <c r="AKD204" s="1056"/>
      <c r="AKE204" s="1056"/>
      <c r="AKF204" s="1056"/>
      <c r="AKG204" s="1056"/>
      <c r="AKH204" s="1056"/>
      <c r="AKI204" s="1056"/>
      <c r="AKJ204" s="1056"/>
      <c r="AKK204" s="1056"/>
      <c r="AKL204" s="1056"/>
      <c r="AKM204" s="1056"/>
      <c r="AKN204" s="1056"/>
      <c r="AKO204" s="1056"/>
      <c r="AKP204" s="1056"/>
      <c r="AKQ204" s="1056"/>
      <c r="AKR204" s="1056"/>
      <c r="AKS204" s="1056"/>
      <c r="AKT204" s="1056"/>
      <c r="AKU204" s="1056"/>
      <c r="AKV204" s="1056"/>
      <c r="AKW204" s="1056"/>
      <c r="AKX204" s="1056"/>
      <c r="AKY204" s="1056"/>
      <c r="AKZ204" s="1056"/>
      <c r="ALA204" s="1056"/>
      <c r="ALB204" s="1056"/>
      <c r="ALC204" s="1056"/>
      <c r="ALD204" s="1056"/>
      <c r="ALE204" s="1056"/>
      <c r="ALF204" s="1056"/>
      <c r="ALG204" s="1056"/>
      <c r="ALH204" s="1056"/>
      <c r="ALI204" s="1056"/>
      <c r="ALJ204" s="1056"/>
      <c r="ALK204" s="1056"/>
      <c r="ALL204" s="1056"/>
      <c r="ALM204" s="1056"/>
      <c r="ALN204" s="1056"/>
      <c r="ALO204" s="1056"/>
      <c r="ALP204" s="1056"/>
      <c r="ALQ204" s="1056"/>
      <c r="ALR204" s="1056"/>
      <c r="ALS204" s="1056"/>
      <c r="ALT204" s="1056"/>
      <c r="ALU204" s="1056"/>
      <c r="ALV204" s="1056"/>
      <c r="ALW204" s="1056"/>
      <c r="ALX204" s="1056"/>
      <c r="ALY204" s="1056"/>
      <c r="ALZ204" s="1056"/>
      <c r="AMA204" s="1056"/>
      <c r="AMB204" s="1056"/>
      <c r="AMC204" s="1056"/>
      <c r="AMD204" s="1056"/>
      <c r="AME204" s="1056"/>
      <c r="AMF204" s="1056"/>
      <c r="AMG204" s="1056"/>
      <c r="AMH204" s="1056"/>
      <c r="AMI204" s="1056"/>
      <c r="AMJ204" s="1056"/>
      <c r="AMK204" s="1056"/>
      <c r="AML204" s="1056"/>
      <c r="AMM204" s="1056"/>
      <c r="AMN204" s="1056"/>
      <c r="AMO204" s="1056"/>
      <c r="AMP204" s="1056"/>
      <c r="AMQ204" s="1056"/>
      <c r="AMR204" s="1056"/>
      <c r="AMS204" s="1056"/>
      <c r="AMT204" s="1056"/>
      <c r="AMU204" s="1056"/>
      <c r="AMV204" s="1056"/>
      <c r="AMW204" s="1056"/>
      <c r="AMX204" s="1056"/>
      <c r="AMY204" s="1056"/>
      <c r="AMZ204" s="1056"/>
      <c r="ANA204" s="1056"/>
      <c r="ANB204" s="1056"/>
      <c r="ANC204" s="1056"/>
      <c r="AND204" s="1056"/>
      <c r="ANE204" s="1056"/>
      <c r="ANF204" s="1056"/>
      <c r="ANG204" s="1056"/>
      <c r="ANH204" s="1056"/>
      <c r="ANI204" s="1056"/>
      <c r="ANJ204" s="1056"/>
      <c r="ANK204" s="1056"/>
      <c r="ANL204" s="1056"/>
      <c r="ANM204" s="1056"/>
      <c r="ANN204" s="1056"/>
      <c r="ANO204" s="1056"/>
      <c r="ANP204" s="1056"/>
      <c r="ANQ204" s="1056"/>
      <c r="ANR204" s="1056"/>
      <c r="ANS204" s="1056"/>
      <c r="ANT204" s="1056"/>
      <c r="ANU204" s="1056"/>
      <c r="ANV204" s="1056"/>
      <c r="ANW204" s="1056"/>
      <c r="ANX204" s="1056"/>
      <c r="ANY204" s="1056"/>
      <c r="ANZ204" s="1056"/>
      <c r="AOA204" s="1056"/>
      <c r="AOB204" s="1056"/>
      <c r="AOC204" s="1056"/>
      <c r="AOD204" s="1056"/>
      <c r="AOE204" s="1056"/>
      <c r="AOF204" s="1056"/>
      <c r="AOG204" s="1056"/>
      <c r="AOH204" s="1056"/>
      <c r="AOI204" s="1056"/>
      <c r="AOJ204" s="1056"/>
      <c r="AOK204" s="1056"/>
      <c r="AOL204" s="1056"/>
      <c r="AOM204" s="1056"/>
      <c r="AON204" s="1056"/>
      <c r="AOO204" s="1056"/>
      <c r="AOP204" s="1056"/>
      <c r="AOQ204" s="1056"/>
      <c r="AOR204" s="1056"/>
      <c r="AOS204" s="1056"/>
      <c r="AOT204" s="1056"/>
      <c r="AOU204" s="1056"/>
      <c r="AOV204" s="1056"/>
      <c r="AOW204" s="1056"/>
      <c r="AOX204" s="1056"/>
      <c r="AOY204" s="1056"/>
      <c r="AOZ204" s="1056"/>
      <c r="APA204" s="1056"/>
      <c r="APB204" s="1056"/>
      <c r="APC204" s="1056"/>
      <c r="APD204" s="1056"/>
      <c r="APE204" s="1056"/>
      <c r="APF204" s="1056"/>
      <c r="APG204" s="1056"/>
      <c r="APH204" s="1056"/>
      <c r="API204" s="1056"/>
      <c r="APJ204" s="1056"/>
      <c r="APK204" s="1056"/>
      <c r="APL204" s="1056"/>
      <c r="APM204" s="1056"/>
      <c r="APN204" s="1056"/>
      <c r="APO204" s="1056"/>
      <c r="APP204" s="1056"/>
      <c r="APQ204" s="1056"/>
      <c r="APR204" s="1056"/>
      <c r="APS204" s="1056"/>
      <c r="APT204" s="1056"/>
      <c r="APU204" s="1056"/>
      <c r="APV204" s="1056"/>
      <c r="APW204" s="1056"/>
      <c r="APX204" s="1056"/>
      <c r="APY204" s="1056"/>
      <c r="APZ204" s="1056"/>
      <c r="AQA204" s="1056"/>
      <c r="AQB204" s="1056"/>
      <c r="AQC204" s="1056"/>
      <c r="AQD204" s="1056"/>
      <c r="AQE204" s="1056"/>
      <c r="AQF204" s="1056"/>
      <c r="AQG204" s="1056"/>
      <c r="AQH204" s="1056"/>
      <c r="AQI204" s="1056"/>
      <c r="AQJ204" s="1056"/>
      <c r="AQK204" s="1056"/>
      <c r="AQL204" s="1056"/>
      <c r="AQM204" s="1056"/>
      <c r="AQN204" s="1056"/>
      <c r="AQO204" s="1056"/>
      <c r="AQP204" s="1056"/>
      <c r="AQQ204" s="1056"/>
      <c r="AQR204" s="1056"/>
      <c r="AQS204" s="1056"/>
      <c r="AQT204" s="1056"/>
      <c r="AQU204" s="1056"/>
      <c r="AQV204" s="1056"/>
      <c r="AQW204" s="1056"/>
      <c r="AQX204" s="1056"/>
      <c r="AQY204" s="1056"/>
      <c r="AQZ204" s="1056"/>
      <c r="ARA204" s="1056"/>
      <c r="ARB204" s="1056"/>
      <c r="ARC204" s="1056"/>
      <c r="ARD204" s="1056"/>
      <c r="ARE204" s="1056"/>
      <c r="ARF204" s="1056"/>
      <c r="ARG204" s="1056"/>
      <c r="ARH204" s="1056"/>
      <c r="ARI204" s="1056"/>
      <c r="ARJ204" s="1056"/>
      <c r="ARK204" s="1056"/>
      <c r="ARL204" s="1056"/>
      <c r="ARM204" s="1056"/>
      <c r="ARN204" s="1056"/>
      <c r="ARO204" s="1056"/>
      <c r="ARP204" s="1056"/>
      <c r="ARQ204" s="1056"/>
      <c r="ARR204" s="1056"/>
      <c r="ARS204" s="1056"/>
      <c r="ART204" s="1056"/>
      <c r="ARU204" s="1056"/>
      <c r="ARV204" s="1056"/>
      <c r="ARW204" s="1056"/>
      <c r="ARX204" s="1056"/>
      <c r="ARY204" s="1056"/>
      <c r="ARZ204" s="1056"/>
      <c r="ASA204" s="1056"/>
      <c r="ASB204" s="1056"/>
      <c r="ASC204" s="1056"/>
      <c r="ASD204" s="1056"/>
      <c r="ASE204" s="1056"/>
      <c r="ASF204" s="1056"/>
      <c r="ASG204" s="1056"/>
      <c r="ASH204" s="1056"/>
      <c r="ASI204" s="1056"/>
      <c r="ASJ204" s="1056"/>
      <c r="ASK204" s="1056"/>
      <c r="ASL204" s="1056"/>
      <c r="ASM204" s="1056"/>
      <c r="ASN204" s="1056"/>
      <c r="ASO204" s="1056"/>
      <c r="ASP204" s="1056"/>
      <c r="ASQ204" s="1056"/>
      <c r="ASR204" s="1056"/>
      <c r="ASS204" s="1056"/>
      <c r="AST204" s="1056"/>
      <c r="ASU204" s="1056"/>
      <c r="ASV204" s="1056"/>
      <c r="ASW204" s="1056"/>
      <c r="ASX204" s="1056"/>
      <c r="ASY204" s="1056"/>
      <c r="ASZ204" s="1056"/>
      <c r="ATA204" s="1056"/>
      <c r="ATB204" s="1056"/>
      <c r="ATC204" s="1056"/>
      <c r="ATD204" s="1056"/>
      <c r="ATE204" s="1056"/>
      <c r="ATF204" s="1056"/>
      <c r="ATG204" s="1056"/>
      <c r="ATH204" s="1056"/>
      <c r="ATI204" s="1056"/>
      <c r="ATJ204" s="1056"/>
      <c r="ATK204" s="1056"/>
      <c r="ATL204" s="1056"/>
      <c r="ATM204" s="1056"/>
      <c r="ATN204" s="1056"/>
      <c r="ATO204" s="1056"/>
      <c r="ATP204" s="1056"/>
      <c r="ATQ204" s="1056"/>
      <c r="ATR204" s="1056"/>
      <c r="ATS204" s="1056"/>
      <c r="ATT204" s="1056"/>
      <c r="ATU204" s="1056"/>
      <c r="ATV204" s="1056"/>
      <c r="ATW204" s="1056"/>
      <c r="ATX204" s="1056"/>
      <c r="ATY204" s="1056"/>
      <c r="ATZ204" s="1056"/>
      <c r="AUA204" s="1056"/>
      <c r="AUB204" s="1056"/>
      <c r="AUC204" s="1056"/>
      <c r="AUD204" s="1056"/>
      <c r="AUE204" s="1056"/>
      <c r="AUF204" s="1056"/>
      <c r="AUG204" s="1056"/>
      <c r="AUH204" s="1056"/>
      <c r="AUI204" s="1056"/>
      <c r="AUJ204" s="1056"/>
      <c r="AUK204" s="1056"/>
      <c r="AUL204" s="1056"/>
      <c r="AUM204" s="1056"/>
      <c r="AUN204" s="1056"/>
      <c r="AUO204" s="1056"/>
      <c r="AUP204" s="1056"/>
      <c r="AUQ204" s="1056"/>
      <c r="AUR204" s="1056"/>
      <c r="AUS204" s="1056"/>
      <c r="AUT204" s="1056"/>
      <c r="AUU204" s="1056"/>
      <c r="AUV204" s="1056"/>
      <c r="AUW204" s="1056"/>
      <c r="AUX204" s="1056"/>
      <c r="AUY204" s="1056"/>
      <c r="AUZ204" s="1056"/>
      <c r="AVA204" s="1056"/>
      <c r="AVB204" s="1056"/>
      <c r="AVC204" s="1056"/>
      <c r="AVD204" s="1056"/>
      <c r="AVE204" s="1056"/>
      <c r="AVF204" s="1056"/>
      <c r="AVG204" s="1056"/>
      <c r="AVH204" s="1056"/>
      <c r="AVI204" s="1056"/>
      <c r="AVJ204" s="1056"/>
      <c r="AVK204" s="1056"/>
      <c r="AVL204" s="1056"/>
      <c r="AVM204" s="1056"/>
      <c r="AVN204" s="1056"/>
      <c r="AVO204" s="1056"/>
      <c r="AVP204" s="1056"/>
      <c r="AVQ204" s="1056"/>
      <c r="AVR204" s="1056"/>
      <c r="AVS204" s="1056"/>
      <c r="AVT204" s="1056"/>
      <c r="AVU204" s="1056"/>
      <c r="AVV204" s="1056"/>
      <c r="AVW204" s="1056"/>
      <c r="AVX204" s="1056"/>
      <c r="AVY204" s="1056"/>
      <c r="AVZ204" s="1056"/>
      <c r="AWA204" s="1056"/>
      <c r="AWB204" s="1056"/>
      <c r="AWC204" s="1056"/>
      <c r="AWD204" s="1056"/>
      <c r="AWE204" s="1056"/>
      <c r="AWF204" s="1056"/>
      <c r="AWG204" s="1056"/>
      <c r="AWH204" s="1056"/>
      <c r="AWI204" s="1056"/>
      <c r="AWJ204" s="1056"/>
      <c r="AWK204" s="1056"/>
      <c r="AWL204" s="1056"/>
      <c r="AWM204" s="1056"/>
      <c r="AWN204" s="1056"/>
      <c r="AWO204" s="1056"/>
      <c r="AWP204" s="1056"/>
      <c r="AWQ204" s="1056"/>
      <c r="AWR204" s="1056"/>
      <c r="AWS204" s="1056"/>
      <c r="AWT204" s="1056"/>
      <c r="AWU204" s="1056"/>
      <c r="AWV204" s="1056"/>
      <c r="AWW204" s="1056"/>
      <c r="AWX204" s="1056"/>
      <c r="AWY204" s="1056"/>
      <c r="AWZ204" s="1056"/>
      <c r="AXA204" s="1056"/>
      <c r="AXB204" s="1056"/>
      <c r="AXC204" s="1056"/>
      <c r="AXD204" s="1056"/>
      <c r="AXE204" s="1056"/>
      <c r="AXF204" s="1056"/>
      <c r="AXG204" s="1056"/>
      <c r="AXH204" s="1056"/>
      <c r="AXI204" s="1056"/>
      <c r="AXJ204" s="1056"/>
      <c r="AXK204" s="1056"/>
      <c r="AXL204" s="1056"/>
      <c r="AXM204" s="1056"/>
      <c r="AXN204" s="1056"/>
      <c r="AXO204" s="1056"/>
      <c r="AXP204" s="1056"/>
      <c r="AXQ204" s="1056"/>
      <c r="AXR204" s="1056"/>
      <c r="AXS204" s="1056"/>
      <c r="AXT204" s="1056"/>
      <c r="AXU204" s="1056"/>
      <c r="AXV204" s="1056"/>
      <c r="AXW204" s="1056"/>
      <c r="AXX204" s="1056"/>
      <c r="AXY204" s="1056"/>
      <c r="AXZ204" s="1056"/>
      <c r="AYA204" s="1056"/>
      <c r="AYB204" s="1056"/>
      <c r="AYC204" s="1056"/>
      <c r="AYD204" s="1056"/>
      <c r="AYE204" s="1056"/>
      <c r="AYF204" s="1056"/>
      <c r="AYG204" s="1056"/>
      <c r="AYH204" s="1056"/>
      <c r="AYI204" s="1056"/>
      <c r="AYJ204" s="1056"/>
      <c r="AYK204" s="1056"/>
      <c r="AYL204" s="1056"/>
      <c r="AYM204" s="1056"/>
      <c r="AYN204" s="1056"/>
      <c r="AYO204" s="1056"/>
      <c r="AYP204" s="1056"/>
      <c r="AYQ204" s="1056"/>
      <c r="AYR204" s="1056"/>
      <c r="AYS204" s="1056"/>
      <c r="AYT204" s="1056"/>
      <c r="AYU204" s="1056"/>
      <c r="AYV204" s="1056"/>
      <c r="AYW204" s="1056"/>
      <c r="AYX204" s="1056"/>
      <c r="AYY204" s="1056"/>
      <c r="AYZ204" s="1056"/>
      <c r="AZA204" s="1056"/>
      <c r="AZB204" s="1056"/>
      <c r="AZC204" s="1056"/>
      <c r="AZD204" s="1056"/>
      <c r="AZE204" s="1056"/>
      <c r="AZF204" s="1056"/>
      <c r="AZG204" s="1056"/>
      <c r="AZH204" s="1056"/>
      <c r="AZI204" s="1056"/>
      <c r="AZJ204" s="1056"/>
      <c r="AZK204" s="1056"/>
      <c r="AZL204" s="1056"/>
      <c r="AZM204" s="1056"/>
      <c r="AZN204" s="1056"/>
      <c r="AZO204" s="1056"/>
      <c r="AZP204" s="1056"/>
      <c r="AZQ204" s="1056"/>
      <c r="AZR204" s="1056"/>
      <c r="AZS204" s="1056"/>
      <c r="AZT204" s="1056"/>
      <c r="AZU204" s="1056"/>
      <c r="AZV204" s="1056"/>
      <c r="AZW204" s="1056"/>
      <c r="AZX204" s="1056"/>
      <c r="AZY204" s="1056"/>
      <c r="AZZ204" s="1056"/>
      <c r="BAA204" s="1056"/>
      <c r="BAB204" s="1056"/>
      <c r="BAC204" s="1056"/>
      <c r="BAD204" s="1056"/>
      <c r="BAE204" s="1056"/>
      <c r="BAF204" s="1056"/>
      <c r="BAG204" s="1056"/>
      <c r="BAH204" s="1056"/>
      <c r="BAI204" s="1056"/>
      <c r="BAJ204" s="1056"/>
      <c r="BAK204" s="1056"/>
      <c r="BAL204" s="1056"/>
      <c r="BAM204" s="1056"/>
      <c r="BAN204" s="1056"/>
      <c r="BAO204" s="1056"/>
      <c r="BAP204" s="1056"/>
      <c r="BAQ204" s="1056"/>
      <c r="BAR204" s="1056"/>
      <c r="BAS204" s="1056"/>
      <c r="BAT204" s="1056"/>
      <c r="BAU204" s="1056"/>
      <c r="BAV204" s="1056"/>
      <c r="BAW204" s="1056"/>
      <c r="BAX204" s="1056"/>
      <c r="BAY204" s="1056"/>
      <c r="BAZ204" s="1056"/>
      <c r="BBA204" s="1056"/>
      <c r="BBB204" s="1056"/>
      <c r="BBC204" s="1056"/>
      <c r="BBD204" s="1056"/>
      <c r="BBE204" s="1056"/>
      <c r="BBF204" s="1056"/>
      <c r="BBG204" s="1056"/>
      <c r="BBH204" s="1056"/>
      <c r="BBI204" s="1056"/>
      <c r="BBJ204" s="1056"/>
      <c r="BBK204" s="1056"/>
      <c r="BBL204" s="1056"/>
      <c r="BBM204" s="1056"/>
      <c r="BBN204" s="1056"/>
      <c r="BBO204" s="1056"/>
      <c r="BBP204" s="1056"/>
      <c r="BBQ204" s="1056"/>
      <c r="BBR204" s="1056"/>
      <c r="BBS204" s="1056"/>
      <c r="BBT204" s="1056"/>
      <c r="BBU204" s="1056"/>
      <c r="BBV204" s="1056"/>
      <c r="BBW204" s="1056"/>
      <c r="BBX204" s="1056"/>
      <c r="BBY204" s="1056"/>
      <c r="BBZ204" s="1056"/>
      <c r="BCA204" s="1056"/>
      <c r="BCB204" s="1056"/>
      <c r="BCC204" s="1056"/>
      <c r="BCD204" s="1056"/>
      <c r="BCE204" s="1056"/>
      <c r="BCF204" s="1056"/>
      <c r="BCG204" s="1056"/>
      <c r="BCH204" s="1056"/>
      <c r="BCI204" s="1056"/>
      <c r="BCJ204" s="1056"/>
      <c r="BCK204" s="1056"/>
      <c r="BCL204" s="1056"/>
      <c r="BCM204" s="1056"/>
      <c r="BCN204" s="1056"/>
      <c r="BCO204" s="1056"/>
      <c r="BCP204" s="1056"/>
      <c r="BCQ204" s="1056"/>
      <c r="BCR204" s="1056"/>
      <c r="BCS204" s="1056"/>
      <c r="BCT204" s="1056"/>
      <c r="BCU204" s="1056"/>
      <c r="BCV204" s="1056"/>
      <c r="BCW204" s="1056"/>
      <c r="BCX204" s="1056"/>
      <c r="BCY204" s="1056"/>
      <c r="BCZ204" s="1056"/>
      <c r="BDA204" s="1056"/>
      <c r="BDB204" s="1056"/>
      <c r="BDC204" s="1056"/>
      <c r="BDD204" s="1056"/>
      <c r="BDE204" s="1056"/>
      <c r="BDF204" s="1056"/>
      <c r="BDG204" s="1056"/>
      <c r="BDH204" s="1056"/>
      <c r="BDI204" s="1056"/>
      <c r="BDJ204" s="1056"/>
      <c r="BDK204" s="1056"/>
      <c r="BDL204" s="1056"/>
      <c r="BDM204" s="1056"/>
      <c r="BDN204" s="1056"/>
      <c r="BDO204" s="1056"/>
      <c r="BDP204" s="1056"/>
      <c r="BDQ204" s="1056"/>
      <c r="BDR204" s="1056"/>
      <c r="BDS204" s="1056"/>
      <c r="BDT204" s="1056"/>
      <c r="BDU204" s="1056"/>
      <c r="BDV204" s="1056"/>
      <c r="BDW204" s="1056"/>
      <c r="BDX204" s="1056"/>
      <c r="BDY204" s="1056"/>
      <c r="BDZ204" s="1056"/>
      <c r="BEA204" s="1056"/>
      <c r="BEB204" s="1056"/>
      <c r="BEC204" s="1056"/>
      <c r="BED204" s="1056"/>
      <c r="BEE204" s="1056"/>
      <c r="BEF204" s="1056"/>
      <c r="BEG204" s="1056"/>
      <c r="BEH204" s="1056"/>
      <c r="BEI204" s="1056"/>
      <c r="BEJ204" s="1056"/>
      <c r="BEK204" s="1056"/>
      <c r="BEL204" s="1056"/>
      <c r="BEM204" s="1056"/>
      <c r="BEN204" s="1056"/>
      <c r="BEO204" s="1056"/>
      <c r="BEP204" s="1056"/>
      <c r="BEQ204" s="1056"/>
      <c r="BER204" s="1056"/>
      <c r="BES204" s="1056"/>
      <c r="BET204" s="1056"/>
      <c r="BEU204" s="1056"/>
      <c r="BEV204" s="1056"/>
      <c r="BEW204" s="1056"/>
      <c r="BEX204" s="1056"/>
      <c r="BEY204" s="1056"/>
      <c r="BEZ204" s="1056"/>
      <c r="BFA204" s="1056"/>
      <c r="BFB204" s="1056"/>
      <c r="BFC204" s="1056"/>
      <c r="BFD204" s="1056"/>
      <c r="BFE204" s="1056"/>
      <c r="BFF204" s="1056"/>
      <c r="BFG204" s="1056"/>
      <c r="BFH204" s="1056"/>
      <c r="BFI204" s="1056"/>
      <c r="BFJ204" s="1056"/>
      <c r="BFK204" s="1056"/>
      <c r="BFL204" s="1056"/>
      <c r="BFM204" s="1056"/>
      <c r="BFN204" s="1056"/>
      <c r="BFO204" s="1056"/>
      <c r="BFP204" s="1056"/>
      <c r="BFQ204" s="1056"/>
      <c r="BFR204" s="1056"/>
      <c r="BFS204" s="1056"/>
      <c r="BFT204" s="1056"/>
      <c r="BFU204" s="1056"/>
      <c r="BFV204" s="1056"/>
      <c r="BFW204" s="1056"/>
      <c r="BFX204" s="1056"/>
      <c r="BFY204" s="1056"/>
      <c r="BFZ204" s="1056"/>
      <c r="BGA204" s="1056"/>
      <c r="BGB204" s="1056"/>
      <c r="BGC204" s="1056"/>
      <c r="BGD204" s="1056"/>
      <c r="BGE204" s="1056"/>
      <c r="BGF204" s="1056"/>
      <c r="BGG204" s="1056"/>
      <c r="BGH204" s="1056"/>
      <c r="BGI204" s="1056"/>
      <c r="BGJ204" s="1056"/>
      <c r="BGK204" s="1056"/>
      <c r="BGL204" s="1056"/>
      <c r="BGM204" s="1056"/>
      <c r="BGN204" s="1056"/>
      <c r="BGO204" s="1056"/>
      <c r="BGP204" s="1056"/>
      <c r="BGQ204" s="1056"/>
      <c r="BGR204" s="1056"/>
      <c r="BGS204" s="1056"/>
      <c r="BGT204" s="1056"/>
      <c r="BGU204" s="1056"/>
      <c r="BGV204" s="1056"/>
      <c r="BGW204" s="1056"/>
      <c r="BGX204" s="1056"/>
      <c r="BGY204" s="1056"/>
      <c r="BGZ204" s="1056"/>
      <c r="BHA204" s="1056"/>
      <c r="BHB204" s="1056"/>
      <c r="BHC204" s="1056"/>
      <c r="BHD204" s="1056"/>
      <c r="BHE204" s="1056"/>
      <c r="BHF204" s="1056"/>
      <c r="BHG204" s="1056"/>
      <c r="BHH204" s="1056"/>
      <c r="BHI204" s="1056"/>
      <c r="BHJ204" s="1056"/>
      <c r="BHK204" s="1056"/>
      <c r="BHL204" s="1056"/>
      <c r="BHM204" s="1056"/>
      <c r="BHN204" s="1056"/>
      <c r="BHO204" s="1056"/>
      <c r="BHP204" s="1056"/>
      <c r="BHQ204" s="1056"/>
      <c r="BHR204" s="1056"/>
      <c r="BHS204" s="1056"/>
      <c r="BHT204" s="1056"/>
      <c r="BHU204" s="1056"/>
      <c r="BHV204" s="1056"/>
      <c r="BHW204" s="1056"/>
      <c r="BHX204" s="1056"/>
      <c r="BHY204" s="1056"/>
      <c r="BHZ204" s="1056"/>
      <c r="BIA204" s="1056"/>
      <c r="BIB204" s="1056"/>
      <c r="BIC204" s="1056"/>
      <c r="BID204" s="1056"/>
      <c r="BIE204" s="1056"/>
      <c r="BIF204" s="1056"/>
      <c r="BIG204" s="1056"/>
      <c r="BIH204" s="1056"/>
      <c r="BII204" s="1056"/>
      <c r="BIJ204" s="1056"/>
      <c r="BIK204" s="1056"/>
      <c r="BIL204" s="1056"/>
      <c r="BIM204" s="1056"/>
      <c r="BIN204" s="1056"/>
      <c r="BIO204" s="1056"/>
      <c r="BIP204" s="1056"/>
      <c r="BIQ204" s="1056"/>
      <c r="BIR204" s="1056"/>
      <c r="BIS204" s="1056"/>
      <c r="BIT204" s="1056"/>
      <c r="BIU204" s="1056"/>
      <c r="BIV204" s="1056"/>
      <c r="BIW204" s="1056"/>
      <c r="BIX204" s="1056"/>
      <c r="BIY204" s="1056"/>
      <c r="BIZ204" s="1056"/>
      <c r="BJA204" s="1056"/>
      <c r="BJB204" s="1056"/>
      <c r="BJC204" s="1056"/>
      <c r="BJD204" s="1056"/>
      <c r="BJE204" s="1056"/>
      <c r="BJF204" s="1056"/>
      <c r="BJG204" s="1056"/>
      <c r="BJH204" s="1056"/>
      <c r="BJI204" s="1056"/>
      <c r="BJJ204" s="1056"/>
      <c r="BJK204" s="1056"/>
      <c r="BJL204" s="1056"/>
      <c r="BJM204" s="1056"/>
      <c r="BJN204" s="1056"/>
      <c r="BJO204" s="1056"/>
      <c r="BJP204" s="1056"/>
      <c r="BJQ204" s="1056"/>
      <c r="BJR204" s="1056"/>
      <c r="BJS204" s="1056"/>
      <c r="BJT204" s="1056"/>
      <c r="BJU204" s="1056"/>
      <c r="BJV204" s="1056"/>
      <c r="BJW204" s="1056"/>
      <c r="BJX204" s="1056"/>
      <c r="BJY204" s="1056"/>
      <c r="BJZ204" s="1056"/>
      <c r="BKA204" s="1056"/>
      <c r="BKB204" s="1056"/>
      <c r="BKC204" s="1056"/>
      <c r="BKD204" s="1056"/>
      <c r="BKE204" s="1056"/>
      <c r="BKF204" s="1056"/>
      <c r="BKG204" s="1056"/>
      <c r="BKH204" s="1056"/>
      <c r="BKI204" s="1056"/>
      <c r="BKJ204" s="1056"/>
      <c r="BKK204" s="1056"/>
      <c r="BKL204" s="1056"/>
      <c r="BKM204" s="1056"/>
      <c r="BKN204" s="1056"/>
      <c r="BKO204" s="1056"/>
      <c r="BKP204" s="1056"/>
      <c r="BKQ204" s="1056"/>
      <c r="BKR204" s="1056"/>
      <c r="BKS204" s="1056"/>
      <c r="BKT204" s="1056"/>
      <c r="BKU204" s="1056"/>
      <c r="BKV204" s="1056"/>
      <c r="BKW204" s="1056"/>
      <c r="BKX204" s="1056"/>
      <c r="BKY204" s="1056"/>
      <c r="BKZ204" s="1056"/>
      <c r="BLA204" s="1056"/>
      <c r="BLB204" s="1056"/>
      <c r="BLC204" s="1056"/>
      <c r="BLD204" s="1056"/>
      <c r="BLE204" s="1056"/>
      <c r="BLF204" s="1056"/>
      <c r="BLG204" s="1056"/>
      <c r="BLH204" s="1056"/>
      <c r="BLI204" s="1056"/>
      <c r="BLJ204" s="1056"/>
      <c r="BLK204" s="1056"/>
      <c r="BLL204" s="1056"/>
      <c r="BLM204" s="1056"/>
      <c r="BLN204" s="1056"/>
      <c r="BLO204" s="1056"/>
      <c r="BLP204" s="1056"/>
      <c r="BLQ204" s="1056"/>
      <c r="BLR204" s="1056"/>
      <c r="BLS204" s="1056"/>
      <c r="BLT204" s="1056"/>
      <c r="BLU204" s="1056"/>
      <c r="BLV204" s="1056"/>
      <c r="BLW204" s="1056"/>
      <c r="BLX204" s="1056"/>
      <c r="BLY204" s="1056"/>
      <c r="BLZ204" s="1056"/>
      <c r="BMA204" s="1056"/>
      <c r="BMB204" s="1056"/>
      <c r="BMC204" s="1056"/>
      <c r="BMD204" s="1056"/>
      <c r="BME204" s="1056"/>
      <c r="BMF204" s="1056"/>
      <c r="BMG204" s="1056"/>
      <c r="BMH204" s="1056"/>
      <c r="BMI204" s="1056"/>
      <c r="BMJ204" s="1056"/>
      <c r="BMK204" s="1056"/>
      <c r="BML204" s="1056"/>
      <c r="BMM204" s="1056"/>
      <c r="BMN204" s="1056"/>
      <c r="BMO204" s="1056"/>
      <c r="BMP204" s="1056"/>
      <c r="BMQ204" s="1056"/>
      <c r="BMR204" s="1056"/>
      <c r="BMS204" s="1056"/>
      <c r="BMT204" s="1056"/>
      <c r="BMU204" s="1056"/>
      <c r="BMV204" s="1056"/>
      <c r="BMW204" s="1056"/>
      <c r="BMX204" s="1056"/>
      <c r="BMY204" s="1056"/>
      <c r="BMZ204" s="1056"/>
      <c r="BNA204" s="1056"/>
      <c r="BNB204" s="1056"/>
      <c r="BNC204" s="1056"/>
      <c r="BND204" s="1056"/>
      <c r="BNE204" s="1056"/>
      <c r="BNF204" s="1056"/>
      <c r="BNG204" s="1056"/>
      <c r="BNH204" s="1056"/>
      <c r="BNI204" s="1056"/>
      <c r="BNJ204" s="1056"/>
      <c r="BNK204" s="1056"/>
      <c r="BNL204" s="1056"/>
      <c r="BNM204" s="1056"/>
      <c r="BNN204" s="1056"/>
      <c r="BNO204" s="1056"/>
      <c r="BNP204" s="1056"/>
      <c r="BNQ204" s="1056"/>
      <c r="BNR204" s="1056"/>
      <c r="BNS204" s="1056"/>
      <c r="BNT204" s="1056"/>
      <c r="BNU204" s="1056"/>
      <c r="BNV204" s="1056"/>
      <c r="BNW204" s="1056"/>
      <c r="BNX204" s="1056"/>
      <c r="BNY204" s="1056"/>
      <c r="BNZ204" s="1056"/>
      <c r="BOA204" s="1056"/>
      <c r="BOB204" s="1056"/>
      <c r="BOC204" s="1056"/>
      <c r="BOD204" s="1056"/>
      <c r="BOE204" s="1056"/>
      <c r="BOF204" s="1056"/>
      <c r="BOG204" s="1056"/>
      <c r="BOH204" s="1056"/>
      <c r="BOI204" s="1056"/>
      <c r="BOJ204" s="1056"/>
      <c r="BOK204" s="1056"/>
      <c r="BOL204" s="1056"/>
      <c r="BOM204" s="1056"/>
      <c r="BON204" s="1056"/>
      <c r="BOO204" s="1056"/>
      <c r="BOP204" s="1056"/>
      <c r="BOQ204" s="1056"/>
      <c r="BOR204" s="1056"/>
      <c r="BOS204" s="1056"/>
      <c r="BOT204" s="1056"/>
      <c r="BOU204" s="1056"/>
      <c r="BOV204" s="1056"/>
      <c r="BOW204" s="1056"/>
      <c r="BOX204" s="1056"/>
      <c r="BOY204" s="1056"/>
      <c r="BOZ204" s="1056"/>
      <c r="BPA204" s="1056"/>
      <c r="BPB204" s="1056"/>
      <c r="BPC204" s="1056"/>
      <c r="BPD204" s="1056"/>
      <c r="BPE204" s="1056"/>
      <c r="BPF204" s="1056"/>
      <c r="BPG204" s="1056"/>
      <c r="BPH204" s="1056"/>
      <c r="BPI204" s="1056"/>
      <c r="BPJ204" s="1056"/>
      <c r="BPK204" s="1056"/>
      <c r="BPL204" s="1056"/>
      <c r="BPM204" s="1056"/>
      <c r="BPN204" s="1056"/>
      <c r="BPO204" s="1056"/>
      <c r="BPP204" s="1056"/>
      <c r="BPQ204" s="1056"/>
      <c r="BPR204" s="1056"/>
      <c r="BPS204" s="1056"/>
      <c r="BPT204" s="1056"/>
      <c r="BPU204" s="1056"/>
      <c r="BPV204" s="1056"/>
      <c r="BPW204" s="1056"/>
      <c r="BPX204" s="1056"/>
      <c r="BPY204" s="1056"/>
      <c r="BPZ204" s="1056"/>
      <c r="BQA204" s="1056"/>
      <c r="BQB204" s="1056"/>
      <c r="BQC204" s="1056"/>
      <c r="BQD204" s="1056"/>
      <c r="BQE204" s="1056"/>
      <c r="BQF204" s="1056"/>
      <c r="BQG204" s="1056"/>
      <c r="BQH204" s="1056"/>
      <c r="BQI204" s="1056"/>
      <c r="BQJ204" s="1056"/>
      <c r="BQK204" s="1056"/>
      <c r="BQL204" s="1056"/>
      <c r="BQM204" s="1056"/>
      <c r="BQN204" s="1056"/>
      <c r="BQO204" s="1056"/>
      <c r="BQP204" s="1056"/>
      <c r="BQQ204" s="1056"/>
      <c r="BQR204" s="1056"/>
      <c r="BQS204" s="1056"/>
      <c r="BQT204" s="1056"/>
      <c r="BQU204" s="1056"/>
      <c r="BQV204" s="1056"/>
      <c r="BQW204" s="1056"/>
      <c r="BQX204" s="1056"/>
      <c r="BQY204" s="1056"/>
      <c r="BQZ204" s="1056"/>
      <c r="BRA204" s="1056"/>
      <c r="BRB204" s="1056"/>
      <c r="BRC204" s="1056"/>
      <c r="BRD204" s="1056"/>
      <c r="BRE204" s="1056"/>
      <c r="BRF204" s="1056"/>
      <c r="BRG204" s="1056"/>
      <c r="BRH204" s="1056"/>
      <c r="BRI204" s="1056"/>
      <c r="BRJ204" s="1056"/>
      <c r="BRK204" s="1056"/>
      <c r="BRL204" s="1056"/>
      <c r="BRM204" s="1056"/>
      <c r="BRN204" s="1056"/>
      <c r="BRO204" s="1056"/>
      <c r="BRP204" s="1056"/>
      <c r="BRQ204" s="1056"/>
      <c r="BRR204" s="1056"/>
      <c r="BRS204" s="1056"/>
      <c r="BRT204" s="1056"/>
      <c r="BRU204" s="1056"/>
      <c r="BRV204" s="1056"/>
      <c r="BRW204" s="1056"/>
      <c r="BRX204" s="1056"/>
      <c r="BRY204" s="1056"/>
      <c r="BRZ204" s="1056"/>
      <c r="BSA204" s="1056"/>
      <c r="BSB204" s="1056"/>
      <c r="BSC204" s="1056"/>
      <c r="BSD204" s="1056"/>
      <c r="BSE204" s="1056"/>
      <c r="BSF204" s="1056"/>
      <c r="BSG204" s="1056"/>
      <c r="BSH204" s="1056"/>
      <c r="BSI204" s="1056"/>
      <c r="BSJ204" s="1056"/>
      <c r="BSK204" s="1056"/>
      <c r="BSL204" s="1056"/>
      <c r="BSM204" s="1056"/>
      <c r="BSN204" s="1056"/>
      <c r="BSO204" s="1056"/>
      <c r="BSP204" s="1056"/>
      <c r="BSQ204" s="1056"/>
      <c r="BSR204" s="1056"/>
      <c r="BSS204" s="1056"/>
      <c r="BST204" s="1056"/>
      <c r="BSU204" s="1056"/>
      <c r="BSV204" s="1056"/>
      <c r="BSW204" s="1056"/>
      <c r="BSX204" s="1056"/>
      <c r="BSY204" s="1056"/>
      <c r="BSZ204" s="1056"/>
      <c r="BTA204" s="1056"/>
      <c r="BTB204" s="1056"/>
      <c r="BTC204" s="1056"/>
      <c r="BTD204" s="1056"/>
      <c r="BTE204" s="1056"/>
      <c r="BTF204" s="1056"/>
      <c r="BTG204" s="1056"/>
      <c r="BTH204" s="1056"/>
      <c r="BTI204" s="1056"/>
    </row>
    <row r="205" spans="1:1881" s="1060" customFormat="1" ht="45" hidden="1" customHeight="1" x14ac:dyDescent="0.3">
      <c r="A205" s="1059">
        <v>332</v>
      </c>
      <c r="B205" s="808" t="s">
        <v>37</v>
      </c>
      <c r="C205" s="808" t="s">
        <v>1432</v>
      </c>
      <c r="D205" s="746" t="s">
        <v>1434</v>
      </c>
      <c r="E205" s="1053" t="e">
        <f>HLOOKUP($D$2,'2020 Data(H)'!$C$1:$AI$426,98,FALSE)</f>
        <v>#N/A</v>
      </c>
      <c r="F205" s="286">
        <v>0</v>
      </c>
      <c r="G205" s="722">
        <f>IF(F205&lt;0,"Error: Enter as positive.",)</f>
        <v>0</v>
      </c>
      <c r="H205" s="764"/>
      <c r="I205" s="1055"/>
      <c r="J205" s="1056"/>
      <c r="K205" s="1056"/>
      <c r="L205" s="1056"/>
      <c r="M205" s="1056"/>
      <c r="N205" s="1058"/>
      <c r="O205" s="1056"/>
      <c r="P205" s="1056"/>
      <c r="Q205" s="1056"/>
      <c r="R205" s="1056"/>
      <c r="S205" s="1056"/>
      <c r="T205" s="1056"/>
      <c r="U205" s="1056"/>
      <c r="V205" s="1056"/>
      <c r="W205" s="1056"/>
      <c r="X205" s="1056"/>
      <c r="Y205" s="1056"/>
      <c r="Z205" s="1059"/>
      <c r="AA205" s="1059"/>
      <c r="AB205" s="1059"/>
      <c r="AC205" s="1059"/>
      <c r="AD205" s="1059"/>
      <c r="AE205" s="1059"/>
      <c r="AF205" s="1059"/>
      <c r="AG205" s="1059"/>
      <c r="AH205" s="1059"/>
      <c r="AI205" s="1059"/>
      <c r="AJ205" s="1059"/>
      <c r="AK205" s="1059"/>
      <c r="AL205" s="1059"/>
      <c r="AM205" s="1059"/>
      <c r="AN205" s="1059"/>
      <c r="AO205" s="1059"/>
      <c r="AP205" s="1059"/>
      <c r="AQ205" s="1059"/>
      <c r="AR205" s="1059"/>
      <c r="AS205" s="1056"/>
      <c r="AT205" s="1056"/>
      <c r="AU205" s="1056"/>
      <c r="AV205" s="1056"/>
      <c r="AW205" s="1056"/>
      <c r="AX205" s="1056"/>
      <c r="AY205" s="1056"/>
      <c r="AZ205" s="1056"/>
      <c r="BA205" s="1056"/>
      <c r="BB205" s="1056"/>
      <c r="BC205" s="1056"/>
      <c r="BD205" s="1056"/>
      <c r="BE205" s="1056"/>
      <c r="BF205" s="1056"/>
      <c r="BG205" s="1056"/>
      <c r="BH205" s="1056"/>
      <c r="BI205" s="1056"/>
      <c r="BJ205" s="1056"/>
      <c r="BK205" s="1056"/>
      <c r="BL205" s="1056"/>
      <c r="BM205" s="1056"/>
      <c r="BN205" s="1056"/>
      <c r="BO205" s="1056"/>
      <c r="BP205" s="1056"/>
      <c r="BQ205" s="1056"/>
      <c r="BR205" s="1056"/>
      <c r="BS205" s="1056"/>
      <c r="BT205" s="1056"/>
      <c r="BU205" s="1056"/>
      <c r="BV205" s="1056"/>
      <c r="BW205" s="1056"/>
      <c r="BX205" s="1056"/>
      <c r="BY205" s="1056"/>
      <c r="BZ205" s="1056"/>
      <c r="CA205" s="1056"/>
      <c r="CB205" s="1056"/>
      <c r="CC205" s="1056"/>
      <c r="CD205" s="1056"/>
      <c r="CE205" s="1056"/>
      <c r="CF205" s="1056"/>
      <c r="CG205" s="1056"/>
      <c r="CH205" s="1056"/>
      <c r="CI205" s="1056"/>
      <c r="CJ205" s="1056"/>
      <c r="CK205" s="1056"/>
      <c r="CL205" s="1056"/>
      <c r="CM205" s="1056"/>
      <c r="CN205" s="1056"/>
      <c r="CO205" s="1056"/>
      <c r="CP205" s="1056"/>
      <c r="CQ205" s="1056"/>
      <c r="CR205" s="1056"/>
      <c r="CS205" s="1056"/>
      <c r="CT205" s="1056"/>
      <c r="CU205" s="1056"/>
      <c r="CV205" s="1056"/>
      <c r="CW205" s="1056"/>
      <c r="CX205" s="1056"/>
      <c r="CY205" s="1056"/>
      <c r="CZ205" s="1056"/>
      <c r="DA205" s="1056"/>
      <c r="DB205" s="1056"/>
      <c r="DC205" s="1056"/>
      <c r="DD205" s="1056"/>
      <c r="DE205" s="1056"/>
      <c r="DF205" s="1056"/>
      <c r="DG205" s="1056"/>
      <c r="DH205" s="1056"/>
      <c r="DI205" s="1056"/>
      <c r="DJ205" s="1056"/>
      <c r="DK205" s="1056"/>
      <c r="DL205" s="1056"/>
      <c r="DM205" s="1056"/>
      <c r="DN205" s="1056"/>
      <c r="DO205" s="1056"/>
      <c r="DP205" s="1056"/>
      <c r="DQ205" s="1056"/>
      <c r="DR205" s="1056"/>
      <c r="DS205" s="1056"/>
      <c r="DT205" s="1056"/>
      <c r="DU205" s="1056"/>
      <c r="DV205" s="1056"/>
      <c r="DW205" s="1056"/>
      <c r="DX205" s="1056"/>
      <c r="DY205" s="1056"/>
      <c r="DZ205" s="1056"/>
      <c r="EA205" s="1056"/>
      <c r="EB205" s="1056"/>
      <c r="EC205" s="1056"/>
      <c r="ED205" s="1056"/>
      <c r="EE205" s="1056"/>
      <c r="EF205" s="1056"/>
      <c r="EG205" s="1056"/>
      <c r="EH205" s="1056"/>
      <c r="EI205" s="1056"/>
      <c r="EJ205" s="1056"/>
      <c r="EK205" s="1056"/>
      <c r="EL205" s="1056"/>
      <c r="EM205" s="1056"/>
      <c r="EN205" s="1056"/>
      <c r="EO205" s="1056"/>
      <c r="EP205" s="1056"/>
      <c r="EQ205" s="1056"/>
      <c r="ER205" s="1056"/>
      <c r="ES205" s="1056"/>
      <c r="ET205" s="1056"/>
      <c r="EU205" s="1056"/>
      <c r="EV205" s="1056"/>
      <c r="EW205" s="1056"/>
      <c r="EX205" s="1056"/>
      <c r="EY205" s="1056"/>
      <c r="EZ205" s="1056"/>
      <c r="FA205" s="1056"/>
      <c r="FB205" s="1056"/>
      <c r="FC205" s="1056"/>
      <c r="FD205" s="1056"/>
      <c r="FE205" s="1056"/>
      <c r="FF205" s="1056"/>
      <c r="FG205" s="1056"/>
      <c r="FH205" s="1056"/>
      <c r="FI205" s="1056"/>
      <c r="FJ205" s="1056"/>
      <c r="FK205" s="1056"/>
      <c r="FL205" s="1056"/>
      <c r="FM205" s="1056"/>
      <c r="FN205" s="1056"/>
      <c r="FO205" s="1056"/>
      <c r="FP205" s="1056"/>
      <c r="FQ205" s="1056"/>
      <c r="FR205" s="1056"/>
      <c r="FS205" s="1056"/>
      <c r="FT205" s="1056"/>
      <c r="FU205" s="1056"/>
      <c r="FV205" s="1056"/>
      <c r="FW205" s="1056"/>
      <c r="FX205" s="1056"/>
      <c r="FY205" s="1056"/>
      <c r="FZ205" s="1056"/>
      <c r="GA205" s="1056"/>
      <c r="GB205" s="1056"/>
      <c r="GC205" s="1056"/>
      <c r="GD205" s="1056"/>
      <c r="GE205" s="1056"/>
      <c r="GF205" s="1056"/>
      <c r="GG205" s="1056"/>
      <c r="GH205" s="1056"/>
      <c r="GI205" s="1056"/>
      <c r="GJ205" s="1056"/>
      <c r="GK205" s="1056"/>
      <c r="GL205" s="1056"/>
      <c r="GM205" s="1056"/>
      <c r="GN205" s="1056"/>
      <c r="GO205" s="1056"/>
      <c r="GP205" s="1056"/>
      <c r="GQ205" s="1056"/>
      <c r="GR205" s="1056"/>
      <c r="GS205" s="1056"/>
      <c r="GT205" s="1056"/>
      <c r="GU205" s="1056"/>
      <c r="GV205" s="1056"/>
      <c r="GW205" s="1056"/>
      <c r="GX205" s="1056"/>
      <c r="GY205" s="1056"/>
      <c r="GZ205" s="1056"/>
      <c r="HA205" s="1056"/>
      <c r="HB205" s="1056"/>
      <c r="HC205" s="1056"/>
      <c r="HD205" s="1056"/>
      <c r="HE205" s="1056"/>
      <c r="HF205" s="1056"/>
      <c r="HG205" s="1056"/>
      <c r="HH205" s="1056"/>
      <c r="HI205" s="1056"/>
      <c r="HJ205" s="1056"/>
      <c r="HK205" s="1056"/>
      <c r="HL205" s="1056"/>
      <c r="HM205" s="1056"/>
      <c r="HN205" s="1056"/>
      <c r="HO205" s="1056"/>
      <c r="HP205" s="1056"/>
      <c r="HQ205" s="1056"/>
      <c r="HR205" s="1056"/>
      <c r="HS205" s="1056"/>
      <c r="HT205" s="1056"/>
      <c r="HU205" s="1056"/>
      <c r="HV205" s="1056"/>
      <c r="HW205" s="1056"/>
      <c r="HX205" s="1056"/>
      <c r="HY205" s="1056"/>
      <c r="HZ205" s="1056"/>
      <c r="IA205" s="1056"/>
      <c r="IB205" s="1056"/>
      <c r="IC205" s="1056"/>
      <c r="ID205" s="1056"/>
      <c r="IE205" s="1056"/>
      <c r="IF205" s="1056"/>
      <c r="IG205" s="1056"/>
      <c r="IH205" s="1056"/>
      <c r="II205" s="1056"/>
      <c r="IJ205" s="1056"/>
      <c r="IK205" s="1056"/>
      <c r="IL205" s="1056"/>
      <c r="IM205" s="1056"/>
      <c r="IN205" s="1056"/>
      <c r="IO205" s="1056"/>
      <c r="IP205" s="1056"/>
      <c r="IQ205" s="1056"/>
      <c r="IR205" s="1056"/>
      <c r="IS205" s="1056"/>
      <c r="IT205" s="1056"/>
      <c r="IU205" s="1056"/>
      <c r="IV205" s="1056"/>
      <c r="IW205" s="1056"/>
      <c r="IX205" s="1056"/>
      <c r="IY205" s="1056"/>
      <c r="IZ205" s="1056"/>
      <c r="JA205" s="1056"/>
      <c r="JB205" s="1056"/>
      <c r="JC205" s="1056"/>
      <c r="JD205" s="1056"/>
      <c r="JE205" s="1056"/>
      <c r="JF205" s="1056"/>
      <c r="JG205" s="1056"/>
      <c r="JH205" s="1056"/>
      <c r="JI205" s="1056"/>
      <c r="JJ205" s="1056"/>
      <c r="JK205" s="1056"/>
      <c r="JL205" s="1056"/>
      <c r="JM205" s="1056"/>
      <c r="JN205" s="1056"/>
      <c r="JO205" s="1056"/>
      <c r="JP205" s="1056"/>
      <c r="JQ205" s="1056"/>
      <c r="JR205" s="1056"/>
      <c r="JS205" s="1056"/>
      <c r="JT205" s="1056"/>
      <c r="JU205" s="1056"/>
      <c r="JV205" s="1056"/>
      <c r="JW205" s="1056"/>
      <c r="JX205" s="1056"/>
      <c r="JY205" s="1056"/>
      <c r="JZ205" s="1056"/>
      <c r="KA205" s="1056"/>
      <c r="KB205" s="1056"/>
      <c r="KC205" s="1056"/>
      <c r="KD205" s="1056"/>
      <c r="KE205" s="1056"/>
      <c r="KF205" s="1056"/>
      <c r="KG205" s="1056"/>
      <c r="KH205" s="1056"/>
      <c r="KI205" s="1056"/>
      <c r="KJ205" s="1056"/>
      <c r="KK205" s="1056"/>
      <c r="KL205" s="1056"/>
      <c r="KM205" s="1056"/>
      <c r="KN205" s="1056"/>
      <c r="KO205" s="1056"/>
      <c r="KP205" s="1056"/>
      <c r="KQ205" s="1056"/>
      <c r="KR205" s="1056"/>
      <c r="KS205" s="1056"/>
      <c r="KT205" s="1056"/>
      <c r="KU205" s="1056"/>
      <c r="KV205" s="1056"/>
      <c r="KW205" s="1056"/>
      <c r="KX205" s="1056"/>
      <c r="KY205" s="1056"/>
      <c r="KZ205" s="1056"/>
      <c r="LA205" s="1056"/>
      <c r="LB205" s="1056"/>
      <c r="LC205" s="1056"/>
      <c r="LD205" s="1056"/>
      <c r="LE205" s="1056"/>
      <c r="LF205" s="1056"/>
      <c r="LG205" s="1056"/>
      <c r="LH205" s="1056"/>
      <c r="LI205" s="1056"/>
      <c r="LJ205" s="1056"/>
      <c r="LK205" s="1056"/>
      <c r="LL205" s="1056"/>
      <c r="LM205" s="1056"/>
      <c r="LN205" s="1056"/>
      <c r="LO205" s="1056"/>
      <c r="LP205" s="1056"/>
      <c r="LQ205" s="1056"/>
      <c r="LR205" s="1056"/>
      <c r="LS205" s="1056"/>
      <c r="LT205" s="1056"/>
      <c r="LU205" s="1056"/>
      <c r="LV205" s="1056"/>
      <c r="LW205" s="1056"/>
      <c r="LX205" s="1056"/>
      <c r="LY205" s="1056"/>
      <c r="LZ205" s="1056"/>
      <c r="MA205" s="1056"/>
      <c r="MB205" s="1056"/>
      <c r="MC205" s="1056"/>
      <c r="MD205" s="1056"/>
      <c r="ME205" s="1056"/>
      <c r="MF205" s="1056"/>
      <c r="MG205" s="1056"/>
      <c r="MH205" s="1056"/>
      <c r="MI205" s="1056"/>
      <c r="MJ205" s="1056"/>
      <c r="MK205" s="1056"/>
      <c r="ML205" s="1056"/>
      <c r="MM205" s="1056"/>
      <c r="MN205" s="1056"/>
      <c r="MO205" s="1056"/>
      <c r="MP205" s="1056"/>
      <c r="MQ205" s="1056"/>
      <c r="MR205" s="1056"/>
      <c r="MS205" s="1056"/>
      <c r="MT205" s="1056"/>
      <c r="MU205" s="1056"/>
      <c r="MV205" s="1056"/>
      <c r="MW205" s="1056"/>
      <c r="MX205" s="1056"/>
      <c r="MY205" s="1056"/>
      <c r="MZ205" s="1056"/>
      <c r="NA205" s="1056"/>
      <c r="NB205" s="1056"/>
      <c r="NC205" s="1056"/>
      <c r="ND205" s="1056"/>
      <c r="NE205" s="1056"/>
      <c r="NF205" s="1056"/>
      <c r="NG205" s="1056"/>
      <c r="NH205" s="1056"/>
      <c r="NI205" s="1056"/>
      <c r="NJ205" s="1056"/>
      <c r="NK205" s="1056"/>
      <c r="NL205" s="1056"/>
      <c r="NM205" s="1056"/>
      <c r="NN205" s="1056"/>
      <c r="NO205" s="1056"/>
      <c r="NP205" s="1056"/>
      <c r="NQ205" s="1056"/>
      <c r="NR205" s="1056"/>
      <c r="NS205" s="1056"/>
      <c r="NT205" s="1056"/>
      <c r="NU205" s="1056"/>
      <c r="NV205" s="1056"/>
      <c r="NW205" s="1056"/>
      <c r="NX205" s="1056"/>
      <c r="NY205" s="1056"/>
      <c r="NZ205" s="1056"/>
      <c r="OA205" s="1056"/>
      <c r="OB205" s="1056"/>
      <c r="OC205" s="1056"/>
      <c r="OD205" s="1056"/>
      <c r="OE205" s="1056"/>
      <c r="OF205" s="1056"/>
      <c r="OG205" s="1056"/>
      <c r="OH205" s="1056"/>
      <c r="OI205" s="1056"/>
      <c r="OJ205" s="1056"/>
      <c r="OK205" s="1056"/>
      <c r="OL205" s="1056"/>
      <c r="OM205" s="1056"/>
      <c r="ON205" s="1056"/>
      <c r="OO205" s="1056"/>
      <c r="OP205" s="1056"/>
      <c r="OQ205" s="1056"/>
      <c r="OR205" s="1056"/>
      <c r="OS205" s="1056"/>
      <c r="OT205" s="1056"/>
      <c r="OU205" s="1056"/>
      <c r="OV205" s="1056"/>
      <c r="OW205" s="1056"/>
      <c r="OX205" s="1056"/>
      <c r="OY205" s="1056"/>
      <c r="OZ205" s="1056"/>
      <c r="PA205" s="1056"/>
      <c r="PB205" s="1056"/>
      <c r="PC205" s="1056"/>
      <c r="PD205" s="1056"/>
      <c r="PE205" s="1056"/>
      <c r="PF205" s="1056"/>
      <c r="PG205" s="1056"/>
      <c r="PH205" s="1056"/>
      <c r="PI205" s="1056"/>
      <c r="PJ205" s="1056"/>
      <c r="PK205" s="1056"/>
      <c r="PL205" s="1056"/>
      <c r="PM205" s="1056"/>
      <c r="PN205" s="1056"/>
      <c r="PO205" s="1056"/>
      <c r="PP205" s="1056"/>
      <c r="PQ205" s="1056"/>
      <c r="PR205" s="1056"/>
      <c r="PS205" s="1056"/>
      <c r="PT205" s="1056"/>
      <c r="PU205" s="1056"/>
      <c r="PV205" s="1056"/>
      <c r="PW205" s="1056"/>
      <c r="PX205" s="1056"/>
      <c r="PY205" s="1056"/>
      <c r="PZ205" s="1056"/>
      <c r="QA205" s="1056"/>
      <c r="QB205" s="1056"/>
      <c r="QC205" s="1056"/>
      <c r="QD205" s="1056"/>
      <c r="QE205" s="1056"/>
      <c r="QF205" s="1056"/>
      <c r="QG205" s="1056"/>
      <c r="QH205" s="1056"/>
      <c r="QI205" s="1056"/>
      <c r="QJ205" s="1056"/>
      <c r="QK205" s="1056"/>
      <c r="QL205" s="1056"/>
      <c r="QM205" s="1056"/>
      <c r="QN205" s="1056"/>
      <c r="QO205" s="1056"/>
      <c r="QP205" s="1056"/>
      <c r="QQ205" s="1056"/>
      <c r="QR205" s="1056"/>
      <c r="QS205" s="1056"/>
      <c r="QT205" s="1056"/>
      <c r="QU205" s="1056"/>
      <c r="QV205" s="1056"/>
      <c r="QW205" s="1056"/>
      <c r="QX205" s="1056"/>
      <c r="QY205" s="1056"/>
      <c r="QZ205" s="1056"/>
      <c r="RA205" s="1056"/>
      <c r="RB205" s="1056"/>
      <c r="RC205" s="1056"/>
      <c r="RD205" s="1056"/>
      <c r="RE205" s="1056"/>
      <c r="RF205" s="1056"/>
      <c r="RG205" s="1056"/>
      <c r="RH205" s="1056"/>
      <c r="RI205" s="1056"/>
      <c r="RJ205" s="1056"/>
      <c r="RK205" s="1056"/>
      <c r="RL205" s="1056"/>
      <c r="RM205" s="1056"/>
      <c r="RN205" s="1056"/>
      <c r="RO205" s="1056"/>
      <c r="RP205" s="1056"/>
      <c r="RQ205" s="1056"/>
      <c r="RR205" s="1056"/>
      <c r="RS205" s="1056"/>
      <c r="RT205" s="1056"/>
      <c r="RU205" s="1056"/>
      <c r="RV205" s="1056"/>
      <c r="RW205" s="1056"/>
      <c r="RX205" s="1056"/>
      <c r="RY205" s="1056"/>
      <c r="RZ205" s="1056"/>
      <c r="SA205" s="1056"/>
      <c r="SB205" s="1056"/>
      <c r="SC205" s="1056"/>
      <c r="SD205" s="1056"/>
      <c r="SE205" s="1056"/>
      <c r="SF205" s="1056"/>
      <c r="SG205" s="1056"/>
      <c r="SH205" s="1056"/>
      <c r="SI205" s="1056"/>
      <c r="SJ205" s="1056"/>
      <c r="SK205" s="1056"/>
      <c r="SL205" s="1056"/>
      <c r="SM205" s="1056"/>
      <c r="SN205" s="1056"/>
      <c r="SO205" s="1056"/>
      <c r="SP205" s="1056"/>
      <c r="SQ205" s="1056"/>
      <c r="SR205" s="1056"/>
      <c r="SS205" s="1056"/>
      <c r="ST205" s="1056"/>
      <c r="SU205" s="1056"/>
      <c r="SV205" s="1056"/>
      <c r="SW205" s="1056"/>
      <c r="SX205" s="1056"/>
      <c r="SY205" s="1056"/>
      <c r="SZ205" s="1056"/>
      <c r="TA205" s="1056"/>
      <c r="TB205" s="1056"/>
      <c r="TC205" s="1056"/>
      <c r="TD205" s="1056"/>
      <c r="TE205" s="1056"/>
      <c r="TF205" s="1056"/>
      <c r="TG205" s="1056"/>
      <c r="TH205" s="1056"/>
      <c r="TI205" s="1056"/>
      <c r="TJ205" s="1056"/>
      <c r="TK205" s="1056"/>
      <c r="TL205" s="1056"/>
      <c r="TM205" s="1056"/>
      <c r="TN205" s="1056"/>
      <c r="TO205" s="1056"/>
      <c r="TP205" s="1056"/>
      <c r="TQ205" s="1056"/>
      <c r="TR205" s="1056"/>
      <c r="TS205" s="1056"/>
      <c r="TT205" s="1056"/>
      <c r="TU205" s="1056"/>
      <c r="TV205" s="1056"/>
      <c r="TW205" s="1056"/>
      <c r="TX205" s="1056"/>
      <c r="TY205" s="1056"/>
      <c r="TZ205" s="1056"/>
      <c r="UA205" s="1056"/>
      <c r="UB205" s="1056"/>
      <c r="UC205" s="1056"/>
      <c r="UD205" s="1056"/>
      <c r="UE205" s="1056"/>
      <c r="UF205" s="1056"/>
      <c r="UG205" s="1056"/>
      <c r="UH205" s="1056"/>
      <c r="UI205" s="1056"/>
      <c r="UJ205" s="1056"/>
      <c r="UK205" s="1056"/>
      <c r="UL205" s="1056"/>
      <c r="UM205" s="1056"/>
      <c r="UN205" s="1056"/>
      <c r="UO205" s="1056"/>
      <c r="UP205" s="1056"/>
      <c r="UQ205" s="1056"/>
      <c r="UR205" s="1056"/>
      <c r="US205" s="1056"/>
      <c r="UT205" s="1056"/>
      <c r="UU205" s="1056"/>
      <c r="UV205" s="1056"/>
      <c r="UW205" s="1056"/>
      <c r="UX205" s="1056"/>
      <c r="UY205" s="1056"/>
      <c r="UZ205" s="1056"/>
      <c r="VA205" s="1056"/>
      <c r="VB205" s="1056"/>
      <c r="VC205" s="1056"/>
      <c r="VD205" s="1056"/>
      <c r="VE205" s="1056"/>
      <c r="VF205" s="1056"/>
      <c r="VG205" s="1056"/>
      <c r="VH205" s="1056"/>
      <c r="VI205" s="1056"/>
      <c r="VJ205" s="1056"/>
      <c r="VK205" s="1056"/>
      <c r="VL205" s="1056"/>
      <c r="VM205" s="1056"/>
      <c r="VN205" s="1056"/>
      <c r="VO205" s="1056"/>
      <c r="VP205" s="1056"/>
      <c r="VQ205" s="1056"/>
      <c r="VR205" s="1056"/>
      <c r="VS205" s="1056"/>
      <c r="VT205" s="1056"/>
      <c r="VU205" s="1056"/>
      <c r="VV205" s="1056"/>
      <c r="VW205" s="1056"/>
      <c r="VX205" s="1056"/>
      <c r="VY205" s="1056"/>
      <c r="VZ205" s="1056"/>
      <c r="WA205" s="1056"/>
      <c r="WB205" s="1056"/>
      <c r="WC205" s="1056"/>
      <c r="WD205" s="1056"/>
      <c r="WE205" s="1056"/>
      <c r="WF205" s="1056"/>
      <c r="WG205" s="1056"/>
      <c r="WH205" s="1056"/>
      <c r="WI205" s="1056"/>
      <c r="WJ205" s="1056"/>
      <c r="WK205" s="1056"/>
      <c r="WL205" s="1056"/>
      <c r="WM205" s="1056"/>
      <c r="WN205" s="1056"/>
      <c r="WO205" s="1056"/>
      <c r="WP205" s="1056"/>
      <c r="WQ205" s="1056"/>
      <c r="WR205" s="1056"/>
      <c r="WS205" s="1056"/>
      <c r="WT205" s="1056"/>
      <c r="WU205" s="1056"/>
      <c r="WV205" s="1056"/>
      <c r="WW205" s="1056"/>
      <c r="WX205" s="1056"/>
      <c r="WY205" s="1056"/>
      <c r="WZ205" s="1056"/>
      <c r="XA205" s="1056"/>
      <c r="XB205" s="1056"/>
      <c r="XC205" s="1056"/>
      <c r="XD205" s="1056"/>
      <c r="XE205" s="1056"/>
      <c r="XF205" s="1056"/>
      <c r="XG205" s="1056"/>
      <c r="XH205" s="1056"/>
      <c r="XI205" s="1056"/>
      <c r="XJ205" s="1056"/>
      <c r="XK205" s="1056"/>
      <c r="XL205" s="1056"/>
      <c r="XM205" s="1056"/>
      <c r="XN205" s="1056"/>
      <c r="XO205" s="1056"/>
      <c r="XP205" s="1056"/>
      <c r="XQ205" s="1056"/>
      <c r="XR205" s="1056"/>
      <c r="XS205" s="1056"/>
      <c r="XT205" s="1056"/>
      <c r="XU205" s="1056"/>
      <c r="XV205" s="1056"/>
      <c r="XW205" s="1056"/>
      <c r="XX205" s="1056"/>
      <c r="XY205" s="1056"/>
      <c r="XZ205" s="1056"/>
      <c r="YA205" s="1056"/>
      <c r="YB205" s="1056"/>
      <c r="YC205" s="1056"/>
      <c r="YD205" s="1056"/>
      <c r="YE205" s="1056"/>
      <c r="YF205" s="1056"/>
      <c r="YG205" s="1056"/>
      <c r="YH205" s="1056"/>
      <c r="YI205" s="1056"/>
      <c r="YJ205" s="1056"/>
      <c r="YK205" s="1056"/>
      <c r="YL205" s="1056"/>
      <c r="YM205" s="1056"/>
      <c r="YN205" s="1056"/>
      <c r="YO205" s="1056"/>
      <c r="YP205" s="1056"/>
      <c r="YQ205" s="1056"/>
      <c r="YR205" s="1056"/>
      <c r="YS205" s="1056"/>
      <c r="YT205" s="1056"/>
      <c r="YU205" s="1056"/>
      <c r="YV205" s="1056"/>
      <c r="YW205" s="1056"/>
      <c r="YX205" s="1056"/>
      <c r="YY205" s="1056"/>
      <c r="YZ205" s="1056"/>
      <c r="ZA205" s="1056"/>
      <c r="ZB205" s="1056"/>
      <c r="ZC205" s="1056"/>
      <c r="ZD205" s="1056"/>
      <c r="ZE205" s="1056"/>
      <c r="ZF205" s="1056"/>
      <c r="ZG205" s="1056"/>
      <c r="ZH205" s="1056"/>
      <c r="ZI205" s="1056"/>
      <c r="ZJ205" s="1056"/>
      <c r="ZK205" s="1056"/>
      <c r="ZL205" s="1056"/>
      <c r="ZM205" s="1056"/>
      <c r="ZN205" s="1056"/>
      <c r="ZO205" s="1056"/>
      <c r="ZP205" s="1056"/>
      <c r="ZQ205" s="1056"/>
      <c r="ZR205" s="1056"/>
      <c r="ZS205" s="1056"/>
      <c r="ZT205" s="1056"/>
      <c r="ZU205" s="1056"/>
      <c r="ZV205" s="1056"/>
      <c r="ZW205" s="1056"/>
      <c r="ZX205" s="1056"/>
      <c r="ZY205" s="1056"/>
      <c r="ZZ205" s="1056"/>
      <c r="AAA205" s="1056"/>
      <c r="AAB205" s="1056"/>
      <c r="AAC205" s="1056"/>
      <c r="AAD205" s="1056"/>
      <c r="AAE205" s="1056"/>
      <c r="AAF205" s="1056"/>
      <c r="AAG205" s="1056"/>
      <c r="AAH205" s="1056"/>
      <c r="AAI205" s="1056"/>
      <c r="AAJ205" s="1056"/>
      <c r="AAK205" s="1056"/>
      <c r="AAL205" s="1056"/>
      <c r="AAM205" s="1056"/>
      <c r="AAN205" s="1056"/>
      <c r="AAO205" s="1056"/>
      <c r="AAP205" s="1056"/>
      <c r="AAQ205" s="1056"/>
      <c r="AAR205" s="1056"/>
      <c r="AAS205" s="1056"/>
      <c r="AAT205" s="1056"/>
      <c r="AAU205" s="1056"/>
      <c r="AAV205" s="1056"/>
      <c r="AAW205" s="1056"/>
      <c r="AAX205" s="1056"/>
      <c r="AAY205" s="1056"/>
      <c r="AAZ205" s="1056"/>
      <c r="ABA205" s="1056"/>
      <c r="ABB205" s="1056"/>
      <c r="ABC205" s="1056"/>
      <c r="ABD205" s="1056"/>
      <c r="ABE205" s="1056"/>
      <c r="ABF205" s="1056"/>
      <c r="ABG205" s="1056"/>
      <c r="ABH205" s="1056"/>
      <c r="ABI205" s="1056"/>
      <c r="ABJ205" s="1056"/>
      <c r="ABK205" s="1056"/>
      <c r="ABL205" s="1056"/>
      <c r="ABM205" s="1056"/>
      <c r="ABN205" s="1056"/>
      <c r="ABO205" s="1056"/>
      <c r="ABP205" s="1056"/>
      <c r="ABQ205" s="1056"/>
      <c r="ABR205" s="1056"/>
      <c r="ABS205" s="1056"/>
      <c r="ABT205" s="1056"/>
      <c r="ABU205" s="1056"/>
      <c r="ABV205" s="1056"/>
      <c r="ABW205" s="1056"/>
      <c r="ABX205" s="1056"/>
      <c r="ABY205" s="1056"/>
      <c r="ABZ205" s="1056"/>
      <c r="ACA205" s="1056"/>
      <c r="ACB205" s="1056"/>
      <c r="ACC205" s="1056"/>
      <c r="ACD205" s="1056"/>
      <c r="ACE205" s="1056"/>
      <c r="ACF205" s="1056"/>
      <c r="ACG205" s="1056"/>
      <c r="ACH205" s="1056"/>
      <c r="ACI205" s="1056"/>
      <c r="ACJ205" s="1056"/>
      <c r="ACK205" s="1056"/>
      <c r="ACL205" s="1056"/>
      <c r="ACM205" s="1056"/>
      <c r="ACN205" s="1056"/>
      <c r="ACO205" s="1056"/>
      <c r="ACP205" s="1056"/>
      <c r="ACQ205" s="1056"/>
      <c r="ACR205" s="1056"/>
      <c r="ACS205" s="1056"/>
      <c r="ACT205" s="1056"/>
      <c r="ACU205" s="1056"/>
      <c r="ACV205" s="1056"/>
      <c r="ACW205" s="1056"/>
      <c r="ACX205" s="1056"/>
      <c r="ACY205" s="1056"/>
      <c r="ACZ205" s="1056"/>
      <c r="ADA205" s="1056"/>
      <c r="ADB205" s="1056"/>
      <c r="ADC205" s="1056"/>
      <c r="ADD205" s="1056"/>
      <c r="ADE205" s="1056"/>
      <c r="ADF205" s="1056"/>
      <c r="ADG205" s="1056"/>
      <c r="ADH205" s="1056"/>
      <c r="ADI205" s="1056"/>
      <c r="ADJ205" s="1056"/>
      <c r="ADK205" s="1056"/>
      <c r="ADL205" s="1056"/>
      <c r="ADM205" s="1056"/>
      <c r="ADN205" s="1056"/>
      <c r="ADO205" s="1056"/>
      <c r="ADP205" s="1056"/>
      <c r="ADQ205" s="1056"/>
      <c r="ADR205" s="1056"/>
      <c r="ADS205" s="1056"/>
      <c r="ADT205" s="1056"/>
      <c r="ADU205" s="1056"/>
      <c r="ADV205" s="1056"/>
      <c r="ADW205" s="1056"/>
      <c r="ADX205" s="1056"/>
      <c r="ADY205" s="1056"/>
      <c r="ADZ205" s="1056"/>
      <c r="AEA205" s="1056"/>
      <c r="AEB205" s="1056"/>
      <c r="AEC205" s="1056"/>
      <c r="AED205" s="1056"/>
      <c r="AEE205" s="1056"/>
      <c r="AEF205" s="1056"/>
      <c r="AEG205" s="1056"/>
      <c r="AEH205" s="1056"/>
      <c r="AEI205" s="1056"/>
      <c r="AEJ205" s="1056"/>
      <c r="AEK205" s="1056"/>
      <c r="AEL205" s="1056"/>
      <c r="AEM205" s="1056"/>
      <c r="AEN205" s="1056"/>
      <c r="AEO205" s="1056"/>
      <c r="AEP205" s="1056"/>
      <c r="AEQ205" s="1056"/>
      <c r="AER205" s="1056"/>
      <c r="AES205" s="1056"/>
      <c r="AET205" s="1056"/>
      <c r="AEU205" s="1056"/>
      <c r="AEV205" s="1056"/>
      <c r="AEW205" s="1056"/>
      <c r="AEX205" s="1056"/>
      <c r="AEY205" s="1056"/>
      <c r="AEZ205" s="1056"/>
      <c r="AFA205" s="1056"/>
      <c r="AFB205" s="1056"/>
      <c r="AFC205" s="1056"/>
      <c r="AFD205" s="1056"/>
      <c r="AFE205" s="1056"/>
      <c r="AFF205" s="1056"/>
      <c r="AFG205" s="1056"/>
      <c r="AFH205" s="1056"/>
      <c r="AFI205" s="1056"/>
      <c r="AFJ205" s="1056"/>
      <c r="AFK205" s="1056"/>
      <c r="AFL205" s="1056"/>
      <c r="AFM205" s="1056"/>
      <c r="AFN205" s="1056"/>
      <c r="AFO205" s="1056"/>
      <c r="AFP205" s="1056"/>
      <c r="AFQ205" s="1056"/>
      <c r="AFR205" s="1056"/>
      <c r="AFS205" s="1056"/>
      <c r="AFT205" s="1056"/>
      <c r="AFU205" s="1056"/>
      <c r="AFV205" s="1056"/>
      <c r="AFW205" s="1056"/>
      <c r="AFX205" s="1056"/>
      <c r="AFY205" s="1056"/>
      <c r="AFZ205" s="1056"/>
      <c r="AGA205" s="1056"/>
      <c r="AGB205" s="1056"/>
      <c r="AGC205" s="1056"/>
      <c r="AGD205" s="1056"/>
      <c r="AGE205" s="1056"/>
      <c r="AGF205" s="1056"/>
      <c r="AGG205" s="1056"/>
      <c r="AGH205" s="1056"/>
      <c r="AGI205" s="1056"/>
      <c r="AGJ205" s="1056"/>
      <c r="AGK205" s="1056"/>
      <c r="AGL205" s="1056"/>
      <c r="AGM205" s="1056"/>
      <c r="AGN205" s="1056"/>
      <c r="AGO205" s="1056"/>
      <c r="AGP205" s="1056"/>
      <c r="AGQ205" s="1056"/>
      <c r="AGR205" s="1056"/>
      <c r="AGS205" s="1056"/>
      <c r="AGT205" s="1056"/>
      <c r="AGU205" s="1056"/>
      <c r="AGV205" s="1056"/>
      <c r="AGW205" s="1056"/>
      <c r="AGX205" s="1056"/>
      <c r="AGY205" s="1056"/>
      <c r="AGZ205" s="1056"/>
      <c r="AHA205" s="1056"/>
      <c r="AHB205" s="1056"/>
      <c r="AHC205" s="1056"/>
      <c r="AHD205" s="1056"/>
      <c r="AHE205" s="1056"/>
      <c r="AHF205" s="1056"/>
      <c r="AHG205" s="1056"/>
      <c r="AHH205" s="1056"/>
      <c r="AHI205" s="1056"/>
      <c r="AHJ205" s="1056"/>
      <c r="AHK205" s="1056"/>
      <c r="AHL205" s="1056"/>
      <c r="AHM205" s="1056"/>
      <c r="AHN205" s="1056"/>
      <c r="AHO205" s="1056"/>
      <c r="AHP205" s="1056"/>
      <c r="AHQ205" s="1056"/>
      <c r="AHR205" s="1056"/>
      <c r="AHS205" s="1056"/>
      <c r="AHT205" s="1056"/>
      <c r="AHU205" s="1056"/>
      <c r="AHV205" s="1056"/>
      <c r="AHW205" s="1056"/>
      <c r="AHX205" s="1056"/>
      <c r="AHY205" s="1056"/>
      <c r="AHZ205" s="1056"/>
      <c r="AIA205" s="1056"/>
      <c r="AIB205" s="1056"/>
      <c r="AIC205" s="1056"/>
      <c r="AID205" s="1056"/>
      <c r="AIE205" s="1056"/>
      <c r="AIF205" s="1056"/>
      <c r="AIG205" s="1056"/>
      <c r="AIH205" s="1056"/>
      <c r="AII205" s="1056"/>
      <c r="AIJ205" s="1056"/>
      <c r="AIK205" s="1056"/>
      <c r="AIL205" s="1056"/>
      <c r="AIM205" s="1056"/>
      <c r="AIN205" s="1056"/>
      <c r="AIO205" s="1056"/>
      <c r="AIP205" s="1056"/>
      <c r="AIQ205" s="1056"/>
      <c r="AIR205" s="1056"/>
      <c r="AIS205" s="1056"/>
      <c r="AIT205" s="1056"/>
      <c r="AIU205" s="1056"/>
      <c r="AIV205" s="1056"/>
      <c r="AIW205" s="1056"/>
      <c r="AIX205" s="1056"/>
      <c r="AIY205" s="1056"/>
      <c r="AIZ205" s="1056"/>
      <c r="AJA205" s="1056"/>
      <c r="AJB205" s="1056"/>
      <c r="AJC205" s="1056"/>
      <c r="AJD205" s="1056"/>
      <c r="AJE205" s="1056"/>
      <c r="AJF205" s="1056"/>
      <c r="AJG205" s="1056"/>
      <c r="AJH205" s="1056"/>
      <c r="AJI205" s="1056"/>
      <c r="AJJ205" s="1056"/>
      <c r="AJK205" s="1056"/>
      <c r="AJL205" s="1056"/>
      <c r="AJM205" s="1056"/>
      <c r="AJN205" s="1056"/>
      <c r="AJO205" s="1056"/>
      <c r="AJP205" s="1056"/>
      <c r="AJQ205" s="1056"/>
      <c r="AJR205" s="1056"/>
      <c r="AJS205" s="1056"/>
      <c r="AJT205" s="1056"/>
      <c r="AJU205" s="1056"/>
      <c r="AJV205" s="1056"/>
      <c r="AJW205" s="1056"/>
      <c r="AJX205" s="1056"/>
      <c r="AJY205" s="1056"/>
      <c r="AJZ205" s="1056"/>
      <c r="AKA205" s="1056"/>
      <c r="AKB205" s="1056"/>
      <c r="AKC205" s="1056"/>
      <c r="AKD205" s="1056"/>
      <c r="AKE205" s="1056"/>
      <c r="AKF205" s="1056"/>
      <c r="AKG205" s="1056"/>
      <c r="AKH205" s="1056"/>
      <c r="AKI205" s="1056"/>
      <c r="AKJ205" s="1056"/>
      <c r="AKK205" s="1056"/>
      <c r="AKL205" s="1056"/>
      <c r="AKM205" s="1056"/>
      <c r="AKN205" s="1056"/>
      <c r="AKO205" s="1056"/>
      <c r="AKP205" s="1056"/>
      <c r="AKQ205" s="1056"/>
      <c r="AKR205" s="1056"/>
      <c r="AKS205" s="1056"/>
      <c r="AKT205" s="1056"/>
      <c r="AKU205" s="1056"/>
      <c r="AKV205" s="1056"/>
      <c r="AKW205" s="1056"/>
      <c r="AKX205" s="1056"/>
      <c r="AKY205" s="1056"/>
      <c r="AKZ205" s="1056"/>
      <c r="ALA205" s="1056"/>
      <c r="ALB205" s="1056"/>
      <c r="ALC205" s="1056"/>
      <c r="ALD205" s="1056"/>
      <c r="ALE205" s="1056"/>
      <c r="ALF205" s="1056"/>
      <c r="ALG205" s="1056"/>
      <c r="ALH205" s="1056"/>
      <c r="ALI205" s="1056"/>
      <c r="ALJ205" s="1056"/>
      <c r="ALK205" s="1056"/>
      <c r="ALL205" s="1056"/>
      <c r="ALM205" s="1056"/>
      <c r="ALN205" s="1056"/>
      <c r="ALO205" s="1056"/>
      <c r="ALP205" s="1056"/>
      <c r="ALQ205" s="1056"/>
      <c r="ALR205" s="1056"/>
      <c r="ALS205" s="1056"/>
      <c r="ALT205" s="1056"/>
      <c r="ALU205" s="1056"/>
      <c r="ALV205" s="1056"/>
      <c r="ALW205" s="1056"/>
      <c r="ALX205" s="1056"/>
      <c r="ALY205" s="1056"/>
      <c r="ALZ205" s="1056"/>
      <c r="AMA205" s="1056"/>
      <c r="AMB205" s="1056"/>
      <c r="AMC205" s="1056"/>
      <c r="AMD205" s="1056"/>
      <c r="AME205" s="1056"/>
      <c r="AMF205" s="1056"/>
      <c r="AMG205" s="1056"/>
      <c r="AMH205" s="1056"/>
      <c r="AMI205" s="1056"/>
      <c r="AMJ205" s="1056"/>
      <c r="AMK205" s="1056"/>
      <c r="AML205" s="1056"/>
      <c r="AMM205" s="1056"/>
      <c r="AMN205" s="1056"/>
      <c r="AMO205" s="1056"/>
      <c r="AMP205" s="1056"/>
      <c r="AMQ205" s="1056"/>
      <c r="AMR205" s="1056"/>
      <c r="AMS205" s="1056"/>
      <c r="AMT205" s="1056"/>
      <c r="AMU205" s="1056"/>
      <c r="AMV205" s="1056"/>
      <c r="AMW205" s="1056"/>
      <c r="AMX205" s="1056"/>
      <c r="AMY205" s="1056"/>
      <c r="AMZ205" s="1056"/>
      <c r="ANA205" s="1056"/>
      <c r="ANB205" s="1056"/>
      <c r="ANC205" s="1056"/>
      <c r="AND205" s="1056"/>
      <c r="ANE205" s="1056"/>
      <c r="ANF205" s="1056"/>
      <c r="ANG205" s="1056"/>
      <c r="ANH205" s="1056"/>
      <c r="ANI205" s="1056"/>
      <c r="ANJ205" s="1056"/>
      <c r="ANK205" s="1056"/>
      <c r="ANL205" s="1056"/>
      <c r="ANM205" s="1056"/>
      <c r="ANN205" s="1056"/>
      <c r="ANO205" s="1056"/>
      <c r="ANP205" s="1056"/>
      <c r="ANQ205" s="1056"/>
      <c r="ANR205" s="1056"/>
      <c r="ANS205" s="1056"/>
      <c r="ANT205" s="1056"/>
      <c r="ANU205" s="1056"/>
      <c r="ANV205" s="1056"/>
      <c r="ANW205" s="1056"/>
      <c r="ANX205" s="1056"/>
      <c r="ANY205" s="1056"/>
      <c r="ANZ205" s="1056"/>
      <c r="AOA205" s="1056"/>
      <c r="AOB205" s="1056"/>
      <c r="AOC205" s="1056"/>
      <c r="AOD205" s="1056"/>
      <c r="AOE205" s="1056"/>
      <c r="AOF205" s="1056"/>
      <c r="AOG205" s="1056"/>
      <c r="AOH205" s="1056"/>
      <c r="AOI205" s="1056"/>
      <c r="AOJ205" s="1056"/>
      <c r="AOK205" s="1056"/>
      <c r="AOL205" s="1056"/>
      <c r="AOM205" s="1056"/>
      <c r="AON205" s="1056"/>
      <c r="AOO205" s="1056"/>
      <c r="AOP205" s="1056"/>
      <c r="AOQ205" s="1056"/>
      <c r="AOR205" s="1056"/>
      <c r="AOS205" s="1056"/>
      <c r="AOT205" s="1056"/>
      <c r="AOU205" s="1056"/>
      <c r="AOV205" s="1056"/>
      <c r="AOW205" s="1056"/>
      <c r="AOX205" s="1056"/>
      <c r="AOY205" s="1056"/>
      <c r="AOZ205" s="1056"/>
      <c r="APA205" s="1056"/>
      <c r="APB205" s="1056"/>
      <c r="APC205" s="1056"/>
      <c r="APD205" s="1056"/>
      <c r="APE205" s="1056"/>
      <c r="APF205" s="1056"/>
      <c r="APG205" s="1056"/>
      <c r="APH205" s="1056"/>
      <c r="API205" s="1056"/>
      <c r="APJ205" s="1056"/>
      <c r="APK205" s="1056"/>
      <c r="APL205" s="1056"/>
      <c r="APM205" s="1056"/>
      <c r="APN205" s="1056"/>
      <c r="APO205" s="1056"/>
      <c r="APP205" s="1056"/>
      <c r="APQ205" s="1056"/>
      <c r="APR205" s="1056"/>
      <c r="APS205" s="1056"/>
      <c r="APT205" s="1056"/>
      <c r="APU205" s="1056"/>
      <c r="APV205" s="1056"/>
      <c r="APW205" s="1056"/>
      <c r="APX205" s="1056"/>
      <c r="APY205" s="1056"/>
      <c r="APZ205" s="1056"/>
      <c r="AQA205" s="1056"/>
      <c r="AQB205" s="1056"/>
      <c r="AQC205" s="1056"/>
      <c r="AQD205" s="1056"/>
      <c r="AQE205" s="1056"/>
      <c r="AQF205" s="1056"/>
      <c r="AQG205" s="1056"/>
      <c r="AQH205" s="1056"/>
      <c r="AQI205" s="1056"/>
      <c r="AQJ205" s="1056"/>
      <c r="AQK205" s="1056"/>
      <c r="AQL205" s="1056"/>
      <c r="AQM205" s="1056"/>
      <c r="AQN205" s="1056"/>
      <c r="AQO205" s="1056"/>
      <c r="AQP205" s="1056"/>
      <c r="AQQ205" s="1056"/>
      <c r="AQR205" s="1056"/>
      <c r="AQS205" s="1056"/>
      <c r="AQT205" s="1056"/>
      <c r="AQU205" s="1056"/>
      <c r="AQV205" s="1056"/>
      <c r="AQW205" s="1056"/>
      <c r="AQX205" s="1056"/>
      <c r="AQY205" s="1056"/>
      <c r="AQZ205" s="1056"/>
      <c r="ARA205" s="1056"/>
      <c r="ARB205" s="1056"/>
      <c r="ARC205" s="1056"/>
      <c r="ARD205" s="1056"/>
      <c r="ARE205" s="1056"/>
      <c r="ARF205" s="1056"/>
      <c r="ARG205" s="1056"/>
      <c r="ARH205" s="1056"/>
      <c r="ARI205" s="1056"/>
      <c r="ARJ205" s="1056"/>
      <c r="ARK205" s="1056"/>
      <c r="ARL205" s="1056"/>
      <c r="ARM205" s="1056"/>
      <c r="ARN205" s="1056"/>
      <c r="ARO205" s="1056"/>
      <c r="ARP205" s="1056"/>
      <c r="ARQ205" s="1056"/>
      <c r="ARR205" s="1056"/>
      <c r="ARS205" s="1056"/>
      <c r="ART205" s="1056"/>
      <c r="ARU205" s="1056"/>
      <c r="ARV205" s="1056"/>
      <c r="ARW205" s="1056"/>
      <c r="ARX205" s="1056"/>
      <c r="ARY205" s="1056"/>
      <c r="ARZ205" s="1056"/>
      <c r="ASA205" s="1056"/>
      <c r="ASB205" s="1056"/>
      <c r="ASC205" s="1056"/>
      <c r="ASD205" s="1056"/>
      <c r="ASE205" s="1056"/>
      <c r="ASF205" s="1056"/>
      <c r="ASG205" s="1056"/>
      <c r="ASH205" s="1056"/>
      <c r="ASI205" s="1056"/>
      <c r="ASJ205" s="1056"/>
      <c r="ASK205" s="1056"/>
      <c r="ASL205" s="1056"/>
      <c r="ASM205" s="1056"/>
      <c r="ASN205" s="1056"/>
      <c r="ASO205" s="1056"/>
      <c r="ASP205" s="1056"/>
      <c r="ASQ205" s="1056"/>
      <c r="ASR205" s="1056"/>
      <c r="ASS205" s="1056"/>
      <c r="AST205" s="1056"/>
      <c r="ASU205" s="1056"/>
      <c r="ASV205" s="1056"/>
      <c r="ASW205" s="1056"/>
      <c r="ASX205" s="1056"/>
      <c r="ASY205" s="1056"/>
      <c r="ASZ205" s="1056"/>
      <c r="ATA205" s="1056"/>
      <c r="ATB205" s="1056"/>
      <c r="ATC205" s="1056"/>
      <c r="ATD205" s="1056"/>
      <c r="ATE205" s="1056"/>
      <c r="ATF205" s="1056"/>
      <c r="ATG205" s="1056"/>
      <c r="ATH205" s="1056"/>
      <c r="ATI205" s="1056"/>
      <c r="ATJ205" s="1056"/>
      <c r="ATK205" s="1056"/>
      <c r="ATL205" s="1056"/>
      <c r="ATM205" s="1056"/>
      <c r="ATN205" s="1056"/>
      <c r="ATO205" s="1056"/>
      <c r="ATP205" s="1056"/>
      <c r="ATQ205" s="1056"/>
      <c r="ATR205" s="1056"/>
      <c r="ATS205" s="1056"/>
      <c r="ATT205" s="1056"/>
      <c r="ATU205" s="1056"/>
      <c r="ATV205" s="1056"/>
      <c r="ATW205" s="1056"/>
      <c r="ATX205" s="1056"/>
      <c r="ATY205" s="1056"/>
      <c r="ATZ205" s="1056"/>
      <c r="AUA205" s="1056"/>
      <c r="AUB205" s="1056"/>
      <c r="AUC205" s="1056"/>
      <c r="AUD205" s="1056"/>
      <c r="AUE205" s="1056"/>
      <c r="AUF205" s="1056"/>
      <c r="AUG205" s="1056"/>
      <c r="AUH205" s="1056"/>
      <c r="AUI205" s="1056"/>
      <c r="AUJ205" s="1056"/>
      <c r="AUK205" s="1056"/>
      <c r="AUL205" s="1056"/>
      <c r="AUM205" s="1056"/>
      <c r="AUN205" s="1056"/>
      <c r="AUO205" s="1056"/>
      <c r="AUP205" s="1056"/>
      <c r="AUQ205" s="1056"/>
      <c r="AUR205" s="1056"/>
      <c r="AUS205" s="1056"/>
      <c r="AUT205" s="1056"/>
      <c r="AUU205" s="1056"/>
      <c r="AUV205" s="1056"/>
      <c r="AUW205" s="1056"/>
      <c r="AUX205" s="1056"/>
      <c r="AUY205" s="1056"/>
      <c r="AUZ205" s="1056"/>
      <c r="AVA205" s="1056"/>
      <c r="AVB205" s="1056"/>
      <c r="AVC205" s="1056"/>
      <c r="AVD205" s="1056"/>
      <c r="AVE205" s="1056"/>
      <c r="AVF205" s="1056"/>
      <c r="AVG205" s="1056"/>
      <c r="AVH205" s="1056"/>
      <c r="AVI205" s="1056"/>
      <c r="AVJ205" s="1056"/>
      <c r="AVK205" s="1056"/>
      <c r="AVL205" s="1056"/>
      <c r="AVM205" s="1056"/>
      <c r="AVN205" s="1056"/>
      <c r="AVO205" s="1056"/>
      <c r="AVP205" s="1056"/>
      <c r="AVQ205" s="1056"/>
      <c r="AVR205" s="1056"/>
      <c r="AVS205" s="1056"/>
      <c r="AVT205" s="1056"/>
      <c r="AVU205" s="1056"/>
      <c r="AVV205" s="1056"/>
      <c r="AVW205" s="1056"/>
      <c r="AVX205" s="1056"/>
      <c r="AVY205" s="1056"/>
      <c r="AVZ205" s="1056"/>
      <c r="AWA205" s="1056"/>
      <c r="AWB205" s="1056"/>
      <c r="AWC205" s="1056"/>
      <c r="AWD205" s="1056"/>
      <c r="AWE205" s="1056"/>
      <c r="AWF205" s="1056"/>
      <c r="AWG205" s="1056"/>
      <c r="AWH205" s="1056"/>
      <c r="AWI205" s="1056"/>
      <c r="AWJ205" s="1056"/>
      <c r="AWK205" s="1056"/>
      <c r="AWL205" s="1056"/>
      <c r="AWM205" s="1056"/>
      <c r="AWN205" s="1056"/>
      <c r="AWO205" s="1056"/>
      <c r="AWP205" s="1056"/>
      <c r="AWQ205" s="1056"/>
      <c r="AWR205" s="1056"/>
      <c r="AWS205" s="1056"/>
      <c r="AWT205" s="1056"/>
      <c r="AWU205" s="1056"/>
      <c r="AWV205" s="1056"/>
      <c r="AWW205" s="1056"/>
      <c r="AWX205" s="1056"/>
      <c r="AWY205" s="1056"/>
      <c r="AWZ205" s="1056"/>
      <c r="AXA205" s="1056"/>
      <c r="AXB205" s="1056"/>
      <c r="AXC205" s="1056"/>
      <c r="AXD205" s="1056"/>
      <c r="AXE205" s="1056"/>
      <c r="AXF205" s="1056"/>
      <c r="AXG205" s="1056"/>
      <c r="AXH205" s="1056"/>
      <c r="AXI205" s="1056"/>
      <c r="AXJ205" s="1056"/>
      <c r="AXK205" s="1056"/>
      <c r="AXL205" s="1056"/>
      <c r="AXM205" s="1056"/>
      <c r="AXN205" s="1056"/>
      <c r="AXO205" s="1056"/>
      <c r="AXP205" s="1056"/>
      <c r="AXQ205" s="1056"/>
      <c r="AXR205" s="1056"/>
      <c r="AXS205" s="1056"/>
      <c r="AXT205" s="1056"/>
      <c r="AXU205" s="1056"/>
      <c r="AXV205" s="1056"/>
      <c r="AXW205" s="1056"/>
      <c r="AXX205" s="1056"/>
      <c r="AXY205" s="1056"/>
      <c r="AXZ205" s="1056"/>
      <c r="AYA205" s="1056"/>
      <c r="AYB205" s="1056"/>
      <c r="AYC205" s="1056"/>
      <c r="AYD205" s="1056"/>
      <c r="AYE205" s="1056"/>
      <c r="AYF205" s="1056"/>
      <c r="AYG205" s="1056"/>
      <c r="AYH205" s="1056"/>
      <c r="AYI205" s="1056"/>
      <c r="AYJ205" s="1056"/>
      <c r="AYK205" s="1056"/>
      <c r="AYL205" s="1056"/>
      <c r="AYM205" s="1056"/>
      <c r="AYN205" s="1056"/>
      <c r="AYO205" s="1056"/>
      <c r="AYP205" s="1056"/>
      <c r="AYQ205" s="1056"/>
      <c r="AYR205" s="1056"/>
      <c r="AYS205" s="1056"/>
      <c r="AYT205" s="1056"/>
      <c r="AYU205" s="1056"/>
      <c r="AYV205" s="1056"/>
      <c r="AYW205" s="1056"/>
      <c r="AYX205" s="1056"/>
      <c r="AYY205" s="1056"/>
      <c r="AYZ205" s="1056"/>
      <c r="AZA205" s="1056"/>
      <c r="AZB205" s="1056"/>
      <c r="AZC205" s="1056"/>
      <c r="AZD205" s="1056"/>
      <c r="AZE205" s="1056"/>
      <c r="AZF205" s="1056"/>
      <c r="AZG205" s="1056"/>
      <c r="AZH205" s="1056"/>
      <c r="AZI205" s="1056"/>
      <c r="AZJ205" s="1056"/>
      <c r="AZK205" s="1056"/>
      <c r="AZL205" s="1056"/>
      <c r="AZM205" s="1056"/>
      <c r="AZN205" s="1056"/>
      <c r="AZO205" s="1056"/>
      <c r="AZP205" s="1056"/>
      <c r="AZQ205" s="1056"/>
      <c r="AZR205" s="1056"/>
      <c r="AZS205" s="1056"/>
      <c r="AZT205" s="1056"/>
      <c r="AZU205" s="1056"/>
      <c r="AZV205" s="1056"/>
      <c r="AZW205" s="1056"/>
      <c r="AZX205" s="1056"/>
      <c r="AZY205" s="1056"/>
      <c r="AZZ205" s="1056"/>
      <c r="BAA205" s="1056"/>
      <c r="BAB205" s="1056"/>
      <c r="BAC205" s="1056"/>
      <c r="BAD205" s="1056"/>
      <c r="BAE205" s="1056"/>
      <c r="BAF205" s="1056"/>
      <c r="BAG205" s="1056"/>
      <c r="BAH205" s="1056"/>
      <c r="BAI205" s="1056"/>
      <c r="BAJ205" s="1056"/>
      <c r="BAK205" s="1056"/>
      <c r="BAL205" s="1056"/>
      <c r="BAM205" s="1056"/>
      <c r="BAN205" s="1056"/>
      <c r="BAO205" s="1056"/>
      <c r="BAP205" s="1056"/>
      <c r="BAQ205" s="1056"/>
      <c r="BAR205" s="1056"/>
      <c r="BAS205" s="1056"/>
      <c r="BAT205" s="1056"/>
      <c r="BAU205" s="1056"/>
      <c r="BAV205" s="1056"/>
      <c r="BAW205" s="1056"/>
      <c r="BAX205" s="1056"/>
      <c r="BAY205" s="1056"/>
      <c r="BAZ205" s="1056"/>
      <c r="BBA205" s="1056"/>
      <c r="BBB205" s="1056"/>
      <c r="BBC205" s="1056"/>
      <c r="BBD205" s="1056"/>
      <c r="BBE205" s="1056"/>
      <c r="BBF205" s="1056"/>
      <c r="BBG205" s="1056"/>
      <c r="BBH205" s="1056"/>
      <c r="BBI205" s="1056"/>
      <c r="BBJ205" s="1056"/>
      <c r="BBK205" s="1056"/>
      <c r="BBL205" s="1056"/>
      <c r="BBM205" s="1056"/>
      <c r="BBN205" s="1056"/>
      <c r="BBO205" s="1056"/>
      <c r="BBP205" s="1056"/>
      <c r="BBQ205" s="1056"/>
      <c r="BBR205" s="1056"/>
      <c r="BBS205" s="1056"/>
      <c r="BBT205" s="1056"/>
      <c r="BBU205" s="1056"/>
      <c r="BBV205" s="1056"/>
      <c r="BBW205" s="1056"/>
      <c r="BBX205" s="1056"/>
      <c r="BBY205" s="1056"/>
      <c r="BBZ205" s="1056"/>
      <c r="BCA205" s="1056"/>
      <c r="BCB205" s="1056"/>
      <c r="BCC205" s="1056"/>
      <c r="BCD205" s="1056"/>
      <c r="BCE205" s="1056"/>
      <c r="BCF205" s="1056"/>
      <c r="BCG205" s="1056"/>
      <c r="BCH205" s="1056"/>
      <c r="BCI205" s="1056"/>
      <c r="BCJ205" s="1056"/>
      <c r="BCK205" s="1056"/>
      <c r="BCL205" s="1056"/>
      <c r="BCM205" s="1056"/>
      <c r="BCN205" s="1056"/>
      <c r="BCO205" s="1056"/>
      <c r="BCP205" s="1056"/>
      <c r="BCQ205" s="1056"/>
      <c r="BCR205" s="1056"/>
      <c r="BCS205" s="1056"/>
      <c r="BCT205" s="1056"/>
      <c r="BCU205" s="1056"/>
      <c r="BCV205" s="1056"/>
      <c r="BCW205" s="1056"/>
      <c r="BCX205" s="1056"/>
      <c r="BCY205" s="1056"/>
      <c r="BCZ205" s="1056"/>
      <c r="BDA205" s="1056"/>
      <c r="BDB205" s="1056"/>
      <c r="BDC205" s="1056"/>
      <c r="BDD205" s="1056"/>
      <c r="BDE205" s="1056"/>
      <c r="BDF205" s="1056"/>
      <c r="BDG205" s="1056"/>
      <c r="BDH205" s="1056"/>
      <c r="BDI205" s="1056"/>
      <c r="BDJ205" s="1056"/>
      <c r="BDK205" s="1056"/>
      <c r="BDL205" s="1056"/>
      <c r="BDM205" s="1056"/>
      <c r="BDN205" s="1056"/>
      <c r="BDO205" s="1056"/>
      <c r="BDP205" s="1056"/>
      <c r="BDQ205" s="1056"/>
      <c r="BDR205" s="1056"/>
      <c r="BDS205" s="1056"/>
      <c r="BDT205" s="1056"/>
      <c r="BDU205" s="1056"/>
      <c r="BDV205" s="1056"/>
      <c r="BDW205" s="1056"/>
      <c r="BDX205" s="1056"/>
      <c r="BDY205" s="1056"/>
      <c r="BDZ205" s="1056"/>
      <c r="BEA205" s="1056"/>
      <c r="BEB205" s="1056"/>
      <c r="BEC205" s="1056"/>
      <c r="BED205" s="1056"/>
      <c r="BEE205" s="1056"/>
      <c r="BEF205" s="1056"/>
      <c r="BEG205" s="1056"/>
      <c r="BEH205" s="1056"/>
      <c r="BEI205" s="1056"/>
      <c r="BEJ205" s="1056"/>
      <c r="BEK205" s="1056"/>
      <c r="BEL205" s="1056"/>
      <c r="BEM205" s="1056"/>
      <c r="BEN205" s="1056"/>
      <c r="BEO205" s="1056"/>
      <c r="BEP205" s="1056"/>
      <c r="BEQ205" s="1056"/>
      <c r="BER205" s="1056"/>
      <c r="BES205" s="1056"/>
      <c r="BET205" s="1056"/>
      <c r="BEU205" s="1056"/>
      <c r="BEV205" s="1056"/>
      <c r="BEW205" s="1056"/>
      <c r="BEX205" s="1056"/>
      <c r="BEY205" s="1056"/>
      <c r="BEZ205" s="1056"/>
      <c r="BFA205" s="1056"/>
      <c r="BFB205" s="1056"/>
      <c r="BFC205" s="1056"/>
      <c r="BFD205" s="1056"/>
      <c r="BFE205" s="1056"/>
      <c r="BFF205" s="1056"/>
      <c r="BFG205" s="1056"/>
      <c r="BFH205" s="1056"/>
      <c r="BFI205" s="1056"/>
      <c r="BFJ205" s="1056"/>
      <c r="BFK205" s="1056"/>
      <c r="BFL205" s="1056"/>
      <c r="BFM205" s="1056"/>
      <c r="BFN205" s="1056"/>
      <c r="BFO205" s="1056"/>
      <c r="BFP205" s="1056"/>
      <c r="BFQ205" s="1056"/>
      <c r="BFR205" s="1056"/>
      <c r="BFS205" s="1056"/>
      <c r="BFT205" s="1056"/>
      <c r="BFU205" s="1056"/>
      <c r="BFV205" s="1056"/>
      <c r="BFW205" s="1056"/>
      <c r="BFX205" s="1056"/>
      <c r="BFY205" s="1056"/>
      <c r="BFZ205" s="1056"/>
      <c r="BGA205" s="1056"/>
      <c r="BGB205" s="1056"/>
      <c r="BGC205" s="1056"/>
      <c r="BGD205" s="1056"/>
      <c r="BGE205" s="1056"/>
      <c r="BGF205" s="1056"/>
      <c r="BGG205" s="1056"/>
      <c r="BGH205" s="1056"/>
      <c r="BGI205" s="1056"/>
      <c r="BGJ205" s="1056"/>
      <c r="BGK205" s="1056"/>
      <c r="BGL205" s="1056"/>
      <c r="BGM205" s="1056"/>
      <c r="BGN205" s="1056"/>
      <c r="BGO205" s="1056"/>
      <c r="BGP205" s="1056"/>
      <c r="BGQ205" s="1056"/>
      <c r="BGR205" s="1056"/>
      <c r="BGS205" s="1056"/>
      <c r="BGT205" s="1056"/>
      <c r="BGU205" s="1056"/>
      <c r="BGV205" s="1056"/>
      <c r="BGW205" s="1056"/>
      <c r="BGX205" s="1056"/>
      <c r="BGY205" s="1056"/>
      <c r="BGZ205" s="1056"/>
      <c r="BHA205" s="1056"/>
      <c r="BHB205" s="1056"/>
      <c r="BHC205" s="1056"/>
      <c r="BHD205" s="1056"/>
      <c r="BHE205" s="1056"/>
      <c r="BHF205" s="1056"/>
      <c r="BHG205" s="1056"/>
      <c r="BHH205" s="1056"/>
      <c r="BHI205" s="1056"/>
      <c r="BHJ205" s="1056"/>
      <c r="BHK205" s="1056"/>
      <c r="BHL205" s="1056"/>
      <c r="BHM205" s="1056"/>
      <c r="BHN205" s="1056"/>
      <c r="BHO205" s="1056"/>
      <c r="BHP205" s="1056"/>
      <c r="BHQ205" s="1056"/>
      <c r="BHR205" s="1056"/>
      <c r="BHS205" s="1056"/>
      <c r="BHT205" s="1056"/>
      <c r="BHU205" s="1056"/>
      <c r="BHV205" s="1056"/>
      <c r="BHW205" s="1056"/>
      <c r="BHX205" s="1056"/>
      <c r="BHY205" s="1056"/>
      <c r="BHZ205" s="1056"/>
      <c r="BIA205" s="1056"/>
      <c r="BIB205" s="1056"/>
      <c r="BIC205" s="1056"/>
      <c r="BID205" s="1056"/>
      <c r="BIE205" s="1056"/>
      <c r="BIF205" s="1056"/>
      <c r="BIG205" s="1056"/>
      <c r="BIH205" s="1056"/>
      <c r="BII205" s="1056"/>
      <c r="BIJ205" s="1056"/>
      <c r="BIK205" s="1056"/>
      <c r="BIL205" s="1056"/>
      <c r="BIM205" s="1056"/>
      <c r="BIN205" s="1056"/>
      <c r="BIO205" s="1056"/>
      <c r="BIP205" s="1056"/>
      <c r="BIQ205" s="1056"/>
      <c r="BIR205" s="1056"/>
      <c r="BIS205" s="1056"/>
      <c r="BIT205" s="1056"/>
      <c r="BIU205" s="1056"/>
      <c r="BIV205" s="1056"/>
      <c r="BIW205" s="1056"/>
      <c r="BIX205" s="1056"/>
      <c r="BIY205" s="1056"/>
      <c r="BIZ205" s="1056"/>
      <c r="BJA205" s="1056"/>
      <c r="BJB205" s="1056"/>
      <c r="BJC205" s="1056"/>
      <c r="BJD205" s="1056"/>
      <c r="BJE205" s="1056"/>
      <c r="BJF205" s="1056"/>
      <c r="BJG205" s="1056"/>
      <c r="BJH205" s="1056"/>
      <c r="BJI205" s="1056"/>
      <c r="BJJ205" s="1056"/>
      <c r="BJK205" s="1056"/>
      <c r="BJL205" s="1056"/>
      <c r="BJM205" s="1056"/>
      <c r="BJN205" s="1056"/>
      <c r="BJO205" s="1056"/>
      <c r="BJP205" s="1056"/>
      <c r="BJQ205" s="1056"/>
      <c r="BJR205" s="1056"/>
      <c r="BJS205" s="1056"/>
      <c r="BJT205" s="1056"/>
      <c r="BJU205" s="1056"/>
      <c r="BJV205" s="1056"/>
      <c r="BJW205" s="1056"/>
      <c r="BJX205" s="1056"/>
      <c r="BJY205" s="1056"/>
      <c r="BJZ205" s="1056"/>
      <c r="BKA205" s="1056"/>
      <c r="BKB205" s="1056"/>
      <c r="BKC205" s="1056"/>
      <c r="BKD205" s="1056"/>
      <c r="BKE205" s="1056"/>
      <c r="BKF205" s="1056"/>
      <c r="BKG205" s="1056"/>
      <c r="BKH205" s="1056"/>
      <c r="BKI205" s="1056"/>
      <c r="BKJ205" s="1056"/>
      <c r="BKK205" s="1056"/>
      <c r="BKL205" s="1056"/>
      <c r="BKM205" s="1056"/>
      <c r="BKN205" s="1056"/>
      <c r="BKO205" s="1056"/>
      <c r="BKP205" s="1056"/>
      <c r="BKQ205" s="1056"/>
      <c r="BKR205" s="1056"/>
      <c r="BKS205" s="1056"/>
      <c r="BKT205" s="1056"/>
      <c r="BKU205" s="1056"/>
      <c r="BKV205" s="1056"/>
      <c r="BKW205" s="1056"/>
      <c r="BKX205" s="1056"/>
      <c r="BKY205" s="1056"/>
      <c r="BKZ205" s="1056"/>
      <c r="BLA205" s="1056"/>
      <c r="BLB205" s="1056"/>
      <c r="BLC205" s="1056"/>
      <c r="BLD205" s="1056"/>
      <c r="BLE205" s="1056"/>
      <c r="BLF205" s="1056"/>
      <c r="BLG205" s="1056"/>
      <c r="BLH205" s="1056"/>
      <c r="BLI205" s="1056"/>
      <c r="BLJ205" s="1056"/>
      <c r="BLK205" s="1056"/>
      <c r="BLL205" s="1056"/>
      <c r="BLM205" s="1056"/>
      <c r="BLN205" s="1056"/>
      <c r="BLO205" s="1056"/>
      <c r="BLP205" s="1056"/>
      <c r="BLQ205" s="1056"/>
      <c r="BLR205" s="1056"/>
      <c r="BLS205" s="1056"/>
      <c r="BLT205" s="1056"/>
      <c r="BLU205" s="1056"/>
      <c r="BLV205" s="1056"/>
      <c r="BLW205" s="1056"/>
      <c r="BLX205" s="1056"/>
      <c r="BLY205" s="1056"/>
      <c r="BLZ205" s="1056"/>
      <c r="BMA205" s="1056"/>
      <c r="BMB205" s="1056"/>
      <c r="BMC205" s="1056"/>
      <c r="BMD205" s="1056"/>
      <c r="BME205" s="1056"/>
      <c r="BMF205" s="1056"/>
      <c r="BMG205" s="1056"/>
      <c r="BMH205" s="1056"/>
      <c r="BMI205" s="1056"/>
      <c r="BMJ205" s="1056"/>
      <c r="BMK205" s="1056"/>
      <c r="BML205" s="1056"/>
      <c r="BMM205" s="1056"/>
      <c r="BMN205" s="1056"/>
      <c r="BMO205" s="1056"/>
      <c r="BMP205" s="1056"/>
      <c r="BMQ205" s="1056"/>
      <c r="BMR205" s="1056"/>
      <c r="BMS205" s="1056"/>
      <c r="BMT205" s="1056"/>
      <c r="BMU205" s="1056"/>
      <c r="BMV205" s="1056"/>
      <c r="BMW205" s="1056"/>
      <c r="BMX205" s="1056"/>
      <c r="BMY205" s="1056"/>
      <c r="BMZ205" s="1056"/>
      <c r="BNA205" s="1056"/>
      <c r="BNB205" s="1056"/>
      <c r="BNC205" s="1056"/>
      <c r="BND205" s="1056"/>
      <c r="BNE205" s="1056"/>
      <c r="BNF205" s="1056"/>
      <c r="BNG205" s="1056"/>
      <c r="BNH205" s="1056"/>
      <c r="BNI205" s="1056"/>
      <c r="BNJ205" s="1056"/>
      <c r="BNK205" s="1056"/>
      <c r="BNL205" s="1056"/>
      <c r="BNM205" s="1056"/>
      <c r="BNN205" s="1056"/>
      <c r="BNO205" s="1056"/>
      <c r="BNP205" s="1056"/>
      <c r="BNQ205" s="1056"/>
      <c r="BNR205" s="1056"/>
      <c r="BNS205" s="1056"/>
      <c r="BNT205" s="1056"/>
      <c r="BNU205" s="1056"/>
      <c r="BNV205" s="1056"/>
      <c r="BNW205" s="1056"/>
      <c r="BNX205" s="1056"/>
      <c r="BNY205" s="1056"/>
      <c r="BNZ205" s="1056"/>
      <c r="BOA205" s="1056"/>
      <c r="BOB205" s="1056"/>
      <c r="BOC205" s="1056"/>
      <c r="BOD205" s="1056"/>
      <c r="BOE205" s="1056"/>
      <c r="BOF205" s="1056"/>
      <c r="BOG205" s="1056"/>
      <c r="BOH205" s="1056"/>
      <c r="BOI205" s="1056"/>
      <c r="BOJ205" s="1056"/>
      <c r="BOK205" s="1056"/>
      <c r="BOL205" s="1056"/>
      <c r="BOM205" s="1056"/>
      <c r="BON205" s="1056"/>
      <c r="BOO205" s="1056"/>
      <c r="BOP205" s="1056"/>
      <c r="BOQ205" s="1056"/>
      <c r="BOR205" s="1056"/>
      <c r="BOS205" s="1056"/>
      <c r="BOT205" s="1056"/>
      <c r="BOU205" s="1056"/>
      <c r="BOV205" s="1056"/>
      <c r="BOW205" s="1056"/>
      <c r="BOX205" s="1056"/>
      <c r="BOY205" s="1056"/>
      <c r="BOZ205" s="1056"/>
      <c r="BPA205" s="1056"/>
      <c r="BPB205" s="1056"/>
      <c r="BPC205" s="1056"/>
      <c r="BPD205" s="1056"/>
      <c r="BPE205" s="1056"/>
      <c r="BPF205" s="1056"/>
      <c r="BPG205" s="1056"/>
      <c r="BPH205" s="1056"/>
      <c r="BPI205" s="1056"/>
      <c r="BPJ205" s="1056"/>
      <c r="BPK205" s="1056"/>
      <c r="BPL205" s="1056"/>
      <c r="BPM205" s="1056"/>
      <c r="BPN205" s="1056"/>
      <c r="BPO205" s="1056"/>
      <c r="BPP205" s="1056"/>
      <c r="BPQ205" s="1056"/>
      <c r="BPR205" s="1056"/>
      <c r="BPS205" s="1056"/>
      <c r="BPT205" s="1056"/>
      <c r="BPU205" s="1056"/>
      <c r="BPV205" s="1056"/>
      <c r="BPW205" s="1056"/>
      <c r="BPX205" s="1056"/>
      <c r="BPY205" s="1056"/>
      <c r="BPZ205" s="1056"/>
      <c r="BQA205" s="1056"/>
      <c r="BQB205" s="1056"/>
      <c r="BQC205" s="1056"/>
      <c r="BQD205" s="1056"/>
      <c r="BQE205" s="1056"/>
      <c r="BQF205" s="1056"/>
      <c r="BQG205" s="1056"/>
      <c r="BQH205" s="1056"/>
      <c r="BQI205" s="1056"/>
      <c r="BQJ205" s="1056"/>
      <c r="BQK205" s="1056"/>
      <c r="BQL205" s="1056"/>
      <c r="BQM205" s="1056"/>
      <c r="BQN205" s="1056"/>
      <c r="BQO205" s="1056"/>
      <c r="BQP205" s="1056"/>
      <c r="BQQ205" s="1056"/>
      <c r="BQR205" s="1056"/>
      <c r="BQS205" s="1056"/>
      <c r="BQT205" s="1056"/>
      <c r="BQU205" s="1056"/>
      <c r="BQV205" s="1056"/>
      <c r="BQW205" s="1056"/>
      <c r="BQX205" s="1056"/>
      <c r="BQY205" s="1056"/>
      <c r="BQZ205" s="1056"/>
      <c r="BRA205" s="1056"/>
      <c r="BRB205" s="1056"/>
      <c r="BRC205" s="1056"/>
      <c r="BRD205" s="1056"/>
      <c r="BRE205" s="1056"/>
      <c r="BRF205" s="1056"/>
      <c r="BRG205" s="1056"/>
      <c r="BRH205" s="1056"/>
      <c r="BRI205" s="1056"/>
      <c r="BRJ205" s="1056"/>
      <c r="BRK205" s="1056"/>
      <c r="BRL205" s="1056"/>
      <c r="BRM205" s="1056"/>
      <c r="BRN205" s="1056"/>
      <c r="BRO205" s="1056"/>
      <c r="BRP205" s="1056"/>
      <c r="BRQ205" s="1056"/>
      <c r="BRR205" s="1056"/>
      <c r="BRS205" s="1056"/>
      <c r="BRT205" s="1056"/>
      <c r="BRU205" s="1056"/>
      <c r="BRV205" s="1056"/>
      <c r="BRW205" s="1056"/>
      <c r="BRX205" s="1056"/>
      <c r="BRY205" s="1056"/>
      <c r="BRZ205" s="1056"/>
      <c r="BSA205" s="1056"/>
      <c r="BSB205" s="1056"/>
      <c r="BSC205" s="1056"/>
      <c r="BSD205" s="1056"/>
      <c r="BSE205" s="1056"/>
      <c r="BSF205" s="1056"/>
      <c r="BSG205" s="1056"/>
      <c r="BSH205" s="1056"/>
      <c r="BSI205" s="1056"/>
      <c r="BSJ205" s="1056"/>
      <c r="BSK205" s="1056"/>
      <c r="BSL205" s="1056"/>
      <c r="BSM205" s="1056"/>
      <c r="BSN205" s="1056"/>
      <c r="BSO205" s="1056"/>
      <c r="BSP205" s="1056"/>
      <c r="BSQ205" s="1056"/>
      <c r="BSR205" s="1056"/>
      <c r="BSS205" s="1056"/>
      <c r="BST205" s="1056"/>
      <c r="BSU205" s="1056"/>
      <c r="BSV205" s="1056"/>
      <c r="BSW205" s="1056"/>
      <c r="BSX205" s="1056"/>
      <c r="BSY205" s="1056"/>
      <c r="BSZ205" s="1056"/>
      <c r="BTA205" s="1056"/>
      <c r="BTB205" s="1056"/>
      <c r="BTC205" s="1056"/>
      <c r="BTD205" s="1056"/>
      <c r="BTE205" s="1056"/>
      <c r="BTF205" s="1056"/>
      <c r="BTG205" s="1056"/>
      <c r="BTH205" s="1056"/>
      <c r="BTI205" s="1056"/>
    </row>
    <row r="206" spans="1:1881" s="1060" customFormat="1" ht="63" hidden="1" customHeight="1" x14ac:dyDescent="0.3">
      <c r="A206" s="1059">
        <v>331</v>
      </c>
      <c r="B206" s="808" t="s">
        <v>302</v>
      </c>
      <c r="C206" s="808" t="s">
        <v>1432</v>
      </c>
      <c r="D206" s="746" t="s">
        <v>1435</v>
      </c>
      <c r="E206" s="1053" t="e">
        <f>HLOOKUP($D$2,'2020 Data(H)'!$C$1:$AI$426,97,FALSE)</f>
        <v>#N/A</v>
      </c>
      <c r="F206" s="286">
        <v>0</v>
      </c>
      <c r="G206" s="722">
        <f>IF(F206&lt;0,"Error: Enter as positive.",)</f>
        <v>0</v>
      </c>
      <c r="H206" s="764"/>
      <c r="I206" s="1055"/>
      <c r="J206" s="1056"/>
      <c r="K206" s="1056"/>
      <c r="L206" s="1056"/>
      <c r="M206" s="1056"/>
      <c r="N206" s="1058"/>
      <c r="O206" s="1056"/>
      <c r="P206" s="1056"/>
      <c r="Q206" s="1056"/>
      <c r="R206" s="1056"/>
      <c r="S206" s="1056"/>
      <c r="T206" s="1056"/>
      <c r="U206" s="1056"/>
      <c r="V206" s="1056"/>
      <c r="W206" s="1056"/>
      <c r="X206" s="1056"/>
      <c r="Y206" s="1056"/>
      <c r="Z206" s="1059"/>
      <c r="AA206" s="1059"/>
      <c r="AB206" s="1059"/>
      <c r="AC206" s="1059"/>
      <c r="AD206" s="1059"/>
      <c r="AE206" s="1059"/>
      <c r="AF206" s="1059"/>
      <c r="AG206" s="1059"/>
      <c r="AH206" s="1059"/>
      <c r="AI206" s="1059"/>
      <c r="AJ206" s="1059"/>
      <c r="AK206" s="1059"/>
      <c r="AL206" s="1059"/>
      <c r="AM206" s="1059"/>
      <c r="AN206" s="1059"/>
      <c r="AO206" s="1059"/>
      <c r="AP206" s="1059"/>
      <c r="AQ206" s="1059"/>
      <c r="AR206" s="1059"/>
      <c r="AS206" s="1056"/>
      <c r="AT206" s="1056"/>
      <c r="AU206" s="1056"/>
      <c r="AV206" s="1056"/>
      <c r="AW206" s="1056"/>
      <c r="AX206" s="1056"/>
      <c r="AY206" s="1056"/>
      <c r="AZ206" s="1056"/>
      <c r="BA206" s="1056"/>
      <c r="BB206" s="1056"/>
      <c r="BC206" s="1056"/>
      <c r="BD206" s="1056"/>
      <c r="BE206" s="1056"/>
      <c r="BF206" s="1056"/>
      <c r="BG206" s="1056"/>
      <c r="BH206" s="1056"/>
      <c r="BI206" s="1056"/>
      <c r="BJ206" s="1056"/>
      <c r="BK206" s="1056"/>
      <c r="BL206" s="1056"/>
      <c r="BM206" s="1056"/>
      <c r="BN206" s="1056"/>
      <c r="BO206" s="1056"/>
      <c r="BP206" s="1056"/>
      <c r="BQ206" s="1056"/>
      <c r="BR206" s="1056"/>
      <c r="BS206" s="1056"/>
      <c r="BT206" s="1056"/>
      <c r="BU206" s="1056"/>
      <c r="BV206" s="1056"/>
      <c r="BW206" s="1056"/>
      <c r="BX206" s="1056"/>
      <c r="BY206" s="1056"/>
      <c r="BZ206" s="1056"/>
      <c r="CA206" s="1056"/>
      <c r="CB206" s="1056"/>
      <c r="CC206" s="1056"/>
      <c r="CD206" s="1056"/>
      <c r="CE206" s="1056"/>
      <c r="CF206" s="1056"/>
      <c r="CG206" s="1056"/>
      <c r="CH206" s="1056"/>
      <c r="CI206" s="1056"/>
      <c r="CJ206" s="1056"/>
      <c r="CK206" s="1056"/>
      <c r="CL206" s="1056"/>
      <c r="CM206" s="1056"/>
      <c r="CN206" s="1056"/>
      <c r="CO206" s="1056"/>
      <c r="CP206" s="1056"/>
      <c r="CQ206" s="1056"/>
      <c r="CR206" s="1056"/>
      <c r="CS206" s="1056"/>
      <c r="CT206" s="1056"/>
      <c r="CU206" s="1056"/>
      <c r="CV206" s="1056"/>
      <c r="CW206" s="1056"/>
      <c r="CX206" s="1056"/>
      <c r="CY206" s="1056"/>
      <c r="CZ206" s="1056"/>
      <c r="DA206" s="1056"/>
      <c r="DB206" s="1056"/>
      <c r="DC206" s="1056"/>
      <c r="DD206" s="1056"/>
      <c r="DE206" s="1056"/>
      <c r="DF206" s="1056"/>
      <c r="DG206" s="1056"/>
      <c r="DH206" s="1056"/>
      <c r="DI206" s="1056"/>
      <c r="DJ206" s="1056"/>
      <c r="DK206" s="1056"/>
      <c r="DL206" s="1056"/>
      <c r="DM206" s="1056"/>
      <c r="DN206" s="1056"/>
      <c r="DO206" s="1056"/>
      <c r="DP206" s="1056"/>
      <c r="DQ206" s="1056"/>
      <c r="DR206" s="1056"/>
      <c r="DS206" s="1056"/>
      <c r="DT206" s="1056"/>
      <c r="DU206" s="1056"/>
      <c r="DV206" s="1056"/>
      <c r="DW206" s="1056"/>
      <c r="DX206" s="1056"/>
      <c r="DY206" s="1056"/>
      <c r="DZ206" s="1056"/>
      <c r="EA206" s="1056"/>
      <c r="EB206" s="1056"/>
      <c r="EC206" s="1056"/>
      <c r="ED206" s="1056"/>
      <c r="EE206" s="1056"/>
      <c r="EF206" s="1056"/>
      <c r="EG206" s="1056"/>
      <c r="EH206" s="1056"/>
      <c r="EI206" s="1056"/>
      <c r="EJ206" s="1056"/>
      <c r="EK206" s="1056"/>
      <c r="EL206" s="1056"/>
      <c r="EM206" s="1056"/>
      <c r="EN206" s="1056"/>
      <c r="EO206" s="1056"/>
      <c r="EP206" s="1056"/>
      <c r="EQ206" s="1056"/>
      <c r="ER206" s="1056"/>
      <c r="ES206" s="1056"/>
      <c r="ET206" s="1056"/>
      <c r="EU206" s="1056"/>
      <c r="EV206" s="1056"/>
      <c r="EW206" s="1056"/>
      <c r="EX206" s="1056"/>
      <c r="EY206" s="1056"/>
      <c r="EZ206" s="1056"/>
      <c r="FA206" s="1056"/>
      <c r="FB206" s="1056"/>
      <c r="FC206" s="1056"/>
      <c r="FD206" s="1056"/>
      <c r="FE206" s="1056"/>
      <c r="FF206" s="1056"/>
      <c r="FG206" s="1056"/>
      <c r="FH206" s="1056"/>
      <c r="FI206" s="1056"/>
      <c r="FJ206" s="1056"/>
      <c r="FK206" s="1056"/>
      <c r="FL206" s="1056"/>
      <c r="FM206" s="1056"/>
      <c r="FN206" s="1056"/>
      <c r="FO206" s="1056"/>
      <c r="FP206" s="1056"/>
      <c r="FQ206" s="1056"/>
      <c r="FR206" s="1056"/>
      <c r="FS206" s="1056"/>
      <c r="FT206" s="1056"/>
      <c r="FU206" s="1056"/>
      <c r="FV206" s="1056"/>
      <c r="FW206" s="1056"/>
      <c r="FX206" s="1056"/>
      <c r="FY206" s="1056"/>
      <c r="FZ206" s="1056"/>
      <c r="GA206" s="1056"/>
      <c r="GB206" s="1056"/>
      <c r="GC206" s="1056"/>
      <c r="GD206" s="1056"/>
      <c r="GE206" s="1056"/>
      <c r="GF206" s="1056"/>
      <c r="GG206" s="1056"/>
      <c r="GH206" s="1056"/>
      <c r="GI206" s="1056"/>
      <c r="GJ206" s="1056"/>
      <c r="GK206" s="1056"/>
      <c r="GL206" s="1056"/>
      <c r="GM206" s="1056"/>
      <c r="GN206" s="1056"/>
      <c r="GO206" s="1056"/>
      <c r="GP206" s="1056"/>
      <c r="GQ206" s="1056"/>
      <c r="GR206" s="1056"/>
      <c r="GS206" s="1056"/>
      <c r="GT206" s="1056"/>
      <c r="GU206" s="1056"/>
      <c r="GV206" s="1056"/>
      <c r="GW206" s="1056"/>
      <c r="GX206" s="1056"/>
      <c r="GY206" s="1056"/>
      <c r="GZ206" s="1056"/>
      <c r="HA206" s="1056"/>
      <c r="HB206" s="1056"/>
      <c r="HC206" s="1056"/>
      <c r="HD206" s="1056"/>
      <c r="HE206" s="1056"/>
      <c r="HF206" s="1056"/>
      <c r="HG206" s="1056"/>
      <c r="HH206" s="1056"/>
      <c r="HI206" s="1056"/>
      <c r="HJ206" s="1056"/>
      <c r="HK206" s="1056"/>
      <c r="HL206" s="1056"/>
      <c r="HM206" s="1056"/>
      <c r="HN206" s="1056"/>
      <c r="HO206" s="1056"/>
      <c r="HP206" s="1056"/>
      <c r="HQ206" s="1056"/>
      <c r="HR206" s="1056"/>
      <c r="HS206" s="1056"/>
      <c r="HT206" s="1056"/>
      <c r="HU206" s="1056"/>
      <c r="HV206" s="1056"/>
      <c r="HW206" s="1056"/>
      <c r="HX206" s="1056"/>
      <c r="HY206" s="1056"/>
      <c r="HZ206" s="1056"/>
      <c r="IA206" s="1056"/>
      <c r="IB206" s="1056"/>
      <c r="IC206" s="1056"/>
      <c r="ID206" s="1056"/>
      <c r="IE206" s="1056"/>
      <c r="IF206" s="1056"/>
      <c r="IG206" s="1056"/>
      <c r="IH206" s="1056"/>
      <c r="II206" s="1056"/>
      <c r="IJ206" s="1056"/>
      <c r="IK206" s="1056"/>
      <c r="IL206" s="1056"/>
      <c r="IM206" s="1056"/>
      <c r="IN206" s="1056"/>
      <c r="IO206" s="1056"/>
      <c r="IP206" s="1056"/>
      <c r="IQ206" s="1056"/>
      <c r="IR206" s="1056"/>
      <c r="IS206" s="1056"/>
      <c r="IT206" s="1056"/>
      <c r="IU206" s="1056"/>
      <c r="IV206" s="1056"/>
      <c r="IW206" s="1056"/>
      <c r="IX206" s="1056"/>
      <c r="IY206" s="1056"/>
      <c r="IZ206" s="1056"/>
      <c r="JA206" s="1056"/>
      <c r="JB206" s="1056"/>
      <c r="JC206" s="1056"/>
      <c r="JD206" s="1056"/>
      <c r="JE206" s="1056"/>
      <c r="JF206" s="1056"/>
      <c r="JG206" s="1056"/>
      <c r="JH206" s="1056"/>
      <c r="JI206" s="1056"/>
      <c r="JJ206" s="1056"/>
      <c r="JK206" s="1056"/>
      <c r="JL206" s="1056"/>
      <c r="JM206" s="1056"/>
      <c r="JN206" s="1056"/>
      <c r="JO206" s="1056"/>
      <c r="JP206" s="1056"/>
      <c r="JQ206" s="1056"/>
      <c r="JR206" s="1056"/>
      <c r="JS206" s="1056"/>
      <c r="JT206" s="1056"/>
      <c r="JU206" s="1056"/>
      <c r="JV206" s="1056"/>
      <c r="JW206" s="1056"/>
      <c r="JX206" s="1056"/>
      <c r="JY206" s="1056"/>
      <c r="JZ206" s="1056"/>
      <c r="KA206" s="1056"/>
      <c r="KB206" s="1056"/>
      <c r="KC206" s="1056"/>
      <c r="KD206" s="1056"/>
      <c r="KE206" s="1056"/>
      <c r="KF206" s="1056"/>
      <c r="KG206" s="1056"/>
      <c r="KH206" s="1056"/>
      <c r="KI206" s="1056"/>
      <c r="KJ206" s="1056"/>
      <c r="KK206" s="1056"/>
      <c r="KL206" s="1056"/>
      <c r="KM206" s="1056"/>
      <c r="KN206" s="1056"/>
      <c r="KO206" s="1056"/>
      <c r="KP206" s="1056"/>
      <c r="KQ206" s="1056"/>
      <c r="KR206" s="1056"/>
      <c r="KS206" s="1056"/>
      <c r="KT206" s="1056"/>
      <c r="KU206" s="1056"/>
      <c r="KV206" s="1056"/>
      <c r="KW206" s="1056"/>
      <c r="KX206" s="1056"/>
      <c r="KY206" s="1056"/>
      <c r="KZ206" s="1056"/>
      <c r="LA206" s="1056"/>
      <c r="LB206" s="1056"/>
      <c r="LC206" s="1056"/>
      <c r="LD206" s="1056"/>
      <c r="LE206" s="1056"/>
      <c r="LF206" s="1056"/>
      <c r="LG206" s="1056"/>
      <c r="LH206" s="1056"/>
      <c r="LI206" s="1056"/>
      <c r="LJ206" s="1056"/>
      <c r="LK206" s="1056"/>
      <c r="LL206" s="1056"/>
      <c r="LM206" s="1056"/>
      <c r="LN206" s="1056"/>
      <c r="LO206" s="1056"/>
      <c r="LP206" s="1056"/>
      <c r="LQ206" s="1056"/>
      <c r="LR206" s="1056"/>
      <c r="LS206" s="1056"/>
      <c r="LT206" s="1056"/>
      <c r="LU206" s="1056"/>
      <c r="LV206" s="1056"/>
      <c r="LW206" s="1056"/>
      <c r="LX206" s="1056"/>
      <c r="LY206" s="1056"/>
      <c r="LZ206" s="1056"/>
      <c r="MA206" s="1056"/>
      <c r="MB206" s="1056"/>
      <c r="MC206" s="1056"/>
      <c r="MD206" s="1056"/>
      <c r="ME206" s="1056"/>
      <c r="MF206" s="1056"/>
      <c r="MG206" s="1056"/>
      <c r="MH206" s="1056"/>
      <c r="MI206" s="1056"/>
      <c r="MJ206" s="1056"/>
      <c r="MK206" s="1056"/>
      <c r="ML206" s="1056"/>
      <c r="MM206" s="1056"/>
      <c r="MN206" s="1056"/>
      <c r="MO206" s="1056"/>
      <c r="MP206" s="1056"/>
      <c r="MQ206" s="1056"/>
      <c r="MR206" s="1056"/>
      <c r="MS206" s="1056"/>
      <c r="MT206" s="1056"/>
      <c r="MU206" s="1056"/>
      <c r="MV206" s="1056"/>
      <c r="MW206" s="1056"/>
      <c r="MX206" s="1056"/>
      <c r="MY206" s="1056"/>
      <c r="MZ206" s="1056"/>
      <c r="NA206" s="1056"/>
      <c r="NB206" s="1056"/>
      <c r="NC206" s="1056"/>
      <c r="ND206" s="1056"/>
      <c r="NE206" s="1056"/>
      <c r="NF206" s="1056"/>
      <c r="NG206" s="1056"/>
      <c r="NH206" s="1056"/>
      <c r="NI206" s="1056"/>
      <c r="NJ206" s="1056"/>
      <c r="NK206" s="1056"/>
      <c r="NL206" s="1056"/>
      <c r="NM206" s="1056"/>
      <c r="NN206" s="1056"/>
      <c r="NO206" s="1056"/>
      <c r="NP206" s="1056"/>
      <c r="NQ206" s="1056"/>
      <c r="NR206" s="1056"/>
      <c r="NS206" s="1056"/>
      <c r="NT206" s="1056"/>
      <c r="NU206" s="1056"/>
      <c r="NV206" s="1056"/>
      <c r="NW206" s="1056"/>
      <c r="NX206" s="1056"/>
      <c r="NY206" s="1056"/>
      <c r="NZ206" s="1056"/>
      <c r="OA206" s="1056"/>
      <c r="OB206" s="1056"/>
      <c r="OC206" s="1056"/>
      <c r="OD206" s="1056"/>
      <c r="OE206" s="1056"/>
      <c r="OF206" s="1056"/>
      <c r="OG206" s="1056"/>
      <c r="OH206" s="1056"/>
      <c r="OI206" s="1056"/>
      <c r="OJ206" s="1056"/>
      <c r="OK206" s="1056"/>
      <c r="OL206" s="1056"/>
      <c r="OM206" s="1056"/>
      <c r="ON206" s="1056"/>
      <c r="OO206" s="1056"/>
      <c r="OP206" s="1056"/>
      <c r="OQ206" s="1056"/>
      <c r="OR206" s="1056"/>
      <c r="OS206" s="1056"/>
      <c r="OT206" s="1056"/>
      <c r="OU206" s="1056"/>
      <c r="OV206" s="1056"/>
      <c r="OW206" s="1056"/>
      <c r="OX206" s="1056"/>
      <c r="OY206" s="1056"/>
      <c r="OZ206" s="1056"/>
      <c r="PA206" s="1056"/>
      <c r="PB206" s="1056"/>
      <c r="PC206" s="1056"/>
      <c r="PD206" s="1056"/>
      <c r="PE206" s="1056"/>
      <c r="PF206" s="1056"/>
      <c r="PG206" s="1056"/>
      <c r="PH206" s="1056"/>
      <c r="PI206" s="1056"/>
      <c r="PJ206" s="1056"/>
      <c r="PK206" s="1056"/>
      <c r="PL206" s="1056"/>
      <c r="PM206" s="1056"/>
      <c r="PN206" s="1056"/>
      <c r="PO206" s="1056"/>
      <c r="PP206" s="1056"/>
      <c r="PQ206" s="1056"/>
      <c r="PR206" s="1056"/>
      <c r="PS206" s="1056"/>
      <c r="PT206" s="1056"/>
      <c r="PU206" s="1056"/>
      <c r="PV206" s="1056"/>
      <c r="PW206" s="1056"/>
      <c r="PX206" s="1056"/>
      <c r="PY206" s="1056"/>
      <c r="PZ206" s="1056"/>
      <c r="QA206" s="1056"/>
      <c r="QB206" s="1056"/>
      <c r="QC206" s="1056"/>
      <c r="QD206" s="1056"/>
      <c r="QE206" s="1056"/>
      <c r="QF206" s="1056"/>
      <c r="QG206" s="1056"/>
      <c r="QH206" s="1056"/>
      <c r="QI206" s="1056"/>
      <c r="QJ206" s="1056"/>
      <c r="QK206" s="1056"/>
      <c r="QL206" s="1056"/>
      <c r="QM206" s="1056"/>
      <c r="QN206" s="1056"/>
      <c r="QO206" s="1056"/>
      <c r="QP206" s="1056"/>
      <c r="QQ206" s="1056"/>
      <c r="QR206" s="1056"/>
      <c r="QS206" s="1056"/>
      <c r="QT206" s="1056"/>
      <c r="QU206" s="1056"/>
      <c r="QV206" s="1056"/>
      <c r="QW206" s="1056"/>
      <c r="QX206" s="1056"/>
      <c r="QY206" s="1056"/>
      <c r="QZ206" s="1056"/>
      <c r="RA206" s="1056"/>
      <c r="RB206" s="1056"/>
      <c r="RC206" s="1056"/>
      <c r="RD206" s="1056"/>
      <c r="RE206" s="1056"/>
      <c r="RF206" s="1056"/>
      <c r="RG206" s="1056"/>
      <c r="RH206" s="1056"/>
      <c r="RI206" s="1056"/>
      <c r="RJ206" s="1056"/>
      <c r="RK206" s="1056"/>
      <c r="RL206" s="1056"/>
      <c r="RM206" s="1056"/>
      <c r="RN206" s="1056"/>
      <c r="RO206" s="1056"/>
      <c r="RP206" s="1056"/>
      <c r="RQ206" s="1056"/>
      <c r="RR206" s="1056"/>
      <c r="RS206" s="1056"/>
      <c r="RT206" s="1056"/>
      <c r="RU206" s="1056"/>
      <c r="RV206" s="1056"/>
      <c r="RW206" s="1056"/>
      <c r="RX206" s="1056"/>
      <c r="RY206" s="1056"/>
      <c r="RZ206" s="1056"/>
      <c r="SA206" s="1056"/>
      <c r="SB206" s="1056"/>
      <c r="SC206" s="1056"/>
      <c r="SD206" s="1056"/>
      <c r="SE206" s="1056"/>
      <c r="SF206" s="1056"/>
      <c r="SG206" s="1056"/>
      <c r="SH206" s="1056"/>
      <c r="SI206" s="1056"/>
      <c r="SJ206" s="1056"/>
      <c r="SK206" s="1056"/>
      <c r="SL206" s="1056"/>
      <c r="SM206" s="1056"/>
      <c r="SN206" s="1056"/>
      <c r="SO206" s="1056"/>
      <c r="SP206" s="1056"/>
      <c r="SQ206" s="1056"/>
      <c r="SR206" s="1056"/>
      <c r="SS206" s="1056"/>
      <c r="ST206" s="1056"/>
      <c r="SU206" s="1056"/>
      <c r="SV206" s="1056"/>
      <c r="SW206" s="1056"/>
      <c r="SX206" s="1056"/>
      <c r="SY206" s="1056"/>
      <c r="SZ206" s="1056"/>
      <c r="TA206" s="1056"/>
      <c r="TB206" s="1056"/>
      <c r="TC206" s="1056"/>
      <c r="TD206" s="1056"/>
      <c r="TE206" s="1056"/>
      <c r="TF206" s="1056"/>
      <c r="TG206" s="1056"/>
      <c r="TH206" s="1056"/>
      <c r="TI206" s="1056"/>
      <c r="TJ206" s="1056"/>
      <c r="TK206" s="1056"/>
      <c r="TL206" s="1056"/>
      <c r="TM206" s="1056"/>
      <c r="TN206" s="1056"/>
      <c r="TO206" s="1056"/>
      <c r="TP206" s="1056"/>
      <c r="TQ206" s="1056"/>
      <c r="TR206" s="1056"/>
      <c r="TS206" s="1056"/>
      <c r="TT206" s="1056"/>
      <c r="TU206" s="1056"/>
      <c r="TV206" s="1056"/>
      <c r="TW206" s="1056"/>
      <c r="TX206" s="1056"/>
      <c r="TY206" s="1056"/>
      <c r="TZ206" s="1056"/>
      <c r="UA206" s="1056"/>
      <c r="UB206" s="1056"/>
      <c r="UC206" s="1056"/>
      <c r="UD206" s="1056"/>
      <c r="UE206" s="1056"/>
      <c r="UF206" s="1056"/>
      <c r="UG206" s="1056"/>
      <c r="UH206" s="1056"/>
      <c r="UI206" s="1056"/>
      <c r="UJ206" s="1056"/>
      <c r="UK206" s="1056"/>
      <c r="UL206" s="1056"/>
      <c r="UM206" s="1056"/>
      <c r="UN206" s="1056"/>
      <c r="UO206" s="1056"/>
      <c r="UP206" s="1056"/>
      <c r="UQ206" s="1056"/>
      <c r="UR206" s="1056"/>
      <c r="US206" s="1056"/>
      <c r="UT206" s="1056"/>
      <c r="UU206" s="1056"/>
      <c r="UV206" s="1056"/>
      <c r="UW206" s="1056"/>
      <c r="UX206" s="1056"/>
      <c r="UY206" s="1056"/>
      <c r="UZ206" s="1056"/>
      <c r="VA206" s="1056"/>
      <c r="VB206" s="1056"/>
      <c r="VC206" s="1056"/>
      <c r="VD206" s="1056"/>
      <c r="VE206" s="1056"/>
      <c r="VF206" s="1056"/>
      <c r="VG206" s="1056"/>
      <c r="VH206" s="1056"/>
      <c r="VI206" s="1056"/>
      <c r="VJ206" s="1056"/>
      <c r="VK206" s="1056"/>
      <c r="VL206" s="1056"/>
      <c r="VM206" s="1056"/>
      <c r="VN206" s="1056"/>
      <c r="VO206" s="1056"/>
      <c r="VP206" s="1056"/>
      <c r="VQ206" s="1056"/>
      <c r="VR206" s="1056"/>
      <c r="VS206" s="1056"/>
      <c r="VT206" s="1056"/>
      <c r="VU206" s="1056"/>
      <c r="VV206" s="1056"/>
      <c r="VW206" s="1056"/>
      <c r="VX206" s="1056"/>
      <c r="VY206" s="1056"/>
      <c r="VZ206" s="1056"/>
      <c r="WA206" s="1056"/>
      <c r="WB206" s="1056"/>
      <c r="WC206" s="1056"/>
      <c r="WD206" s="1056"/>
      <c r="WE206" s="1056"/>
      <c r="WF206" s="1056"/>
      <c r="WG206" s="1056"/>
      <c r="WH206" s="1056"/>
      <c r="WI206" s="1056"/>
      <c r="WJ206" s="1056"/>
      <c r="WK206" s="1056"/>
      <c r="WL206" s="1056"/>
      <c r="WM206" s="1056"/>
      <c r="WN206" s="1056"/>
      <c r="WO206" s="1056"/>
      <c r="WP206" s="1056"/>
      <c r="WQ206" s="1056"/>
      <c r="WR206" s="1056"/>
      <c r="WS206" s="1056"/>
      <c r="WT206" s="1056"/>
      <c r="WU206" s="1056"/>
      <c r="WV206" s="1056"/>
      <c r="WW206" s="1056"/>
      <c r="WX206" s="1056"/>
      <c r="WY206" s="1056"/>
      <c r="WZ206" s="1056"/>
      <c r="XA206" s="1056"/>
      <c r="XB206" s="1056"/>
      <c r="XC206" s="1056"/>
      <c r="XD206" s="1056"/>
      <c r="XE206" s="1056"/>
      <c r="XF206" s="1056"/>
      <c r="XG206" s="1056"/>
      <c r="XH206" s="1056"/>
      <c r="XI206" s="1056"/>
      <c r="XJ206" s="1056"/>
      <c r="XK206" s="1056"/>
      <c r="XL206" s="1056"/>
      <c r="XM206" s="1056"/>
      <c r="XN206" s="1056"/>
      <c r="XO206" s="1056"/>
      <c r="XP206" s="1056"/>
      <c r="XQ206" s="1056"/>
      <c r="XR206" s="1056"/>
      <c r="XS206" s="1056"/>
      <c r="XT206" s="1056"/>
      <c r="XU206" s="1056"/>
      <c r="XV206" s="1056"/>
      <c r="XW206" s="1056"/>
      <c r="XX206" s="1056"/>
      <c r="XY206" s="1056"/>
      <c r="XZ206" s="1056"/>
      <c r="YA206" s="1056"/>
      <c r="YB206" s="1056"/>
      <c r="YC206" s="1056"/>
      <c r="YD206" s="1056"/>
      <c r="YE206" s="1056"/>
      <c r="YF206" s="1056"/>
      <c r="YG206" s="1056"/>
      <c r="YH206" s="1056"/>
      <c r="YI206" s="1056"/>
      <c r="YJ206" s="1056"/>
      <c r="YK206" s="1056"/>
      <c r="YL206" s="1056"/>
      <c r="YM206" s="1056"/>
      <c r="YN206" s="1056"/>
      <c r="YO206" s="1056"/>
      <c r="YP206" s="1056"/>
      <c r="YQ206" s="1056"/>
      <c r="YR206" s="1056"/>
      <c r="YS206" s="1056"/>
      <c r="YT206" s="1056"/>
      <c r="YU206" s="1056"/>
      <c r="YV206" s="1056"/>
      <c r="YW206" s="1056"/>
      <c r="YX206" s="1056"/>
      <c r="YY206" s="1056"/>
      <c r="YZ206" s="1056"/>
      <c r="ZA206" s="1056"/>
      <c r="ZB206" s="1056"/>
      <c r="ZC206" s="1056"/>
      <c r="ZD206" s="1056"/>
      <c r="ZE206" s="1056"/>
      <c r="ZF206" s="1056"/>
      <c r="ZG206" s="1056"/>
      <c r="ZH206" s="1056"/>
      <c r="ZI206" s="1056"/>
      <c r="ZJ206" s="1056"/>
      <c r="ZK206" s="1056"/>
      <c r="ZL206" s="1056"/>
      <c r="ZM206" s="1056"/>
      <c r="ZN206" s="1056"/>
      <c r="ZO206" s="1056"/>
      <c r="ZP206" s="1056"/>
      <c r="ZQ206" s="1056"/>
      <c r="ZR206" s="1056"/>
      <c r="ZS206" s="1056"/>
      <c r="ZT206" s="1056"/>
      <c r="ZU206" s="1056"/>
      <c r="ZV206" s="1056"/>
      <c r="ZW206" s="1056"/>
      <c r="ZX206" s="1056"/>
      <c r="ZY206" s="1056"/>
      <c r="ZZ206" s="1056"/>
      <c r="AAA206" s="1056"/>
      <c r="AAB206" s="1056"/>
      <c r="AAC206" s="1056"/>
      <c r="AAD206" s="1056"/>
      <c r="AAE206" s="1056"/>
      <c r="AAF206" s="1056"/>
      <c r="AAG206" s="1056"/>
      <c r="AAH206" s="1056"/>
      <c r="AAI206" s="1056"/>
      <c r="AAJ206" s="1056"/>
      <c r="AAK206" s="1056"/>
      <c r="AAL206" s="1056"/>
      <c r="AAM206" s="1056"/>
      <c r="AAN206" s="1056"/>
      <c r="AAO206" s="1056"/>
      <c r="AAP206" s="1056"/>
      <c r="AAQ206" s="1056"/>
      <c r="AAR206" s="1056"/>
      <c r="AAS206" s="1056"/>
      <c r="AAT206" s="1056"/>
      <c r="AAU206" s="1056"/>
      <c r="AAV206" s="1056"/>
      <c r="AAW206" s="1056"/>
      <c r="AAX206" s="1056"/>
      <c r="AAY206" s="1056"/>
      <c r="AAZ206" s="1056"/>
      <c r="ABA206" s="1056"/>
      <c r="ABB206" s="1056"/>
      <c r="ABC206" s="1056"/>
      <c r="ABD206" s="1056"/>
      <c r="ABE206" s="1056"/>
      <c r="ABF206" s="1056"/>
      <c r="ABG206" s="1056"/>
      <c r="ABH206" s="1056"/>
      <c r="ABI206" s="1056"/>
      <c r="ABJ206" s="1056"/>
      <c r="ABK206" s="1056"/>
      <c r="ABL206" s="1056"/>
      <c r="ABM206" s="1056"/>
      <c r="ABN206" s="1056"/>
      <c r="ABO206" s="1056"/>
      <c r="ABP206" s="1056"/>
      <c r="ABQ206" s="1056"/>
      <c r="ABR206" s="1056"/>
      <c r="ABS206" s="1056"/>
      <c r="ABT206" s="1056"/>
      <c r="ABU206" s="1056"/>
      <c r="ABV206" s="1056"/>
      <c r="ABW206" s="1056"/>
      <c r="ABX206" s="1056"/>
      <c r="ABY206" s="1056"/>
      <c r="ABZ206" s="1056"/>
      <c r="ACA206" s="1056"/>
      <c r="ACB206" s="1056"/>
      <c r="ACC206" s="1056"/>
      <c r="ACD206" s="1056"/>
      <c r="ACE206" s="1056"/>
      <c r="ACF206" s="1056"/>
      <c r="ACG206" s="1056"/>
      <c r="ACH206" s="1056"/>
      <c r="ACI206" s="1056"/>
      <c r="ACJ206" s="1056"/>
      <c r="ACK206" s="1056"/>
      <c r="ACL206" s="1056"/>
      <c r="ACM206" s="1056"/>
      <c r="ACN206" s="1056"/>
      <c r="ACO206" s="1056"/>
      <c r="ACP206" s="1056"/>
      <c r="ACQ206" s="1056"/>
      <c r="ACR206" s="1056"/>
      <c r="ACS206" s="1056"/>
      <c r="ACT206" s="1056"/>
      <c r="ACU206" s="1056"/>
      <c r="ACV206" s="1056"/>
      <c r="ACW206" s="1056"/>
      <c r="ACX206" s="1056"/>
      <c r="ACY206" s="1056"/>
      <c r="ACZ206" s="1056"/>
      <c r="ADA206" s="1056"/>
      <c r="ADB206" s="1056"/>
      <c r="ADC206" s="1056"/>
      <c r="ADD206" s="1056"/>
      <c r="ADE206" s="1056"/>
      <c r="ADF206" s="1056"/>
      <c r="ADG206" s="1056"/>
      <c r="ADH206" s="1056"/>
      <c r="ADI206" s="1056"/>
      <c r="ADJ206" s="1056"/>
      <c r="ADK206" s="1056"/>
      <c r="ADL206" s="1056"/>
      <c r="ADM206" s="1056"/>
      <c r="ADN206" s="1056"/>
      <c r="ADO206" s="1056"/>
      <c r="ADP206" s="1056"/>
      <c r="ADQ206" s="1056"/>
      <c r="ADR206" s="1056"/>
      <c r="ADS206" s="1056"/>
      <c r="ADT206" s="1056"/>
      <c r="ADU206" s="1056"/>
      <c r="ADV206" s="1056"/>
      <c r="ADW206" s="1056"/>
      <c r="ADX206" s="1056"/>
      <c r="ADY206" s="1056"/>
      <c r="ADZ206" s="1056"/>
      <c r="AEA206" s="1056"/>
      <c r="AEB206" s="1056"/>
      <c r="AEC206" s="1056"/>
      <c r="AED206" s="1056"/>
      <c r="AEE206" s="1056"/>
      <c r="AEF206" s="1056"/>
      <c r="AEG206" s="1056"/>
      <c r="AEH206" s="1056"/>
      <c r="AEI206" s="1056"/>
      <c r="AEJ206" s="1056"/>
      <c r="AEK206" s="1056"/>
      <c r="AEL206" s="1056"/>
      <c r="AEM206" s="1056"/>
      <c r="AEN206" s="1056"/>
      <c r="AEO206" s="1056"/>
      <c r="AEP206" s="1056"/>
      <c r="AEQ206" s="1056"/>
      <c r="AER206" s="1056"/>
      <c r="AES206" s="1056"/>
      <c r="AET206" s="1056"/>
      <c r="AEU206" s="1056"/>
      <c r="AEV206" s="1056"/>
      <c r="AEW206" s="1056"/>
      <c r="AEX206" s="1056"/>
      <c r="AEY206" s="1056"/>
      <c r="AEZ206" s="1056"/>
      <c r="AFA206" s="1056"/>
      <c r="AFB206" s="1056"/>
      <c r="AFC206" s="1056"/>
      <c r="AFD206" s="1056"/>
      <c r="AFE206" s="1056"/>
      <c r="AFF206" s="1056"/>
      <c r="AFG206" s="1056"/>
      <c r="AFH206" s="1056"/>
      <c r="AFI206" s="1056"/>
      <c r="AFJ206" s="1056"/>
      <c r="AFK206" s="1056"/>
      <c r="AFL206" s="1056"/>
      <c r="AFM206" s="1056"/>
      <c r="AFN206" s="1056"/>
      <c r="AFO206" s="1056"/>
      <c r="AFP206" s="1056"/>
      <c r="AFQ206" s="1056"/>
      <c r="AFR206" s="1056"/>
      <c r="AFS206" s="1056"/>
      <c r="AFT206" s="1056"/>
      <c r="AFU206" s="1056"/>
      <c r="AFV206" s="1056"/>
      <c r="AFW206" s="1056"/>
      <c r="AFX206" s="1056"/>
      <c r="AFY206" s="1056"/>
      <c r="AFZ206" s="1056"/>
      <c r="AGA206" s="1056"/>
      <c r="AGB206" s="1056"/>
      <c r="AGC206" s="1056"/>
      <c r="AGD206" s="1056"/>
      <c r="AGE206" s="1056"/>
      <c r="AGF206" s="1056"/>
      <c r="AGG206" s="1056"/>
      <c r="AGH206" s="1056"/>
      <c r="AGI206" s="1056"/>
      <c r="AGJ206" s="1056"/>
      <c r="AGK206" s="1056"/>
      <c r="AGL206" s="1056"/>
      <c r="AGM206" s="1056"/>
      <c r="AGN206" s="1056"/>
      <c r="AGO206" s="1056"/>
      <c r="AGP206" s="1056"/>
      <c r="AGQ206" s="1056"/>
      <c r="AGR206" s="1056"/>
      <c r="AGS206" s="1056"/>
      <c r="AGT206" s="1056"/>
      <c r="AGU206" s="1056"/>
      <c r="AGV206" s="1056"/>
      <c r="AGW206" s="1056"/>
      <c r="AGX206" s="1056"/>
      <c r="AGY206" s="1056"/>
      <c r="AGZ206" s="1056"/>
      <c r="AHA206" s="1056"/>
      <c r="AHB206" s="1056"/>
      <c r="AHC206" s="1056"/>
      <c r="AHD206" s="1056"/>
      <c r="AHE206" s="1056"/>
      <c r="AHF206" s="1056"/>
      <c r="AHG206" s="1056"/>
      <c r="AHH206" s="1056"/>
      <c r="AHI206" s="1056"/>
      <c r="AHJ206" s="1056"/>
      <c r="AHK206" s="1056"/>
      <c r="AHL206" s="1056"/>
      <c r="AHM206" s="1056"/>
      <c r="AHN206" s="1056"/>
      <c r="AHO206" s="1056"/>
      <c r="AHP206" s="1056"/>
      <c r="AHQ206" s="1056"/>
      <c r="AHR206" s="1056"/>
      <c r="AHS206" s="1056"/>
      <c r="AHT206" s="1056"/>
      <c r="AHU206" s="1056"/>
      <c r="AHV206" s="1056"/>
      <c r="AHW206" s="1056"/>
      <c r="AHX206" s="1056"/>
      <c r="AHY206" s="1056"/>
      <c r="AHZ206" s="1056"/>
      <c r="AIA206" s="1056"/>
      <c r="AIB206" s="1056"/>
      <c r="AIC206" s="1056"/>
      <c r="AID206" s="1056"/>
      <c r="AIE206" s="1056"/>
      <c r="AIF206" s="1056"/>
      <c r="AIG206" s="1056"/>
      <c r="AIH206" s="1056"/>
      <c r="AII206" s="1056"/>
      <c r="AIJ206" s="1056"/>
      <c r="AIK206" s="1056"/>
      <c r="AIL206" s="1056"/>
      <c r="AIM206" s="1056"/>
      <c r="AIN206" s="1056"/>
      <c r="AIO206" s="1056"/>
      <c r="AIP206" s="1056"/>
      <c r="AIQ206" s="1056"/>
      <c r="AIR206" s="1056"/>
      <c r="AIS206" s="1056"/>
      <c r="AIT206" s="1056"/>
      <c r="AIU206" s="1056"/>
      <c r="AIV206" s="1056"/>
      <c r="AIW206" s="1056"/>
      <c r="AIX206" s="1056"/>
      <c r="AIY206" s="1056"/>
      <c r="AIZ206" s="1056"/>
      <c r="AJA206" s="1056"/>
      <c r="AJB206" s="1056"/>
      <c r="AJC206" s="1056"/>
      <c r="AJD206" s="1056"/>
      <c r="AJE206" s="1056"/>
      <c r="AJF206" s="1056"/>
      <c r="AJG206" s="1056"/>
      <c r="AJH206" s="1056"/>
      <c r="AJI206" s="1056"/>
      <c r="AJJ206" s="1056"/>
      <c r="AJK206" s="1056"/>
      <c r="AJL206" s="1056"/>
      <c r="AJM206" s="1056"/>
      <c r="AJN206" s="1056"/>
      <c r="AJO206" s="1056"/>
      <c r="AJP206" s="1056"/>
      <c r="AJQ206" s="1056"/>
      <c r="AJR206" s="1056"/>
      <c r="AJS206" s="1056"/>
      <c r="AJT206" s="1056"/>
      <c r="AJU206" s="1056"/>
      <c r="AJV206" s="1056"/>
      <c r="AJW206" s="1056"/>
      <c r="AJX206" s="1056"/>
      <c r="AJY206" s="1056"/>
      <c r="AJZ206" s="1056"/>
      <c r="AKA206" s="1056"/>
      <c r="AKB206" s="1056"/>
      <c r="AKC206" s="1056"/>
      <c r="AKD206" s="1056"/>
      <c r="AKE206" s="1056"/>
      <c r="AKF206" s="1056"/>
      <c r="AKG206" s="1056"/>
      <c r="AKH206" s="1056"/>
      <c r="AKI206" s="1056"/>
      <c r="AKJ206" s="1056"/>
      <c r="AKK206" s="1056"/>
      <c r="AKL206" s="1056"/>
      <c r="AKM206" s="1056"/>
      <c r="AKN206" s="1056"/>
      <c r="AKO206" s="1056"/>
      <c r="AKP206" s="1056"/>
      <c r="AKQ206" s="1056"/>
      <c r="AKR206" s="1056"/>
      <c r="AKS206" s="1056"/>
      <c r="AKT206" s="1056"/>
      <c r="AKU206" s="1056"/>
      <c r="AKV206" s="1056"/>
      <c r="AKW206" s="1056"/>
      <c r="AKX206" s="1056"/>
      <c r="AKY206" s="1056"/>
      <c r="AKZ206" s="1056"/>
      <c r="ALA206" s="1056"/>
      <c r="ALB206" s="1056"/>
      <c r="ALC206" s="1056"/>
      <c r="ALD206" s="1056"/>
      <c r="ALE206" s="1056"/>
      <c r="ALF206" s="1056"/>
      <c r="ALG206" s="1056"/>
      <c r="ALH206" s="1056"/>
      <c r="ALI206" s="1056"/>
      <c r="ALJ206" s="1056"/>
      <c r="ALK206" s="1056"/>
      <c r="ALL206" s="1056"/>
      <c r="ALM206" s="1056"/>
      <c r="ALN206" s="1056"/>
      <c r="ALO206" s="1056"/>
      <c r="ALP206" s="1056"/>
      <c r="ALQ206" s="1056"/>
      <c r="ALR206" s="1056"/>
      <c r="ALS206" s="1056"/>
      <c r="ALT206" s="1056"/>
      <c r="ALU206" s="1056"/>
      <c r="ALV206" s="1056"/>
      <c r="ALW206" s="1056"/>
      <c r="ALX206" s="1056"/>
      <c r="ALY206" s="1056"/>
      <c r="ALZ206" s="1056"/>
      <c r="AMA206" s="1056"/>
      <c r="AMB206" s="1056"/>
      <c r="AMC206" s="1056"/>
      <c r="AMD206" s="1056"/>
      <c r="AME206" s="1056"/>
      <c r="AMF206" s="1056"/>
      <c r="AMG206" s="1056"/>
      <c r="AMH206" s="1056"/>
      <c r="AMI206" s="1056"/>
      <c r="AMJ206" s="1056"/>
      <c r="AMK206" s="1056"/>
      <c r="AML206" s="1056"/>
      <c r="AMM206" s="1056"/>
      <c r="AMN206" s="1056"/>
      <c r="AMO206" s="1056"/>
      <c r="AMP206" s="1056"/>
      <c r="AMQ206" s="1056"/>
      <c r="AMR206" s="1056"/>
      <c r="AMS206" s="1056"/>
      <c r="AMT206" s="1056"/>
      <c r="AMU206" s="1056"/>
      <c r="AMV206" s="1056"/>
      <c r="AMW206" s="1056"/>
      <c r="AMX206" s="1056"/>
      <c r="AMY206" s="1056"/>
      <c r="AMZ206" s="1056"/>
      <c r="ANA206" s="1056"/>
      <c r="ANB206" s="1056"/>
      <c r="ANC206" s="1056"/>
      <c r="AND206" s="1056"/>
      <c r="ANE206" s="1056"/>
      <c r="ANF206" s="1056"/>
      <c r="ANG206" s="1056"/>
      <c r="ANH206" s="1056"/>
      <c r="ANI206" s="1056"/>
      <c r="ANJ206" s="1056"/>
      <c r="ANK206" s="1056"/>
      <c r="ANL206" s="1056"/>
      <c r="ANM206" s="1056"/>
      <c r="ANN206" s="1056"/>
      <c r="ANO206" s="1056"/>
      <c r="ANP206" s="1056"/>
      <c r="ANQ206" s="1056"/>
      <c r="ANR206" s="1056"/>
      <c r="ANS206" s="1056"/>
      <c r="ANT206" s="1056"/>
      <c r="ANU206" s="1056"/>
      <c r="ANV206" s="1056"/>
      <c r="ANW206" s="1056"/>
      <c r="ANX206" s="1056"/>
      <c r="ANY206" s="1056"/>
      <c r="ANZ206" s="1056"/>
      <c r="AOA206" s="1056"/>
      <c r="AOB206" s="1056"/>
      <c r="AOC206" s="1056"/>
      <c r="AOD206" s="1056"/>
      <c r="AOE206" s="1056"/>
      <c r="AOF206" s="1056"/>
      <c r="AOG206" s="1056"/>
      <c r="AOH206" s="1056"/>
      <c r="AOI206" s="1056"/>
      <c r="AOJ206" s="1056"/>
      <c r="AOK206" s="1056"/>
      <c r="AOL206" s="1056"/>
      <c r="AOM206" s="1056"/>
      <c r="AON206" s="1056"/>
      <c r="AOO206" s="1056"/>
      <c r="AOP206" s="1056"/>
      <c r="AOQ206" s="1056"/>
      <c r="AOR206" s="1056"/>
      <c r="AOS206" s="1056"/>
      <c r="AOT206" s="1056"/>
      <c r="AOU206" s="1056"/>
      <c r="AOV206" s="1056"/>
      <c r="AOW206" s="1056"/>
      <c r="AOX206" s="1056"/>
      <c r="AOY206" s="1056"/>
      <c r="AOZ206" s="1056"/>
      <c r="APA206" s="1056"/>
      <c r="APB206" s="1056"/>
      <c r="APC206" s="1056"/>
      <c r="APD206" s="1056"/>
      <c r="APE206" s="1056"/>
      <c r="APF206" s="1056"/>
      <c r="APG206" s="1056"/>
      <c r="APH206" s="1056"/>
      <c r="API206" s="1056"/>
      <c r="APJ206" s="1056"/>
      <c r="APK206" s="1056"/>
      <c r="APL206" s="1056"/>
      <c r="APM206" s="1056"/>
      <c r="APN206" s="1056"/>
      <c r="APO206" s="1056"/>
      <c r="APP206" s="1056"/>
      <c r="APQ206" s="1056"/>
      <c r="APR206" s="1056"/>
      <c r="APS206" s="1056"/>
      <c r="APT206" s="1056"/>
      <c r="APU206" s="1056"/>
      <c r="APV206" s="1056"/>
      <c r="APW206" s="1056"/>
      <c r="APX206" s="1056"/>
      <c r="APY206" s="1056"/>
      <c r="APZ206" s="1056"/>
      <c r="AQA206" s="1056"/>
      <c r="AQB206" s="1056"/>
      <c r="AQC206" s="1056"/>
      <c r="AQD206" s="1056"/>
      <c r="AQE206" s="1056"/>
      <c r="AQF206" s="1056"/>
      <c r="AQG206" s="1056"/>
      <c r="AQH206" s="1056"/>
      <c r="AQI206" s="1056"/>
      <c r="AQJ206" s="1056"/>
      <c r="AQK206" s="1056"/>
      <c r="AQL206" s="1056"/>
      <c r="AQM206" s="1056"/>
      <c r="AQN206" s="1056"/>
      <c r="AQO206" s="1056"/>
      <c r="AQP206" s="1056"/>
      <c r="AQQ206" s="1056"/>
      <c r="AQR206" s="1056"/>
      <c r="AQS206" s="1056"/>
      <c r="AQT206" s="1056"/>
      <c r="AQU206" s="1056"/>
      <c r="AQV206" s="1056"/>
      <c r="AQW206" s="1056"/>
      <c r="AQX206" s="1056"/>
      <c r="AQY206" s="1056"/>
      <c r="AQZ206" s="1056"/>
      <c r="ARA206" s="1056"/>
      <c r="ARB206" s="1056"/>
      <c r="ARC206" s="1056"/>
      <c r="ARD206" s="1056"/>
      <c r="ARE206" s="1056"/>
      <c r="ARF206" s="1056"/>
      <c r="ARG206" s="1056"/>
      <c r="ARH206" s="1056"/>
      <c r="ARI206" s="1056"/>
      <c r="ARJ206" s="1056"/>
      <c r="ARK206" s="1056"/>
      <c r="ARL206" s="1056"/>
      <c r="ARM206" s="1056"/>
      <c r="ARN206" s="1056"/>
      <c r="ARO206" s="1056"/>
      <c r="ARP206" s="1056"/>
      <c r="ARQ206" s="1056"/>
      <c r="ARR206" s="1056"/>
      <c r="ARS206" s="1056"/>
      <c r="ART206" s="1056"/>
      <c r="ARU206" s="1056"/>
      <c r="ARV206" s="1056"/>
      <c r="ARW206" s="1056"/>
      <c r="ARX206" s="1056"/>
      <c r="ARY206" s="1056"/>
      <c r="ARZ206" s="1056"/>
      <c r="ASA206" s="1056"/>
      <c r="ASB206" s="1056"/>
      <c r="ASC206" s="1056"/>
      <c r="ASD206" s="1056"/>
      <c r="ASE206" s="1056"/>
      <c r="ASF206" s="1056"/>
      <c r="ASG206" s="1056"/>
      <c r="ASH206" s="1056"/>
      <c r="ASI206" s="1056"/>
      <c r="ASJ206" s="1056"/>
      <c r="ASK206" s="1056"/>
      <c r="ASL206" s="1056"/>
      <c r="ASM206" s="1056"/>
      <c r="ASN206" s="1056"/>
      <c r="ASO206" s="1056"/>
      <c r="ASP206" s="1056"/>
      <c r="ASQ206" s="1056"/>
      <c r="ASR206" s="1056"/>
      <c r="ASS206" s="1056"/>
      <c r="AST206" s="1056"/>
      <c r="ASU206" s="1056"/>
      <c r="ASV206" s="1056"/>
      <c r="ASW206" s="1056"/>
      <c r="ASX206" s="1056"/>
      <c r="ASY206" s="1056"/>
      <c r="ASZ206" s="1056"/>
      <c r="ATA206" s="1056"/>
      <c r="ATB206" s="1056"/>
      <c r="ATC206" s="1056"/>
      <c r="ATD206" s="1056"/>
      <c r="ATE206" s="1056"/>
      <c r="ATF206" s="1056"/>
      <c r="ATG206" s="1056"/>
      <c r="ATH206" s="1056"/>
      <c r="ATI206" s="1056"/>
      <c r="ATJ206" s="1056"/>
      <c r="ATK206" s="1056"/>
      <c r="ATL206" s="1056"/>
      <c r="ATM206" s="1056"/>
      <c r="ATN206" s="1056"/>
      <c r="ATO206" s="1056"/>
      <c r="ATP206" s="1056"/>
      <c r="ATQ206" s="1056"/>
      <c r="ATR206" s="1056"/>
      <c r="ATS206" s="1056"/>
      <c r="ATT206" s="1056"/>
      <c r="ATU206" s="1056"/>
      <c r="ATV206" s="1056"/>
      <c r="ATW206" s="1056"/>
      <c r="ATX206" s="1056"/>
      <c r="ATY206" s="1056"/>
      <c r="ATZ206" s="1056"/>
      <c r="AUA206" s="1056"/>
      <c r="AUB206" s="1056"/>
      <c r="AUC206" s="1056"/>
      <c r="AUD206" s="1056"/>
      <c r="AUE206" s="1056"/>
      <c r="AUF206" s="1056"/>
      <c r="AUG206" s="1056"/>
      <c r="AUH206" s="1056"/>
      <c r="AUI206" s="1056"/>
      <c r="AUJ206" s="1056"/>
      <c r="AUK206" s="1056"/>
      <c r="AUL206" s="1056"/>
      <c r="AUM206" s="1056"/>
      <c r="AUN206" s="1056"/>
      <c r="AUO206" s="1056"/>
      <c r="AUP206" s="1056"/>
      <c r="AUQ206" s="1056"/>
      <c r="AUR206" s="1056"/>
      <c r="AUS206" s="1056"/>
      <c r="AUT206" s="1056"/>
      <c r="AUU206" s="1056"/>
      <c r="AUV206" s="1056"/>
      <c r="AUW206" s="1056"/>
      <c r="AUX206" s="1056"/>
      <c r="AUY206" s="1056"/>
      <c r="AUZ206" s="1056"/>
      <c r="AVA206" s="1056"/>
      <c r="AVB206" s="1056"/>
      <c r="AVC206" s="1056"/>
      <c r="AVD206" s="1056"/>
      <c r="AVE206" s="1056"/>
      <c r="AVF206" s="1056"/>
      <c r="AVG206" s="1056"/>
      <c r="AVH206" s="1056"/>
      <c r="AVI206" s="1056"/>
      <c r="AVJ206" s="1056"/>
      <c r="AVK206" s="1056"/>
      <c r="AVL206" s="1056"/>
      <c r="AVM206" s="1056"/>
      <c r="AVN206" s="1056"/>
      <c r="AVO206" s="1056"/>
      <c r="AVP206" s="1056"/>
      <c r="AVQ206" s="1056"/>
      <c r="AVR206" s="1056"/>
      <c r="AVS206" s="1056"/>
      <c r="AVT206" s="1056"/>
      <c r="AVU206" s="1056"/>
      <c r="AVV206" s="1056"/>
      <c r="AVW206" s="1056"/>
      <c r="AVX206" s="1056"/>
      <c r="AVY206" s="1056"/>
      <c r="AVZ206" s="1056"/>
      <c r="AWA206" s="1056"/>
      <c r="AWB206" s="1056"/>
      <c r="AWC206" s="1056"/>
      <c r="AWD206" s="1056"/>
      <c r="AWE206" s="1056"/>
      <c r="AWF206" s="1056"/>
      <c r="AWG206" s="1056"/>
      <c r="AWH206" s="1056"/>
      <c r="AWI206" s="1056"/>
      <c r="AWJ206" s="1056"/>
      <c r="AWK206" s="1056"/>
      <c r="AWL206" s="1056"/>
      <c r="AWM206" s="1056"/>
      <c r="AWN206" s="1056"/>
      <c r="AWO206" s="1056"/>
      <c r="AWP206" s="1056"/>
      <c r="AWQ206" s="1056"/>
      <c r="AWR206" s="1056"/>
      <c r="AWS206" s="1056"/>
      <c r="AWT206" s="1056"/>
      <c r="AWU206" s="1056"/>
      <c r="AWV206" s="1056"/>
      <c r="AWW206" s="1056"/>
      <c r="AWX206" s="1056"/>
      <c r="AWY206" s="1056"/>
      <c r="AWZ206" s="1056"/>
      <c r="AXA206" s="1056"/>
      <c r="AXB206" s="1056"/>
      <c r="AXC206" s="1056"/>
      <c r="AXD206" s="1056"/>
      <c r="AXE206" s="1056"/>
      <c r="AXF206" s="1056"/>
      <c r="AXG206" s="1056"/>
      <c r="AXH206" s="1056"/>
      <c r="AXI206" s="1056"/>
      <c r="AXJ206" s="1056"/>
      <c r="AXK206" s="1056"/>
      <c r="AXL206" s="1056"/>
      <c r="AXM206" s="1056"/>
      <c r="AXN206" s="1056"/>
      <c r="AXO206" s="1056"/>
      <c r="AXP206" s="1056"/>
      <c r="AXQ206" s="1056"/>
      <c r="AXR206" s="1056"/>
      <c r="AXS206" s="1056"/>
      <c r="AXT206" s="1056"/>
      <c r="AXU206" s="1056"/>
      <c r="AXV206" s="1056"/>
      <c r="AXW206" s="1056"/>
      <c r="AXX206" s="1056"/>
      <c r="AXY206" s="1056"/>
      <c r="AXZ206" s="1056"/>
      <c r="AYA206" s="1056"/>
      <c r="AYB206" s="1056"/>
      <c r="AYC206" s="1056"/>
      <c r="AYD206" s="1056"/>
      <c r="AYE206" s="1056"/>
      <c r="AYF206" s="1056"/>
      <c r="AYG206" s="1056"/>
      <c r="AYH206" s="1056"/>
      <c r="AYI206" s="1056"/>
      <c r="AYJ206" s="1056"/>
      <c r="AYK206" s="1056"/>
      <c r="AYL206" s="1056"/>
      <c r="AYM206" s="1056"/>
      <c r="AYN206" s="1056"/>
      <c r="AYO206" s="1056"/>
      <c r="AYP206" s="1056"/>
      <c r="AYQ206" s="1056"/>
      <c r="AYR206" s="1056"/>
      <c r="AYS206" s="1056"/>
      <c r="AYT206" s="1056"/>
      <c r="AYU206" s="1056"/>
      <c r="AYV206" s="1056"/>
      <c r="AYW206" s="1056"/>
      <c r="AYX206" s="1056"/>
      <c r="AYY206" s="1056"/>
      <c r="AYZ206" s="1056"/>
      <c r="AZA206" s="1056"/>
      <c r="AZB206" s="1056"/>
      <c r="AZC206" s="1056"/>
      <c r="AZD206" s="1056"/>
      <c r="AZE206" s="1056"/>
      <c r="AZF206" s="1056"/>
      <c r="AZG206" s="1056"/>
      <c r="AZH206" s="1056"/>
      <c r="AZI206" s="1056"/>
      <c r="AZJ206" s="1056"/>
      <c r="AZK206" s="1056"/>
      <c r="AZL206" s="1056"/>
      <c r="AZM206" s="1056"/>
      <c r="AZN206" s="1056"/>
      <c r="AZO206" s="1056"/>
      <c r="AZP206" s="1056"/>
      <c r="AZQ206" s="1056"/>
      <c r="AZR206" s="1056"/>
      <c r="AZS206" s="1056"/>
      <c r="AZT206" s="1056"/>
      <c r="AZU206" s="1056"/>
      <c r="AZV206" s="1056"/>
      <c r="AZW206" s="1056"/>
      <c r="AZX206" s="1056"/>
      <c r="AZY206" s="1056"/>
      <c r="AZZ206" s="1056"/>
      <c r="BAA206" s="1056"/>
      <c r="BAB206" s="1056"/>
      <c r="BAC206" s="1056"/>
      <c r="BAD206" s="1056"/>
      <c r="BAE206" s="1056"/>
      <c r="BAF206" s="1056"/>
      <c r="BAG206" s="1056"/>
      <c r="BAH206" s="1056"/>
      <c r="BAI206" s="1056"/>
      <c r="BAJ206" s="1056"/>
      <c r="BAK206" s="1056"/>
      <c r="BAL206" s="1056"/>
      <c r="BAM206" s="1056"/>
      <c r="BAN206" s="1056"/>
      <c r="BAO206" s="1056"/>
      <c r="BAP206" s="1056"/>
      <c r="BAQ206" s="1056"/>
      <c r="BAR206" s="1056"/>
      <c r="BAS206" s="1056"/>
      <c r="BAT206" s="1056"/>
      <c r="BAU206" s="1056"/>
      <c r="BAV206" s="1056"/>
      <c r="BAW206" s="1056"/>
      <c r="BAX206" s="1056"/>
      <c r="BAY206" s="1056"/>
      <c r="BAZ206" s="1056"/>
      <c r="BBA206" s="1056"/>
      <c r="BBB206" s="1056"/>
      <c r="BBC206" s="1056"/>
      <c r="BBD206" s="1056"/>
      <c r="BBE206" s="1056"/>
      <c r="BBF206" s="1056"/>
      <c r="BBG206" s="1056"/>
      <c r="BBH206" s="1056"/>
      <c r="BBI206" s="1056"/>
      <c r="BBJ206" s="1056"/>
      <c r="BBK206" s="1056"/>
      <c r="BBL206" s="1056"/>
      <c r="BBM206" s="1056"/>
      <c r="BBN206" s="1056"/>
      <c r="BBO206" s="1056"/>
      <c r="BBP206" s="1056"/>
      <c r="BBQ206" s="1056"/>
      <c r="BBR206" s="1056"/>
      <c r="BBS206" s="1056"/>
      <c r="BBT206" s="1056"/>
      <c r="BBU206" s="1056"/>
      <c r="BBV206" s="1056"/>
      <c r="BBW206" s="1056"/>
      <c r="BBX206" s="1056"/>
      <c r="BBY206" s="1056"/>
      <c r="BBZ206" s="1056"/>
      <c r="BCA206" s="1056"/>
      <c r="BCB206" s="1056"/>
      <c r="BCC206" s="1056"/>
      <c r="BCD206" s="1056"/>
      <c r="BCE206" s="1056"/>
      <c r="BCF206" s="1056"/>
      <c r="BCG206" s="1056"/>
      <c r="BCH206" s="1056"/>
      <c r="BCI206" s="1056"/>
      <c r="BCJ206" s="1056"/>
      <c r="BCK206" s="1056"/>
      <c r="BCL206" s="1056"/>
      <c r="BCM206" s="1056"/>
      <c r="BCN206" s="1056"/>
      <c r="BCO206" s="1056"/>
      <c r="BCP206" s="1056"/>
      <c r="BCQ206" s="1056"/>
      <c r="BCR206" s="1056"/>
      <c r="BCS206" s="1056"/>
      <c r="BCT206" s="1056"/>
      <c r="BCU206" s="1056"/>
      <c r="BCV206" s="1056"/>
      <c r="BCW206" s="1056"/>
      <c r="BCX206" s="1056"/>
      <c r="BCY206" s="1056"/>
      <c r="BCZ206" s="1056"/>
      <c r="BDA206" s="1056"/>
      <c r="BDB206" s="1056"/>
      <c r="BDC206" s="1056"/>
      <c r="BDD206" s="1056"/>
      <c r="BDE206" s="1056"/>
      <c r="BDF206" s="1056"/>
      <c r="BDG206" s="1056"/>
      <c r="BDH206" s="1056"/>
      <c r="BDI206" s="1056"/>
      <c r="BDJ206" s="1056"/>
      <c r="BDK206" s="1056"/>
      <c r="BDL206" s="1056"/>
      <c r="BDM206" s="1056"/>
      <c r="BDN206" s="1056"/>
      <c r="BDO206" s="1056"/>
      <c r="BDP206" s="1056"/>
      <c r="BDQ206" s="1056"/>
      <c r="BDR206" s="1056"/>
      <c r="BDS206" s="1056"/>
      <c r="BDT206" s="1056"/>
      <c r="BDU206" s="1056"/>
      <c r="BDV206" s="1056"/>
      <c r="BDW206" s="1056"/>
      <c r="BDX206" s="1056"/>
      <c r="BDY206" s="1056"/>
      <c r="BDZ206" s="1056"/>
      <c r="BEA206" s="1056"/>
      <c r="BEB206" s="1056"/>
      <c r="BEC206" s="1056"/>
      <c r="BED206" s="1056"/>
      <c r="BEE206" s="1056"/>
      <c r="BEF206" s="1056"/>
      <c r="BEG206" s="1056"/>
      <c r="BEH206" s="1056"/>
      <c r="BEI206" s="1056"/>
      <c r="BEJ206" s="1056"/>
      <c r="BEK206" s="1056"/>
      <c r="BEL206" s="1056"/>
      <c r="BEM206" s="1056"/>
      <c r="BEN206" s="1056"/>
      <c r="BEO206" s="1056"/>
      <c r="BEP206" s="1056"/>
      <c r="BEQ206" s="1056"/>
      <c r="BER206" s="1056"/>
      <c r="BES206" s="1056"/>
      <c r="BET206" s="1056"/>
      <c r="BEU206" s="1056"/>
      <c r="BEV206" s="1056"/>
      <c r="BEW206" s="1056"/>
      <c r="BEX206" s="1056"/>
      <c r="BEY206" s="1056"/>
      <c r="BEZ206" s="1056"/>
      <c r="BFA206" s="1056"/>
      <c r="BFB206" s="1056"/>
      <c r="BFC206" s="1056"/>
      <c r="BFD206" s="1056"/>
      <c r="BFE206" s="1056"/>
      <c r="BFF206" s="1056"/>
      <c r="BFG206" s="1056"/>
      <c r="BFH206" s="1056"/>
      <c r="BFI206" s="1056"/>
      <c r="BFJ206" s="1056"/>
      <c r="BFK206" s="1056"/>
      <c r="BFL206" s="1056"/>
      <c r="BFM206" s="1056"/>
      <c r="BFN206" s="1056"/>
      <c r="BFO206" s="1056"/>
      <c r="BFP206" s="1056"/>
      <c r="BFQ206" s="1056"/>
      <c r="BFR206" s="1056"/>
      <c r="BFS206" s="1056"/>
      <c r="BFT206" s="1056"/>
      <c r="BFU206" s="1056"/>
      <c r="BFV206" s="1056"/>
      <c r="BFW206" s="1056"/>
      <c r="BFX206" s="1056"/>
      <c r="BFY206" s="1056"/>
      <c r="BFZ206" s="1056"/>
      <c r="BGA206" s="1056"/>
      <c r="BGB206" s="1056"/>
      <c r="BGC206" s="1056"/>
      <c r="BGD206" s="1056"/>
      <c r="BGE206" s="1056"/>
      <c r="BGF206" s="1056"/>
      <c r="BGG206" s="1056"/>
      <c r="BGH206" s="1056"/>
      <c r="BGI206" s="1056"/>
      <c r="BGJ206" s="1056"/>
      <c r="BGK206" s="1056"/>
      <c r="BGL206" s="1056"/>
      <c r="BGM206" s="1056"/>
      <c r="BGN206" s="1056"/>
      <c r="BGO206" s="1056"/>
      <c r="BGP206" s="1056"/>
      <c r="BGQ206" s="1056"/>
      <c r="BGR206" s="1056"/>
      <c r="BGS206" s="1056"/>
      <c r="BGT206" s="1056"/>
      <c r="BGU206" s="1056"/>
      <c r="BGV206" s="1056"/>
      <c r="BGW206" s="1056"/>
      <c r="BGX206" s="1056"/>
      <c r="BGY206" s="1056"/>
      <c r="BGZ206" s="1056"/>
      <c r="BHA206" s="1056"/>
      <c r="BHB206" s="1056"/>
      <c r="BHC206" s="1056"/>
      <c r="BHD206" s="1056"/>
      <c r="BHE206" s="1056"/>
      <c r="BHF206" s="1056"/>
      <c r="BHG206" s="1056"/>
      <c r="BHH206" s="1056"/>
      <c r="BHI206" s="1056"/>
      <c r="BHJ206" s="1056"/>
      <c r="BHK206" s="1056"/>
      <c r="BHL206" s="1056"/>
      <c r="BHM206" s="1056"/>
      <c r="BHN206" s="1056"/>
      <c r="BHO206" s="1056"/>
      <c r="BHP206" s="1056"/>
      <c r="BHQ206" s="1056"/>
      <c r="BHR206" s="1056"/>
      <c r="BHS206" s="1056"/>
      <c r="BHT206" s="1056"/>
      <c r="BHU206" s="1056"/>
      <c r="BHV206" s="1056"/>
      <c r="BHW206" s="1056"/>
      <c r="BHX206" s="1056"/>
      <c r="BHY206" s="1056"/>
      <c r="BHZ206" s="1056"/>
      <c r="BIA206" s="1056"/>
      <c r="BIB206" s="1056"/>
      <c r="BIC206" s="1056"/>
      <c r="BID206" s="1056"/>
      <c r="BIE206" s="1056"/>
      <c r="BIF206" s="1056"/>
      <c r="BIG206" s="1056"/>
      <c r="BIH206" s="1056"/>
      <c r="BII206" s="1056"/>
      <c r="BIJ206" s="1056"/>
      <c r="BIK206" s="1056"/>
      <c r="BIL206" s="1056"/>
      <c r="BIM206" s="1056"/>
      <c r="BIN206" s="1056"/>
      <c r="BIO206" s="1056"/>
      <c r="BIP206" s="1056"/>
      <c r="BIQ206" s="1056"/>
      <c r="BIR206" s="1056"/>
      <c r="BIS206" s="1056"/>
      <c r="BIT206" s="1056"/>
      <c r="BIU206" s="1056"/>
      <c r="BIV206" s="1056"/>
      <c r="BIW206" s="1056"/>
      <c r="BIX206" s="1056"/>
      <c r="BIY206" s="1056"/>
      <c r="BIZ206" s="1056"/>
      <c r="BJA206" s="1056"/>
      <c r="BJB206" s="1056"/>
      <c r="BJC206" s="1056"/>
      <c r="BJD206" s="1056"/>
      <c r="BJE206" s="1056"/>
      <c r="BJF206" s="1056"/>
      <c r="BJG206" s="1056"/>
      <c r="BJH206" s="1056"/>
      <c r="BJI206" s="1056"/>
      <c r="BJJ206" s="1056"/>
      <c r="BJK206" s="1056"/>
      <c r="BJL206" s="1056"/>
      <c r="BJM206" s="1056"/>
      <c r="BJN206" s="1056"/>
      <c r="BJO206" s="1056"/>
      <c r="BJP206" s="1056"/>
      <c r="BJQ206" s="1056"/>
      <c r="BJR206" s="1056"/>
      <c r="BJS206" s="1056"/>
      <c r="BJT206" s="1056"/>
      <c r="BJU206" s="1056"/>
      <c r="BJV206" s="1056"/>
      <c r="BJW206" s="1056"/>
      <c r="BJX206" s="1056"/>
      <c r="BJY206" s="1056"/>
      <c r="BJZ206" s="1056"/>
      <c r="BKA206" s="1056"/>
      <c r="BKB206" s="1056"/>
      <c r="BKC206" s="1056"/>
      <c r="BKD206" s="1056"/>
      <c r="BKE206" s="1056"/>
      <c r="BKF206" s="1056"/>
      <c r="BKG206" s="1056"/>
      <c r="BKH206" s="1056"/>
      <c r="BKI206" s="1056"/>
      <c r="BKJ206" s="1056"/>
      <c r="BKK206" s="1056"/>
      <c r="BKL206" s="1056"/>
      <c r="BKM206" s="1056"/>
      <c r="BKN206" s="1056"/>
      <c r="BKO206" s="1056"/>
      <c r="BKP206" s="1056"/>
      <c r="BKQ206" s="1056"/>
      <c r="BKR206" s="1056"/>
      <c r="BKS206" s="1056"/>
      <c r="BKT206" s="1056"/>
      <c r="BKU206" s="1056"/>
      <c r="BKV206" s="1056"/>
      <c r="BKW206" s="1056"/>
      <c r="BKX206" s="1056"/>
      <c r="BKY206" s="1056"/>
      <c r="BKZ206" s="1056"/>
      <c r="BLA206" s="1056"/>
      <c r="BLB206" s="1056"/>
      <c r="BLC206" s="1056"/>
      <c r="BLD206" s="1056"/>
      <c r="BLE206" s="1056"/>
      <c r="BLF206" s="1056"/>
      <c r="BLG206" s="1056"/>
      <c r="BLH206" s="1056"/>
      <c r="BLI206" s="1056"/>
      <c r="BLJ206" s="1056"/>
      <c r="BLK206" s="1056"/>
      <c r="BLL206" s="1056"/>
      <c r="BLM206" s="1056"/>
      <c r="BLN206" s="1056"/>
      <c r="BLO206" s="1056"/>
      <c r="BLP206" s="1056"/>
      <c r="BLQ206" s="1056"/>
      <c r="BLR206" s="1056"/>
      <c r="BLS206" s="1056"/>
      <c r="BLT206" s="1056"/>
      <c r="BLU206" s="1056"/>
      <c r="BLV206" s="1056"/>
      <c r="BLW206" s="1056"/>
      <c r="BLX206" s="1056"/>
      <c r="BLY206" s="1056"/>
      <c r="BLZ206" s="1056"/>
      <c r="BMA206" s="1056"/>
      <c r="BMB206" s="1056"/>
      <c r="BMC206" s="1056"/>
      <c r="BMD206" s="1056"/>
      <c r="BME206" s="1056"/>
      <c r="BMF206" s="1056"/>
      <c r="BMG206" s="1056"/>
      <c r="BMH206" s="1056"/>
      <c r="BMI206" s="1056"/>
      <c r="BMJ206" s="1056"/>
      <c r="BMK206" s="1056"/>
      <c r="BML206" s="1056"/>
      <c r="BMM206" s="1056"/>
      <c r="BMN206" s="1056"/>
      <c r="BMO206" s="1056"/>
      <c r="BMP206" s="1056"/>
      <c r="BMQ206" s="1056"/>
      <c r="BMR206" s="1056"/>
      <c r="BMS206" s="1056"/>
      <c r="BMT206" s="1056"/>
      <c r="BMU206" s="1056"/>
      <c r="BMV206" s="1056"/>
      <c r="BMW206" s="1056"/>
      <c r="BMX206" s="1056"/>
      <c r="BMY206" s="1056"/>
      <c r="BMZ206" s="1056"/>
      <c r="BNA206" s="1056"/>
      <c r="BNB206" s="1056"/>
      <c r="BNC206" s="1056"/>
      <c r="BND206" s="1056"/>
      <c r="BNE206" s="1056"/>
      <c r="BNF206" s="1056"/>
      <c r="BNG206" s="1056"/>
      <c r="BNH206" s="1056"/>
      <c r="BNI206" s="1056"/>
      <c r="BNJ206" s="1056"/>
      <c r="BNK206" s="1056"/>
      <c r="BNL206" s="1056"/>
      <c r="BNM206" s="1056"/>
      <c r="BNN206" s="1056"/>
      <c r="BNO206" s="1056"/>
      <c r="BNP206" s="1056"/>
      <c r="BNQ206" s="1056"/>
      <c r="BNR206" s="1056"/>
      <c r="BNS206" s="1056"/>
      <c r="BNT206" s="1056"/>
      <c r="BNU206" s="1056"/>
      <c r="BNV206" s="1056"/>
      <c r="BNW206" s="1056"/>
      <c r="BNX206" s="1056"/>
      <c r="BNY206" s="1056"/>
      <c r="BNZ206" s="1056"/>
      <c r="BOA206" s="1056"/>
      <c r="BOB206" s="1056"/>
      <c r="BOC206" s="1056"/>
      <c r="BOD206" s="1056"/>
      <c r="BOE206" s="1056"/>
      <c r="BOF206" s="1056"/>
      <c r="BOG206" s="1056"/>
      <c r="BOH206" s="1056"/>
      <c r="BOI206" s="1056"/>
      <c r="BOJ206" s="1056"/>
      <c r="BOK206" s="1056"/>
      <c r="BOL206" s="1056"/>
      <c r="BOM206" s="1056"/>
      <c r="BON206" s="1056"/>
      <c r="BOO206" s="1056"/>
      <c r="BOP206" s="1056"/>
      <c r="BOQ206" s="1056"/>
      <c r="BOR206" s="1056"/>
      <c r="BOS206" s="1056"/>
      <c r="BOT206" s="1056"/>
      <c r="BOU206" s="1056"/>
      <c r="BOV206" s="1056"/>
      <c r="BOW206" s="1056"/>
      <c r="BOX206" s="1056"/>
      <c r="BOY206" s="1056"/>
      <c r="BOZ206" s="1056"/>
      <c r="BPA206" s="1056"/>
      <c r="BPB206" s="1056"/>
      <c r="BPC206" s="1056"/>
      <c r="BPD206" s="1056"/>
      <c r="BPE206" s="1056"/>
      <c r="BPF206" s="1056"/>
      <c r="BPG206" s="1056"/>
      <c r="BPH206" s="1056"/>
      <c r="BPI206" s="1056"/>
      <c r="BPJ206" s="1056"/>
      <c r="BPK206" s="1056"/>
      <c r="BPL206" s="1056"/>
      <c r="BPM206" s="1056"/>
      <c r="BPN206" s="1056"/>
      <c r="BPO206" s="1056"/>
      <c r="BPP206" s="1056"/>
      <c r="BPQ206" s="1056"/>
      <c r="BPR206" s="1056"/>
      <c r="BPS206" s="1056"/>
      <c r="BPT206" s="1056"/>
      <c r="BPU206" s="1056"/>
      <c r="BPV206" s="1056"/>
      <c r="BPW206" s="1056"/>
      <c r="BPX206" s="1056"/>
      <c r="BPY206" s="1056"/>
      <c r="BPZ206" s="1056"/>
      <c r="BQA206" s="1056"/>
      <c r="BQB206" s="1056"/>
      <c r="BQC206" s="1056"/>
      <c r="BQD206" s="1056"/>
      <c r="BQE206" s="1056"/>
      <c r="BQF206" s="1056"/>
      <c r="BQG206" s="1056"/>
      <c r="BQH206" s="1056"/>
      <c r="BQI206" s="1056"/>
      <c r="BQJ206" s="1056"/>
      <c r="BQK206" s="1056"/>
      <c r="BQL206" s="1056"/>
      <c r="BQM206" s="1056"/>
      <c r="BQN206" s="1056"/>
      <c r="BQO206" s="1056"/>
      <c r="BQP206" s="1056"/>
      <c r="BQQ206" s="1056"/>
      <c r="BQR206" s="1056"/>
      <c r="BQS206" s="1056"/>
      <c r="BQT206" s="1056"/>
      <c r="BQU206" s="1056"/>
      <c r="BQV206" s="1056"/>
      <c r="BQW206" s="1056"/>
      <c r="BQX206" s="1056"/>
      <c r="BQY206" s="1056"/>
      <c r="BQZ206" s="1056"/>
      <c r="BRA206" s="1056"/>
      <c r="BRB206" s="1056"/>
      <c r="BRC206" s="1056"/>
      <c r="BRD206" s="1056"/>
      <c r="BRE206" s="1056"/>
      <c r="BRF206" s="1056"/>
      <c r="BRG206" s="1056"/>
      <c r="BRH206" s="1056"/>
      <c r="BRI206" s="1056"/>
      <c r="BRJ206" s="1056"/>
      <c r="BRK206" s="1056"/>
      <c r="BRL206" s="1056"/>
      <c r="BRM206" s="1056"/>
      <c r="BRN206" s="1056"/>
      <c r="BRO206" s="1056"/>
      <c r="BRP206" s="1056"/>
      <c r="BRQ206" s="1056"/>
      <c r="BRR206" s="1056"/>
      <c r="BRS206" s="1056"/>
      <c r="BRT206" s="1056"/>
      <c r="BRU206" s="1056"/>
      <c r="BRV206" s="1056"/>
      <c r="BRW206" s="1056"/>
      <c r="BRX206" s="1056"/>
      <c r="BRY206" s="1056"/>
      <c r="BRZ206" s="1056"/>
      <c r="BSA206" s="1056"/>
      <c r="BSB206" s="1056"/>
      <c r="BSC206" s="1056"/>
      <c r="BSD206" s="1056"/>
      <c r="BSE206" s="1056"/>
      <c r="BSF206" s="1056"/>
      <c r="BSG206" s="1056"/>
      <c r="BSH206" s="1056"/>
      <c r="BSI206" s="1056"/>
      <c r="BSJ206" s="1056"/>
      <c r="BSK206" s="1056"/>
      <c r="BSL206" s="1056"/>
      <c r="BSM206" s="1056"/>
      <c r="BSN206" s="1056"/>
      <c r="BSO206" s="1056"/>
      <c r="BSP206" s="1056"/>
      <c r="BSQ206" s="1056"/>
      <c r="BSR206" s="1056"/>
      <c r="BSS206" s="1056"/>
      <c r="BST206" s="1056"/>
      <c r="BSU206" s="1056"/>
      <c r="BSV206" s="1056"/>
      <c r="BSW206" s="1056"/>
      <c r="BSX206" s="1056"/>
      <c r="BSY206" s="1056"/>
      <c r="BSZ206" s="1056"/>
      <c r="BTA206" s="1056"/>
      <c r="BTB206" s="1056"/>
      <c r="BTC206" s="1056"/>
      <c r="BTD206" s="1056"/>
      <c r="BTE206" s="1056"/>
      <c r="BTF206" s="1056"/>
      <c r="BTG206" s="1056"/>
      <c r="BTH206" s="1056"/>
      <c r="BTI206" s="1056"/>
    </row>
    <row r="207" spans="1:1881" s="1060" customFormat="1" hidden="1" x14ac:dyDescent="0.3">
      <c r="A207" s="1059"/>
      <c r="B207" s="843" t="s">
        <v>6</v>
      </c>
      <c r="C207" s="843"/>
      <c r="D207" s="843"/>
      <c r="E207" s="819"/>
      <c r="F207" s="847"/>
      <c r="G207" s="849"/>
      <c r="H207" s="764"/>
      <c r="I207" s="1055"/>
      <c r="J207" s="1056"/>
      <c r="K207" s="1056"/>
      <c r="L207" s="1056"/>
      <c r="M207" s="1056"/>
      <c r="N207" s="1058"/>
      <c r="O207" s="1056"/>
      <c r="P207" s="1056"/>
      <c r="Q207" s="1056"/>
      <c r="R207" s="1056"/>
      <c r="S207" s="1056"/>
      <c r="T207" s="1056"/>
      <c r="U207" s="1056"/>
      <c r="V207" s="1056"/>
      <c r="W207" s="1056"/>
      <c r="X207" s="1056"/>
      <c r="Y207" s="1056"/>
      <c r="Z207" s="1059"/>
      <c r="AA207" s="1059"/>
      <c r="AB207" s="1059"/>
      <c r="AC207" s="1059"/>
      <c r="AD207" s="1059"/>
      <c r="AE207" s="1059"/>
      <c r="AF207" s="1059"/>
      <c r="AG207" s="1059"/>
      <c r="AH207" s="1059"/>
      <c r="AI207" s="1059"/>
      <c r="AJ207" s="1059"/>
      <c r="AK207" s="1059"/>
      <c r="AL207" s="1059"/>
      <c r="AM207" s="1059"/>
      <c r="AN207" s="1059"/>
      <c r="AO207" s="1059"/>
      <c r="AP207" s="1059"/>
      <c r="AQ207" s="1059"/>
      <c r="AR207" s="1059"/>
      <c r="AS207" s="1056"/>
      <c r="AT207" s="1056"/>
      <c r="AU207" s="1056"/>
      <c r="AV207" s="1056"/>
      <c r="AW207" s="1056"/>
      <c r="AX207" s="1056"/>
      <c r="AY207" s="1056"/>
      <c r="AZ207" s="1056"/>
      <c r="BA207" s="1056"/>
      <c r="BB207" s="1056"/>
      <c r="BC207" s="1056"/>
      <c r="BD207" s="1056"/>
      <c r="BE207" s="1056"/>
      <c r="BF207" s="1056"/>
      <c r="BG207" s="1056"/>
      <c r="BH207" s="1056"/>
      <c r="BI207" s="1056"/>
      <c r="BJ207" s="1056"/>
      <c r="BK207" s="1056"/>
      <c r="BL207" s="1056"/>
      <c r="BM207" s="1056"/>
      <c r="BN207" s="1056"/>
      <c r="BO207" s="1056"/>
      <c r="BP207" s="1056"/>
      <c r="BQ207" s="1056"/>
      <c r="BR207" s="1056"/>
      <c r="BS207" s="1056"/>
      <c r="BT207" s="1056"/>
      <c r="BU207" s="1056"/>
      <c r="BV207" s="1056"/>
      <c r="BW207" s="1056"/>
      <c r="BX207" s="1056"/>
      <c r="BY207" s="1056"/>
      <c r="BZ207" s="1056"/>
      <c r="CA207" s="1056"/>
      <c r="CB207" s="1056"/>
      <c r="CC207" s="1056"/>
      <c r="CD207" s="1056"/>
      <c r="CE207" s="1056"/>
      <c r="CF207" s="1056"/>
      <c r="CG207" s="1056"/>
      <c r="CH207" s="1056"/>
      <c r="CI207" s="1056"/>
      <c r="CJ207" s="1056"/>
      <c r="CK207" s="1056"/>
      <c r="CL207" s="1056"/>
      <c r="CM207" s="1056"/>
      <c r="CN207" s="1056"/>
      <c r="CO207" s="1056"/>
      <c r="CP207" s="1056"/>
      <c r="CQ207" s="1056"/>
      <c r="CR207" s="1056"/>
      <c r="CS207" s="1056"/>
      <c r="CT207" s="1056"/>
      <c r="CU207" s="1056"/>
      <c r="CV207" s="1056"/>
      <c r="CW207" s="1056"/>
      <c r="CX207" s="1056"/>
      <c r="CY207" s="1056"/>
      <c r="CZ207" s="1056"/>
      <c r="DA207" s="1056"/>
      <c r="DB207" s="1056"/>
      <c r="DC207" s="1056"/>
      <c r="DD207" s="1056"/>
      <c r="DE207" s="1056"/>
      <c r="DF207" s="1056"/>
      <c r="DG207" s="1056"/>
      <c r="DH207" s="1056"/>
      <c r="DI207" s="1056"/>
      <c r="DJ207" s="1056"/>
      <c r="DK207" s="1056"/>
      <c r="DL207" s="1056"/>
      <c r="DM207" s="1056"/>
      <c r="DN207" s="1056"/>
      <c r="DO207" s="1056"/>
      <c r="DP207" s="1056"/>
      <c r="DQ207" s="1056"/>
      <c r="DR207" s="1056"/>
      <c r="DS207" s="1056"/>
      <c r="DT207" s="1056"/>
      <c r="DU207" s="1056"/>
      <c r="DV207" s="1056"/>
      <c r="DW207" s="1056"/>
      <c r="DX207" s="1056"/>
      <c r="DY207" s="1056"/>
      <c r="DZ207" s="1056"/>
      <c r="EA207" s="1056"/>
      <c r="EB207" s="1056"/>
      <c r="EC207" s="1056"/>
      <c r="ED207" s="1056"/>
      <c r="EE207" s="1056"/>
      <c r="EF207" s="1056"/>
      <c r="EG207" s="1056"/>
      <c r="EH207" s="1056"/>
      <c r="EI207" s="1056"/>
      <c r="EJ207" s="1056"/>
      <c r="EK207" s="1056"/>
      <c r="EL207" s="1056"/>
      <c r="EM207" s="1056"/>
      <c r="EN207" s="1056"/>
      <c r="EO207" s="1056"/>
      <c r="EP207" s="1056"/>
      <c r="EQ207" s="1056"/>
      <c r="ER207" s="1056"/>
      <c r="ES207" s="1056"/>
      <c r="ET207" s="1056"/>
      <c r="EU207" s="1056"/>
      <c r="EV207" s="1056"/>
      <c r="EW207" s="1056"/>
      <c r="EX207" s="1056"/>
      <c r="EY207" s="1056"/>
      <c r="EZ207" s="1056"/>
      <c r="FA207" s="1056"/>
      <c r="FB207" s="1056"/>
      <c r="FC207" s="1056"/>
      <c r="FD207" s="1056"/>
      <c r="FE207" s="1056"/>
      <c r="FF207" s="1056"/>
      <c r="FG207" s="1056"/>
      <c r="FH207" s="1056"/>
      <c r="FI207" s="1056"/>
      <c r="FJ207" s="1056"/>
      <c r="FK207" s="1056"/>
      <c r="FL207" s="1056"/>
      <c r="FM207" s="1056"/>
      <c r="FN207" s="1056"/>
      <c r="FO207" s="1056"/>
      <c r="FP207" s="1056"/>
      <c r="FQ207" s="1056"/>
      <c r="FR207" s="1056"/>
      <c r="FS207" s="1056"/>
      <c r="FT207" s="1056"/>
      <c r="FU207" s="1056"/>
      <c r="FV207" s="1056"/>
      <c r="FW207" s="1056"/>
      <c r="FX207" s="1056"/>
      <c r="FY207" s="1056"/>
      <c r="FZ207" s="1056"/>
      <c r="GA207" s="1056"/>
      <c r="GB207" s="1056"/>
      <c r="GC207" s="1056"/>
      <c r="GD207" s="1056"/>
      <c r="GE207" s="1056"/>
      <c r="GF207" s="1056"/>
      <c r="GG207" s="1056"/>
      <c r="GH207" s="1056"/>
      <c r="GI207" s="1056"/>
      <c r="GJ207" s="1056"/>
      <c r="GK207" s="1056"/>
      <c r="GL207" s="1056"/>
      <c r="GM207" s="1056"/>
      <c r="GN207" s="1056"/>
      <c r="GO207" s="1056"/>
      <c r="GP207" s="1056"/>
      <c r="GQ207" s="1056"/>
      <c r="GR207" s="1056"/>
      <c r="GS207" s="1056"/>
      <c r="GT207" s="1056"/>
      <c r="GU207" s="1056"/>
      <c r="GV207" s="1056"/>
      <c r="GW207" s="1056"/>
      <c r="GX207" s="1056"/>
      <c r="GY207" s="1056"/>
      <c r="GZ207" s="1056"/>
      <c r="HA207" s="1056"/>
      <c r="HB207" s="1056"/>
      <c r="HC207" s="1056"/>
      <c r="HD207" s="1056"/>
      <c r="HE207" s="1056"/>
      <c r="HF207" s="1056"/>
      <c r="HG207" s="1056"/>
      <c r="HH207" s="1056"/>
      <c r="HI207" s="1056"/>
      <c r="HJ207" s="1056"/>
      <c r="HK207" s="1056"/>
      <c r="HL207" s="1056"/>
      <c r="HM207" s="1056"/>
      <c r="HN207" s="1056"/>
      <c r="HO207" s="1056"/>
      <c r="HP207" s="1056"/>
      <c r="HQ207" s="1056"/>
      <c r="HR207" s="1056"/>
      <c r="HS207" s="1056"/>
      <c r="HT207" s="1056"/>
      <c r="HU207" s="1056"/>
      <c r="HV207" s="1056"/>
      <c r="HW207" s="1056"/>
      <c r="HX207" s="1056"/>
      <c r="HY207" s="1056"/>
      <c r="HZ207" s="1056"/>
      <c r="IA207" s="1056"/>
      <c r="IB207" s="1056"/>
      <c r="IC207" s="1056"/>
      <c r="ID207" s="1056"/>
      <c r="IE207" s="1056"/>
      <c r="IF207" s="1056"/>
      <c r="IG207" s="1056"/>
      <c r="IH207" s="1056"/>
      <c r="II207" s="1056"/>
      <c r="IJ207" s="1056"/>
      <c r="IK207" s="1056"/>
      <c r="IL207" s="1056"/>
      <c r="IM207" s="1056"/>
      <c r="IN207" s="1056"/>
      <c r="IO207" s="1056"/>
      <c r="IP207" s="1056"/>
      <c r="IQ207" s="1056"/>
      <c r="IR207" s="1056"/>
      <c r="IS207" s="1056"/>
      <c r="IT207" s="1056"/>
      <c r="IU207" s="1056"/>
      <c r="IV207" s="1056"/>
      <c r="IW207" s="1056"/>
      <c r="IX207" s="1056"/>
      <c r="IY207" s="1056"/>
      <c r="IZ207" s="1056"/>
      <c r="JA207" s="1056"/>
      <c r="JB207" s="1056"/>
      <c r="JC207" s="1056"/>
      <c r="JD207" s="1056"/>
      <c r="JE207" s="1056"/>
      <c r="JF207" s="1056"/>
      <c r="JG207" s="1056"/>
      <c r="JH207" s="1056"/>
      <c r="JI207" s="1056"/>
      <c r="JJ207" s="1056"/>
      <c r="JK207" s="1056"/>
      <c r="JL207" s="1056"/>
      <c r="JM207" s="1056"/>
      <c r="JN207" s="1056"/>
      <c r="JO207" s="1056"/>
      <c r="JP207" s="1056"/>
      <c r="JQ207" s="1056"/>
      <c r="JR207" s="1056"/>
      <c r="JS207" s="1056"/>
      <c r="JT207" s="1056"/>
      <c r="JU207" s="1056"/>
      <c r="JV207" s="1056"/>
      <c r="JW207" s="1056"/>
      <c r="JX207" s="1056"/>
      <c r="JY207" s="1056"/>
      <c r="JZ207" s="1056"/>
      <c r="KA207" s="1056"/>
      <c r="KB207" s="1056"/>
      <c r="KC207" s="1056"/>
      <c r="KD207" s="1056"/>
      <c r="KE207" s="1056"/>
      <c r="KF207" s="1056"/>
      <c r="KG207" s="1056"/>
      <c r="KH207" s="1056"/>
      <c r="KI207" s="1056"/>
      <c r="KJ207" s="1056"/>
      <c r="KK207" s="1056"/>
      <c r="KL207" s="1056"/>
      <c r="KM207" s="1056"/>
      <c r="KN207" s="1056"/>
      <c r="KO207" s="1056"/>
      <c r="KP207" s="1056"/>
      <c r="KQ207" s="1056"/>
      <c r="KR207" s="1056"/>
      <c r="KS207" s="1056"/>
      <c r="KT207" s="1056"/>
      <c r="KU207" s="1056"/>
      <c r="KV207" s="1056"/>
      <c r="KW207" s="1056"/>
      <c r="KX207" s="1056"/>
      <c r="KY207" s="1056"/>
      <c r="KZ207" s="1056"/>
      <c r="LA207" s="1056"/>
      <c r="LB207" s="1056"/>
      <c r="LC207" s="1056"/>
      <c r="LD207" s="1056"/>
      <c r="LE207" s="1056"/>
      <c r="LF207" s="1056"/>
      <c r="LG207" s="1056"/>
      <c r="LH207" s="1056"/>
      <c r="LI207" s="1056"/>
      <c r="LJ207" s="1056"/>
      <c r="LK207" s="1056"/>
      <c r="LL207" s="1056"/>
      <c r="LM207" s="1056"/>
      <c r="LN207" s="1056"/>
      <c r="LO207" s="1056"/>
      <c r="LP207" s="1056"/>
      <c r="LQ207" s="1056"/>
      <c r="LR207" s="1056"/>
      <c r="LS207" s="1056"/>
      <c r="LT207" s="1056"/>
      <c r="LU207" s="1056"/>
      <c r="LV207" s="1056"/>
      <c r="LW207" s="1056"/>
      <c r="LX207" s="1056"/>
      <c r="LY207" s="1056"/>
      <c r="LZ207" s="1056"/>
      <c r="MA207" s="1056"/>
      <c r="MB207" s="1056"/>
      <c r="MC207" s="1056"/>
      <c r="MD207" s="1056"/>
      <c r="ME207" s="1056"/>
      <c r="MF207" s="1056"/>
      <c r="MG207" s="1056"/>
      <c r="MH207" s="1056"/>
      <c r="MI207" s="1056"/>
      <c r="MJ207" s="1056"/>
      <c r="MK207" s="1056"/>
      <c r="ML207" s="1056"/>
      <c r="MM207" s="1056"/>
      <c r="MN207" s="1056"/>
      <c r="MO207" s="1056"/>
      <c r="MP207" s="1056"/>
      <c r="MQ207" s="1056"/>
      <c r="MR207" s="1056"/>
      <c r="MS207" s="1056"/>
      <c r="MT207" s="1056"/>
      <c r="MU207" s="1056"/>
      <c r="MV207" s="1056"/>
      <c r="MW207" s="1056"/>
      <c r="MX207" s="1056"/>
      <c r="MY207" s="1056"/>
      <c r="MZ207" s="1056"/>
      <c r="NA207" s="1056"/>
      <c r="NB207" s="1056"/>
      <c r="NC207" s="1056"/>
      <c r="ND207" s="1056"/>
      <c r="NE207" s="1056"/>
      <c r="NF207" s="1056"/>
      <c r="NG207" s="1056"/>
      <c r="NH207" s="1056"/>
      <c r="NI207" s="1056"/>
      <c r="NJ207" s="1056"/>
      <c r="NK207" s="1056"/>
      <c r="NL207" s="1056"/>
      <c r="NM207" s="1056"/>
      <c r="NN207" s="1056"/>
      <c r="NO207" s="1056"/>
      <c r="NP207" s="1056"/>
      <c r="NQ207" s="1056"/>
      <c r="NR207" s="1056"/>
      <c r="NS207" s="1056"/>
      <c r="NT207" s="1056"/>
      <c r="NU207" s="1056"/>
      <c r="NV207" s="1056"/>
      <c r="NW207" s="1056"/>
      <c r="NX207" s="1056"/>
      <c r="NY207" s="1056"/>
      <c r="NZ207" s="1056"/>
      <c r="OA207" s="1056"/>
      <c r="OB207" s="1056"/>
      <c r="OC207" s="1056"/>
      <c r="OD207" s="1056"/>
      <c r="OE207" s="1056"/>
      <c r="OF207" s="1056"/>
      <c r="OG207" s="1056"/>
      <c r="OH207" s="1056"/>
      <c r="OI207" s="1056"/>
      <c r="OJ207" s="1056"/>
      <c r="OK207" s="1056"/>
      <c r="OL207" s="1056"/>
      <c r="OM207" s="1056"/>
      <c r="ON207" s="1056"/>
      <c r="OO207" s="1056"/>
      <c r="OP207" s="1056"/>
      <c r="OQ207" s="1056"/>
      <c r="OR207" s="1056"/>
      <c r="OS207" s="1056"/>
      <c r="OT207" s="1056"/>
      <c r="OU207" s="1056"/>
      <c r="OV207" s="1056"/>
      <c r="OW207" s="1056"/>
      <c r="OX207" s="1056"/>
      <c r="OY207" s="1056"/>
      <c r="OZ207" s="1056"/>
      <c r="PA207" s="1056"/>
      <c r="PB207" s="1056"/>
      <c r="PC207" s="1056"/>
      <c r="PD207" s="1056"/>
      <c r="PE207" s="1056"/>
      <c r="PF207" s="1056"/>
      <c r="PG207" s="1056"/>
      <c r="PH207" s="1056"/>
      <c r="PI207" s="1056"/>
      <c r="PJ207" s="1056"/>
      <c r="PK207" s="1056"/>
      <c r="PL207" s="1056"/>
      <c r="PM207" s="1056"/>
      <c r="PN207" s="1056"/>
      <c r="PO207" s="1056"/>
      <c r="PP207" s="1056"/>
      <c r="PQ207" s="1056"/>
      <c r="PR207" s="1056"/>
      <c r="PS207" s="1056"/>
      <c r="PT207" s="1056"/>
      <c r="PU207" s="1056"/>
      <c r="PV207" s="1056"/>
      <c r="PW207" s="1056"/>
      <c r="PX207" s="1056"/>
      <c r="PY207" s="1056"/>
      <c r="PZ207" s="1056"/>
      <c r="QA207" s="1056"/>
      <c r="QB207" s="1056"/>
      <c r="QC207" s="1056"/>
      <c r="QD207" s="1056"/>
      <c r="QE207" s="1056"/>
      <c r="QF207" s="1056"/>
      <c r="QG207" s="1056"/>
      <c r="QH207" s="1056"/>
      <c r="QI207" s="1056"/>
      <c r="QJ207" s="1056"/>
      <c r="QK207" s="1056"/>
      <c r="QL207" s="1056"/>
      <c r="QM207" s="1056"/>
      <c r="QN207" s="1056"/>
      <c r="QO207" s="1056"/>
      <c r="QP207" s="1056"/>
      <c r="QQ207" s="1056"/>
      <c r="QR207" s="1056"/>
      <c r="QS207" s="1056"/>
      <c r="QT207" s="1056"/>
      <c r="QU207" s="1056"/>
      <c r="QV207" s="1056"/>
      <c r="QW207" s="1056"/>
      <c r="QX207" s="1056"/>
      <c r="QY207" s="1056"/>
      <c r="QZ207" s="1056"/>
      <c r="RA207" s="1056"/>
      <c r="RB207" s="1056"/>
      <c r="RC207" s="1056"/>
      <c r="RD207" s="1056"/>
      <c r="RE207" s="1056"/>
      <c r="RF207" s="1056"/>
      <c r="RG207" s="1056"/>
      <c r="RH207" s="1056"/>
      <c r="RI207" s="1056"/>
      <c r="RJ207" s="1056"/>
      <c r="RK207" s="1056"/>
      <c r="RL207" s="1056"/>
      <c r="RM207" s="1056"/>
      <c r="RN207" s="1056"/>
      <c r="RO207" s="1056"/>
      <c r="RP207" s="1056"/>
      <c r="RQ207" s="1056"/>
      <c r="RR207" s="1056"/>
      <c r="RS207" s="1056"/>
      <c r="RT207" s="1056"/>
      <c r="RU207" s="1056"/>
      <c r="RV207" s="1056"/>
      <c r="RW207" s="1056"/>
      <c r="RX207" s="1056"/>
      <c r="RY207" s="1056"/>
      <c r="RZ207" s="1056"/>
      <c r="SA207" s="1056"/>
      <c r="SB207" s="1056"/>
      <c r="SC207" s="1056"/>
      <c r="SD207" s="1056"/>
      <c r="SE207" s="1056"/>
      <c r="SF207" s="1056"/>
      <c r="SG207" s="1056"/>
      <c r="SH207" s="1056"/>
      <c r="SI207" s="1056"/>
      <c r="SJ207" s="1056"/>
      <c r="SK207" s="1056"/>
      <c r="SL207" s="1056"/>
      <c r="SM207" s="1056"/>
      <c r="SN207" s="1056"/>
      <c r="SO207" s="1056"/>
      <c r="SP207" s="1056"/>
      <c r="SQ207" s="1056"/>
      <c r="SR207" s="1056"/>
      <c r="SS207" s="1056"/>
      <c r="ST207" s="1056"/>
      <c r="SU207" s="1056"/>
      <c r="SV207" s="1056"/>
      <c r="SW207" s="1056"/>
      <c r="SX207" s="1056"/>
      <c r="SY207" s="1056"/>
      <c r="SZ207" s="1056"/>
      <c r="TA207" s="1056"/>
      <c r="TB207" s="1056"/>
      <c r="TC207" s="1056"/>
      <c r="TD207" s="1056"/>
      <c r="TE207" s="1056"/>
      <c r="TF207" s="1056"/>
      <c r="TG207" s="1056"/>
      <c r="TH207" s="1056"/>
      <c r="TI207" s="1056"/>
      <c r="TJ207" s="1056"/>
      <c r="TK207" s="1056"/>
      <c r="TL207" s="1056"/>
      <c r="TM207" s="1056"/>
      <c r="TN207" s="1056"/>
      <c r="TO207" s="1056"/>
      <c r="TP207" s="1056"/>
      <c r="TQ207" s="1056"/>
      <c r="TR207" s="1056"/>
      <c r="TS207" s="1056"/>
      <c r="TT207" s="1056"/>
      <c r="TU207" s="1056"/>
      <c r="TV207" s="1056"/>
      <c r="TW207" s="1056"/>
      <c r="TX207" s="1056"/>
      <c r="TY207" s="1056"/>
      <c r="TZ207" s="1056"/>
      <c r="UA207" s="1056"/>
      <c r="UB207" s="1056"/>
      <c r="UC207" s="1056"/>
      <c r="UD207" s="1056"/>
      <c r="UE207" s="1056"/>
      <c r="UF207" s="1056"/>
      <c r="UG207" s="1056"/>
      <c r="UH207" s="1056"/>
      <c r="UI207" s="1056"/>
      <c r="UJ207" s="1056"/>
      <c r="UK207" s="1056"/>
      <c r="UL207" s="1056"/>
      <c r="UM207" s="1056"/>
      <c r="UN207" s="1056"/>
      <c r="UO207" s="1056"/>
      <c r="UP207" s="1056"/>
      <c r="UQ207" s="1056"/>
      <c r="UR207" s="1056"/>
      <c r="US207" s="1056"/>
      <c r="UT207" s="1056"/>
      <c r="UU207" s="1056"/>
      <c r="UV207" s="1056"/>
      <c r="UW207" s="1056"/>
      <c r="UX207" s="1056"/>
      <c r="UY207" s="1056"/>
      <c r="UZ207" s="1056"/>
      <c r="VA207" s="1056"/>
      <c r="VB207" s="1056"/>
      <c r="VC207" s="1056"/>
      <c r="VD207" s="1056"/>
      <c r="VE207" s="1056"/>
      <c r="VF207" s="1056"/>
      <c r="VG207" s="1056"/>
      <c r="VH207" s="1056"/>
      <c r="VI207" s="1056"/>
      <c r="VJ207" s="1056"/>
      <c r="VK207" s="1056"/>
      <c r="VL207" s="1056"/>
      <c r="VM207" s="1056"/>
      <c r="VN207" s="1056"/>
      <c r="VO207" s="1056"/>
      <c r="VP207" s="1056"/>
      <c r="VQ207" s="1056"/>
      <c r="VR207" s="1056"/>
      <c r="VS207" s="1056"/>
      <c r="VT207" s="1056"/>
      <c r="VU207" s="1056"/>
      <c r="VV207" s="1056"/>
      <c r="VW207" s="1056"/>
      <c r="VX207" s="1056"/>
      <c r="VY207" s="1056"/>
      <c r="VZ207" s="1056"/>
      <c r="WA207" s="1056"/>
      <c r="WB207" s="1056"/>
      <c r="WC207" s="1056"/>
      <c r="WD207" s="1056"/>
      <c r="WE207" s="1056"/>
      <c r="WF207" s="1056"/>
      <c r="WG207" s="1056"/>
      <c r="WH207" s="1056"/>
      <c r="WI207" s="1056"/>
      <c r="WJ207" s="1056"/>
      <c r="WK207" s="1056"/>
      <c r="WL207" s="1056"/>
      <c r="WM207" s="1056"/>
      <c r="WN207" s="1056"/>
      <c r="WO207" s="1056"/>
      <c r="WP207" s="1056"/>
      <c r="WQ207" s="1056"/>
      <c r="WR207" s="1056"/>
      <c r="WS207" s="1056"/>
      <c r="WT207" s="1056"/>
      <c r="WU207" s="1056"/>
      <c r="WV207" s="1056"/>
      <c r="WW207" s="1056"/>
      <c r="WX207" s="1056"/>
      <c r="WY207" s="1056"/>
      <c r="WZ207" s="1056"/>
      <c r="XA207" s="1056"/>
      <c r="XB207" s="1056"/>
      <c r="XC207" s="1056"/>
      <c r="XD207" s="1056"/>
      <c r="XE207" s="1056"/>
      <c r="XF207" s="1056"/>
      <c r="XG207" s="1056"/>
      <c r="XH207" s="1056"/>
      <c r="XI207" s="1056"/>
      <c r="XJ207" s="1056"/>
      <c r="XK207" s="1056"/>
      <c r="XL207" s="1056"/>
      <c r="XM207" s="1056"/>
      <c r="XN207" s="1056"/>
      <c r="XO207" s="1056"/>
      <c r="XP207" s="1056"/>
      <c r="XQ207" s="1056"/>
      <c r="XR207" s="1056"/>
      <c r="XS207" s="1056"/>
      <c r="XT207" s="1056"/>
      <c r="XU207" s="1056"/>
      <c r="XV207" s="1056"/>
      <c r="XW207" s="1056"/>
      <c r="XX207" s="1056"/>
      <c r="XY207" s="1056"/>
      <c r="XZ207" s="1056"/>
      <c r="YA207" s="1056"/>
      <c r="YB207" s="1056"/>
      <c r="YC207" s="1056"/>
      <c r="YD207" s="1056"/>
      <c r="YE207" s="1056"/>
      <c r="YF207" s="1056"/>
      <c r="YG207" s="1056"/>
      <c r="YH207" s="1056"/>
      <c r="YI207" s="1056"/>
      <c r="YJ207" s="1056"/>
      <c r="YK207" s="1056"/>
      <c r="YL207" s="1056"/>
      <c r="YM207" s="1056"/>
      <c r="YN207" s="1056"/>
      <c r="YO207" s="1056"/>
      <c r="YP207" s="1056"/>
      <c r="YQ207" s="1056"/>
      <c r="YR207" s="1056"/>
      <c r="YS207" s="1056"/>
      <c r="YT207" s="1056"/>
      <c r="YU207" s="1056"/>
      <c r="YV207" s="1056"/>
      <c r="YW207" s="1056"/>
      <c r="YX207" s="1056"/>
      <c r="YY207" s="1056"/>
      <c r="YZ207" s="1056"/>
      <c r="ZA207" s="1056"/>
      <c r="ZB207" s="1056"/>
      <c r="ZC207" s="1056"/>
      <c r="ZD207" s="1056"/>
      <c r="ZE207" s="1056"/>
      <c r="ZF207" s="1056"/>
      <c r="ZG207" s="1056"/>
      <c r="ZH207" s="1056"/>
      <c r="ZI207" s="1056"/>
      <c r="ZJ207" s="1056"/>
      <c r="ZK207" s="1056"/>
      <c r="ZL207" s="1056"/>
      <c r="ZM207" s="1056"/>
      <c r="ZN207" s="1056"/>
      <c r="ZO207" s="1056"/>
      <c r="ZP207" s="1056"/>
      <c r="ZQ207" s="1056"/>
      <c r="ZR207" s="1056"/>
      <c r="ZS207" s="1056"/>
      <c r="ZT207" s="1056"/>
      <c r="ZU207" s="1056"/>
      <c r="ZV207" s="1056"/>
      <c r="ZW207" s="1056"/>
      <c r="ZX207" s="1056"/>
      <c r="ZY207" s="1056"/>
      <c r="ZZ207" s="1056"/>
      <c r="AAA207" s="1056"/>
      <c r="AAB207" s="1056"/>
      <c r="AAC207" s="1056"/>
      <c r="AAD207" s="1056"/>
      <c r="AAE207" s="1056"/>
      <c r="AAF207" s="1056"/>
      <c r="AAG207" s="1056"/>
      <c r="AAH207" s="1056"/>
      <c r="AAI207" s="1056"/>
      <c r="AAJ207" s="1056"/>
      <c r="AAK207" s="1056"/>
      <c r="AAL207" s="1056"/>
      <c r="AAM207" s="1056"/>
      <c r="AAN207" s="1056"/>
      <c r="AAO207" s="1056"/>
      <c r="AAP207" s="1056"/>
      <c r="AAQ207" s="1056"/>
      <c r="AAR207" s="1056"/>
      <c r="AAS207" s="1056"/>
      <c r="AAT207" s="1056"/>
      <c r="AAU207" s="1056"/>
      <c r="AAV207" s="1056"/>
      <c r="AAW207" s="1056"/>
      <c r="AAX207" s="1056"/>
      <c r="AAY207" s="1056"/>
      <c r="AAZ207" s="1056"/>
      <c r="ABA207" s="1056"/>
      <c r="ABB207" s="1056"/>
      <c r="ABC207" s="1056"/>
      <c r="ABD207" s="1056"/>
      <c r="ABE207" s="1056"/>
      <c r="ABF207" s="1056"/>
      <c r="ABG207" s="1056"/>
      <c r="ABH207" s="1056"/>
      <c r="ABI207" s="1056"/>
      <c r="ABJ207" s="1056"/>
      <c r="ABK207" s="1056"/>
      <c r="ABL207" s="1056"/>
      <c r="ABM207" s="1056"/>
      <c r="ABN207" s="1056"/>
      <c r="ABO207" s="1056"/>
      <c r="ABP207" s="1056"/>
      <c r="ABQ207" s="1056"/>
      <c r="ABR207" s="1056"/>
      <c r="ABS207" s="1056"/>
      <c r="ABT207" s="1056"/>
      <c r="ABU207" s="1056"/>
      <c r="ABV207" s="1056"/>
      <c r="ABW207" s="1056"/>
      <c r="ABX207" s="1056"/>
      <c r="ABY207" s="1056"/>
      <c r="ABZ207" s="1056"/>
      <c r="ACA207" s="1056"/>
      <c r="ACB207" s="1056"/>
      <c r="ACC207" s="1056"/>
      <c r="ACD207" s="1056"/>
      <c r="ACE207" s="1056"/>
      <c r="ACF207" s="1056"/>
      <c r="ACG207" s="1056"/>
      <c r="ACH207" s="1056"/>
      <c r="ACI207" s="1056"/>
      <c r="ACJ207" s="1056"/>
      <c r="ACK207" s="1056"/>
      <c r="ACL207" s="1056"/>
      <c r="ACM207" s="1056"/>
      <c r="ACN207" s="1056"/>
      <c r="ACO207" s="1056"/>
      <c r="ACP207" s="1056"/>
      <c r="ACQ207" s="1056"/>
      <c r="ACR207" s="1056"/>
      <c r="ACS207" s="1056"/>
      <c r="ACT207" s="1056"/>
      <c r="ACU207" s="1056"/>
      <c r="ACV207" s="1056"/>
      <c r="ACW207" s="1056"/>
      <c r="ACX207" s="1056"/>
      <c r="ACY207" s="1056"/>
      <c r="ACZ207" s="1056"/>
      <c r="ADA207" s="1056"/>
      <c r="ADB207" s="1056"/>
      <c r="ADC207" s="1056"/>
      <c r="ADD207" s="1056"/>
      <c r="ADE207" s="1056"/>
      <c r="ADF207" s="1056"/>
      <c r="ADG207" s="1056"/>
      <c r="ADH207" s="1056"/>
      <c r="ADI207" s="1056"/>
      <c r="ADJ207" s="1056"/>
      <c r="ADK207" s="1056"/>
      <c r="ADL207" s="1056"/>
      <c r="ADM207" s="1056"/>
      <c r="ADN207" s="1056"/>
      <c r="ADO207" s="1056"/>
      <c r="ADP207" s="1056"/>
      <c r="ADQ207" s="1056"/>
      <c r="ADR207" s="1056"/>
      <c r="ADS207" s="1056"/>
      <c r="ADT207" s="1056"/>
      <c r="ADU207" s="1056"/>
      <c r="ADV207" s="1056"/>
      <c r="ADW207" s="1056"/>
      <c r="ADX207" s="1056"/>
      <c r="ADY207" s="1056"/>
      <c r="ADZ207" s="1056"/>
      <c r="AEA207" s="1056"/>
      <c r="AEB207" s="1056"/>
      <c r="AEC207" s="1056"/>
      <c r="AED207" s="1056"/>
      <c r="AEE207" s="1056"/>
      <c r="AEF207" s="1056"/>
      <c r="AEG207" s="1056"/>
      <c r="AEH207" s="1056"/>
      <c r="AEI207" s="1056"/>
      <c r="AEJ207" s="1056"/>
      <c r="AEK207" s="1056"/>
      <c r="AEL207" s="1056"/>
      <c r="AEM207" s="1056"/>
      <c r="AEN207" s="1056"/>
      <c r="AEO207" s="1056"/>
      <c r="AEP207" s="1056"/>
      <c r="AEQ207" s="1056"/>
      <c r="AER207" s="1056"/>
      <c r="AES207" s="1056"/>
      <c r="AET207" s="1056"/>
      <c r="AEU207" s="1056"/>
      <c r="AEV207" s="1056"/>
      <c r="AEW207" s="1056"/>
      <c r="AEX207" s="1056"/>
      <c r="AEY207" s="1056"/>
      <c r="AEZ207" s="1056"/>
      <c r="AFA207" s="1056"/>
      <c r="AFB207" s="1056"/>
      <c r="AFC207" s="1056"/>
      <c r="AFD207" s="1056"/>
      <c r="AFE207" s="1056"/>
      <c r="AFF207" s="1056"/>
      <c r="AFG207" s="1056"/>
      <c r="AFH207" s="1056"/>
      <c r="AFI207" s="1056"/>
      <c r="AFJ207" s="1056"/>
      <c r="AFK207" s="1056"/>
      <c r="AFL207" s="1056"/>
      <c r="AFM207" s="1056"/>
      <c r="AFN207" s="1056"/>
      <c r="AFO207" s="1056"/>
      <c r="AFP207" s="1056"/>
      <c r="AFQ207" s="1056"/>
      <c r="AFR207" s="1056"/>
      <c r="AFS207" s="1056"/>
      <c r="AFT207" s="1056"/>
      <c r="AFU207" s="1056"/>
      <c r="AFV207" s="1056"/>
      <c r="AFW207" s="1056"/>
      <c r="AFX207" s="1056"/>
      <c r="AFY207" s="1056"/>
      <c r="AFZ207" s="1056"/>
      <c r="AGA207" s="1056"/>
      <c r="AGB207" s="1056"/>
      <c r="AGC207" s="1056"/>
      <c r="AGD207" s="1056"/>
      <c r="AGE207" s="1056"/>
      <c r="AGF207" s="1056"/>
      <c r="AGG207" s="1056"/>
      <c r="AGH207" s="1056"/>
      <c r="AGI207" s="1056"/>
      <c r="AGJ207" s="1056"/>
      <c r="AGK207" s="1056"/>
      <c r="AGL207" s="1056"/>
      <c r="AGM207" s="1056"/>
      <c r="AGN207" s="1056"/>
      <c r="AGO207" s="1056"/>
      <c r="AGP207" s="1056"/>
      <c r="AGQ207" s="1056"/>
      <c r="AGR207" s="1056"/>
      <c r="AGS207" s="1056"/>
      <c r="AGT207" s="1056"/>
      <c r="AGU207" s="1056"/>
      <c r="AGV207" s="1056"/>
      <c r="AGW207" s="1056"/>
      <c r="AGX207" s="1056"/>
      <c r="AGY207" s="1056"/>
      <c r="AGZ207" s="1056"/>
      <c r="AHA207" s="1056"/>
      <c r="AHB207" s="1056"/>
      <c r="AHC207" s="1056"/>
      <c r="AHD207" s="1056"/>
      <c r="AHE207" s="1056"/>
      <c r="AHF207" s="1056"/>
      <c r="AHG207" s="1056"/>
      <c r="AHH207" s="1056"/>
      <c r="AHI207" s="1056"/>
      <c r="AHJ207" s="1056"/>
      <c r="AHK207" s="1056"/>
      <c r="AHL207" s="1056"/>
      <c r="AHM207" s="1056"/>
      <c r="AHN207" s="1056"/>
      <c r="AHO207" s="1056"/>
      <c r="AHP207" s="1056"/>
      <c r="AHQ207" s="1056"/>
      <c r="AHR207" s="1056"/>
      <c r="AHS207" s="1056"/>
      <c r="AHT207" s="1056"/>
      <c r="AHU207" s="1056"/>
      <c r="AHV207" s="1056"/>
      <c r="AHW207" s="1056"/>
      <c r="AHX207" s="1056"/>
      <c r="AHY207" s="1056"/>
      <c r="AHZ207" s="1056"/>
      <c r="AIA207" s="1056"/>
      <c r="AIB207" s="1056"/>
      <c r="AIC207" s="1056"/>
      <c r="AID207" s="1056"/>
      <c r="AIE207" s="1056"/>
      <c r="AIF207" s="1056"/>
      <c r="AIG207" s="1056"/>
      <c r="AIH207" s="1056"/>
      <c r="AII207" s="1056"/>
      <c r="AIJ207" s="1056"/>
      <c r="AIK207" s="1056"/>
      <c r="AIL207" s="1056"/>
      <c r="AIM207" s="1056"/>
      <c r="AIN207" s="1056"/>
      <c r="AIO207" s="1056"/>
      <c r="AIP207" s="1056"/>
      <c r="AIQ207" s="1056"/>
      <c r="AIR207" s="1056"/>
      <c r="AIS207" s="1056"/>
      <c r="AIT207" s="1056"/>
      <c r="AIU207" s="1056"/>
      <c r="AIV207" s="1056"/>
      <c r="AIW207" s="1056"/>
      <c r="AIX207" s="1056"/>
      <c r="AIY207" s="1056"/>
      <c r="AIZ207" s="1056"/>
      <c r="AJA207" s="1056"/>
      <c r="AJB207" s="1056"/>
      <c r="AJC207" s="1056"/>
      <c r="AJD207" s="1056"/>
      <c r="AJE207" s="1056"/>
      <c r="AJF207" s="1056"/>
      <c r="AJG207" s="1056"/>
      <c r="AJH207" s="1056"/>
      <c r="AJI207" s="1056"/>
      <c r="AJJ207" s="1056"/>
      <c r="AJK207" s="1056"/>
      <c r="AJL207" s="1056"/>
      <c r="AJM207" s="1056"/>
      <c r="AJN207" s="1056"/>
      <c r="AJO207" s="1056"/>
      <c r="AJP207" s="1056"/>
      <c r="AJQ207" s="1056"/>
      <c r="AJR207" s="1056"/>
      <c r="AJS207" s="1056"/>
      <c r="AJT207" s="1056"/>
      <c r="AJU207" s="1056"/>
      <c r="AJV207" s="1056"/>
      <c r="AJW207" s="1056"/>
      <c r="AJX207" s="1056"/>
      <c r="AJY207" s="1056"/>
      <c r="AJZ207" s="1056"/>
      <c r="AKA207" s="1056"/>
      <c r="AKB207" s="1056"/>
      <c r="AKC207" s="1056"/>
      <c r="AKD207" s="1056"/>
      <c r="AKE207" s="1056"/>
      <c r="AKF207" s="1056"/>
      <c r="AKG207" s="1056"/>
      <c r="AKH207" s="1056"/>
      <c r="AKI207" s="1056"/>
      <c r="AKJ207" s="1056"/>
      <c r="AKK207" s="1056"/>
      <c r="AKL207" s="1056"/>
      <c r="AKM207" s="1056"/>
      <c r="AKN207" s="1056"/>
      <c r="AKO207" s="1056"/>
      <c r="AKP207" s="1056"/>
      <c r="AKQ207" s="1056"/>
      <c r="AKR207" s="1056"/>
      <c r="AKS207" s="1056"/>
      <c r="AKT207" s="1056"/>
      <c r="AKU207" s="1056"/>
      <c r="AKV207" s="1056"/>
      <c r="AKW207" s="1056"/>
      <c r="AKX207" s="1056"/>
      <c r="AKY207" s="1056"/>
      <c r="AKZ207" s="1056"/>
      <c r="ALA207" s="1056"/>
      <c r="ALB207" s="1056"/>
      <c r="ALC207" s="1056"/>
      <c r="ALD207" s="1056"/>
      <c r="ALE207" s="1056"/>
      <c r="ALF207" s="1056"/>
      <c r="ALG207" s="1056"/>
      <c r="ALH207" s="1056"/>
      <c r="ALI207" s="1056"/>
      <c r="ALJ207" s="1056"/>
      <c r="ALK207" s="1056"/>
      <c r="ALL207" s="1056"/>
      <c r="ALM207" s="1056"/>
      <c r="ALN207" s="1056"/>
      <c r="ALO207" s="1056"/>
      <c r="ALP207" s="1056"/>
      <c r="ALQ207" s="1056"/>
      <c r="ALR207" s="1056"/>
      <c r="ALS207" s="1056"/>
      <c r="ALT207" s="1056"/>
      <c r="ALU207" s="1056"/>
      <c r="ALV207" s="1056"/>
      <c r="ALW207" s="1056"/>
      <c r="ALX207" s="1056"/>
      <c r="ALY207" s="1056"/>
      <c r="ALZ207" s="1056"/>
      <c r="AMA207" s="1056"/>
      <c r="AMB207" s="1056"/>
      <c r="AMC207" s="1056"/>
      <c r="AMD207" s="1056"/>
      <c r="AME207" s="1056"/>
      <c r="AMF207" s="1056"/>
      <c r="AMG207" s="1056"/>
      <c r="AMH207" s="1056"/>
      <c r="AMI207" s="1056"/>
      <c r="AMJ207" s="1056"/>
      <c r="AMK207" s="1056"/>
      <c r="AML207" s="1056"/>
      <c r="AMM207" s="1056"/>
      <c r="AMN207" s="1056"/>
      <c r="AMO207" s="1056"/>
      <c r="AMP207" s="1056"/>
      <c r="AMQ207" s="1056"/>
      <c r="AMR207" s="1056"/>
      <c r="AMS207" s="1056"/>
      <c r="AMT207" s="1056"/>
      <c r="AMU207" s="1056"/>
      <c r="AMV207" s="1056"/>
      <c r="AMW207" s="1056"/>
      <c r="AMX207" s="1056"/>
      <c r="AMY207" s="1056"/>
      <c r="AMZ207" s="1056"/>
      <c r="ANA207" s="1056"/>
      <c r="ANB207" s="1056"/>
      <c r="ANC207" s="1056"/>
      <c r="AND207" s="1056"/>
      <c r="ANE207" s="1056"/>
      <c r="ANF207" s="1056"/>
      <c r="ANG207" s="1056"/>
      <c r="ANH207" s="1056"/>
      <c r="ANI207" s="1056"/>
      <c r="ANJ207" s="1056"/>
      <c r="ANK207" s="1056"/>
      <c r="ANL207" s="1056"/>
      <c r="ANM207" s="1056"/>
      <c r="ANN207" s="1056"/>
      <c r="ANO207" s="1056"/>
      <c r="ANP207" s="1056"/>
      <c r="ANQ207" s="1056"/>
      <c r="ANR207" s="1056"/>
      <c r="ANS207" s="1056"/>
      <c r="ANT207" s="1056"/>
      <c r="ANU207" s="1056"/>
      <c r="ANV207" s="1056"/>
      <c r="ANW207" s="1056"/>
      <c r="ANX207" s="1056"/>
      <c r="ANY207" s="1056"/>
      <c r="ANZ207" s="1056"/>
      <c r="AOA207" s="1056"/>
      <c r="AOB207" s="1056"/>
      <c r="AOC207" s="1056"/>
      <c r="AOD207" s="1056"/>
      <c r="AOE207" s="1056"/>
      <c r="AOF207" s="1056"/>
      <c r="AOG207" s="1056"/>
      <c r="AOH207" s="1056"/>
      <c r="AOI207" s="1056"/>
      <c r="AOJ207" s="1056"/>
      <c r="AOK207" s="1056"/>
      <c r="AOL207" s="1056"/>
      <c r="AOM207" s="1056"/>
      <c r="AON207" s="1056"/>
      <c r="AOO207" s="1056"/>
      <c r="AOP207" s="1056"/>
      <c r="AOQ207" s="1056"/>
      <c r="AOR207" s="1056"/>
      <c r="AOS207" s="1056"/>
      <c r="AOT207" s="1056"/>
      <c r="AOU207" s="1056"/>
      <c r="AOV207" s="1056"/>
      <c r="AOW207" s="1056"/>
      <c r="AOX207" s="1056"/>
      <c r="AOY207" s="1056"/>
      <c r="AOZ207" s="1056"/>
      <c r="APA207" s="1056"/>
      <c r="APB207" s="1056"/>
      <c r="APC207" s="1056"/>
      <c r="APD207" s="1056"/>
      <c r="APE207" s="1056"/>
      <c r="APF207" s="1056"/>
      <c r="APG207" s="1056"/>
      <c r="APH207" s="1056"/>
      <c r="API207" s="1056"/>
      <c r="APJ207" s="1056"/>
      <c r="APK207" s="1056"/>
      <c r="APL207" s="1056"/>
      <c r="APM207" s="1056"/>
      <c r="APN207" s="1056"/>
      <c r="APO207" s="1056"/>
      <c r="APP207" s="1056"/>
      <c r="APQ207" s="1056"/>
      <c r="APR207" s="1056"/>
      <c r="APS207" s="1056"/>
      <c r="APT207" s="1056"/>
      <c r="APU207" s="1056"/>
      <c r="APV207" s="1056"/>
      <c r="APW207" s="1056"/>
      <c r="APX207" s="1056"/>
      <c r="APY207" s="1056"/>
      <c r="APZ207" s="1056"/>
      <c r="AQA207" s="1056"/>
      <c r="AQB207" s="1056"/>
      <c r="AQC207" s="1056"/>
      <c r="AQD207" s="1056"/>
      <c r="AQE207" s="1056"/>
      <c r="AQF207" s="1056"/>
      <c r="AQG207" s="1056"/>
      <c r="AQH207" s="1056"/>
      <c r="AQI207" s="1056"/>
      <c r="AQJ207" s="1056"/>
      <c r="AQK207" s="1056"/>
      <c r="AQL207" s="1056"/>
      <c r="AQM207" s="1056"/>
      <c r="AQN207" s="1056"/>
      <c r="AQO207" s="1056"/>
      <c r="AQP207" s="1056"/>
      <c r="AQQ207" s="1056"/>
      <c r="AQR207" s="1056"/>
      <c r="AQS207" s="1056"/>
      <c r="AQT207" s="1056"/>
      <c r="AQU207" s="1056"/>
      <c r="AQV207" s="1056"/>
      <c r="AQW207" s="1056"/>
      <c r="AQX207" s="1056"/>
      <c r="AQY207" s="1056"/>
      <c r="AQZ207" s="1056"/>
      <c r="ARA207" s="1056"/>
      <c r="ARB207" s="1056"/>
      <c r="ARC207" s="1056"/>
      <c r="ARD207" s="1056"/>
      <c r="ARE207" s="1056"/>
      <c r="ARF207" s="1056"/>
      <c r="ARG207" s="1056"/>
      <c r="ARH207" s="1056"/>
      <c r="ARI207" s="1056"/>
      <c r="ARJ207" s="1056"/>
      <c r="ARK207" s="1056"/>
      <c r="ARL207" s="1056"/>
      <c r="ARM207" s="1056"/>
      <c r="ARN207" s="1056"/>
      <c r="ARO207" s="1056"/>
      <c r="ARP207" s="1056"/>
      <c r="ARQ207" s="1056"/>
      <c r="ARR207" s="1056"/>
      <c r="ARS207" s="1056"/>
      <c r="ART207" s="1056"/>
      <c r="ARU207" s="1056"/>
      <c r="ARV207" s="1056"/>
      <c r="ARW207" s="1056"/>
      <c r="ARX207" s="1056"/>
      <c r="ARY207" s="1056"/>
      <c r="ARZ207" s="1056"/>
      <c r="ASA207" s="1056"/>
      <c r="ASB207" s="1056"/>
      <c r="ASC207" s="1056"/>
      <c r="ASD207" s="1056"/>
      <c r="ASE207" s="1056"/>
      <c r="ASF207" s="1056"/>
      <c r="ASG207" s="1056"/>
      <c r="ASH207" s="1056"/>
      <c r="ASI207" s="1056"/>
      <c r="ASJ207" s="1056"/>
      <c r="ASK207" s="1056"/>
      <c r="ASL207" s="1056"/>
      <c r="ASM207" s="1056"/>
      <c r="ASN207" s="1056"/>
      <c r="ASO207" s="1056"/>
      <c r="ASP207" s="1056"/>
      <c r="ASQ207" s="1056"/>
      <c r="ASR207" s="1056"/>
      <c r="ASS207" s="1056"/>
      <c r="AST207" s="1056"/>
      <c r="ASU207" s="1056"/>
      <c r="ASV207" s="1056"/>
      <c r="ASW207" s="1056"/>
      <c r="ASX207" s="1056"/>
      <c r="ASY207" s="1056"/>
      <c r="ASZ207" s="1056"/>
      <c r="ATA207" s="1056"/>
      <c r="ATB207" s="1056"/>
      <c r="ATC207" s="1056"/>
      <c r="ATD207" s="1056"/>
      <c r="ATE207" s="1056"/>
      <c r="ATF207" s="1056"/>
      <c r="ATG207" s="1056"/>
      <c r="ATH207" s="1056"/>
      <c r="ATI207" s="1056"/>
      <c r="ATJ207" s="1056"/>
      <c r="ATK207" s="1056"/>
      <c r="ATL207" s="1056"/>
      <c r="ATM207" s="1056"/>
      <c r="ATN207" s="1056"/>
      <c r="ATO207" s="1056"/>
      <c r="ATP207" s="1056"/>
      <c r="ATQ207" s="1056"/>
      <c r="ATR207" s="1056"/>
      <c r="ATS207" s="1056"/>
      <c r="ATT207" s="1056"/>
      <c r="ATU207" s="1056"/>
      <c r="ATV207" s="1056"/>
      <c r="ATW207" s="1056"/>
      <c r="ATX207" s="1056"/>
      <c r="ATY207" s="1056"/>
      <c r="ATZ207" s="1056"/>
      <c r="AUA207" s="1056"/>
      <c r="AUB207" s="1056"/>
      <c r="AUC207" s="1056"/>
      <c r="AUD207" s="1056"/>
      <c r="AUE207" s="1056"/>
      <c r="AUF207" s="1056"/>
      <c r="AUG207" s="1056"/>
      <c r="AUH207" s="1056"/>
      <c r="AUI207" s="1056"/>
      <c r="AUJ207" s="1056"/>
      <c r="AUK207" s="1056"/>
      <c r="AUL207" s="1056"/>
      <c r="AUM207" s="1056"/>
      <c r="AUN207" s="1056"/>
      <c r="AUO207" s="1056"/>
      <c r="AUP207" s="1056"/>
      <c r="AUQ207" s="1056"/>
      <c r="AUR207" s="1056"/>
      <c r="AUS207" s="1056"/>
      <c r="AUT207" s="1056"/>
      <c r="AUU207" s="1056"/>
      <c r="AUV207" s="1056"/>
      <c r="AUW207" s="1056"/>
      <c r="AUX207" s="1056"/>
      <c r="AUY207" s="1056"/>
      <c r="AUZ207" s="1056"/>
      <c r="AVA207" s="1056"/>
      <c r="AVB207" s="1056"/>
      <c r="AVC207" s="1056"/>
      <c r="AVD207" s="1056"/>
      <c r="AVE207" s="1056"/>
      <c r="AVF207" s="1056"/>
      <c r="AVG207" s="1056"/>
      <c r="AVH207" s="1056"/>
      <c r="AVI207" s="1056"/>
      <c r="AVJ207" s="1056"/>
      <c r="AVK207" s="1056"/>
      <c r="AVL207" s="1056"/>
      <c r="AVM207" s="1056"/>
      <c r="AVN207" s="1056"/>
      <c r="AVO207" s="1056"/>
      <c r="AVP207" s="1056"/>
      <c r="AVQ207" s="1056"/>
      <c r="AVR207" s="1056"/>
      <c r="AVS207" s="1056"/>
      <c r="AVT207" s="1056"/>
      <c r="AVU207" s="1056"/>
      <c r="AVV207" s="1056"/>
      <c r="AVW207" s="1056"/>
      <c r="AVX207" s="1056"/>
      <c r="AVY207" s="1056"/>
      <c r="AVZ207" s="1056"/>
      <c r="AWA207" s="1056"/>
      <c r="AWB207" s="1056"/>
      <c r="AWC207" s="1056"/>
      <c r="AWD207" s="1056"/>
      <c r="AWE207" s="1056"/>
      <c r="AWF207" s="1056"/>
      <c r="AWG207" s="1056"/>
      <c r="AWH207" s="1056"/>
      <c r="AWI207" s="1056"/>
      <c r="AWJ207" s="1056"/>
      <c r="AWK207" s="1056"/>
      <c r="AWL207" s="1056"/>
      <c r="AWM207" s="1056"/>
      <c r="AWN207" s="1056"/>
      <c r="AWO207" s="1056"/>
      <c r="AWP207" s="1056"/>
      <c r="AWQ207" s="1056"/>
      <c r="AWR207" s="1056"/>
      <c r="AWS207" s="1056"/>
      <c r="AWT207" s="1056"/>
      <c r="AWU207" s="1056"/>
      <c r="AWV207" s="1056"/>
      <c r="AWW207" s="1056"/>
      <c r="AWX207" s="1056"/>
      <c r="AWY207" s="1056"/>
      <c r="AWZ207" s="1056"/>
      <c r="AXA207" s="1056"/>
      <c r="AXB207" s="1056"/>
      <c r="AXC207" s="1056"/>
      <c r="AXD207" s="1056"/>
      <c r="AXE207" s="1056"/>
      <c r="AXF207" s="1056"/>
      <c r="AXG207" s="1056"/>
      <c r="AXH207" s="1056"/>
      <c r="AXI207" s="1056"/>
      <c r="AXJ207" s="1056"/>
      <c r="AXK207" s="1056"/>
      <c r="AXL207" s="1056"/>
      <c r="AXM207" s="1056"/>
      <c r="AXN207" s="1056"/>
      <c r="AXO207" s="1056"/>
      <c r="AXP207" s="1056"/>
      <c r="AXQ207" s="1056"/>
      <c r="AXR207" s="1056"/>
      <c r="AXS207" s="1056"/>
      <c r="AXT207" s="1056"/>
      <c r="AXU207" s="1056"/>
      <c r="AXV207" s="1056"/>
      <c r="AXW207" s="1056"/>
      <c r="AXX207" s="1056"/>
      <c r="AXY207" s="1056"/>
      <c r="AXZ207" s="1056"/>
      <c r="AYA207" s="1056"/>
      <c r="AYB207" s="1056"/>
      <c r="AYC207" s="1056"/>
      <c r="AYD207" s="1056"/>
      <c r="AYE207" s="1056"/>
      <c r="AYF207" s="1056"/>
      <c r="AYG207" s="1056"/>
      <c r="AYH207" s="1056"/>
      <c r="AYI207" s="1056"/>
      <c r="AYJ207" s="1056"/>
      <c r="AYK207" s="1056"/>
      <c r="AYL207" s="1056"/>
      <c r="AYM207" s="1056"/>
      <c r="AYN207" s="1056"/>
      <c r="AYO207" s="1056"/>
      <c r="AYP207" s="1056"/>
      <c r="AYQ207" s="1056"/>
      <c r="AYR207" s="1056"/>
      <c r="AYS207" s="1056"/>
      <c r="AYT207" s="1056"/>
      <c r="AYU207" s="1056"/>
      <c r="AYV207" s="1056"/>
      <c r="AYW207" s="1056"/>
      <c r="AYX207" s="1056"/>
      <c r="AYY207" s="1056"/>
      <c r="AYZ207" s="1056"/>
      <c r="AZA207" s="1056"/>
      <c r="AZB207" s="1056"/>
      <c r="AZC207" s="1056"/>
      <c r="AZD207" s="1056"/>
      <c r="AZE207" s="1056"/>
      <c r="AZF207" s="1056"/>
      <c r="AZG207" s="1056"/>
      <c r="AZH207" s="1056"/>
      <c r="AZI207" s="1056"/>
      <c r="AZJ207" s="1056"/>
      <c r="AZK207" s="1056"/>
      <c r="AZL207" s="1056"/>
      <c r="AZM207" s="1056"/>
      <c r="AZN207" s="1056"/>
      <c r="AZO207" s="1056"/>
      <c r="AZP207" s="1056"/>
      <c r="AZQ207" s="1056"/>
      <c r="AZR207" s="1056"/>
      <c r="AZS207" s="1056"/>
      <c r="AZT207" s="1056"/>
      <c r="AZU207" s="1056"/>
      <c r="AZV207" s="1056"/>
      <c r="AZW207" s="1056"/>
      <c r="AZX207" s="1056"/>
      <c r="AZY207" s="1056"/>
      <c r="AZZ207" s="1056"/>
      <c r="BAA207" s="1056"/>
      <c r="BAB207" s="1056"/>
      <c r="BAC207" s="1056"/>
      <c r="BAD207" s="1056"/>
      <c r="BAE207" s="1056"/>
      <c r="BAF207" s="1056"/>
      <c r="BAG207" s="1056"/>
      <c r="BAH207" s="1056"/>
      <c r="BAI207" s="1056"/>
      <c r="BAJ207" s="1056"/>
      <c r="BAK207" s="1056"/>
      <c r="BAL207" s="1056"/>
      <c r="BAM207" s="1056"/>
      <c r="BAN207" s="1056"/>
      <c r="BAO207" s="1056"/>
      <c r="BAP207" s="1056"/>
      <c r="BAQ207" s="1056"/>
      <c r="BAR207" s="1056"/>
      <c r="BAS207" s="1056"/>
      <c r="BAT207" s="1056"/>
      <c r="BAU207" s="1056"/>
      <c r="BAV207" s="1056"/>
      <c r="BAW207" s="1056"/>
      <c r="BAX207" s="1056"/>
      <c r="BAY207" s="1056"/>
      <c r="BAZ207" s="1056"/>
      <c r="BBA207" s="1056"/>
      <c r="BBB207" s="1056"/>
      <c r="BBC207" s="1056"/>
      <c r="BBD207" s="1056"/>
      <c r="BBE207" s="1056"/>
      <c r="BBF207" s="1056"/>
      <c r="BBG207" s="1056"/>
      <c r="BBH207" s="1056"/>
      <c r="BBI207" s="1056"/>
      <c r="BBJ207" s="1056"/>
      <c r="BBK207" s="1056"/>
      <c r="BBL207" s="1056"/>
      <c r="BBM207" s="1056"/>
      <c r="BBN207" s="1056"/>
      <c r="BBO207" s="1056"/>
      <c r="BBP207" s="1056"/>
      <c r="BBQ207" s="1056"/>
      <c r="BBR207" s="1056"/>
      <c r="BBS207" s="1056"/>
      <c r="BBT207" s="1056"/>
      <c r="BBU207" s="1056"/>
      <c r="BBV207" s="1056"/>
      <c r="BBW207" s="1056"/>
      <c r="BBX207" s="1056"/>
      <c r="BBY207" s="1056"/>
      <c r="BBZ207" s="1056"/>
      <c r="BCA207" s="1056"/>
      <c r="BCB207" s="1056"/>
      <c r="BCC207" s="1056"/>
      <c r="BCD207" s="1056"/>
      <c r="BCE207" s="1056"/>
      <c r="BCF207" s="1056"/>
      <c r="BCG207" s="1056"/>
      <c r="BCH207" s="1056"/>
      <c r="BCI207" s="1056"/>
      <c r="BCJ207" s="1056"/>
      <c r="BCK207" s="1056"/>
      <c r="BCL207" s="1056"/>
      <c r="BCM207" s="1056"/>
      <c r="BCN207" s="1056"/>
      <c r="BCO207" s="1056"/>
      <c r="BCP207" s="1056"/>
      <c r="BCQ207" s="1056"/>
      <c r="BCR207" s="1056"/>
      <c r="BCS207" s="1056"/>
      <c r="BCT207" s="1056"/>
      <c r="BCU207" s="1056"/>
      <c r="BCV207" s="1056"/>
      <c r="BCW207" s="1056"/>
      <c r="BCX207" s="1056"/>
      <c r="BCY207" s="1056"/>
      <c r="BCZ207" s="1056"/>
      <c r="BDA207" s="1056"/>
      <c r="BDB207" s="1056"/>
      <c r="BDC207" s="1056"/>
      <c r="BDD207" s="1056"/>
      <c r="BDE207" s="1056"/>
      <c r="BDF207" s="1056"/>
      <c r="BDG207" s="1056"/>
      <c r="BDH207" s="1056"/>
      <c r="BDI207" s="1056"/>
      <c r="BDJ207" s="1056"/>
      <c r="BDK207" s="1056"/>
      <c r="BDL207" s="1056"/>
      <c r="BDM207" s="1056"/>
      <c r="BDN207" s="1056"/>
      <c r="BDO207" s="1056"/>
      <c r="BDP207" s="1056"/>
      <c r="BDQ207" s="1056"/>
      <c r="BDR207" s="1056"/>
      <c r="BDS207" s="1056"/>
      <c r="BDT207" s="1056"/>
      <c r="BDU207" s="1056"/>
      <c r="BDV207" s="1056"/>
      <c r="BDW207" s="1056"/>
      <c r="BDX207" s="1056"/>
      <c r="BDY207" s="1056"/>
      <c r="BDZ207" s="1056"/>
      <c r="BEA207" s="1056"/>
      <c r="BEB207" s="1056"/>
      <c r="BEC207" s="1056"/>
      <c r="BED207" s="1056"/>
      <c r="BEE207" s="1056"/>
      <c r="BEF207" s="1056"/>
      <c r="BEG207" s="1056"/>
      <c r="BEH207" s="1056"/>
      <c r="BEI207" s="1056"/>
      <c r="BEJ207" s="1056"/>
      <c r="BEK207" s="1056"/>
      <c r="BEL207" s="1056"/>
      <c r="BEM207" s="1056"/>
      <c r="BEN207" s="1056"/>
      <c r="BEO207" s="1056"/>
      <c r="BEP207" s="1056"/>
      <c r="BEQ207" s="1056"/>
      <c r="BER207" s="1056"/>
      <c r="BES207" s="1056"/>
      <c r="BET207" s="1056"/>
      <c r="BEU207" s="1056"/>
      <c r="BEV207" s="1056"/>
      <c r="BEW207" s="1056"/>
      <c r="BEX207" s="1056"/>
      <c r="BEY207" s="1056"/>
      <c r="BEZ207" s="1056"/>
      <c r="BFA207" s="1056"/>
      <c r="BFB207" s="1056"/>
      <c r="BFC207" s="1056"/>
      <c r="BFD207" s="1056"/>
      <c r="BFE207" s="1056"/>
      <c r="BFF207" s="1056"/>
      <c r="BFG207" s="1056"/>
      <c r="BFH207" s="1056"/>
      <c r="BFI207" s="1056"/>
      <c r="BFJ207" s="1056"/>
      <c r="BFK207" s="1056"/>
      <c r="BFL207" s="1056"/>
      <c r="BFM207" s="1056"/>
      <c r="BFN207" s="1056"/>
      <c r="BFO207" s="1056"/>
      <c r="BFP207" s="1056"/>
      <c r="BFQ207" s="1056"/>
      <c r="BFR207" s="1056"/>
      <c r="BFS207" s="1056"/>
      <c r="BFT207" s="1056"/>
      <c r="BFU207" s="1056"/>
      <c r="BFV207" s="1056"/>
      <c r="BFW207" s="1056"/>
      <c r="BFX207" s="1056"/>
      <c r="BFY207" s="1056"/>
      <c r="BFZ207" s="1056"/>
      <c r="BGA207" s="1056"/>
      <c r="BGB207" s="1056"/>
      <c r="BGC207" s="1056"/>
      <c r="BGD207" s="1056"/>
      <c r="BGE207" s="1056"/>
      <c r="BGF207" s="1056"/>
      <c r="BGG207" s="1056"/>
      <c r="BGH207" s="1056"/>
      <c r="BGI207" s="1056"/>
      <c r="BGJ207" s="1056"/>
      <c r="BGK207" s="1056"/>
      <c r="BGL207" s="1056"/>
      <c r="BGM207" s="1056"/>
      <c r="BGN207" s="1056"/>
      <c r="BGO207" s="1056"/>
      <c r="BGP207" s="1056"/>
      <c r="BGQ207" s="1056"/>
      <c r="BGR207" s="1056"/>
      <c r="BGS207" s="1056"/>
      <c r="BGT207" s="1056"/>
      <c r="BGU207" s="1056"/>
      <c r="BGV207" s="1056"/>
      <c r="BGW207" s="1056"/>
      <c r="BGX207" s="1056"/>
      <c r="BGY207" s="1056"/>
      <c r="BGZ207" s="1056"/>
      <c r="BHA207" s="1056"/>
      <c r="BHB207" s="1056"/>
      <c r="BHC207" s="1056"/>
      <c r="BHD207" s="1056"/>
      <c r="BHE207" s="1056"/>
      <c r="BHF207" s="1056"/>
      <c r="BHG207" s="1056"/>
      <c r="BHH207" s="1056"/>
      <c r="BHI207" s="1056"/>
      <c r="BHJ207" s="1056"/>
      <c r="BHK207" s="1056"/>
      <c r="BHL207" s="1056"/>
      <c r="BHM207" s="1056"/>
      <c r="BHN207" s="1056"/>
      <c r="BHO207" s="1056"/>
      <c r="BHP207" s="1056"/>
      <c r="BHQ207" s="1056"/>
      <c r="BHR207" s="1056"/>
      <c r="BHS207" s="1056"/>
      <c r="BHT207" s="1056"/>
      <c r="BHU207" s="1056"/>
      <c r="BHV207" s="1056"/>
      <c r="BHW207" s="1056"/>
      <c r="BHX207" s="1056"/>
      <c r="BHY207" s="1056"/>
      <c r="BHZ207" s="1056"/>
      <c r="BIA207" s="1056"/>
      <c r="BIB207" s="1056"/>
      <c r="BIC207" s="1056"/>
      <c r="BID207" s="1056"/>
      <c r="BIE207" s="1056"/>
      <c r="BIF207" s="1056"/>
      <c r="BIG207" s="1056"/>
      <c r="BIH207" s="1056"/>
      <c r="BII207" s="1056"/>
      <c r="BIJ207" s="1056"/>
      <c r="BIK207" s="1056"/>
      <c r="BIL207" s="1056"/>
      <c r="BIM207" s="1056"/>
      <c r="BIN207" s="1056"/>
      <c r="BIO207" s="1056"/>
      <c r="BIP207" s="1056"/>
      <c r="BIQ207" s="1056"/>
      <c r="BIR207" s="1056"/>
      <c r="BIS207" s="1056"/>
      <c r="BIT207" s="1056"/>
      <c r="BIU207" s="1056"/>
      <c r="BIV207" s="1056"/>
      <c r="BIW207" s="1056"/>
      <c r="BIX207" s="1056"/>
      <c r="BIY207" s="1056"/>
      <c r="BIZ207" s="1056"/>
      <c r="BJA207" s="1056"/>
      <c r="BJB207" s="1056"/>
      <c r="BJC207" s="1056"/>
      <c r="BJD207" s="1056"/>
      <c r="BJE207" s="1056"/>
      <c r="BJF207" s="1056"/>
      <c r="BJG207" s="1056"/>
      <c r="BJH207" s="1056"/>
      <c r="BJI207" s="1056"/>
      <c r="BJJ207" s="1056"/>
      <c r="BJK207" s="1056"/>
      <c r="BJL207" s="1056"/>
      <c r="BJM207" s="1056"/>
      <c r="BJN207" s="1056"/>
      <c r="BJO207" s="1056"/>
      <c r="BJP207" s="1056"/>
      <c r="BJQ207" s="1056"/>
      <c r="BJR207" s="1056"/>
      <c r="BJS207" s="1056"/>
      <c r="BJT207" s="1056"/>
      <c r="BJU207" s="1056"/>
      <c r="BJV207" s="1056"/>
      <c r="BJW207" s="1056"/>
      <c r="BJX207" s="1056"/>
      <c r="BJY207" s="1056"/>
      <c r="BJZ207" s="1056"/>
      <c r="BKA207" s="1056"/>
      <c r="BKB207" s="1056"/>
      <c r="BKC207" s="1056"/>
      <c r="BKD207" s="1056"/>
      <c r="BKE207" s="1056"/>
      <c r="BKF207" s="1056"/>
      <c r="BKG207" s="1056"/>
      <c r="BKH207" s="1056"/>
      <c r="BKI207" s="1056"/>
      <c r="BKJ207" s="1056"/>
      <c r="BKK207" s="1056"/>
      <c r="BKL207" s="1056"/>
      <c r="BKM207" s="1056"/>
      <c r="BKN207" s="1056"/>
      <c r="BKO207" s="1056"/>
      <c r="BKP207" s="1056"/>
      <c r="BKQ207" s="1056"/>
      <c r="BKR207" s="1056"/>
      <c r="BKS207" s="1056"/>
      <c r="BKT207" s="1056"/>
      <c r="BKU207" s="1056"/>
      <c r="BKV207" s="1056"/>
      <c r="BKW207" s="1056"/>
      <c r="BKX207" s="1056"/>
      <c r="BKY207" s="1056"/>
      <c r="BKZ207" s="1056"/>
      <c r="BLA207" s="1056"/>
      <c r="BLB207" s="1056"/>
      <c r="BLC207" s="1056"/>
      <c r="BLD207" s="1056"/>
      <c r="BLE207" s="1056"/>
      <c r="BLF207" s="1056"/>
      <c r="BLG207" s="1056"/>
      <c r="BLH207" s="1056"/>
      <c r="BLI207" s="1056"/>
      <c r="BLJ207" s="1056"/>
      <c r="BLK207" s="1056"/>
      <c r="BLL207" s="1056"/>
      <c r="BLM207" s="1056"/>
      <c r="BLN207" s="1056"/>
      <c r="BLO207" s="1056"/>
      <c r="BLP207" s="1056"/>
      <c r="BLQ207" s="1056"/>
      <c r="BLR207" s="1056"/>
      <c r="BLS207" s="1056"/>
      <c r="BLT207" s="1056"/>
      <c r="BLU207" s="1056"/>
      <c r="BLV207" s="1056"/>
      <c r="BLW207" s="1056"/>
      <c r="BLX207" s="1056"/>
      <c r="BLY207" s="1056"/>
      <c r="BLZ207" s="1056"/>
      <c r="BMA207" s="1056"/>
      <c r="BMB207" s="1056"/>
      <c r="BMC207" s="1056"/>
      <c r="BMD207" s="1056"/>
      <c r="BME207" s="1056"/>
      <c r="BMF207" s="1056"/>
      <c r="BMG207" s="1056"/>
      <c r="BMH207" s="1056"/>
      <c r="BMI207" s="1056"/>
      <c r="BMJ207" s="1056"/>
      <c r="BMK207" s="1056"/>
      <c r="BML207" s="1056"/>
      <c r="BMM207" s="1056"/>
      <c r="BMN207" s="1056"/>
      <c r="BMO207" s="1056"/>
      <c r="BMP207" s="1056"/>
      <c r="BMQ207" s="1056"/>
      <c r="BMR207" s="1056"/>
      <c r="BMS207" s="1056"/>
      <c r="BMT207" s="1056"/>
      <c r="BMU207" s="1056"/>
      <c r="BMV207" s="1056"/>
      <c r="BMW207" s="1056"/>
      <c r="BMX207" s="1056"/>
      <c r="BMY207" s="1056"/>
      <c r="BMZ207" s="1056"/>
      <c r="BNA207" s="1056"/>
      <c r="BNB207" s="1056"/>
      <c r="BNC207" s="1056"/>
      <c r="BND207" s="1056"/>
      <c r="BNE207" s="1056"/>
      <c r="BNF207" s="1056"/>
      <c r="BNG207" s="1056"/>
      <c r="BNH207" s="1056"/>
      <c r="BNI207" s="1056"/>
      <c r="BNJ207" s="1056"/>
      <c r="BNK207" s="1056"/>
      <c r="BNL207" s="1056"/>
      <c r="BNM207" s="1056"/>
      <c r="BNN207" s="1056"/>
      <c r="BNO207" s="1056"/>
      <c r="BNP207" s="1056"/>
      <c r="BNQ207" s="1056"/>
      <c r="BNR207" s="1056"/>
      <c r="BNS207" s="1056"/>
      <c r="BNT207" s="1056"/>
      <c r="BNU207" s="1056"/>
      <c r="BNV207" s="1056"/>
      <c r="BNW207" s="1056"/>
      <c r="BNX207" s="1056"/>
      <c r="BNY207" s="1056"/>
      <c r="BNZ207" s="1056"/>
      <c r="BOA207" s="1056"/>
      <c r="BOB207" s="1056"/>
      <c r="BOC207" s="1056"/>
      <c r="BOD207" s="1056"/>
      <c r="BOE207" s="1056"/>
      <c r="BOF207" s="1056"/>
      <c r="BOG207" s="1056"/>
      <c r="BOH207" s="1056"/>
      <c r="BOI207" s="1056"/>
      <c r="BOJ207" s="1056"/>
      <c r="BOK207" s="1056"/>
      <c r="BOL207" s="1056"/>
      <c r="BOM207" s="1056"/>
      <c r="BON207" s="1056"/>
      <c r="BOO207" s="1056"/>
      <c r="BOP207" s="1056"/>
      <c r="BOQ207" s="1056"/>
      <c r="BOR207" s="1056"/>
      <c r="BOS207" s="1056"/>
      <c r="BOT207" s="1056"/>
      <c r="BOU207" s="1056"/>
      <c r="BOV207" s="1056"/>
      <c r="BOW207" s="1056"/>
      <c r="BOX207" s="1056"/>
      <c r="BOY207" s="1056"/>
      <c r="BOZ207" s="1056"/>
      <c r="BPA207" s="1056"/>
      <c r="BPB207" s="1056"/>
      <c r="BPC207" s="1056"/>
      <c r="BPD207" s="1056"/>
      <c r="BPE207" s="1056"/>
      <c r="BPF207" s="1056"/>
      <c r="BPG207" s="1056"/>
      <c r="BPH207" s="1056"/>
      <c r="BPI207" s="1056"/>
      <c r="BPJ207" s="1056"/>
      <c r="BPK207" s="1056"/>
      <c r="BPL207" s="1056"/>
      <c r="BPM207" s="1056"/>
      <c r="BPN207" s="1056"/>
      <c r="BPO207" s="1056"/>
      <c r="BPP207" s="1056"/>
      <c r="BPQ207" s="1056"/>
      <c r="BPR207" s="1056"/>
      <c r="BPS207" s="1056"/>
      <c r="BPT207" s="1056"/>
      <c r="BPU207" s="1056"/>
      <c r="BPV207" s="1056"/>
      <c r="BPW207" s="1056"/>
      <c r="BPX207" s="1056"/>
      <c r="BPY207" s="1056"/>
      <c r="BPZ207" s="1056"/>
      <c r="BQA207" s="1056"/>
      <c r="BQB207" s="1056"/>
      <c r="BQC207" s="1056"/>
      <c r="BQD207" s="1056"/>
      <c r="BQE207" s="1056"/>
      <c r="BQF207" s="1056"/>
      <c r="BQG207" s="1056"/>
      <c r="BQH207" s="1056"/>
      <c r="BQI207" s="1056"/>
      <c r="BQJ207" s="1056"/>
      <c r="BQK207" s="1056"/>
      <c r="BQL207" s="1056"/>
      <c r="BQM207" s="1056"/>
      <c r="BQN207" s="1056"/>
      <c r="BQO207" s="1056"/>
      <c r="BQP207" s="1056"/>
      <c r="BQQ207" s="1056"/>
      <c r="BQR207" s="1056"/>
      <c r="BQS207" s="1056"/>
      <c r="BQT207" s="1056"/>
      <c r="BQU207" s="1056"/>
      <c r="BQV207" s="1056"/>
      <c r="BQW207" s="1056"/>
      <c r="BQX207" s="1056"/>
      <c r="BQY207" s="1056"/>
      <c r="BQZ207" s="1056"/>
      <c r="BRA207" s="1056"/>
      <c r="BRB207" s="1056"/>
      <c r="BRC207" s="1056"/>
      <c r="BRD207" s="1056"/>
      <c r="BRE207" s="1056"/>
      <c r="BRF207" s="1056"/>
      <c r="BRG207" s="1056"/>
      <c r="BRH207" s="1056"/>
      <c r="BRI207" s="1056"/>
      <c r="BRJ207" s="1056"/>
      <c r="BRK207" s="1056"/>
      <c r="BRL207" s="1056"/>
      <c r="BRM207" s="1056"/>
      <c r="BRN207" s="1056"/>
      <c r="BRO207" s="1056"/>
      <c r="BRP207" s="1056"/>
      <c r="BRQ207" s="1056"/>
      <c r="BRR207" s="1056"/>
      <c r="BRS207" s="1056"/>
      <c r="BRT207" s="1056"/>
      <c r="BRU207" s="1056"/>
      <c r="BRV207" s="1056"/>
      <c r="BRW207" s="1056"/>
      <c r="BRX207" s="1056"/>
      <c r="BRY207" s="1056"/>
      <c r="BRZ207" s="1056"/>
      <c r="BSA207" s="1056"/>
      <c r="BSB207" s="1056"/>
      <c r="BSC207" s="1056"/>
      <c r="BSD207" s="1056"/>
      <c r="BSE207" s="1056"/>
      <c r="BSF207" s="1056"/>
      <c r="BSG207" s="1056"/>
      <c r="BSH207" s="1056"/>
      <c r="BSI207" s="1056"/>
      <c r="BSJ207" s="1056"/>
      <c r="BSK207" s="1056"/>
      <c r="BSL207" s="1056"/>
      <c r="BSM207" s="1056"/>
      <c r="BSN207" s="1056"/>
      <c r="BSO207" s="1056"/>
      <c r="BSP207" s="1056"/>
      <c r="BSQ207" s="1056"/>
      <c r="BSR207" s="1056"/>
      <c r="BSS207" s="1056"/>
      <c r="BST207" s="1056"/>
      <c r="BSU207" s="1056"/>
      <c r="BSV207" s="1056"/>
      <c r="BSW207" s="1056"/>
      <c r="BSX207" s="1056"/>
      <c r="BSY207" s="1056"/>
      <c r="BSZ207" s="1056"/>
      <c r="BTA207" s="1056"/>
      <c r="BTB207" s="1056"/>
      <c r="BTC207" s="1056"/>
      <c r="BTD207" s="1056"/>
      <c r="BTE207" s="1056"/>
      <c r="BTF207" s="1056"/>
      <c r="BTG207" s="1056"/>
      <c r="BTH207" s="1056"/>
      <c r="BTI207" s="1056"/>
    </row>
    <row r="208" spans="1:1881" s="1060" customFormat="1" ht="48" hidden="1" customHeight="1" x14ac:dyDescent="0.3">
      <c r="A208" s="1059">
        <v>55</v>
      </c>
      <c r="B208" s="808" t="s">
        <v>59</v>
      </c>
      <c r="C208" s="808" t="s">
        <v>1436</v>
      </c>
      <c r="D208" s="746" t="s">
        <v>1437</v>
      </c>
      <c r="E208" s="1053" t="e">
        <f>HLOOKUP($D$2,'2020 Data(H)'!$C$1:$AI$426,42,FALSE)</f>
        <v>#N/A</v>
      </c>
      <c r="F208" s="286">
        <v>0</v>
      </c>
      <c r="G208" s="722"/>
      <c r="H208" s="764"/>
      <c r="I208" s="1055"/>
      <c r="J208" s="1056"/>
      <c r="K208" s="1056"/>
      <c r="L208" s="1056"/>
      <c r="M208" s="1056"/>
      <c r="N208" s="1058"/>
      <c r="O208" s="1056"/>
      <c r="P208" s="1056"/>
      <c r="Q208" s="1056"/>
      <c r="R208" s="1056"/>
      <c r="S208" s="1056"/>
      <c r="T208" s="1056"/>
      <c r="U208" s="1056"/>
      <c r="V208" s="1056"/>
      <c r="W208" s="1056"/>
      <c r="X208" s="1056"/>
      <c r="Y208" s="1056"/>
      <c r="Z208" s="1059"/>
      <c r="AA208" s="1059"/>
      <c r="AB208" s="1059"/>
      <c r="AC208" s="1059"/>
      <c r="AD208" s="1059"/>
      <c r="AE208" s="1059"/>
      <c r="AF208" s="1059"/>
      <c r="AG208" s="1059"/>
      <c r="AH208" s="1059"/>
      <c r="AI208" s="1059"/>
      <c r="AJ208" s="1059"/>
      <c r="AK208" s="1059"/>
      <c r="AL208" s="1059"/>
      <c r="AM208" s="1059"/>
      <c r="AN208" s="1059"/>
      <c r="AO208" s="1059"/>
      <c r="AP208" s="1059"/>
      <c r="AQ208" s="1059"/>
      <c r="AR208" s="1059"/>
      <c r="AS208" s="1056"/>
      <c r="AT208" s="1056"/>
      <c r="AU208" s="1056"/>
      <c r="AV208" s="1056"/>
      <c r="AW208" s="1056"/>
      <c r="AX208" s="1056"/>
      <c r="AY208" s="1056"/>
      <c r="AZ208" s="1056"/>
      <c r="BA208" s="1056"/>
      <c r="BB208" s="1056"/>
      <c r="BC208" s="1056"/>
      <c r="BD208" s="1056"/>
      <c r="BE208" s="1056"/>
      <c r="BF208" s="1056"/>
      <c r="BG208" s="1056"/>
      <c r="BH208" s="1056"/>
      <c r="BI208" s="1056"/>
      <c r="BJ208" s="1056"/>
      <c r="BK208" s="1056"/>
      <c r="BL208" s="1056"/>
      <c r="BM208" s="1056"/>
      <c r="BN208" s="1056"/>
      <c r="BO208" s="1056"/>
      <c r="BP208" s="1056"/>
      <c r="BQ208" s="1056"/>
      <c r="BR208" s="1056"/>
      <c r="BS208" s="1056"/>
      <c r="BT208" s="1056"/>
      <c r="BU208" s="1056"/>
      <c r="BV208" s="1056"/>
      <c r="BW208" s="1056"/>
      <c r="BX208" s="1056"/>
      <c r="BY208" s="1056"/>
      <c r="BZ208" s="1056"/>
      <c r="CA208" s="1056"/>
      <c r="CB208" s="1056"/>
      <c r="CC208" s="1056"/>
      <c r="CD208" s="1056"/>
      <c r="CE208" s="1056"/>
      <c r="CF208" s="1056"/>
      <c r="CG208" s="1056"/>
      <c r="CH208" s="1056"/>
      <c r="CI208" s="1056"/>
      <c r="CJ208" s="1056"/>
      <c r="CK208" s="1056"/>
      <c r="CL208" s="1056"/>
      <c r="CM208" s="1056"/>
      <c r="CN208" s="1056"/>
      <c r="CO208" s="1056"/>
      <c r="CP208" s="1056"/>
      <c r="CQ208" s="1056"/>
      <c r="CR208" s="1056"/>
      <c r="CS208" s="1056"/>
      <c r="CT208" s="1056"/>
      <c r="CU208" s="1056"/>
      <c r="CV208" s="1056"/>
      <c r="CW208" s="1056"/>
      <c r="CX208" s="1056"/>
      <c r="CY208" s="1056"/>
      <c r="CZ208" s="1056"/>
      <c r="DA208" s="1056"/>
      <c r="DB208" s="1056"/>
      <c r="DC208" s="1056"/>
      <c r="DD208" s="1056"/>
      <c r="DE208" s="1056"/>
      <c r="DF208" s="1056"/>
      <c r="DG208" s="1056"/>
      <c r="DH208" s="1056"/>
      <c r="DI208" s="1056"/>
      <c r="DJ208" s="1056"/>
      <c r="DK208" s="1056"/>
      <c r="DL208" s="1056"/>
      <c r="DM208" s="1056"/>
      <c r="DN208" s="1056"/>
      <c r="DO208" s="1056"/>
      <c r="DP208" s="1056"/>
      <c r="DQ208" s="1056"/>
      <c r="DR208" s="1056"/>
      <c r="DS208" s="1056"/>
      <c r="DT208" s="1056"/>
      <c r="DU208" s="1056"/>
      <c r="DV208" s="1056"/>
      <c r="DW208" s="1056"/>
      <c r="DX208" s="1056"/>
      <c r="DY208" s="1056"/>
      <c r="DZ208" s="1056"/>
      <c r="EA208" s="1056"/>
      <c r="EB208" s="1056"/>
      <c r="EC208" s="1056"/>
      <c r="ED208" s="1056"/>
      <c r="EE208" s="1056"/>
      <c r="EF208" s="1056"/>
      <c r="EG208" s="1056"/>
      <c r="EH208" s="1056"/>
      <c r="EI208" s="1056"/>
      <c r="EJ208" s="1056"/>
      <c r="EK208" s="1056"/>
      <c r="EL208" s="1056"/>
      <c r="EM208" s="1056"/>
      <c r="EN208" s="1056"/>
      <c r="EO208" s="1056"/>
      <c r="EP208" s="1056"/>
      <c r="EQ208" s="1056"/>
      <c r="ER208" s="1056"/>
      <c r="ES208" s="1056"/>
      <c r="ET208" s="1056"/>
      <c r="EU208" s="1056"/>
      <c r="EV208" s="1056"/>
      <c r="EW208" s="1056"/>
      <c r="EX208" s="1056"/>
      <c r="EY208" s="1056"/>
      <c r="EZ208" s="1056"/>
      <c r="FA208" s="1056"/>
      <c r="FB208" s="1056"/>
      <c r="FC208" s="1056"/>
      <c r="FD208" s="1056"/>
      <c r="FE208" s="1056"/>
      <c r="FF208" s="1056"/>
      <c r="FG208" s="1056"/>
      <c r="FH208" s="1056"/>
      <c r="FI208" s="1056"/>
      <c r="FJ208" s="1056"/>
      <c r="FK208" s="1056"/>
      <c r="FL208" s="1056"/>
      <c r="FM208" s="1056"/>
      <c r="FN208" s="1056"/>
      <c r="FO208" s="1056"/>
      <c r="FP208" s="1056"/>
      <c r="FQ208" s="1056"/>
      <c r="FR208" s="1056"/>
      <c r="FS208" s="1056"/>
      <c r="FT208" s="1056"/>
      <c r="FU208" s="1056"/>
      <c r="FV208" s="1056"/>
      <c r="FW208" s="1056"/>
      <c r="FX208" s="1056"/>
      <c r="FY208" s="1056"/>
      <c r="FZ208" s="1056"/>
      <c r="GA208" s="1056"/>
      <c r="GB208" s="1056"/>
      <c r="GC208" s="1056"/>
      <c r="GD208" s="1056"/>
      <c r="GE208" s="1056"/>
      <c r="GF208" s="1056"/>
      <c r="GG208" s="1056"/>
      <c r="GH208" s="1056"/>
      <c r="GI208" s="1056"/>
      <c r="GJ208" s="1056"/>
      <c r="GK208" s="1056"/>
      <c r="GL208" s="1056"/>
      <c r="GM208" s="1056"/>
      <c r="GN208" s="1056"/>
      <c r="GO208" s="1056"/>
      <c r="GP208" s="1056"/>
      <c r="GQ208" s="1056"/>
      <c r="GR208" s="1056"/>
      <c r="GS208" s="1056"/>
      <c r="GT208" s="1056"/>
      <c r="GU208" s="1056"/>
      <c r="GV208" s="1056"/>
      <c r="GW208" s="1056"/>
      <c r="GX208" s="1056"/>
      <c r="GY208" s="1056"/>
      <c r="GZ208" s="1056"/>
      <c r="HA208" s="1056"/>
      <c r="HB208" s="1056"/>
      <c r="HC208" s="1056"/>
      <c r="HD208" s="1056"/>
      <c r="HE208" s="1056"/>
      <c r="HF208" s="1056"/>
      <c r="HG208" s="1056"/>
      <c r="HH208" s="1056"/>
      <c r="HI208" s="1056"/>
      <c r="HJ208" s="1056"/>
      <c r="HK208" s="1056"/>
      <c r="HL208" s="1056"/>
      <c r="HM208" s="1056"/>
      <c r="HN208" s="1056"/>
      <c r="HO208" s="1056"/>
      <c r="HP208" s="1056"/>
      <c r="HQ208" s="1056"/>
      <c r="HR208" s="1056"/>
      <c r="HS208" s="1056"/>
      <c r="HT208" s="1056"/>
      <c r="HU208" s="1056"/>
      <c r="HV208" s="1056"/>
      <c r="HW208" s="1056"/>
      <c r="HX208" s="1056"/>
      <c r="HY208" s="1056"/>
      <c r="HZ208" s="1056"/>
      <c r="IA208" s="1056"/>
      <c r="IB208" s="1056"/>
      <c r="IC208" s="1056"/>
      <c r="ID208" s="1056"/>
      <c r="IE208" s="1056"/>
      <c r="IF208" s="1056"/>
      <c r="IG208" s="1056"/>
      <c r="IH208" s="1056"/>
      <c r="II208" s="1056"/>
      <c r="IJ208" s="1056"/>
      <c r="IK208" s="1056"/>
      <c r="IL208" s="1056"/>
      <c r="IM208" s="1056"/>
      <c r="IN208" s="1056"/>
      <c r="IO208" s="1056"/>
      <c r="IP208" s="1056"/>
      <c r="IQ208" s="1056"/>
      <c r="IR208" s="1056"/>
      <c r="IS208" s="1056"/>
      <c r="IT208" s="1056"/>
      <c r="IU208" s="1056"/>
      <c r="IV208" s="1056"/>
      <c r="IW208" s="1056"/>
      <c r="IX208" s="1056"/>
      <c r="IY208" s="1056"/>
      <c r="IZ208" s="1056"/>
      <c r="JA208" s="1056"/>
      <c r="JB208" s="1056"/>
      <c r="JC208" s="1056"/>
      <c r="JD208" s="1056"/>
      <c r="JE208" s="1056"/>
      <c r="JF208" s="1056"/>
      <c r="JG208" s="1056"/>
      <c r="JH208" s="1056"/>
      <c r="JI208" s="1056"/>
      <c r="JJ208" s="1056"/>
      <c r="JK208" s="1056"/>
      <c r="JL208" s="1056"/>
      <c r="JM208" s="1056"/>
      <c r="JN208" s="1056"/>
      <c r="JO208" s="1056"/>
      <c r="JP208" s="1056"/>
      <c r="JQ208" s="1056"/>
      <c r="JR208" s="1056"/>
      <c r="JS208" s="1056"/>
      <c r="JT208" s="1056"/>
      <c r="JU208" s="1056"/>
      <c r="JV208" s="1056"/>
      <c r="JW208" s="1056"/>
      <c r="JX208" s="1056"/>
      <c r="JY208" s="1056"/>
      <c r="JZ208" s="1056"/>
      <c r="KA208" s="1056"/>
      <c r="KB208" s="1056"/>
      <c r="KC208" s="1056"/>
      <c r="KD208" s="1056"/>
      <c r="KE208" s="1056"/>
      <c r="KF208" s="1056"/>
      <c r="KG208" s="1056"/>
      <c r="KH208" s="1056"/>
      <c r="KI208" s="1056"/>
      <c r="KJ208" s="1056"/>
      <c r="KK208" s="1056"/>
      <c r="KL208" s="1056"/>
      <c r="KM208" s="1056"/>
      <c r="KN208" s="1056"/>
      <c r="KO208" s="1056"/>
      <c r="KP208" s="1056"/>
      <c r="KQ208" s="1056"/>
      <c r="KR208" s="1056"/>
      <c r="KS208" s="1056"/>
      <c r="KT208" s="1056"/>
      <c r="KU208" s="1056"/>
      <c r="KV208" s="1056"/>
      <c r="KW208" s="1056"/>
      <c r="KX208" s="1056"/>
      <c r="KY208" s="1056"/>
      <c r="KZ208" s="1056"/>
      <c r="LA208" s="1056"/>
      <c r="LB208" s="1056"/>
      <c r="LC208" s="1056"/>
      <c r="LD208" s="1056"/>
      <c r="LE208" s="1056"/>
      <c r="LF208" s="1056"/>
      <c r="LG208" s="1056"/>
      <c r="LH208" s="1056"/>
      <c r="LI208" s="1056"/>
      <c r="LJ208" s="1056"/>
      <c r="LK208" s="1056"/>
      <c r="LL208" s="1056"/>
      <c r="LM208" s="1056"/>
      <c r="LN208" s="1056"/>
      <c r="LO208" s="1056"/>
      <c r="LP208" s="1056"/>
      <c r="LQ208" s="1056"/>
      <c r="LR208" s="1056"/>
      <c r="LS208" s="1056"/>
      <c r="LT208" s="1056"/>
      <c r="LU208" s="1056"/>
      <c r="LV208" s="1056"/>
      <c r="LW208" s="1056"/>
      <c r="LX208" s="1056"/>
      <c r="LY208" s="1056"/>
      <c r="LZ208" s="1056"/>
      <c r="MA208" s="1056"/>
      <c r="MB208" s="1056"/>
      <c r="MC208" s="1056"/>
      <c r="MD208" s="1056"/>
      <c r="ME208" s="1056"/>
      <c r="MF208" s="1056"/>
      <c r="MG208" s="1056"/>
      <c r="MH208" s="1056"/>
      <c r="MI208" s="1056"/>
      <c r="MJ208" s="1056"/>
      <c r="MK208" s="1056"/>
      <c r="ML208" s="1056"/>
      <c r="MM208" s="1056"/>
      <c r="MN208" s="1056"/>
      <c r="MO208" s="1056"/>
      <c r="MP208" s="1056"/>
      <c r="MQ208" s="1056"/>
      <c r="MR208" s="1056"/>
      <c r="MS208" s="1056"/>
      <c r="MT208" s="1056"/>
      <c r="MU208" s="1056"/>
      <c r="MV208" s="1056"/>
      <c r="MW208" s="1056"/>
      <c r="MX208" s="1056"/>
      <c r="MY208" s="1056"/>
      <c r="MZ208" s="1056"/>
      <c r="NA208" s="1056"/>
      <c r="NB208" s="1056"/>
      <c r="NC208" s="1056"/>
      <c r="ND208" s="1056"/>
      <c r="NE208" s="1056"/>
      <c r="NF208" s="1056"/>
      <c r="NG208" s="1056"/>
      <c r="NH208" s="1056"/>
      <c r="NI208" s="1056"/>
      <c r="NJ208" s="1056"/>
      <c r="NK208" s="1056"/>
      <c r="NL208" s="1056"/>
      <c r="NM208" s="1056"/>
      <c r="NN208" s="1056"/>
      <c r="NO208" s="1056"/>
      <c r="NP208" s="1056"/>
      <c r="NQ208" s="1056"/>
      <c r="NR208" s="1056"/>
      <c r="NS208" s="1056"/>
      <c r="NT208" s="1056"/>
      <c r="NU208" s="1056"/>
      <c r="NV208" s="1056"/>
      <c r="NW208" s="1056"/>
      <c r="NX208" s="1056"/>
      <c r="NY208" s="1056"/>
      <c r="NZ208" s="1056"/>
      <c r="OA208" s="1056"/>
      <c r="OB208" s="1056"/>
      <c r="OC208" s="1056"/>
      <c r="OD208" s="1056"/>
      <c r="OE208" s="1056"/>
      <c r="OF208" s="1056"/>
      <c r="OG208" s="1056"/>
      <c r="OH208" s="1056"/>
      <c r="OI208" s="1056"/>
      <c r="OJ208" s="1056"/>
      <c r="OK208" s="1056"/>
      <c r="OL208" s="1056"/>
      <c r="OM208" s="1056"/>
      <c r="ON208" s="1056"/>
      <c r="OO208" s="1056"/>
      <c r="OP208" s="1056"/>
      <c r="OQ208" s="1056"/>
      <c r="OR208" s="1056"/>
      <c r="OS208" s="1056"/>
      <c r="OT208" s="1056"/>
      <c r="OU208" s="1056"/>
      <c r="OV208" s="1056"/>
      <c r="OW208" s="1056"/>
      <c r="OX208" s="1056"/>
      <c r="OY208" s="1056"/>
      <c r="OZ208" s="1056"/>
      <c r="PA208" s="1056"/>
      <c r="PB208" s="1056"/>
      <c r="PC208" s="1056"/>
      <c r="PD208" s="1056"/>
      <c r="PE208" s="1056"/>
      <c r="PF208" s="1056"/>
      <c r="PG208" s="1056"/>
      <c r="PH208" s="1056"/>
      <c r="PI208" s="1056"/>
      <c r="PJ208" s="1056"/>
      <c r="PK208" s="1056"/>
      <c r="PL208" s="1056"/>
      <c r="PM208" s="1056"/>
      <c r="PN208" s="1056"/>
      <c r="PO208" s="1056"/>
      <c r="PP208" s="1056"/>
      <c r="PQ208" s="1056"/>
      <c r="PR208" s="1056"/>
      <c r="PS208" s="1056"/>
      <c r="PT208" s="1056"/>
      <c r="PU208" s="1056"/>
      <c r="PV208" s="1056"/>
      <c r="PW208" s="1056"/>
      <c r="PX208" s="1056"/>
      <c r="PY208" s="1056"/>
      <c r="PZ208" s="1056"/>
      <c r="QA208" s="1056"/>
      <c r="QB208" s="1056"/>
      <c r="QC208" s="1056"/>
      <c r="QD208" s="1056"/>
      <c r="QE208" s="1056"/>
      <c r="QF208" s="1056"/>
      <c r="QG208" s="1056"/>
      <c r="QH208" s="1056"/>
      <c r="QI208" s="1056"/>
      <c r="QJ208" s="1056"/>
      <c r="QK208" s="1056"/>
      <c r="QL208" s="1056"/>
      <c r="QM208" s="1056"/>
      <c r="QN208" s="1056"/>
      <c r="QO208" s="1056"/>
      <c r="QP208" s="1056"/>
      <c r="QQ208" s="1056"/>
      <c r="QR208" s="1056"/>
      <c r="QS208" s="1056"/>
      <c r="QT208" s="1056"/>
      <c r="QU208" s="1056"/>
      <c r="QV208" s="1056"/>
      <c r="QW208" s="1056"/>
      <c r="QX208" s="1056"/>
      <c r="QY208" s="1056"/>
      <c r="QZ208" s="1056"/>
      <c r="RA208" s="1056"/>
      <c r="RB208" s="1056"/>
      <c r="RC208" s="1056"/>
      <c r="RD208" s="1056"/>
      <c r="RE208" s="1056"/>
      <c r="RF208" s="1056"/>
      <c r="RG208" s="1056"/>
      <c r="RH208" s="1056"/>
      <c r="RI208" s="1056"/>
      <c r="RJ208" s="1056"/>
      <c r="RK208" s="1056"/>
      <c r="RL208" s="1056"/>
      <c r="RM208" s="1056"/>
      <c r="RN208" s="1056"/>
      <c r="RO208" s="1056"/>
      <c r="RP208" s="1056"/>
      <c r="RQ208" s="1056"/>
      <c r="RR208" s="1056"/>
      <c r="RS208" s="1056"/>
      <c r="RT208" s="1056"/>
      <c r="RU208" s="1056"/>
      <c r="RV208" s="1056"/>
      <c r="RW208" s="1056"/>
      <c r="RX208" s="1056"/>
      <c r="RY208" s="1056"/>
      <c r="RZ208" s="1056"/>
      <c r="SA208" s="1056"/>
      <c r="SB208" s="1056"/>
      <c r="SC208" s="1056"/>
      <c r="SD208" s="1056"/>
      <c r="SE208" s="1056"/>
      <c r="SF208" s="1056"/>
      <c r="SG208" s="1056"/>
      <c r="SH208" s="1056"/>
      <c r="SI208" s="1056"/>
      <c r="SJ208" s="1056"/>
      <c r="SK208" s="1056"/>
      <c r="SL208" s="1056"/>
      <c r="SM208" s="1056"/>
      <c r="SN208" s="1056"/>
      <c r="SO208" s="1056"/>
      <c r="SP208" s="1056"/>
      <c r="SQ208" s="1056"/>
      <c r="SR208" s="1056"/>
      <c r="SS208" s="1056"/>
      <c r="ST208" s="1056"/>
      <c r="SU208" s="1056"/>
      <c r="SV208" s="1056"/>
      <c r="SW208" s="1056"/>
      <c r="SX208" s="1056"/>
      <c r="SY208" s="1056"/>
      <c r="SZ208" s="1056"/>
      <c r="TA208" s="1056"/>
      <c r="TB208" s="1056"/>
      <c r="TC208" s="1056"/>
      <c r="TD208" s="1056"/>
      <c r="TE208" s="1056"/>
      <c r="TF208" s="1056"/>
      <c r="TG208" s="1056"/>
      <c r="TH208" s="1056"/>
      <c r="TI208" s="1056"/>
      <c r="TJ208" s="1056"/>
      <c r="TK208" s="1056"/>
      <c r="TL208" s="1056"/>
      <c r="TM208" s="1056"/>
      <c r="TN208" s="1056"/>
      <c r="TO208" s="1056"/>
      <c r="TP208" s="1056"/>
      <c r="TQ208" s="1056"/>
      <c r="TR208" s="1056"/>
      <c r="TS208" s="1056"/>
      <c r="TT208" s="1056"/>
      <c r="TU208" s="1056"/>
      <c r="TV208" s="1056"/>
      <c r="TW208" s="1056"/>
      <c r="TX208" s="1056"/>
      <c r="TY208" s="1056"/>
      <c r="TZ208" s="1056"/>
      <c r="UA208" s="1056"/>
      <c r="UB208" s="1056"/>
      <c r="UC208" s="1056"/>
      <c r="UD208" s="1056"/>
      <c r="UE208" s="1056"/>
      <c r="UF208" s="1056"/>
      <c r="UG208" s="1056"/>
      <c r="UH208" s="1056"/>
      <c r="UI208" s="1056"/>
      <c r="UJ208" s="1056"/>
      <c r="UK208" s="1056"/>
      <c r="UL208" s="1056"/>
      <c r="UM208" s="1056"/>
      <c r="UN208" s="1056"/>
      <c r="UO208" s="1056"/>
      <c r="UP208" s="1056"/>
      <c r="UQ208" s="1056"/>
      <c r="UR208" s="1056"/>
      <c r="US208" s="1056"/>
      <c r="UT208" s="1056"/>
      <c r="UU208" s="1056"/>
      <c r="UV208" s="1056"/>
      <c r="UW208" s="1056"/>
      <c r="UX208" s="1056"/>
      <c r="UY208" s="1056"/>
      <c r="UZ208" s="1056"/>
      <c r="VA208" s="1056"/>
      <c r="VB208" s="1056"/>
      <c r="VC208" s="1056"/>
      <c r="VD208" s="1056"/>
      <c r="VE208" s="1056"/>
      <c r="VF208" s="1056"/>
      <c r="VG208" s="1056"/>
      <c r="VH208" s="1056"/>
      <c r="VI208" s="1056"/>
      <c r="VJ208" s="1056"/>
      <c r="VK208" s="1056"/>
      <c r="VL208" s="1056"/>
      <c r="VM208" s="1056"/>
      <c r="VN208" s="1056"/>
      <c r="VO208" s="1056"/>
      <c r="VP208" s="1056"/>
      <c r="VQ208" s="1056"/>
      <c r="VR208" s="1056"/>
      <c r="VS208" s="1056"/>
      <c r="VT208" s="1056"/>
      <c r="VU208" s="1056"/>
      <c r="VV208" s="1056"/>
      <c r="VW208" s="1056"/>
      <c r="VX208" s="1056"/>
      <c r="VY208" s="1056"/>
      <c r="VZ208" s="1056"/>
      <c r="WA208" s="1056"/>
      <c r="WB208" s="1056"/>
      <c r="WC208" s="1056"/>
      <c r="WD208" s="1056"/>
      <c r="WE208" s="1056"/>
      <c r="WF208" s="1056"/>
      <c r="WG208" s="1056"/>
      <c r="WH208" s="1056"/>
      <c r="WI208" s="1056"/>
      <c r="WJ208" s="1056"/>
      <c r="WK208" s="1056"/>
      <c r="WL208" s="1056"/>
      <c r="WM208" s="1056"/>
      <c r="WN208" s="1056"/>
      <c r="WO208" s="1056"/>
      <c r="WP208" s="1056"/>
      <c r="WQ208" s="1056"/>
      <c r="WR208" s="1056"/>
      <c r="WS208" s="1056"/>
      <c r="WT208" s="1056"/>
      <c r="WU208" s="1056"/>
      <c r="WV208" s="1056"/>
      <c r="WW208" s="1056"/>
      <c r="WX208" s="1056"/>
      <c r="WY208" s="1056"/>
      <c r="WZ208" s="1056"/>
      <c r="XA208" s="1056"/>
      <c r="XB208" s="1056"/>
      <c r="XC208" s="1056"/>
      <c r="XD208" s="1056"/>
      <c r="XE208" s="1056"/>
      <c r="XF208" s="1056"/>
      <c r="XG208" s="1056"/>
      <c r="XH208" s="1056"/>
      <c r="XI208" s="1056"/>
      <c r="XJ208" s="1056"/>
      <c r="XK208" s="1056"/>
      <c r="XL208" s="1056"/>
      <c r="XM208" s="1056"/>
      <c r="XN208" s="1056"/>
      <c r="XO208" s="1056"/>
      <c r="XP208" s="1056"/>
      <c r="XQ208" s="1056"/>
      <c r="XR208" s="1056"/>
      <c r="XS208" s="1056"/>
      <c r="XT208" s="1056"/>
      <c r="XU208" s="1056"/>
      <c r="XV208" s="1056"/>
      <c r="XW208" s="1056"/>
      <c r="XX208" s="1056"/>
      <c r="XY208" s="1056"/>
      <c r="XZ208" s="1056"/>
      <c r="YA208" s="1056"/>
      <c r="YB208" s="1056"/>
      <c r="YC208" s="1056"/>
      <c r="YD208" s="1056"/>
      <c r="YE208" s="1056"/>
      <c r="YF208" s="1056"/>
      <c r="YG208" s="1056"/>
      <c r="YH208" s="1056"/>
      <c r="YI208" s="1056"/>
      <c r="YJ208" s="1056"/>
      <c r="YK208" s="1056"/>
      <c r="YL208" s="1056"/>
      <c r="YM208" s="1056"/>
      <c r="YN208" s="1056"/>
      <c r="YO208" s="1056"/>
      <c r="YP208" s="1056"/>
      <c r="YQ208" s="1056"/>
      <c r="YR208" s="1056"/>
      <c r="YS208" s="1056"/>
      <c r="YT208" s="1056"/>
      <c r="YU208" s="1056"/>
      <c r="YV208" s="1056"/>
      <c r="YW208" s="1056"/>
      <c r="YX208" s="1056"/>
      <c r="YY208" s="1056"/>
      <c r="YZ208" s="1056"/>
      <c r="ZA208" s="1056"/>
      <c r="ZB208" s="1056"/>
      <c r="ZC208" s="1056"/>
      <c r="ZD208" s="1056"/>
      <c r="ZE208" s="1056"/>
      <c r="ZF208" s="1056"/>
      <c r="ZG208" s="1056"/>
      <c r="ZH208" s="1056"/>
      <c r="ZI208" s="1056"/>
      <c r="ZJ208" s="1056"/>
      <c r="ZK208" s="1056"/>
      <c r="ZL208" s="1056"/>
      <c r="ZM208" s="1056"/>
      <c r="ZN208" s="1056"/>
      <c r="ZO208" s="1056"/>
      <c r="ZP208" s="1056"/>
      <c r="ZQ208" s="1056"/>
      <c r="ZR208" s="1056"/>
      <c r="ZS208" s="1056"/>
      <c r="ZT208" s="1056"/>
      <c r="ZU208" s="1056"/>
      <c r="ZV208" s="1056"/>
      <c r="ZW208" s="1056"/>
      <c r="ZX208" s="1056"/>
      <c r="ZY208" s="1056"/>
      <c r="ZZ208" s="1056"/>
      <c r="AAA208" s="1056"/>
      <c r="AAB208" s="1056"/>
      <c r="AAC208" s="1056"/>
      <c r="AAD208" s="1056"/>
      <c r="AAE208" s="1056"/>
      <c r="AAF208" s="1056"/>
      <c r="AAG208" s="1056"/>
      <c r="AAH208" s="1056"/>
      <c r="AAI208" s="1056"/>
      <c r="AAJ208" s="1056"/>
      <c r="AAK208" s="1056"/>
      <c r="AAL208" s="1056"/>
      <c r="AAM208" s="1056"/>
      <c r="AAN208" s="1056"/>
      <c r="AAO208" s="1056"/>
      <c r="AAP208" s="1056"/>
      <c r="AAQ208" s="1056"/>
      <c r="AAR208" s="1056"/>
      <c r="AAS208" s="1056"/>
      <c r="AAT208" s="1056"/>
      <c r="AAU208" s="1056"/>
      <c r="AAV208" s="1056"/>
      <c r="AAW208" s="1056"/>
      <c r="AAX208" s="1056"/>
      <c r="AAY208" s="1056"/>
      <c r="AAZ208" s="1056"/>
      <c r="ABA208" s="1056"/>
      <c r="ABB208" s="1056"/>
      <c r="ABC208" s="1056"/>
      <c r="ABD208" s="1056"/>
      <c r="ABE208" s="1056"/>
      <c r="ABF208" s="1056"/>
      <c r="ABG208" s="1056"/>
      <c r="ABH208" s="1056"/>
      <c r="ABI208" s="1056"/>
      <c r="ABJ208" s="1056"/>
      <c r="ABK208" s="1056"/>
      <c r="ABL208" s="1056"/>
      <c r="ABM208" s="1056"/>
      <c r="ABN208" s="1056"/>
      <c r="ABO208" s="1056"/>
      <c r="ABP208" s="1056"/>
      <c r="ABQ208" s="1056"/>
      <c r="ABR208" s="1056"/>
      <c r="ABS208" s="1056"/>
      <c r="ABT208" s="1056"/>
      <c r="ABU208" s="1056"/>
      <c r="ABV208" s="1056"/>
      <c r="ABW208" s="1056"/>
      <c r="ABX208" s="1056"/>
      <c r="ABY208" s="1056"/>
      <c r="ABZ208" s="1056"/>
      <c r="ACA208" s="1056"/>
      <c r="ACB208" s="1056"/>
      <c r="ACC208" s="1056"/>
      <c r="ACD208" s="1056"/>
      <c r="ACE208" s="1056"/>
      <c r="ACF208" s="1056"/>
      <c r="ACG208" s="1056"/>
      <c r="ACH208" s="1056"/>
      <c r="ACI208" s="1056"/>
      <c r="ACJ208" s="1056"/>
      <c r="ACK208" s="1056"/>
      <c r="ACL208" s="1056"/>
      <c r="ACM208" s="1056"/>
      <c r="ACN208" s="1056"/>
      <c r="ACO208" s="1056"/>
      <c r="ACP208" s="1056"/>
      <c r="ACQ208" s="1056"/>
      <c r="ACR208" s="1056"/>
      <c r="ACS208" s="1056"/>
      <c r="ACT208" s="1056"/>
      <c r="ACU208" s="1056"/>
      <c r="ACV208" s="1056"/>
      <c r="ACW208" s="1056"/>
      <c r="ACX208" s="1056"/>
      <c r="ACY208" s="1056"/>
      <c r="ACZ208" s="1056"/>
      <c r="ADA208" s="1056"/>
      <c r="ADB208" s="1056"/>
      <c r="ADC208" s="1056"/>
      <c r="ADD208" s="1056"/>
      <c r="ADE208" s="1056"/>
      <c r="ADF208" s="1056"/>
      <c r="ADG208" s="1056"/>
      <c r="ADH208" s="1056"/>
      <c r="ADI208" s="1056"/>
      <c r="ADJ208" s="1056"/>
      <c r="ADK208" s="1056"/>
      <c r="ADL208" s="1056"/>
      <c r="ADM208" s="1056"/>
      <c r="ADN208" s="1056"/>
      <c r="ADO208" s="1056"/>
      <c r="ADP208" s="1056"/>
      <c r="ADQ208" s="1056"/>
      <c r="ADR208" s="1056"/>
      <c r="ADS208" s="1056"/>
      <c r="ADT208" s="1056"/>
      <c r="ADU208" s="1056"/>
      <c r="ADV208" s="1056"/>
      <c r="ADW208" s="1056"/>
      <c r="ADX208" s="1056"/>
      <c r="ADY208" s="1056"/>
      <c r="ADZ208" s="1056"/>
      <c r="AEA208" s="1056"/>
      <c r="AEB208" s="1056"/>
      <c r="AEC208" s="1056"/>
      <c r="AED208" s="1056"/>
      <c r="AEE208" s="1056"/>
      <c r="AEF208" s="1056"/>
      <c r="AEG208" s="1056"/>
      <c r="AEH208" s="1056"/>
      <c r="AEI208" s="1056"/>
      <c r="AEJ208" s="1056"/>
      <c r="AEK208" s="1056"/>
      <c r="AEL208" s="1056"/>
      <c r="AEM208" s="1056"/>
      <c r="AEN208" s="1056"/>
      <c r="AEO208" s="1056"/>
      <c r="AEP208" s="1056"/>
      <c r="AEQ208" s="1056"/>
      <c r="AER208" s="1056"/>
      <c r="AES208" s="1056"/>
      <c r="AET208" s="1056"/>
      <c r="AEU208" s="1056"/>
      <c r="AEV208" s="1056"/>
      <c r="AEW208" s="1056"/>
      <c r="AEX208" s="1056"/>
      <c r="AEY208" s="1056"/>
      <c r="AEZ208" s="1056"/>
      <c r="AFA208" s="1056"/>
      <c r="AFB208" s="1056"/>
      <c r="AFC208" s="1056"/>
      <c r="AFD208" s="1056"/>
      <c r="AFE208" s="1056"/>
      <c r="AFF208" s="1056"/>
      <c r="AFG208" s="1056"/>
      <c r="AFH208" s="1056"/>
      <c r="AFI208" s="1056"/>
      <c r="AFJ208" s="1056"/>
      <c r="AFK208" s="1056"/>
      <c r="AFL208" s="1056"/>
      <c r="AFM208" s="1056"/>
      <c r="AFN208" s="1056"/>
      <c r="AFO208" s="1056"/>
      <c r="AFP208" s="1056"/>
      <c r="AFQ208" s="1056"/>
      <c r="AFR208" s="1056"/>
      <c r="AFS208" s="1056"/>
      <c r="AFT208" s="1056"/>
      <c r="AFU208" s="1056"/>
      <c r="AFV208" s="1056"/>
      <c r="AFW208" s="1056"/>
      <c r="AFX208" s="1056"/>
      <c r="AFY208" s="1056"/>
      <c r="AFZ208" s="1056"/>
      <c r="AGA208" s="1056"/>
      <c r="AGB208" s="1056"/>
      <c r="AGC208" s="1056"/>
      <c r="AGD208" s="1056"/>
      <c r="AGE208" s="1056"/>
      <c r="AGF208" s="1056"/>
      <c r="AGG208" s="1056"/>
      <c r="AGH208" s="1056"/>
      <c r="AGI208" s="1056"/>
      <c r="AGJ208" s="1056"/>
      <c r="AGK208" s="1056"/>
      <c r="AGL208" s="1056"/>
      <c r="AGM208" s="1056"/>
      <c r="AGN208" s="1056"/>
      <c r="AGO208" s="1056"/>
      <c r="AGP208" s="1056"/>
      <c r="AGQ208" s="1056"/>
      <c r="AGR208" s="1056"/>
      <c r="AGS208" s="1056"/>
      <c r="AGT208" s="1056"/>
      <c r="AGU208" s="1056"/>
      <c r="AGV208" s="1056"/>
      <c r="AGW208" s="1056"/>
      <c r="AGX208" s="1056"/>
      <c r="AGY208" s="1056"/>
      <c r="AGZ208" s="1056"/>
      <c r="AHA208" s="1056"/>
      <c r="AHB208" s="1056"/>
      <c r="AHC208" s="1056"/>
      <c r="AHD208" s="1056"/>
      <c r="AHE208" s="1056"/>
      <c r="AHF208" s="1056"/>
      <c r="AHG208" s="1056"/>
      <c r="AHH208" s="1056"/>
      <c r="AHI208" s="1056"/>
      <c r="AHJ208" s="1056"/>
      <c r="AHK208" s="1056"/>
      <c r="AHL208" s="1056"/>
      <c r="AHM208" s="1056"/>
      <c r="AHN208" s="1056"/>
      <c r="AHO208" s="1056"/>
      <c r="AHP208" s="1056"/>
      <c r="AHQ208" s="1056"/>
      <c r="AHR208" s="1056"/>
      <c r="AHS208" s="1056"/>
      <c r="AHT208" s="1056"/>
      <c r="AHU208" s="1056"/>
      <c r="AHV208" s="1056"/>
      <c r="AHW208" s="1056"/>
      <c r="AHX208" s="1056"/>
      <c r="AHY208" s="1056"/>
      <c r="AHZ208" s="1056"/>
      <c r="AIA208" s="1056"/>
      <c r="AIB208" s="1056"/>
      <c r="AIC208" s="1056"/>
      <c r="AID208" s="1056"/>
      <c r="AIE208" s="1056"/>
      <c r="AIF208" s="1056"/>
      <c r="AIG208" s="1056"/>
      <c r="AIH208" s="1056"/>
      <c r="AII208" s="1056"/>
      <c r="AIJ208" s="1056"/>
      <c r="AIK208" s="1056"/>
      <c r="AIL208" s="1056"/>
      <c r="AIM208" s="1056"/>
      <c r="AIN208" s="1056"/>
      <c r="AIO208" s="1056"/>
      <c r="AIP208" s="1056"/>
      <c r="AIQ208" s="1056"/>
      <c r="AIR208" s="1056"/>
      <c r="AIS208" s="1056"/>
      <c r="AIT208" s="1056"/>
      <c r="AIU208" s="1056"/>
      <c r="AIV208" s="1056"/>
      <c r="AIW208" s="1056"/>
      <c r="AIX208" s="1056"/>
      <c r="AIY208" s="1056"/>
      <c r="AIZ208" s="1056"/>
      <c r="AJA208" s="1056"/>
      <c r="AJB208" s="1056"/>
      <c r="AJC208" s="1056"/>
      <c r="AJD208" s="1056"/>
      <c r="AJE208" s="1056"/>
      <c r="AJF208" s="1056"/>
      <c r="AJG208" s="1056"/>
      <c r="AJH208" s="1056"/>
      <c r="AJI208" s="1056"/>
      <c r="AJJ208" s="1056"/>
      <c r="AJK208" s="1056"/>
      <c r="AJL208" s="1056"/>
      <c r="AJM208" s="1056"/>
      <c r="AJN208" s="1056"/>
      <c r="AJO208" s="1056"/>
      <c r="AJP208" s="1056"/>
      <c r="AJQ208" s="1056"/>
      <c r="AJR208" s="1056"/>
      <c r="AJS208" s="1056"/>
      <c r="AJT208" s="1056"/>
      <c r="AJU208" s="1056"/>
      <c r="AJV208" s="1056"/>
      <c r="AJW208" s="1056"/>
      <c r="AJX208" s="1056"/>
      <c r="AJY208" s="1056"/>
      <c r="AJZ208" s="1056"/>
      <c r="AKA208" s="1056"/>
      <c r="AKB208" s="1056"/>
      <c r="AKC208" s="1056"/>
      <c r="AKD208" s="1056"/>
      <c r="AKE208" s="1056"/>
      <c r="AKF208" s="1056"/>
      <c r="AKG208" s="1056"/>
      <c r="AKH208" s="1056"/>
      <c r="AKI208" s="1056"/>
      <c r="AKJ208" s="1056"/>
      <c r="AKK208" s="1056"/>
      <c r="AKL208" s="1056"/>
      <c r="AKM208" s="1056"/>
      <c r="AKN208" s="1056"/>
      <c r="AKO208" s="1056"/>
      <c r="AKP208" s="1056"/>
      <c r="AKQ208" s="1056"/>
      <c r="AKR208" s="1056"/>
      <c r="AKS208" s="1056"/>
      <c r="AKT208" s="1056"/>
      <c r="AKU208" s="1056"/>
      <c r="AKV208" s="1056"/>
      <c r="AKW208" s="1056"/>
      <c r="AKX208" s="1056"/>
      <c r="AKY208" s="1056"/>
      <c r="AKZ208" s="1056"/>
      <c r="ALA208" s="1056"/>
      <c r="ALB208" s="1056"/>
      <c r="ALC208" s="1056"/>
      <c r="ALD208" s="1056"/>
      <c r="ALE208" s="1056"/>
      <c r="ALF208" s="1056"/>
      <c r="ALG208" s="1056"/>
      <c r="ALH208" s="1056"/>
      <c r="ALI208" s="1056"/>
      <c r="ALJ208" s="1056"/>
      <c r="ALK208" s="1056"/>
      <c r="ALL208" s="1056"/>
      <c r="ALM208" s="1056"/>
      <c r="ALN208" s="1056"/>
      <c r="ALO208" s="1056"/>
      <c r="ALP208" s="1056"/>
      <c r="ALQ208" s="1056"/>
      <c r="ALR208" s="1056"/>
      <c r="ALS208" s="1056"/>
      <c r="ALT208" s="1056"/>
      <c r="ALU208" s="1056"/>
      <c r="ALV208" s="1056"/>
      <c r="ALW208" s="1056"/>
      <c r="ALX208" s="1056"/>
      <c r="ALY208" s="1056"/>
      <c r="ALZ208" s="1056"/>
      <c r="AMA208" s="1056"/>
      <c r="AMB208" s="1056"/>
      <c r="AMC208" s="1056"/>
      <c r="AMD208" s="1056"/>
      <c r="AME208" s="1056"/>
      <c r="AMF208" s="1056"/>
      <c r="AMG208" s="1056"/>
      <c r="AMH208" s="1056"/>
      <c r="AMI208" s="1056"/>
      <c r="AMJ208" s="1056"/>
      <c r="AMK208" s="1056"/>
      <c r="AML208" s="1056"/>
      <c r="AMM208" s="1056"/>
      <c r="AMN208" s="1056"/>
      <c r="AMO208" s="1056"/>
      <c r="AMP208" s="1056"/>
      <c r="AMQ208" s="1056"/>
      <c r="AMR208" s="1056"/>
      <c r="AMS208" s="1056"/>
      <c r="AMT208" s="1056"/>
      <c r="AMU208" s="1056"/>
      <c r="AMV208" s="1056"/>
      <c r="AMW208" s="1056"/>
      <c r="AMX208" s="1056"/>
      <c r="AMY208" s="1056"/>
      <c r="AMZ208" s="1056"/>
      <c r="ANA208" s="1056"/>
      <c r="ANB208" s="1056"/>
      <c r="ANC208" s="1056"/>
      <c r="AND208" s="1056"/>
      <c r="ANE208" s="1056"/>
      <c r="ANF208" s="1056"/>
      <c r="ANG208" s="1056"/>
      <c r="ANH208" s="1056"/>
      <c r="ANI208" s="1056"/>
      <c r="ANJ208" s="1056"/>
      <c r="ANK208" s="1056"/>
      <c r="ANL208" s="1056"/>
      <c r="ANM208" s="1056"/>
      <c r="ANN208" s="1056"/>
      <c r="ANO208" s="1056"/>
      <c r="ANP208" s="1056"/>
      <c r="ANQ208" s="1056"/>
      <c r="ANR208" s="1056"/>
      <c r="ANS208" s="1056"/>
      <c r="ANT208" s="1056"/>
      <c r="ANU208" s="1056"/>
      <c r="ANV208" s="1056"/>
      <c r="ANW208" s="1056"/>
      <c r="ANX208" s="1056"/>
      <c r="ANY208" s="1056"/>
      <c r="ANZ208" s="1056"/>
      <c r="AOA208" s="1056"/>
      <c r="AOB208" s="1056"/>
      <c r="AOC208" s="1056"/>
      <c r="AOD208" s="1056"/>
      <c r="AOE208" s="1056"/>
      <c r="AOF208" s="1056"/>
      <c r="AOG208" s="1056"/>
      <c r="AOH208" s="1056"/>
      <c r="AOI208" s="1056"/>
      <c r="AOJ208" s="1056"/>
      <c r="AOK208" s="1056"/>
      <c r="AOL208" s="1056"/>
      <c r="AOM208" s="1056"/>
      <c r="AON208" s="1056"/>
      <c r="AOO208" s="1056"/>
      <c r="AOP208" s="1056"/>
      <c r="AOQ208" s="1056"/>
      <c r="AOR208" s="1056"/>
      <c r="AOS208" s="1056"/>
      <c r="AOT208" s="1056"/>
      <c r="AOU208" s="1056"/>
      <c r="AOV208" s="1056"/>
      <c r="AOW208" s="1056"/>
      <c r="AOX208" s="1056"/>
      <c r="AOY208" s="1056"/>
      <c r="AOZ208" s="1056"/>
      <c r="APA208" s="1056"/>
      <c r="APB208" s="1056"/>
      <c r="APC208" s="1056"/>
      <c r="APD208" s="1056"/>
      <c r="APE208" s="1056"/>
      <c r="APF208" s="1056"/>
      <c r="APG208" s="1056"/>
      <c r="APH208" s="1056"/>
      <c r="API208" s="1056"/>
      <c r="APJ208" s="1056"/>
      <c r="APK208" s="1056"/>
      <c r="APL208" s="1056"/>
      <c r="APM208" s="1056"/>
      <c r="APN208" s="1056"/>
      <c r="APO208" s="1056"/>
      <c r="APP208" s="1056"/>
      <c r="APQ208" s="1056"/>
      <c r="APR208" s="1056"/>
      <c r="APS208" s="1056"/>
      <c r="APT208" s="1056"/>
      <c r="APU208" s="1056"/>
      <c r="APV208" s="1056"/>
      <c r="APW208" s="1056"/>
      <c r="APX208" s="1056"/>
      <c r="APY208" s="1056"/>
      <c r="APZ208" s="1056"/>
      <c r="AQA208" s="1056"/>
      <c r="AQB208" s="1056"/>
      <c r="AQC208" s="1056"/>
      <c r="AQD208" s="1056"/>
      <c r="AQE208" s="1056"/>
      <c r="AQF208" s="1056"/>
      <c r="AQG208" s="1056"/>
      <c r="AQH208" s="1056"/>
      <c r="AQI208" s="1056"/>
      <c r="AQJ208" s="1056"/>
      <c r="AQK208" s="1056"/>
      <c r="AQL208" s="1056"/>
      <c r="AQM208" s="1056"/>
      <c r="AQN208" s="1056"/>
      <c r="AQO208" s="1056"/>
      <c r="AQP208" s="1056"/>
      <c r="AQQ208" s="1056"/>
      <c r="AQR208" s="1056"/>
      <c r="AQS208" s="1056"/>
      <c r="AQT208" s="1056"/>
      <c r="AQU208" s="1056"/>
      <c r="AQV208" s="1056"/>
      <c r="AQW208" s="1056"/>
      <c r="AQX208" s="1056"/>
      <c r="AQY208" s="1056"/>
      <c r="AQZ208" s="1056"/>
      <c r="ARA208" s="1056"/>
      <c r="ARB208" s="1056"/>
      <c r="ARC208" s="1056"/>
      <c r="ARD208" s="1056"/>
      <c r="ARE208" s="1056"/>
      <c r="ARF208" s="1056"/>
      <c r="ARG208" s="1056"/>
      <c r="ARH208" s="1056"/>
      <c r="ARI208" s="1056"/>
      <c r="ARJ208" s="1056"/>
      <c r="ARK208" s="1056"/>
      <c r="ARL208" s="1056"/>
      <c r="ARM208" s="1056"/>
      <c r="ARN208" s="1056"/>
      <c r="ARO208" s="1056"/>
      <c r="ARP208" s="1056"/>
      <c r="ARQ208" s="1056"/>
      <c r="ARR208" s="1056"/>
      <c r="ARS208" s="1056"/>
      <c r="ART208" s="1056"/>
      <c r="ARU208" s="1056"/>
      <c r="ARV208" s="1056"/>
      <c r="ARW208" s="1056"/>
      <c r="ARX208" s="1056"/>
      <c r="ARY208" s="1056"/>
      <c r="ARZ208" s="1056"/>
      <c r="ASA208" s="1056"/>
      <c r="ASB208" s="1056"/>
      <c r="ASC208" s="1056"/>
      <c r="ASD208" s="1056"/>
      <c r="ASE208" s="1056"/>
      <c r="ASF208" s="1056"/>
      <c r="ASG208" s="1056"/>
      <c r="ASH208" s="1056"/>
      <c r="ASI208" s="1056"/>
      <c r="ASJ208" s="1056"/>
      <c r="ASK208" s="1056"/>
      <c r="ASL208" s="1056"/>
      <c r="ASM208" s="1056"/>
      <c r="ASN208" s="1056"/>
      <c r="ASO208" s="1056"/>
      <c r="ASP208" s="1056"/>
      <c r="ASQ208" s="1056"/>
      <c r="ASR208" s="1056"/>
      <c r="ASS208" s="1056"/>
      <c r="AST208" s="1056"/>
      <c r="ASU208" s="1056"/>
      <c r="ASV208" s="1056"/>
      <c r="ASW208" s="1056"/>
      <c r="ASX208" s="1056"/>
      <c r="ASY208" s="1056"/>
      <c r="ASZ208" s="1056"/>
      <c r="ATA208" s="1056"/>
      <c r="ATB208" s="1056"/>
      <c r="ATC208" s="1056"/>
      <c r="ATD208" s="1056"/>
      <c r="ATE208" s="1056"/>
      <c r="ATF208" s="1056"/>
      <c r="ATG208" s="1056"/>
      <c r="ATH208" s="1056"/>
      <c r="ATI208" s="1056"/>
      <c r="ATJ208" s="1056"/>
      <c r="ATK208" s="1056"/>
      <c r="ATL208" s="1056"/>
      <c r="ATM208" s="1056"/>
      <c r="ATN208" s="1056"/>
      <c r="ATO208" s="1056"/>
      <c r="ATP208" s="1056"/>
      <c r="ATQ208" s="1056"/>
      <c r="ATR208" s="1056"/>
      <c r="ATS208" s="1056"/>
      <c r="ATT208" s="1056"/>
      <c r="ATU208" s="1056"/>
      <c r="ATV208" s="1056"/>
      <c r="ATW208" s="1056"/>
      <c r="ATX208" s="1056"/>
      <c r="ATY208" s="1056"/>
      <c r="ATZ208" s="1056"/>
      <c r="AUA208" s="1056"/>
      <c r="AUB208" s="1056"/>
      <c r="AUC208" s="1056"/>
      <c r="AUD208" s="1056"/>
      <c r="AUE208" s="1056"/>
      <c r="AUF208" s="1056"/>
      <c r="AUG208" s="1056"/>
      <c r="AUH208" s="1056"/>
      <c r="AUI208" s="1056"/>
      <c r="AUJ208" s="1056"/>
      <c r="AUK208" s="1056"/>
      <c r="AUL208" s="1056"/>
      <c r="AUM208" s="1056"/>
      <c r="AUN208" s="1056"/>
      <c r="AUO208" s="1056"/>
      <c r="AUP208" s="1056"/>
      <c r="AUQ208" s="1056"/>
      <c r="AUR208" s="1056"/>
      <c r="AUS208" s="1056"/>
      <c r="AUT208" s="1056"/>
      <c r="AUU208" s="1056"/>
      <c r="AUV208" s="1056"/>
      <c r="AUW208" s="1056"/>
      <c r="AUX208" s="1056"/>
      <c r="AUY208" s="1056"/>
      <c r="AUZ208" s="1056"/>
      <c r="AVA208" s="1056"/>
      <c r="AVB208" s="1056"/>
      <c r="AVC208" s="1056"/>
      <c r="AVD208" s="1056"/>
      <c r="AVE208" s="1056"/>
      <c r="AVF208" s="1056"/>
      <c r="AVG208" s="1056"/>
      <c r="AVH208" s="1056"/>
      <c r="AVI208" s="1056"/>
      <c r="AVJ208" s="1056"/>
      <c r="AVK208" s="1056"/>
      <c r="AVL208" s="1056"/>
      <c r="AVM208" s="1056"/>
      <c r="AVN208" s="1056"/>
      <c r="AVO208" s="1056"/>
      <c r="AVP208" s="1056"/>
      <c r="AVQ208" s="1056"/>
      <c r="AVR208" s="1056"/>
      <c r="AVS208" s="1056"/>
      <c r="AVT208" s="1056"/>
      <c r="AVU208" s="1056"/>
      <c r="AVV208" s="1056"/>
      <c r="AVW208" s="1056"/>
      <c r="AVX208" s="1056"/>
      <c r="AVY208" s="1056"/>
      <c r="AVZ208" s="1056"/>
      <c r="AWA208" s="1056"/>
      <c r="AWB208" s="1056"/>
      <c r="AWC208" s="1056"/>
      <c r="AWD208" s="1056"/>
      <c r="AWE208" s="1056"/>
      <c r="AWF208" s="1056"/>
      <c r="AWG208" s="1056"/>
      <c r="AWH208" s="1056"/>
      <c r="AWI208" s="1056"/>
      <c r="AWJ208" s="1056"/>
      <c r="AWK208" s="1056"/>
      <c r="AWL208" s="1056"/>
      <c r="AWM208" s="1056"/>
      <c r="AWN208" s="1056"/>
      <c r="AWO208" s="1056"/>
      <c r="AWP208" s="1056"/>
      <c r="AWQ208" s="1056"/>
      <c r="AWR208" s="1056"/>
      <c r="AWS208" s="1056"/>
      <c r="AWT208" s="1056"/>
      <c r="AWU208" s="1056"/>
      <c r="AWV208" s="1056"/>
      <c r="AWW208" s="1056"/>
      <c r="AWX208" s="1056"/>
      <c r="AWY208" s="1056"/>
      <c r="AWZ208" s="1056"/>
      <c r="AXA208" s="1056"/>
      <c r="AXB208" s="1056"/>
      <c r="AXC208" s="1056"/>
      <c r="AXD208" s="1056"/>
      <c r="AXE208" s="1056"/>
      <c r="AXF208" s="1056"/>
      <c r="AXG208" s="1056"/>
      <c r="AXH208" s="1056"/>
      <c r="AXI208" s="1056"/>
      <c r="AXJ208" s="1056"/>
      <c r="AXK208" s="1056"/>
      <c r="AXL208" s="1056"/>
      <c r="AXM208" s="1056"/>
      <c r="AXN208" s="1056"/>
      <c r="AXO208" s="1056"/>
      <c r="AXP208" s="1056"/>
      <c r="AXQ208" s="1056"/>
      <c r="AXR208" s="1056"/>
      <c r="AXS208" s="1056"/>
      <c r="AXT208" s="1056"/>
      <c r="AXU208" s="1056"/>
      <c r="AXV208" s="1056"/>
      <c r="AXW208" s="1056"/>
      <c r="AXX208" s="1056"/>
      <c r="AXY208" s="1056"/>
      <c r="AXZ208" s="1056"/>
      <c r="AYA208" s="1056"/>
      <c r="AYB208" s="1056"/>
      <c r="AYC208" s="1056"/>
      <c r="AYD208" s="1056"/>
      <c r="AYE208" s="1056"/>
      <c r="AYF208" s="1056"/>
      <c r="AYG208" s="1056"/>
      <c r="AYH208" s="1056"/>
      <c r="AYI208" s="1056"/>
      <c r="AYJ208" s="1056"/>
      <c r="AYK208" s="1056"/>
      <c r="AYL208" s="1056"/>
      <c r="AYM208" s="1056"/>
      <c r="AYN208" s="1056"/>
      <c r="AYO208" s="1056"/>
      <c r="AYP208" s="1056"/>
      <c r="AYQ208" s="1056"/>
      <c r="AYR208" s="1056"/>
      <c r="AYS208" s="1056"/>
      <c r="AYT208" s="1056"/>
      <c r="AYU208" s="1056"/>
      <c r="AYV208" s="1056"/>
      <c r="AYW208" s="1056"/>
      <c r="AYX208" s="1056"/>
      <c r="AYY208" s="1056"/>
      <c r="AYZ208" s="1056"/>
      <c r="AZA208" s="1056"/>
      <c r="AZB208" s="1056"/>
      <c r="AZC208" s="1056"/>
      <c r="AZD208" s="1056"/>
      <c r="AZE208" s="1056"/>
      <c r="AZF208" s="1056"/>
      <c r="AZG208" s="1056"/>
      <c r="AZH208" s="1056"/>
      <c r="AZI208" s="1056"/>
      <c r="AZJ208" s="1056"/>
      <c r="AZK208" s="1056"/>
      <c r="AZL208" s="1056"/>
      <c r="AZM208" s="1056"/>
      <c r="AZN208" s="1056"/>
      <c r="AZO208" s="1056"/>
      <c r="AZP208" s="1056"/>
      <c r="AZQ208" s="1056"/>
      <c r="AZR208" s="1056"/>
      <c r="AZS208" s="1056"/>
      <c r="AZT208" s="1056"/>
      <c r="AZU208" s="1056"/>
      <c r="AZV208" s="1056"/>
      <c r="AZW208" s="1056"/>
      <c r="AZX208" s="1056"/>
      <c r="AZY208" s="1056"/>
      <c r="AZZ208" s="1056"/>
      <c r="BAA208" s="1056"/>
      <c r="BAB208" s="1056"/>
      <c r="BAC208" s="1056"/>
      <c r="BAD208" s="1056"/>
      <c r="BAE208" s="1056"/>
      <c r="BAF208" s="1056"/>
      <c r="BAG208" s="1056"/>
      <c r="BAH208" s="1056"/>
      <c r="BAI208" s="1056"/>
      <c r="BAJ208" s="1056"/>
      <c r="BAK208" s="1056"/>
      <c r="BAL208" s="1056"/>
      <c r="BAM208" s="1056"/>
      <c r="BAN208" s="1056"/>
      <c r="BAO208" s="1056"/>
      <c r="BAP208" s="1056"/>
      <c r="BAQ208" s="1056"/>
      <c r="BAR208" s="1056"/>
      <c r="BAS208" s="1056"/>
      <c r="BAT208" s="1056"/>
      <c r="BAU208" s="1056"/>
      <c r="BAV208" s="1056"/>
      <c r="BAW208" s="1056"/>
      <c r="BAX208" s="1056"/>
      <c r="BAY208" s="1056"/>
      <c r="BAZ208" s="1056"/>
      <c r="BBA208" s="1056"/>
      <c r="BBB208" s="1056"/>
      <c r="BBC208" s="1056"/>
      <c r="BBD208" s="1056"/>
      <c r="BBE208" s="1056"/>
      <c r="BBF208" s="1056"/>
      <c r="BBG208" s="1056"/>
      <c r="BBH208" s="1056"/>
      <c r="BBI208" s="1056"/>
      <c r="BBJ208" s="1056"/>
      <c r="BBK208" s="1056"/>
      <c r="BBL208" s="1056"/>
      <c r="BBM208" s="1056"/>
      <c r="BBN208" s="1056"/>
      <c r="BBO208" s="1056"/>
      <c r="BBP208" s="1056"/>
      <c r="BBQ208" s="1056"/>
      <c r="BBR208" s="1056"/>
      <c r="BBS208" s="1056"/>
      <c r="BBT208" s="1056"/>
      <c r="BBU208" s="1056"/>
      <c r="BBV208" s="1056"/>
      <c r="BBW208" s="1056"/>
      <c r="BBX208" s="1056"/>
      <c r="BBY208" s="1056"/>
      <c r="BBZ208" s="1056"/>
      <c r="BCA208" s="1056"/>
      <c r="BCB208" s="1056"/>
      <c r="BCC208" s="1056"/>
      <c r="BCD208" s="1056"/>
      <c r="BCE208" s="1056"/>
      <c r="BCF208" s="1056"/>
      <c r="BCG208" s="1056"/>
      <c r="BCH208" s="1056"/>
      <c r="BCI208" s="1056"/>
      <c r="BCJ208" s="1056"/>
      <c r="BCK208" s="1056"/>
      <c r="BCL208" s="1056"/>
      <c r="BCM208" s="1056"/>
      <c r="BCN208" s="1056"/>
      <c r="BCO208" s="1056"/>
      <c r="BCP208" s="1056"/>
      <c r="BCQ208" s="1056"/>
      <c r="BCR208" s="1056"/>
      <c r="BCS208" s="1056"/>
      <c r="BCT208" s="1056"/>
      <c r="BCU208" s="1056"/>
      <c r="BCV208" s="1056"/>
      <c r="BCW208" s="1056"/>
      <c r="BCX208" s="1056"/>
      <c r="BCY208" s="1056"/>
      <c r="BCZ208" s="1056"/>
      <c r="BDA208" s="1056"/>
      <c r="BDB208" s="1056"/>
      <c r="BDC208" s="1056"/>
      <c r="BDD208" s="1056"/>
      <c r="BDE208" s="1056"/>
      <c r="BDF208" s="1056"/>
      <c r="BDG208" s="1056"/>
      <c r="BDH208" s="1056"/>
      <c r="BDI208" s="1056"/>
      <c r="BDJ208" s="1056"/>
      <c r="BDK208" s="1056"/>
      <c r="BDL208" s="1056"/>
      <c r="BDM208" s="1056"/>
      <c r="BDN208" s="1056"/>
      <c r="BDO208" s="1056"/>
      <c r="BDP208" s="1056"/>
      <c r="BDQ208" s="1056"/>
      <c r="BDR208" s="1056"/>
      <c r="BDS208" s="1056"/>
      <c r="BDT208" s="1056"/>
      <c r="BDU208" s="1056"/>
      <c r="BDV208" s="1056"/>
      <c r="BDW208" s="1056"/>
      <c r="BDX208" s="1056"/>
      <c r="BDY208" s="1056"/>
      <c r="BDZ208" s="1056"/>
      <c r="BEA208" s="1056"/>
      <c r="BEB208" s="1056"/>
      <c r="BEC208" s="1056"/>
      <c r="BED208" s="1056"/>
      <c r="BEE208" s="1056"/>
      <c r="BEF208" s="1056"/>
      <c r="BEG208" s="1056"/>
      <c r="BEH208" s="1056"/>
      <c r="BEI208" s="1056"/>
      <c r="BEJ208" s="1056"/>
      <c r="BEK208" s="1056"/>
      <c r="BEL208" s="1056"/>
      <c r="BEM208" s="1056"/>
      <c r="BEN208" s="1056"/>
      <c r="BEO208" s="1056"/>
      <c r="BEP208" s="1056"/>
      <c r="BEQ208" s="1056"/>
      <c r="BER208" s="1056"/>
      <c r="BES208" s="1056"/>
      <c r="BET208" s="1056"/>
      <c r="BEU208" s="1056"/>
      <c r="BEV208" s="1056"/>
      <c r="BEW208" s="1056"/>
      <c r="BEX208" s="1056"/>
      <c r="BEY208" s="1056"/>
      <c r="BEZ208" s="1056"/>
      <c r="BFA208" s="1056"/>
      <c r="BFB208" s="1056"/>
      <c r="BFC208" s="1056"/>
      <c r="BFD208" s="1056"/>
      <c r="BFE208" s="1056"/>
      <c r="BFF208" s="1056"/>
      <c r="BFG208" s="1056"/>
      <c r="BFH208" s="1056"/>
      <c r="BFI208" s="1056"/>
      <c r="BFJ208" s="1056"/>
      <c r="BFK208" s="1056"/>
      <c r="BFL208" s="1056"/>
      <c r="BFM208" s="1056"/>
      <c r="BFN208" s="1056"/>
      <c r="BFO208" s="1056"/>
      <c r="BFP208" s="1056"/>
      <c r="BFQ208" s="1056"/>
      <c r="BFR208" s="1056"/>
      <c r="BFS208" s="1056"/>
      <c r="BFT208" s="1056"/>
      <c r="BFU208" s="1056"/>
      <c r="BFV208" s="1056"/>
      <c r="BFW208" s="1056"/>
      <c r="BFX208" s="1056"/>
      <c r="BFY208" s="1056"/>
      <c r="BFZ208" s="1056"/>
      <c r="BGA208" s="1056"/>
      <c r="BGB208" s="1056"/>
      <c r="BGC208" s="1056"/>
      <c r="BGD208" s="1056"/>
      <c r="BGE208" s="1056"/>
      <c r="BGF208" s="1056"/>
      <c r="BGG208" s="1056"/>
      <c r="BGH208" s="1056"/>
      <c r="BGI208" s="1056"/>
      <c r="BGJ208" s="1056"/>
      <c r="BGK208" s="1056"/>
      <c r="BGL208" s="1056"/>
      <c r="BGM208" s="1056"/>
      <c r="BGN208" s="1056"/>
      <c r="BGO208" s="1056"/>
      <c r="BGP208" s="1056"/>
      <c r="BGQ208" s="1056"/>
      <c r="BGR208" s="1056"/>
      <c r="BGS208" s="1056"/>
      <c r="BGT208" s="1056"/>
      <c r="BGU208" s="1056"/>
      <c r="BGV208" s="1056"/>
      <c r="BGW208" s="1056"/>
      <c r="BGX208" s="1056"/>
      <c r="BGY208" s="1056"/>
      <c r="BGZ208" s="1056"/>
      <c r="BHA208" s="1056"/>
      <c r="BHB208" s="1056"/>
      <c r="BHC208" s="1056"/>
      <c r="BHD208" s="1056"/>
      <c r="BHE208" s="1056"/>
      <c r="BHF208" s="1056"/>
      <c r="BHG208" s="1056"/>
      <c r="BHH208" s="1056"/>
      <c r="BHI208" s="1056"/>
      <c r="BHJ208" s="1056"/>
      <c r="BHK208" s="1056"/>
      <c r="BHL208" s="1056"/>
      <c r="BHM208" s="1056"/>
      <c r="BHN208" s="1056"/>
      <c r="BHO208" s="1056"/>
      <c r="BHP208" s="1056"/>
      <c r="BHQ208" s="1056"/>
      <c r="BHR208" s="1056"/>
      <c r="BHS208" s="1056"/>
      <c r="BHT208" s="1056"/>
      <c r="BHU208" s="1056"/>
      <c r="BHV208" s="1056"/>
      <c r="BHW208" s="1056"/>
      <c r="BHX208" s="1056"/>
      <c r="BHY208" s="1056"/>
      <c r="BHZ208" s="1056"/>
      <c r="BIA208" s="1056"/>
      <c r="BIB208" s="1056"/>
      <c r="BIC208" s="1056"/>
      <c r="BID208" s="1056"/>
      <c r="BIE208" s="1056"/>
      <c r="BIF208" s="1056"/>
      <c r="BIG208" s="1056"/>
      <c r="BIH208" s="1056"/>
      <c r="BII208" s="1056"/>
      <c r="BIJ208" s="1056"/>
      <c r="BIK208" s="1056"/>
      <c r="BIL208" s="1056"/>
      <c r="BIM208" s="1056"/>
      <c r="BIN208" s="1056"/>
      <c r="BIO208" s="1056"/>
      <c r="BIP208" s="1056"/>
      <c r="BIQ208" s="1056"/>
      <c r="BIR208" s="1056"/>
      <c r="BIS208" s="1056"/>
      <c r="BIT208" s="1056"/>
      <c r="BIU208" s="1056"/>
      <c r="BIV208" s="1056"/>
      <c r="BIW208" s="1056"/>
      <c r="BIX208" s="1056"/>
      <c r="BIY208" s="1056"/>
      <c r="BIZ208" s="1056"/>
      <c r="BJA208" s="1056"/>
      <c r="BJB208" s="1056"/>
      <c r="BJC208" s="1056"/>
      <c r="BJD208" s="1056"/>
      <c r="BJE208" s="1056"/>
      <c r="BJF208" s="1056"/>
      <c r="BJG208" s="1056"/>
      <c r="BJH208" s="1056"/>
      <c r="BJI208" s="1056"/>
      <c r="BJJ208" s="1056"/>
      <c r="BJK208" s="1056"/>
      <c r="BJL208" s="1056"/>
      <c r="BJM208" s="1056"/>
      <c r="BJN208" s="1056"/>
      <c r="BJO208" s="1056"/>
      <c r="BJP208" s="1056"/>
      <c r="BJQ208" s="1056"/>
      <c r="BJR208" s="1056"/>
      <c r="BJS208" s="1056"/>
      <c r="BJT208" s="1056"/>
      <c r="BJU208" s="1056"/>
      <c r="BJV208" s="1056"/>
      <c r="BJW208" s="1056"/>
      <c r="BJX208" s="1056"/>
      <c r="BJY208" s="1056"/>
      <c r="BJZ208" s="1056"/>
      <c r="BKA208" s="1056"/>
      <c r="BKB208" s="1056"/>
      <c r="BKC208" s="1056"/>
      <c r="BKD208" s="1056"/>
      <c r="BKE208" s="1056"/>
      <c r="BKF208" s="1056"/>
      <c r="BKG208" s="1056"/>
      <c r="BKH208" s="1056"/>
      <c r="BKI208" s="1056"/>
      <c r="BKJ208" s="1056"/>
      <c r="BKK208" s="1056"/>
      <c r="BKL208" s="1056"/>
      <c r="BKM208" s="1056"/>
      <c r="BKN208" s="1056"/>
      <c r="BKO208" s="1056"/>
      <c r="BKP208" s="1056"/>
      <c r="BKQ208" s="1056"/>
      <c r="BKR208" s="1056"/>
      <c r="BKS208" s="1056"/>
      <c r="BKT208" s="1056"/>
      <c r="BKU208" s="1056"/>
      <c r="BKV208" s="1056"/>
      <c r="BKW208" s="1056"/>
      <c r="BKX208" s="1056"/>
      <c r="BKY208" s="1056"/>
      <c r="BKZ208" s="1056"/>
      <c r="BLA208" s="1056"/>
      <c r="BLB208" s="1056"/>
      <c r="BLC208" s="1056"/>
      <c r="BLD208" s="1056"/>
      <c r="BLE208" s="1056"/>
      <c r="BLF208" s="1056"/>
      <c r="BLG208" s="1056"/>
      <c r="BLH208" s="1056"/>
      <c r="BLI208" s="1056"/>
      <c r="BLJ208" s="1056"/>
      <c r="BLK208" s="1056"/>
      <c r="BLL208" s="1056"/>
      <c r="BLM208" s="1056"/>
      <c r="BLN208" s="1056"/>
      <c r="BLO208" s="1056"/>
      <c r="BLP208" s="1056"/>
      <c r="BLQ208" s="1056"/>
      <c r="BLR208" s="1056"/>
      <c r="BLS208" s="1056"/>
      <c r="BLT208" s="1056"/>
      <c r="BLU208" s="1056"/>
      <c r="BLV208" s="1056"/>
      <c r="BLW208" s="1056"/>
      <c r="BLX208" s="1056"/>
      <c r="BLY208" s="1056"/>
      <c r="BLZ208" s="1056"/>
      <c r="BMA208" s="1056"/>
      <c r="BMB208" s="1056"/>
      <c r="BMC208" s="1056"/>
      <c r="BMD208" s="1056"/>
      <c r="BME208" s="1056"/>
      <c r="BMF208" s="1056"/>
      <c r="BMG208" s="1056"/>
      <c r="BMH208" s="1056"/>
      <c r="BMI208" s="1056"/>
      <c r="BMJ208" s="1056"/>
      <c r="BMK208" s="1056"/>
      <c r="BML208" s="1056"/>
      <c r="BMM208" s="1056"/>
      <c r="BMN208" s="1056"/>
      <c r="BMO208" s="1056"/>
      <c r="BMP208" s="1056"/>
      <c r="BMQ208" s="1056"/>
      <c r="BMR208" s="1056"/>
      <c r="BMS208" s="1056"/>
      <c r="BMT208" s="1056"/>
      <c r="BMU208" s="1056"/>
      <c r="BMV208" s="1056"/>
      <c r="BMW208" s="1056"/>
      <c r="BMX208" s="1056"/>
      <c r="BMY208" s="1056"/>
      <c r="BMZ208" s="1056"/>
      <c r="BNA208" s="1056"/>
      <c r="BNB208" s="1056"/>
      <c r="BNC208" s="1056"/>
      <c r="BND208" s="1056"/>
      <c r="BNE208" s="1056"/>
      <c r="BNF208" s="1056"/>
      <c r="BNG208" s="1056"/>
      <c r="BNH208" s="1056"/>
      <c r="BNI208" s="1056"/>
      <c r="BNJ208" s="1056"/>
      <c r="BNK208" s="1056"/>
      <c r="BNL208" s="1056"/>
      <c r="BNM208" s="1056"/>
      <c r="BNN208" s="1056"/>
      <c r="BNO208" s="1056"/>
      <c r="BNP208" s="1056"/>
      <c r="BNQ208" s="1056"/>
      <c r="BNR208" s="1056"/>
      <c r="BNS208" s="1056"/>
      <c r="BNT208" s="1056"/>
      <c r="BNU208" s="1056"/>
      <c r="BNV208" s="1056"/>
      <c r="BNW208" s="1056"/>
      <c r="BNX208" s="1056"/>
      <c r="BNY208" s="1056"/>
      <c r="BNZ208" s="1056"/>
      <c r="BOA208" s="1056"/>
      <c r="BOB208" s="1056"/>
      <c r="BOC208" s="1056"/>
      <c r="BOD208" s="1056"/>
      <c r="BOE208" s="1056"/>
      <c r="BOF208" s="1056"/>
      <c r="BOG208" s="1056"/>
      <c r="BOH208" s="1056"/>
      <c r="BOI208" s="1056"/>
      <c r="BOJ208" s="1056"/>
      <c r="BOK208" s="1056"/>
      <c r="BOL208" s="1056"/>
      <c r="BOM208" s="1056"/>
      <c r="BON208" s="1056"/>
      <c r="BOO208" s="1056"/>
      <c r="BOP208" s="1056"/>
      <c r="BOQ208" s="1056"/>
      <c r="BOR208" s="1056"/>
      <c r="BOS208" s="1056"/>
      <c r="BOT208" s="1056"/>
      <c r="BOU208" s="1056"/>
      <c r="BOV208" s="1056"/>
      <c r="BOW208" s="1056"/>
      <c r="BOX208" s="1056"/>
      <c r="BOY208" s="1056"/>
      <c r="BOZ208" s="1056"/>
      <c r="BPA208" s="1056"/>
      <c r="BPB208" s="1056"/>
      <c r="BPC208" s="1056"/>
      <c r="BPD208" s="1056"/>
      <c r="BPE208" s="1056"/>
      <c r="BPF208" s="1056"/>
      <c r="BPG208" s="1056"/>
      <c r="BPH208" s="1056"/>
      <c r="BPI208" s="1056"/>
      <c r="BPJ208" s="1056"/>
      <c r="BPK208" s="1056"/>
      <c r="BPL208" s="1056"/>
      <c r="BPM208" s="1056"/>
      <c r="BPN208" s="1056"/>
      <c r="BPO208" s="1056"/>
      <c r="BPP208" s="1056"/>
      <c r="BPQ208" s="1056"/>
      <c r="BPR208" s="1056"/>
      <c r="BPS208" s="1056"/>
      <c r="BPT208" s="1056"/>
      <c r="BPU208" s="1056"/>
      <c r="BPV208" s="1056"/>
      <c r="BPW208" s="1056"/>
      <c r="BPX208" s="1056"/>
      <c r="BPY208" s="1056"/>
      <c r="BPZ208" s="1056"/>
      <c r="BQA208" s="1056"/>
      <c r="BQB208" s="1056"/>
      <c r="BQC208" s="1056"/>
      <c r="BQD208" s="1056"/>
      <c r="BQE208" s="1056"/>
      <c r="BQF208" s="1056"/>
      <c r="BQG208" s="1056"/>
      <c r="BQH208" s="1056"/>
      <c r="BQI208" s="1056"/>
      <c r="BQJ208" s="1056"/>
      <c r="BQK208" s="1056"/>
      <c r="BQL208" s="1056"/>
      <c r="BQM208" s="1056"/>
      <c r="BQN208" s="1056"/>
      <c r="BQO208" s="1056"/>
      <c r="BQP208" s="1056"/>
      <c r="BQQ208" s="1056"/>
      <c r="BQR208" s="1056"/>
      <c r="BQS208" s="1056"/>
      <c r="BQT208" s="1056"/>
      <c r="BQU208" s="1056"/>
      <c r="BQV208" s="1056"/>
      <c r="BQW208" s="1056"/>
      <c r="BQX208" s="1056"/>
      <c r="BQY208" s="1056"/>
      <c r="BQZ208" s="1056"/>
      <c r="BRA208" s="1056"/>
      <c r="BRB208" s="1056"/>
      <c r="BRC208" s="1056"/>
      <c r="BRD208" s="1056"/>
      <c r="BRE208" s="1056"/>
      <c r="BRF208" s="1056"/>
      <c r="BRG208" s="1056"/>
      <c r="BRH208" s="1056"/>
      <c r="BRI208" s="1056"/>
      <c r="BRJ208" s="1056"/>
      <c r="BRK208" s="1056"/>
      <c r="BRL208" s="1056"/>
      <c r="BRM208" s="1056"/>
      <c r="BRN208" s="1056"/>
      <c r="BRO208" s="1056"/>
      <c r="BRP208" s="1056"/>
      <c r="BRQ208" s="1056"/>
      <c r="BRR208" s="1056"/>
      <c r="BRS208" s="1056"/>
      <c r="BRT208" s="1056"/>
      <c r="BRU208" s="1056"/>
      <c r="BRV208" s="1056"/>
      <c r="BRW208" s="1056"/>
      <c r="BRX208" s="1056"/>
      <c r="BRY208" s="1056"/>
      <c r="BRZ208" s="1056"/>
      <c r="BSA208" s="1056"/>
      <c r="BSB208" s="1056"/>
      <c r="BSC208" s="1056"/>
      <c r="BSD208" s="1056"/>
      <c r="BSE208" s="1056"/>
      <c r="BSF208" s="1056"/>
      <c r="BSG208" s="1056"/>
      <c r="BSH208" s="1056"/>
      <c r="BSI208" s="1056"/>
      <c r="BSJ208" s="1056"/>
      <c r="BSK208" s="1056"/>
      <c r="BSL208" s="1056"/>
      <c r="BSM208" s="1056"/>
      <c r="BSN208" s="1056"/>
      <c r="BSO208" s="1056"/>
      <c r="BSP208" s="1056"/>
      <c r="BSQ208" s="1056"/>
      <c r="BSR208" s="1056"/>
      <c r="BSS208" s="1056"/>
      <c r="BST208" s="1056"/>
      <c r="BSU208" s="1056"/>
      <c r="BSV208" s="1056"/>
      <c r="BSW208" s="1056"/>
      <c r="BSX208" s="1056"/>
      <c r="BSY208" s="1056"/>
      <c r="BSZ208" s="1056"/>
      <c r="BTA208" s="1056"/>
      <c r="BTB208" s="1056"/>
      <c r="BTC208" s="1056"/>
      <c r="BTD208" s="1056"/>
      <c r="BTE208" s="1056"/>
      <c r="BTF208" s="1056"/>
      <c r="BTG208" s="1056"/>
      <c r="BTH208" s="1056"/>
      <c r="BTI208" s="1056"/>
    </row>
    <row r="209" spans="1:1881" s="1060" customFormat="1" ht="60" hidden="1" customHeight="1" x14ac:dyDescent="0.3">
      <c r="A209" s="1059">
        <v>101</v>
      </c>
      <c r="B209" s="808" t="s">
        <v>65</v>
      </c>
      <c r="C209" s="808" t="s">
        <v>1436</v>
      </c>
      <c r="D209" s="746" t="s">
        <v>1438</v>
      </c>
      <c r="E209" s="1053" t="e">
        <f>HLOOKUP($D$2,'2020 Data(H)'!$C$1:$AI$426,61,FALSE)</f>
        <v>#N/A</v>
      </c>
      <c r="F209" s="286">
        <v>0</v>
      </c>
      <c r="G209" s="722">
        <f>IF(F209&lt;0,"Error: Enter as positive.",)</f>
        <v>0</v>
      </c>
      <c r="H209" s="764"/>
      <c r="I209" s="1055"/>
      <c r="J209" s="1056"/>
      <c r="K209" s="1056"/>
      <c r="L209" s="1056"/>
      <c r="M209" s="1056"/>
      <c r="N209" s="1058"/>
      <c r="O209" s="1056"/>
      <c r="P209" s="1056"/>
      <c r="Q209" s="1056"/>
      <c r="R209" s="1056"/>
      <c r="S209" s="1056"/>
      <c r="T209" s="1056"/>
      <c r="U209" s="1056"/>
      <c r="V209" s="1056"/>
      <c r="W209" s="1056"/>
      <c r="X209" s="1056"/>
      <c r="Y209" s="1056"/>
      <c r="Z209" s="1059"/>
      <c r="AA209" s="1059"/>
      <c r="AB209" s="1059"/>
      <c r="AC209" s="1059"/>
      <c r="AD209" s="1059"/>
      <c r="AE209" s="1059"/>
      <c r="AF209" s="1059"/>
      <c r="AG209" s="1059"/>
      <c r="AH209" s="1059"/>
      <c r="AI209" s="1059"/>
      <c r="AJ209" s="1059"/>
      <c r="AK209" s="1059"/>
      <c r="AL209" s="1059"/>
      <c r="AM209" s="1059"/>
      <c r="AN209" s="1059"/>
      <c r="AO209" s="1059"/>
      <c r="AP209" s="1059"/>
      <c r="AQ209" s="1059"/>
      <c r="AR209" s="1059"/>
      <c r="AS209" s="1056"/>
      <c r="AT209" s="1056"/>
      <c r="AU209" s="1056"/>
      <c r="AV209" s="1056"/>
      <c r="AW209" s="1056"/>
      <c r="AX209" s="1056"/>
      <c r="AY209" s="1056"/>
      <c r="AZ209" s="1056"/>
      <c r="BA209" s="1056"/>
      <c r="BB209" s="1056"/>
      <c r="BC209" s="1056"/>
      <c r="BD209" s="1056"/>
      <c r="BE209" s="1056"/>
      <c r="BF209" s="1056"/>
      <c r="BG209" s="1056"/>
      <c r="BH209" s="1056"/>
      <c r="BI209" s="1056"/>
      <c r="BJ209" s="1056"/>
      <c r="BK209" s="1056"/>
      <c r="BL209" s="1056"/>
      <c r="BM209" s="1056"/>
      <c r="BN209" s="1056"/>
      <c r="BO209" s="1056"/>
      <c r="BP209" s="1056"/>
      <c r="BQ209" s="1056"/>
      <c r="BR209" s="1056"/>
      <c r="BS209" s="1056"/>
      <c r="BT209" s="1056"/>
      <c r="BU209" s="1056"/>
      <c r="BV209" s="1056"/>
      <c r="BW209" s="1056"/>
      <c r="BX209" s="1056"/>
      <c r="BY209" s="1056"/>
      <c r="BZ209" s="1056"/>
      <c r="CA209" s="1056"/>
      <c r="CB209" s="1056"/>
      <c r="CC209" s="1056"/>
      <c r="CD209" s="1056"/>
      <c r="CE209" s="1056"/>
      <c r="CF209" s="1056"/>
      <c r="CG209" s="1056"/>
      <c r="CH209" s="1056"/>
      <c r="CI209" s="1056"/>
      <c r="CJ209" s="1056"/>
      <c r="CK209" s="1056"/>
      <c r="CL209" s="1056"/>
      <c r="CM209" s="1056"/>
      <c r="CN209" s="1056"/>
      <c r="CO209" s="1056"/>
      <c r="CP209" s="1056"/>
      <c r="CQ209" s="1056"/>
      <c r="CR209" s="1056"/>
      <c r="CS209" s="1056"/>
      <c r="CT209" s="1056"/>
      <c r="CU209" s="1056"/>
      <c r="CV209" s="1056"/>
      <c r="CW209" s="1056"/>
      <c r="CX209" s="1056"/>
      <c r="CY209" s="1056"/>
      <c r="CZ209" s="1056"/>
      <c r="DA209" s="1056"/>
      <c r="DB209" s="1056"/>
      <c r="DC209" s="1056"/>
      <c r="DD209" s="1056"/>
      <c r="DE209" s="1056"/>
      <c r="DF209" s="1056"/>
      <c r="DG209" s="1056"/>
      <c r="DH209" s="1056"/>
      <c r="DI209" s="1056"/>
      <c r="DJ209" s="1056"/>
      <c r="DK209" s="1056"/>
      <c r="DL209" s="1056"/>
      <c r="DM209" s="1056"/>
      <c r="DN209" s="1056"/>
      <c r="DO209" s="1056"/>
      <c r="DP209" s="1056"/>
      <c r="DQ209" s="1056"/>
      <c r="DR209" s="1056"/>
      <c r="DS209" s="1056"/>
      <c r="DT209" s="1056"/>
      <c r="DU209" s="1056"/>
      <c r="DV209" s="1056"/>
      <c r="DW209" s="1056"/>
      <c r="DX209" s="1056"/>
      <c r="DY209" s="1056"/>
      <c r="DZ209" s="1056"/>
      <c r="EA209" s="1056"/>
      <c r="EB209" s="1056"/>
      <c r="EC209" s="1056"/>
      <c r="ED209" s="1056"/>
      <c r="EE209" s="1056"/>
      <c r="EF209" s="1056"/>
      <c r="EG209" s="1056"/>
      <c r="EH209" s="1056"/>
      <c r="EI209" s="1056"/>
      <c r="EJ209" s="1056"/>
      <c r="EK209" s="1056"/>
      <c r="EL209" s="1056"/>
      <c r="EM209" s="1056"/>
      <c r="EN209" s="1056"/>
      <c r="EO209" s="1056"/>
      <c r="EP209" s="1056"/>
      <c r="EQ209" s="1056"/>
      <c r="ER209" s="1056"/>
      <c r="ES209" s="1056"/>
      <c r="ET209" s="1056"/>
      <c r="EU209" s="1056"/>
      <c r="EV209" s="1056"/>
      <c r="EW209" s="1056"/>
      <c r="EX209" s="1056"/>
      <c r="EY209" s="1056"/>
      <c r="EZ209" s="1056"/>
      <c r="FA209" s="1056"/>
      <c r="FB209" s="1056"/>
      <c r="FC209" s="1056"/>
      <c r="FD209" s="1056"/>
      <c r="FE209" s="1056"/>
      <c r="FF209" s="1056"/>
      <c r="FG209" s="1056"/>
      <c r="FH209" s="1056"/>
      <c r="FI209" s="1056"/>
      <c r="FJ209" s="1056"/>
      <c r="FK209" s="1056"/>
      <c r="FL209" s="1056"/>
      <c r="FM209" s="1056"/>
      <c r="FN209" s="1056"/>
      <c r="FO209" s="1056"/>
      <c r="FP209" s="1056"/>
      <c r="FQ209" s="1056"/>
      <c r="FR209" s="1056"/>
      <c r="FS209" s="1056"/>
      <c r="FT209" s="1056"/>
      <c r="FU209" s="1056"/>
      <c r="FV209" s="1056"/>
      <c r="FW209" s="1056"/>
      <c r="FX209" s="1056"/>
      <c r="FY209" s="1056"/>
      <c r="FZ209" s="1056"/>
      <c r="GA209" s="1056"/>
      <c r="GB209" s="1056"/>
      <c r="GC209" s="1056"/>
      <c r="GD209" s="1056"/>
      <c r="GE209" s="1056"/>
      <c r="GF209" s="1056"/>
      <c r="GG209" s="1056"/>
      <c r="GH209" s="1056"/>
      <c r="GI209" s="1056"/>
      <c r="GJ209" s="1056"/>
      <c r="GK209" s="1056"/>
      <c r="GL209" s="1056"/>
      <c r="GM209" s="1056"/>
      <c r="GN209" s="1056"/>
      <c r="GO209" s="1056"/>
      <c r="GP209" s="1056"/>
      <c r="GQ209" s="1056"/>
      <c r="GR209" s="1056"/>
      <c r="GS209" s="1056"/>
      <c r="GT209" s="1056"/>
      <c r="GU209" s="1056"/>
      <c r="GV209" s="1056"/>
      <c r="GW209" s="1056"/>
      <c r="GX209" s="1056"/>
      <c r="GY209" s="1056"/>
      <c r="GZ209" s="1056"/>
      <c r="HA209" s="1056"/>
      <c r="HB209" s="1056"/>
      <c r="HC209" s="1056"/>
      <c r="HD209" s="1056"/>
      <c r="HE209" s="1056"/>
      <c r="HF209" s="1056"/>
      <c r="HG209" s="1056"/>
      <c r="HH209" s="1056"/>
      <c r="HI209" s="1056"/>
      <c r="HJ209" s="1056"/>
      <c r="HK209" s="1056"/>
      <c r="HL209" s="1056"/>
      <c r="HM209" s="1056"/>
      <c r="HN209" s="1056"/>
      <c r="HO209" s="1056"/>
      <c r="HP209" s="1056"/>
      <c r="HQ209" s="1056"/>
      <c r="HR209" s="1056"/>
      <c r="HS209" s="1056"/>
      <c r="HT209" s="1056"/>
      <c r="HU209" s="1056"/>
      <c r="HV209" s="1056"/>
      <c r="HW209" s="1056"/>
      <c r="HX209" s="1056"/>
      <c r="HY209" s="1056"/>
      <c r="HZ209" s="1056"/>
      <c r="IA209" s="1056"/>
      <c r="IB209" s="1056"/>
      <c r="IC209" s="1056"/>
      <c r="ID209" s="1056"/>
      <c r="IE209" s="1056"/>
      <c r="IF209" s="1056"/>
      <c r="IG209" s="1056"/>
      <c r="IH209" s="1056"/>
      <c r="II209" s="1056"/>
      <c r="IJ209" s="1056"/>
      <c r="IK209" s="1056"/>
      <c r="IL209" s="1056"/>
      <c r="IM209" s="1056"/>
      <c r="IN209" s="1056"/>
      <c r="IO209" s="1056"/>
      <c r="IP209" s="1056"/>
      <c r="IQ209" s="1056"/>
      <c r="IR209" s="1056"/>
      <c r="IS209" s="1056"/>
      <c r="IT209" s="1056"/>
      <c r="IU209" s="1056"/>
      <c r="IV209" s="1056"/>
      <c r="IW209" s="1056"/>
      <c r="IX209" s="1056"/>
      <c r="IY209" s="1056"/>
      <c r="IZ209" s="1056"/>
      <c r="JA209" s="1056"/>
      <c r="JB209" s="1056"/>
      <c r="JC209" s="1056"/>
      <c r="JD209" s="1056"/>
      <c r="JE209" s="1056"/>
      <c r="JF209" s="1056"/>
      <c r="JG209" s="1056"/>
      <c r="JH209" s="1056"/>
      <c r="JI209" s="1056"/>
      <c r="JJ209" s="1056"/>
      <c r="JK209" s="1056"/>
      <c r="JL209" s="1056"/>
      <c r="JM209" s="1056"/>
      <c r="JN209" s="1056"/>
      <c r="JO209" s="1056"/>
      <c r="JP209" s="1056"/>
      <c r="JQ209" s="1056"/>
      <c r="JR209" s="1056"/>
      <c r="JS209" s="1056"/>
      <c r="JT209" s="1056"/>
      <c r="JU209" s="1056"/>
      <c r="JV209" s="1056"/>
      <c r="JW209" s="1056"/>
      <c r="JX209" s="1056"/>
      <c r="JY209" s="1056"/>
      <c r="JZ209" s="1056"/>
      <c r="KA209" s="1056"/>
      <c r="KB209" s="1056"/>
      <c r="KC209" s="1056"/>
      <c r="KD209" s="1056"/>
      <c r="KE209" s="1056"/>
      <c r="KF209" s="1056"/>
      <c r="KG209" s="1056"/>
      <c r="KH209" s="1056"/>
      <c r="KI209" s="1056"/>
      <c r="KJ209" s="1056"/>
      <c r="KK209" s="1056"/>
      <c r="KL209" s="1056"/>
      <c r="KM209" s="1056"/>
      <c r="KN209" s="1056"/>
      <c r="KO209" s="1056"/>
      <c r="KP209" s="1056"/>
      <c r="KQ209" s="1056"/>
      <c r="KR209" s="1056"/>
      <c r="KS209" s="1056"/>
      <c r="KT209" s="1056"/>
      <c r="KU209" s="1056"/>
      <c r="KV209" s="1056"/>
      <c r="KW209" s="1056"/>
      <c r="KX209" s="1056"/>
      <c r="KY209" s="1056"/>
      <c r="KZ209" s="1056"/>
      <c r="LA209" s="1056"/>
      <c r="LB209" s="1056"/>
      <c r="LC209" s="1056"/>
      <c r="LD209" s="1056"/>
      <c r="LE209" s="1056"/>
      <c r="LF209" s="1056"/>
      <c r="LG209" s="1056"/>
      <c r="LH209" s="1056"/>
      <c r="LI209" s="1056"/>
      <c r="LJ209" s="1056"/>
      <c r="LK209" s="1056"/>
      <c r="LL209" s="1056"/>
      <c r="LM209" s="1056"/>
      <c r="LN209" s="1056"/>
      <c r="LO209" s="1056"/>
      <c r="LP209" s="1056"/>
      <c r="LQ209" s="1056"/>
      <c r="LR209" s="1056"/>
      <c r="LS209" s="1056"/>
      <c r="LT209" s="1056"/>
      <c r="LU209" s="1056"/>
      <c r="LV209" s="1056"/>
      <c r="LW209" s="1056"/>
      <c r="LX209" s="1056"/>
      <c r="LY209" s="1056"/>
      <c r="LZ209" s="1056"/>
      <c r="MA209" s="1056"/>
      <c r="MB209" s="1056"/>
      <c r="MC209" s="1056"/>
      <c r="MD209" s="1056"/>
      <c r="ME209" s="1056"/>
      <c r="MF209" s="1056"/>
      <c r="MG209" s="1056"/>
      <c r="MH209" s="1056"/>
      <c r="MI209" s="1056"/>
      <c r="MJ209" s="1056"/>
      <c r="MK209" s="1056"/>
      <c r="ML209" s="1056"/>
      <c r="MM209" s="1056"/>
      <c r="MN209" s="1056"/>
      <c r="MO209" s="1056"/>
      <c r="MP209" s="1056"/>
      <c r="MQ209" s="1056"/>
      <c r="MR209" s="1056"/>
      <c r="MS209" s="1056"/>
      <c r="MT209" s="1056"/>
      <c r="MU209" s="1056"/>
      <c r="MV209" s="1056"/>
      <c r="MW209" s="1056"/>
      <c r="MX209" s="1056"/>
      <c r="MY209" s="1056"/>
      <c r="MZ209" s="1056"/>
      <c r="NA209" s="1056"/>
      <c r="NB209" s="1056"/>
      <c r="NC209" s="1056"/>
      <c r="ND209" s="1056"/>
      <c r="NE209" s="1056"/>
      <c r="NF209" s="1056"/>
      <c r="NG209" s="1056"/>
      <c r="NH209" s="1056"/>
      <c r="NI209" s="1056"/>
      <c r="NJ209" s="1056"/>
      <c r="NK209" s="1056"/>
      <c r="NL209" s="1056"/>
      <c r="NM209" s="1056"/>
      <c r="NN209" s="1056"/>
      <c r="NO209" s="1056"/>
      <c r="NP209" s="1056"/>
      <c r="NQ209" s="1056"/>
      <c r="NR209" s="1056"/>
      <c r="NS209" s="1056"/>
      <c r="NT209" s="1056"/>
      <c r="NU209" s="1056"/>
      <c r="NV209" s="1056"/>
      <c r="NW209" s="1056"/>
      <c r="NX209" s="1056"/>
      <c r="NY209" s="1056"/>
      <c r="NZ209" s="1056"/>
      <c r="OA209" s="1056"/>
      <c r="OB209" s="1056"/>
      <c r="OC209" s="1056"/>
      <c r="OD209" s="1056"/>
      <c r="OE209" s="1056"/>
      <c r="OF209" s="1056"/>
      <c r="OG209" s="1056"/>
      <c r="OH209" s="1056"/>
      <c r="OI209" s="1056"/>
      <c r="OJ209" s="1056"/>
      <c r="OK209" s="1056"/>
      <c r="OL209" s="1056"/>
      <c r="OM209" s="1056"/>
      <c r="ON209" s="1056"/>
      <c r="OO209" s="1056"/>
      <c r="OP209" s="1056"/>
      <c r="OQ209" s="1056"/>
      <c r="OR209" s="1056"/>
      <c r="OS209" s="1056"/>
      <c r="OT209" s="1056"/>
      <c r="OU209" s="1056"/>
      <c r="OV209" s="1056"/>
      <c r="OW209" s="1056"/>
      <c r="OX209" s="1056"/>
      <c r="OY209" s="1056"/>
      <c r="OZ209" s="1056"/>
      <c r="PA209" s="1056"/>
      <c r="PB209" s="1056"/>
      <c r="PC209" s="1056"/>
      <c r="PD209" s="1056"/>
      <c r="PE209" s="1056"/>
      <c r="PF209" s="1056"/>
      <c r="PG209" s="1056"/>
      <c r="PH209" s="1056"/>
      <c r="PI209" s="1056"/>
      <c r="PJ209" s="1056"/>
      <c r="PK209" s="1056"/>
      <c r="PL209" s="1056"/>
      <c r="PM209" s="1056"/>
      <c r="PN209" s="1056"/>
      <c r="PO209" s="1056"/>
      <c r="PP209" s="1056"/>
      <c r="PQ209" s="1056"/>
      <c r="PR209" s="1056"/>
      <c r="PS209" s="1056"/>
      <c r="PT209" s="1056"/>
      <c r="PU209" s="1056"/>
      <c r="PV209" s="1056"/>
      <c r="PW209" s="1056"/>
      <c r="PX209" s="1056"/>
      <c r="PY209" s="1056"/>
      <c r="PZ209" s="1056"/>
      <c r="QA209" s="1056"/>
      <c r="QB209" s="1056"/>
      <c r="QC209" s="1056"/>
      <c r="QD209" s="1056"/>
      <c r="QE209" s="1056"/>
      <c r="QF209" s="1056"/>
      <c r="QG209" s="1056"/>
      <c r="QH209" s="1056"/>
      <c r="QI209" s="1056"/>
      <c r="QJ209" s="1056"/>
      <c r="QK209" s="1056"/>
      <c r="QL209" s="1056"/>
      <c r="QM209" s="1056"/>
      <c r="QN209" s="1056"/>
      <c r="QO209" s="1056"/>
      <c r="QP209" s="1056"/>
      <c r="QQ209" s="1056"/>
      <c r="QR209" s="1056"/>
      <c r="QS209" s="1056"/>
      <c r="QT209" s="1056"/>
      <c r="QU209" s="1056"/>
      <c r="QV209" s="1056"/>
      <c r="QW209" s="1056"/>
      <c r="QX209" s="1056"/>
      <c r="QY209" s="1056"/>
      <c r="QZ209" s="1056"/>
      <c r="RA209" s="1056"/>
      <c r="RB209" s="1056"/>
      <c r="RC209" s="1056"/>
      <c r="RD209" s="1056"/>
      <c r="RE209" s="1056"/>
      <c r="RF209" s="1056"/>
      <c r="RG209" s="1056"/>
      <c r="RH209" s="1056"/>
      <c r="RI209" s="1056"/>
      <c r="RJ209" s="1056"/>
      <c r="RK209" s="1056"/>
      <c r="RL209" s="1056"/>
      <c r="RM209" s="1056"/>
      <c r="RN209" s="1056"/>
      <c r="RO209" s="1056"/>
      <c r="RP209" s="1056"/>
      <c r="RQ209" s="1056"/>
      <c r="RR209" s="1056"/>
      <c r="RS209" s="1056"/>
      <c r="RT209" s="1056"/>
      <c r="RU209" s="1056"/>
      <c r="RV209" s="1056"/>
      <c r="RW209" s="1056"/>
      <c r="RX209" s="1056"/>
      <c r="RY209" s="1056"/>
      <c r="RZ209" s="1056"/>
      <c r="SA209" s="1056"/>
      <c r="SB209" s="1056"/>
      <c r="SC209" s="1056"/>
      <c r="SD209" s="1056"/>
      <c r="SE209" s="1056"/>
      <c r="SF209" s="1056"/>
      <c r="SG209" s="1056"/>
      <c r="SH209" s="1056"/>
      <c r="SI209" s="1056"/>
      <c r="SJ209" s="1056"/>
      <c r="SK209" s="1056"/>
      <c r="SL209" s="1056"/>
      <c r="SM209" s="1056"/>
      <c r="SN209" s="1056"/>
      <c r="SO209" s="1056"/>
      <c r="SP209" s="1056"/>
      <c r="SQ209" s="1056"/>
      <c r="SR209" s="1056"/>
      <c r="SS209" s="1056"/>
      <c r="ST209" s="1056"/>
      <c r="SU209" s="1056"/>
      <c r="SV209" s="1056"/>
      <c r="SW209" s="1056"/>
      <c r="SX209" s="1056"/>
      <c r="SY209" s="1056"/>
      <c r="SZ209" s="1056"/>
      <c r="TA209" s="1056"/>
      <c r="TB209" s="1056"/>
      <c r="TC209" s="1056"/>
      <c r="TD209" s="1056"/>
      <c r="TE209" s="1056"/>
      <c r="TF209" s="1056"/>
      <c r="TG209" s="1056"/>
      <c r="TH209" s="1056"/>
      <c r="TI209" s="1056"/>
      <c r="TJ209" s="1056"/>
      <c r="TK209" s="1056"/>
      <c r="TL209" s="1056"/>
      <c r="TM209" s="1056"/>
      <c r="TN209" s="1056"/>
      <c r="TO209" s="1056"/>
      <c r="TP209" s="1056"/>
      <c r="TQ209" s="1056"/>
      <c r="TR209" s="1056"/>
      <c r="TS209" s="1056"/>
      <c r="TT209" s="1056"/>
      <c r="TU209" s="1056"/>
      <c r="TV209" s="1056"/>
      <c r="TW209" s="1056"/>
      <c r="TX209" s="1056"/>
      <c r="TY209" s="1056"/>
      <c r="TZ209" s="1056"/>
      <c r="UA209" s="1056"/>
      <c r="UB209" s="1056"/>
      <c r="UC209" s="1056"/>
      <c r="UD209" s="1056"/>
      <c r="UE209" s="1056"/>
      <c r="UF209" s="1056"/>
      <c r="UG209" s="1056"/>
      <c r="UH209" s="1056"/>
      <c r="UI209" s="1056"/>
      <c r="UJ209" s="1056"/>
      <c r="UK209" s="1056"/>
      <c r="UL209" s="1056"/>
      <c r="UM209" s="1056"/>
      <c r="UN209" s="1056"/>
      <c r="UO209" s="1056"/>
      <c r="UP209" s="1056"/>
      <c r="UQ209" s="1056"/>
      <c r="UR209" s="1056"/>
      <c r="US209" s="1056"/>
      <c r="UT209" s="1056"/>
      <c r="UU209" s="1056"/>
      <c r="UV209" s="1056"/>
      <c r="UW209" s="1056"/>
      <c r="UX209" s="1056"/>
      <c r="UY209" s="1056"/>
      <c r="UZ209" s="1056"/>
      <c r="VA209" s="1056"/>
      <c r="VB209" s="1056"/>
      <c r="VC209" s="1056"/>
      <c r="VD209" s="1056"/>
      <c r="VE209" s="1056"/>
      <c r="VF209" s="1056"/>
      <c r="VG209" s="1056"/>
      <c r="VH209" s="1056"/>
      <c r="VI209" s="1056"/>
      <c r="VJ209" s="1056"/>
      <c r="VK209" s="1056"/>
      <c r="VL209" s="1056"/>
      <c r="VM209" s="1056"/>
      <c r="VN209" s="1056"/>
      <c r="VO209" s="1056"/>
      <c r="VP209" s="1056"/>
      <c r="VQ209" s="1056"/>
      <c r="VR209" s="1056"/>
      <c r="VS209" s="1056"/>
      <c r="VT209" s="1056"/>
      <c r="VU209" s="1056"/>
      <c r="VV209" s="1056"/>
      <c r="VW209" s="1056"/>
      <c r="VX209" s="1056"/>
      <c r="VY209" s="1056"/>
      <c r="VZ209" s="1056"/>
      <c r="WA209" s="1056"/>
      <c r="WB209" s="1056"/>
      <c r="WC209" s="1056"/>
      <c r="WD209" s="1056"/>
      <c r="WE209" s="1056"/>
      <c r="WF209" s="1056"/>
      <c r="WG209" s="1056"/>
      <c r="WH209" s="1056"/>
      <c r="WI209" s="1056"/>
      <c r="WJ209" s="1056"/>
      <c r="WK209" s="1056"/>
      <c r="WL209" s="1056"/>
      <c r="WM209" s="1056"/>
      <c r="WN209" s="1056"/>
      <c r="WO209" s="1056"/>
      <c r="WP209" s="1056"/>
      <c r="WQ209" s="1056"/>
      <c r="WR209" s="1056"/>
      <c r="WS209" s="1056"/>
      <c r="WT209" s="1056"/>
      <c r="WU209" s="1056"/>
      <c r="WV209" s="1056"/>
      <c r="WW209" s="1056"/>
      <c r="WX209" s="1056"/>
      <c r="WY209" s="1056"/>
      <c r="WZ209" s="1056"/>
      <c r="XA209" s="1056"/>
      <c r="XB209" s="1056"/>
      <c r="XC209" s="1056"/>
      <c r="XD209" s="1056"/>
      <c r="XE209" s="1056"/>
      <c r="XF209" s="1056"/>
      <c r="XG209" s="1056"/>
      <c r="XH209" s="1056"/>
      <c r="XI209" s="1056"/>
      <c r="XJ209" s="1056"/>
      <c r="XK209" s="1056"/>
      <c r="XL209" s="1056"/>
      <c r="XM209" s="1056"/>
      <c r="XN209" s="1056"/>
      <c r="XO209" s="1056"/>
      <c r="XP209" s="1056"/>
      <c r="XQ209" s="1056"/>
      <c r="XR209" s="1056"/>
      <c r="XS209" s="1056"/>
      <c r="XT209" s="1056"/>
      <c r="XU209" s="1056"/>
      <c r="XV209" s="1056"/>
      <c r="XW209" s="1056"/>
      <c r="XX209" s="1056"/>
      <c r="XY209" s="1056"/>
      <c r="XZ209" s="1056"/>
      <c r="YA209" s="1056"/>
      <c r="YB209" s="1056"/>
      <c r="YC209" s="1056"/>
      <c r="YD209" s="1056"/>
      <c r="YE209" s="1056"/>
      <c r="YF209" s="1056"/>
      <c r="YG209" s="1056"/>
      <c r="YH209" s="1056"/>
      <c r="YI209" s="1056"/>
      <c r="YJ209" s="1056"/>
      <c r="YK209" s="1056"/>
      <c r="YL209" s="1056"/>
      <c r="YM209" s="1056"/>
      <c r="YN209" s="1056"/>
      <c r="YO209" s="1056"/>
      <c r="YP209" s="1056"/>
      <c r="YQ209" s="1056"/>
      <c r="YR209" s="1056"/>
      <c r="YS209" s="1056"/>
      <c r="YT209" s="1056"/>
      <c r="YU209" s="1056"/>
      <c r="YV209" s="1056"/>
      <c r="YW209" s="1056"/>
      <c r="YX209" s="1056"/>
      <c r="YY209" s="1056"/>
      <c r="YZ209" s="1056"/>
      <c r="ZA209" s="1056"/>
      <c r="ZB209" s="1056"/>
      <c r="ZC209" s="1056"/>
      <c r="ZD209" s="1056"/>
      <c r="ZE209" s="1056"/>
      <c r="ZF209" s="1056"/>
      <c r="ZG209" s="1056"/>
      <c r="ZH209" s="1056"/>
      <c r="ZI209" s="1056"/>
      <c r="ZJ209" s="1056"/>
      <c r="ZK209" s="1056"/>
      <c r="ZL209" s="1056"/>
      <c r="ZM209" s="1056"/>
      <c r="ZN209" s="1056"/>
      <c r="ZO209" s="1056"/>
      <c r="ZP209" s="1056"/>
      <c r="ZQ209" s="1056"/>
      <c r="ZR209" s="1056"/>
      <c r="ZS209" s="1056"/>
      <c r="ZT209" s="1056"/>
      <c r="ZU209" s="1056"/>
      <c r="ZV209" s="1056"/>
      <c r="ZW209" s="1056"/>
      <c r="ZX209" s="1056"/>
      <c r="ZY209" s="1056"/>
      <c r="ZZ209" s="1056"/>
      <c r="AAA209" s="1056"/>
      <c r="AAB209" s="1056"/>
      <c r="AAC209" s="1056"/>
      <c r="AAD209" s="1056"/>
      <c r="AAE209" s="1056"/>
      <c r="AAF209" s="1056"/>
      <c r="AAG209" s="1056"/>
      <c r="AAH209" s="1056"/>
      <c r="AAI209" s="1056"/>
      <c r="AAJ209" s="1056"/>
      <c r="AAK209" s="1056"/>
      <c r="AAL209" s="1056"/>
      <c r="AAM209" s="1056"/>
      <c r="AAN209" s="1056"/>
      <c r="AAO209" s="1056"/>
      <c r="AAP209" s="1056"/>
      <c r="AAQ209" s="1056"/>
      <c r="AAR209" s="1056"/>
      <c r="AAS209" s="1056"/>
      <c r="AAT209" s="1056"/>
      <c r="AAU209" s="1056"/>
      <c r="AAV209" s="1056"/>
      <c r="AAW209" s="1056"/>
      <c r="AAX209" s="1056"/>
      <c r="AAY209" s="1056"/>
      <c r="AAZ209" s="1056"/>
      <c r="ABA209" s="1056"/>
      <c r="ABB209" s="1056"/>
      <c r="ABC209" s="1056"/>
      <c r="ABD209" s="1056"/>
      <c r="ABE209" s="1056"/>
      <c r="ABF209" s="1056"/>
      <c r="ABG209" s="1056"/>
      <c r="ABH209" s="1056"/>
      <c r="ABI209" s="1056"/>
      <c r="ABJ209" s="1056"/>
      <c r="ABK209" s="1056"/>
      <c r="ABL209" s="1056"/>
      <c r="ABM209" s="1056"/>
      <c r="ABN209" s="1056"/>
      <c r="ABO209" s="1056"/>
      <c r="ABP209" s="1056"/>
      <c r="ABQ209" s="1056"/>
      <c r="ABR209" s="1056"/>
      <c r="ABS209" s="1056"/>
      <c r="ABT209" s="1056"/>
      <c r="ABU209" s="1056"/>
      <c r="ABV209" s="1056"/>
      <c r="ABW209" s="1056"/>
      <c r="ABX209" s="1056"/>
      <c r="ABY209" s="1056"/>
      <c r="ABZ209" s="1056"/>
      <c r="ACA209" s="1056"/>
      <c r="ACB209" s="1056"/>
      <c r="ACC209" s="1056"/>
      <c r="ACD209" s="1056"/>
      <c r="ACE209" s="1056"/>
      <c r="ACF209" s="1056"/>
      <c r="ACG209" s="1056"/>
      <c r="ACH209" s="1056"/>
      <c r="ACI209" s="1056"/>
      <c r="ACJ209" s="1056"/>
      <c r="ACK209" s="1056"/>
      <c r="ACL209" s="1056"/>
      <c r="ACM209" s="1056"/>
      <c r="ACN209" s="1056"/>
      <c r="ACO209" s="1056"/>
      <c r="ACP209" s="1056"/>
      <c r="ACQ209" s="1056"/>
      <c r="ACR209" s="1056"/>
      <c r="ACS209" s="1056"/>
      <c r="ACT209" s="1056"/>
      <c r="ACU209" s="1056"/>
      <c r="ACV209" s="1056"/>
      <c r="ACW209" s="1056"/>
      <c r="ACX209" s="1056"/>
      <c r="ACY209" s="1056"/>
      <c r="ACZ209" s="1056"/>
      <c r="ADA209" s="1056"/>
      <c r="ADB209" s="1056"/>
      <c r="ADC209" s="1056"/>
      <c r="ADD209" s="1056"/>
      <c r="ADE209" s="1056"/>
      <c r="ADF209" s="1056"/>
      <c r="ADG209" s="1056"/>
      <c r="ADH209" s="1056"/>
      <c r="ADI209" s="1056"/>
      <c r="ADJ209" s="1056"/>
      <c r="ADK209" s="1056"/>
      <c r="ADL209" s="1056"/>
      <c r="ADM209" s="1056"/>
      <c r="ADN209" s="1056"/>
      <c r="ADO209" s="1056"/>
      <c r="ADP209" s="1056"/>
      <c r="ADQ209" s="1056"/>
      <c r="ADR209" s="1056"/>
      <c r="ADS209" s="1056"/>
      <c r="ADT209" s="1056"/>
      <c r="ADU209" s="1056"/>
      <c r="ADV209" s="1056"/>
      <c r="ADW209" s="1056"/>
      <c r="ADX209" s="1056"/>
      <c r="ADY209" s="1056"/>
      <c r="ADZ209" s="1056"/>
      <c r="AEA209" s="1056"/>
      <c r="AEB209" s="1056"/>
      <c r="AEC209" s="1056"/>
      <c r="AED209" s="1056"/>
      <c r="AEE209" s="1056"/>
      <c r="AEF209" s="1056"/>
      <c r="AEG209" s="1056"/>
      <c r="AEH209" s="1056"/>
      <c r="AEI209" s="1056"/>
      <c r="AEJ209" s="1056"/>
      <c r="AEK209" s="1056"/>
      <c r="AEL209" s="1056"/>
      <c r="AEM209" s="1056"/>
      <c r="AEN209" s="1056"/>
      <c r="AEO209" s="1056"/>
      <c r="AEP209" s="1056"/>
      <c r="AEQ209" s="1056"/>
      <c r="AER209" s="1056"/>
      <c r="AES209" s="1056"/>
      <c r="AET209" s="1056"/>
      <c r="AEU209" s="1056"/>
      <c r="AEV209" s="1056"/>
      <c r="AEW209" s="1056"/>
      <c r="AEX209" s="1056"/>
      <c r="AEY209" s="1056"/>
      <c r="AEZ209" s="1056"/>
      <c r="AFA209" s="1056"/>
      <c r="AFB209" s="1056"/>
      <c r="AFC209" s="1056"/>
      <c r="AFD209" s="1056"/>
      <c r="AFE209" s="1056"/>
      <c r="AFF209" s="1056"/>
      <c r="AFG209" s="1056"/>
      <c r="AFH209" s="1056"/>
      <c r="AFI209" s="1056"/>
      <c r="AFJ209" s="1056"/>
      <c r="AFK209" s="1056"/>
      <c r="AFL209" s="1056"/>
      <c r="AFM209" s="1056"/>
      <c r="AFN209" s="1056"/>
      <c r="AFO209" s="1056"/>
      <c r="AFP209" s="1056"/>
      <c r="AFQ209" s="1056"/>
      <c r="AFR209" s="1056"/>
      <c r="AFS209" s="1056"/>
      <c r="AFT209" s="1056"/>
      <c r="AFU209" s="1056"/>
      <c r="AFV209" s="1056"/>
      <c r="AFW209" s="1056"/>
      <c r="AFX209" s="1056"/>
      <c r="AFY209" s="1056"/>
      <c r="AFZ209" s="1056"/>
      <c r="AGA209" s="1056"/>
      <c r="AGB209" s="1056"/>
      <c r="AGC209" s="1056"/>
      <c r="AGD209" s="1056"/>
      <c r="AGE209" s="1056"/>
      <c r="AGF209" s="1056"/>
      <c r="AGG209" s="1056"/>
      <c r="AGH209" s="1056"/>
      <c r="AGI209" s="1056"/>
      <c r="AGJ209" s="1056"/>
      <c r="AGK209" s="1056"/>
      <c r="AGL209" s="1056"/>
      <c r="AGM209" s="1056"/>
      <c r="AGN209" s="1056"/>
      <c r="AGO209" s="1056"/>
      <c r="AGP209" s="1056"/>
      <c r="AGQ209" s="1056"/>
      <c r="AGR209" s="1056"/>
      <c r="AGS209" s="1056"/>
      <c r="AGT209" s="1056"/>
      <c r="AGU209" s="1056"/>
      <c r="AGV209" s="1056"/>
      <c r="AGW209" s="1056"/>
      <c r="AGX209" s="1056"/>
      <c r="AGY209" s="1056"/>
      <c r="AGZ209" s="1056"/>
      <c r="AHA209" s="1056"/>
      <c r="AHB209" s="1056"/>
      <c r="AHC209" s="1056"/>
      <c r="AHD209" s="1056"/>
      <c r="AHE209" s="1056"/>
      <c r="AHF209" s="1056"/>
      <c r="AHG209" s="1056"/>
      <c r="AHH209" s="1056"/>
      <c r="AHI209" s="1056"/>
      <c r="AHJ209" s="1056"/>
      <c r="AHK209" s="1056"/>
      <c r="AHL209" s="1056"/>
      <c r="AHM209" s="1056"/>
      <c r="AHN209" s="1056"/>
      <c r="AHO209" s="1056"/>
      <c r="AHP209" s="1056"/>
      <c r="AHQ209" s="1056"/>
      <c r="AHR209" s="1056"/>
      <c r="AHS209" s="1056"/>
      <c r="AHT209" s="1056"/>
      <c r="AHU209" s="1056"/>
      <c r="AHV209" s="1056"/>
      <c r="AHW209" s="1056"/>
      <c r="AHX209" s="1056"/>
      <c r="AHY209" s="1056"/>
      <c r="AHZ209" s="1056"/>
      <c r="AIA209" s="1056"/>
      <c r="AIB209" s="1056"/>
      <c r="AIC209" s="1056"/>
      <c r="AID209" s="1056"/>
      <c r="AIE209" s="1056"/>
      <c r="AIF209" s="1056"/>
      <c r="AIG209" s="1056"/>
      <c r="AIH209" s="1056"/>
      <c r="AII209" s="1056"/>
      <c r="AIJ209" s="1056"/>
      <c r="AIK209" s="1056"/>
      <c r="AIL209" s="1056"/>
      <c r="AIM209" s="1056"/>
      <c r="AIN209" s="1056"/>
      <c r="AIO209" s="1056"/>
      <c r="AIP209" s="1056"/>
      <c r="AIQ209" s="1056"/>
      <c r="AIR209" s="1056"/>
      <c r="AIS209" s="1056"/>
      <c r="AIT209" s="1056"/>
      <c r="AIU209" s="1056"/>
      <c r="AIV209" s="1056"/>
      <c r="AIW209" s="1056"/>
      <c r="AIX209" s="1056"/>
      <c r="AIY209" s="1056"/>
      <c r="AIZ209" s="1056"/>
      <c r="AJA209" s="1056"/>
      <c r="AJB209" s="1056"/>
      <c r="AJC209" s="1056"/>
      <c r="AJD209" s="1056"/>
      <c r="AJE209" s="1056"/>
      <c r="AJF209" s="1056"/>
      <c r="AJG209" s="1056"/>
      <c r="AJH209" s="1056"/>
      <c r="AJI209" s="1056"/>
      <c r="AJJ209" s="1056"/>
      <c r="AJK209" s="1056"/>
      <c r="AJL209" s="1056"/>
      <c r="AJM209" s="1056"/>
      <c r="AJN209" s="1056"/>
      <c r="AJO209" s="1056"/>
      <c r="AJP209" s="1056"/>
      <c r="AJQ209" s="1056"/>
      <c r="AJR209" s="1056"/>
      <c r="AJS209" s="1056"/>
      <c r="AJT209" s="1056"/>
      <c r="AJU209" s="1056"/>
      <c r="AJV209" s="1056"/>
      <c r="AJW209" s="1056"/>
      <c r="AJX209" s="1056"/>
      <c r="AJY209" s="1056"/>
      <c r="AJZ209" s="1056"/>
      <c r="AKA209" s="1056"/>
      <c r="AKB209" s="1056"/>
      <c r="AKC209" s="1056"/>
      <c r="AKD209" s="1056"/>
      <c r="AKE209" s="1056"/>
      <c r="AKF209" s="1056"/>
      <c r="AKG209" s="1056"/>
      <c r="AKH209" s="1056"/>
      <c r="AKI209" s="1056"/>
      <c r="AKJ209" s="1056"/>
      <c r="AKK209" s="1056"/>
      <c r="AKL209" s="1056"/>
      <c r="AKM209" s="1056"/>
      <c r="AKN209" s="1056"/>
      <c r="AKO209" s="1056"/>
      <c r="AKP209" s="1056"/>
      <c r="AKQ209" s="1056"/>
      <c r="AKR209" s="1056"/>
      <c r="AKS209" s="1056"/>
      <c r="AKT209" s="1056"/>
      <c r="AKU209" s="1056"/>
      <c r="AKV209" s="1056"/>
      <c r="AKW209" s="1056"/>
      <c r="AKX209" s="1056"/>
      <c r="AKY209" s="1056"/>
      <c r="AKZ209" s="1056"/>
      <c r="ALA209" s="1056"/>
      <c r="ALB209" s="1056"/>
      <c r="ALC209" s="1056"/>
      <c r="ALD209" s="1056"/>
      <c r="ALE209" s="1056"/>
      <c r="ALF209" s="1056"/>
      <c r="ALG209" s="1056"/>
      <c r="ALH209" s="1056"/>
      <c r="ALI209" s="1056"/>
      <c r="ALJ209" s="1056"/>
      <c r="ALK209" s="1056"/>
      <c r="ALL209" s="1056"/>
      <c r="ALM209" s="1056"/>
      <c r="ALN209" s="1056"/>
      <c r="ALO209" s="1056"/>
      <c r="ALP209" s="1056"/>
      <c r="ALQ209" s="1056"/>
      <c r="ALR209" s="1056"/>
      <c r="ALS209" s="1056"/>
      <c r="ALT209" s="1056"/>
      <c r="ALU209" s="1056"/>
      <c r="ALV209" s="1056"/>
      <c r="ALW209" s="1056"/>
      <c r="ALX209" s="1056"/>
      <c r="ALY209" s="1056"/>
      <c r="ALZ209" s="1056"/>
      <c r="AMA209" s="1056"/>
      <c r="AMB209" s="1056"/>
      <c r="AMC209" s="1056"/>
      <c r="AMD209" s="1056"/>
      <c r="AME209" s="1056"/>
      <c r="AMF209" s="1056"/>
      <c r="AMG209" s="1056"/>
      <c r="AMH209" s="1056"/>
      <c r="AMI209" s="1056"/>
      <c r="AMJ209" s="1056"/>
      <c r="AMK209" s="1056"/>
      <c r="AML209" s="1056"/>
      <c r="AMM209" s="1056"/>
      <c r="AMN209" s="1056"/>
      <c r="AMO209" s="1056"/>
      <c r="AMP209" s="1056"/>
      <c r="AMQ209" s="1056"/>
      <c r="AMR209" s="1056"/>
      <c r="AMS209" s="1056"/>
      <c r="AMT209" s="1056"/>
      <c r="AMU209" s="1056"/>
      <c r="AMV209" s="1056"/>
      <c r="AMW209" s="1056"/>
      <c r="AMX209" s="1056"/>
      <c r="AMY209" s="1056"/>
      <c r="AMZ209" s="1056"/>
      <c r="ANA209" s="1056"/>
      <c r="ANB209" s="1056"/>
      <c r="ANC209" s="1056"/>
      <c r="AND209" s="1056"/>
      <c r="ANE209" s="1056"/>
      <c r="ANF209" s="1056"/>
      <c r="ANG209" s="1056"/>
      <c r="ANH209" s="1056"/>
      <c r="ANI209" s="1056"/>
      <c r="ANJ209" s="1056"/>
      <c r="ANK209" s="1056"/>
      <c r="ANL209" s="1056"/>
      <c r="ANM209" s="1056"/>
      <c r="ANN209" s="1056"/>
      <c r="ANO209" s="1056"/>
      <c r="ANP209" s="1056"/>
      <c r="ANQ209" s="1056"/>
      <c r="ANR209" s="1056"/>
      <c r="ANS209" s="1056"/>
      <c r="ANT209" s="1056"/>
      <c r="ANU209" s="1056"/>
      <c r="ANV209" s="1056"/>
      <c r="ANW209" s="1056"/>
      <c r="ANX209" s="1056"/>
      <c r="ANY209" s="1056"/>
      <c r="ANZ209" s="1056"/>
      <c r="AOA209" s="1056"/>
      <c r="AOB209" s="1056"/>
      <c r="AOC209" s="1056"/>
      <c r="AOD209" s="1056"/>
      <c r="AOE209" s="1056"/>
      <c r="AOF209" s="1056"/>
      <c r="AOG209" s="1056"/>
      <c r="AOH209" s="1056"/>
      <c r="AOI209" s="1056"/>
      <c r="AOJ209" s="1056"/>
      <c r="AOK209" s="1056"/>
      <c r="AOL209" s="1056"/>
      <c r="AOM209" s="1056"/>
      <c r="AON209" s="1056"/>
      <c r="AOO209" s="1056"/>
      <c r="AOP209" s="1056"/>
      <c r="AOQ209" s="1056"/>
      <c r="AOR209" s="1056"/>
      <c r="AOS209" s="1056"/>
      <c r="AOT209" s="1056"/>
      <c r="AOU209" s="1056"/>
      <c r="AOV209" s="1056"/>
      <c r="AOW209" s="1056"/>
      <c r="AOX209" s="1056"/>
      <c r="AOY209" s="1056"/>
      <c r="AOZ209" s="1056"/>
      <c r="APA209" s="1056"/>
      <c r="APB209" s="1056"/>
      <c r="APC209" s="1056"/>
      <c r="APD209" s="1056"/>
      <c r="APE209" s="1056"/>
      <c r="APF209" s="1056"/>
      <c r="APG209" s="1056"/>
      <c r="APH209" s="1056"/>
      <c r="API209" s="1056"/>
      <c r="APJ209" s="1056"/>
      <c r="APK209" s="1056"/>
      <c r="APL209" s="1056"/>
      <c r="APM209" s="1056"/>
      <c r="APN209" s="1056"/>
      <c r="APO209" s="1056"/>
      <c r="APP209" s="1056"/>
      <c r="APQ209" s="1056"/>
      <c r="APR209" s="1056"/>
      <c r="APS209" s="1056"/>
      <c r="APT209" s="1056"/>
      <c r="APU209" s="1056"/>
      <c r="APV209" s="1056"/>
      <c r="APW209" s="1056"/>
      <c r="APX209" s="1056"/>
      <c r="APY209" s="1056"/>
      <c r="APZ209" s="1056"/>
      <c r="AQA209" s="1056"/>
      <c r="AQB209" s="1056"/>
      <c r="AQC209" s="1056"/>
      <c r="AQD209" s="1056"/>
      <c r="AQE209" s="1056"/>
      <c r="AQF209" s="1056"/>
      <c r="AQG209" s="1056"/>
      <c r="AQH209" s="1056"/>
      <c r="AQI209" s="1056"/>
      <c r="AQJ209" s="1056"/>
      <c r="AQK209" s="1056"/>
      <c r="AQL209" s="1056"/>
      <c r="AQM209" s="1056"/>
      <c r="AQN209" s="1056"/>
      <c r="AQO209" s="1056"/>
      <c r="AQP209" s="1056"/>
      <c r="AQQ209" s="1056"/>
      <c r="AQR209" s="1056"/>
      <c r="AQS209" s="1056"/>
      <c r="AQT209" s="1056"/>
      <c r="AQU209" s="1056"/>
      <c r="AQV209" s="1056"/>
      <c r="AQW209" s="1056"/>
      <c r="AQX209" s="1056"/>
      <c r="AQY209" s="1056"/>
      <c r="AQZ209" s="1056"/>
      <c r="ARA209" s="1056"/>
      <c r="ARB209" s="1056"/>
      <c r="ARC209" s="1056"/>
      <c r="ARD209" s="1056"/>
      <c r="ARE209" s="1056"/>
      <c r="ARF209" s="1056"/>
      <c r="ARG209" s="1056"/>
      <c r="ARH209" s="1056"/>
      <c r="ARI209" s="1056"/>
      <c r="ARJ209" s="1056"/>
      <c r="ARK209" s="1056"/>
      <c r="ARL209" s="1056"/>
      <c r="ARM209" s="1056"/>
      <c r="ARN209" s="1056"/>
      <c r="ARO209" s="1056"/>
      <c r="ARP209" s="1056"/>
      <c r="ARQ209" s="1056"/>
      <c r="ARR209" s="1056"/>
      <c r="ARS209" s="1056"/>
      <c r="ART209" s="1056"/>
      <c r="ARU209" s="1056"/>
      <c r="ARV209" s="1056"/>
      <c r="ARW209" s="1056"/>
      <c r="ARX209" s="1056"/>
      <c r="ARY209" s="1056"/>
      <c r="ARZ209" s="1056"/>
      <c r="ASA209" s="1056"/>
      <c r="ASB209" s="1056"/>
      <c r="ASC209" s="1056"/>
      <c r="ASD209" s="1056"/>
      <c r="ASE209" s="1056"/>
      <c r="ASF209" s="1056"/>
      <c r="ASG209" s="1056"/>
      <c r="ASH209" s="1056"/>
      <c r="ASI209" s="1056"/>
      <c r="ASJ209" s="1056"/>
      <c r="ASK209" s="1056"/>
      <c r="ASL209" s="1056"/>
      <c r="ASM209" s="1056"/>
      <c r="ASN209" s="1056"/>
      <c r="ASO209" s="1056"/>
      <c r="ASP209" s="1056"/>
      <c r="ASQ209" s="1056"/>
      <c r="ASR209" s="1056"/>
      <c r="ASS209" s="1056"/>
      <c r="AST209" s="1056"/>
      <c r="ASU209" s="1056"/>
      <c r="ASV209" s="1056"/>
      <c r="ASW209" s="1056"/>
      <c r="ASX209" s="1056"/>
      <c r="ASY209" s="1056"/>
      <c r="ASZ209" s="1056"/>
      <c r="ATA209" s="1056"/>
      <c r="ATB209" s="1056"/>
      <c r="ATC209" s="1056"/>
      <c r="ATD209" s="1056"/>
      <c r="ATE209" s="1056"/>
      <c r="ATF209" s="1056"/>
      <c r="ATG209" s="1056"/>
      <c r="ATH209" s="1056"/>
      <c r="ATI209" s="1056"/>
      <c r="ATJ209" s="1056"/>
      <c r="ATK209" s="1056"/>
      <c r="ATL209" s="1056"/>
      <c r="ATM209" s="1056"/>
      <c r="ATN209" s="1056"/>
      <c r="ATO209" s="1056"/>
      <c r="ATP209" s="1056"/>
      <c r="ATQ209" s="1056"/>
      <c r="ATR209" s="1056"/>
      <c r="ATS209" s="1056"/>
      <c r="ATT209" s="1056"/>
      <c r="ATU209" s="1056"/>
      <c r="ATV209" s="1056"/>
      <c r="ATW209" s="1056"/>
      <c r="ATX209" s="1056"/>
      <c r="ATY209" s="1056"/>
      <c r="ATZ209" s="1056"/>
      <c r="AUA209" s="1056"/>
      <c r="AUB209" s="1056"/>
      <c r="AUC209" s="1056"/>
      <c r="AUD209" s="1056"/>
      <c r="AUE209" s="1056"/>
      <c r="AUF209" s="1056"/>
      <c r="AUG209" s="1056"/>
      <c r="AUH209" s="1056"/>
      <c r="AUI209" s="1056"/>
      <c r="AUJ209" s="1056"/>
      <c r="AUK209" s="1056"/>
      <c r="AUL209" s="1056"/>
      <c r="AUM209" s="1056"/>
      <c r="AUN209" s="1056"/>
      <c r="AUO209" s="1056"/>
      <c r="AUP209" s="1056"/>
      <c r="AUQ209" s="1056"/>
      <c r="AUR209" s="1056"/>
      <c r="AUS209" s="1056"/>
      <c r="AUT209" s="1056"/>
      <c r="AUU209" s="1056"/>
      <c r="AUV209" s="1056"/>
      <c r="AUW209" s="1056"/>
      <c r="AUX209" s="1056"/>
      <c r="AUY209" s="1056"/>
      <c r="AUZ209" s="1056"/>
      <c r="AVA209" s="1056"/>
      <c r="AVB209" s="1056"/>
      <c r="AVC209" s="1056"/>
      <c r="AVD209" s="1056"/>
      <c r="AVE209" s="1056"/>
      <c r="AVF209" s="1056"/>
      <c r="AVG209" s="1056"/>
      <c r="AVH209" s="1056"/>
      <c r="AVI209" s="1056"/>
      <c r="AVJ209" s="1056"/>
      <c r="AVK209" s="1056"/>
      <c r="AVL209" s="1056"/>
      <c r="AVM209" s="1056"/>
      <c r="AVN209" s="1056"/>
      <c r="AVO209" s="1056"/>
      <c r="AVP209" s="1056"/>
      <c r="AVQ209" s="1056"/>
      <c r="AVR209" s="1056"/>
      <c r="AVS209" s="1056"/>
      <c r="AVT209" s="1056"/>
      <c r="AVU209" s="1056"/>
      <c r="AVV209" s="1056"/>
      <c r="AVW209" s="1056"/>
      <c r="AVX209" s="1056"/>
      <c r="AVY209" s="1056"/>
      <c r="AVZ209" s="1056"/>
      <c r="AWA209" s="1056"/>
      <c r="AWB209" s="1056"/>
      <c r="AWC209" s="1056"/>
      <c r="AWD209" s="1056"/>
      <c r="AWE209" s="1056"/>
      <c r="AWF209" s="1056"/>
      <c r="AWG209" s="1056"/>
      <c r="AWH209" s="1056"/>
      <c r="AWI209" s="1056"/>
      <c r="AWJ209" s="1056"/>
      <c r="AWK209" s="1056"/>
      <c r="AWL209" s="1056"/>
      <c r="AWM209" s="1056"/>
      <c r="AWN209" s="1056"/>
      <c r="AWO209" s="1056"/>
      <c r="AWP209" s="1056"/>
      <c r="AWQ209" s="1056"/>
      <c r="AWR209" s="1056"/>
      <c r="AWS209" s="1056"/>
      <c r="AWT209" s="1056"/>
      <c r="AWU209" s="1056"/>
      <c r="AWV209" s="1056"/>
      <c r="AWW209" s="1056"/>
      <c r="AWX209" s="1056"/>
      <c r="AWY209" s="1056"/>
      <c r="AWZ209" s="1056"/>
      <c r="AXA209" s="1056"/>
      <c r="AXB209" s="1056"/>
      <c r="AXC209" s="1056"/>
      <c r="AXD209" s="1056"/>
      <c r="AXE209" s="1056"/>
      <c r="AXF209" s="1056"/>
      <c r="AXG209" s="1056"/>
      <c r="AXH209" s="1056"/>
      <c r="AXI209" s="1056"/>
      <c r="AXJ209" s="1056"/>
      <c r="AXK209" s="1056"/>
      <c r="AXL209" s="1056"/>
      <c r="AXM209" s="1056"/>
      <c r="AXN209" s="1056"/>
      <c r="AXO209" s="1056"/>
      <c r="AXP209" s="1056"/>
      <c r="AXQ209" s="1056"/>
      <c r="AXR209" s="1056"/>
      <c r="AXS209" s="1056"/>
      <c r="AXT209" s="1056"/>
      <c r="AXU209" s="1056"/>
      <c r="AXV209" s="1056"/>
      <c r="AXW209" s="1056"/>
      <c r="AXX209" s="1056"/>
      <c r="AXY209" s="1056"/>
      <c r="AXZ209" s="1056"/>
      <c r="AYA209" s="1056"/>
      <c r="AYB209" s="1056"/>
      <c r="AYC209" s="1056"/>
      <c r="AYD209" s="1056"/>
      <c r="AYE209" s="1056"/>
      <c r="AYF209" s="1056"/>
      <c r="AYG209" s="1056"/>
      <c r="AYH209" s="1056"/>
      <c r="AYI209" s="1056"/>
      <c r="AYJ209" s="1056"/>
      <c r="AYK209" s="1056"/>
      <c r="AYL209" s="1056"/>
      <c r="AYM209" s="1056"/>
      <c r="AYN209" s="1056"/>
      <c r="AYO209" s="1056"/>
      <c r="AYP209" s="1056"/>
      <c r="AYQ209" s="1056"/>
      <c r="AYR209" s="1056"/>
      <c r="AYS209" s="1056"/>
      <c r="AYT209" s="1056"/>
      <c r="AYU209" s="1056"/>
      <c r="AYV209" s="1056"/>
      <c r="AYW209" s="1056"/>
      <c r="AYX209" s="1056"/>
      <c r="AYY209" s="1056"/>
      <c r="AYZ209" s="1056"/>
      <c r="AZA209" s="1056"/>
      <c r="AZB209" s="1056"/>
      <c r="AZC209" s="1056"/>
      <c r="AZD209" s="1056"/>
      <c r="AZE209" s="1056"/>
      <c r="AZF209" s="1056"/>
      <c r="AZG209" s="1056"/>
      <c r="AZH209" s="1056"/>
      <c r="AZI209" s="1056"/>
      <c r="AZJ209" s="1056"/>
      <c r="AZK209" s="1056"/>
      <c r="AZL209" s="1056"/>
      <c r="AZM209" s="1056"/>
      <c r="AZN209" s="1056"/>
      <c r="AZO209" s="1056"/>
      <c r="AZP209" s="1056"/>
      <c r="AZQ209" s="1056"/>
      <c r="AZR209" s="1056"/>
      <c r="AZS209" s="1056"/>
      <c r="AZT209" s="1056"/>
      <c r="AZU209" s="1056"/>
      <c r="AZV209" s="1056"/>
      <c r="AZW209" s="1056"/>
      <c r="AZX209" s="1056"/>
      <c r="AZY209" s="1056"/>
      <c r="AZZ209" s="1056"/>
      <c r="BAA209" s="1056"/>
      <c r="BAB209" s="1056"/>
      <c r="BAC209" s="1056"/>
      <c r="BAD209" s="1056"/>
      <c r="BAE209" s="1056"/>
      <c r="BAF209" s="1056"/>
      <c r="BAG209" s="1056"/>
      <c r="BAH209" s="1056"/>
      <c r="BAI209" s="1056"/>
      <c r="BAJ209" s="1056"/>
      <c r="BAK209" s="1056"/>
      <c r="BAL209" s="1056"/>
      <c r="BAM209" s="1056"/>
      <c r="BAN209" s="1056"/>
      <c r="BAO209" s="1056"/>
      <c r="BAP209" s="1056"/>
      <c r="BAQ209" s="1056"/>
      <c r="BAR209" s="1056"/>
      <c r="BAS209" s="1056"/>
      <c r="BAT209" s="1056"/>
      <c r="BAU209" s="1056"/>
      <c r="BAV209" s="1056"/>
      <c r="BAW209" s="1056"/>
      <c r="BAX209" s="1056"/>
      <c r="BAY209" s="1056"/>
      <c r="BAZ209" s="1056"/>
      <c r="BBA209" s="1056"/>
      <c r="BBB209" s="1056"/>
      <c r="BBC209" s="1056"/>
      <c r="BBD209" s="1056"/>
      <c r="BBE209" s="1056"/>
      <c r="BBF209" s="1056"/>
      <c r="BBG209" s="1056"/>
      <c r="BBH209" s="1056"/>
      <c r="BBI209" s="1056"/>
      <c r="BBJ209" s="1056"/>
      <c r="BBK209" s="1056"/>
      <c r="BBL209" s="1056"/>
      <c r="BBM209" s="1056"/>
      <c r="BBN209" s="1056"/>
      <c r="BBO209" s="1056"/>
      <c r="BBP209" s="1056"/>
      <c r="BBQ209" s="1056"/>
      <c r="BBR209" s="1056"/>
      <c r="BBS209" s="1056"/>
      <c r="BBT209" s="1056"/>
      <c r="BBU209" s="1056"/>
      <c r="BBV209" s="1056"/>
      <c r="BBW209" s="1056"/>
      <c r="BBX209" s="1056"/>
      <c r="BBY209" s="1056"/>
      <c r="BBZ209" s="1056"/>
      <c r="BCA209" s="1056"/>
      <c r="BCB209" s="1056"/>
      <c r="BCC209" s="1056"/>
      <c r="BCD209" s="1056"/>
      <c r="BCE209" s="1056"/>
      <c r="BCF209" s="1056"/>
      <c r="BCG209" s="1056"/>
      <c r="BCH209" s="1056"/>
      <c r="BCI209" s="1056"/>
      <c r="BCJ209" s="1056"/>
      <c r="BCK209" s="1056"/>
      <c r="BCL209" s="1056"/>
      <c r="BCM209" s="1056"/>
      <c r="BCN209" s="1056"/>
      <c r="BCO209" s="1056"/>
      <c r="BCP209" s="1056"/>
      <c r="BCQ209" s="1056"/>
      <c r="BCR209" s="1056"/>
      <c r="BCS209" s="1056"/>
      <c r="BCT209" s="1056"/>
      <c r="BCU209" s="1056"/>
      <c r="BCV209" s="1056"/>
      <c r="BCW209" s="1056"/>
      <c r="BCX209" s="1056"/>
      <c r="BCY209" s="1056"/>
      <c r="BCZ209" s="1056"/>
      <c r="BDA209" s="1056"/>
      <c r="BDB209" s="1056"/>
      <c r="BDC209" s="1056"/>
      <c r="BDD209" s="1056"/>
      <c r="BDE209" s="1056"/>
      <c r="BDF209" s="1056"/>
      <c r="BDG209" s="1056"/>
      <c r="BDH209" s="1056"/>
      <c r="BDI209" s="1056"/>
      <c r="BDJ209" s="1056"/>
      <c r="BDK209" s="1056"/>
      <c r="BDL209" s="1056"/>
      <c r="BDM209" s="1056"/>
      <c r="BDN209" s="1056"/>
      <c r="BDO209" s="1056"/>
      <c r="BDP209" s="1056"/>
      <c r="BDQ209" s="1056"/>
      <c r="BDR209" s="1056"/>
      <c r="BDS209" s="1056"/>
      <c r="BDT209" s="1056"/>
      <c r="BDU209" s="1056"/>
      <c r="BDV209" s="1056"/>
      <c r="BDW209" s="1056"/>
      <c r="BDX209" s="1056"/>
      <c r="BDY209" s="1056"/>
      <c r="BDZ209" s="1056"/>
      <c r="BEA209" s="1056"/>
      <c r="BEB209" s="1056"/>
      <c r="BEC209" s="1056"/>
      <c r="BED209" s="1056"/>
      <c r="BEE209" s="1056"/>
      <c r="BEF209" s="1056"/>
      <c r="BEG209" s="1056"/>
      <c r="BEH209" s="1056"/>
      <c r="BEI209" s="1056"/>
      <c r="BEJ209" s="1056"/>
      <c r="BEK209" s="1056"/>
      <c r="BEL209" s="1056"/>
      <c r="BEM209" s="1056"/>
      <c r="BEN209" s="1056"/>
      <c r="BEO209" s="1056"/>
      <c r="BEP209" s="1056"/>
      <c r="BEQ209" s="1056"/>
      <c r="BER209" s="1056"/>
      <c r="BES209" s="1056"/>
      <c r="BET209" s="1056"/>
      <c r="BEU209" s="1056"/>
      <c r="BEV209" s="1056"/>
      <c r="BEW209" s="1056"/>
      <c r="BEX209" s="1056"/>
      <c r="BEY209" s="1056"/>
      <c r="BEZ209" s="1056"/>
      <c r="BFA209" s="1056"/>
      <c r="BFB209" s="1056"/>
      <c r="BFC209" s="1056"/>
      <c r="BFD209" s="1056"/>
      <c r="BFE209" s="1056"/>
      <c r="BFF209" s="1056"/>
      <c r="BFG209" s="1056"/>
      <c r="BFH209" s="1056"/>
      <c r="BFI209" s="1056"/>
      <c r="BFJ209" s="1056"/>
      <c r="BFK209" s="1056"/>
      <c r="BFL209" s="1056"/>
      <c r="BFM209" s="1056"/>
      <c r="BFN209" s="1056"/>
      <c r="BFO209" s="1056"/>
      <c r="BFP209" s="1056"/>
      <c r="BFQ209" s="1056"/>
      <c r="BFR209" s="1056"/>
      <c r="BFS209" s="1056"/>
      <c r="BFT209" s="1056"/>
      <c r="BFU209" s="1056"/>
      <c r="BFV209" s="1056"/>
      <c r="BFW209" s="1056"/>
      <c r="BFX209" s="1056"/>
      <c r="BFY209" s="1056"/>
      <c r="BFZ209" s="1056"/>
      <c r="BGA209" s="1056"/>
      <c r="BGB209" s="1056"/>
      <c r="BGC209" s="1056"/>
      <c r="BGD209" s="1056"/>
      <c r="BGE209" s="1056"/>
      <c r="BGF209" s="1056"/>
      <c r="BGG209" s="1056"/>
      <c r="BGH209" s="1056"/>
      <c r="BGI209" s="1056"/>
      <c r="BGJ209" s="1056"/>
      <c r="BGK209" s="1056"/>
      <c r="BGL209" s="1056"/>
      <c r="BGM209" s="1056"/>
      <c r="BGN209" s="1056"/>
      <c r="BGO209" s="1056"/>
      <c r="BGP209" s="1056"/>
      <c r="BGQ209" s="1056"/>
      <c r="BGR209" s="1056"/>
      <c r="BGS209" s="1056"/>
      <c r="BGT209" s="1056"/>
      <c r="BGU209" s="1056"/>
      <c r="BGV209" s="1056"/>
      <c r="BGW209" s="1056"/>
      <c r="BGX209" s="1056"/>
      <c r="BGY209" s="1056"/>
      <c r="BGZ209" s="1056"/>
      <c r="BHA209" s="1056"/>
      <c r="BHB209" s="1056"/>
      <c r="BHC209" s="1056"/>
      <c r="BHD209" s="1056"/>
      <c r="BHE209" s="1056"/>
      <c r="BHF209" s="1056"/>
      <c r="BHG209" s="1056"/>
      <c r="BHH209" s="1056"/>
      <c r="BHI209" s="1056"/>
      <c r="BHJ209" s="1056"/>
      <c r="BHK209" s="1056"/>
      <c r="BHL209" s="1056"/>
      <c r="BHM209" s="1056"/>
      <c r="BHN209" s="1056"/>
      <c r="BHO209" s="1056"/>
      <c r="BHP209" s="1056"/>
      <c r="BHQ209" s="1056"/>
      <c r="BHR209" s="1056"/>
      <c r="BHS209" s="1056"/>
      <c r="BHT209" s="1056"/>
      <c r="BHU209" s="1056"/>
      <c r="BHV209" s="1056"/>
      <c r="BHW209" s="1056"/>
      <c r="BHX209" s="1056"/>
      <c r="BHY209" s="1056"/>
      <c r="BHZ209" s="1056"/>
      <c r="BIA209" s="1056"/>
      <c r="BIB209" s="1056"/>
      <c r="BIC209" s="1056"/>
      <c r="BID209" s="1056"/>
      <c r="BIE209" s="1056"/>
      <c r="BIF209" s="1056"/>
      <c r="BIG209" s="1056"/>
      <c r="BIH209" s="1056"/>
      <c r="BII209" s="1056"/>
      <c r="BIJ209" s="1056"/>
      <c r="BIK209" s="1056"/>
      <c r="BIL209" s="1056"/>
      <c r="BIM209" s="1056"/>
      <c r="BIN209" s="1056"/>
      <c r="BIO209" s="1056"/>
      <c r="BIP209" s="1056"/>
      <c r="BIQ209" s="1056"/>
      <c r="BIR209" s="1056"/>
      <c r="BIS209" s="1056"/>
      <c r="BIT209" s="1056"/>
      <c r="BIU209" s="1056"/>
      <c r="BIV209" s="1056"/>
      <c r="BIW209" s="1056"/>
      <c r="BIX209" s="1056"/>
      <c r="BIY209" s="1056"/>
      <c r="BIZ209" s="1056"/>
      <c r="BJA209" s="1056"/>
      <c r="BJB209" s="1056"/>
      <c r="BJC209" s="1056"/>
      <c r="BJD209" s="1056"/>
      <c r="BJE209" s="1056"/>
      <c r="BJF209" s="1056"/>
      <c r="BJG209" s="1056"/>
      <c r="BJH209" s="1056"/>
      <c r="BJI209" s="1056"/>
      <c r="BJJ209" s="1056"/>
      <c r="BJK209" s="1056"/>
      <c r="BJL209" s="1056"/>
      <c r="BJM209" s="1056"/>
      <c r="BJN209" s="1056"/>
      <c r="BJO209" s="1056"/>
      <c r="BJP209" s="1056"/>
      <c r="BJQ209" s="1056"/>
      <c r="BJR209" s="1056"/>
      <c r="BJS209" s="1056"/>
      <c r="BJT209" s="1056"/>
      <c r="BJU209" s="1056"/>
      <c r="BJV209" s="1056"/>
      <c r="BJW209" s="1056"/>
      <c r="BJX209" s="1056"/>
      <c r="BJY209" s="1056"/>
      <c r="BJZ209" s="1056"/>
      <c r="BKA209" s="1056"/>
      <c r="BKB209" s="1056"/>
      <c r="BKC209" s="1056"/>
      <c r="BKD209" s="1056"/>
      <c r="BKE209" s="1056"/>
      <c r="BKF209" s="1056"/>
      <c r="BKG209" s="1056"/>
      <c r="BKH209" s="1056"/>
      <c r="BKI209" s="1056"/>
      <c r="BKJ209" s="1056"/>
      <c r="BKK209" s="1056"/>
      <c r="BKL209" s="1056"/>
      <c r="BKM209" s="1056"/>
      <c r="BKN209" s="1056"/>
      <c r="BKO209" s="1056"/>
      <c r="BKP209" s="1056"/>
      <c r="BKQ209" s="1056"/>
      <c r="BKR209" s="1056"/>
      <c r="BKS209" s="1056"/>
      <c r="BKT209" s="1056"/>
      <c r="BKU209" s="1056"/>
      <c r="BKV209" s="1056"/>
      <c r="BKW209" s="1056"/>
      <c r="BKX209" s="1056"/>
      <c r="BKY209" s="1056"/>
      <c r="BKZ209" s="1056"/>
      <c r="BLA209" s="1056"/>
      <c r="BLB209" s="1056"/>
      <c r="BLC209" s="1056"/>
      <c r="BLD209" s="1056"/>
      <c r="BLE209" s="1056"/>
      <c r="BLF209" s="1056"/>
      <c r="BLG209" s="1056"/>
      <c r="BLH209" s="1056"/>
      <c r="BLI209" s="1056"/>
      <c r="BLJ209" s="1056"/>
      <c r="BLK209" s="1056"/>
      <c r="BLL209" s="1056"/>
      <c r="BLM209" s="1056"/>
      <c r="BLN209" s="1056"/>
      <c r="BLO209" s="1056"/>
      <c r="BLP209" s="1056"/>
      <c r="BLQ209" s="1056"/>
      <c r="BLR209" s="1056"/>
      <c r="BLS209" s="1056"/>
      <c r="BLT209" s="1056"/>
      <c r="BLU209" s="1056"/>
      <c r="BLV209" s="1056"/>
      <c r="BLW209" s="1056"/>
      <c r="BLX209" s="1056"/>
      <c r="BLY209" s="1056"/>
      <c r="BLZ209" s="1056"/>
      <c r="BMA209" s="1056"/>
      <c r="BMB209" s="1056"/>
      <c r="BMC209" s="1056"/>
      <c r="BMD209" s="1056"/>
      <c r="BME209" s="1056"/>
      <c r="BMF209" s="1056"/>
      <c r="BMG209" s="1056"/>
      <c r="BMH209" s="1056"/>
      <c r="BMI209" s="1056"/>
      <c r="BMJ209" s="1056"/>
      <c r="BMK209" s="1056"/>
      <c r="BML209" s="1056"/>
      <c r="BMM209" s="1056"/>
      <c r="BMN209" s="1056"/>
      <c r="BMO209" s="1056"/>
      <c r="BMP209" s="1056"/>
      <c r="BMQ209" s="1056"/>
      <c r="BMR209" s="1056"/>
      <c r="BMS209" s="1056"/>
      <c r="BMT209" s="1056"/>
      <c r="BMU209" s="1056"/>
      <c r="BMV209" s="1056"/>
      <c r="BMW209" s="1056"/>
      <c r="BMX209" s="1056"/>
      <c r="BMY209" s="1056"/>
      <c r="BMZ209" s="1056"/>
      <c r="BNA209" s="1056"/>
      <c r="BNB209" s="1056"/>
      <c r="BNC209" s="1056"/>
      <c r="BND209" s="1056"/>
      <c r="BNE209" s="1056"/>
      <c r="BNF209" s="1056"/>
      <c r="BNG209" s="1056"/>
      <c r="BNH209" s="1056"/>
      <c r="BNI209" s="1056"/>
      <c r="BNJ209" s="1056"/>
      <c r="BNK209" s="1056"/>
      <c r="BNL209" s="1056"/>
      <c r="BNM209" s="1056"/>
      <c r="BNN209" s="1056"/>
      <c r="BNO209" s="1056"/>
      <c r="BNP209" s="1056"/>
      <c r="BNQ209" s="1056"/>
      <c r="BNR209" s="1056"/>
      <c r="BNS209" s="1056"/>
      <c r="BNT209" s="1056"/>
      <c r="BNU209" s="1056"/>
      <c r="BNV209" s="1056"/>
      <c r="BNW209" s="1056"/>
      <c r="BNX209" s="1056"/>
      <c r="BNY209" s="1056"/>
      <c r="BNZ209" s="1056"/>
      <c r="BOA209" s="1056"/>
      <c r="BOB209" s="1056"/>
      <c r="BOC209" s="1056"/>
      <c r="BOD209" s="1056"/>
      <c r="BOE209" s="1056"/>
      <c r="BOF209" s="1056"/>
      <c r="BOG209" s="1056"/>
      <c r="BOH209" s="1056"/>
      <c r="BOI209" s="1056"/>
      <c r="BOJ209" s="1056"/>
      <c r="BOK209" s="1056"/>
      <c r="BOL209" s="1056"/>
      <c r="BOM209" s="1056"/>
      <c r="BON209" s="1056"/>
      <c r="BOO209" s="1056"/>
      <c r="BOP209" s="1056"/>
      <c r="BOQ209" s="1056"/>
      <c r="BOR209" s="1056"/>
      <c r="BOS209" s="1056"/>
      <c r="BOT209" s="1056"/>
      <c r="BOU209" s="1056"/>
      <c r="BOV209" s="1056"/>
      <c r="BOW209" s="1056"/>
      <c r="BOX209" s="1056"/>
      <c r="BOY209" s="1056"/>
      <c r="BOZ209" s="1056"/>
      <c r="BPA209" s="1056"/>
      <c r="BPB209" s="1056"/>
      <c r="BPC209" s="1056"/>
      <c r="BPD209" s="1056"/>
      <c r="BPE209" s="1056"/>
      <c r="BPF209" s="1056"/>
      <c r="BPG209" s="1056"/>
      <c r="BPH209" s="1056"/>
      <c r="BPI209" s="1056"/>
      <c r="BPJ209" s="1056"/>
      <c r="BPK209" s="1056"/>
      <c r="BPL209" s="1056"/>
      <c r="BPM209" s="1056"/>
      <c r="BPN209" s="1056"/>
      <c r="BPO209" s="1056"/>
      <c r="BPP209" s="1056"/>
      <c r="BPQ209" s="1056"/>
      <c r="BPR209" s="1056"/>
      <c r="BPS209" s="1056"/>
      <c r="BPT209" s="1056"/>
      <c r="BPU209" s="1056"/>
      <c r="BPV209" s="1056"/>
      <c r="BPW209" s="1056"/>
      <c r="BPX209" s="1056"/>
      <c r="BPY209" s="1056"/>
      <c r="BPZ209" s="1056"/>
      <c r="BQA209" s="1056"/>
      <c r="BQB209" s="1056"/>
      <c r="BQC209" s="1056"/>
      <c r="BQD209" s="1056"/>
      <c r="BQE209" s="1056"/>
      <c r="BQF209" s="1056"/>
      <c r="BQG209" s="1056"/>
      <c r="BQH209" s="1056"/>
      <c r="BQI209" s="1056"/>
      <c r="BQJ209" s="1056"/>
      <c r="BQK209" s="1056"/>
      <c r="BQL209" s="1056"/>
      <c r="BQM209" s="1056"/>
      <c r="BQN209" s="1056"/>
      <c r="BQO209" s="1056"/>
      <c r="BQP209" s="1056"/>
      <c r="BQQ209" s="1056"/>
      <c r="BQR209" s="1056"/>
      <c r="BQS209" s="1056"/>
      <c r="BQT209" s="1056"/>
      <c r="BQU209" s="1056"/>
      <c r="BQV209" s="1056"/>
      <c r="BQW209" s="1056"/>
      <c r="BQX209" s="1056"/>
      <c r="BQY209" s="1056"/>
      <c r="BQZ209" s="1056"/>
      <c r="BRA209" s="1056"/>
      <c r="BRB209" s="1056"/>
      <c r="BRC209" s="1056"/>
      <c r="BRD209" s="1056"/>
      <c r="BRE209" s="1056"/>
      <c r="BRF209" s="1056"/>
      <c r="BRG209" s="1056"/>
      <c r="BRH209" s="1056"/>
      <c r="BRI209" s="1056"/>
      <c r="BRJ209" s="1056"/>
      <c r="BRK209" s="1056"/>
      <c r="BRL209" s="1056"/>
      <c r="BRM209" s="1056"/>
      <c r="BRN209" s="1056"/>
      <c r="BRO209" s="1056"/>
      <c r="BRP209" s="1056"/>
      <c r="BRQ209" s="1056"/>
      <c r="BRR209" s="1056"/>
      <c r="BRS209" s="1056"/>
      <c r="BRT209" s="1056"/>
      <c r="BRU209" s="1056"/>
      <c r="BRV209" s="1056"/>
      <c r="BRW209" s="1056"/>
      <c r="BRX209" s="1056"/>
      <c r="BRY209" s="1056"/>
      <c r="BRZ209" s="1056"/>
      <c r="BSA209" s="1056"/>
      <c r="BSB209" s="1056"/>
      <c r="BSC209" s="1056"/>
      <c r="BSD209" s="1056"/>
      <c r="BSE209" s="1056"/>
      <c r="BSF209" s="1056"/>
      <c r="BSG209" s="1056"/>
      <c r="BSH209" s="1056"/>
      <c r="BSI209" s="1056"/>
      <c r="BSJ209" s="1056"/>
      <c r="BSK209" s="1056"/>
      <c r="BSL209" s="1056"/>
      <c r="BSM209" s="1056"/>
      <c r="BSN209" s="1056"/>
      <c r="BSO209" s="1056"/>
      <c r="BSP209" s="1056"/>
      <c r="BSQ209" s="1056"/>
      <c r="BSR209" s="1056"/>
      <c r="BSS209" s="1056"/>
      <c r="BST209" s="1056"/>
      <c r="BSU209" s="1056"/>
      <c r="BSV209" s="1056"/>
      <c r="BSW209" s="1056"/>
      <c r="BSX209" s="1056"/>
      <c r="BSY209" s="1056"/>
      <c r="BSZ209" s="1056"/>
      <c r="BTA209" s="1056"/>
      <c r="BTB209" s="1056"/>
      <c r="BTC209" s="1056"/>
      <c r="BTD209" s="1056"/>
      <c r="BTE209" s="1056"/>
      <c r="BTF209" s="1056"/>
      <c r="BTG209" s="1056"/>
      <c r="BTH209" s="1056"/>
      <c r="BTI209" s="1056"/>
    </row>
    <row r="210" spans="1:1881" s="1060" customFormat="1" ht="71.25" hidden="1" customHeight="1" x14ac:dyDescent="0.3">
      <c r="A210" s="1059">
        <v>100</v>
      </c>
      <c r="B210" s="808" t="s">
        <v>66</v>
      </c>
      <c r="C210" s="808" t="s">
        <v>1436</v>
      </c>
      <c r="D210" s="746" t="s">
        <v>1435</v>
      </c>
      <c r="E210" s="1053" t="e">
        <f>HLOOKUP($D$2,'2020 Data(H)'!$C$1:$AI$426,60,FALSE)</f>
        <v>#N/A</v>
      </c>
      <c r="F210" s="286">
        <v>0</v>
      </c>
      <c r="G210" s="722">
        <f>IF(F210&lt;0,"Error: Enter as positive.",)</f>
        <v>0</v>
      </c>
      <c r="H210" s="764"/>
      <c r="I210" s="1055"/>
      <c r="J210" s="1056"/>
      <c r="K210" s="1056"/>
      <c r="L210" s="1056"/>
      <c r="M210" s="1056"/>
      <c r="N210" s="1058"/>
      <c r="O210" s="1056"/>
      <c r="P210" s="1056"/>
      <c r="Q210" s="1056"/>
      <c r="R210" s="1056"/>
      <c r="S210" s="1056"/>
      <c r="T210" s="1056"/>
      <c r="U210" s="1056"/>
      <c r="V210" s="1056"/>
      <c r="W210" s="1056"/>
      <c r="X210" s="1056"/>
      <c r="Y210" s="1056"/>
      <c r="Z210" s="1059"/>
      <c r="AA210" s="1059"/>
      <c r="AB210" s="1059"/>
      <c r="AC210" s="1059"/>
      <c r="AD210" s="1059"/>
      <c r="AE210" s="1059"/>
      <c r="AF210" s="1059"/>
      <c r="AG210" s="1059"/>
      <c r="AH210" s="1059"/>
      <c r="AI210" s="1059"/>
      <c r="AJ210" s="1059"/>
      <c r="AK210" s="1059"/>
      <c r="AL210" s="1059"/>
      <c r="AM210" s="1059"/>
      <c r="AN210" s="1059"/>
      <c r="AO210" s="1059"/>
      <c r="AP210" s="1059"/>
      <c r="AQ210" s="1059"/>
      <c r="AR210" s="1059"/>
      <c r="AS210" s="1056"/>
      <c r="AT210" s="1056"/>
      <c r="AU210" s="1056"/>
      <c r="AV210" s="1056"/>
      <c r="AW210" s="1056"/>
      <c r="AX210" s="1056"/>
      <c r="AY210" s="1056"/>
      <c r="AZ210" s="1056"/>
      <c r="BA210" s="1056"/>
      <c r="BB210" s="1056"/>
      <c r="BC210" s="1056"/>
      <c r="BD210" s="1056"/>
      <c r="BE210" s="1056"/>
      <c r="BF210" s="1056"/>
      <c r="BG210" s="1056"/>
      <c r="BH210" s="1056"/>
      <c r="BI210" s="1056"/>
      <c r="BJ210" s="1056"/>
      <c r="BK210" s="1056"/>
      <c r="BL210" s="1056"/>
      <c r="BM210" s="1056"/>
      <c r="BN210" s="1056"/>
      <c r="BO210" s="1056"/>
      <c r="BP210" s="1056"/>
      <c r="BQ210" s="1056"/>
      <c r="BR210" s="1056"/>
      <c r="BS210" s="1056"/>
      <c r="BT210" s="1056"/>
      <c r="BU210" s="1056"/>
      <c r="BV210" s="1056"/>
      <c r="BW210" s="1056"/>
      <c r="BX210" s="1056"/>
      <c r="BY210" s="1056"/>
      <c r="BZ210" s="1056"/>
      <c r="CA210" s="1056"/>
      <c r="CB210" s="1056"/>
      <c r="CC210" s="1056"/>
      <c r="CD210" s="1056"/>
      <c r="CE210" s="1056"/>
      <c r="CF210" s="1056"/>
      <c r="CG210" s="1056"/>
      <c r="CH210" s="1056"/>
      <c r="CI210" s="1056"/>
      <c r="CJ210" s="1056"/>
      <c r="CK210" s="1056"/>
      <c r="CL210" s="1056"/>
      <c r="CM210" s="1056"/>
      <c r="CN210" s="1056"/>
      <c r="CO210" s="1056"/>
      <c r="CP210" s="1056"/>
      <c r="CQ210" s="1056"/>
      <c r="CR210" s="1056"/>
      <c r="CS210" s="1056"/>
      <c r="CT210" s="1056"/>
      <c r="CU210" s="1056"/>
      <c r="CV210" s="1056"/>
      <c r="CW210" s="1056"/>
      <c r="CX210" s="1056"/>
      <c r="CY210" s="1056"/>
      <c r="CZ210" s="1056"/>
      <c r="DA210" s="1056"/>
      <c r="DB210" s="1056"/>
      <c r="DC210" s="1056"/>
      <c r="DD210" s="1056"/>
      <c r="DE210" s="1056"/>
      <c r="DF210" s="1056"/>
      <c r="DG210" s="1056"/>
      <c r="DH210" s="1056"/>
      <c r="DI210" s="1056"/>
      <c r="DJ210" s="1056"/>
      <c r="DK210" s="1056"/>
      <c r="DL210" s="1056"/>
      <c r="DM210" s="1056"/>
      <c r="DN210" s="1056"/>
      <c r="DO210" s="1056"/>
      <c r="DP210" s="1056"/>
      <c r="DQ210" s="1056"/>
      <c r="DR210" s="1056"/>
      <c r="DS210" s="1056"/>
      <c r="DT210" s="1056"/>
      <c r="DU210" s="1056"/>
      <c r="DV210" s="1056"/>
      <c r="DW210" s="1056"/>
      <c r="DX210" s="1056"/>
      <c r="DY210" s="1056"/>
      <c r="DZ210" s="1056"/>
      <c r="EA210" s="1056"/>
      <c r="EB210" s="1056"/>
      <c r="EC210" s="1056"/>
      <c r="ED210" s="1056"/>
      <c r="EE210" s="1056"/>
      <c r="EF210" s="1056"/>
      <c r="EG210" s="1056"/>
      <c r="EH210" s="1056"/>
      <c r="EI210" s="1056"/>
      <c r="EJ210" s="1056"/>
      <c r="EK210" s="1056"/>
      <c r="EL210" s="1056"/>
      <c r="EM210" s="1056"/>
      <c r="EN210" s="1056"/>
      <c r="EO210" s="1056"/>
      <c r="EP210" s="1056"/>
      <c r="EQ210" s="1056"/>
      <c r="ER210" s="1056"/>
      <c r="ES210" s="1056"/>
      <c r="ET210" s="1056"/>
      <c r="EU210" s="1056"/>
      <c r="EV210" s="1056"/>
      <c r="EW210" s="1056"/>
      <c r="EX210" s="1056"/>
      <c r="EY210" s="1056"/>
      <c r="EZ210" s="1056"/>
      <c r="FA210" s="1056"/>
      <c r="FB210" s="1056"/>
      <c r="FC210" s="1056"/>
      <c r="FD210" s="1056"/>
      <c r="FE210" s="1056"/>
      <c r="FF210" s="1056"/>
      <c r="FG210" s="1056"/>
      <c r="FH210" s="1056"/>
      <c r="FI210" s="1056"/>
      <c r="FJ210" s="1056"/>
      <c r="FK210" s="1056"/>
      <c r="FL210" s="1056"/>
      <c r="FM210" s="1056"/>
      <c r="FN210" s="1056"/>
      <c r="FO210" s="1056"/>
      <c r="FP210" s="1056"/>
      <c r="FQ210" s="1056"/>
      <c r="FR210" s="1056"/>
      <c r="FS210" s="1056"/>
      <c r="FT210" s="1056"/>
      <c r="FU210" s="1056"/>
      <c r="FV210" s="1056"/>
      <c r="FW210" s="1056"/>
      <c r="FX210" s="1056"/>
      <c r="FY210" s="1056"/>
      <c r="FZ210" s="1056"/>
      <c r="GA210" s="1056"/>
      <c r="GB210" s="1056"/>
      <c r="GC210" s="1056"/>
      <c r="GD210" s="1056"/>
      <c r="GE210" s="1056"/>
      <c r="GF210" s="1056"/>
      <c r="GG210" s="1056"/>
      <c r="GH210" s="1056"/>
      <c r="GI210" s="1056"/>
      <c r="GJ210" s="1056"/>
      <c r="GK210" s="1056"/>
      <c r="GL210" s="1056"/>
      <c r="GM210" s="1056"/>
      <c r="GN210" s="1056"/>
      <c r="GO210" s="1056"/>
      <c r="GP210" s="1056"/>
      <c r="GQ210" s="1056"/>
      <c r="GR210" s="1056"/>
      <c r="GS210" s="1056"/>
      <c r="GT210" s="1056"/>
      <c r="GU210" s="1056"/>
      <c r="GV210" s="1056"/>
      <c r="GW210" s="1056"/>
      <c r="GX210" s="1056"/>
      <c r="GY210" s="1056"/>
      <c r="GZ210" s="1056"/>
      <c r="HA210" s="1056"/>
      <c r="HB210" s="1056"/>
      <c r="HC210" s="1056"/>
      <c r="HD210" s="1056"/>
      <c r="HE210" s="1056"/>
      <c r="HF210" s="1056"/>
      <c r="HG210" s="1056"/>
      <c r="HH210" s="1056"/>
      <c r="HI210" s="1056"/>
      <c r="HJ210" s="1056"/>
      <c r="HK210" s="1056"/>
      <c r="HL210" s="1056"/>
      <c r="HM210" s="1056"/>
      <c r="HN210" s="1056"/>
      <c r="HO210" s="1056"/>
      <c r="HP210" s="1056"/>
      <c r="HQ210" s="1056"/>
      <c r="HR210" s="1056"/>
      <c r="HS210" s="1056"/>
      <c r="HT210" s="1056"/>
      <c r="HU210" s="1056"/>
      <c r="HV210" s="1056"/>
      <c r="HW210" s="1056"/>
      <c r="HX210" s="1056"/>
      <c r="HY210" s="1056"/>
      <c r="HZ210" s="1056"/>
      <c r="IA210" s="1056"/>
      <c r="IB210" s="1056"/>
      <c r="IC210" s="1056"/>
      <c r="ID210" s="1056"/>
      <c r="IE210" s="1056"/>
      <c r="IF210" s="1056"/>
      <c r="IG210" s="1056"/>
      <c r="IH210" s="1056"/>
      <c r="II210" s="1056"/>
      <c r="IJ210" s="1056"/>
      <c r="IK210" s="1056"/>
      <c r="IL210" s="1056"/>
      <c r="IM210" s="1056"/>
      <c r="IN210" s="1056"/>
      <c r="IO210" s="1056"/>
      <c r="IP210" s="1056"/>
      <c r="IQ210" s="1056"/>
      <c r="IR210" s="1056"/>
      <c r="IS210" s="1056"/>
      <c r="IT210" s="1056"/>
      <c r="IU210" s="1056"/>
      <c r="IV210" s="1056"/>
      <c r="IW210" s="1056"/>
      <c r="IX210" s="1056"/>
      <c r="IY210" s="1056"/>
      <c r="IZ210" s="1056"/>
      <c r="JA210" s="1056"/>
      <c r="JB210" s="1056"/>
      <c r="JC210" s="1056"/>
      <c r="JD210" s="1056"/>
      <c r="JE210" s="1056"/>
      <c r="JF210" s="1056"/>
      <c r="JG210" s="1056"/>
      <c r="JH210" s="1056"/>
      <c r="JI210" s="1056"/>
      <c r="JJ210" s="1056"/>
      <c r="JK210" s="1056"/>
      <c r="JL210" s="1056"/>
      <c r="JM210" s="1056"/>
      <c r="JN210" s="1056"/>
      <c r="JO210" s="1056"/>
      <c r="JP210" s="1056"/>
      <c r="JQ210" s="1056"/>
      <c r="JR210" s="1056"/>
      <c r="JS210" s="1056"/>
      <c r="JT210" s="1056"/>
      <c r="JU210" s="1056"/>
      <c r="JV210" s="1056"/>
      <c r="JW210" s="1056"/>
      <c r="JX210" s="1056"/>
      <c r="JY210" s="1056"/>
      <c r="JZ210" s="1056"/>
      <c r="KA210" s="1056"/>
      <c r="KB210" s="1056"/>
      <c r="KC210" s="1056"/>
      <c r="KD210" s="1056"/>
      <c r="KE210" s="1056"/>
      <c r="KF210" s="1056"/>
      <c r="KG210" s="1056"/>
      <c r="KH210" s="1056"/>
      <c r="KI210" s="1056"/>
      <c r="KJ210" s="1056"/>
      <c r="KK210" s="1056"/>
      <c r="KL210" s="1056"/>
      <c r="KM210" s="1056"/>
      <c r="KN210" s="1056"/>
      <c r="KO210" s="1056"/>
      <c r="KP210" s="1056"/>
      <c r="KQ210" s="1056"/>
      <c r="KR210" s="1056"/>
      <c r="KS210" s="1056"/>
      <c r="KT210" s="1056"/>
      <c r="KU210" s="1056"/>
      <c r="KV210" s="1056"/>
      <c r="KW210" s="1056"/>
      <c r="KX210" s="1056"/>
      <c r="KY210" s="1056"/>
      <c r="KZ210" s="1056"/>
      <c r="LA210" s="1056"/>
      <c r="LB210" s="1056"/>
      <c r="LC210" s="1056"/>
      <c r="LD210" s="1056"/>
      <c r="LE210" s="1056"/>
      <c r="LF210" s="1056"/>
      <c r="LG210" s="1056"/>
      <c r="LH210" s="1056"/>
      <c r="LI210" s="1056"/>
      <c r="LJ210" s="1056"/>
      <c r="LK210" s="1056"/>
      <c r="LL210" s="1056"/>
      <c r="LM210" s="1056"/>
      <c r="LN210" s="1056"/>
      <c r="LO210" s="1056"/>
      <c r="LP210" s="1056"/>
      <c r="LQ210" s="1056"/>
      <c r="LR210" s="1056"/>
      <c r="LS210" s="1056"/>
      <c r="LT210" s="1056"/>
      <c r="LU210" s="1056"/>
      <c r="LV210" s="1056"/>
      <c r="LW210" s="1056"/>
      <c r="LX210" s="1056"/>
      <c r="LY210" s="1056"/>
      <c r="LZ210" s="1056"/>
      <c r="MA210" s="1056"/>
      <c r="MB210" s="1056"/>
      <c r="MC210" s="1056"/>
      <c r="MD210" s="1056"/>
      <c r="ME210" s="1056"/>
      <c r="MF210" s="1056"/>
      <c r="MG210" s="1056"/>
      <c r="MH210" s="1056"/>
      <c r="MI210" s="1056"/>
      <c r="MJ210" s="1056"/>
      <c r="MK210" s="1056"/>
      <c r="ML210" s="1056"/>
      <c r="MM210" s="1056"/>
      <c r="MN210" s="1056"/>
      <c r="MO210" s="1056"/>
      <c r="MP210" s="1056"/>
      <c r="MQ210" s="1056"/>
      <c r="MR210" s="1056"/>
      <c r="MS210" s="1056"/>
      <c r="MT210" s="1056"/>
      <c r="MU210" s="1056"/>
      <c r="MV210" s="1056"/>
      <c r="MW210" s="1056"/>
      <c r="MX210" s="1056"/>
      <c r="MY210" s="1056"/>
      <c r="MZ210" s="1056"/>
      <c r="NA210" s="1056"/>
      <c r="NB210" s="1056"/>
      <c r="NC210" s="1056"/>
      <c r="ND210" s="1056"/>
      <c r="NE210" s="1056"/>
      <c r="NF210" s="1056"/>
      <c r="NG210" s="1056"/>
      <c r="NH210" s="1056"/>
      <c r="NI210" s="1056"/>
      <c r="NJ210" s="1056"/>
      <c r="NK210" s="1056"/>
      <c r="NL210" s="1056"/>
      <c r="NM210" s="1056"/>
      <c r="NN210" s="1056"/>
      <c r="NO210" s="1056"/>
      <c r="NP210" s="1056"/>
      <c r="NQ210" s="1056"/>
      <c r="NR210" s="1056"/>
      <c r="NS210" s="1056"/>
      <c r="NT210" s="1056"/>
      <c r="NU210" s="1056"/>
      <c r="NV210" s="1056"/>
      <c r="NW210" s="1056"/>
      <c r="NX210" s="1056"/>
      <c r="NY210" s="1056"/>
      <c r="NZ210" s="1056"/>
      <c r="OA210" s="1056"/>
      <c r="OB210" s="1056"/>
      <c r="OC210" s="1056"/>
      <c r="OD210" s="1056"/>
      <c r="OE210" s="1056"/>
      <c r="OF210" s="1056"/>
      <c r="OG210" s="1056"/>
      <c r="OH210" s="1056"/>
      <c r="OI210" s="1056"/>
      <c r="OJ210" s="1056"/>
      <c r="OK210" s="1056"/>
      <c r="OL210" s="1056"/>
      <c r="OM210" s="1056"/>
      <c r="ON210" s="1056"/>
      <c r="OO210" s="1056"/>
      <c r="OP210" s="1056"/>
      <c r="OQ210" s="1056"/>
      <c r="OR210" s="1056"/>
      <c r="OS210" s="1056"/>
      <c r="OT210" s="1056"/>
      <c r="OU210" s="1056"/>
      <c r="OV210" s="1056"/>
      <c r="OW210" s="1056"/>
      <c r="OX210" s="1056"/>
      <c r="OY210" s="1056"/>
      <c r="OZ210" s="1056"/>
      <c r="PA210" s="1056"/>
      <c r="PB210" s="1056"/>
      <c r="PC210" s="1056"/>
      <c r="PD210" s="1056"/>
      <c r="PE210" s="1056"/>
      <c r="PF210" s="1056"/>
      <c r="PG210" s="1056"/>
      <c r="PH210" s="1056"/>
      <c r="PI210" s="1056"/>
      <c r="PJ210" s="1056"/>
      <c r="PK210" s="1056"/>
      <c r="PL210" s="1056"/>
      <c r="PM210" s="1056"/>
      <c r="PN210" s="1056"/>
      <c r="PO210" s="1056"/>
      <c r="PP210" s="1056"/>
      <c r="PQ210" s="1056"/>
      <c r="PR210" s="1056"/>
      <c r="PS210" s="1056"/>
      <c r="PT210" s="1056"/>
      <c r="PU210" s="1056"/>
      <c r="PV210" s="1056"/>
      <c r="PW210" s="1056"/>
      <c r="PX210" s="1056"/>
      <c r="PY210" s="1056"/>
      <c r="PZ210" s="1056"/>
      <c r="QA210" s="1056"/>
      <c r="QB210" s="1056"/>
      <c r="QC210" s="1056"/>
      <c r="QD210" s="1056"/>
      <c r="QE210" s="1056"/>
      <c r="QF210" s="1056"/>
      <c r="QG210" s="1056"/>
      <c r="QH210" s="1056"/>
      <c r="QI210" s="1056"/>
      <c r="QJ210" s="1056"/>
      <c r="QK210" s="1056"/>
      <c r="QL210" s="1056"/>
      <c r="QM210" s="1056"/>
      <c r="QN210" s="1056"/>
      <c r="QO210" s="1056"/>
      <c r="QP210" s="1056"/>
      <c r="QQ210" s="1056"/>
      <c r="QR210" s="1056"/>
      <c r="QS210" s="1056"/>
      <c r="QT210" s="1056"/>
      <c r="QU210" s="1056"/>
      <c r="QV210" s="1056"/>
      <c r="QW210" s="1056"/>
      <c r="QX210" s="1056"/>
      <c r="QY210" s="1056"/>
      <c r="QZ210" s="1056"/>
      <c r="RA210" s="1056"/>
      <c r="RB210" s="1056"/>
      <c r="RC210" s="1056"/>
      <c r="RD210" s="1056"/>
      <c r="RE210" s="1056"/>
      <c r="RF210" s="1056"/>
      <c r="RG210" s="1056"/>
      <c r="RH210" s="1056"/>
      <c r="RI210" s="1056"/>
      <c r="RJ210" s="1056"/>
      <c r="RK210" s="1056"/>
      <c r="RL210" s="1056"/>
      <c r="RM210" s="1056"/>
      <c r="RN210" s="1056"/>
      <c r="RO210" s="1056"/>
      <c r="RP210" s="1056"/>
      <c r="RQ210" s="1056"/>
      <c r="RR210" s="1056"/>
      <c r="RS210" s="1056"/>
      <c r="RT210" s="1056"/>
      <c r="RU210" s="1056"/>
      <c r="RV210" s="1056"/>
      <c r="RW210" s="1056"/>
      <c r="RX210" s="1056"/>
      <c r="RY210" s="1056"/>
      <c r="RZ210" s="1056"/>
      <c r="SA210" s="1056"/>
      <c r="SB210" s="1056"/>
      <c r="SC210" s="1056"/>
      <c r="SD210" s="1056"/>
      <c r="SE210" s="1056"/>
      <c r="SF210" s="1056"/>
      <c r="SG210" s="1056"/>
      <c r="SH210" s="1056"/>
      <c r="SI210" s="1056"/>
      <c r="SJ210" s="1056"/>
      <c r="SK210" s="1056"/>
      <c r="SL210" s="1056"/>
      <c r="SM210" s="1056"/>
      <c r="SN210" s="1056"/>
      <c r="SO210" s="1056"/>
      <c r="SP210" s="1056"/>
      <c r="SQ210" s="1056"/>
      <c r="SR210" s="1056"/>
      <c r="SS210" s="1056"/>
      <c r="ST210" s="1056"/>
      <c r="SU210" s="1056"/>
      <c r="SV210" s="1056"/>
      <c r="SW210" s="1056"/>
      <c r="SX210" s="1056"/>
      <c r="SY210" s="1056"/>
      <c r="SZ210" s="1056"/>
      <c r="TA210" s="1056"/>
      <c r="TB210" s="1056"/>
      <c r="TC210" s="1056"/>
      <c r="TD210" s="1056"/>
      <c r="TE210" s="1056"/>
      <c r="TF210" s="1056"/>
      <c r="TG210" s="1056"/>
      <c r="TH210" s="1056"/>
      <c r="TI210" s="1056"/>
      <c r="TJ210" s="1056"/>
      <c r="TK210" s="1056"/>
      <c r="TL210" s="1056"/>
      <c r="TM210" s="1056"/>
      <c r="TN210" s="1056"/>
      <c r="TO210" s="1056"/>
      <c r="TP210" s="1056"/>
      <c r="TQ210" s="1056"/>
      <c r="TR210" s="1056"/>
      <c r="TS210" s="1056"/>
      <c r="TT210" s="1056"/>
      <c r="TU210" s="1056"/>
      <c r="TV210" s="1056"/>
      <c r="TW210" s="1056"/>
      <c r="TX210" s="1056"/>
      <c r="TY210" s="1056"/>
      <c r="TZ210" s="1056"/>
      <c r="UA210" s="1056"/>
      <c r="UB210" s="1056"/>
      <c r="UC210" s="1056"/>
      <c r="UD210" s="1056"/>
      <c r="UE210" s="1056"/>
      <c r="UF210" s="1056"/>
      <c r="UG210" s="1056"/>
      <c r="UH210" s="1056"/>
      <c r="UI210" s="1056"/>
      <c r="UJ210" s="1056"/>
      <c r="UK210" s="1056"/>
      <c r="UL210" s="1056"/>
      <c r="UM210" s="1056"/>
      <c r="UN210" s="1056"/>
      <c r="UO210" s="1056"/>
      <c r="UP210" s="1056"/>
      <c r="UQ210" s="1056"/>
      <c r="UR210" s="1056"/>
      <c r="US210" s="1056"/>
      <c r="UT210" s="1056"/>
      <c r="UU210" s="1056"/>
      <c r="UV210" s="1056"/>
      <c r="UW210" s="1056"/>
      <c r="UX210" s="1056"/>
      <c r="UY210" s="1056"/>
      <c r="UZ210" s="1056"/>
      <c r="VA210" s="1056"/>
      <c r="VB210" s="1056"/>
      <c r="VC210" s="1056"/>
      <c r="VD210" s="1056"/>
      <c r="VE210" s="1056"/>
      <c r="VF210" s="1056"/>
      <c r="VG210" s="1056"/>
      <c r="VH210" s="1056"/>
      <c r="VI210" s="1056"/>
      <c r="VJ210" s="1056"/>
      <c r="VK210" s="1056"/>
      <c r="VL210" s="1056"/>
      <c r="VM210" s="1056"/>
      <c r="VN210" s="1056"/>
      <c r="VO210" s="1056"/>
      <c r="VP210" s="1056"/>
      <c r="VQ210" s="1056"/>
      <c r="VR210" s="1056"/>
      <c r="VS210" s="1056"/>
      <c r="VT210" s="1056"/>
      <c r="VU210" s="1056"/>
      <c r="VV210" s="1056"/>
      <c r="VW210" s="1056"/>
      <c r="VX210" s="1056"/>
      <c r="VY210" s="1056"/>
      <c r="VZ210" s="1056"/>
      <c r="WA210" s="1056"/>
      <c r="WB210" s="1056"/>
      <c r="WC210" s="1056"/>
      <c r="WD210" s="1056"/>
      <c r="WE210" s="1056"/>
      <c r="WF210" s="1056"/>
      <c r="WG210" s="1056"/>
      <c r="WH210" s="1056"/>
      <c r="WI210" s="1056"/>
      <c r="WJ210" s="1056"/>
      <c r="WK210" s="1056"/>
      <c r="WL210" s="1056"/>
      <c r="WM210" s="1056"/>
      <c r="WN210" s="1056"/>
      <c r="WO210" s="1056"/>
      <c r="WP210" s="1056"/>
      <c r="WQ210" s="1056"/>
      <c r="WR210" s="1056"/>
      <c r="WS210" s="1056"/>
      <c r="WT210" s="1056"/>
      <c r="WU210" s="1056"/>
      <c r="WV210" s="1056"/>
      <c r="WW210" s="1056"/>
      <c r="WX210" s="1056"/>
      <c r="WY210" s="1056"/>
      <c r="WZ210" s="1056"/>
      <c r="XA210" s="1056"/>
      <c r="XB210" s="1056"/>
      <c r="XC210" s="1056"/>
      <c r="XD210" s="1056"/>
      <c r="XE210" s="1056"/>
      <c r="XF210" s="1056"/>
      <c r="XG210" s="1056"/>
      <c r="XH210" s="1056"/>
      <c r="XI210" s="1056"/>
      <c r="XJ210" s="1056"/>
      <c r="XK210" s="1056"/>
      <c r="XL210" s="1056"/>
      <c r="XM210" s="1056"/>
      <c r="XN210" s="1056"/>
      <c r="XO210" s="1056"/>
      <c r="XP210" s="1056"/>
      <c r="XQ210" s="1056"/>
      <c r="XR210" s="1056"/>
      <c r="XS210" s="1056"/>
      <c r="XT210" s="1056"/>
      <c r="XU210" s="1056"/>
      <c r="XV210" s="1056"/>
      <c r="XW210" s="1056"/>
      <c r="XX210" s="1056"/>
      <c r="XY210" s="1056"/>
      <c r="XZ210" s="1056"/>
      <c r="YA210" s="1056"/>
      <c r="YB210" s="1056"/>
      <c r="YC210" s="1056"/>
      <c r="YD210" s="1056"/>
      <c r="YE210" s="1056"/>
      <c r="YF210" s="1056"/>
      <c r="YG210" s="1056"/>
      <c r="YH210" s="1056"/>
      <c r="YI210" s="1056"/>
      <c r="YJ210" s="1056"/>
      <c r="YK210" s="1056"/>
      <c r="YL210" s="1056"/>
      <c r="YM210" s="1056"/>
      <c r="YN210" s="1056"/>
      <c r="YO210" s="1056"/>
      <c r="YP210" s="1056"/>
      <c r="YQ210" s="1056"/>
      <c r="YR210" s="1056"/>
      <c r="YS210" s="1056"/>
      <c r="YT210" s="1056"/>
      <c r="YU210" s="1056"/>
      <c r="YV210" s="1056"/>
      <c r="YW210" s="1056"/>
      <c r="YX210" s="1056"/>
      <c r="YY210" s="1056"/>
      <c r="YZ210" s="1056"/>
      <c r="ZA210" s="1056"/>
      <c r="ZB210" s="1056"/>
      <c r="ZC210" s="1056"/>
      <c r="ZD210" s="1056"/>
      <c r="ZE210" s="1056"/>
      <c r="ZF210" s="1056"/>
      <c r="ZG210" s="1056"/>
      <c r="ZH210" s="1056"/>
      <c r="ZI210" s="1056"/>
      <c r="ZJ210" s="1056"/>
      <c r="ZK210" s="1056"/>
      <c r="ZL210" s="1056"/>
      <c r="ZM210" s="1056"/>
      <c r="ZN210" s="1056"/>
      <c r="ZO210" s="1056"/>
      <c r="ZP210" s="1056"/>
      <c r="ZQ210" s="1056"/>
      <c r="ZR210" s="1056"/>
      <c r="ZS210" s="1056"/>
      <c r="ZT210" s="1056"/>
      <c r="ZU210" s="1056"/>
      <c r="ZV210" s="1056"/>
      <c r="ZW210" s="1056"/>
      <c r="ZX210" s="1056"/>
      <c r="ZY210" s="1056"/>
      <c r="ZZ210" s="1056"/>
      <c r="AAA210" s="1056"/>
      <c r="AAB210" s="1056"/>
      <c r="AAC210" s="1056"/>
      <c r="AAD210" s="1056"/>
      <c r="AAE210" s="1056"/>
      <c r="AAF210" s="1056"/>
      <c r="AAG210" s="1056"/>
      <c r="AAH210" s="1056"/>
      <c r="AAI210" s="1056"/>
      <c r="AAJ210" s="1056"/>
      <c r="AAK210" s="1056"/>
      <c r="AAL210" s="1056"/>
      <c r="AAM210" s="1056"/>
      <c r="AAN210" s="1056"/>
      <c r="AAO210" s="1056"/>
      <c r="AAP210" s="1056"/>
      <c r="AAQ210" s="1056"/>
      <c r="AAR210" s="1056"/>
      <c r="AAS210" s="1056"/>
      <c r="AAT210" s="1056"/>
      <c r="AAU210" s="1056"/>
      <c r="AAV210" s="1056"/>
      <c r="AAW210" s="1056"/>
      <c r="AAX210" s="1056"/>
      <c r="AAY210" s="1056"/>
      <c r="AAZ210" s="1056"/>
      <c r="ABA210" s="1056"/>
      <c r="ABB210" s="1056"/>
      <c r="ABC210" s="1056"/>
      <c r="ABD210" s="1056"/>
      <c r="ABE210" s="1056"/>
      <c r="ABF210" s="1056"/>
      <c r="ABG210" s="1056"/>
      <c r="ABH210" s="1056"/>
      <c r="ABI210" s="1056"/>
      <c r="ABJ210" s="1056"/>
      <c r="ABK210" s="1056"/>
      <c r="ABL210" s="1056"/>
      <c r="ABM210" s="1056"/>
      <c r="ABN210" s="1056"/>
      <c r="ABO210" s="1056"/>
      <c r="ABP210" s="1056"/>
      <c r="ABQ210" s="1056"/>
      <c r="ABR210" s="1056"/>
      <c r="ABS210" s="1056"/>
      <c r="ABT210" s="1056"/>
      <c r="ABU210" s="1056"/>
      <c r="ABV210" s="1056"/>
      <c r="ABW210" s="1056"/>
      <c r="ABX210" s="1056"/>
      <c r="ABY210" s="1056"/>
      <c r="ABZ210" s="1056"/>
      <c r="ACA210" s="1056"/>
      <c r="ACB210" s="1056"/>
      <c r="ACC210" s="1056"/>
      <c r="ACD210" s="1056"/>
      <c r="ACE210" s="1056"/>
      <c r="ACF210" s="1056"/>
      <c r="ACG210" s="1056"/>
      <c r="ACH210" s="1056"/>
      <c r="ACI210" s="1056"/>
      <c r="ACJ210" s="1056"/>
      <c r="ACK210" s="1056"/>
      <c r="ACL210" s="1056"/>
      <c r="ACM210" s="1056"/>
      <c r="ACN210" s="1056"/>
      <c r="ACO210" s="1056"/>
      <c r="ACP210" s="1056"/>
      <c r="ACQ210" s="1056"/>
      <c r="ACR210" s="1056"/>
      <c r="ACS210" s="1056"/>
      <c r="ACT210" s="1056"/>
      <c r="ACU210" s="1056"/>
      <c r="ACV210" s="1056"/>
      <c r="ACW210" s="1056"/>
      <c r="ACX210" s="1056"/>
      <c r="ACY210" s="1056"/>
      <c r="ACZ210" s="1056"/>
      <c r="ADA210" s="1056"/>
      <c r="ADB210" s="1056"/>
      <c r="ADC210" s="1056"/>
      <c r="ADD210" s="1056"/>
      <c r="ADE210" s="1056"/>
      <c r="ADF210" s="1056"/>
      <c r="ADG210" s="1056"/>
      <c r="ADH210" s="1056"/>
      <c r="ADI210" s="1056"/>
      <c r="ADJ210" s="1056"/>
      <c r="ADK210" s="1056"/>
      <c r="ADL210" s="1056"/>
      <c r="ADM210" s="1056"/>
      <c r="ADN210" s="1056"/>
      <c r="ADO210" s="1056"/>
      <c r="ADP210" s="1056"/>
      <c r="ADQ210" s="1056"/>
      <c r="ADR210" s="1056"/>
      <c r="ADS210" s="1056"/>
      <c r="ADT210" s="1056"/>
      <c r="ADU210" s="1056"/>
      <c r="ADV210" s="1056"/>
      <c r="ADW210" s="1056"/>
      <c r="ADX210" s="1056"/>
      <c r="ADY210" s="1056"/>
      <c r="ADZ210" s="1056"/>
      <c r="AEA210" s="1056"/>
      <c r="AEB210" s="1056"/>
      <c r="AEC210" s="1056"/>
      <c r="AED210" s="1056"/>
      <c r="AEE210" s="1056"/>
      <c r="AEF210" s="1056"/>
      <c r="AEG210" s="1056"/>
      <c r="AEH210" s="1056"/>
      <c r="AEI210" s="1056"/>
      <c r="AEJ210" s="1056"/>
      <c r="AEK210" s="1056"/>
      <c r="AEL210" s="1056"/>
      <c r="AEM210" s="1056"/>
      <c r="AEN210" s="1056"/>
      <c r="AEO210" s="1056"/>
      <c r="AEP210" s="1056"/>
      <c r="AEQ210" s="1056"/>
      <c r="AER210" s="1056"/>
      <c r="AES210" s="1056"/>
      <c r="AET210" s="1056"/>
      <c r="AEU210" s="1056"/>
      <c r="AEV210" s="1056"/>
      <c r="AEW210" s="1056"/>
      <c r="AEX210" s="1056"/>
      <c r="AEY210" s="1056"/>
      <c r="AEZ210" s="1056"/>
      <c r="AFA210" s="1056"/>
      <c r="AFB210" s="1056"/>
      <c r="AFC210" s="1056"/>
      <c r="AFD210" s="1056"/>
      <c r="AFE210" s="1056"/>
      <c r="AFF210" s="1056"/>
      <c r="AFG210" s="1056"/>
      <c r="AFH210" s="1056"/>
      <c r="AFI210" s="1056"/>
      <c r="AFJ210" s="1056"/>
      <c r="AFK210" s="1056"/>
      <c r="AFL210" s="1056"/>
      <c r="AFM210" s="1056"/>
      <c r="AFN210" s="1056"/>
      <c r="AFO210" s="1056"/>
      <c r="AFP210" s="1056"/>
      <c r="AFQ210" s="1056"/>
      <c r="AFR210" s="1056"/>
      <c r="AFS210" s="1056"/>
      <c r="AFT210" s="1056"/>
      <c r="AFU210" s="1056"/>
      <c r="AFV210" s="1056"/>
      <c r="AFW210" s="1056"/>
      <c r="AFX210" s="1056"/>
      <c r="AFY210" s="1056"/>
      <c r="AFZ210" s="1056"/>
      <c r="AGA210" s="1056"/>
      <c r="AGB210" s="1056"/>
      <c r="AGC210" s="1056"/>
      <c r="AGD210" s="1056"/>
      <c r="AGE210" s="1056"/>
      <c r="AGF210" s="1056"/>
      <c r="AGG210" s="1056"/>
      <c r="AGH210" s="1056"/>
      <c r="AGI210" s="1056"/>
      <c r="AGJ210" s="1056"/>
      <c r="AGK210" s="1056"/>
      <c r="AGL210" s="1056"/>
      <c r="AGM210" s="1056"/>
      <c r="AGN210" s="1056"/>
      <c r="AGO210" s="1056"/>
      <c r="AGP210" s="1056"/>
      <c r="AGQ210" s="1056"/>
      <c r="AGR210" s="1056"/>
      <c r="AGS210" s="1056"/>
      <c r="AGT210" s="1056"/>
      <c r="AGU210" s="1056"/>
      <c r="AGV210" s="1056"/>
      <c r="AGW210" s="1056"/>
      <c r="AGX210" s="1056"/>
      <c r="AGY210" s="1056"/>
      <c r="AGZ210" s="1056"/>
      <c r="AHA210" s="1056"/>
      <c r="AHB210" s="1056"/>
      <c r="AHC210" s="1056"/>
      <c r="AHD210" s="1056"/>
      <c r="AHE210" s="1056"/>
      <c r="AHF210" s="1056"/>
      <c r="AHG210" s="1056"/>
      <c r="AHH210" s="1056"/>
      <c r="AHI210" s="1056"/>
      <c r="AHJ210" s="1056"/>
      <c r="AHK210" s="1056"/>
      <c r="AHL210" s="1056"/>
      <c r="AHM210" s="1056"/>
      <c r="AHN210" s="1056"/>
      <c r="AHO210" s="1056"/>
      <c r="AHP210" s="1056"/>
      <c r="AHQ210" s="1056"/>
      <c r="AHR210" s="1056"/>
      <c r="AHS210" s="1056"/>
      <c r="AHT210" s="1056"/>
      <c r="AHU210" s="1056"/>
      <c r="AHV210" s="1056"/>
      <c r="AHW210" s="1056"/>
      <c r="AHX210" s="1056"/>
      <c r="AHY210" s="1056"/>
      <c r="AHZ210" s="1056"/>
      <c r="AIA210" s="1056"/>
      <c r="AIB210" s="1056"/>
      <c r="AIC210" s="1056"/>
      <c r="AID210" s="1056"/>
      <c r="AIE210" s="1056"/>
      <c r="AIF210" s="1056"/>
      <c r="AIG210" s="1056"/>
      <c r="AIH210" s="1056"/>
      <c r="AII210" s="1056"/>
      <c r="AIJ210" s="1056"/>
      <c r="AIK210" s="1056"/>
      <c r="AIL210" s="1056"/>
      <c r="AIM210" s="1056"/>
      <c r="AIN210" s="1056"/>
      <c r="AIO210" s="1056"/>
      <c r="AIP210" s="1056"/>
      <c r="AIQ210" s="1056"/>
      <c r="AIR210" s="1056"/>
      <c r="AIS210" s="1056"/>
      <c r="AIT210" s="1056"/>
      <c r="AIU210" s="1056"/>
      <c r="AIV210" s="1056"/>
      <c r="AIW210" s="1056"/>
      <c r="AIX210" s="1056"/>
      <c r="AIY210" s="1056"/>
      <c r="AIZ210" s="1056"/>
      <c r="AJA210" s="1056"/>
      <c r="AJB210" s="1056"/>
      <c r="AJC210" s="1056"/>
      <c r="AJD210" s="1056"/>
      <c r="AJE210" s="1056"/>
      <c r="AJF210" s="1056"/>
      <c r="AJG210" s="1056"/>
      <c r="AJH210" s="1056"/>
      <c r="AJI210" s="1056"/>
      <c r="AJJ210" s="1056"/>
      <c r="AJK210" s="1056"/>
      <c r="AJL210" s="1056"/>
      <c r="AJM210" s="1056"/>
      <c r="AJN210" s="1056"/>
      <c r="AJO210" s="1056"/>
      <c r="AJP210" s="1056"/>
      <c r="AJQ210" s="1056"/>
      <c r="AJR210" s="1056"/>
      <c r="AJS210" s="1056"/>
      <c r="AJT210" s="1056"/>
      <c r="AJU210" s="1056"/>
      <c r="AJV210" s="1056"/>
      <c r="AJW210" s="1056"/>
      <c r="AJX210" s="1056"/>
      <c r="AJY210" s="1056"/>
      <c r="AJZ210" s="1056"/>
      <c r="AKA210" s="1056"/>
      <c r="AKB210" s="1056"/>
      <c r="AKC210" s="1056"/>
      <c r="AKD210" s="1056"/>
      <c r="AKE210" s="1056"/>
      <c r="AKF210" s="1056"/>
      <c r="AKG210" s="1056"/>
      <c r="AKH210" s="1056"/>
      <c r="AKI210" s="1056"/>
      <c r="AKJ210" s="1056"/>
      <c r="AKK210" s="1056"/>
      <c r="AKL210" s="1056"/>
      <c r="AKM210" s="1056"/>
      <c r="AKN210" s="1056"/>
      <c r="AKO210" s="1056"/>
      <c r="AKP210" s="1056"/>
      <c r="AKQ210" s="1056"/>
      <c r="AKR210" s="1056"/>
      <c r="AKS210" s="1056"/>
      <c r="AKT210" s="1056"/>
      <c r="AKU210" s="1056"/>
      <c r="AKV210" s="1056"/>
      <c r="AKW210" s="1056"/>
      <c r="AKX210" s="1056"/>
      <c r="AKY210" s="1056"/>
      <c r="AKZ210" s="1056"/>
      <c r="ALA210" s="1056"/>
      <c r="ALB210" s="1056"/>
      <c r="ALC210" s="1056"/>
      <c r="ALD210" s="1056"/>
      <c r="ALE210" s="1056"/>
      <c r="ALF210" s="1056"/>
      <c r="ALG210" s="1056"/>
      <c r="ALH210" s="1056"/>
      <c r="ALI210" s="1056"/>
      <c r="ALJ210" s="1056"/>
      <c r="ALK210" s="1056"/>
      <c r="ALL210" s="1056"/>
      <c r="ALM210" s="1056"/>
      <c r="ALN210" s="1056"/>
      <c r="ALO210" s="1056"/>
      <c r="ALP210" s="1056"/>
      <c r="ALQ210" s="1056"/>
      <c r="ALR210" s="1056"/>
      <c r="ALS210" s="1056"/>
      <c r="ALT210" s="1056"/>
      <c r="ALU210" s="1056"/>
      <c r="ALV210" s="1056"/>
      <c r="ALW210" s="1056"/>
      <c r="ALX210" s="1056"/>
      <c r="ALY210" s="1056"/>
      <c r="ALZ210" s="1056"/>
      <c r="AMA210" s="1056"/>
      <c r="AMB210" s="1056"/>
      <c r="AMC210" s="1056"/>
      <c r="AMD210" s="1056"/>
      <c r="AME210" s="1056"/>
      <c r="AMF210" s="1056"/>
      <c r="AMG210" s="1056"/>
      <c r="AMH210" s="1056"/>
      <c r="AMI210" s="1056"/>
      <c r="AMJ210" s="1056"/>
      <c r="AMK210" s="1056"/>
      <c r="AML210" s="1056"/>
      <c r="AMM210" s="1056"/>
      <c r="AMN210" s="1056"/>
      <c r="AMO210" s="1056"/>
      <c r="AMP210" s="1056"/>
      <c r="AMQ210" s="1056"/>
      <c r="AMR210" s="1056"/>
      <c r="AMS210" s="1056"/>
      <c r="AMT210" s="1056"/>
      <c r="AMU210" s="1056"/>
      <c r="AMV210" s="1056"/>
      <c r="AMW210" s="1056"/>
      <c r="AMX210" s="1056"/>
      <c r="AMY210" s="1056"/>
      <c r="AMZ210" s="1056"/>
      <c r="ANA210" s="1056"/>
      <c r="ANB210" s="1056"/>
      <c r="ANC210" s="1056"/>
      <c r="AND210" s="1056"/>
      <c r="ANE210" s="1056"/>
      <c r="ANF210" s="1056"/>
      <c r="ANG210" s="1056"/>
      <c r="ANH210" s="1056"/>
      <c r="ANI210" s="1056"/>
      <c r="ANJ210" s="1056"/>
      <c r="ANK210" s="1056"/>
      <c r="ANL210" s="1056"/>
      <c r="ANM210" s="1056"/>
      <c r="ANN210" s="1056"/>
      <c r="ANO210" s="1056"/>
      <c r="ANP210" s="1056"/>
      <c r="ANQ210" s="1056"/>
      <c r="ANR210" s="1056"/>
      <c r="ANS210" s="1056"/>
      <c r="ANT210" s="1056"/>
      <c r="ANU210" s="1056"/>
      <c r="ANV210" s="1056"/>
      <c r="ANW210" s="1056"/>
      <c r="ANX210" s="1056"/>
      <c r="ANY210" s="1056"/>
      <c r="ANZ210" s="1056"/>
      <c r="AOA210" s="1056"/>
      <c r="AOB210" s="1056"/>
      <c r="AOC210" s="1056"/>
      <c r="AOD210" s="1056"/>
      <c r="AOE210" s="1056"/>
      <c r="AOF210" s="1056"/>
      <c r="AOG210" s="1056"/>
      <c r="AOH210" s="1056"/>
      <c r="AOI210" s="1056"/>
      <c r="AOJ210" s="1056"/>
      <c r="AOK210" s="1056"/>
      <c r="AOL210" s="1056"/>
      <c r="AOM210" s="1056"/>
      <c r="AON210" s="1056"/>
      <c r="AOO210" s="1056"/>
      <c r="AOP210" s="1056"/>
      <c r="AOQ210" s="1056"/>
      <c r="AOR210" s="1056"/>
      <c r="AOS210" s="1056"/>
      <c r="AOT210" s="1056"/>
      <c r="AOU210" s="1056"/>
      <c r="AOV210" s="1056"/>
      <c r="AOW210" s="1056"/>
      <c r="AOX210" s="1056"/>
      <c r="AOY210" s="1056"/>
      <c r="AOZ210" s="1056"/>
      <c r="APA210" s="1056"/>
      <c r="APB210" s="1056"/>
      <c r="APC210" s="1056"/>
      <c r="APD210" s="1056"/>
      <c r="APE210" s="1056"/>
      <c r="APF210" s="1056"/>
      <c r="APG210" s="1056"/>
      <c r="APH210" s="1056"/>
      <c r="API210" s="1056"/>
      <c r="APJ210" s="1056"/>
      <c r="APK210" s="1056"/>
      <c r="APL210" s="1056"/>
      <c r="APM210" s="1056"/>
      <c r="APN210" s="1056"/>
      <c r="APO210" s="1056"/>
      <c r="APP210" s="1056"/>
      <c r="APQ210" s="1056"/>
      <c r="APR210" s="1056"/>
      <c r="APS210" s="1056"/>
      <c r="APT210" s="1056"/>
      <c r="APU210" s="1056"/>
      <c r="APV210" s="1056"/>
      <c r="APW210" s="1056"/>
      <c r="APX210" s="1056"/>
      <c r="APY210" s="1056"/>
      <c r="APZ210" s="1056"/>
      <c r="AQA210" s="1056"/>
      <c r="AQB210" s="1056"/>
      <c r="AQC210" s="1056"/>
      <c r="AQD210" s="1056"/>
      <c r="AQE210" s="1056"/>
      <c r="AQF210" s="1056"/>
      <c r="AQG210" s="1056"/>
      <c r="AQH210" s="1056"/>
      <c r="AQI210" s="1056"/>
      <c r="AQJ210" s="1056"/>
      <c r="AQK210" s="1056"/>
      <c r="AQL210" s="1056"/>
      <c r="AQM210" s="1056"/>
      <c r="AQN210" s="1056"/>
      <c r="AQO210" s="1056"/>
      <c r="AQP210" s="1056"/>
      <c r="AQQ210" s="1056"/>
      <c r="AQR210" s="1056"/>
      <c r="AQS210" s="1056"/>
      <c r="AQT210" s="1056"/>
      <c r="AQU210" s="1056"/>
      <c r="AQV210" s="1056"/>
      <c r="AQW210" s="1056"/>
      <c r="AQX210" s="1056"/>
      <c r="AQY210" s="1056"/>
      <c r="AQZ210" s="1056"/>
      <c r="ARA210" s="1056"/>
      <c r="ARB210" s="1056"/>
      <c r="ARC210" s="1056"/>
      <c r="ARD210" s="1056"/>
      <c r="ARE210" s="1056"/>
      <c r="ARF210" s="1056"/>
      <c r="ARG210" s="1056"/>
      <c r="ARH210" s="1056"/>
      <c r="ARI210" s="1056"/>
      <c r="ARJ210" s="1056"/>
      <c r="ARK210" s="1056"/>
      <c r="ARL210" s="1056"/>
      <c r="ARM210" s="1056"/>
      <c r="ARN210" s="1056"/>
      <c r="ARO210" s="1056"/>
      <c r="ARP210" s="1056"/>
      <c r="ARQ210" s="1056"/>
      <c r="ARR210" s="1056"/>
      <c r="ARS210" s="1056"/>
      <c r="ART210" s="1056"/>
      <c r="ARU210" s="1056"/>
      <c r="ARV210" s="1056"/>
      <c r="ARW210" s="1056"/>
      <c r="ARX210" s="1056"/>
      <c r="ARY210" s="1056"/>
      <c r="ARZ210" s="1056"/>
      <c r="ASA210" s="1056"/>
      <c r="ASB210" s="1056"/>
      <c r="ASC210" s="1056"/>
      <c r="ASD210" s="1056"/>
      <c r="ASE210" s="1056"/>
      <c r="ASF210" s="1056"/>
      <c r="ASG210" s="1056"/>
      <c r="ASH210" s="1056"/>
      <c r="ASI210" s="1056"/>
      <c r="ASJ210" s="1056"/>
      <c r="ASK210" s="1056"/>
      <c r="ASL210" s="1056"/>
      <c r="ASM210" s="1056"/>
      <c r="ASN210" s="1056"/>
      <c r="ASO210" s="1056"/>
      <c r="ASP210" s="1056"/>
      <c r="ASQ210" s="1056"/>
      <c r="ASR210" s="1056"/>
      <c r="ASS210" s="1056"/>
      <c r="AST210" s="1056"/>
      <c r="ASU210" s="1056"/>
      <c r="ASV210" s="1056"/>
      <c r="ASW210" s="1056"/>
      <c r="ASX210" s="1056"/>
      <c r="ASY210" s="1056"/>
      <c r="ASZ210" s="1056"/>
      <c r="ATA210" s="1056"/>
      <c r="ATB210" s="1056"/>
      <c r="ATC210" s="1056"/>
      <c r="ATD210" s="1056"/>
      <c r="ATE210" s="1056"/>
      <c r="ATF210" s="1056"/>
      <c r="ATG210" s="1056"/>
      <c r="ATH210" s="1056"/>
      <c r="ATI210" s="1056"/>
      <c r="ATJ210" s="1056"/>
      <c r="ATK210" s="1056"/>
      <c r="ATL210" s="1056"/>
      <c r="ATM210" s="1056"/>
      <c r="ATN210" s="1056"/>
      <c r="ATO210" s="1056"/>
      <c r="ATP210" s="1056"/>
      <c r="ATQ210" s="1056"/>
      <c r="ATR210" s="1056"/>
      <c r="ATS210" s="1056"/>
      <c r="ATT210" s="1056"/>
      <c r="ATU210" s="1056"/>
      <c r="ATV210" s="1056"/>
      <c r="ATW210" s="1056"/>
      <c r="ATX210" s="1056"/>
      <c r="ATY210" s="1056"/>
      <c r="ATZ210" s="1056"/>
      <c r="AUA210" s="1056"/>
      <c r="AUB210" s="1056"/>
      <c r="AUC210" s="1056"/>
      <c r="AUD210" s="1056"/>
      <c r="AUE210" s="1056"/>
      <c r="AUF210" s="1056"/>
      <c r="AUG210" s="1056"/>
      <c r="AUH210" s="1056"/>
      <c r="AUI210" s="1056"/>
      <c r="AUJ210" s="1056"/>
      <c r="AUK210" s="1056"/>
      <c r="AUL210" s="1056"/>
      <c r="AUM210" s="1056"/>
      <c r="AUN210" s="1056"/>
      <c r="AUO210" s="1056"/>
      <c r="AUP210" s="1056"/>
      <c r="AUQ210" s="1056"/>
      <c r="AUR210" s="1056"/>
      <c r="AUS210" s="1056"/>
      <c r="AUT210" s="1056"/>
      <c r="AUU210" s="1056"/>
      <c r="AUV210" s="1056"/>
      <c r="AUW210" s="1056"/>
      <c r="AUX210" s="1056"/>
      <c r="AUY210" s="1056"/>
      <c r="AUZ210" s="1056"/>
      <c r="AVA210" s="1056"/>
      <c r="AVB210" s="1056"/>
      <c r="AVC210" s="1056"/>
      <c r="AVD210" s="1056"/>
      <c r="AVE210" s="1056"/>
      <c r="AVF210" s="1056"/>
      <c r="AVG210" s="1056"/>
      <c r="AVH210" s="1056"/>
      <c r="AVI210" s="1056"/>
      <c r="AVJ210" s="1056"/>
      <c r="AVK210" s="1056"/>
      <c r="AVL210" s="1056"/>
      <c r="AVM210" s="1056"/>
      <c r="AVN210" s="1056"/>
      <c r="AVO210" s="1056"/>
      <c r="AVP210" s="1056"/>
      <c r="AVQ210" s="1056"/>
      <c r="AVR210" s="1056"/>
      <c r="AVS210" s="1056"/>
      <c r="AVT210" s="1056"/>
      <c r="AVU210" s="1056"/>
      <c r="AVV210" s="1056"/>
      <c r="AVW210" s="1056"/>
      <c r="AVX210" s="1056"/>
      <c r="AVY210" s="1056"/>
      <c r="AVZ210" s="1056"/>
      <c r="AWA210" s="1056"/>
      <c r="AWB210" s="1056"/>
      <c r="AWC210" s="1056"/>
      <c r="AWD210" s="1056"/>
      <c r="AWE210" s="1056"/>
      <c r="AWF210" s="1056"/>
      <c r="AWG210" s="1056"/>
      <c r="AWH210" s="1056"/>
      <c r="AWI210" s="1056"/>
      <c r="AWJ210" s="1056"/>
      <c r="AWK210" s="1056"/>
      <c r="AWL210" s="1056"/>
      <c r="AWM210" s="1056"/>
      <c r="AWN210" s="1056"/>
      <c r="AWO210" s="1056"/>
      <c r="AWP210" s="1056"/>
      <c r="AWQ210" s="1056"/>
      <c r="AWR210" s="1056"/>
      <c r="AWS210" s="1056"/>
      <c r="AWT210" s="1056"/>
      <c r="AWU210" s="1056"/>
      <c r="AWV210" s="1056"/>
      <c r="AWW210" s="1056"/>
      <c r="AWX210" s="1056"/>
      <c r="AWY210" s="1056"/>
      <c r="AWZ210" s="1056"/>
      <c r="AXA210" s="1056"/>
      <c r="AXB210" s="1056"/>
      <c r="AXC210" s="1056"/>
      <c r="AXD210" s="1056"/>
      <c r="AXE210" s="1056"/>
      <c r="AXF210" s="1056"/>
      <c r="AXG210" s="1056"/>
      <c r="AXH210" s="1056"/>
      <c r="AXI210" s="1056"/>
      <c r="AXJ210" s="1056"/>
      <c r="AXK210" s="1056"/>
      <c r="AXL210" s="1056"/>
      <c r="AXM210" s="1056"/>
      <c r="AXN210" s="1056"/>
      <c r="AXO210" s="1056"/>
      <c r="AXP210" s="1056"/>
      <c r="AXQ210" s="1056"/>
      <c r="AXR210" s="1056"/>
      <c r="AXS210" s="1056"/>
      <c r="AXT210" s="1056"/>
      <c r="AXU210" s="1056"/>
      <c r="AXV210" s="1056"/>
      <c r="AXW210" s="1056"/>
      <c r="AXX210" s="1056"/>
      <c r="AXY210" s="1056"/>
      <c r="AXZ210" s="1056"/>
      <c r="AYA210" s="1056"/>
      <c r="AYB210" s="1056"/>
      <c r="AYC210" s="1056"/>
      <c r="AYD210" s="1056"/>
      <c r="AYE210" s="1056"/>
      <c r="AYF210" s="1056"/>
      <c r="AYG210" s="1056"/>
      <c r="AYH210" s="1056"/>
      <c r="AYI210" s="1056"/>
      <c r="AYJ210" s="1056"/>
      <c r="AYK210" s="1056"/>
      <c r="AYL210" s="1056"/>
      <c r="AYM210" s="1056"/>
      <c r="AYN210" s="1056"/>
      <c r="AYO210" s="1056"/>
      <c r="AYP210" s="1056"/>
      <c r="AYQ210" s="1056"/>
      <c r="AYR210" s="1056"/>
      <c r="AYS210" s="1056"/>
      <c r="AYT210" s="1056"/>
      <c r="AYU210" s="1056"/>
      <c r="AYV210" s="1056"/>
      <c r="AYW210" s="1056"/>
      <c r="AYX210" s="1056"/>
      <c r="AYY210" s="1056"/>
      <c r="AYZ210" s="1056"/>
      <c r="AZA210" s="1056"/>
      <c r="AZB210" s="1056"/>
      <c r="AZC210" s="1056"/>
      <c r="AZD210" s="1056"/>
      <c r="AZE210" s="1056"/>
      <c r="AZF210" s="1056"/>
      <c r="AZG210" s="1056"/>
      <c r="AZH210" s="1056"/>
      <c r="AZI210" s="1056"/>
      <c r="AZJ210" s="1056"/>
      <c r="AZK210" s="1056"/>
      <c r="AZL210" s="1056"/>
      <c r="AZM210" s="1056"/>
      <c r="AZN210" s="1056"/>
      <c r="AZO210" s="1056"/>
      <c r="AZP210" s="1056"/>
      <c r="AZQ210" s="1056"/>
      <c r="AZR210" s="1056"/>
      <c r="AZS210" s="1056"/>
      <c r="AZT210" s="1056"/>
      <c r="AZU210" s="1056"/>
      <c r="AZV210" s="1056"/>
      <c r="AZW210" s="1056"/>
      <c r="AZX210" s="1056"/>
      <c r="AZY210" s="1056"/>
      <c r="AZZ210" s="1056"/>
      <c r="BAA210" s="1056"/>
      <c r="BAB210" s="1056"/>
      <c r="BAC210" s="1056"/>
      <c r="BAD210" s="1056"/>
      <c r="BAE210" s="1056"/>
      <c r="BAF210" s="1056"/>
      <c r="BAG210" s="1056"/>
      <c r="BAH210" s="1056"/>
      <c r="BAI210" s="1056"/>
      <c r="BAJ210" s="1056"/>
      <c r="BAK210" s="1056"/>
      <c r="BAL210" s="1056"/>
      <c r="BAM210" s="1056"/>
      <c r="BAN210" s="1056"/>
      <c r="BAO210" s="1056"/>
      <c r="BAP210" s="1056"/>
      <c r="BAQ210" s="1056"/>
      <c r="BAR210" s="1056"/>
      <c r="BAS210" s="1056"/>
      <c r="BAT210" s="1056"/>
      <c r="BAU210" s="1056"/>
      <c r="BAV210" s="1056"/>
      <c r="BAW210" s="1056"/>
      <c r="BAX210" s="1056"/>
      <c r="BAY210" s="1056"/>
      <c r="BAZ210" s="1056"/>
      <c r="BBA210" s="1056"/>
      <c r="BBB210" s="1056"/>
      <c r="BBC210" s="1056"/>
      <c r="BBD210" s="1056"/>
      <c r="BBE210" s="1056"/>
      <c r="BBF210" s="1056"/>
      <c r="BBG210" s="1056"/>
      <c r="BBH210" s="1056"/>
      <c r="BBI210" s="1056"/>
      <c r="BBJ210" s="1056"/>
      <c r="BBK210" s="1056"/>
      <c r="BBL210" s="1056"/>
      <c r="BBM210" s="1056"/>
      <c r="BBN210" s="1056"/>
      <c r="BBO210" s="1056"/>
      <c r="BBP210" s="1056"/>
      <c r="BBQ210" s="1056"/>
      <c r="BBR210" s="1056"/>
      <c r="BBS210" s="1056"/>
      <c r="BBT210" s="1056"/>
      <c r="BBU210" s="1056"/>
      <c r="BBV210" s="1056"/>
      <c r="BBW210" s="1056"/>
      <c r="BBX210" s="1056"/>
      <c r="BBY210" s="1056"/>
      <c r="BBZ210" s="1056"/>
      <c r="BCA210" s="1056"/>
      <c r="BCB210" s="1056"/>
      <c r="BCC210" s="1056"/>
      <c r="BCD210" s="1056"/>
      <c r="BCE210" s="1056"/>
      <c r="BCF210" s="1056"/>
      <c r="BCG210" s="1056"/>
      <c r="BCH210" s="1056"/>
      <c r="BCI210" s="1056"/>
      <c r="BCJ210" s="1056"/>
      <c r="BCK210" s="1056"/>
      <c r="BCL210" s="1056"/>
      <c r="BCM210" s="1056"/>
      <c r="BCN210" s="1056"/>
      <c r="BCO210" s="1056"/>
      <c r="BCP210" s="1056"/>
      <c r="BCQ210" s="1056"/>
      <c r="BCR210" s="1056"/>
      <c r="BCS210" s="1056"/>
      <c r="BCT210" s="1056"/>
      <c r="BCU210" s="1056"/>
      <c r="BCV210" s="1056"/>
      <c r="BCW210" s="1056"/>
      <c r="BCX210" s="1056"/>
      <c r="BCY210" s="1056"/>
      <c r="BCZ210" s="1056"/>
      <c r="BDA210" s="1056"/>
      <c r="BDB210" s="1056"/>
      <c r="BDC210" s="1056"/>
      <c r="BDD210" s="1056"/>
      <c r="BDE210" s="1056"/>
      <c r="BDF210" s="1056"/>
      <c r="BDG210" s="1056"/>
      <c r="BDH210" s="1056"/>
      <c r="BDI210" s="1056"/>
      <c r="BDJ210" s="1056"/>
      <c r="BDK210" s="1056"/>
      <c r="BDL210" s="1056"/>
      <c r="BDM210" s="1056"/>
      <c r="BDN210" s="1056"/>
      <c r="BDO210" s="1056"/>
      <c r="BDP210" s="1056"/>
      <c r="BDQ210" s="1056"/>
      <c r="BDR210" s="1056"/>
      <c r="BDS210" s="1056"/>
      <c r="BDT210" s="1056"/>
      <c r="BDU210" s="1056"/>
      <c r="BDV210" s="1056"/>
      <c r="BDW210" s="1056"/>
      <c r="BDX210" s="1056"/>
      <c r="BDY210" s="1056"/>
      <c r="BDZ210" s="1056"/>
      <c r="BEA210" s="1056"/>
      <c r="BEB210" s="1056"/>
      <c r="BEC210" s="1056"/>
      <c r="BED210" s="1056"/>
      <c r="BEE210" s="1056"/>
      <c r="BEF210" s="1056"/>
      <c r="BEG210" s="1056"/>
      <c r="BEH210" s="1056"/>
      <c r="BEI210" s="1056"/>
      <c r="BEJ210" s="1056"/>
      <c r="BEK210" s="1056"/>
      <c r="BEL210" s="1056"/>
      <c r="BEM210" s="1056"/>
      <c r="BEN210" s="1056"/>
      <c r="BEO210" s="1056"/>
      <c r="BEP210" s="1056"/>
      <c r="BEQ210" s="1056"/>
      <c r="BER210" s="1056"/>
      <c r="BES210" s="1056"/>
      <c r="BET210" s="1056"/>
      <c r="BEU210" s="1056"/>
      <c r="BEV210" s="1056"/>
      <c r="BEW210" s="1056"/>
      <c r="BEX210" s="1056"/>
      <c r="BEY210" s="1056"/>
      <c r="BEZ210" s="1056"/>
      <c r="BFA210" s="1056"/>
      <c r="BFB210" s="1056"/>
      <c r="BFC210" s="1056"/>
      <c r="BFD210" s="1056"/>
      <c r="BFE210" s="1056"/>
      <c r="BFF210" s="1056"/>
      <c r="BFG210" s="1056"/>
      <c r="BFH210" s="1056"/>
      <c r="BFI210" s="1056"/>
      <c r="BFJ210" s="1056"/>
      <c r="BFK210" s="1056"/>
      <c r="BFL210" s="1056"/>
      <c r="BFM210" s="1056"/>
      <c r="BFN210" s="1056"/>
      <c r="BFO210" s="1056"/>
      <c r="BFP210" s="1056"/>
      <c r="BFQ210" s="1056"/>
      <c r="BFR210" s="1056"/>
      <c r="BFS210" s="1056"/>
      <c r="BFT210" s="1056"/>
      <c r="BFU210" s="1056"/>
      <c r="BFV210" s="1056"/>
      <c r="BFW210" s="1056"/>
      <c r="BFX210" s="1056"/>
      <c r="BFY210" s="1056"/>
      <c r="BFZ210" s="1056"/>
      <c r="BGA210" s="1056"/>
      <c r="BGB210" s="1056"/>
      <c r="BGC210" s="1056"/>
      <c r="BGD210" s="1056"/>
      <c r="BGE210" s="1056"/>
      <c r="BGF210" s="1056"/>
      <c r="BGG210" s="1056"/>
      <c r="BGH210" s="1056"/>
      <c r="BGI210" s="1056"/>
      <c r="BGJ210" s="1056"/>
      <c r="BGK210" s="1056"/>
      <c r="BGL210" s="1056"/>
      <c r="BGM210" s="1056"/>
      <c r="BGN210" s="1056"/>
      <c r="BGO210" s="1056"/>
      <c r="BGP210" s="1056"/>
      <c r="BGQ210" s="1056"/>
      <c r="BGR210" s="1056"/>
      <c r="BGS210" s="1056"/>
      <c r="BGT210" s="1056"/>
      <c r="BGU210" s="1056"/>
      <c r="BGV210" s="1056"/>
      <c r="BGW210" s="1056"/>
      <c r="BGX210" s="1056"/>
      <c r="BGY210" s="1056"/>
      <c r="BGZ210" s="1056"/>
      <c r="BHA210" s="1056"/>
      <c r="BHB210" s="1056"/>
      <c r="BHC210" s="1056"/>
      <c r="BHD210" s="1056"/>
      <c r="BHE210" s="1056"/>
      <c r="BHF210" s="1056"/>
      <c r="BHG210" s="1056"/>
      <c r="BHH210" s="1056"/>
      <c r="BHI210" s="1056"/>
      <c r="BHJ210" s="1056"/>
      <c r="BHK210" s="1056"/>
      <c r="BHL210" s="1056"/>
      <c r="BHM210" s="1056"/>
      <c r="BHN210" s="1056"/>
      <c r="BHO210" s="1056"/>
      <c r="BHP210" s="1056"/>
      <c r="BHQ210" s="1056"/>
      <c r="BHR210" s="1056"/>
      <c r="BHS210" s="1056"/>
      <c r="BHT210" s="1056"/>
      <c r="BHU210" s="1056"/>
      <c r="BHV210" s="1056"/>
      <c r="BHW210" s="1056"/>
      <c r="BHX210" s="1056"/>
      <c r="BHY210" s="1056"/>
      <c r="BHZ210" s="1056"/>
      <c r="BIA210" s="1056"/>
      <c r="BIB210" s="1056"/>
      <c r="BIC210" s="1056"/>
      <c r="BID210" s="1056"/>
      <c r="BIE210" s="1056"/>
      <c r="BIF210" s="1056"/>
      <c r="BIG210" s="1056"/>
      <c r="BIH210" s="1056"/>
      <c r="BII210" s="1056"/>
      <c r="BIJ210" s="1056"/>
      <c r="BIK210" s="1056"/>
      <c r="BIL210" s="1056"/>
      <c r="BIM210" s="1056"/>
      <c r="BIN210" s="1056"/>
      <c r="BIO210" s="1056"/>
      <c r="BIP210" s="1056"/>
      <c r="BIQ210" s="1056"/>
      <c r="BIR210" s="1056"/>
      <c r="BIS210" s="1056"/>
      <c r="BIT210" s="1056"/>
      <c r="BIU210" s="1056"/>
      <c r="BIV210" s="1056"/>
      <c r="BIW210" s="1056"/>
      <c r="BIX210" s="1056"/>
      <c r="BIY210" s="1056"/>
      <c r="BIZ210" s="1056"/>
      <c r="BJA210" s="1056"/>
      <c r="BJB210" s="1056"/>
      <c r="BJC210" s="1056"/>
      <c r="BJD210" s="1056"/>
      <c r="BJE210" s="1056"/>
      <c r="BJF210" s="1056"/>
      <c r="BJG210" s="1056"/>
      <c r="BJH210" s="1056"/>
      <c r="BJI210" s="1056"/>
      <c r="BJJ210" s="1056"/>
      <c r="BJK210" s="1056"/>
      <c r="BJL210" s="1056"/>
      <c r="BJM210" s="1056"/>
      <c r="BJN210" s="1056"/>
      <c r="BJO210" s="1056"/>
      <c r="BJP210" s="1056"/>
      <c r="BJQ210" s="1056"/>
      <c r="BJR210" s="1056"/>
      <c r="BJS210" s="1056"/>
      <c r="BJT210" s="1056"/>
      <c r="BJU210" s="1056"/>
      <c r="BJV210" s="1056"/>
      <c r="BJW210" s="1056"/>
      <c r="BJX210" s="1056"/>
      <c r="BJY210" s="1056"/>
      <c r="BJZ210" s="1056"/>
      <c r="BKA210" s="1056"/>
      <c r="BKB210" s="1056"/>
      <c r="BKC210" s="1056"/>
      <c r="BKD210" s="1056"/>
      <c r="BKE210" s="1056"/>
      <c r="BKF210" s="1056"/>
      <c r="BKG210" s="1056"/>
      <c r="BKH210" s="1056"/>
      <c r="BKI210" s="1056"/>
      <c r="BKJ210" s="1056"/>
      <c r="BKK210" s="1056"/>
      <c r="BKL210" s="1056"/>
      <c r="BKM210" s="1056"/>
      <c r="BKN210" s="1056"/>
      <c r="BKO210" s="1056"/>
      <c r="BKP210" s="1056"/>
      <c r="BKQ210" s="1056"/>
      <c r="BKR210" s="1056"/>
      <c r="BKS210" s="1056"/>
      <c r="BKT210" s="1056"/>
      <c r="BKU210" s="1056"/>
      <c r="BKV210" s="1056"/>
      <c r="BKW210" s="1056"/>
      <c r="BKX210" s="1056"/>
      <c r="BKY210" s="1056"/>
      <c r="BKZ210" s="1056"/>
      <c r="BLA210" s="1056"/>
      <c r="BLB210" s="1056"/>
      <c r="BLC210" s="1056"/>
      <c r="BLD210" s="1056"/>
      <c r="BLE210" s="1056"/>
      <c r="BLF210" s="1056"/>
      <c r="BLG210" s="1056"/>
      <c r="BLH210" s="1056"/>
      <c r="BLI210" s="1056"/>
      <c r="BLJ210" s="1056"/>
      <c r="BLK210" s="1056"/>
      <c r="BLL210" s="1056"/>
      <c r="BLM210" s="1056"/>
      <c r="BLN210" s="1056"/>
      <c r="BLO210" s="1056"/>
      <c r="BLP210" s="1056"/>
      <c r="BLQ210" s="1056"/>
      <c r="BLR210" s="1056"/>
      <c r="BLS210" s="1056"/>
      <c r="BLT210" s="1056"/>
      <c r="BLU210" s="1056"/>
      <c r="BLV210" s="1056"/>
      <c r="BLW210" s="1056"/>
      <c r="BLX210" s="1056"/>
      <c r="BLY210" s="1056"/>
      <c r="BLZ210" s="1056"/>
      <c r="BMA210" s="1056"/>
      <c r="BMB210" s="1056"/>
      <c r="BMC210" s="1056"/>
      <c r="BMD210" s="1056"/>
      <c r="BME210" s="1056"/>
      <c r="BMF210" s="1056"/>
      <c r="BMG210" s="1056"/>
      <c r="BMH210" s="1056"/>
      <c r="BMI210" s="1056"/>
      <c r="BMJ210" s="1056"/>
      <c r="BMK210" s="1056"/>
      <c r="BML210" s="1056"/>
      <c r="BMM210" s="1056"/>
      <c r="BMN210" s="1056"/>
      <c r="BMO210" s="1056"/>
      <c r="BMP210" s="1056"/>
      <c r="BMQ210" s="1056"/>
      <c r="BMR210" s="1056"/>
      <c r="BMS210" s="1056"/>
      <c r="BMT210" s="1056"/>
      <c r="BMU210" s="1056"/>
      <c r="BMV210" s="1056"/>
      <c r="BMW210" s="1056"/>
      <c r="BMX210" s="1056"/>
      <c r="BMY210" s="1056"/>
      <c r="BMZ210" s="1056"/>
      <c r="BNA210" s="1056"/>
      <c r="BNB210" s="1056"/>
      <c r="BNC210" s="1056"/>
      <c r="BND210" s="1056"/>
      <c r="BNE210" s="1056"/>
      <c r="BNF210" s="1056"/>
      <c r="BNG210" s="1056"/>
      <c r="BNH210" s="1056"/>
      <c r="BNI210" s="1056"/>
      <c r="BNJ210" s="1056"/>
      <c r="BNK210" s="1056"/>
      <c r="BNL210" s="1056"/>
      <c r="BNM210" s="1056"/>
      <c r="BNN210" s="1056"/>
      <c r="BNO210" s="1056"/>
      <c r="BNP210" s="1056"/>
      <c r="BNQ210" s="1056"/>
      <c r="BNR210" s="1056"/>
      <c r="BNS210" s="1056"/>
      <c r="BNT210" s="1056"/>
      <c r="BNU210" s="1056"/>
      <c r="BNV210" s="1056"/>
      <c r="BNW210" s="1056"/>
      <c r="BNX210" s="1056"/>
      <c r="BNY210" s="1056"/>
      <c r="BNZ210" s="1056"/>
      <c r="BOA210" s="1056"/>
      <c r="BOB210" s="1056"/>
      <c r="BOC210" s="1056"/>
      <c r="BOD210" s="1056"/>
      <c r="BOE210" s="1056"/>
      <c r="BOF210" s="1056"/>
      <c r="BOG210" s="1056"/>
      <c r="BOH210" s="1056"/>
      <c r="BOI210" s="1056"/>
      <c r="BOJ210" s="1056"/>
      <c r="BOK210" s="1056"/>
      <c r="BOL210" s="1056"/>
      <c r="BOM210" s="1056"/>
      <c r="BON210" s="1056"/>
      <c r="BOO210" s="1056"/>
      <c r="BOP210" s="1056"/>
      <c r="BOQ210" s="1056"/>
      <c r="BOR210" s="1056"/>
      <c r="BOS210" s="1056"/>
      <c r="BOT210" s="1056"/>
      <c r="BOU210" s="1056"/>
      <c r="BOV210" s="1056"/>
      <c r="BOW210" s="1056"/>
      <c r="BOX210" s="1056"/>
      <c r="BOY210" s="1056"/>
      <c r="BOZ210" s="1056"/>
      <c r="BPA210" s="1056"/>
      <c r="BPB210" s="1056"/>
      <c r="BPC210" s="1056"/>
      <c r="BPD210" s="1056"/>
      <c r="BPE210" s="1056"/>
      <c r="BPF210" s="1056"/>
      <c r="BPG210" s="1056"/>
      <c r="BPH210" s="1056"/>
      <c r="BPI210" s="1056"/>
      <c r="BPJ210" s="1056"/>
      <c r="BPK210" s="1056"/>
      <c r="BPL210" s="1056"/>
      <c r="BPM210" s="1056"/>
      <c r="BPN210" s="1056"/>
      <c r="BPO210" s="1056"/>
      <c r="BPP210" s="1056"/>
      <c r="BPQ210" s="1056"/>
      <c r="BPR210" s="1056"/>
      <c r="BPS210" s="1056"/>
      <c r="BPT210" s="1056"/>
      <c r="BPU210" s="1056"/>
      <c r="BPV210" s="1056"/>
      <c r="BPW210" s="1056"/>
      <c r="BPX210" s="1056"/>
      <c r="BPY210" s="1056"/>
      <c r="BPZ210" s="1056"/>
      <c r="BQA210" s="1056"/>
      <c r="BQB210" s="1056"/>
      <c r="BQC210" s="1056"/>
      <c r="BQD210" s="1056"/>
      <c r="BQE210" s="1056"/>
      <c r="BQF210" s="1056"/>
      <c r="BQG210" s="1056"/>
      <c r="BQH210" s="1056"/>
      <c r="BQI210" s="1056"/>
      <c r="BQJ210" s="1056"/>
      <c r="BQK210" s="1056"/>
      <c r="BQL210" s="1056"/>
      <c r="BQM210" s="1056"/>
      <c r="BQN210" s="1056"/>
      <c r="BQO210" s="1056"/>
      <c r="BQP210" s="1056"/>
      <c r="BQQ210" s="1056"/>
      <c r="BQR210" s="1056"/>
      <c r="BQS210" s="1056"/>
      <c r="BQT210" s="1056"/>
      <c r="BQU210" s="1056"/>
      <c r="BQV210" s="1056"/>
      <c r="BQW210" s="1056"/>
      <c r="BQX210" s="1056"/>
      <c r="BQY210" s="1056"/>
      <c r="BQZ210" s="1056"/>
      <c r="BRA210" s="1056"/>
      <c r="BRB210" s="1056"/>
      <c r="BRC210" s="1056"/>
      <c r="BRD210" s="1056"/>
      <c r="BRE210" s="1056"/>
      <c r="BRF210" s="1056"/>
      <c r="BRG210" s="1056"/>
      <c r="BRH210" s="1056"/>
      <c r="BRI210" s="1056"/>
      <c r="BRJ210" s="1056"/>
      <c r="BRK210" s="1056"/>
      <c r="BRL210" s="1056"/>
      <c r="BRM210" s="1056"/>
      <c r="BRN210" s="1056"/>
      <c r="BRO210" s="1056"/>
      <c r="BRP210" s="1056"/>
      <c r="BRQ210" s="1056"/>
      <c r="BRR210" s="1056"/>
      <c r="BRS210" s="1056"/>
      <c r="BRT210" s="1056"/>
      <c r="BRU210" s="1056"/>
      <c r="BRV210" s="1056"/>
      <c r="BRW210" s="1056"/>
      <c r="BRX210" s="1056"/>
      <c r="BRY210" s="1056"/>
      <c r="BRZ210" s="1056"/>
      <c r="BSA210" s="1056"/>
      <c r="BSB210" s="1056"/>
      <c r="BSC210" s="1056"/>
      <c r="BSD210" s="1056"/>
      <c r="BSE210" s="1056"/>
      <c r="BSF210" s="1056"/>
      <c r="BSG210" s="1056"/>
      <c r="BSH210" s="1056"/>
      <c r="BSI210" s="1056"/>
      <c r="BSJ210" s="1056"/>
      <c r="BSK210" s="1056"/>
      <c r="BSL210" s="1056"/>
      <c r="BSM210" s="1056"/>
      <c r="BSN210" s="1056"/>
      <c r="BSO210" s="1056"/>
      <c r="BSP210" s="1056"/>
      <c r="BSQ210" s="1056"/>
      <c r="BSR210" s="1056"/>
      <c r="BSS210" s="1056"/>
      <c r="BST210" s="1056"/>
      <c r="BSU210" s="1056"/>
      <c r="BSV210" s="1056"/>
      <c r="BSW210" s="1056"/>
      <c r="BSX210" s="1056"/>
      <c r="BSY210" s="1056"/>
      <c r="BSZ210" s="1056"/>
      <c r="BTA210" s="1056"/>
      <c r="BTB210" s="1056"/>
      <c r="BTC210" s="1056"/>
      <c r="BTD210" s="1056"/>
      <c r="BTE210" s="1056"/>
      <c r="BTF210" s="1056"/>
      <c r="BTG210" s="1056"/>
      <c r="BTH210" s="1056"/>
      <c r="BTI210" s="1056"/>
    </row>
    <row r="211" spans="1:1881" s="1060" customFormat="1" x14ac:dyDescent="0.3">
      <c r="A211" s="1059"/>
      <c r="B211" s="819" t="s">
        <v>71</v>
      </c>
      <c r="C211" s="819"/>
      <c r="D211" s="819"/>
      <c r="E211" s="819"/>
      <c r="F211" s="850"/>
      <c r="G211" s="838"/>
      <c r="H211" s="764"/>
      <c r="I211" s="1055"/>
      <c r="J211" s="1068"/>
      <c r="K211" s="1056"/>
      <c r="L211" s="1056"/>
      <c r="M211" s="1056"/>
      <c r="N211" s="1058"/>
      <c r="O211" s="1056"/>
      <c r="P211" s="1056"/>
      <c r="Q211" s="1056"/>
      <c r="R211" s="1056"/>
      <c r="S211" s="1056"/>
      <c r="T211" s="1056"/>
      <c r="U211" s="1056"/>
      <c r="V211" s="1056"/>
      <c r="W211" s="1056"/>
      <c r="X211" s="1056"/>
      <c r="Y211" s="1056"/>
      <c r="Z211" s="1059"/>
      <c r="AA211" s="1059"/>
      <c r="AB211" s="1059"/>
      <c r="AC211" s="1059"/>
      <c r="AD211" s="1059"/>
      <c r="AE211" s="1059"/>
      <c r="AF211" s="1059"/>
      <c r="AG211" s="1059"/>
      <c r="AH211" s="1059"/>
      <c r="AI211" s="1059"/>
      <c r="AJ211" s="1059"/>
      <c r="AK211" s="1059"/>
      <c r="AL211" s="1059"/>
      <c r="AM211" s="1059"/>
      <c r="AN211" s="1059"/>
      <c r="AO211" s="1059"/>
      <c r="AP211" s="1059"/>
      <c r="AQ211" s="1059"/>
      <c r="AR211" s="1059"/>
      <c r="AS211" s="1056"/>
      <c r="AT211" s="1056"/>
      <c r="AU211" s="1056"/>
      <c r="AV211" s="1056"/>
      <c r="AW211" s="1056"/>
      <c r="AX211" s="1056"/>
      <c r="AY211" s="1056"/>
      <c r="AZ211" s="1056"/>
      <c r="BA211" s="1056"/>
      <c r="BB211" s="1056"/>
      <c r="BC211" s="1056"/>
      <c r="BD211" s="1056"/>
      <c r="BE211" s="1056"/>
      <c r="BF211" s="1056"/>
      <c r="BG211" s="1056"/>
      <c r="BH211" s="1056"/>
      <c r="BI211" s="1056"/>
      <c r="BJ211" s="1056"/>
      <c r="BK211" s="1056"/>
      <c r="BL211" s="1056"/>
      <c r="BM211" s="1056"/>
      <c r="BN211" s="1056"/>
      <c r="BO211" s="1056"/>
      <c r="BP211" s="1056"/>
      <c r="BQ211" s="1056"/>
      <c r="BR211" s="1056"/>
      <c r="BS211" s="1056"/>
      <c r="BT211" s="1056"/>
      <c r="BU211" s="1056"/>
      <c r="BV211" s="1056"/>
      <c r="BW211" s="1056"/>
      <c r="BX211" s="1056"/>
      <c r="BY211" s="1056"/>
      <c r="BZ211" s="1056"/>
      <c r="CA211" s="1056"/>
      <c r="CB211" s="1056"/>
      <c r="CC211" s="1056"/>
      <c r="CD211" s="1056"/>
      <c r="CE211" s="1056"/>
      <c r="CF211" s="1056"/>
      <c r="CG211" s="1056"/>
      <c r="CH211" s="1056"/>
      <c r="CI211" s="1056"/>
      <c r="CJ211" s="1056"/>
      <c r="CK211" s="1056"/>
      <c r="CL211" s="1056"/>
      <c r="CM211" s="1056"/>
      <c r="CN211" s="1056"/>
      <c r="CO211" s="1056"/>
      <c r="CP211" s="1056"/>
      <c r="CQ211" s="1056"/>
      <c r="CR211" s="1056"/>
      <c r="CS211" s="1056"/>
      <c r="CT211" s="1056"/>
      <c r="CU211" s="1056"/>
      <c r="CV211" s="1056"/>
      <c r="CW211" s="1056"/>
      <c r="CX211" s="1056"/>
      <c r="CY211" s="1056"/>
      <c r="CZ211" s="1056"/>
      <c r="DA211" s="1056"/>
      <c r="DB211" s="1056"/>
      <c r="DC211" s="1056"/>
      <c r="DD211" s="1056"/>
      <c r="DE211" s="1056"/>
      <c r="DF211" s="1056"/>
      <c r="DG211" s="1056"/>
      <c r="DH211" s="1056"/>
      <c r="DI211" s="1056"/>
      <c r="DJ211" s="1056"/>
      <c r="DK211" s="1056"/>
      <c r="DL211" s="1056"/>
      <c r="DM211" s="1056"/>
      <c r="DN211" s="1056"/>
      <c r="DO211" s="1056"/>
      <c r="DP211" s="1056"/>
      <c r="DQ211" s="1056"/>
      <c r="DR211" s="1056"/>
      <c r="DS211" s="1056"/>
      <c r="DT211" s="1056"/>
      <c r="DU211" s="1056"/>
      <c r="DV211" s="1056"/>
      <c r="DW211" s="1056"/>
      <c r="DX211" s="1056"/>
      <c r="DY211" s="1056"/>
      <c r="DZ211" s="1056"/>
      <c r="EA211" s="1056"/>
      <c r="EB211" s="1056"/>
      <c r="EC211" s="1056"/>
      <c r="ED211" s="1056"/>
      <c r="EE211" s="1056"/>
      <c r="EF211" s="1056"/>
      <c r="EG211" s="1056"/>
      <c r="EH211" s="1056"/>
      <c r="EI211" s="1056"/>
      <c r="EJ211" s="1056"/>
      <c r="EK211" s="1056"/>
      <c r="EL211" s="1056"/>
      <c r="EM211" s="1056"/>
      <c r="EN211" s="1056"/>
      <c r="EO211" s="1056"/>
      <c r="EP211" s="1056"/>
      <c r="EQ211" s="1056"/>
      <c r="ER211" s="1056"/>
      <c r="ES211" s="1056"/>
      <c r="ET211" s="1056"/>
      <c r="EU211" s="1056"/>
      <c r="EV211" s="1056"/>
      <c r="EW211" s="1056"/>
      <c r="EX211" s="1056"/>
      <c r="EY211" s="1056"/>
      <c r="EZ211" s="1056"/>
      <c r="FA211" s="1056"/>
      <c r="FB211" s="1056"/>
      <c r="FC211" s="1056"/>
      <c r="FD211" s="1056"/>
      <c r="FE211" s="1056"/>
      <c r="FF211" s="1056"/>
      <c r="FG211" s="1056"/>
      <c r="FH211" s="1056"/>
      <c r="FI211" s="1056"/>
      <c r="FJ211" s="1056"/>
      <c r="FK211" s="1056"/>
      <c r="FL211" s="1056"/>
      <c r="FM211" s="1056"/>
      <c r="FN211" s="1056"/>
      <c r="FO211" s="1056"/>
      <c r="FP211" s="1056"/>
      <c r="FQ211" s="1056"/>
      <c r="FR211" s="1056"/>
      <c r="FS211" s="1056"/>
      <c r="FT211" s="1056"/>
      <c r="FU211" s="1056"/>
      <c r="FV211" s="1056"/>
      <c r="FW211" s="1056"/>
      <c r="FX211" s="1056"/>
      <c r="FY211" s="1056"/>
      <c r="FZ211" s="1056"/>
      <c r="GA211" s="1056"/>
      <c r="GB211" s="1056"/>
      <c r="GC211" s="1056"/>
      <c r="GD211" s="1056"/>
      <c r="GE211" s="1056"/>
      <c r="GF211" s="1056"/>
      <c r="GG211" s="1056"/>
      <c r="GH211" s="1056"/>
      <c r="GI211" s="1056"/>
      <c r="GJ211" s="1056"/>
      <c r="GK211" s="1056"/>
      <c r="GL211" s="1056"/>
      <c r="GM211" s="1056"/>
      <c r="GN211" s="1056"/>
      <c r="GO211" s="1056"/>
      <c r="GP211" s="1056"/>
      <c r="GQ211" s="1056"/>
      <c r="GR211" s="1056"/>
      <c r="GS211" s="1056"/>
      <c r="GT211" s="1056"/>
      <c r="GU211" s="1056"/>
      <c r="GV211" s="1056"/>
      <c r="GW211" s="1056"/>
      <c r="GX211" s="1056"/>
      <c r="GY211" s="1056"/>
      <c r="GZ211" s="1056"/>
      <c r="HA211" s="1056"/>
      <c r="HB211" s="1056"/>
      <c r="HC211" s="1056"/>
      <c r="HD211" s="1056"/>
      <c r="HE211" s="1056"/>
      <c r="HF211" s="1056"/>
      <c r="HG211" s="1056"/>
      <c r="HH211" s="1056"/>
      <c r="HI211" s="1056"/>
      <c r="HJ211" s="1056"/>
      <c r="HK211" s="1056"/>
      <c r="HL211" s="1056"/>
      <c r="HM211" s="1056"/>
      <c r="HN211" s="1056"/>
      <c r="HO211" s="1056"/>
      <c r="HP211" s="1056"/>
      <c r="HQ211" s="1056"/>
      <c r="HR211" s="1056"/>
      <c r="HS211" s="1056"/>
      <c r="HT211" s="1056"/>
      <c r="HU211" s="1056"/>
      <c r="HV211" s="1056"/>
      <c r="HW211" s="1056"/>
      <c r="HX211" s="1056"/>
      <c r="HY211" s="1056"/>
      <c r="HZ211" s="1056"/>
      <c r="IA211" s="1056"/>
      <c r="IB211" s="1056"/>
      <c r="IC211" s="1056"/>
      <c r="ID211" s="1056"/>
      <c r="IE211" s="1056"/>
      <c r="IF211" s="1056"/>
      <c r="IG211" s="1056"/>
      <c r="IH211" s="1056"/>
      <c r="II211" s="1056"/>
      <c r="IJ211" s="1056"/>
      <c r="IK211" s="1056"/>
      <c r="IL211" s="1056"/>
      <c r="IM211" s="1056"/>
      <c r="IN211" s="1056"/>
      <c r="IO211" s="1056"/>
      <c r="IP211" s="1056"/>
      <c r="IQ211" s="1056"/>
      <c r="IR211" s="1056"/>
      <c r="IS211" s="1056"/>
      <c r="IT211" s="1056"/>
      <c r="IU211" s="1056"/>
      <c r="IV211" s="1056"/>
      <c r="IW211" s="1056"/>
      <c r="IX211" s="1056"/>
      <c r="IY211" s="1056"/>
      <c r="IZ211" s="1056"/>
      <c r="JA211" s="1056"/>
      <c r="JB211" s="1056"/>
      <c r="JC211" s="1056"/>
      <c r="JD211" s="1056"/>
      <c r="JE211" s="1056"/>
      <c r="JF211" s="1056"/>
      <c r="JG211" s="1056"/>
      <c r="JH211" s="1056"/>
      <c r="JI211" s="1056"/>
      <c r="JJ211" s="1056"/>
      <c r="JK211" s="1056"/>
      <c r="JL211" s="1056"/>
      <c r="JM211" s="1056"/>
      <c r="JN211" s="1056"/>
      <c r="JO211" s="1056"/>
      <c r="JP211" s="1056"/>
      <c r="JQ211" s="1056"/>
      <c r="JR211" s="1056"/>
      <c r="JS211" s="1056"/>
      <c r="JT211" s="1056"/>
      <c r="JU211" s="1056"/>
      <c r="JV211" s="1056"/>
      <c r="JW211" s="1056"/>
      <c r="JX211" s="1056"/>
      <c r="JY211" s="1056"/>
      <c r="JZ211" s="1056"/>
      <c r="KA211" s="1056"/>
      <c r="KB211" s="1056"/>
      <c r="KC211" s="1056"/>
      <c r="KD211" s="1056"/>
      <c r="KE211" s="1056"/>
      <c r="KF211" s="1056"/>
      <c r="KG211" s="1056"/>
      <c r="KH211" s="1056"/>
      <c r="KI211" s="1056"/>
      <c r="KJ211" s="1056"/>
      <c r="KK211" s="1056"/>
      <c r="KL211" s="1056"/>
      <c r="KM211" s="1056"/>
      <c r="KN211" s="1056"/>
      <c r="KO211" s="1056"/>
      <c r="KP211" s="1056"/>
      <c r="KQ211" s="1056"/>
      <c r="KR211" s="1056"/>
      <c r="KS211" s="1056"/>
      <c r="KT211" s="1056"/>
      <c r="KU211" s="1056"/>
      <c r="KV211" s="1056"/>
      <c r="KW211" s="1056"/>
      <c r="KX211" s="1056"/>
      <c r="KY211" s="1056"/>
      <c r="KZ211" s="1056"/>
      <c r="LA211" s="1056"/>
      <c r="LB211" s="1056"/>
      <c r="LC211" s="1056"/>
      <c r="LD211" s="1056"/>
      <c r="LE211" s="1056"/>
      <c r="LF211" s="1056"/>
      <c r="LG211" s="1056"/>
      <c r="LH211" s="1056"/>
      <c r="LI211" s="1056"/>
      <c r="LJ211" s="1056"/>
      <c r="LK211" s="1056"/>
      <c r="LL211" s="1056"/>
      <c r="LM211" s="1056"/>
      <c r="LN211" s="1056"/>
      <c r="LO211" s="1056"/>
      <c r="LP211" s="1056"/>
      <c r="LQ211" s="1056"/>
      <c r="LR211" s="1056"/>
      <c r="LS211" s="1056"/>
      <c r="LT211" s="1056"/>
      <c r="LU211" s="1056"/>
      <c r="LV211" s="1056"/>
      <c r="LW211" s="1056"/>
      <c r="LX211" s="1056"/>
      <c r="LY211" s="1056"/>
      <c r="LZ211" s="1056"/>
      <c r="MA211" s="1056"/>
      <c r="MB211" s="1056"/>
      <c r="MC211" s="1056"/>
      <c r="MD211" s="1056"/>
      <c r="ME211" s="1056"/>
      <c r="MF211" s="1056"/>
      <c r="MG211" s="1056"/>
      <c r="MH211" s="1056"/>
      <c r="MI211" s="1056"/>
      <c r="MJ211" s="1056"/>
      <c r="MK211" s="1056"/>
      <c r="ML211" s="1056"/>
      <c r="MM211" s="1056"/>
      <c r="MN211" s="1056"/>
      <c r="MO211" s="1056"/>
      <c r="MP211" s="1056"/>
      <c r="MQ211" s="1056"/>
      <c r="MR211" s="1056"/>
      <c r="MS211" s="1056"/>
      <c r="MT211" s="1056"/>
      <c r="MU211" s="1056"/>
      <c r="MV211" s="1056"/>
      <c r="MW211" s="1056"/>
      <c r="MX211" s="1056"/>
      <c r="MY211" s="1056"/>
      <c r="MZ211" s="1056"/>
      <c r="NA211" s="1056"/>
      <c r="NB211" s="1056"/>
      <c r="NC211" s="1056"/>
      <c r="ND211" s="1056"/>
      <c r="NE211" s="1056"/>
      <c r="NF211" s="1056"/>
      <c r="NG211" s="1056"/>
      <c r="NH211" s="1056"/>
      <c r="NI211" s="1056"/>
      <c r="NJ211" s="1056"/>
      <c r="NK211" s="1056"/>
      <c r="NL211" s="1056"/>
      <c r="NM211" s="1056"/>
      <c r="NN211" s="1056"/>
      <c r="NO211" s="1056"/>
      <c r="NP211" s="1056"/>
      <c r="NQ211" s="1056"/>
      <c r="NR211" s="1056"/>
      <c r="NS211" s="1056"/>
      <c r="NT211" s="1056"/>
      <c r="NU211" s="1056"/>
      <c r="NV211" s="1056"/>
      <c r="NW211" s="1056"/>
      <c r="NX211" s="1056"/>
      <c r="NY211" s="1056"/>
      <c r="NZ211" s="1056"/>
      <c r="OA211" s="1056"/>
      <c r="OB211" s="1056"/>
      <c r="OC211" s="1056"/>
      <c r="OD211" s="1056"/>
      <c r="OE211" s="1056"/>
      <c r="OF211" s="1056"/>
      <c r="OG211" s="1056"/>
      <c r="OH211" s="1056"/>
      <c r="OI211" s="1056"/>
      <c r="OJ211" s="1056"/>
      <c r="OK211" s="1056"/>
      <c r="OL211" s="1056"/>
      <c r="OM211" s="1056"/>
      <c r="ON211" s="1056"/>
      <c r="OO211" s="1056"/>
      <c r="OP211" s="1056"/>
      <c r="OQ211" s="1056"/>
      <c r="OR211" s="1056"/>
      <c r="OS211" s="1056"/>
      <c r="OT211" s="1056"/>
      <c r="OU211" s="1056"/>
      <c r="OV211" s="1056"/>
      <c r="OW211" s="1056"/>
      <c r="OX211" s="1056"/>
      <c r="OY211" s="1056"/>
      <c r="OZ211" s="1056"/>
      <c r="PA211" s="1056"/>
      <c r="PB211" s="1056"/>
      <c r="PC211" s="1056"/>
      <c r="PD211" s="1056"/>
      <c r="PE211" s="1056"/>
      <c r="PF211" s="1056"/>
      <c r="PG211" s="1056"/>
      <c r="PH211" s="1056"/>
      <c r="PI211" s="1056"/>
      <c r="PJ211" s="1056"/>
      <c r="PK211" s="1056"/>
      <c r="PL211" s="1056"/>
      <c r="PM211" s="1056"/>
      <c r="PN211" s="1056"/>
      <c r="PO211" s="1056"/>
      <c r="PP211" s="1056"/>
      <c r="PQ211" s="1056"/>
      <c r="PR211" s="1056"/>
      <c r="PS211" s="1056"/>
      <c r="PT211" s="1056"/>
      <c r="PU211" s="1056"/>
      <c r="PV211" s="1056"/>
      <c r="PW211" s="1056"/>
      <c r="PX211" s="1056"/>
      <c r="PY211" s="1056"/>
      <c r="PZ211" s="1056"/>
      <c r="QA211" s="1056"/>
      <c r="QB211" s="1056"/>
      <c r="QC211" s="1056"/>
      <c r="QD211" s="1056"/>
      <c r="QE211" s="1056"/>
      <c r="QF211" s="1056"/>
      <c r="QG211" s="1056"/>
      <c r="QH211" s="1056"/>
      <c r="QI211" s="1056"/>
      <c r="QJ211" s="1056"/>
      <c r="QK211" s="1056"/>
      <c r="QL211" s="1056"/>
      <c r="QM211" s="1056"/>
      <c r="QN211" s="1056"/>
      <c r="QO211" s="1056"/>
      <c r="QP211" s="1056"/>
      <c r="QQ211" s="1056"/>
      <c r="QR211" s="1056"/>
      <c r="QS211" s="1056"/>
      <c r="QT211" s="1056"/>
      <c r="QU211" s="1056"/>
      <c r="QV211" s="1056"/>
      <c r="QW211" s="1056"/>
      <c r="QX211" s="1056"/>
      <c r="QY211" s="1056"/>
      <c r="QZ211" s="1056"/>
      <c r="RA211" s="1056"/>
      <c r="RB211" s="1056"/>
      <c r="RC211" s="1056"/>
      <c r="RD211" s="1056"/>
      <c r="RE211" s="1056"/>
      <c r="RF211" s="1056"/>
      <c r="RG211" s="1056"/>
      <c r="RH211" s="1056"/>
      <c r="RI211" s="1056"/>
      <c r="RJ211" s="1056"/>
      <c r="RK211" s="1056"/>
      <c r="RL211" s="1056"/>
      <c r="RM211" s="1056"/>
      <c r="RN211" s="1056"/>
      <c r="RO211" s="1056"/>
      <c r="RP211" s="1056"/>
      <c r="RQ211" s="1056"/>
      <c r="RR211" s="1056"/>
      <c r="RS211" s="1056"/>
      <c r="RT211" s="1056"/>
      <c r="RU211" s="1056"/>
      <c r="RV211" s="1056"/>
      <c r="RW211" s="1056"/>
      <c r="RX211" s="1056"/>
      <c r="RY211" s="1056"/>
      <c r="RZ211" s="1056"/>
      <c r="SA211" s="1056"/>
      <c r="SB211" s="1056"/>
      <c r="SC211" s="1056"/>
      <c r="SD211" s="1056"/>
      <c r="SE211" s="1056"/>
      <c r="SF211" s="1056"/>
      <c r="SG211" s="1056"/>
      <c r="SH211" s="1056"/>
      <c r="SI211" s="1056"/>
      <c r="SJ211" s="1056"/>
      <c r="SK211" s="1056"/>
      <c r="SL211" s="1056"/>
      <c r="SM211" s="1056"/>
      <c r="SN211" s="1056"/>
      <c r="SO211" s="1056"/>
      <c r="SP211" s="1056"/>
      <c r="SQ211" s="1056"/>
      <c r="SR211" s="1056"/>
      <c r="SS211" s="1056"/>
      <c r="ST211" s="1056"/>
      <c r="SU211" s="1056"/>
      <c r="SV211" s="1056"/>
      <c r="SW211" s="1056"/>
      <c r="SX211" s="1056"/>
      <c r="SY211" s="1056"/>
      <c r="SZ211" s="1056"/>
      <c r="TA211" s="1056"/>
      <c r="TB211" s="1056"/>
      <c r="TC211" s="1056"/>
      <c r="TD211" s="1056"/>
      <c r="TE211" s="1056"/>
      <c r="TF211" s="1056"/>
      <c r="TG211" s="1056"/>
      <c r="TH211" s="1056"/>
      <c r="TI211" s="1056"/>
      <c r="TJ211" s="1056"/>
      <c r="TK211" s="1056"/>
      <c r="TL211" s="1056"/>
      <c r="TM211" s="1056"/>
      <c r="TN211" s="1056"/>
      <c r="TO211" s="1056"/>
      <c r="TP211" s="1056"/>
      <c r="TQ211" s="1056"/>
      <c r="TR211" s="1056"/>
      <c r="TS211" s="1056"/>
      <c r="TT211" s="1056"/>
      <c r="TU211" s="1056"/>
      <c r="TV211" s="1056"/>
      <c r="TW211" s="1056"/>
      <c r="TX211" s="1056"/>
      <c r="TY211" s="1056"/>
      <c r="TZ211" s="1056"/>
      <c r="UA211" s="1056"/>
      <c r="UB211" s="1056"/>
      <c r="UC211" s="1056"/>
      <c r="UD211" s="1056"/>
      <c r="UE211" s="1056"/>
      <c r="UF211" s="1056"/>
      <c r="UG211" s="1056"/>
      <c r="UH211" s="1056"/>
      <c r="UI211" s="1056"/>
      <c r="UJ211" s="1056"/>
      <c r="UK211" s="1056"/>
      <c r="UL211" s="1056"/>
      <c r="UM211" s="1056"/>
      <c r="UN211" s="1056"/>
      <c r="UO211" s="1056"/>
      <c r="UP211" s="1056"/>
      <c r="UQ211" s="1056"/>
      <c r="UR211" s="1056"/>
      <c r="US211" s="1056"/>
      <c r="UT211" s="1056"/>
      <c r="UU211" s="1056"/>
      <c r="UV211" s="1056"/>
      <c r="UW211" s="1056"/>
      <c r="UX211" s="1056"/>
      <c r="UY211" s="1056"/>
      <c r="UZ211" s="1056"/>
      <c r="VA211" s="1056"/>
      <c r="VB211" s="1056"/>
      <c r="VC211" s="1056"/>
      <c r="VD211" s="1056"/>
      <c r="VE211" s="1056"/>
      <c r="VF211" s="1056"/>
      <c r="VG211" s="1056"/>
      <c r="VH211" s="1056"/>
      <c r="VI211" s="1056"/>
      <c r="VJ211" s="1056"/>
      <c r="VK211" s="1056"/>
      <c r="VL211" s="1056"/>
      <c r="VM211" s="1056"/>
      <c r="VN211" s="1056"/>
      <c r="VO211" s="1056"/>
      <c r="VP211" s="1056"/>
      <c r="VQ211" s="1056"/>
      <c r="VR211" s="1056"/>
      <c r="VS211" s="1056"/>
      <c r="VT211" s="1056"/>
      <c r="VU211" s="1056"/>
      <c r="VV211" s="1056"/>
      <c r="VW211" s="1056"/>
      <c r="VX211" s="1056"/>
      <c r="VY211" s="1056"/>
      <c r="VZ211" s="1056"/>
      <c r="WA211" s="1056"/>
      <c r="WB211" s="1056"/>
      <c r="WC211" s="1056"/>
      <c r="WD211" s="1056"/>
      <c r="WE211" s="1056"/>
      <c r="WF211" s="1056"/>
      <c r="WG211" s="1056"/>
      <c r="WH211" s="1056"/>
      <c r="WI211" s="1056"/>
      <c r="WJ211" s="1056"/>
      <c r="WK211" s="1056"/>
      <c r="WL211" s="1056"/>
      <c r="WM211" s="1056"/>
      <c r="WN211" s="1056"/>
      <c r="WO211" s="1056"/>
      <c r="WP211" s="1056"/>
      <c r="WQ211" s="1056"/>
      <c r="WR211" s="1056"/>
      <c r="WS211" s="1056"/>
      <c r="WT211" s="1056"/>
      <c r="WU211" s="1056"/>
      <c r="WV211" s="1056"/>
      <c r="WW211" s="1056"/>
      <c r="WX211" s="1056"/>
      <c r="WY211" s="1056"/>
      <c r="WZ211" s="1056"/>
      <c r="XA211" s="1056"/>
      <c r="XB211" s="1056"/>
      <c r="XC211" s="1056"/>
      <c r="XD211" s="1056"/>
      <c r="XE211" s="1056"/>
      <c r="XF211" s="1056"/>
      <c r="XG211" s="1056"/>
      <c r="XH211" s="1056"/>
      <c r="XI211" s="1056"/>
      <c r="XJ211" s="1056"/>
      <c r="XK211" s="1056"/>
      <c r="XL211" s="1056"/>
      <c r="XM211" s="1056"/>
      <c r="XN211" s="1056"/>
      <c r="XO211" s="1056"/>
      <c r="XP211" s="1056"/>
      <c r="XQ211" s="1056"/>
      <c r="XR211" s="1056"/>
      <c r="XS211" s="1056"/>
      <c r="XT211" s="1056"/>
      <c r="XU211" s="1056"/>
      <c r="XV211" s="1056"/>
      <c r="XW211" s="1056"/>
      <c r="XX211" s="1056"/>
      <c r="XY211" s="1056"/>
      <c r="XZ211" s="1056"/>
      <c r="YA211" s="1056"/>
      <c r="YB211" s="1056"/>
      <c r="YC211" s="1056"/>
      <c r="YD211" s="1056"/>
      <c r="YE211" s="1056"/>
      <c r="YF211" s="1056"/>
      <c r="YG211" s="1056"/>
      <c r="YH211" s="1056"/>
      <c r="YI211" s="1056"/>
      <c r="YJ211" s="1056"/>
      <c r="YK211" s="1056"/>
      <c r="YL211" s="1056"/>
      <c r="YM211" s="1056"/>
      <c r="YN211" s="1056"/>
      <c r="YO211" s="1056"/>
      <c r="YP211" s="1056"/>
      <c r="YQ211" s="1056"/>
      <c r="YR211" s="1056"/>
      <c r="YS211" s="1056"/>
      <c r="YT211" s="1056"/>
      <c r="YU211" s="1056"/>
      <c r="YV211" s="1056"/>
      <c r="YW211" s="1056"/>
      <c r="YX211" s="1056"/>
      <c r="YY211" s="1056"/>
      <c r="YZ211" s="1056"/>
      <c r="ZA211" s="1056"/>
      <c r="ZB211" s="1056"/>
      <c r="ZC211" s="1056"/>
      <c r="ZD211" s="1056"/>
      <c r="ZE211" s="1056"/>
      <c r="ZF211" s="1056"/>
      <c r="ZG211" s="1056"/>
      <c r="ZH211" s="1056"/>
      <c r="ZI211" s="1056"/>
      <c r="ZJ211" s="1056"/>
      <c r="ZK211" s="1056"/>
      <c r="ZL211" s="1056"/>
      <c r="ZM211" s="1056"/>
      <c r="ZN211" s="1056"/>
      <c r="ZO211" s="1056"/>
      <c r="ZP211" s="1056"/>
      <c r="ZQ211" s="1056"/>
      <c r="ZR211" s="1056"/>
      <c r="ZS211" s="1056"/>
      <c r="ZT211" s="1056"/>
      <c r="ZU211" s="1056"/>
      <c r="ZV211" s="1056"/>
      <c r="ZW211" s="1056"/>
      <c r="ZX211" s="1056"/>
      <c r="ZY211" s="1056"/>
      <c r="ZZ211" s="1056"/>
      <c r="AAA211" s="1056"/>
      <c r="AAB211" s="1056"/>
      <c r="AAC211" s="1056"/>
      <c r="AAD211" s="1056"/>
      <c r="AAE211" s="1056"/>
      <c r="AAF211" s="1056"/>
      <c r="AAG211" s="1056"/>
      <c r="AAH211" s="1056"/>
      <c r="AAI211" s="1056"/>
      <c r="AAJ211" s="1056"/>
      <c r="AAK211" s="1056"/>
      <c r="AAL211" s="1056"/>
      <c r="AAM211" s="1056"/>
      <c r="AAN211" s="1056"/>
      <c r="AAO211" s="1056"/>
      <c r="AAP211" s="1056"/>
      <c r="AAQ211" s="1056"/>
      <c r="AAR211" s="1056"/>
      <c r="AAS211" s="1056"/>
      <c r="AAT211" s="1056"/>
      <c r="AAU211" s="1056"/>
      <c r="AAV211" s="1056"/>
      <c r="AAW211" s="1056"/>
      <c r="AAX211" s="1056"/>
      <c r="AAY211" s="1056"/>
      <c r="AAZ211" s="1056"/>
      <c r="ABA211" s="1056"/>
      <c r="ABB211" s="1056"/>
      <c r="ABC211" s="1056"/>
      <c r="ABD211" s="1056"/>
      <c r="ABE211" s="1056"/>
      <c r="ABF211" s="1056"/>
      <c r="ABG211" s="1056"/>
      <c r="ABH211" s="1056"/>
      <c r="ABI211" s="1056"/>
      <c r="ABJ211" s="1056"/>
      <c r="ABK211" s="1056"/>
      <c r="ABL211" s="1056"/>
      <c r="ABM211" s="1056"/>
      <c r="ABN211" s="1056"/>
      <c r="ABO211" s="1056"/>
      <c r="ABP211" s="1056"/>
      <c r="ABQ211" s="1056"/>
      <c r="ABR211" s="1056"/>
      <c r="ABS211" s="1056"/>
      <c r="ABT211" s="1056"/>
      <c r="ABU211" s="1056"/>
      <c r="ABV211" s="1056"/>
      <c r="ABW211" s="1056"/>
      <c r="ABX211" s="1056"/>
      <c r="ABY211" s="1056"/>
      <c r="ABZ211" s="1056"/>
      <c r="ACA211" s="1056"/>
      <c r="ACB211" s="1056"/>
      <c r="ACC211" s="1056"/>
      <c r="ACD211" s="1056"/>
      <c r="ACE211" s="1056"/>
      <c r="ACF211" s="1056"/>
      <c r="ACG211" s="1056"/>
      <c r="ACH211" s="1056"/>
      <c r="ACI211" s="1056"/>
      <c r="ACJ211" s="1056"/>
      <c r="ACK211" s="1056"/>
      <c r="ACL211" s="1056"/>
      <c r="ACM211" s="1056"/>
      <c r="ACN211" s="1056"/>
      <c r="ACO211" s="1056"/>
      <c r="ACP211" s="1056"/>
      <c r="ACQ211" s="1056"/>
      <c r="ACR211" s="1056"/>
      <c r="ACS211" s="1056"/>
      <c r="ACT211" s="1056"/>
      <c r="ACU211" s="1056"/>
      <c r="ACV211" s="1056"/>
      <c r="ACW211" s="1056"/>
      <c r="ACX211" s="1056"/>
      <c r="ACY211" s="1056"/>
      <c r="ACZ211" s="1056"/>
      <c r="ADA211" s="1056"/>
      <c r="ADB211" s="1056"/>
      <c r="ADC211" s="1056"/>
      <c r="ADD211" s="1056"/>
      <c r="ADE211" s="1056"/>
      <c r="ADF211" s="1056"/>
      <c r="ADG211" s="1056"/>
      <c r="ADH211" s="1056"/>
      <c r="ADI211" s="1056"/>
      <c r="ADJ211" s="1056"/>
      <c r="ADK211" s="1056"/>
      <c r="ADL211" s="1056"/>
      <c r="ADM211" s="1056"/>
      <c r="ADN211" s="1056"/>
      <c r="ADO211" s="1056"/>
      <c r="ADP211" s="1056"/>
      <c r="ADQ211" s="1056"/>
      <c r="ADR211" s="1056"/>
      <c r="ADS211" s="1056"/>
      <c r="ADT211" s="1056"/>
      <c r="ADU211" s="1056"/>
      <c r="ADV211" s="1056"/>
      <c r="ADW211" s="1056"/>
      <c r="ADX211" s="1056"/>
      <c r="ADY211" s="1056"/>
      <c r="ADZ211" s="1056"/>
      <c r="AEA211" s="1056"/>
      <c r="AEB211" s="1056"/>
      <c r="AEC211" s="1056"/>
      <c r="AED211" s="1056"/>
      <c r="AEE211" s="1056"/>
      <c r="AEF211" s="1056"/>
      <c r="AEG211" s="1056"/>
      <c r="AEH211" s="1056"/>
      <c r="AEI211" s="1056"/>
      <c r="AEJ211" s="1056"/>
      <c r="AEK211" s="1056"/>
      <c r="AEL211" s="1056"/>
      <c r="AEM211" s="1056"/>
      <c r="AEN211" s="1056"/>
      <c r="AEO211" s="1056"/>
      <c r="AEP211" s="1056"/>
      <c r="AEQ211" s="1056"/>
      <c r="AER211" s="1056"/>
      <c r="AES211" s="1056"/>
      <c r="AET211" s="1056"/>
      <c r="AEU211" s="1056"/>
      <c r="AEV211" s="1056"/>
      <c r="AEW211" s="1056"/>
      <c r="AEX211" s="1056"/>
      <c r="AEY211" s="1056"/>
      <c r="AEZ211" s="1056"/>
      <c r="AFA211" s="1056"/>
      <c r="AFB211" s="1056"/>
      <c r="AFC211" s="1056"/>
      <c r="AFD211" s="1056"/>
      <c r="AFE211" s="1056"/>
      <c r="AFF211" s="1056"/>
      <c r="AFG211" s="1056"/>
      <c r="AFH211" s="1056"/>
      <c r="AFI211" s="1056"/>
      <c r="AFJ211" s="1056"/>
      <c r="AFK211" s="1056"/>
      <c r="AFL211" s="1056"/>
      <c r="AFM211" s="1056"/>
      <c r="AFN211" s="1056"/>
      <c r="AFO211" s="1056"/>
      <c r="AFP211" s="1056"/>
      <c r="AFQ211" s="1056"/>
      <c r="AFR211" s="1056"/>
      <c r="AFS211" s="1056"/>
      <c r="AFT211" s="1056"/>
      <c r="AFU211" s="1056"/>
      <c r="AFV211" s="1056"/>
      <c r="AFW211" s="1056"/>
      <c r="AFX211" s="1056"/>
      <c r="AFY211" s="1056"/>
      <c r="AFZ211" s="1056"/>
      <c r="AGA211" s="1056"/>
      <c r="AGB211" s="1056"/>
      <c r="AGC211" s="1056"/>
      <c r="AGD211" s="1056"/>
      <c r="AGE211" s="1056"/>
      <c r="AGF211" s="1056"/>
      <c r="AGG211" s="1056"/>
      <c r="AGH211" s="1056"/>
      <c r="AGI211" s="1056"/>
      <c r="AGJ211" s="1056"/>
      <c r="AGK211" s="1056"/>
      <c r="AGL211" s="1056"/>
      <c r="AGM211" s="1056"/>
      <c r="AGN211" s="1056"/>
      <c r="AGO211" s="1056"/>
      <c r="AGP211" s="1056"/>
      <c r="AGQ211" s="1056"/>
      <c r="AGR211" s="1056"/>
      <c r="AGS211" s="1056"/>
      <c r="AGT211" s="1056"/>
      <c r="AGU211" s="1056"/>
      <c r="AGV211" s="1056"/>
      <c r="AGW211" s="1056"/>
      <c r="AGX211" s="1056"/>
      <c r="AGY211" s="1056"/>
      <c r="AGZ211" s="1056"/>
      <c r="AHA211" s="1056"/>
      <c r="AHB211" s="1056"/>
      <c r="AHC211" s="1056"/>
      <c r="AHD211" s="1056"/>
      <c r="AHE211" s="1056"/>
      <c r="AHF211" s="1056"/>
      <c r="AHG211" s="1056"/>
      <c r="AHH211" s="1056"/>
      <c r="AHI211" s="1056"/>
      <c r="AHJ211" s="1056"/>
      <c r="AHK211" s="1056"/>
      <c r="AHL211" s="1056"/>
      <c r="AHM211" s="1056"/>
      <c r="AHN211" s="1056"/>
      <c r="AHO211" s="1056"/>
      <c r="AHP211" s="1056"/>
      <c r="AHQ211" s="1056"/>
      <c r="AHR211" s="1056"/>
      <c r="AHS211" s="1056"/>
      <c r="AHT211" s="1056"/>
      <c r="AHU211" s="1056"/>
      <c r="AHV211" s="1056"/>
      <c r="AHW211" s="1056"/>
      <c r="AHX211" s="1056"/>
      <c r="AHY211" s="1056"/>
      <c r="AHZ211" s="1056"/>
      <c r="AIA211" s="1056"/>
      <c r="AIB211" s="1056"/>
      <c r="AIC211" s="1056"/>
      <c r="AID211" s="1056"/>
      <c r="AIE211" s="1056"/>
      <c r="AIF211" s="1056"/>
      <c r="AIG211" s="1056"/>
      <c r="AIH211" s="1056"/>
      <c r="AII211" s="1056"/>
      <c r="AIJ211" s="1056"/>
      <c r="AIK211" s="1056"/>
      <c r="AIL211" s="1056"/>
      <c r="AIM211" s="1056"/>
      <c r="AIN211" s="1056"/>
      <c r="AIO211" s="1056"/>
      <c r="AIP211" s="1056"/>
      <c r="AIQ211" s="1056"/>
      <c r="AIR211" s="1056"/>
      <c r="AIS211" s="1056"/>
      <c r="AIT211" s="1056"/>
      <c r="AIU211" s="1056"/>
      <c r="AIV211" s="1056"/>
      <c r="AIW211" s="1056"/>
      <c r="AIX211" s="1056"/>
      <c r="AIY211" s="1056"/>
      <c r="AIZ211" s="1056"/>
      <c r="AJA211" s="1056"/>
      <c r="AJB211" s="1056"/>
      <c r="AJC211" s="1056"/>
      <c r="AJD211" s="1056"/>
      <c r="AJE211" s="1056"/>
      <c r="AJF211" s="1056"/>
      <c r="AJG211" s="1056"/>
      <c r="AJH211" s="1056"/>
      <c r="AJI211" s="1056"/>
      <c r="AJJ211" s="1056"/>
      <c r="AJK211" s="1056"/>
      <c r="AJL211" s="1056"/>
      <c r="AJM211" s="1056"/>
      <c r="AJN211" s="1056"/>
      <c r="AJO211" s="1056"/>
      <c r="AJP211" s="1056"/>
      <c r="AJQ211" s="1056"/>
      <c r="AJR211" s="1056"/>
      <c r="AJS211" s="1056"/>
      <c r="AJT211" s="1056"/>
      <c r="AJU211" s="1056"/>
      <c r="AJV211" s="1056"/>
      <c r="AJW211" s="1056"/>
      <c r="AJX211" s="1056"/>
      <c r="AJY211" s="1056"/>
      <c r="AJZ211" s="1056"/>
      <c r="AKA211" s="1056"/>
      <c r="AKB211" s="1056"/>
      <c r="AKC211" s="1056"/>
      <c r="AKD211" s="1056"/>
      <c r="AKE211" s="1056"/>
      <c r="AKF211" s="1056"/>
      <c r="AKG211" s="1056"/>
      <c r="AKH211" s="1056"/>
      <c r="AKI211" s="1056"/>
      <c r="AKJ211" s="1056"/>
      <c r="AKK211" s="1056"/>
      <c r="AKL211" s="1056"/>
      <c r="AKM211" s="1056"/>
      <c r="AKN211" s="1056"/>
      <c r="AKO211" s="1056"/>
      <c r="AKP211" s="1056"/>
      <c r="AKQ211" s="1056"/>
      <c r="AKR211" s="1056"/>
      <c r="AKS211" s="1056"/>
      <c r="AKT211" s="1056"/>
      <c r="AKU211" s="1056"/>
      <c r="AKV211" s="1056"/>
      <c r="AKW211" s="1056"/>
      <c r="AKX211" s="1056"/>
      <c r="AKY211" s="1056"/>
      <c r="AKZ211" s="1056"/>
      <c r="ALA211" s="1056"/>
      <c r="ALB211" s="1056"/>
      <c r="ALC211" s="1056"/>
      <c r="ALD211" s="1056"/>
      <c r="ALE211" s="1056"/>
      <c r="ALF211" s="1056"/>
      <c r="ALG211" s="1056"/>
      <c r="ALH211" s="1056"/>
      <c r="ALI211" s="1056"/>
      <c r="ALJ211" s="1056"/>
      <c r="ALK211" s="1056"/>
      <c r="ALL211" s="1056"/>
      <c r="ALM211" s="1056"/>
      <c r="ALN211" s="1056"/>
      <c r="ALO211" s="1056"/>
      <c r="ALP211" s="1056"/>
      <c r="ALQ211" s="1056"/>
      <c r="ALR211" s="1056"/>
      <c r="ALS211" s="1056"/>
      <c r="ALT211" s="1056"/>
      <c r="ALU211" s="1056"/>
      <c r="ALV211" s="1056"/>
      <c r="ALW211" s="1056"/>
      <c r="ALX211" s="1056"/>
      <c r="ALY211" s="1056"/>
      <c r="ALZ211" s="1056"/>
      <c r="AMA211" s="1056"/>
      <c r="AMB211" s="1056"/>
      <c r="AMC211" s="1056"/>
      <c r="AMD211" s="1056"/>
      <c r="AME211" s="1056"/>
      <c r="AMF211" s="1056"/>
      <c r="AMG211" s="1056"/>
      <c r="AMH211" s="1056"/>
      <c r="AMI211" s="1056"/>
      <c r="AMJ211" s="1056"/>
      <c r="AMK211" s="1056"/>
      <c r="AML211" s="1056"/>
      <c r="AMM211" s="1056"/>
      <c r="AMN211" s="1056"/>
      <c r="AMO211" s="1056"/>
      <c r="AMP211" s="1056"/>
      <c r="AMQ211" s="1056"/>
      <c r="AMR211" s="1056"/>
      <c r="AMS211" s="1056"/>
      <c r="AMT211" s="1056"/>
      <c r="AMU211" s="1056"/>
      <c r="AMV211" s="1056"/>
      <c r="AMW211" s="1056"/>
      <c r="AMX211" s="1056"/>
      <c r="AMY211" s="1056"/>
      <c r="AMZ211" s="1056"/>
      <c r="ANA211" s="1056"/>
      <c r="ANB211" s="1056"/>
      <c r="ANC211" s="1056"/>
      <c r="AND211" s="1056"/>
      <c r="ANE211" s="1056"/>
      <c r="ANF211" s="1056"/>
      <c r="ANG211" s="1056"/>
      <c r="ANH211" s="1056"/>
      <c r="ANI211" s="1056"/>
      <c r="ANJ211" s="1056"/>
      <c r="ANK211" s="1056"/>
      <c r="ANL211" s="1056"/>
      <c r="ANM211" s="1056"/>
      <c r="ANN211" s="1056"/>
      <c r="ANO211" s="1056"/>
      <c r="ANP211" s="1056"/>
      <c r="ANQ211" s="1056"/>
      <c r="ANR211" s="1056"/>
      <c r="ANS211" s="1056"/>
      <c r="ANT211" s="1056"/>
      <c r="ANU211" s="1056"/>
      <c r="ANV211" s="1056"/>
      <c r="ANW211" s="1056"/>
      <c r="ANX211" s="1056"/>
      <c r="ANY211" s="1056"/>
      <c r="ANZ211" s="1056"/>
      <c r="AOA211" s="1056"/>
      <c r="AOB211" s="1056"/>
      <c r="AOC211" s="1056"/>
      <c r="AOD211" s="1056"/>
      <c r="AOE211" s="1056"/>
      <c r="AOF211" s="1056"/>
      <c r="AOG211" s="1056"/>
      <c r="AOH211" s="1056"/>
      <c r="AOI211" s="1056"/>
      <c r="AOJ211" s="1056"/>
      <c r="AOK211" s="1056"/>
      <c r="AOL211" s="1056"/>
      <c r="AOM211" s="1056"/>
      <c r="AON211" s="1056"/>
      <c r="AOO211" s="1056"/>
      <c r="AOP211" s="1056"/>
      <c r="AOQ211" s="1056"/>
      <c r="AOR211" s="1056"/>
      <c r="AOS211" s="1056"/>
      <c r="AOT211" s="1056"/>
      <c r="AOU211" s="1056"/>
      <c r="AOV211" s="1056"/>
      <c r="AOW211" s="1056"/>
      <c r="AOX211" s="1056"/>
      <c r="AOY211" s="1056"/>
      <c r="AOZ211" s="1056"/>
      <c r="APA211" s="1056"/>
      <c r="APB211" s="1056"/>
      <c r="APC211" s="1056"/>
      <c r="APD211" s="1056"/>
      <c r="APE211" s="1056"/>
      <c r="APF211" s="1056"/>
      <c r="APG211" s="1056"/>
      <c r="APH211" s="1056"/>
      <c r="API211" s="1056"/>
      <c r="APJ211" s="1056"/>
      <c r="APK211" s="1056"/>
      <c r="APL211" s="1056"/>
      <c r="APM211" s="1056"/>
      <c r="APN211" s="1056"/>
      <c r="APO211" s="1056"/>
      <c r="APP211" s="1056"/>
      <c r="APQ211" s="1056"/>
      <c r="APR211" s="1056"/>
      <c r="APS211" s="1056"/>
      <c r="APT211" s="1056"/>
      <c r="APU211" s="1056"/>
      <c r="APV211" s="1056"/>
      <c r="APW211" s="1056"/>
      <c r="APX211" s="1056"/>
      <c r="APY211" s="1056"/>
      <c r="APZ211" s="1056"/>
      <c r="AQA211" s="1056"/>
      <c r="AQB211" s="1056"/>
      <c r="AQC211" s="1056"/>
      <c r="AQD211" s="1056"/>
      <c r="AQE211" s="1056"/>
      <c r="AQF211" s="1056"/>
      <c r="AQG211" s="1056"/>
      <c r="AQH211" s="1056"/>
      <c r="AQI211" s="1056"/>
      <c r="AQJ211" s="1056"/>
      <c r="AQK211" s="1056"/>
      <c r="AQL211" s="1056"/>
      <c r="AQM211" s="1056"/>
      <c r="AQN211" s="1056"/>
      <c r="AQO211" s="1056"/>
      <c r="AQP211" s="1056"/>
      <c r="AQQ211" s="1056"/>
      <c r="AQR211" s="1056"/>
      <c r="AQS211" s="1056"/>
      <c r="AQT211" s="1056"/>
      <c r="AQU211" s="1056"/>
      <c r="AQV211" s="1056"/>
      <c r="AQW211" s="1056"/>
      <c r="AQX211" s="1056"/>
      <c r="AQY211" s="1056"/>
      <c r="AQZ211" s="1056"/>
      <c r="ARA211" s="1056"/>
      <c r="ARB211" s="1056"/>
      <c r="ARC211" s="1056"/>
      <c r="ARD211" s="1056"/>
      <c r="ARE211" s="1056"/>
      <c r="ARF211" s="1056"/>
      <c r="ARG211" s="1056"/>
      <c r="ARH211" s="1056"/>
      <c r="ARI211" s="1056"/>
      <c r="ARJ211" s="1056"/>
      <c r="ARK211" s="1056"/>
      <c r="ARL211" s="1056"/>
      <c r="ARM211" s="1056"/>
      <c r="ARN211" s="1056"/>
      <c r="ARO211" s="1056"/>
      <c r="ARP211" s="1056"/>
      <c r="ARQ211" s="1056"/>
      <c r="ARR211" s="1056"/>
      <c r="ARS211" s="1056"/>
      <c r="ART211" s="1056"/>
      <c r="ARU211" s="1056"/>
      <c r="ARV211" s="1056"/>
      <c r="ARW211" s="1056"/>
      <c r="ARX211" s="1056"/>
      <c r="ARY211" s="1056"/>
      <c r="ARZ211" s="1056"/>
      <c r="ASA211" s="1056"/>
      <c r="ASB211" s="1056"/>
      <c r="ASC211" s="1056"/>
      <c r="ASD211" s="1056"/>
      <c r="ASE211" s="1056"/>
      <c r="ASF211" s="1056"/>
      <c r="ASG211" s="1056"/>
      <c r="ASH211" s="1056"/>
      <c r="ASI211" s="1056"/>
      <c r="ASJ211" s="1056"/>
      <c r="ASK211" s="1056"/>
      <c r="ASL211" s="1056"/>
      <c r="ASM211" s="1056"/>
      <c r="ASN211" s="1056"/>
      <c r="ASO211" s="1056"/>
      <c r="ASP211" s="1056"/>
      <c r="ASQ211" s="1056"/>
      <c r="ASR211" s="1056"/>
      <c r="ASS211" s="1056"/>
      <c r="AST211" s="1056"/>
      <c r="ASU211" s="1056"/>
      <c r="ASV211" s="1056"/>
      <c r="ASW211" s="1056"/>
      <c r="ASX211" s="1056"/>
      <c r="ASY211" s="1056"/>
      <c r="ASZ211" s="1056"/>
      <c r="ATA211" s="1056"/>
      <c r="ATB211" s="1056"/>
      <c r="ATC211" s="1056"/>
      <c r="ATD211" s="1056"/>
      <c r="ATE211" s="1056"/>
      <c r="ATF211" s="1056"/>
      <c r="ATG211" s="1056"/>
      <c r="ATH211" s="1056"/>
      <c r="ATI211" s="1056"/>
      <c r="ATJ211" s="1056"/>
      <c r="ATK211" s="1056"/>
      <c r="ATL211" s="1056"/>
      <c r="ATM211" s="1056"/>
      <c r="ATN211" s="1056"/>
      <c r="ATO211" s="1056"/>
      <c r="ATP211" s="1056"/>
      <c r="ATQ211" s="1056"/>
      <c r="ATR211" s="1056"/>
      <c r="ATS211" s="1056"/>
      <c r="ATT211" s="1056"/>
      <c r="ATU211" s="1056"/>
      <c r="ATV211" s="1056"/>
      <c r="ATW211" s="1056"/>
      <c r="ATX211" s="1056"/>
      <c r="ATY211" s="1056"/>
      <c r="ATZ211" s="1056"/>
      <c r="AUA211" s="1056"/>
      <c r="AUB211" s="1056"/>
      <c r="AUC211" s="1056"/>
      <c r="AUD211" s="1056"/>
      <c r="AUE211" s="1056"/>
      <c r="AUF211" s="1056"/>
      <c r="AUG211" s="1056"/>
      <c r="AUH211" s="1056"/>
      <c r="AUI211" s="1056"/>
      <c r="AUJ211" s="1056"/>
      <c r="AUK211" s="1056"/>
      <c r="AUL211" s="1056"/>
      <c r="AUM211" s="1056"/>
      <c r="AUN211" s="1056"/>
      <c r="AUO211" s="1056"/>
      <c r="AUP211" s="1056"/>
      <c r="AUQ211" s="1056"/>
      <c r="AUR211" s="1056"/>
      <c r="AUS211" s="1056"/>
      <c r="AUT211" s="1056"/>
      <c r="AUU211" s="1056"/>
      <c r="AUV211" s="1056"/>
      <c r="AUW211" s="1056"/>
      <c r="AUX211" s="1056"/>
      <c r="AUY211" s="1056"/>
      <c r="AUZ211" s="1056"/>
      <c r="AVA211" s="1056"/>
      <c r="AVB211" s="1056"/>
      <c r="AVC211" s="1056"/>
      <c r="AVD211" s="1056"/>
      <c r="AVE211" s="1056"/>
      <c r="AVF211" s="1056"/>
      <c r="AVG211" s="1056"/>
      <c r="AVH211" s="1056"/>
      <c r="AVI211" s="1056"/>
      <c r="AVJ211" s="1056"/>
      <c r="AVK211" s="1056"/>
      <c r="AVL211" s="1056"/>
      <c r="AVM211" s="1056"/>
      <c r="AVN211" s="1056"/>
      <c r="AVO211" s="1056"/>
      <c r="AVP211" s="1056"/>
      <c r="AVQ211" s="1056"/>
      <c r="AVR211" s="1056"/>
      <c r="AVS211" s="1056"/>
      <c r="AVT211" s="1056"/>
      <c r="AVU211" s="1056"/>
      <c r="AVV211" s="1056"/>
      <c r="AVW211" s="1056"/>
      <c r="AVX211" s="1056"/>
      <c r="AVY211" s="1056"/>
      <c r="AVZ211" s="1056"/>
      <c r="AWA211" s="1056"/>
      <c r="AWB211" s="1056"/>
      <c r="AWC211" s="1056"/>
      <c r="AWD211" s="1056"/>
      <c r="AWE211" s="1056"/>
      <c r="AWF211" s="1056"/>
      <c r="AWG211" s="1056"/>
      <c r="AWH211" s="1056"/>
      <c r="AWI211" s="1056"/>
      <c r="AWJ211" s="1056"/>
      <c r="AWK211" s="1056"/>
      <c r="AWL211" s="1056"/>
      <c r="AWM211" s="1056"/>
      <c r="AWN211" s="1056"/>
      <c r="AWO211" s="1056"/>
      <c r="AWP211" s="1056"/>
      <c r="AWQ211" s="1056"/>
      <c r="AWR211" s="1056"/>
      <c r="AWS211" s="1056"/>
      <c r="AWT211" s="1056"/>
      <c r="AWU211" s="1056"/>
      <c r="AWV211" s="1056"/>
      <c r="AWW211" s="1056"/>
      <c r="AWX211" s="1056"/>
      <c r="AWY211" s="1056"/>
      <c r="AWZ211" s="1056"/>
      <c r="AXA211" s="1056"/>
      <c r="AXB211" s="1056"/>
      <c r="AXC211" s="1056"/>
      <c r="AXD211" s="1056"/>
      <c r="AXE211" s="1056"/>
      <c r="AXF211" s="1056"/>
      <c r="AXG211" s="1056"/>
      <c r="AXH211" s="1056"/>
      <c r="AXI211" s="1056"/>
      <c r="AXJ211" s="1056"/>
      <c r="AXK211" s="1056"/>
      <c r="AXL211" s="1056"/>
      <c r="AXM211" s="1056"/>
      <c r="AXN211" s="1056"/>
      <c r="AXO211" s="1056"/>
      <c r="AXP211" s="1056"/>
      <c r="AXQ211" s="1056"/>
      <c r="AXR211" s="1056"/>
      <c r="AXS211" s="1056"/>
      <c r="AXT211" s="1056"/>
      <c r="AXU211" s="1056"/>
      <c r="AXV211" s="1056"/>
      <c r="AXW211" s="1056"/>
      <c r="AXX211" s="1056"/>
      <c r="AXY211" s="1056"/>
      <c r="AXZ211" s="1056"/>
      <c r="AYA211" s="1056"/>
      <c r="AYB211" s="1056"/>
      <c r="AYC211" s="1056"/>
      <c r="AYD211" s="1056"/>
      <c r="AYE211" s="1056"/>
      <c r="AYF211" s="1056"/>
      <c r="AYG211" s="1056"/>
      <c r="AYH211" s="1056"/>
      <c r="AYI211" s="1056"/>
      <c r="AYJ211" s="1056"/>
      <c r="AYK211" s="1056"/>
      <c r="AYL211" s="1056"/>
      <c r="AYM211" s="1056"/>
      <c r="AYN211" s="1056"/>
      <c r="AYO211" s="1056"/>
      <c r="AYP211" s="1056"/>
      <c r="AYQ211" s="1056"/>
      <c r="AYR211" s="1056"/>
      <c r="AYS211" s="1056"/>
      <c r="AYT211" s="1056"/>
      <c r="AYU211" s="1056"/>
      <c r="AYV211" s="1056"/>
      <c r="AYW211" s="1056"/>
      <c r="AYX211" s="1056"/>
      <c r="AYY211" s="1056"/>
      <c r="AYZ211" s="1056"/>
      <c r="AZA211" s="1056"/>
      <c r="AZB211" s="1056"/>
      <c r="AZC211" s="1056"/>
      <c r="AZD211" s="1056"/>
      <c r="AZE211" s="1056"/>
      <c r="AZF211" s="1056"/>
      <c r="AZG211" s="1056"/>
      <c r="AZH211" s="1056"/>
      <c r="AZI211" s="1056"/>
      <c r="AZJ211" s="1056"/>
      <c r="AZK211" s="1056"/>
      <c r="AZL211" s="1056"/>
      <c r="AZM211" s="1056"/>
      <c r="AZN211" s="1056"/>
      <c r="AZO211" s="1056"/>
      <c r="AZP211" s="1056"/>
      <c r="AZQ211" s="1056"/>
      <c r="AZR211" s="1056"/>
      <c r="AZS211" s="1056"/>
      <c r="AZT211" s="1056"/>
      <c r="AZU211" s="1056"/>
      <c r="AZV211" s="1056"/>
      <c r="AZW211" s="1056"/>
      <c r="AZX211" s="1056"/>
      <c r="AZY211" s="1056"/>
      <c r="AZZ211" s="1056"/>
      <c r="BAA211" s="1056"/>
      <c r="BAB211" s="1056"/>
      <c r="BAC211" s="1056"/>
      <c r="BAD211" s="1056"/>
      <c r="BAE211" s="1056"/>
      <c r="BAF211" s="1056"/>
      <c r="BAG211" s="1056"/>
      <c r="BAH211" s="1056"/>
      <c r="BAI211" s="1056"/>
      <c r="BAJ211" s="1056"/>
      <c r="BAK211" s="1056"/>
      <c r="BAL211" s="1056"/>
      <c r="BAM211" s="1056"/>
      <c r="BAN211" s="1056"/>
      <c r="BAO211" s="1056"/>
      <c r="BAP211" s="1056"/>
      <c r="BAQ211" s="1056"/>
      <c r="BAR211" s="1056"/>
      <c r="BAS211" s="1056"/>
      <c r="BAT211" s="1056"/>
      <c r="BAU211" s="1056"/>
      <c r="BAV211" s="1056"/>
      <c r="BAW211" s="1056"/>
      <c r="BAX211" s="1056"/>
      <c r="BAY211" s="1056"/>
      <c r="BAZ211" s="1056"/>
      <c r="BBA211" s="1056"/>
      <c r="BBB211" s="1056"/>
      <c r="BBC211" s="1056"/>
      <c r="BBD211" s="1056"/>
      <c r="BBE211" s="1056"/>
      <c r="BBF211" s="1056"/>
      <c r="BBG211" s="1056"/>
      <c r="BBH211" s="1056"/>
      <c r="BBI211" s="1056"/>
      <c r="BBJ211" s="1056"/>
      <c r="BBK211" s="1056"/>
      <c r="BBL211" s="1056"/>
      <c r="BBM211" s="1056"/>
      <c r="BBN211" s="1056"/>
      <c r="BBO211" s="1056"/>
      <c r="BBP211" s="1056"/>
      <c r="BBQ211" s="1056"/>
      <c r="BBR211" s="1056"/>
      <c r="BBS211" s="1056"/>
      <c r="BBT211" s="1056"/>
      <c r="BBU211" s="1056"/>
      <c r="BBV211" s="1056"/>
      <c r="BBW211" s="1056"/>
      <c r="BBX211" s="1056"/>
      <c r="BBY211" s="1056"/>
      <c r="BBZ211" s="1056"/>
      <c r="BCA211" s="1056"/>
      <c r="BCB211" s="1056"/>
      <c r="BCC211" s="1056"/>
      <c r="BCD211" s="1056"/>
      <c r="BCE211" s="1056"/>
      <c r="BCF211" s="1056"/>
      <c r="BCG211" s="1056"/>
      <c r="BCH211" s="1056"/>
      <c r="BCI211" s="1056"/>
      <c r="BCJ211" s="1056"/>
      <c r="BCK211" s="1056"/>
      <c r="BCL211" s="1056"/>
      <c r="BCM211" s="1056"/>
      <c r="BCN211" s="1056"/>
      <c r="BCO211" s="1056"/>
      <c r="BCP211" s="1056"/>
      <c r="BCQ211" s="1056"/>
      <c r="BCR211" s="1056"/>
      <c r="BCS211" s="1056"/>
      <c r="BCT211" s="1056"/>
      <c r="BCU211" s="1056"/>
      <c r="BCV211" s="1056"/>
      <c r="BCW211" s="1056"/>
      <c r="BCX211" s="1056"/>
      <c r="BCY211" s="1056"/>
      <c r="BCZ211" s="1056"/>
      <c r="BDA211" s="1056"/>
      <c r="BDB211" s="1056"/>
      <c r="BDC211" s="1056"/>
      <c r="BDD211" s="1056"/>
      <c r="BDE211" s="1056"/>
      <c r="BDF211" s="1056"/>
      <c r="BDG211" s="1056"/>
      <c r="BDH211" s="1056"/>
      <c r="BDI211" s="1056"/>
      <c r="BDJ211" s="1056"/>
      <c r="BDK211" s="1056"/>
      <c r="BDL211" s="1056"/>
      <c r="BDM211" s="1056"/>
      <c r="BDN211" s="1056"/>
      <c r="BDO211" s="1056"/>
      <c r="BDP211" s="1056"/>
      <c r="BDQ211" s="1056"/>
      <c r="BDR211" s="1056"/>
      <c r="BDS211" s="1056"/>
      <c r="BDT211" s="1056"/>
      <c r="BDU211" s="1056"/>
      <c r="BDV211" s="1056"/>
      <c r="BDW211" s="1056"/>
      <c r="BDX211" s="1056"/>
      <c r="BDY211" s="1056"/>
      <c r="BDZ211" s="1056"/>
      <c r="BEA211" s="1056"/>
      <c r="BEB211" s="1056"/>
      <c r="BEC211" s="1056"/>
      <c r="BED211" s="1056"/>
      <c r="BEE211" s="1056"/>
      <c r="BEF211" s="1056"/>
      <c r="BEG211" s="1056"/>
      <c r="BEH211" s="1056"/>
      <c r="BEI211" s="1056"/>
      <c r="BEJ211" s="1056"/>
      <c r="BEK211" s="1056"/>
      <c r="BEL211" s="1056"/>
      <c r="BEM211" s="1056"/>
      <c r="BEN211" s="1056"/>
      <c r="BEO211" s="1056"/>
      <c r="BEP211" s="1056"/>
      <c r="BEQ211" s="1056"/>
      <c r="BER211" s="1056"/>
      <c r="BES211" s="1056"/>
      <c r="BET211" s="1056"/>
      <c r="BEU211" s="1056"/>
      <c r="BEV211" s="1056"/>
      <c r="BEW211" s="1056"/>
      <c r="BEX211" s="1056"/>
      <c r="BEY211" s="1056"/>
      <c r="BEZ211" s="1056"/>
      <c r="BFA211" s="1056"/>
      <c r="BFB211" s="1056"/>
      <c r="BFC211" s="1056"/>
      <c r="BFD211" s="1056"/>
      <c r="BFE211" s="1056"/>
      <c r="BFF211" s="1056"/>
      <c r="BFG211" s="1056"/>
      <c r="BFH211" s="1056"/>
      <c r="BFI211" s="1056"/>
      <c r="BFJ211" s="1056"/>
      <c r="BFK211" s="1056"/>
      <c r="BFL211" s="1056"/>
      <c r="BFM211" s="1056"/>
      <c r="BFN211" s="1056"/>
      <c r="BFO211" s="1056"/>
      <c r="BFP211" s="1056"/>
      <c r="BFQ211" s="1056"/>
      <c r="BFR211" s="1056"/>
      <c r="BFS211" s="1056"/>
      <c r="BFT211" s="1056"/>
      <c r="BFU211" s="1056"/>
      <c r="BFV211" s="1056"/>
      <c r="BFW211" s="1056"/>
      <c r="BFX211" s="1056"/>
      <c r="BFY211" s="1056"/>
      <c r="BFZ211" s="1056"/>
      <c r="BGA211" s="1056"/>
      <c r="BGB211" s="1056"/>
      <c r="BGC211" s="1056"/>
      <c r="BGD211" s="1056"/>
      <c r="BGE211" s="1056"/>
      <c r="BGF211" s="1056"/>
      <c r="BGG211" s="1056"/>
      <c r="BGH211" s="1056"/>
      <c r="BGI211" s="1056"/>
      <c r="BGJ211" s="1056"/>
      <c r="BGK211" s="1056"/>
      <c r="BGL211" s="1056"/>
      <c r="BGM211" s="1056"/>
      <c r="BGN211" s="1056"/>
      <c r="BGO211" s="1056"/>
      <c r="BGP211" s="1056"/>
      <c r="BGQ211" s="1056"/>
      <c r="BGR211" s="1056"/>
      <c r="BGS211" s="1056"/>
      <c r="BGT211" s="1056"/>
      <c r="BGU211" s="1056"/>
      <c r="BGV211" s="1056"/>
      <c r="BGW211" s="1056"/>
      <c r="BGX211" s="1056"/>
      <c r="BGY211" s="1056"/>
      <c r="BGZ211" s="1056"/>
      <c r="BHA211" s="1056"/>
      <c r="BHB211" s="1056"/>
      <c r="BHC211" s="1056"/>
      <c r="BHD211" s="1056"/>
      <c r="BHE211" s="1056"/>
      <c r="BHF211" s="1056"/>
      <c r="BHG211" s="1056"/>
      <c r="BHH211" s="1056"/>
      <c r="BHI211" s="1056"/>
      <c r="BHJ211" s="1056"/>
      <c r="BHK211" s="1056"/>
      <c r="BHL211" s="1056"/>
      <c r="BHM211" s="1056"/>
      <c r="BHN211" s="1056"/>
      <c r="BHO211" s="1056"/>
      <c r="BHP211" s="1056"/>
      <c r="BHQ211" s="1056"/>
      <c r="BHR211" s="1056"/>
      <c r="BHS211" s="1056"/>
      <c r="BHT211" s="1056"/>
      <c r="BHU211" s="1056"/>
      <c r="BHV211" s="1056"/>
      <c r="BHW211" s="1056"/>
      <c r="BHX211" s="1056"/>
      <c r="BHY211" s="1056"/>
      <c r="BHZ211" s="1056"/>
      <c r="BIA211" s="1056"/>
      <c r="BIB211" s="1056"/>
      <c r="BIC211" s="1056"/>
      <c r="BID211" s="1056"/>
      <c r="BIE211" s="1056"/>
      <c r="BIF211" s="1056"/>
      <c r="BIG211" s="1056"/>
      <c r="BIH211" s="1056"/>
      <c r="BII211" s="1056"/>
      <c r="BIJ211" s="1056"/>
      <c r="BIK211" s="1056"/>
      <c r="BIL211" s="1056"/>
      <c r="BIM211" s="1056"/>
      <c r="BIN211" s="1056"/>
      <c r="BIO211" s="1056"/>
      <c r="BIP211" s="1056"/>
      <c r="BIQ211" s="1056"/>
      <c r="BIR211" s="1056"/>
      <c r="BIS211" s="1056"/>
      <c r="BIT211" s="1056"/>
      <c r="BIU211" s="1056"/>
      <c r="BIV211" s="1056"/>
      <c r="BIW211" s="1056"/>
      <c r="BIX211" s="1056"/>
      <c r="BIY211" s="1056"/>
      <c r="BIZ211" s="1056"/>
      <c r="BJA211" s="1056"/>
      <c r="BJB211" s="1056"/>
      <c r="BJC211" s="1056"/>
      <c r="BJD211" s="1056"/>
      <c r="BJE211" s="1056"/>
      <c r="BJF211" s="1056"/>
      <c r="BJG211" s="1056"/>
      <c r="BJH211" s="1056"/>
      <c r="BJI211" s="1056"/>
      <c r="BJJ211" s="1056"/>
      <c r="BJK211" s="1056"/>
      <c r="BJL211" s="1056"/>
      <c r="BJM211" s="1056"/>
      <c r="BJN211" s="1056"/>
      <c r="BJO211" s="1056"/>
      <c r="BJP211" s="1056"/>
      <c r="BJQ211" s="1056"/>
      <c r="BJR211" s="1056"/>
      <c r="BJS211" s="1056"/>
      <c r="BJT211" s="1056"/>
      <c r="BJU211" s="1056"/>
      <c r="BJV211" s="1056"/>
      <c r="BJW211" s="1056"/>
      <c r="BJX211" s="1056"/>
      <c r="BJY211" s="1056"/>
      <c r="BJZ211" s="1056"/>
      <c r="BKA211" s="1056"/>
      <c r="BKB211" s="1056"/>
      <c r="BKC211" s="1056"/>
      <c r="BKD211" s="1056"/>
      <c r="BKE211" s="1056"/>
      <c r="BKF211" s="1056"/>
      <c r="BKG211" s="1056"/>
      <c r="BKH211" s="1056"/>
      <c r="BKI211" s="1056"/>
      <c r="BKJ211" s="1056"/>
      <c r="BKK211" s="1056"/>
      <c r="BKL211" s="1056"/>
      <c r="BKM211" s="1056"/>
      <c r="BKN211" s="1056"/>
      <c r="BKO211" s="1056"/>
      <c r="BKP211" s="1056"/>
      <c r="BKQ211" s="1056"/>
      <c r="BKR211" s="1056"/>
      <c r="BKS211" s="1056"/>
      <c r="BKT211" s="1056"/>
      <c r="BKU211" s="1056"/>
      <c r="BKV211" s="1056"/>
      <c r="BKW211" s="1056"/>
      <c r="BKX211" s="1056"/>
      <c r="BKY211" s="1056"/>
      <c r="BKZ211" s="1056"/>
      <c r="BLA211" s="1056"/>
      <c r="BLB211" s="1056"/>
      <c r="BLC211" s="1056"/>
      <c r="BLD211" s="1056"/>
      <c r="BLE211" s="1056"/>
      <c r="BLF211" s="1056"/>
      <c r="BLG211" s="1056"/>
      <c r="BLH211" s="1056"/>
      <c r="BLI211" s="1056"/>
      <c r="BLJ211" s="1056"/>
      <c r="BLK211" s="1056"/>
      <c r="BLL211" s="1056"/>
      <c r="BLM211" s="1056"/>
      <c r="BLN211" s="1056"/>
      <c r="BLO211" s="1056"/>
      <c r="BLP211" s="1056"/>
      <c r="BLQ211" s="1056"/>
      <c r="BLR211" s="1056"/>
      <c r="BLS211" s="1056"/>
      <c r="BLT211" s="1056"/>
      <c r="BLU211" s="1056"/>
      <c r="BLV211" s="1056"/>
      <c r="BLW211" s="1056"/>
      <c r="BLX211" s="1056"/>
      <c r="BLY211" s="1056"/>
      <c r="BLZ211" s="1056"/>
      <c r="BMA211" s="1056"/>
      <c r="BMB211" s="1056"/>
      <c r="BMC211" s="1056"/>
      <c r="BMD211" s="1056"/>
      <c r="BME211" s="1056"/>
      <c r="BMF211" s="1056"/>
      <c r="BMG211" s="1056"/>
      <c r="BMH211" s="1056"/>
      <c r="BMI211" s="1056"/>
      <c r="BMJ211" s="1056"/>
      <c r="BMK211" s="1056"/>
      <c r="BML211" s="1056"/>
      <c r="BMM211" s="1056"/>
      <c r="BMN211" s="1056"/>
      <c r="BMO211" s="1056"/>
      <c r="BMP211" s="1056"/>
      <c r="BMQ211" s="1056"/>
      <c r="BMR211" s="1056"/>
      <c r="BMS211" s="1056"/>
      <c r="BMT211" s="1056"/>
      <c r="BMU211" s="1056"/>
      <c r="BMV211" s="1056"/>
      <c r="BMW211" s="1056"/>
      <c r="BMX211" s="1056"/>
      <c r="BMY211" s="1056"/>
      <c r="BMZ211" s="1056"/>
      <c r="BNA211" s="1056"/>
      <c r="BNB211" s="1056"/>
      <c r="BNC211" s="1056"/>
      <c r="BND211" s="1056"/>
      <c r="BNE211" s="1056"/>
      <c r="BNF211" s="1056"/>
      <c r="BNG211" s="1056"/>
      <c r="BNH211" s="1056"/>
      <c r="BNI211" s="1056"/>
      <c r="BNJ211" s="1056"/>
      <c r="BNK211" s="1056"/>
      <c r="BNL211" s="1056"/>
      <c r="BNM211" s="1056"/>
      <c r="BNN211" s="1056"/>
      <c r="BNO211" s="1056"/>
      <c r="BNP211" s="1056"/>
      <c r="BNQ211" s="1056"/>
      <c r="BNR211" s="1056"/>
      <c r="BNS211" s="1056"/>
      <c r="BNT211" s="1056"/>
      <c r="BNU211" s="1056"/>
      <c r="BNV211" s="1056"/>
      <c r="BNW211" s="1056"/>
      <c r="BNX211" s="1056"/>
      <c r="BNY211" s="1056"/>
      <c r="BNZ211" s="1056"/>
      <c r="BOA211" s="1056"/>
      <c r="BOB211" s="1056"/>
      <c r="BOC211" s="1056"/>
      <c r="BOD211" s="1056"/>
      <c r="BOE211" s="1056"/>
      <c r="BOF211" s="1056"/>
      <c r="BOG211" s="1056"/>
      <c r="BOH211" s="1056"/>
      <c r="BOI211" s="1056"/>
      <c r="BOJ211" s="1056"/>
      <c r="BOK211" s="1056"/>
      <c r="BOL211" s="1056"/>
      <c r="BOM211" s="1056"/>
      <c r="BON211" s="1056"/>
      <c r="BOO211" s="1056"/>
      <c r="BOP211" s="1056"/>
      <c r="BOQ211" s="1056"/>
      <c r="BOR211" s="1056"/>
      <c r="BOS211" s="1056"/>
      <c r="BOT211" s="1056"/>
      <c r="BOU211" s="1056"/>
      <c r="BOV211" s="1056"/>
      <c r="BOW211" s="1056"/>
      <c r="BOX211" s="1056"/>
      <c r="BOY211" s="1056"/>
      <c r="BOZ211" s="1056"/>
      <c r="BPA211" s="1056"/>
      <c r="BPB211" s="1056"/>
      <c r="BPC211" s="1056"/>
      <c r="BPD211" s="1056"/>
      <c r="BPE211" s="1056"/>
      <c r="BPF211" s="1056"/>
      <c r="BPG211" s="1056"/>
      <c r="BPH211" s="1056"/>
      <c r="BPI211" s="1056"/>
      <c r="BPJ211" s="1056"/>
      <c r="BPK211" s="1056"/>
      <c r="BPL211" s="1056"/>
      <c r="BPM211" s="1056"/>
      <c r="BPN211" s="1056"/>
      <c r="BPO211" s="1056"/>
      <c r="BPP211" s="1056"/>
      <c r="BPQ211" s="1056"/>
      <c r="BPR211" s="1056"/>
      <c r="BPS211" s="1056"/>
      <c r="BPT211" s="1056"/>
      <c r="BPU211" s="1056"/>
      <c r="BPV211" s="1056"/>
      <c r="BPW211" s="1056"/>
      <c r="BPX211" s="1056"/>
      <c r="BPY211" s="1056"/>
      <c r="BPZ211" s="1056"/>
      <c r="BQA211" s="1056"/>
      <c r="BQB211" s="1056"/>
      <c r="BQC211" s="1056"/>
      <c r="BQD211" s="1056"/>
      <c r="BQE211" s="1056"/>
      <c r="BQF211" s="1056"/>
      <c r="BQG211" s="1056"/>
      <c r="BQH211" s="1056"/>
      <c r="BQI211" s="1056"/>
      <c r="BQJ211" s="1056"/>
      <c r="BQK211" s="1056"/>
      <c r="BQL211" s="1056"/>
      <c r="BQM211" s="1056"/>
      <c r="BQN211" s="1056"/>
      <c r="BQO211" s="1056"/>
      <c r="BQP211" s="1056"/>
      <c r="BQQ211" s="1056"/>
      <c r="BQR211" s="1056"/>
      <c r="BQS211" s="1056"/>
      <c r="BQT211" s="1056"/>
      <c r="BQU211" s="1056"/>
      <c r="BQV211" s="1056"/>
      <c r="BQW211" s="1056"/>
      <c r="BQX211" s="1056"/>
      <c r="BQY211" s="1056"/>
      <c r="BQZ211" s="1056"/>
      <c r="BRA211" s="1056"/>
      <c r="BRB211" s="1056"/>
      <c r="BRC211" s="1056"/>
      <c r="BRD211" s="1056"/>
      <c r="BRE211" s="1056"/>
      <c r="BRF211" s="1056"/>
      <c r="BRG211" s="1056"/>
      <c r="BRH211" s="1056"/>
      <c r="BRI211" s="1056"/>
      <c r="BRJ211" s="1056"/>
      <c r="BRK211" s="1056"/>
      <c r="BRL211" s="1056"/>
      <c r="BRM211" s="1056"/>
      <c r="BRN211" s="1056"/>
      <c r="BRO211" s="1056"/>
      <c r="BRP211" s="1056"/>
      <c r="BRQ211" s="1056"/>
      <c r="BRR211" s="1056"/>
      <c r="BRS211" s="1056"/>
      <c r="BRT211" s="1056"/>
      <c r="BRU211" s="1056"/>
      <c r="BRV211" s="1056"/>
      <c r="BRW211" s="1056"/>
      <c r="BRX211" s="1056"/>
      <c r="BRY211" s="1056"/>
      <c r="BRZ211" s="1056"/>
      <c r="BSA211" s="1056"/>
      <c r="BSB211" s="1056"/>
      <c r="BSC211" s="1056"/>
      <c r="BSD211" s="1056"/>
      <c r="BSE211" s="1056"/>
      <c r="BSF211" s="1056"/>
      <c r="BSG211" s="1056"/>
      <c r="BSH211" s="1056"/>
      <c r="BSI211" s="1056"/>
      <c r="BSJ211" s="1056"/>
      <c r="BSK211" s="1056"/>
      <c r="BSL211" s="1056"/>
      <c r="BSM211" s="1056"/>
      <c r="BSN211" s="1056"/>
      <c r="BSO211" s="1056"/>
      <c r="BSP211" s="1056"/>
      <c r="BSQ211" s="1056"/>
      <c r="BSR211" s="1056"/>
      <c r="BSS211" s="1056"/>
      <c r="BST211" s="1056"/>
      <c r="BSU211" s="1056"/>
      <c r="BSV211" s="1056"/>
      <c r="BSW211" s="1056"/>
      <c r="BSX211" s="1056"/>
      <c r="BSY211" s="1056"/>
      <c r="BSZ211" s="1056"/>
      <c r="BTA211" s="1056"/>
      <c r="BTB211" s="1056"/>
      <c r="BTC211" s="1056"/>
      <c r="BTD211" s="1056"/>
      <c r="BTE211" s="1056"/>
      <c r="BTF211" s="1056"/>
      <c r="BTG211" s="1056"/>
      <c r="BTH211" s="1056"/>
      <c r="BTI211" s="1056"/>
    </row>
    <row r="212" spans="1:1881" ht="106.5" customHeight="1" x14ac:dyDescent="0.3">
      <c r="A212" s="105">
        <v>512</v>
      </c>
      <c r="B212" s="551"/>
      <c r="C212" s="808" t="s">
        <v>165</v>
      </c>
      <c r="D212" s="24" t="s">
        <v>1131</v>
      </c>
      <c r="E212" s="661" t="e">
        <f>HLOOKUP($D$2,'2020 Data(H)'!$C$1:$AI$426,162,FALSE)</f>
        <v>#N/A</v>
      </c>
      <c r="F212" s="286">
        <v>0</v>
      </c>
      <c r="G212" s="722">
        <f>IF(F212&lt;0,"Error: Enter as positive.",)</f>
        <v>0</v>
      </c>
      <c r="H212" s="17"/>
      <c r="I212" s="77"/>
      <c r="J212" s="567"/>
      <c r="Z212" s="105"/>
      <c r="AA212" s="105"/>
      <c r="AB212" s="105"/>
      <c r="AC212" s="105"/>
      <c r="AD212" s="105"/>
      <c r="AE212" s="105"/>
      <c r="AF212" s="105"/>
      <c r="AG212" s="105"/>
      <c r="AH212" s="105"/>
      <c r="AI212" s="105"/>
      <c r="AJ212" s="105"/>
      <c r="AK212" s="105"/>
      <c r="AL212" s="105"/>
      <c r="AM212" s="105"/>
      <c r="AN212" s="105"/>
      <c r="AO212" s="105"/>
      <c r="AP212" s="105"/>
      <c r="AQ212" s="105"/>
      <c r="AR212" s="105"/>
    </row>
    <row r="213" spans="1:1881" hidden="1" x14ac:dyDescent="0.3">
      <c r="A213" s="105"/>
      <c r="B213" s="843" t="s">
        <v>494</v>
      </c>
      <c r="C213" s="844"/>
      <c r="D213" s="846"/>
      <c r="E213" s="851"/>
      <c r="F213" s="850"/>
      <c r="G213" s="838"/>
      <c r="H213" s="723"/>
      <c r="I213" s="724"/>
      <c r="Z213" s="105"/>
      <c r="AA213" s="105"/>
      <c r="AB213" s="105"/>
      <c r="AC213" s="105"/>
      <c r="AD213" s="105"/>
      <c r="AE213" s="105"/>
      <c r="AF213" s="105"/>
      <c r="AG213" s="105"/>
      <c r="AH213" s="105"/>
      <c r="AI213" s="105"/>
      <c r="AJ213" s="105"/>
      <c r="AK213" s="105"/>
      <c r="AL213" s="105"/>
      <c r="AM213" s="105"/>
      <c r="AN213" s="105"/>
      <c r="AO213" s="105"/>
      <c r="AP213" s="105"/>
      <c r="AQ213" s="105"/>
      <c r="AR213" s="105"/>
    </row>
    <row r="214" spans="1:1881" ht="59.25" hidden="1" customHeight="1" x14ac:dyDescent="0.3">
      <c r="A214" s="300">
        <v>656</v>
      </c>
      <c r="B214" s="300"/>
      <c r="C214" s="300"/>
      <c r="D214" s="742" t="s">
        <v>495</v>
      </c>
      <c r="E214" s="661" t="e">
        <f>HLOOKUP($D$2,'2020 Data(H)'!$C$1:$AI$426,309,FALSE)</f>
        <v>#N/A</v>
      </c>
      <c r="F214" s="286">
        <v>0</v>
      </c>
      <c r="G214" s="722"/>
      <c r="H214" s="17"/>
      <c r="I214" s="77"/>
      <c r="J214" s="567"/>
      <c r="Z214" s="300"/>
      <c r="AA214" s="300"/>
      <c r="AB214" s="300"/>
      <c r="AC214" s="300"/>
      <c r="AD214" s="300"/>
      <c r="AE214" s="300"/>
      <c r="AF214" s="300"/>
      <c r="AG214" s="300"/>
      <c r="AH214" s="300"/>
      <c r="AI214" s="300"/>
      <c r="AJ214" s="300"/>
      <c r="AK214" s="300"/>
      <c r="AL214" s="300"/>
      <c r="AM214" s="300"/>
      <c r="AN214" s="300"/>
      <c r="AO214" s="300"/>
      <c r="AP214" s="300"/>
      <c r="AQ214" s="300"/>
      <c r="AR214" s="300"/>
    </row>
    <row r="215" spans="1:1881" hidden="1" x14ac:dyDescent="0.3">
      <c r="A215" s="105"/>
      <c r="B215" s="843" t="s">
        <v>305</v>
      </c>
      <c r="C215" s="844"/>
      <c r="D215" s="846"/>
      <c r="E215" s="851"/>
      <c r="F215" s="850"/>
      <c r="G215" s="838"/>
      <c r="H215" s="723"/>
      <c r="I215" s="724"/>
      <c r="Z215" s="105"/>
      <c r="AA215" s="105"/>
      <c r="AB215" s="105"/>
      <c r="AC215" s="105"/>
      <c r="AD215" s="105"/>
      <c r="AE215" s="105"/>
      <c r="AF215" s="105"/>
      <c r="AG215" s="105"/>
      <c r="AH215" s="105"/>
      <c r="AI215" s="105"/>
      <c r="AJ215" s="105"/>
      <c r="AK215" s="105"/>
      <c r="AL215" s="105"/>
      <c r="AM215" s="105"/>
      <c r="AN215" s="105"/>
      <c r="AO215" s="105"/>
      <c r="AP215" s="105"/>
      <c r="AQ215" s="105"/>
      <c r="AR215" s="105"/>
    </row>
    <row r="216" spans="1:1881" ht="121.5" hidden="1" customHeight="1" x14ac:dyDescent="0.3">
      <c r="A216" s="105">
        <v>535</v>
      </c>
      <c r="B216" s="663" t="s">
        <v>55</v>
      </c>
      <c r="C216" s="663" t="s">
        <v>166</v>
      </c>
      <c r="D216" s="24" t="s">
        <v>1132</v>
      </c>
      <c r="E216" s="661" t="e">
        <f>HLOOKUP($D$2,'2020 Data(H)'!$C$1:$AI$426,185,FALSE)</f>
        <v>#N/A</v>
      </c>
      <c r="F216" s="286">
        <v>0</v>
      </c>
      <c r="G216" s="722" t="str">
        <f>IF(F216&lt;1,"Reminder: Please make sure you have entered all cash and investments from bond/Debt proceeds, if applicable.",)</f>
        <v>Reminder: Please make sure you have entered all cash and investments from bond/Debt proceeds, if applicable.</v>
      </c>
      <c r="H216" s="723"/>
      <c r="I216" s="724"/>
      <c r="Z216" s="105"/>
      <c r="AA216" s="105"/>
      <c r="AB216" s="105"/>
      <c r="AC216" s="105"/>
      <c r="AD216" s="105"/>
      <c r="AE216" s="105"/>
      <c r="AF216" s="105"/>
      <c r="AG216" s="105"/>
      <c r="AH216" s="105"/>
      <c r="AI216" s="105"/>
      <c r="AJ216" s="105"/>
      <c r="AK216" s="105"/>
      <c r="AL216" s="105"/>
      <c r="AM216" s="105"/>
      <c r="AN216" s="105"/>
      <c r="AO216" s="105"/>
      <c r="AP216" s="105"/>
      <c r="AQ216" s="105"/>
      <c r="AR216" s="105"/>
    </row>
    <row r="217" spans="1:1881" hidden="1" x14ac:dyDescent="0.3">
      <c r="A217" s="105"/>
      <c r="B217" s="843" t="s">
        <v>29</v>
      </c>
      <c r="C217" s="844"/>
      <c r="D217" s="820"/>
      <c r="E217" s="820"/>
      <c r="F217" s="847"/>
      <c r="G217" s="840"/>
      <c r="H217" s="17"/>
      <c r="I217" s="77"/>
      <c r="Z217" s="105"/>
      <c r="AA217" s="105"/>
      <c r="AB217" s="105"/>
      <c r="AC217" s="105"/>
      <c r="AD217" s="105"/>
      <c r="AE217" s="105"/>
      <c r="AF217" s="105"/>
      <c r="AG217" s="105"/>
      <c r="AH217" s="105"/>
      <c r="AI217" s="105"/>
      <c r="AJ217" s="105"/>
      <c r="AK217" s="105"/>
      <c r="AL217" s="105"/>
      <c r="AM217" s="105"/>
      <c r="AN217" s="105"/>
      <c r="AO217" s="105"/>
      <c r="AP217" s="105"/>
      <c r="AQ217" s="105"/>
      <c r="AR217" s="105"/>
    </row>
    <row r="218" spans="1:1881" hidden="1" x14ac:dyDescent="0.3">
      <c r="A218" s="105"/>
      <c r="B218" s="551"/>
      <c r="C218" s="551"/>
      <c r="D218" s="743" t="s">
        <v>2</v>
      </c>
      <c r="E218" s="1"/>
      <c r="F218" s="161"/>
      <c r="G218" s="732"/>
      <c r="H218" s="17"/>
      <c r="I218" s="77"/>
      <c r="Z218" s="105"/>
      <c r="AA218" s="105"/>
      <c r="AB218" s="105"/>
      <c r="AC218" s="105"/>
      <c r="AD218" s="105"/>
      <c r="AE218" s="105"/>
      <c r="AF218" s="105"/>
      <c r="AG218" s="105"/>
      <c r="AH218" s="105"/>
      <c r="AI218" s="105"/>
      <c r="AJ218" s="105"/>
      <c r="AK218" s="105"/>
      <c r="AL218" s="105"/>
      <c r="AM218" s="105"/>
      <c r="AN218" s="105"/>
      <c r="AO218" s="105"/>
      <c r="AP218" s="105"/>
      <c r="AQ218" s="105"/>
      <c r="AR218" s="105"/>
    </row>
    <row r="219" spans="1:1881" ht="36" hidden="1" customHeight="1" x14ac:dyDescent="0.3">
      <c r="A219" s="105"/>
      <c r="B219" s="551"/>
      <c r="C219" s="551"/>
      <c r="D219" s="662" t="s">
        <v>1133</v>
      </c>
      <c r="E219" s="1"/>
      <c r="F219" s="161"/>
      <c r="G219" s="732"/>
      <c r="H219" s="17"/>
      <c r="I219" s="77"/>
      <c r="Z219" s="105"/>
      <c r="AA219" s="105"/>
      <c r="AB219" s="105"/>
      <c r="AC219" s="105"/>
      <c r="AD219" s="105"/>
      <c r="AE219" s="105"/>
      <c r="AF219" s="105"/>
      <c r="AG219" s="105"/>
      <c r="AH219" s="105"/>
      <c r="AI219" s="105"/>
      <c r="AJ219" s="105"/>
      <c r="AK219" s="105"/>
      <c r="AL219" s="105"/>
      <c r="AM219" s="105"/>
      <c r="AN219" s="105"/>
      <c r="AO219" s="105"/>
      <c r="AP219" s="105"/>
      <c r="AQ219" s="105"/>
      <c r="AR219" s="105"/>
    </row>
    <row r="220" spans="1:1881" ht="45.6" hidden="1" customHeight="1" x14ac:dyDescent="0.3">
      <c r="A220" s="105">
        <v>334</v>
      </c>
      <c r="B220" s="4" t="s">
        <v>56</v>
      </c>
      <c r="C220" s="4" t="s">
        <v>173</v>
      </c>
      <c r="D220" s="24" t="s">
        <v>1134</v>
      </c>
      <c r="E220" s="661" t="e">
        <f>HLOOKUP($D$2,'2020 Data(H)'!$C$1:$AI$426,100,FALSE)</f>
        <v>#N/A</v>
      </c>
      <c r="F220" s="286">
        <v>0</v>
      </c>
      <c r="G220" s="732"/>
      <c r="H220" s="17"/>
      <c r="I220" s="77"/>
      <c r="Z220" s="105"/>
      <c r="AA220" s="105"/>
      <c r="AB220" s="105"/>
      <c r="AC220" s="105"/>
      <c r="AD220" s="105"/>
      <c r="AE220" s="105"/>
      <c r="AF220" s="105"/>
      <c r="AG220" s="105"/>
      <c r="AH220" s="105"/>
      <c r="AI220" s="105"/>
      <c r="AJ220" s="105"/>
      <c r="AK220" s="105"/>
      <c r="AL220" s="105"/>
      <c r="AM220" s="105"/>
      <c r="AN220" s="105"/>
      <c r="AO220" s="105"/>
      <c r="AP220" s="105"/>
      <c r="AQ220" s="105"/>
      <c r="AR220" s="105"/>
    </row>
    <row r="221" spans="1:1881" ht="45.6" hidden="1" customHeight="1" x14ac:dyDescent="0.3">
      <c r="A221" s="105">
        <v>373</v>
      </c>
      <c r="B221" s="4" t="s">
        <v>56</v>
      </c>
      <c r="C221" s="4" t="s">
        <v>173</v>
      </c>
      <c r="D221" s="28" t="s">
        <v>172</v>
      </c>
      <c r="E221" s="661" t="e">
        <f>HLOOKUP($D$2,'2020 Data(H)'!$C$1:$AI$426,133,FALSE)</f>
        <v>#N/A</v>
      </c>
      <c r="F221" s="286">
        <v>0</v>
      </c>
      <c r="G221" s="722">
        <f>IF(F221&lt;0,"Error: Enter as positive.",)</f>
        <v>0</v>
      </c>
      <c r="H221" s="17"/>
      <c r="I221" s="77"/>
      <c r="Z221" s="105"/>
      <c r="AA221" s="105"/>
      <c r="AB221" s="105"/>
      <c r="AC221" s="105"/>
      <c r="AD221" s="105"/>
      <c r="AE221" s="105"/>
      <c r="AF221" s="105"/>
      <c r="AG221" s="105"/>
      <c r="AH221" s="105"/>
      <c r="AI221" s="105"/>
      <c r="AJ221" s="105"/>
      <c r="AK221" s="105"/>
      <c r="AL221" s="105"/>
      <c r="AM221" s="105"/>
      <c r="AN221" s="105"/>
      <c r="AO221" s="105"/>
      <c r="AP221" s="105"/>
      <c r="AQ221" s="105"/>
      <c r="AR221" s="105"/>
    </row>
    <row r="222" spans="1:1881" ht="92.25" hidden="1" customHeight="1" x14ac:dyDescent="0.3">
      <c r="A222" s="105">
        <v>987</v>
      </c>
      <c r="B222" s="807" t="s">
        <v>728</v>
      </c>
      <c r="C222" s="807"/>
      <c r="D222" s="744" t="s">
        <v>983</v>
      </c>
      <c r="E222" s="661" t="s">
        <v>729</v>
      </c>
      <c r="F222" s="286">
        <v>0</v>
      </c>
      <c r="G222" s="745" t="str">
        <f>IF(F222="","If this question is not applicable please place a zero in the cell to the left","")</f>
        <v/>
      </c>
      <c r="H222" s="701"/>
      <c r="I222" s="77"/>
      <c r="Z222" s="105"/>
      <c r="AA222" s="105"/>
      <c r="AB222" s="105"/>
      <c r="AC222" s="105"/>
      <c r="AD222" s="105"/>
      <c r="AE222" s="105"/>
      <c r="AF222" s="105"/>
      <c r="AG222" s="105"/>
      <c r="AH222" s="105"/>
      <c r="AI222" s="105"/>
      <c r="AJ222" s="105"/>
      <c r="AK222" s="105"/>
      <c r="AL222" s="105"/>
      <c r="AM222" s="105"/>
      <c r="AN222" s="105"/>
      <c r="AO222" s="105"/>
      <c r="AP222" s="105"/>
      <c r="AQ222" s="105"/>
      <c r="AR222" s="105"/>
    </row>
    <row r="223" spans="1:1881" ht="66.75" hidden="1" customHeight="1" x14ac:dyDescent="0.3">
      <c r="A223" s="105">
        <v>988</v>
      </c>
      <c r="B223" s="807" t="s">
        <v>728</v>
      </c>
      <c r="C223" s="807"/>
      <c r="D223" s="744" t="s">
        <v>980</v>
      </c>
      <c r="E223" s="661" t="s">
        <v>729</v>
      </c>
      <c r="F223" s="286"/>
      <c r="G223" s="722"/>
      <c r="H223" s="17"/>
      <c r="I223" s="77"/>
      <c r="Z223" s="105"/>
      <c r="AA223" s="105"/>
      <c r="AB223" s="105"/>
      <c r="AC223" s="105"/>
      <c r="AD223" s="105"/>
      <c r="AE223" s="105"/>
      <c r="AF223" s="105"/>
      <c r="AG223" s="105"/>
      <c r="AH223" s="105"/>
      <c r="AI223" s="105"/>
      <c r="AJ223" s="105"/>
      <c r="AK223" s="105"/>
      <c r="AL223" s="105"/>
      <c r="AM223" s="105"/>
      <c r="AN223" s="105"/>
      <c r="AO223" s="105"/>
      <c r="AP223" s="105"/>
      <c r="AQ223" s="105"/>
      <c r="AR223" s="105"/>
    </row>
    <row r="224" spans="1:1881" ht="90" hidden="1" customHeight="1" x14ac:dyDescent="0.3">
      <c r="A224" s="105">
        <v>989</v>
      </c>
      <c r="B224" s="807" t="s">
        <v>728</v>
      </c>
      <c r="C224" s="807"/>
      <c r="D224" s="744" t="s">
        <v>1178</v>
      </c>
      <c r="E224" s="661" t="s">
        <v>758</v>
      </c>
      <c r="F224" s="286"/>
      <c r="G224" s="722"/>
      <c r="H224" s="17"/>
      <c r="I224" s="77"/>
      <c r="Z224" s="105"/>
      <c r="AA224" s="105"/>
      <c r="AB224" s="105"/>
      <c r="AC224" s="105"/>
      <c r="AD224" s="105"/>
      <c r="AE224" s="105"/>
      <c r="AF224" s="105"/>
      <c r="AG224" s="105"/>
      <c r="AH224" s="105"/>
      <c r="AI224" s="105"/>
      <c r="AJ224" s="105"/>
      <c r="AK224" s="105"/>
      <c r="AL224" s="105"/>
      <c r="AM224" s="105"/>
      <c r="AN224" s="105"/>
      <c r="AO224" s="105"/>
      <c r="AP224" s="105"/>
      <c r="AQ224" s="105"/>
      <c r="AR224" s="105"/>
    </row>
    <row r="225" spans="1:44" hidden="1" x14ac:dyDescent="0.3">
      <c r="A225" s="105"/>
      <c r="B225" s="852"/>
      <c r="C225" s="852"/>
      <c r="D225" s="853"/>
      <c r="E225" s="854"/>
      <c r="F225" s="855"/>
      <c r="G225" s="856"/>
      <c r="H225" s="17"/>
      <c r="I225" s="77"/>
      <c r="Z225" s="105"/>
      <c r="AA225" s="105"/>
      <c r="AB225" s="105"/>
      <c r="AC225" s="105"/>
      <c r="AD225" s="105"/>
      <c r="AE225" s="105"/>
      <c r="AF225" s="105"/>
      <c r="AG225" s="105"/>
      <c r="AH225" s="105"/>
      <c r="AI225" s="105"/>
      <c r="AJ225" s="105"/>
      <c r="AK225" s="105"/>
      <c r="AL225" s="105"/>
      <c r="AM225" s="105"/>
      <c r="AN225" s="105"/>
      <c r="AO225" s="105"/>
      <c r="AP225" s="105"/>
      <c r="AQ225" s="105"/>
      <c r="AR225" s="105"/>
    </row>
    <row r="226" spans="1:44" ht="108" hidden="1" customHeight="1" x14ac:dyDescent="0.3">
      <c r="A226" s="105"/>
      <c r="B226" s="551"/>
      <c r="C226" s="551"/>
      <c r="D226" s="746" t="s">
        <v>1135</v>
      </c>
      <c r="E226" s="1"/>
      <c r="F226" s="366"/>
      <c r="G226" s="732"/>
      <c r="H226" s="17"/>
      <c r="I226" s="77"/>
      <c r="Z226" s="105"/>
      <c r="AA226" s="105"/>
      <c r="AB226" s="105"/>
      <c r="AC226" s="105"/>
      <c r="AD226" s="105"/>
      <c r="AE226" s="105"/>
      <c r="AF226" s="105"/>
      <c r="AG226" s="105"/>
      <c r="AH226" s="105"/>
      <c r="AI226" s="105"/>
      <c r="AJ226" s="105"/>
      <c r="AK226" s="105"/>
      <c r="AL226" s="105"/>
      <c r="AM226" s="105"/>
      <c r="AN226" s="105"/>
      <c r="AO226" s="105"/>
      <c r="AP226" s="105"/>
      <c r="AQ226" s="105"/>
      <c r="AR226" s="105"/>
    </row>
    <row r="227" spans="1:44" ht="48.75" hidden="1" customHeight="1" x14ac:dyDescent="0.3">
      <c r="A227" s="105"/>
      <c r="B227" s="551"/>
      <c r="C227" s="551"/>
      <c r="D227" s="24" t="s">
        <v>1136</v>
      </c>
      <c r="E227" s="1"/>
      <c r="F227" s="366"/>
      <c r="G227" s="732"/>
      <c r="H227" s="17"/>
      <c r="I227" s="77"/>
      <c r="Z227" s="105"/>
      <c r="AA227" s="105"/>
      <c r="AB227" s="105"/>
      <c r="AC227" s="105"/>
      <c r="AD227" s="105"/>
      <c r="AE227" s="105"/>
      <c r="AF227" s="105"/>
      <c r="AG227" s="105"/>
      <c r="AH227" s="105"/>
      <c r="AI227" s="105"/>
      <c r="AJ227" s="105"/>
      <c r="AK227" s="105"/>
      <c r="AL227" s="105"/>
      <c r="AM227" s="105"/>
      <c r="AN227" s="105"/>
      <c r="AO227" s="105"/>
      <c r="AP227" s="105"/>
      <c r="AQ227" s="105"/>
      <c r="AR227" s="105"/>
    </row>
    <row r="228" spans="1:44" ht="51.75" hidden="1" customHeight="1" x14ac:dyDescent="0.3">
      <c r="A228" s="105">
        <v>327</v>
      </c>
      <c r="B228" s="663" t="s">
        <v>37</v>
      </c>
      <c r="C228" s="663" t="s">
        <v>174</v>
      </c>
      <c r="D228" s="747" t="s">
        <v>1137</v>
      </c>
      <c r="E228" s="661" t="e">
        <f>HLOOKUP($D$2,'2020 Data(H)'!$C$1:$AI$426,94,FALSE)</f>
        <v>#N/A</v>
      </c>
      <c r="F228" s="266">
        <v>0</v>
      </c>
      <c r="G228" s="732"/>
      <c r="H228" s="17"/>
      <c r="I228" s="724"/>
      <c r="Z228" s="105"/>
      <c r="AA228" s="105"/>
      <c r="AB228" s="105"/>
      <c r="AC228" s="105"/>
      <c r="AD228" s="105"/>
      <c r="AE228" s="105"/>
      <c r="AF228" s="105"/>
      <c r="AG228" s="105"/>
      <c r="AH228" s="105"/>
      <c r="AI228" s="105"/>
      <c r="AJ228" s="105"/>
      <c r="AK228" s="105"/>
      <c r="AL228" s="105"/>
      <c r="AM228" s="105"/>
      <c r="AN228" s="105"/>
      <c r="AO228" s="105"/>
      <c r="AP228" s="105"/>
      <c r="AQ228" s="105"/>
      <c r="AR228" s="105"/>
    </row>
    <row r="229" spans="1:44" ht="51.75" hidden="1" customHeight="1" x14ac:dyDescent="0.3">
      <c r="A229" s="105">
        <v>328</v>
      </c>
      <c r="B229" s="663" t="s">
        <v>37</v>
      </c>
      <c r="C229" s="663" t="s">
        <v>174</v>
      </c>
      <c r="D229" s="29" t="s">
        <v>7</v>
      </c>
      <c r="E229" s="661" t="e">
        <f>HLOOKUP($D$2,'2020 Data(H)'!$C$1:$AI$426,95,FALSE)</f>
        <v>#N/A</v>
      </c>
      <c r="F229" s="266">
        <v>0</v>
      </c>
      <c r="G229" s="732"/>
      <c r="H229" s="17"/>
      <c r="I229" s="724"/>
      <c r="Z229" s="105"/>
      <c r="AA229" s="105"/>
      <c r="AB229" s="105"/>
      <c r="AC229" s="105"/>
      <c r="AD229" s="105"/>
      <c r="AE229" s="105"/>
      <c r="AF229" s="105"/>
      <c r="AG229" s="105"/>
      <c r="AH229" s="105"/>
      <c r="AI229" s="105"/>
      <c r="AJ229" s="105"/>
      <c r="AK229" s="105"/>
      <c r="AL229" s="105"/>
      <c r="AM229" s="105"/>
      <c r="AN229" s="105"/>
      <c r="AO229" s="105"/>
      <c r="AP229" s="105"/>
      <c r="AQ229" s="105"/>
      <c r="AR229" s="105"/>
    </row>
    <row r="230" spans="1:44" ht="42" hidden="1" customHeight="1" x14ac:dyDescent="0.3">
      <c r="A230" s="105"/>
      <c r="B230" s="551"/>
      <c r="C230" s="551"/>
      <c r="D230" s="30" t="s">
        <v>1138</v>
      </c>
      <c r="E230" s="99" t="e">
        <f>SUM(E228:E229)</f>
        <v>#N/A</v>
      </c>
      <c r="F230" s="99">
        <f>SUM(F228:F229)</f>
        <v>0</v>
      </c>
      <c r="G230" s="732"/>
      <c r="H230" s="17"/>
      <c r="I230" s="77"/>
      <c r="Z230" s="105"/>
      <c r="AA230" s="105"/>
      <c r="AB230" s="105"/>
      <c r="AC230" s="105"/>
      <c r="AD230" s="105"/>
      <c r="AE230" s="105"/>
      <c r="AF230" s="105"/>
      <c r="AG230" s="105"/>
      <c r="AH230" s="105"/>
      <c r="AI230" s="105"/>
      <c r="AJ230" s="105"/>
      <c r="AK230" s="105"/>
      <c r="AL230" s="105"/>
      <c r="AM230" s="105"/>
      <c r="AN230" s="105"/>
      <c r="AO230" s="105"/>
      <c r="AP230" s="105"/>
      <c r="AQ230" s="105"/>
      <c r="AR230" s="105"/>
    </row>
    <row r="231" spans="1:44" ht="28.8" hidden="1" x14ac:dyDescent="0.3">
      <c r="A231" s="105"/>
      <c r="B231" s="551"/>
      <c r="C231" s="551"/>
      <c r="D231" s="24" t="s">
        <v>1139</v>
      </c>
      <c r="E231" s="1"/>
      <c r="F231" s="366"/>
      <c r="G231" s="732"/>
      <c r="H231" s="17"/>
      <c r="I231" s="77"/>
      <c r="Z231" s="105"/>
      <c r="AA231" s="105"/>
      <c r="AB231" s="105"/>
      <c r="AC231" s="105"/>
      <c r="AD231" s="105"/>
      <c r="AE231" s="105"/>
      <c r="AF231" s="105"/>
      <c r="AG231" s="105"/>
      <c r="AH231" s="105"/>
      <c r="AI231" s="105"/>
      <c r="AJ231" s="105"/>
      <c r="AK231" s="105"/>
      <c r="AL231" s="105"/>
      <c r="AM231" s="105"/>
      <c r="AN231" s="105"/>
      <c r="AO231" s="105"/>
      <c r="AP231" s="105"/>
      <c r="AQ231" s="105"/>
      <c r="AR231" s="105"/>
    </row>
    <row r="232" spans="1:44" ht="24" hidden="1" customHeight="1" x14ac:dyDescent="0.3">
      <c r="A232" s="105"/>
      <c r="B232" s="551"/>
      <c r="C232" s="551"/>
      <c r="D232" s="27" t="s">
        <v>9</v>
      </c>
      <c r="F232" s="748"/>
      <c r="G232" s="732"/>
      <c r="H232" s="17"/>
      <c r="I232" s="77"/>
      <c r="Z232" s="105"/>
      <c r="AA232" s="105"/>
      <c r="AB232" s="105"/>
      <c r="AC232" s="105"/>
      <c r="AD232" s="105"/>
      <c r="AE232" s="105"/>
      <c r="AF232" s="105"/>
      <c r="AG232" s="105"/>
      <c r="AH232" s="105"/>
      <c r="AI232" s="105"/>
      <c r="AJ232" s="105"/>
      <c r="AK232" s="105"/>
      <c r="AL232" s="105"/>
      <c r="AM232" s="105"/>
      <c r="AN232" s="105"/>
      <c r="AO232" s="105"/>
      <c r="AP232" s="105"/>
      <c r="AQ232" s="105"/>
      <c r="AR232" s="105"/>
    </row>
    <row r="233" spans="1:44" ht="52.5" hidden="1" customHeight="1" x14ac:dyDescent="0.3">
      <c r="A233" s="105">
        <v>515</v>
      </c>
      <c r="B233" s="663" t="s">
        <v>301</v>
      </c>
      <c r="C233" s="663" t="s">
        <v>175</v>
      </c>
      <c r="D233" s="31" t="s">
        <v>3</v>
      </c>
      <c r="E233" s="661" t="e">
        <f>HLOOKUP($D$2,'2020 Data(H)'!$C$1:$AI$426,165,FALSE)</f>
        <v>#N/A</v>
      </c>
      <c r="F233" s="286">
        <v>0</v>
      </c>
      <c r="G233" s="722"/>
      <c r="H233" s="17"/>
      <c r="I233" s="77"/>
      <c r="Z233" s="105"/>
      <c r="AA233" s="105"/>
      <c r="AB233" s="105"/>
      <c r="AC233" s="105"/>
      <c r="AD233" s="105"/>
      <c r="AE233" s="105"/>
      <c r="AF233" s="105"/>
      <c r="AG233" s="105"/>
      <c r="AH233" s="105"/>
      <c r="AI233" s="105"/>
      <c r="AJ233" s="105"/>
      <c r="AK233" s="105"/>
      <c r="AL233" s="105"/>
      <c r="AM233" s="105"/>
      <c r="AN233" s="105"/>
      <c r="AO233" s="105"/>
      <c r="AP233" s="105"/>
      <c r="AQ233" s="105"/>
      <c r="AR233" s="105"/>
    </row>
    <row r="234" spans="1:44" ht="57" hidden="1" customHeight="1" x14ac:dyDescent="0.3">
      <c r="A234" s="105">
        <v>516</v>
      </c>
      <c r="B234" s="663" t="s">
        <v>301</v>
      </c>
      <c r="C234" s="663" t="s">
        <v>175</v>
      </c>
      <c r="D234" s="31" t="s">
        <v>4</v>
      </c>
      <c r="E234" s="661" t="e">
        <f>HLOOKUP($D$2,'2020 Data(H)'!$C$1:$AI$426,166,FALSE)</f>
        <v>#N/A</v>
      </c>
      <c r="F234" s="286">
        <v>0</v>
      </c>
      <c r="G234" s="722"/>
      <c r="H234" s="17"/>
      <c r="I234" s="77"/>
      <c r="Z234" s="105"/>
      <c r="AA234" s="105"/>
      <c r="AB234" s="105"/>
      <c r="AC234" s="105"/>
      <c r="AD234" s="105"/>
      <c r="AE234" s="105"/>
      <c r="AF234" s="105"/>
      <c r="AG234" s="105"/>
      <c r="AH234" s="105"/>
      <c r="AI234" s="105"/>
      <c r="AJ234" s="105"/>
      <c r="AK234" s="105"/>
      <c r="AL234" s="105"/>
      <c r="AM234" s="105"/>
      <c r="AN234" s="105"/>
      <c r="AO234" s="105"/>
      <c r="AP234" s="105"/>
      <c r="AQ234" s="105"/>
      <c r="AR234" s="105"/>
    </row>
    <row r="235" spans="1:44" ht="60.75" hidden="1" customHeight="1" x14ac:dyDescent="0.3">
      <c r="A235" s="105">
        <v>517</v>
      </c>
      <c r="B235" s="663" t="s">
        <v>301</v>
      </c>
      <c r="C235" s="663" t="s">
        <v>175</v>
      </c>
      <c r="D235" s="31" t="s">
        <v>5</v>
      </c>
      <c r="E235" s="661" t="e">
        <f>HLOOKUP($D$2,'2020 Data(H)'!$C$1:$AI$426,167,FALSE)</f>
        <v>#N/A</v>
      </c>
      <c r="F235" s="286">
        <v>0</v>
      </c>
      <c r="G235" s="722"/>
      <c r="H235" s="17"/>
      <c r="I235" s="77"/>
      <c r="Z235" s="105"/>
      <c r="AA235" s="105"/>
      <c r="AB235" s="105"/>
      <c r="AC235" s="105"/>
      <c r="AD235" s="105"/>
      <c r="AE235" s="105"/>
      <c r="AF235" s="105"/>
      <c r="AG235" s="105"/>
      <c r="AH235" s="105"/>
      <c r="AI235" s="105"/>
      <c r="AJ235" s="105"/>
      <c r="AK235" s="105"/>
      <c r="AL235" s="105"/>
      <c r="AM235" s="105"/>
      <c r="AN235" s="105"/>
      <c r="AO235" s="105"/>
      <c r="AP235" s="105"/>
      <c r="AQ235" s="105"/>
      <c r="AR235" s="105"/>
    </row>
    <row r="236" spans="1:44" ht="66" hidden="1" customHeight="1" x14ac:dyDescent="0.3">
      <c r="A236" s="105">
        <v>518</v>
      </c>
      <c r="B236" s="663" t="s">
        <v>301</v>
      </c>
      <c r="C236" s="663" t="s">
        <v>175</v>
      </c>
      <c r="D236" s="31" t="s">
        <v>39</v>
      </c>
      <c r="E236" s="661" t="e">
        <f>HLOOKUP($D$2,'2020 Data(H)'!$C$1:$AI$426,168,FALSE)</f>
        <v>#N/A</v>
      </c>
      <c r="F236" s="286">
        <v>0</v>
      </c>
      <c r="G236" s="722"/>
      <c r="H236" s="17"/>
      <c r="I236" s="77"/>
      <c r="Z236" s="105"/>
      <c r="AA236" s="105"/>
      <c r="AB236" s="105"/>
      <c r="AC236" s="105"/>
      <c r="AD236" s="105"/>
      <c r="AE236" s="105"/>
      <c r="AF236" s="105"/>
      <c r="AG236" s="105"/>
      <c r="AH236" s="105"/>
      <c r="AI236" s="105"/>
      <c r="AJ236" s="105"/>
      <c r="AK236" s="105"/>
      <c r="AL236" s="105"/>
      <c r="AM236" s="105"/>
      <c r="AN236" s="105"/>
      <c r="AO236" s="105"/>
      <c r="AP236" s="105"/>
      <c r="AQ236" s="105"/>
      <c r="AR236" s="105"/>
    </row>
    <row r="237" spans="1:44" ht="51" hidden="1" customHeight="1" x14ac:dyDescent="0.3">
      <c r="A237" s="290"/>
      <c r="B237" s="551"/>
      <c r="C237" s="551"/>
      <c r="D237" s="749" t="s">
        <v>1140</v>
      </c>
      <c r="E237" s="99" t="e">
        <f>SUM(E233:E236)</f>
        <v>#N/A</v>
      </c>
      <c r="F237" s="99">
        <f>SUM(F233:F236)</f>
        <v>0</v>
      </c>
      <c r="G237" s="732"/>
      <c r="H237" s="17"/>
      <c r="I237" s="77"/>
      <c r="Z237" s="290"/>
      <c r="AA237" s="290"/>
      <c r="AB237" s="290"/>
      <c r="AC237" s="290"/>
      <c r="AD237" s="290"/>
      <c r="AE237" s="290"/>
      <c r="AF237" s="290"/>
      <c r="AG237" s="290"/>
      <c r="AH237" s="290"/>
      <c r="AI237" s="290"/>
      <c r="AJ237" s="290"/>
      <c r="AK237" s="290"/>
      <c r="AL237" s="290"/>
      <c r="AM237" s="290"/>
      <c r="AN237" s="290"/>
      <c r="AO237" s="290"/>
      <c r="AP237" s="290"/>
      <c r="AQ237" s="290"/>
      <c r="AR237" s="290"/>
    </row>
    <row r="238" spans="1:44" ht="30.75" hidden="1" customHeight="1" x14ac:dyDescent="0.3">
      <c r="A238" s="105"/>
      <c r="B238" s="551"/>
      <c r="C238" s="551"/>
      <c r="D238" s="27" t="s">
        <v>48</v>
      </c>
      <c r="E238" s="1"/>
      <c r="F238" s="366"/>
      <c r="G238" s="732"/>
      <c r="H238" s="17"/>
      <c r="I238" s="77"/>
      <c r="Z238" s="105"/>
      <c r="AA238" s="105"/>
      <c r="AB238" s="105"/>
      <c r="AC238" s="105"/>
      <c r="AD238" s="105"/>
      <c r="AE238" s="105"/>
      <c r="AF238" s="105"/>
      <c r="AG238" s="105"/>
      <c r="AH238" s="105"/>
      <c r="AI238" s="105"/>
      <c r="AJ238" s="105"/>
      <c r="AK238" s="105"/>
      <c r="AL238" s="105"/>
      <c r="AM238" s="105"/>
      <c r="AN238" s="105"/>
      <c r="AO238" s="105"/>
      <c r="AP238" s="105"/>
      <c r="AQ238" s="105"/>
      <c r="AR238" s="105"/>
    </row>
    <row r="239" spans="1:44" ht="63" hidden="1" customHeight="1" x14ac:dyDescent="0.3">
      <c r="A239" s="105">
        <v>519</v>
      </c>
      <c r="B239" s="663" t="s">
        <v>37</v>
      </c>
      <c r="C239" s="663" t="s">
        <v>176</v>
      </c>
      <c r="D239" s="31" t="s">
        <v>14</v>
      </c>
      <c r="E239" s="661" t="e">
        <f>HLOOKUP($D$2,'2020 Data(H)'!$C$1:$AI$426,169,FALSE)</f>
        <v>#N/A</v>
      </c>
      <c r="F239" s="286">
        <v>0</v>
      </c>
      <c r="G239" s="722">
        <f>IF(F239&lt;0,"Error: Enter as positive.",)</f>
        <v>0</v>
      </c>
      <c r="H239" s="17"/>
      <c r="I239" s="77"/>
      <c r="Z239" s="105"/>
      <c r="AA239" s="105"/>
      <c r="AB239" s="105"/>
      <c r="AC239" s="105"/>
      <c r="AD239" s="105"/>
      <c r="AE239" s="105"/>
      <c r="AF239" s="105"/>
      <c r="AG239" s="105"/>
      <c r="AH239" s="105"/>
      <c r="AI239" s="105"/>
      <c r="AJ239" s="105"/>
      <c r="AK239" s="105"/>
      <c r="AL239" s="105"/>
      <c r="AM239" s="105"/>
      <c r="AN239" s="105"/>
      <c r="AO239" s="105"/>
      <c r="AP239" s="105"/>
      <c r="AQ239" s="105"/>
      <c r="AR239" s="105"/>
    </row>
    <row r="240" spans="1:44" ht="69.75" hidden="1" customHeight="1" x14ac:dyDescent="0.3">
      <c r="A240" s="105">
        <v>520</v>
      </c>
      <c r="B240" s="663" t="s">
        <v>37</v>
      </c>
      <c r="C240" s="663" t="s">
        <v>176</v>
      </c>
      <c r="D240" s="31" t="s">
        <v>16</v>
      </c>
      <c r="E240" s="661" t="e">
        <f>HLOOKUP($D$2,'2020 Data(H)'!$C$1:$AI$426,170,FALSE)</f>
        <v>#N/A</v>
      </c>
      <c r="F240" s="286">
        <v>0</v>
      </c>
      <c r="G240" s="722">
        <f>IF(F240&lt;0,"Error: Enter as positive.",)</f>
        <v>0</v>
      </c>
      <c r="H240" s="17"/>
      <c r="I240" s="77"/>
      <c r="Z240" s="105"/>
      <c r="AA240" s="105"/>
      <c r="AB240" s="105"/>
      <c r="AC240" s="105"/>
      <c r="AD240" s="105"/>
      <c r="AE240" s="105"/>
      <c r="AF240" s="105"/>
      <c r="AG240" s="105"/>
      <c r="AH240" s="105"/>
      <c r="AI240" s="105"/>
      <c r="AJ240" s="105"/>
      <c r="AK240" s="105"/>
      <c r="AL240" s="105"/>
      <c r="AM240" s="105"/>
      <c r="AN240" s="105"/>
      <c r="AO240" s="105"/>
      <c r="AP240" s="105"/>
      <c r="AQ240" s="105"/>
      <c r="AR240" s="105"/>
    </row>
    <row r="241" spans="1:44" ht="72" hidden="1" customHeight="1" x14ac:dyDescent="0.3">
      <c r="A241" s="105">
        <v>521</v>
      </c>
      <c r="B241" s="663" t="s">
        <v>37</v>
      </c>
      <c r="C241" s="663" t="s">
        <v>176</v>
      </c>
      <c r="D241" s="31" t="s">
        <v>18</v>
      </c>
      <c r="E241" s="661" t="e">
        <f>HLOOKUP($D$2,'2020 Data(H)'!$C$1:$AI$426,171,FALSE)</f>
        <v>#N/A</v>
      </c>
      <c r="F241" s="286">
        <v>0</v>
      </c>
      <c r="G241" s="722">
        <f>IF(F241&lt;0,"Error: Enter as positive.",)</f>
        <v>0</v>
      </c>
      <c r="H241" s="17"/>
      <c r="I241" s="77"/>
      <c r="Z241" s="105"/>
      <c r="AA241" s="105"/>
      <c r="AB241" s="105"/>
      <c r="AC241" s="105"/>
      <c r="AD241" s="105"/>
      <c r="AE241" s="105"/>
      <c r="AF241" s="105"/>
      <c r="AG241" s="105"/>
      <c r="AH241" s="105"/>
      <c r="AI241" s="105"/>
      <c r="AJ241" s="105"/>
      <c r="AK241" s="105"/>
      <c r="AL241" s="105"/>
      <c r="AM241" s="105"/>
      <c r="AN241" s="105"/>
      <c r="AO241" s="105"/>
      <c r="AP241" s="105"/>
      <c r="AQ241" s="105"/>
      <c r="AR241" s="105"/>
    </row>
    <row r="242" spans="1:44" ht="74.25" hidden="1" customHeight="1" x14ac:dyDescent="0.3">
      <c r="A242" s="105">
        <v>522</v>
      </c>
      <c r="B242" s="663" t="s">
        <v>37</v>
      </c>
      <c r="C242" s="663" t="s">
        <v>176</v>
      </c>
      <c r="D242" s="31" t="s">
        <v>40</v>
      </c>
      <c r="E242" s="661" t="e">
        <f>HLOOKUP($D$2,'2020 Data(H)'!$C$1:$AI$426,172,FALSE)</f>
        <v>#N/A</v>
      </c>
      <c r="F242" s="286">
        <v>0</v>
      </c>
      <c r="G242" s="722">
        <f>IF(F242&lt;0,"Error: Enter as positive.",)</f>
        <v>0</v>
      </c>
      <c r="H242" s="17"/>
      <c r="I242" s="77"/>
      <c r="Z242" s="105"/>
      <c r="AA242" s="105"/>
      <c r="AB242" s="105"/>
      <c r="AC242" s="105"/>
      <c r="AD242" s="105"/>
      <c r="AE242" s="105"/>
      <c r="AF242" s="105"/>
      <c r="AG242" s="105"/>
      <c r="AH242" s="105"/>
      <c r="AI242" s="105"/>
      <c r="AJ242" s="105"/>
      <c r="AK242" s="105"/>
      <c r="AL242" s="105"/>
      <c r="AM242" s="105"/>
      <c r="AN242" s="105"/>
      <c r="AO242" s="105"/>
      <c r="AP242" s="105"/>
      <c r="AQ242" s="105"/>
      <c r="AR242" s="105"/>
    </row>
    <row r="243" spans="1:44" ht="31.5" hidden="1" customHeight="1" x14ac:dyDescent="0.3">
      <c r="A243" s="6"/>
      <c r="B243" s="551"/>
      <c r="C243" s="551"/>
      <c r="D243" s="750" t="s">
        <v>34</v>
      </c>
      <c r="E243" s="99" t="e">
        <f>SUM(E239:E242)</f>
        <v>#N/A</v>
      </c>
      <c r="F243" s="99">
        <f>SUM(F239:F242)</f>
        <v>0</v>
      </c>
      <c r="G243" s="128"/>
      <c r="H243" s="17"/>
      <c r="I243" s="77"/>
      <c r="Z243" s="6"/>
      <c r="AA243" s="6"/>
      <c r="AB243" s="6"/>
      <c r="AC243" s="6"/>
      <c r="AD243" s="6"/>
      <c r="AE243" s="6"/>
      <c r="AF243" s="6"/>
      <c r="AG243" s="6"/>
      <c r="AH243" s="6"/>
      <c r="AI243" s="6"/>
      <c r="AJ243" s="6"/>
      <c r="AK243" s="6"/>
      <c r="AL243" s="6"/>
      <c r="AM243" s="6"/>
      <c r="AN243" s="6"/>
      <c r="AO243" s="6"/>
      <c r="AP243" s="6"/>
      <c r="AQ243" s="6"/>
      <c r="AR243" s="6"/>
    </row>
    <row r="244" spans="1:44" ht="26.25" hidden="1" customHeight="1" x14ac:dyDescent="0.3">
      <c r="A244" s="6"/>
      <c r="B244" s="551"/>
      <c r="C244" s="551"/>
      <c r="D244" s="27" t="s">
        <v>32</v>
      </c>
      <c r="E244" s="6"/>
      <c r="F244" s="751"/>
      <c r="G244" s="128"/>
      <c r="H244" s="17"/>
      <c r="I244" s="77"/>
      <c r="Z244" s="6"/>
      <c r="AA244" s="6"/>
      <c r="AB244" s="6"/>
      <c r="AC244" s="6"/>
      <c r="AD244" s="6"/>
      <c r="AE244" s="6"/>
      <c r="AF244" s="6"/>
      <c r="AG244" s="6"/>
      <c r="AH244" s="6"/>
      <c r="AI244" s="6"/>
      <c r="AJ244" s="6"/>
      <c r="AK244" s="6"/>
      <c r="AL244" s="6"/>
      <c r="AM244" s="6"/>
      <c r="AN244" s="6"/>
      <c r="AO244" s="6"/>
      <c r="AP244" s="6"/>
      <c r="AQ244" s="6"/>
      <c r="AR244" s="6"/>
    </row>
    <row r="245" spans="1:44" ht="89.25" hidden="1" customHeight="1" x14ac:dyDescent="0.3">
      <c r="A245" s="105">
        <v>523</v>
      </c>
      <c r="B245" s="663" t="s">
        <v>301</v>
      </c>
      <c r="C245" s="663" t="s">
        <v>177</v>
      </c>
      <c r="D245" s="31" t="s">
        <v>15</v>
      </c>
      <c r="E245" s="661" t="e">
        <f>HLOOKUP($D$2,'2020 Data(H)'!$C$1:$AI$426,173,FALSE)</f>
        <v>#N/A</v>
      </c>
      <c r="F245" s="286">
        <v>0</v>
      </c>
      <c r="G245" s="722">
        <f>IF(F245&lt;0,"Error: Enter as positive.",)</f>
        <v>0</v>
      </c>
      <c r="H245" s="17"/>
      <c r="I245" s="77"/>
      <c r="Z245" s="105"/>
      <c r="AA245" s="105"/>
      <c r="AB245" s="105"/>
      <c r="AC245" s="105"/>
      <c r="AD245" s="105"/>
      <c r="AE245" s="105"/>
      <c r="AF245" s="105"/>
      <c r="AG245" s="105"/>
      <c r="AH245" s="105"/>
      <c r="AI245" s="105"/>
      <c r="AJ245" s="105"/>
      <c r="AK245" s="105"/>
      <c r="AL245" s="105"/>
      <c r="AM245" s="105"/>
      <c r="AN245" s="105"/>
      <c r="AO245" s="105"/>
      <c r="AP245" s="105"/>
      <c r="AQ245" s="105"/>
      <c r="AR245" s="105"/>
    </row>
    <row r="246" spans="1:44" ht="75" hidden="1" customHeight="1" x14ac:dyDescent="0.3">
      <c r="A246" s="105">
        <v>524</v>
      </c>
      <c r="B246" s="663" t="s">
        <v>301</v>
      </c>
      <c r="C246" s="663" t="s">
        <v>177</v>
      </c>
      <c r="D246" s="31" t="s">
        <v>17</v>
      </c>
      <c r="E246" s="661" t="e">
        <f>HLOOKUP($D$2,'2020 Data(H)'!$C$1:$AI$426,174,FALSE)</f>
        <v>#N/A</v>
      </c>
      <c r="F246" s="286">
        <v>0</v>
      </c>
      <c r="G246" s="722">
        <f>IF(F246&lt;0,"Error: Enter as positive.",)</f>
        <v>0</v>
      </c>
      <c r="H246" s="17"/>
      <c r="I246" s="77"/>
      <c r="Z246" s="105"/>
      <c r="AA246" s="105"/>
      <c r="AB246" s="105"/>
      <c r="AC246" s="105"/>
      <c r="AD246" s="105"/>
      <c r="AE246" s="105"/>
      <c r="AF246" s="105"/>
      <c r="AG246" s="105"/>
      <c r="AH246" s="105"/>
      <c r="AI246" s="105"/>
      <c r="AJ246" s="105"/>
      <c r="AK246" s="105"/>
      <c r="AL246" s="105"/>
      <c r="AM246" s="105"/>
      <c r="AN246" s="105"/>
      <c r="AO246" s="105"/>
      <c r="AP246" s="105"/>
      <c r="AQ246" s="105"/>
      <c r="AR246" s="105"/>
    </row>
    <row r="247" spans="1:44" ht="75" hidden="1" customHeight="1" x14ac:dyDescent="0.3">
      <c r="A247" s="105">
        <v>525</v>
      </c>
      <c r="B247" s="663" t="s">
        <v>301</v>
      </c>
      <c r="C247" s="663" t="s">
        <v>177</v>
      </c>
      <c r="D247" s="31" t="s">
        <v>19</v>
      </c>
      <c r="E247" s="661" t="e">
        <f>HLOOKUP($D$2,'2020 Data(H)'!$C$1:$AI$426,175,FALSE)</f>
        <v>#N/A</v>
      </c>
      <c r="F247" s="286">
        <v>0</v>
      </c>
      <c r="G247" s="722">
        <f>IF(F247&lt;0,"Error: Enter as positive.",)</f>
        <v>0</v>
      </c>
      <c r="H247" s="17"/>
      <c r="I247" s="77"/>
      <c r="Z247" s="105"/>
      <c r="AA247" s="105"/>
      <c r="AB247" s="105"/>
      <c r="AC247" s="105"/>
      <c r="AD247" s="105"/>
      <c r="AE247" s="105"/>
      <c r="AF247" s="105"/>
      <c r="AG247" s="105"/>
      <c r="AH247" s="105"/>
      <c r="AI247" s="105"/>
      <c r="AJ247" s="105"/>
      <c r="AK247" s="105"/>
      <c r="AL247" s="105"/>
      <c r="AM247" s="105"/>
      <c r="AN247" s="105"/>
      <c r="AO247" s="105"/>
      <c r="AP247" s="105"/>
      <c r="AQ247" s="105"/>
      <c r="AR247" s="105"/>
    </row>
    <row r="248" spans="1:44" ht="76.5" hidden="1" customHeight="1" x14ac:dyDescent="0.3">
      <c r="A248" s="105">
        <v>526</v>
      </c>
      <c r="B248" s="663" t="s">
        <v>301</v>
      </c>
      <c r="C248" s="663" t="s">
        <v>177</v>
      </c>
      <c r="D248" s="31" t="s">
        <v>41</v>
      </c>
      <c r="E248" s="661" t="e">
        <f>HLOOKUP($D$2,'2020 Data(H)'!$C$1:$AI$426,176,FALSE)</f>
        <v>#N/A</v>
      </c>
      <c r="F248" s="286">
        <v>0</v>
      </c>
      <c r="G248" s="722">
        <f>IF(F248&lt;0,"Error: Enter as positive.",)</f>
        <v>0</v>
      </c>
      <c r="H248" s="17"/>
      <c r="I248" s="77"/>
      <c r="Z248" s="105"/>
      <c r="AA248" s="105"/>
      <c r="AB248" s="105"/>
      <c r="AC248" s="105"/>
      <c r="AD248" s="105"/>
      <c r="AE248" s="105"/>
      <c r="AF248" s="105"/>
      <c r="AG248" s="105"/>
      <c r="AH248" s="105"/>
      <c r="AI248" s="105"/>
      <c r="AJ248" s="105"/>
      <c r="AK248" s="105"/>
      <c r="AL248" s="105"/>
      <c r="AM248" s="105"/>
      <c r="AN248" s="105"/>
      <c r="AO248" s="105"/>
      <c r="AP248" s="105"/>
      <c r="AQ248" s="105"/>
      <c r="AR248" s="105"/>
    </row>
    <row r="249" spans="1:44" ht="24.75" hidden="1" customHeight="1" x14ac:dyDescent="0.3">
      <c r="A249" s="105"/>
      <c r="B249" s="809"/>
      <c r="C249" s="809"/>
      <c r="D249" s="750" t="s">
        <v>33</v>
      </c>
      <c r="E249" s="99" t="e">
        <f>SUM(E245:E248)</f>
        <v>#N/A</v>
      </c>
      <c r="F249" s="99">
        <f>SUM(F245:F248)</f>
        <v>0</v>
      </c>
      <c r="G249" s="732"/>
      <c r="H249" s="17"/>
      <c r="I249" s="77"/>
      <c r="Z249" s="105"/>
      <c r="AA249" s="105"/>
      <c r="AB249" s="105"/>
      <c r="AC249" s="105"/>
      <c r="AD249" s="105"/>
      <c r="AE249" s="105"/>
      <c r="AF249" s="105"/>
      <c r="AG249" s="105"/>
      <c r="AH249" s="105"/>
      <c r="AI249" s="105"/>
      <c r="AJ249" s="105"/>
      <c r="AK249" s="105"/>
      <c r="AL249" s="105"/>
      <c r="AM249" s="105"/>
      <c r="AN249" s="105"/>
      <c r="AO249" s="105"/>
      <c r="AP249" s="105"/>
      <c r="AQ249" s="105"/>
      <c r="AR249" s="105"/>
    </row>
    <row r="250" spans="1:44" ht="61.5" hidden="1" customHeight="1" x14ac:dyDescent="0.3">
      <c r="A250" s="105"/>
      <c r="B250" s="809"/>
      <c r="C250" s="809"/>
      <c r="D250" s="752" t="s">
        <v>35</v>
      </c>
      <c r="E250" s="99" t="e">
        <f>E230+E237-E249</f>
        <v>#N/A</v>
      </c>
      <c r="F250" s="99">
        <f>F230+F237-F249</f>
        <v>0</v>
      </c>
      <c r="G250" s="732"/>
      <c r="H250" s="17"/>
      <c r="I250" s="77"/>
      <c r="J250" s="567"/>
      <c r="Z250" s="105"/>
      <c r="AA250" s="105"/>
      <c r="AB250" s="105"/>
      <c r="AC250" s="105"/>
      <c r="AD250" s="105"/>
      <c r="AE250" s="105"/>
      <c r="AF250" s="105"/>
      <c r="AG250" s="105"/>
      <c r="AH250" s="105"/>
      <c r="AI250" s="105"/>
      <c r="AJ250" s="105"/>
      <c r="AK250" s="105"/>
      <c r="AL250" s="105"/>
      <c r="AM250" s="105"/>
      <c r="AN250" s="105"/>
      <c r="AO250" s="105"/>
      <c r="AP250" s="105"/>
      <c r="AQ250" s="105"/>
      <c r="AR250" s="105"/>
    </row>
    <row r="251" spans="1:44" ht="21.6" hidden="1" customHeight="1" x14ac:dyDescent="0.3">
      <c r="A251" s="105"/>
      <c r="B251" s="551"/>
      <c r="C251" s="551"/>
      <c r="D251" s="743"/>
      <c r="E251" s="1"/>
      <c r="F251" s="366"/>
      <c r="G251" s="732"/>
      <c r="H251" s="17"/>
      <c r="I251" s="77"/>
      <c r="J251" s="567"/>
      <c r="Z251" s="105"/>
      <c r="AA251" s="105"/>
      <c r="AB251" s="105"/>
      <c r="AC251" s="105"/>
      <c r="AD251" s="105"/>
      <c r="AE251" s="105"/>
      <c r="AF251" s="105"/>
      <c r="AG251" s="105"/>
      <c r="AH251" s="105"/>
      <c r="AI251" s="105"/>
      <c r="AJ251" s="105"/>
      <c r="AK251" s="105"/>
      <c r="AL251" s="105"/>
      <c r="AM251" s="105"/>
      <c r="AN251" s="105"/>
      <c r="AO251" s="105"/>
      <c r="AP251" s="105"/>
      <c r="AQ251" s="105"/>
      <c r="AR251" s="105"/>
    </row>
    <row r="252" spans="1:44" ht="34.5" hidden="1" customHeight="1" x14ac:dyDescent="0.3">
      <c r="A252" s="105"/>
      <c r="B252" s="852"/>
      <c r="C252" s="852"/>
      <c r="D252" s="845" t="s">
        <v>8</v>
      </c>
      <c r="E252" s="854"/>
      <c r="F252" s="855"/>
      <c r="G252" s="856"/>
      <c r="H252" s="17"/>
      <c r="I252" s="77"/>
      <c r="Z252" s="105"/>
      <c r="AA252" s="105"/>
      <c r="AB252" s="105"/>
      <c r="AC252" s="105"/>
      <c r="AD252" s="105"/>
      <c r="AE252" s="105"/>
      <c r="AF252" s="105"/>
      <c r="AG252" s="105"/>
      <c r="AH252" s="105"/>
      <c r="AI252" s="105"/>
      <c r="AJ252" s="105"/>
      <c r="AK252" s="105"/>
      <c r="AL252" s="105"/>
      <c r="AM252" s="105"/>
      <c r="AN252" s="105"/>
      <c r="AO252" s="105"/>
      <c r="AP252" s="105"/>
      <c r="AQ252" s="105"/>
      <c r="AR252" s="105"/>
    </row>
    <row r="253" spans="1:44" ht="55.5" hidden="1" customHeight="1" x14ac:dyDescent="0.3">
      <c r="A253" s="105">
        <v>527</v>
      </c>
      <c r="B253" s="663" t="s">
        <v>58</v>
      </c>
      <c r="C253" s="663" t="s">
        <v>178</v>
      </c>
      <c r="D253" s="28" t="s">
        <v>1141</v>
      </c>
      <c r="E253" s="661" t="e">
        <f>HLOOKUP($D$2,'2020 Data(H)'!$C$1:$AI$426,177,FALSE)</f>
        <v>#N/A</v>
      </c>
      <c r="F253" s="286">
        <v>0</v>
      </c>
      <c r="G253" s="732"/>
      <c r="H253" s="17"/>
      <c r="I253" s="724"/>
      <c r="Z253" s="105"/>
      <c r="AA253" s="105"/>
      <c r="AB253" s="105"/>
      <c r="AC253" s="105"/>
      <c r="AD253" s="105"/>
      <c r="AE253" s="105"/>
      <c r="AF253" s="105"/>
      <c r="AG253" s="105"/>
      <c r="AH253" s="105"/>
      <c r="AI253" s="105"/>
      <c r="AJ253" s="105"/>
      <c r="AK253" s="105"/>
      <c r="AL253" s="105"/>
      <c r="AM253" s="105"/>
      <c r="AN253" s="105"/>
      <c r="AO253" s="105"/>
      <c r="AP253" s="105"/>
      <c r="AQ253" s="105"/>
      <c r="AR253" s="105"/>
    </row>
    <row r="254" spans="1:44" ht="55.5" hidden="1" customHeight="1" x14ac:dyDescent="0.3">
      <c r="A254" s="105">
        <v>356</v>
      </c>
      <c r="B254" s="663" t="s">
        <v>66</v>
      </c>
      <c r="C254" s="663" t="s">
        <v>178</v>
      </c>
      <c r="D254" s="104" t="s">
        <v>20</v>
      </c>
      <c r="E254" s="661" t="e">
        <f>HLOOKUP($D$2,'2020 Data(H)'!$C$1:$AI$426,118,FALSE)</f>
        <v>#N/A</v>
      </c>
      <c r="F254" s="286">
        <v>0</v>
      </c>
      <c r="G254" s="732"/>
      <c r="H254" s="17"/>
      <c r="I254" s="724"/>
      <c r="Z254" s="105"/>
      <c r="AA254" s="105"/>
      <c r="AB254" s="105"/>
      <c r="AC254" s="105"/>
      <c r="AD254" s="105"/>
      <c r="AE254" s="105"/>
      <c r="AF254" s="105"/>
      <c r="AG254" s="105"/>
      <c r="AH254" s="105"/>
      <c r="AI254" s="105"/>
      <c r="AJ254" s="105"/>
      <c r="AK254" s="105"/>
      <c r="AL254" s="105"/>
      <c r="AM254" s="105"/>
      <c r="AN254" s="105"/>
      <c r="AO254" s="105"/>
      <c r="AP254" s="105"/>
      <c r="AQ254" s="105"/>
      <c r="AR254" s="105"/>
    </row>
    <row r="255" spans="1:44" ht="55.5" hidden="1" customHeight="1" x14ac:dyDescent="0.3">
      <c r="A255" s="105">
        <v>357</v>
      </c>
      <c r="B255" s="663" t="s">
        <v>56</v>
      </c>
      <c r="C255" s="663" t="s">
        <v>179</v>
      </c>
      <c r="D255" s="104" t="s">
        <v>21</v>
      </c>
      <c r="E255" s="661" t="e">
        <f>HLOOKUP($D$2,'2020 Data(H)'!$C$1:$AI$426,119,FALSE)</f>
        <v>#N/A</v>
      </c>
      <c r="F255" s="286">
        <v>0</v>
      </c>
      <c r="G255" s="722">
        <f>IF(F255&lt;0,"Error: Enter as positive.",)</f>
        <v>0</v>
      </c>
      <c r="H255" s="17"/>
      <c r="I255" s="724"/>
      <c r="Z255" s="105"/>
      <c r="AA255" s="105"/>
      <c r="AB255" s="105"/>
      <c r="AC255" s="105"/>
      <c r="AD255" s="105"/>
      <c r="AE255" s="105"/>
      <c r="AF255" s="105"/>
      <c r="AG255" s="105"/>
      <c r="AH255" s="105"/>
      <c r="AI255" s="105"/>
      <c r="AJ255" s="105"/>
      <c r="AK255" s="105"/>
      <c r="AL255" s="105"/>
      <c r="AM255" s="105"/>
      <c r="AN255" s="105"/>
      <c r="AO255" s="105"/>
      <c r="AP255" s="105"/>
      <c r="AQ255" s="105"/>
      <c r="AR255" s="105"/>
    </row>
    <row r="256" spans="1:44" s="18" customFormat="1" ht="35.25" hidden="1" customHeight="1" x14ac:dyDescent="0.3">
      <c r="A256" s="105"/>
      <c r="B256" s="843" t="s">
        <v>10</v>
      </c>
      <c r="C256" s="844"/>
      <c r="D256" s="819"/>
      <c r="E256" s="820"/>
      <c r="F256" s="857"/>
      <c r="G256" s="840"/>
      <c r="H256" s="17"/>
      <c r="I256" s="77"/>
      <c r="N256" s="288"/>
      <c r="Z256" s="105"/>
      <c r="AA256" s="105"/>
      <c r="AB256" s="105"/>
      <c r="AC256" s="105"/>
      <c r="AD256" s="105"/>
      <c r="AE256" s="105"/>
      <c r="AF256" s="105"/>
      <c r="AG256" s="105"/>
      <c r="AH256" s="105"/>
      <c r="AI256" s="105"/>
      <c r="AJ256" s="105"/>
      <c r="AK256" s="105"/>
      <c r="AL256" s="105"/>
      <c r="AM256" s="105"/>
      <c r="AN256" s="105"/>
      <c r="AO256" s="105"/>
      <c r="AP256" s="105"/>
      <c r="AQ256" s="105"/>
      <c r="AR256" s="105"/>
    </row>
    <row r="257" spans="1:1881" s="18" customFormat="1" ht="273.75" hidden="1" customHeight="1" x14ac:dyDescent="0.3">
      <c r="A257" s="105">
        <v>337</v>
      </c>
      <c r="B257" s="4" t="s">
        <v>56</v>
      </c>
      <c r="C257" s="4" t="s">
        <v>1142</v>
      </c>
      <c r="D257" s="24" t="s">
        <v>985</v>
      </c>
      <c r="E257" s="661" t="e">
        <f>HLOOKUP($D$2,'2020 Data(H)'!$C$1:$AI$426,103,FALSE)</f>
        <v>#N/A</v>
      </c>
      <c r="F257" s="286">
        <v>0</v>
      </c>
      <c r="G257" s="722">
        <f>IF(F257&lt;0,"Error: Enter as positive.",)</f>
        <v>0</v>
      </c>
      <c r="H257" s="17"/>
      <c r="I257" s="77"/>
      <c r="N257" s="288"/>
      <c r="Z257" s="105"/>
      <c r="AA257" s="105"/>
      <c r="AB257" s="105"/>
      <c r="AC257" s="105"/>
      <c r="AD257" s="105"/>
      <c r="AE257" s="105"/>
      <c r="AF257" s="105"/>
      <c r="AG257" s="105"/>
      <c r="AH257" s="105"/>
      <c r="AI257" s="105"/>
      <c r="AJ257" s="105"/>
      <c r="AK257" s="105"/>
      <c r="AL257" s="105"/>
      <c r="AM257" s="105"/>
      <c r="AN257" s="105"/>
      <c r="AO257" s="105"/>
      <c r="AP257" s="105"/>
      <c r="AQ257" s="105"/>
      <c r="AR257" s="105"/>
    </row>
    <row r="258" spans="1:1881" s="18" customFormat="1" ht="81.75" hidden="1" customHeight="1" x14ac:dyDescent="0.3">
      <c r="A258" s="105">
        <v>343</v>
      </c>
      <c r="B258" s="4" t="s">
        <v>56</v>
      </c>
      <c r="C258" s="4" t="s">
        <v>373</v>
      </c>
      <c r="D258" s="28" t="s">
        <v>1143</v>
      </c>
      <c r="E258" s="661" t="e">
        <f>HLOOKUP($D$2,'2020 Data(H)'!$C$1:$AI$426,109,FALSE)</f>
        <v>#N/A</v>
      </c>
      <c r="F258" s="286">
        <v>0</v>
      </c>
      <c r="G258" s="722">
        <f>IF(F258&lt;0,"Error: Enter as positive.",)</f>
        <v>0</v>
      </c>
      <c r="H258" s="17"/>
      <c r="I258" s="77"/>
      <c r="M258" s="96"/>
      <c r="N258" s="288"/>
      <c r="Z258" s="105"/>
      <c r="AA258" s="105"/>
      <c r="AB258" s="105"/>
      <c r="AC258" s="105"/>
      <c r="AD258" s="105"/>
      <c r="AE258" s="105"/>
      <c r="AF258" s="105"/>
      <c r="AG258" s="105"/>
      <c r="AH258" s="105"/>
      <c r="AI258" s="105"/>
      <c r="AJ258" s="105"/>
      <c r="AK258" s="105"/>
      <c r="AL258" s="105"/>
      <c r="AM258" s="105"/>
      <c r="AN258" s="105"/>
      <c r="AO258" s="105"/>
      <c r="AP258" s="105"/>
      <c r="AQ258" s="105"/>
      <c r="AR258" s="105"/>
    </row>
    <row r="259" spans="1:1881" ht="274.5" hidden="1" customHeight="1" x14ac:dyDescent="0.3">
      <c r="A259" s="105">
        <v>82</v>
      </c>
      <c r="B259" s="4" t="s">
        <v>61</v>
      </c>
      <c r="C259" s="4" t="s">
        <v>1144</v>
      </c>
      <c r="D259" s="24" t="s">
        <v>543</v>
      </c>
      <c r="E259" s="661" t="e">
        <f>HLOOKUP($D$2,'2020 Data(H)'!$C$1:$AI$426,46,FALSE)</f>
        <v>#N/A</v>
      </c>
      <c r="F259" s="286">
        <v>0</v>
      </c>
      <c r="G259" s="722">
        <f>IF(F259&lt;0,"Error: Enter as positive.",)</f>
        <v>0</v>
      </c>
      <c r="H259" s="17"/>
      <c r="I259" s="753"/>
      <c r="Z259" s="105"/>
      <c r="AA259" s="105"/>
      <c r="AB259" s="105"/>
      <c r="AC259" s="105"/>
      <c r="AD259" s="105"/>
      <c r="AE259" s="105"/>
      <c r="AF259" s="105"/>
      <c r="AG259" s="105"/>
      <c r="AH259" s="105"/>
      <c r="AI259" s="105"/>
      <c r="AJ259" s="105"/>
      <c r="AK259" s="105"/>
      <c r="AL259" s="105"/>
      <c r="AM259" s="105"/>
      <c r="AN259" s="105"/>
      <c r="AO259" s="105"/>
      <c r="AP259" s="105"/>
      <c r="AQ259" s="105"/>
      <c r="AR259" s="105"/>
    </row>
    <row r="260" spans="1:1881" ht="270.75" hidden="1" customHeight="1" x14ac:dyDescent="0.3">
      <c r="A260" s="105">
        <v>359</v>
      </c>
      <c r="B260" s="4" t="s">
        <v>56</v>
      </c>
      <c r="C260" s="4" t="s">
        <v>1145</v>
      </c>
      <c r="D260" s="24" t="s">
        <v>543</v>
      </c>
      <c r="E260" s="661" t="e">
        <f>HLOOKUP($D$2,'2020 Data(H)'!$C$1:$AI$426,120,FALSE)</f>
        <v>#N/A</v>
      </c>
      <c r="F260" s="286">
        <v>0</v>
      </c>
      <c r="G260" s="722">
        <f>IF(F260&lt;0,"Error: Enter as positive.",)</f>
        <v>0</v>
      </c>
      <c r="H260" s="17"/>
      <c r="I260" s="753"/>
      <c r="J260" s="567"/>
      <c r="L260" s="754" t="str">
        <f>IF(ISBLANK(K258),"",IF(ISBLANK(K259),"",IF(K260=M260,"","Please review percentage")))</f>
        <v/>
      </c>
      <c r="Z260" s="105"/>
      <c r="AA260" s="105"/>
      <c r="AB260" s="105"/>
      <c r="AC260" s="105"/>
      <c r="AD260" s="105"/>
      <c r="AE260" s="105"/>
      <c r="AF260" s="105"/>
      <c r="AG260" s="105"/>
      <c r="AH260" s="105"/>
      <c r="AI260" s="105"/>
      <c r="AJ260" s="105"/>
      <c r="AK260" s="105"/>
      <c r="AL260" s="105"/>
      <c r="AM260" s="105"/>
      <c r="AN260" s="105"/>
      <c r="AO260" s="105"/>
      <c r="AP260" s="105"/>
      <c r="AQ260" s="105"/>
      <c r="AR260" s="105"/>
    </row>
    <row r="261" spans="1:1881" s="756" customFormat="1" ht="33" customHeight="1" x14ac:dyDescent="0.3">
      <c r="A261" s="105"/>
      <c r="B261" s="805" t="s">
        <v>403</v>
      </c>
      <c r="C261" s="806"/>
      <c r="D261" s="94"/>
      <c r="E261" s="755"/>
      <c r="F261" s="741"/>
      <c r="G261" s="721"/>
      <c r="H261" s="17"/>
      <c r="I261" s="753"/>
      <c r="J261" s="18"/>
      <c r="K261" s="18"/>
      <c r="L261" s="18"/>
      <c r="M261" s="18"/>
      <c r="N261" s="288"/>
      <c r="O261" s="18"/>
      <c r="P261" s="18"/>
      <c r="Q261" s="18"/>
      <c r="R261" s="18"/>
      <c r="S261" s="18"/>
      <c r="T261" s="18"/>
      <c r="U261" s="18"/>
      <c r="V261" s="18"/>
      <c r="W261" s="18"/>
      <c r="X261" s="18"/>
      <c r="Y261" s="18"/>
      <c r="Z261" s="105"/>
      <c r="AA261" s="105"/>
      <c r="AB261" s="105"/>
      <c r="AC261" s="105"/>
      <c r="AD261" s="105"/>
      <c r="AE261" s="105"/>
      <c r="AF261" s="105"/>
      <c r="AG261" s="105"/>
      <c r="AH261" s="105"/>
      <c r="AI261" s="105"/>
      <c r="AJ261" s="105"/>
      <c r="AK261" s="105"/>
      <c r="AL261" s="105"/>
      <c r="AM261" s="105"/>
      <c r="AN261" s="105"/>
      <c r="AO261" s="105"/>
      <c r="AP261" s="105"/>
      <c r="AQ261" s="105"/>
      <c r="AR261" s="105"/>
      <c r="AS261" s="18"/>
      <c r="AT261" s="18"/>
      <c r="AU261" s="18"/>
      <c r="AV261" s="18"/>
      <c r="AW261" s="18"/>
      <c r="AX261" s="18"/>
      <c r="AY261" s="18"/>
      <c r="AZ261" s="18"/>
      <c r="BA261" s="18"/>
      <c r="BB261" s="18"/>
      <c r="BC261" s="18"/>
      <c r="BD261" s="18"/>
      <c r="BE261" s="18"/>
      <c r="BF261" s="18"/>
      <c r="BG261" s="18"/>
      <c r="BH261" s="18"/>
      <c r="BI261" s="18"/>
      <c r="BJ261" s="18"/>
      <c r="BK261" s="18"/>
      <c r="BL261" s="18"/>
      <c r="BM261" s="18"/>
      <c r="BN261" s="18"/>
      <c r="BO261" s="18"/>
      <c r="BP261" s="18"/>
      <c r="BQ261" s="18"/>
      <c r="BR261" s="18"/>
      <c r="BS261" s="18"/>
      <c r="BT261" s="18"/>
      <c r="BU261" s="18"/>
      <c r="BV261" s="18"/>
      <c r="BW261" s="18"/>
      <c r="BX261" s="18"/>
      <c r="BY261" s="18"/>
      <c r="BZ261" s="18"/>
      <c r="CA261" s="18"/>
      <c r="CB261" s="18"/>
      <c r="CC261" s="18"/>
      <c r="CD261" s="18"/>
      <c r="CE261" s="18"/>
      <c r="CF261" s="18"/>
      <c r="CG261" s="18"/>
      <c r="CH261" s="18"/>
      <c r="CI261" s="18"/>
      <c r="CJ261" s="18"/>
      <c r="CK261" s="18"/>
      <c r="CL261" s="18"/>
      <c r="CM261" s="18"/>
      <c r="CN261" s="18"/>
      <c r="CO261" s="18"/>
      <c r="CP261" s="18"/>
      <c r="CQ261" s="18"/>
      <c r="CR261" s="18"/>
      <c r="CS261" s="18"/>
      <c r="CT261" s="18"/>
      <c r="CU261" s="18"/>
      <c r="CV261" s="18"/>
      <c r="CW261" s="18"/>
      <c r="CX261" s="18"/>
      <c r="CY261" s="18"/>
      <c r="CZ261" s="18"/>
      <c r="DA261" s="18"/>
      <c r="DB261" s="18"/>
      <c r="DC261" s="18"/>
      <c r="DD261" s="18"/>
      <c r="DE261" s="18"/>
      <c r="DF261" s="18"/>
      <c r="DG261" s="18"/>
      <c r="DH261" s="18"/>
      <c r="DI261" s="18"/>
      <c r="DJ261" s="18"/>
      <c r="DK261" s="18"/>
      <c r="DL261" s="18"/>
      <c r="DM261" s="18"/>
      <c r="DN261" s="18"/>
      <c r="DO261" s="18"/>
      <c r="DP261" s="18"/>
      <c r="DQ261" s="18"/>
      <c r="DR261" s="18"/>
      <c r="DS261" s="18"/>
      <c r="DT261" s="18"/>
      <c r="DU261" s="18"/>
      <c r="DV261" s="18"/>
      <c r="DW261" s="18"/>
      <c r="DX261" s="18"/>
      <c r="DY261" s="18"/>
      <c r="DZ261" s="18"/>
      <c r="EA261" s="18"/>
      <c r="EB261" s="18"/>
      <c r="EC261" s="18"/>
      <c r="ED261" s="18"/>
      <c r="EE261" s="18"/>
      <c r="EF261" s="18"/>
      <c r="EG261" s="18"/>
      <c r="EH261" s="18"/>
      <c r="EI261" s="18"/>
      <c r="EJ261" s="18"/>
      <c r="EK261" s="18"/>
      <c r="EL261" s="18"/>
      <c r="EM261" s="18"/>
      <c r="EN261" s="18"/>
      <c r="EO261" s="18"/>
      <c r="EP261" s="18"/>
      <c r="EQ261" s="18"/>
      <c r="ER261" s="18"/>
      <c r="ES261" s="18"/>
      <c r="ET261" s="18"/>
      <c r="EU261" s="18"/>
      <c r="EV261" s="18"/>
      <c r="EW261" s="18"/>
      <c r="EX261" s="18"/>
      <c r="EY261" s="18"/>
      <c r="EZ261" s="18"/>
      <c r="FA261" s="18"/>
      <c r="FB261" s="18"/>
      <c r="FC261" s="18"/>
      <c r="FD261" s="18"/>
      <c r="FE261" s="18"/>
      <c r="FF261" s="18"/>
      <c r="FG261" s="18"/>
      <c r="FH261" s="18"/>
      <c r="FI261" s="18"/>
      <c r="FJ261" s="18"/>
      <c r="FK261" s="18"/>
      <c r="FL261" s="18"/>
      <c r="FM261" s="18"/>
      <c r="FN261" s="18"/>
      <c r="FO261" s="18"/>
      <c r="FP261" s="18"/>
      <c r="FQ261" s="18"/>
      <c r="FR261" s="18"/>
      <c r="FS261" s="18"/>
      <c r="FT261" s="18"/>
      <c r="FU261" s="18"/>
      <c r="FV261" s="18"/>
      <c r="FW261" s="18"/>
      <c r="FX261" s="18"/>
      <c r="FY261" s="18"/>
      <c r="FZ261" s="18"/>
      <c r="GA261" s="18"/>
      <c r="GB261" s="18"/>
      <c r="GC261" s="18"/>
      <c r="GD261" s="18"/>
      <c r="GE261" s="18"/>
      <c r="GF261" s="18"/>
      <c r="GG261" s="18"/>
      <c r="GH261" s="18"/>
      <c r="GI261" s="18"/>
      <c r="GJ261" s="18"/>
      <c r="GK261" s="18"/>
      <c r="GL261" s="18"/>
      <c r="GM261" s="18"/>
      <c r="GN261" s="18"/>
      <c r="GO261" s="18"/>
      <c r="GP261" s="18"/>
      <c r="GQ261" s="18"/>
      <c r="GR261" s="18"/>
      <c r="GS261" s="18"/>
      <c r="GT261" s="18"/>
      <c r="GU261" s="18"/>
      <c r="GV261" s="18"/>
      <c r="GW261" s="18"/>
      <c r="GX261" s="18"/>
      <c r="GY261" s="18"/>
      <c r="GZ261" s="18"/>
      <c r="HA261" s="18"/>
      <c r="HB261" s="18"/>
      <c r="HC261" s="18"/>
      <c r="HD261" s="18"/>
      <c r="HE261" s="18"/>
      <c r="HF261" s="18"/>
      <c r="HG261" s="18"/>
      <c r="HH261" s="18"/>
      <c r="HI261" s="18"/>
      <c r="HJ261" s="18"/>
      <c r="HK261" s="18"/>
      <c r="HL261" s="18"/>
      <c r="HM261" s="18"/>
      <c r="HN261" s="18"/>
      <c r="HO261" s="18"/>
      <c r="HP261" s="18"/>
      <c r="HQ261" s="18"/>
      <c r="HR261" s="18"/>
      <c r="HS261" s="18"/>
      <c r="HT261" s="18"/>
      <c r="HU261" s="18"/>
      <c r="HV261" s="18"/>
      <c r="HW261" s="18"/>
      <c r="HX261" s="18"/>
      <c r="HY261" s="18"/>
      <c r="HZ261" s="18"/>
      <c r="IA261" s="18"/>
      <c r="IB261" s="18"/>
      <c r="IC261" s="18"/>
      <c r="ID261" s="18"/>
      <c r="IE261" s="18"/>
      <c r="IF261" s="18"/>
      <c r="IG261" s="18"/>
      <c r="IH261" s="18"/>
      <c r="II261" s="18"/>
      <c r="IJ261" s="18"/>
      <c r="IK261" s="18"/>
      <c r="IL261" s="18"/>
      <c r="IM261" s="18"/>
      <c r="IN261" s="18"/>
      <c r="IO261" s="18"/>
      <c r="IP261" s="18"/>
      <c r="IQ261" s="18"/>
      <c r="IR261" s="18"/>
      <c r="IS261" s="18"/>
      <c r="IT261" s="18"/>
      <c r="IU261" s="18"/>
      <c r="IV261" s="18"/>
      <c r="IW261" s="18"/>
      <c r="IX261" s="18"/>
      <c r="IY261" s="18"/>
      <c r="IZ261" s="18"/>
      <c r="JA261" s="18"/>
      <c r="JB261" s="18"/>
      <c r="JC261" s="18"/>
      <c r="JD261" s="18"/>
      <c r="JE261" s="18"/>
      <c r="JF261" s="18"/>
      <c r="JG261" s="18"/>
      <c r="JH261" s="18"/>
      <c r="JI261" s="18"/>
      <c r="JJ261" s="18"/>
      <c r="JK261" s="18"/>
      <c r="JL261" s="18"/>
      <c r="JM261" s="18"/>
      <c r="JN261" s="18"/>
      <c r="JO261" s="18"/>
      <c r="JP261" s="18"/>
      <c r="JQ261" s="18"/>
      <c r="JR261" s="18"/>
      <c r="JS261" s="18"/>
      <c r="JT261" s="18"/>
      <c r="JU261" s="18"/>
      <c r="JV261" s="18"/>
      <c r="JW261" s="18"/>
      <c r="JX261" s="18"/>
      <c r="JY261" s="18"/>
      <c r="JZ261" s="18"/>
      <c r="KA261" s="18"/>
      <c r="KB261" s="18"/>
      <c r="KC261" s="18"/>
      <c r="KD261" s="18"/>
      <c r="KE261" s="18"/>
      <c r="KF261" s="18"/>
      <c r="KG261" s="18"/>
      <c r="KH261" s="18"/>
      <c r="KI261" s="18"/>
      <c r="KJ261" s="18"/>
      <c r="KK261" s="18"/>
      <c r="KL261" s="18"/>
      <c r="KM261" s="18"/>
      <c r="KN261" s="18"/>
      <c r="KO261" s="18"/>
      <c r="KP261" s="18"/>
      <c r="KQ261" s="18"/>
      <c r="KR261" s="18"/>
      <c r="KS261" s="18"/>
      <c r="KT261" s="18"/>
      <c r="KU261" s="18"/>
      <c r="KV261" s="18"/>
      <c r="KW261" s="18"/>
      <c r="KX261" s="18"/>
      <c r="KY261" s="18"/>
      <c r="KZ261" s="18"/>
      <c r="LA261" s="18"/>
      <c r="LB261" s="18"/>
      <c r="LC261" s="18"/>
      <c r="LD261" s="18"/>
      <c r="LE261" s="18"/>
      <c r="LF261" s="18"/>
      <c r="LG261" s="18"/>
      <c r="LH261" s="18"/>
      <c r="LI261" s="18"/>
      <c r="LJ261" s="18"/>
      <c r="LK261" s="18"/>
      <c r="LL261" s="18"/>
      <c r="LM261" s="18"/>
      <c r="LN261" s="18"/>
      <c r="LO261" s="18"/>
      <c r="LP261" s="18"/>
      <c r="LQ261" s="18"/>
      <c r="LR261" s="18"/>
      <c r="LS261" s="18"/>
      <c r="LT261" s="18"/>
      <c r="LU261" s="18"/>
      <c r="LV261" s="18"/>
      <c r="LW261" s="18"/>
      <c r="LX261" s="18"/>
      <c r="LY261" s="18"/>
      <c r="LZ261" s="18"/>
      <c r="MA261" s="18"/>
      <c r="MB261" s="18"/>
      <c r="MC261" s="18"/>
      <c r="MD261" s="18"/>
      <c r="ME261" s="18"/>
      <c r="MF261" s="18"/>
      <c r="MG261" s="18"/>
      <c r="MH261" s="18"/>
      <c r="MI261" s="18"/>
      <c r="MJ261" s="18"/>
      <c r="MK261" s="18"/>
      <c r="ML261" s="18"/>
      <c r="MM261" s="18"/>
      <c r="MN261" s="18"/>
      <c r="MO261" s="18"/>
      <c r="MP261" s="18"/>
      <c r="MQ261" s="18"/>
      <c r="MR261" s="18"/>
      <c r="MS261" s="18"/>
      <c r="MT261" s="18"/>
      <c r="MU261" s="18"/>
      <c r="MV261" s="18"/>
      <c r="MW261" s="18"/>
      <c r="MX261" s="18"/>
      <c r="MY261" s="18"/>
      <c r="MZ261" s="18"/>
      <c r="NA261" s="18"/>
      <c r="NB261" s="18"/>
      <c r="NC261" s="18"/>
      <c r="ND261" s="18"/>
      <c r="NE261" s="18"/>
      <c r="NF261" s="18"/>
      <c r="NG261" s="18"/>
      <c r="NH261" s="18"/>
      <c r="NI261" s="18"/>
      <c r="NJ261" s="18"/>
      <c r="NK261" s="18"/>
      <c r="NL261" s="18"/>
      <c r="NM261" s="18"/>
      <c r="NN261" s="18"/>
      <c r="NO261" s="18"/>
      <c r="NP261" s="18"/>
      <c r="NQ261" s="18"/>
      <c r="NR261" s="18"/>
      <c r="NS261" s="18"/>
      <c r="NT261" s="18"/>
      <c r="NU261" s="18"/>
      <c r="NV261" s="18"/>
      <c r="NW261" s="18"/>
      <c r="NX261" s="18"/>
      <c r="NY261" s="18"/>
      <c r="NZ261" s="18"/>
      <c r="OA261" s="18"/>
      <c r="OB261" s="18"/>
      <c r="OC261" s="18"/>
      <c r="OD261" s="18"/>
      <c r="OE261" s="18"/>
      <c r="OF261" s="18"/>
      <c r="OG261" s="18"/>
      <c r="OH261" s="18"/>
      <c r="OI261" s="18"/>
      <c r="OJ261" s="18"/>
      <c r="OK261" s="18"/>
      <c r="OL261" s="18"/>
      <c r="OM261" s="18"/>
      <c r="ON261" s="18"/>
      <c r="OO261" s="18"/>
      <c r="OP261" s="18"/>
      <c r="OQ261" s="18"/>
      <c r="OR261" s="18"/>
      <c r="OS261" s="18"/>
      <c r="OT261" s="18"/>
      <c r="OU261" s="18"/>
      <c r="OV261" s="18"/>
      <c r="OW261" s="18"/>
      <c r="OX261" s="18"/>
      <c r="OY261" s="18"/>
      <c r="OZ261" s="18"/>
      <c r="PA261" s="18"/>
      <c r="PB261" s="18"/>
      <c r="PC261" s="18"/>
      <c r="PD261" s="18"/>
      <c r="PE261" s="18"/>
      <c r="PF261" s="18"/>
      <c r="PG261" s="18"/>
      <c r="PH261" s="18"/>
      <c r="PI261" s="18"/>
      <c r="PJ261" s="18"/>
      <c r="PK261" s="18"/>
      <c r="PL261" s="18"/>
      <c r="PM261" s="18"/>
      <c r="PN261" s="18"/>
      <c r="PO261" s="18"/>
      <c r="PP261" s="18"/>
      <c r="PQ261" s="18"/>
      <c r="PR261" s="18"/>
      <c r="PS261" s="18"/>
      <c r="PT261" s="18"/>
      <c r="PU261" s="18"/>
      <c r="PV261" s="18"/>
      <c r="PW261" s="18"/>
      <c r="PX261" s="18"/>
      <c r="PY261" s="18"/>
      <c r="PZ261" s="18"/>
      <c r="QA261" s="18"/>
      <c r="QB261" s="18"/>
      <c r="QC261" s="18"/>
      <c r="QD261" s="18"/>
      <c r="QE261" s="18"/>
      <c r="QF261" s="18"/>
      <c r="QG261" s="18"/>
      <c r="QH261" s="18"/>
      <c r="QI261" s="18"/>
      <c r="QJ261" s="18"/>
      <c r="QK261" s="18"/>
      <c r="QL261" s="18"/>
      <c r="QM261" s="18"/>
      <c r="QN261" s="18"/>
      <c r="QO261" s="18"/>
      <c r="QP261" s="18"/>
      <c r="QQ261" s="18"/>
      <c r="QR261" s="18"/>
      <c r="QS261" s="18"/>
      <c r="QT261" s="18"/>
      <c r="QU261" s="18"/>
      <c r="QV261" s="18"/>
      <c r="QW261" s="18"/>
      <c r="QX261" s="18"/>
      <c r="QY261" s="18"/>
      <c r="QZ261" s="18"/>
      <c r="RA261" s="18"/>
      <c r="RB261" s="18"/>
      <c r="RC261" s="18"/>
      <c r="RD261" s="18"/>
      <c r="RE261" s="18"/>
      <c r="RF261" s="18"/>
      <c r="RG261" s="18"/>
      <c r="RH261" s="18"/>
      <c r="RI261" s="18"/>
      <c r="RJ261" s="18"/>
      <c r="RK261" s="18"/>
      <c r="RL261" s="18"/>
      <c r="RM261" s="18"/>
      <c r="RN261" s="18"/>
      <c r="RO261" s="18"/>
      <c r="RP261" s="18"/>
      <c r="RQ261" s="18"/>
      <c r="RR261" s="18"/>
      <c r="RS261" s="18"/>
      <c r="RT261" s="18"/>
      <c r="RU261" s="18"/>
      <c r="RV261" s="18"/>
      <c r="RW261" s="18"/>
      <c r="RX261" s="18"/>
      <c r="RY261" s="18"/>
      <c r="RZ261" s="18"/>
      <c r="SA261" s="18"/>
      <c r="SB261" s="18"/>
      <c r="SC261" s="18"/>
      <c r="SD261" s="18"/>
      <c r="SE261" s="18"/>
      <c r="SF261" s="18"/>
      <c r="SG261" s="18"/>
      <c r="SH261" s="18"/>
      <c r="SI261" s="18"/>
      <c r="SJ261" s="18"/>
      <c r="SK261" s="18"/>
      <c r="SL261" s="18"/>
      <c r="SM261" s="18"/>
      <c r="SN261" s="18"/>
      <c r="SO261" s="18"/>
      <c r="SP261" s="18"/>
      <c r="SQ261" s="18"/>
      <c r="SR261" s="18"/>
      <c r="SS261" s="18"/>
      <c r="ST261" s="18"/>
      <c r="SU261" s="18"/>
      <c r="SV261" s="18"/>
      <c r="SW261" s="18"/>
      <c r="SX261" s="18"/>
      <c r="SY261" s="18"/>
      <c r="SZ261" s="18"/>
      <c r="TA261" s="18"/>
      <c r="TB261" s="18"/>
      <c r="TC261" s="18"/>
      <c r="TD261" s="18"/>
      <c r="TE261" s="18"/>
      <c r="TF261" s="18"/>
      <c r="TG261" s="18"/>
      <c r="TH261" s="18"/>
      <c r="TI261" s="18"/>
      <c r="TJ261" s="18"/>
      <c r="TK261" s="18"/>
      <c r="TL261" s="18"/>
      <c r="TM261" s="18"/>
      <c r="TN261" s="18"/>
      <c r="TO261" s="18"/>
      <c r="TP261" s="18"/>
      <c r="TQ261" s="18"/>
      <c r="TR261" s="18"/>
      <c r="TS261" s="18"/>
      <c r="TT261" s="18"/>
      <c r="TU261" s="18"/>
      <c r="TV261" s="18"/>
      <c r="TW261" s="18"/>
      <c r="TX261" s="18"/>
      <c r="TY261" s="18"/>
      <c r="TZ261" s="18"/>
      <c r="UA261" s="18"/>
      <c r="UB261" s="18"/>
      <c r="UC261" s="18"/>
      <c r="UD261" s="18"/>
      <c r="UE261" s="18"/>
      <c r="UF261" s="18"/>
      <c r="UG261" s="18"/>
      <c r="UH261" s="18"/>
      <c r="UI261" s="18"/>
      <c r="UJ261" s="18"/>
      <c r="UK261" s="18"/>
      <c r="UL261" s="18"/>
      <c r="UM261" s="18"/>
      <c r="UN261" s="18"/>
      <c r="UO261" s="18"/>
      <c r="UP261" s="18"/>
      <c r="UQ261" s="18"/>
      <c r="UR261" s="18"/>
      <c r="US261" s="18"/>
      <c r="UT261" s="18"/>
      <c r="UU261" s="18"/>
      <c r="UV261" s="18"/>
      <c r="UW261" s="18"/>
      <c r="UX261" s="18"/>
      <c r="UY261" s="18"/>
      <c r="UZ261" s="18"/>
      <c r="VA261" s="18"/>
      <c r="VB261" s="18"/>
      <c r="VC261" s="18"/>
      <c r="VD261" s="18"/>
      <c r="VE261" s="18"/>
      <c r="VF261" s="18"/>
      <c r="VG261" s="18"/>
      <c r="VH261" s="18"/>
      <c r="VI261" s="18"/>
      <c r="VJ261" s="18"/>
      <c r="VK261" s="18"/>
      <c r="VL261" s="18"/>
      <c r="VM261" s="18"/>
      <c r="VN261" s="18"/>
      <c r="VO261" s="18"/>
      <c r="VP261" s="18"/>
      <c r="VQ261" s="18"/>
      <c r="VR261" s="18"/>
      <c r="VS261" s="18"/>
      <c r="VT261" s="18"/>
      <c r="VU261" s="18"/>
      <c r="VV261" s="18"/>
      <c r="VW261" s="18"/>
      <c r="VX261" s="18"/>
      <c r="VY261" s="18"/>
      <c r="VZ261" s="18"/>
      <c r="WA261" s="18"/>
      <c r="WB261" s="18"/>
      <c r="WC261" s="18"/>
      <c r="WD261" s="18"/>
      <c r="WE261" s="18"/>
      <c r="WF261" s="18"/>
      <c r="WG261" s="18"/>
      <c r="WH261" s="18"/>
      <c r="WI261" s="18"/>
      <c r="WJ261" s="18"/>
      <c r="WK261" s="18"/>
      <c r="WL261" s="18"/>
      <c r="WM261" s="18"/>
      <c r="WN261" s="18"/>
      <c r="WO261" s="18"/>
      <c r="WP261" s="18"/>
      <c r="WQ261" s="18"/>
      <c r="WR261" s="18"/>
      <c r="WS261" s="18"/>
      <c r="WT261" s="18"/>
      <c r="WU261" s="18"/>
      <c r="WV261" s="18"/>
      <c r="WW261" s="18"/>
      <c r="WX261" s="18"/>
      <c r="WY261" s="18"/>
      <c r="WZ261" s="18"/>
      <c r="XA261" s="18"/>
      <c r="XB261" s="18"/>
      <c r="XC261" s="18"/>
      <c r="XD261" s="18"/>
      <c r="XE261" s="18"/>
      <c r="XF261" s="18"/>
      <c r="XG261" s="18"/>
      <c r="XH261" s="18"/>
      <c r="XI261" s="18"/>
      <c r="XJ261" s="18"/>
      <c r="XK261" s="18"/>
      <c r="XL261" s="18"/>
      <c r="XM261" s="18"/>
      <c r="XN261" s="18"/>
      <c r="XO261" s="18"/>
      <c r="XP261" s="18"/>
      <c r="XQ261" s="18"/>
      <c r="XR261" s="18"/>
      <c r="XS261" s="18"/>
      <c r="XT261" s="18"/>
      <c r="XU261" s="18"/>
      <c r="XV261" s="18"/>
      <c r="XW261" s="18"/>
      <c r="XX261" s="18"/>
      <c r="XY261" s="18"/>
      <c r="XZ261" s="18"/>
      <c r="YA261" s="18"/>
      <c r="YB261" s="18"/>
      <c r="YC261" s="18"/>
      <c r="YD261" s="18"/>
      <c r="YE261" s="18"/>
      <c r="YF261" s="18"/>
      <c r="YG261" s="18"/>
      <c r="YH261" s="18"/>
      <c r="YI261" s="18"/>
      <c r="YJ261" s="18"/>
      <c r="YK261" s="18"/>
      <c r="YL261" s="18"/>
      <c r="YM261" s="18"/>
      <c r="YN261" s="18"/>
      <c r="YO261" s="18"/>
      <c r="YP261" s="18"/>
      <c r="YQ261" s="18"/>
      <c r="YR261" s="18"/>
      <c r="YS261" s="18"/>
      <c r="YT261" s="18"/>
      <c r="YU261" s="18"/>
      <c r="YV261" s="18"/>
      <c r="YW261" s="18"/>
      <c r="YX261" s="18"/>
      <c r="YY261" s="18"/>
      <c r="YZ261" s="18"/>
      <c r="ZA261" s="18"/>
      <c r="ZB261" s="18"/>
      <c r="ZC261" s="18"/>
      <c r="ZD261" s="18"/>
      <c r="ZE261" s="18"/>
      <c r="ZF261" s="18"/>
      <c r="ZG261" s="18"/>
      <c r="ZH261" s="18"/>
      <c r="ZI261" s="18"/>
      <c r="ZJ261" s="18"/>
      <c r="ZK261" s="18"/>
      <c r="ZL261" s="18"/>
      <c r="ZM261" s="18"/>
      <c r="ZN261" s="18"/>
      <c r="ZO261" s="18"/>
      <c r="ZP261" s="18"/>
      <c r="ZQ261" s="18"/>
      <c r="ZR261" s="18"/>
      <c r="ZS261" s="18"/>
      <c r="ZT261" s="18"/>
      <c r="ZU261" s="18"/>
      <c r="ZV261" s="18"/>
      <c r="ZW261" s="18"/>
      <c r="ZX261" s="18"/>
      <c r="ZY261" s="18"/>
      <c r="ZZ261" s="18"/>
      <c r="AAA261" s="18"/>
      <c r="AAB261" s="18"/>
      <c r="AAC261" s="18"/>
      <c r="AAD261" s="18"/>
      <c r="AAE261" s="18"/>
      <c r="AAF261" s="18"/>
      <c r="AAG261" s="18"/>
      <c r="AAH261" s="18"/>
      <c r="AAI261" s="18"/>
      <c r="AAJ261" s="18"/>
      <c r="AAK261" s="18"/>
      <c r="AAL261" s="18"/>
      <c r="AAM261" s="18"/>
      <c r="AAN261" s="18"/>
      <c r="AAO261" s="18"/>
      <c r="AAP261" s="18"/>
      <c r="AAQ261" s="18"/>
      <c r="AAR261" s="18"/>
      <c r="AAS261" s="18"/>
      <c r="AAT261" s="18"/>
      <c r="AAU261" s="18"/>
      <c r="AAV261" s="18"/>
      <c r="AAW261" s="18"/>
      <c r="AAX261" s="18"/>
      <c r="AAY261" s="18"/>
      <c r="AAZ261" s="18"/>
      <c r="ABA261" s="18"/>
      <c r="ABB261" s="18"/>
      <c r="ABC261" s="18"/>
      <c r="ABD261" s="18"/>
      <c r="ABE261" s="18"/>
      <c r="ABF261" s="18"/>
      <c r="ABG261" s="18"/>
      <c r="ABH261" s="18"/>
      <c r="ABI261" s="18"/>
      <c r="ABJ261" s="18"/>
      <c r="ABK261" s="18"/>
      <c r="ABL261" s="18"/>
      <c r="ABM261" s="18"/>
      <c r="ABN261" s="18"/>
      <c r="ABO261" s="18"/>
      <c r="ABP261" s="18"/>
      <c r="ABQ261" s="18"/>
      <c r="ABR261" s="18"/>
      <c r="ABS261" s="18"/>
      <c r="ABT261" s="18"/>
      <c r="ABU261" s="18"/>
      <c r="ABV261" s="18"/>
      <c r="ABW261" s="18"/>
      <c r="ABX261" s="18"/>
      <c r="ABY261" s="18"/>
      <c r="ABZ261" s="18"/>
      <c r="ACA261" s="18"/>
      <c r="ACB261" s="18"/>
      <c r="ACC261" s="18"/>
      <c r="ACD261" s="18"/>
      <c r="ACE261" s="18"/>
      <c r="ACF261" s="18"/>
      <c r="ACG261" s="18"/>
      <c r="ACH261" s="18"/>
      <c r="ACI261" s="18"/>
      <c r="ACJ261" s="18"/>
      <c r="ACK261" s="18"/>
      <c r="ACL261" s="18"/>
      <c r="ACM261" s="18"/>
      <c r="ACN261" s="18"/>
      <c r="ACO261" s="18"/>
      <c r="ACP261" s="18"/>
      <c r="ACQ261" s="18"/>
      <c r="ACR261" s="18"/>
      <c r="ACS261" s="18"/>
      <c r="ACT261" s="18"/>
      <c r="ACU261" s="18"/>
      <c r="ACV261" s="18"/>
      <c r="ACW261" s="18"/>
      <c r="ACX261" s="18"/>
      <c r="ACY261" s="18"/>
      <c r="ACZ261" s="18"/>
      <c r="ADA261" s="18"/>
      <c r="ADB261" s="18"/>
      <c r="ADC261" s="18"/>
      <c r="ADD261" s="18"/>
      <c r="ADE261" s="18"/>
      <c r="ADF261" s="18"/>
      <c r="ADG261" s="18"/>
      <c r="ADH261" s="18"/>
      <c r="ADI261" s="18"/>
      <c r="ADJ261" s="18"/>
      <c r="ADK261" s="18"/>
      <c r="ADL261" s="18"/>
      <c r="ADM261" s="18"/>
      <c r="ADN261" s="18"/>
      <c r="ADO261" s="18"/>
      <c r="ADP261" s="18"/>
      <c r="ADQ261" s="18"/>
      <c r="ADR261" s="18"/>
      <c r="ADS261" s="18"/>
      <c r="ADT261" s="18"/>
      <c r="ADU261" s="18"/>
      <c r="ADV261" s="18"/>
      <c r="ADW261" s="18"/>
      <c r="ADX261" s="18"/>
      <c r="ADY261" s="18"/>
      <c r="ADZ261" s="18"/>
      <c r="AEA261" s="18"/>
      <c r="AEB261" s="18"/>
      <c r="AEC261" s="18"/>
      <c r="AED261" s="18"/>
      <c r="AEE261" s="18"/>
      <c r="AEF261" s="18"/>
      <c r="AEG261" s="18"/>
      <c r="AEH261" s="18"/>
      <c r="AEI261" s="18"/>
      <c r="AEJ261" s="18"/>
      <c r="AEK261" s="18"/>
      <c r="AEL261" s="18"/>
      <c r="AEM261" s="18"/>
      <c r="AEN261" s="18"/>
      <c r="AEO261" s="18"/>
      <c r="AEP261" s="18"/>
      <c r="AEQ261" s="18"/>
      <c r="AER261" s="18"/>
      <c r="AES261" s="18"/>
      <c r="AET261" s="18"/>
      <c r="AEU261" s="18"/>
      <c r="AEV261" s="18"/>
      <c r="AEW261" s="18"/>
      <c r="AEX261" s="18"/>
      <c r="AEY261" s="18"/>
      <c r="AEZ261" s="18"/>
      <c r="AFA261" s="18"/>
      <c r="AFB261" s="18"/>
      <c r="AFC261" s="18"/>
      <c r="AFD261" s="18"/>
      <c r="AFE261" s="18"/>
      <c r="AFF261" s="18"/>
      <c r="AFG261" s="18"/>
      <c r="AFH261" s="18"/>
      <c r="AFI261" s="18"/>
      <c r="AFJ261" s="18"/>
      <c r="AFK261" s="18"/>
      <c r="AFL261" s="18"/>
      <c r="AFM261" s="18"/>
      <c r="AFN261" s="18"/>
      <c r="AFO261" s="18"/>
      <c r="AFP261" s="18"/>
      <c r="AFQ261" s="18"/>
      <c r="AFR261" s="18"/>
      <c r="AFS261" s="18"/>
      <c r="AFT261" s="18"/>
      <c r="AFU261" s="18"/>
      <c r="AFV261" s="18"/>
      <c r="AFW261" s="18"/>
      <c r="AFX261" s="18"/>
      <c r="AFY261" s="18"/>
      <c r="AFZ261" s="18"/>
      <c r="AGA261" s="18"/>
      <c r="AGB261" s="18"/>
      <c r="AGC261" s="18"/>
      <c r="AGD261" s="18"/>
      <c r="AGE261" s="18"/>
      <c r="AGF261" s="18"/>
      <c r="AGG261" s="18"/>
      <c r="AGH261" s="18"/>
      <c r="AGI261" s="18"/>
      <c r="AGJ261" s="18"/>
      <c r="AGK261" s="18"/>
      <c r="AGL261" s="18"/>
      <c r="AGM261" s="18"/>
      <c r="AGN261" s="18"/>
      <c r="AGO261" s="18"/>
      <c r="AGP261" s="18"/>
      <c r="AGQ261" s="18"/>
      <c r="AGR261" s="18"/>
      <c r="AGS261" s="18"/>
      <c r="AGT261" s="18"/>
      <c r="AGU261" s="18"/>
      <c r="AGV261" s="18"/>
      <c r="AGW261" s="18"/>
      <c r="AGX261" s="18"/>
      <c r="AGY261" s="18"/>
      <c r="AGZ261" s="18"/>
      <c r="AHA261" s="18"/>
      <c r="AHB261" s="18"/>
      <c r="AHC261" s="18"/>
      <c r="AHD261" s="18"/>
      <c r="AHE261" s="18"/>
      <c r="AHF261" s="18"/>
      <c r="AHG261" s="18"/>
      <c r="AHH261" s="18"/>
      <c r="AHI261" s="18"/>
      <c r="AHJ261" s="18"/>
      <c r="AHK261" s="18"/>
      <c r="AHL261" s="18"/>
      <c r="AHM261" s="18"/>
      <c r="AHN261" s="18"/>
      <c r="AHO261" s="18"/>
      <c r="AHP261" s="18"/>
      <c r="AHQ261" s="18"/>
      <c r="AHR261" s="18"/>
      <c r="AHS261" s="18"/>
      <c r="AHT261" s="18"/>
      <c r="AHU261" s="18"/>
      <c r="AHV261" s="18"/>
      <c r="AHW261" s="18"/>
      <c r="AHX261" s="18"/>
      <c r="AHY261" s="18"/>
      <c r="AHZ261" s="18"/>
      <c r="AIA261" s="18"/>
      <c r="AIB261" s="18"/>
      <c r="AIC261" s="18"/>
      <c r="AID261" s="18"/>
      <c r="AIE261" s="18"/>
      <c r="AIF261" s="18"/>
      <c r="AIG261" s="18"/>
      <c r="AIH261" s="18"/>
      <c r="AII261" s="18"/>
      <c r="AIJ261" s="18"/>
      <c r="AIK261" s="18"/>
      <c r="AIL261" s="18"/>
      <c r="AIM261" s="18"/>
      <c r="AIN261" s="18"/>
      <c r="AIO261" s="18"/>
      <c r="AIP261" s="18"/>
      <c r="AIQ261" s="18"/>
      <c r="AIR261" s="18"/>
      <c r="AIS261" s="18"/>
      <c r="AIT261" s="18"/>
      <c r="AIU261" s="18"/>
      <c r="AIV261" s="18"/>
      <c r="AIW261" s="18"/>
      <c r="AIX261" s="18"/>
      <c r="AIY261" s="18"/>
      <c r="AIZ261" s="18"/>
      <c r="AJA261" s="18"/>
      <c r="AJB261" s="18"/>
      <c r="AJC261" s="18"/>
      <c r="AJD261" s="18"/>
      <c r="AJE261" s="18"/>
      <c r="AJF261" s="18"/>
      <c r="AJG261" s="18"/>
      <c r="AJH261" s="18"/>
      <c r="AJI261" s="18"/>
      <c r="AJJ261" s="18"/>
      <c r="AJK261" s="18"/>
      <c r="AJL261" s="18"/>
      <c r="AJM261" s="18"/>
      <c r="AJN261" s="18"/>
      <c r="AJO261" s="18"/>
      <c r="AJP261" s="18"/>
      <c r="AJQ261" s="18"/>
      <c r="AJR261" s="18"/>
      <c r="AJS261" s="18"/>
      <c r="AJT261" s="18"/>
      <c r="AJU261" s="18"/>
      <c r="AJV261" s="18"/>
      <c r="AJW261" s="18"/>
      <c r="AJX261" s="18"/>
      <c r="AJY261" s="18"/>
      <c r="AJZ261" s="18"/>
      <c r="AKA261" s="18"/>
      <c r="AKB261" s="18"/>
      <c r="AKC261" s="18"/>
      <c r="AKD261" s="18"/>
      <c r="AKE261" s="18"/>
      <c r="AKF261" s="18"/>
      <c r="AKG261" s="18"/>
      <c r="AKH261" s="18"/>
      <c r="AKI261" s="18"/>
      <c r="AKJ261" s="18"/>
      <c r="AKK261" s="18"/>
      <c r="AKL261" s="18"/>
      <c r="AKM261" s="18"/>
      <c r="AKN261" s="18"/>
      <c r="AKO261" s="18"/>
      <c r="AKP261" s="18"/>
      <c r="AKQ261" s="18"/>
      <c r="AKR261" s="18"/>
      <c r="AKS261" s="18"/>
      <c r="AKT261" s="18"/>
      <c r="AKU261" s="18"/>
      <c r="AKV261" s="18"/>
      <c r="AKW261" s="18"/>
      <c r="AKX261" s="18"/>
      <c r="AKY261" s="18"/>
      <c r="AKZ261" s="18"/>
      <c r="ALA261" s="18"/>
      <c r="ALB261" s="18"/>
      <c r="ALC261" s="18"/>
      <c r="ALD261" s="18"/>
      <c r="ALE261" s="18"/>
      <c r="ALF261" s="18"/>
      <c r="ALG261" s="18"/>
      <c r="ALH261" s="18"/>
      <c r="ALI261" s="18"/>
      <c r="ALJ261" s="18"/>
      <c r="ALK261" s="18"/>
      <c r="ALL261" s="18"/>
      <c r="ALM261" s="18"/>
      <c r="ALN261" s="18"/>
      <c r="ALO261" s="18"/>
      <c r="ALP261" s="18"/>
      <c r="ALQ261" s="18"/>
      <c r="ALR261" s="18"/>
      <c r="ALS261" s="18"/>
      <c r="ALT261" s="18"/>
      <c r="ALU261" s="18"/>
      <c r="ALV261" s="18"/>
      <c r="ALW261" s="18"/>
      <c r="ALX261" s="18"/>
      <c r="ALY261" s="18"/>
      <c r="ALZ261" s="18"/>
      <c r="AMA261" s="18"/>
      <c r="AMB261" s="18"/>
      <c r="AMC261" s="18"/>
      <c r="AMD261" s="18"/>
      <c r="AME261" s="18"/>
      <c r="AMF261" s="18"/>
      <c r="AMG261" s="18"/>
      <c r="AMH261" s="18"/>
      <c r="AMI261" s="18"/>
      <c r="AMJ261" s="18"/>
      <c r="AMK261" s="18"/>
      <c r="AML261" s="18"/>
      <c r="AMM261" s="18"/>
      <c r="AMN261" s="18"/>
      <c r="AMO261" s="18"/>
      <c r="AMP261" s="18"/>
      <c r="AMQ261" s="18"/>
      <c r="AMR261" s="18"/>
      <c r="AMS261" s="18"/>
      <c r="AMT261" s="18"/>
      <c r="AMU261" s="18"/>
      <c r="AMV261" s="18"/>
      <c r="AMW261" s="18"/>
      <c r="AMX261" s="18"/>
      <c r="AMY261" s="18"/>
      <c r="AMZ261" s="18"/>
      <c r="ANA261" s="18"/>
      <c r="ANB261" s="18"/>
      <c r="ANC261" s="18"/>
      <c r="AND261" s="18"/>
      <c r="ANE261" s="18"/>
      <c r="ANF261" s="18"/>
      <c r="ANG261" s="18"/>
      <c r="ANH261" s="18"/>
      <c r="ANI261" s="18"/>
      <c r="ANJ261" s="18"/>
      <c r="ANK261" s="18"/>
      <c r="ANL261" s="18"/>
      <c r="ANM261" s="18"/>
      <c r="ANN261" s="18"/>
      <c r="ANO261" s="18"/>
      <c r="ANP261" s="18"/>
      <c r="ANQ261" s="18"/>
      <c r="ANR261" s="18"/>
      <c r="ANS261" s="18"/>
      <c r="ANT261" s="18"/>
      <c r="ANU261" s="18"/>
      <c r="ANV261" s="18"/>
      <c r="ANW261" s="18"/>
      <c r="ANX261" s="18"/>
      <c r="ANY261" s="18"/>
      <c r="ANZ261" s="18"/>
      <c r="AOA261" s="18"/>
      <c r="AOB261" s="18"/>
      <c r="AOC261" s="18"/>
      <c r="AOD261" s="18"/>
      <c r="AOE261" s="18"/>
      <c r="AOF261" s="18"/>
      <c r="AOG261" s="18"/>
      <c r="AOH261" s="18"/>
      <c r="AOI261" s="18"/>
      <c r="AOJ261" s="18"/>
      <c r="AOK261" s="18"/>
      <c r="AOL261" s="18"/>
      <c r="AOM261" s="18"/>
      <c r="AON261" s="18"/>
      <c r="AOO261" s="18"/>
      <c r="AOP261" s="18"/>
      <c r="AOQ261" s="18"/>
      <c r="AOR261" s="18"/>
      <c r="AOS261" s="18"/>
      <c r="AOT261" s="18"/>
      <c r="AOU261" s="18"/>
      <c r="AOV261" s="18"/>
      <c r="AOW261" s="18"/>
      <c r="AOX261" s="18"/>
      <c r="AOY261" s="18"/>
      <c r="AOZ261" s="18"/>
      <c r="APA261" s="18"/>
      <c r="APB261" s="18"/>
      <c r="APC261" s="18"/>
      <c r="APD261" s="18"/>
      <c r="APE261" s="18"/>
      <c r="APF261" s="18"/>
      <c r="APG261" s="18"/>
      <c r="APH261" s="18"/>
      <c r="API261" s="18"/>
      <c r="APJ261" s="18"/>
      <c r="APK261" s="18"/>
      <c r="APL261" s="18"/>
      <c r="APM261" s="18"/>
      <c r="APN261" s="18"/>
      <c r="APO261" s="18"/>
      <c r="APP261" s="18"/>
      <c r="APQ261" s="18"/>
      <c r="APR261" s="18"/>
      <c r="APS261" s="18"/>
      <c r="APT261" s="18"/>
      <c r="APU261" s="18"/>
      <c r="APV261" s="18"/>
      <c r="APW261" s="18"/>
      <c r="APX261" s="18"/>
      <c r="APY261" s="18"/>
      <c r="APZ261" s="18"/>
      <c r="AQA261" s="18"/>
      <c r="AQB261" s="18"/>
      <c r="AQC261" s="18"/>
      <c r="AQD261" s="18"/>
      <c r="AQE261" s="18"/>
      <c r="AQF261" s="18"/>
      <c r="AQG261" s="18"/>
      <c r="AQH261" s="18"/>
      <c r="AQI261" s="18"/>
      <c r="AQJ261" s="18"/>
      <c r="AQK261" s="18"/>
      <c r="AQL261" s="18"/>
      <c r="AQM261" s="18"/>
      <c r="AQN261" s="18"/>
      <c r="AQO261" s="18"/>
      <c r="AQP261" s="18"/>
      <c r="AQQ261" s="18"/>
      <c r="AQR261" s="18"/>
      <c r="AQS261" s="18"/>
      <c r="AQT261" s="18"/>
      <c r="AQU261" s="18"/>
      <c r="AQV261" s="18"/>
      <c r="AQW261" s="18"/>
      <c r="AQX261" s="18"/>
      <c r="AQY261" s="18"/>
      <c r="AQZ261" s="18"/>
      <c r="ARA261" s="18"/>
      <c r="ARB261" s="18"/>
      <c r="ARC261" s="18"/>
      <c r="ARD261" s="18"/>
      <c r="ARE261" s="18"/>
      <c r="ARF261" s="18"/>
      <c r="ARG261" s="18"/>
      <c r="ARH261" s="18"/>
      <c r="ARI261" s="18"/>
      <c r="ARJ261" s="18"/>
      <c r="ARK261" s="18"/>
      <c r="ARL261" s="18"/>
      <c r="ARM261" s="18"/>
      <c r="ARN261" s="18"/>
      <c r="ARO261" s="18"/>
      <c r="ARP261" s="18"/>
      <c r="ARQ261" s="18"/>
      <c r="ARR261" s="18"/>
      <c r="ARS261" s="18"/>
      <c r="ART261" s="18"/>
      <c r="ARU261" s="18"/>
      <c r="ARV261" s="18"/>
      <c r="ARW261" s="18"/>
      <c r="ARX261" s="18"/>
      <c r="ARY261" s="18"/>
      <c r="ARZ261" s="18"/>
      <c r="ASA261" s="18"/>
      <c r="ASB261" s="18"/>
      <c r="ASC261" s="18"/>
      <c r="ASD261" s="18"/>
      <c r="ASE261" s="18"/>
      <c r="ASF261" s="18"/>
      <c r="ASG261" s="18"/>
      <c r="ASH261" s="18"/>
      <c r="ASI261" s="18"/>
      <c r="ASJ261" s="18"/>
      <c r="ASK261" s="18"/>
      <c r="ASL261" s="18"/>
      <c r="ASM261" s="18"/>
      <c r="ASN261" s="18"/>
      <c r="ASO261" s="18"/>
      <c r="ASP261" s="18"/>
      <c r="ASQ261" s="18"/>
      <c r="ASR261" s="18"/>
      <c r="ASS261" s="18"/>
      <c r="AST261" s="18"/>
      <c r="ASU261" s="18"/>
      <c r="ASV261" s="18"/>
      <c r="ASW261" s="18"/>
      <c r="ASX261" s="18"/>
      <c r="ASY261" s="18"/>
      <c r="ASZ261" s="18"/>
      <c r="ATA261" s="18"/>
      <c r="ATB261" s="18"/>
      <c r="ATC261" s="18"/>
      <c r="ATD261" s="18"/>
      <c r="ATE261" s="18"/>
      <c r="ATF261" s="18"/>
      <c r="ATG261" s="18"/>
      <c r="ATH261" s="18"/>
      <c r="ATI261" s="18"/>
      <c r="ATJ261" s="18"/>
      <c r="ATK261" s="18"/>
      <c r="ATL261" s="18"/>
      <c r="ATM261" s="18"/>
      <c r="ATN261" s="18"/>
      <c r="ATO261" s="18"/>
      <c r="ATP261" s="18"/>
      <c r="ATQ261" s="18"/>
      <c r="ATR261" s="18"/>
      <c r="ATS261" s="18"/>
      <c r="ATT261" s="18"/>
      <c r="ATU261" s="18"/>
      <c r="ATV261" s="18"/>
      <c r="ATW261" s="18"/>
      <c r="ATX261" s="18"/>
      <c r="ATY261" s="18"/>
      <c r="ATZ261" s="18"/>
      <c r="AUA261" s="18"/>
      <c r="AUB261" s="18"/>
      <c r="AUC261" s="18"/>
      <c r="AUD261" s="18"/>
      <c r="AUE261" s="18"/>
      <c r="AUF261" s="18"/>
      <c r="AUG261" s="18"/>
      <c r="AUH261" s="18"/>
      <c r="AUI261" s="18"/>
      <c r="AUJ261" s="18"/>
      <c r="AUK261" s="18"/>
      <c r="AUL261" s="18"/>
      <c r="AUM261" s="18"/>
      <c r="AUN261" s="18"/>
      <c r="AUO261" s="18"/>
      <c r="AUP261" s="18"/>
      <c r="AUQ261" s="18"/>
      <c r="AUR261" s="18"/>
      <c r="AUS261" s="18"/>
      <c r="AUT261" s="18"/>
      <c r="AUU261" s="18"/>
      <c r="AUV261" s="18"/>
      <c r="AUW261" s="18"/>
      <c r="AUX261" s="18"/>
      <c r="AUY261" s="18"/>
      <c r="AUZ261" s="18"/>
      <c r="AVA261" s="18"/>
      <c r="AVB261" s="18"/>
      <c r="AVC261" s="18"/>
      <c r="AVD261" s="18"/>
      <c r="AVE261" s="18"/>
      <c r="AVF261" s="18"/>
      <c r="AVG261" s="18"/>
      <c r="AVH261" s="18"/>
      <c r="AVI261" s="18"/>
      <c r="AVJ261" s="18"/>
      <c r="AVK261" s="18"/>
      <c r="AVL261" s="18"/>
      <c r="AVM261" s="18"/>
      <c r="AVN261" s="18"/>
      <c r="AVO261" s="18"/>
      <c r="AVP261" s="18"/>
      <c r="AVQ261" s="18"/>
      <c r="AVR261" s="18"/>
      <c r="AVS261" s="18"/>
      <c r="AVT261" s="18"/>
      <c r="AVU261" s="18"/>
      <c r="AVV261" s="18"/>
      <c r="AVW261" s="18"/>
      <c r="AVX261" s="18"/>
      <c r="AVY261" s="18"/>
      <c r="AVZ261" s="18"/>
      <c r="AWA261" s="18"/>
      <c r="AWB261" s="18"/>
      <c r="AWC261" s="18"/>
      <c r="AWD261" s="18"/>
      <c r="AWE261" s="18"/>
      <c r="AWF261" s="18"/>
      <c r="AWG261" s="18"/>
      <c r="AWH261" s="18"/>
      <c r="AWI261" s="18"/>
      <c r="AWJ261" s="18"/>
      <c r="AWK261" s="18"/>
      <c r="AWL261" s="18"/>
      <c r="AWM261" s="18"/>
      <c r="AWN261" s="18"/>
      <c r="AWO261" s="18"/>
      <c r="AWP261" s="18"/>
      <c r="AWQ261" s="18"/>
      <c r="AWR261" s="18"/>
      <c r="AWS261" s="18"/>
      <c r="AWT261" s="18"/>
      <c r="AWU261" s="18"/>
      <c r="AWV261" s="18"/>
      <c r="AWW261" s="18"/>
      <c r="AWX261" s="18"/>
      <c r="AWY261" s="18"/>
      <c r="AWZ261" s="18"/>
      <c r="AXA261" s="18"/>
      <c r="AXB261" s="18"/>
      <c r="AXC261" s="18"/>
      <c r="AXD261" s="18"/>
      <c r="AXE261" s="18"/>
      <c r="AXF261" s="18"/>
      <c r="AXG261" s="18"/>
      <c r="AXH261" s="18"/>
      <c r="AXI261" s="18"/>
      <c r="AXJ261" s="18"/>
      <c r="AXK261" s="18"/>
      <c r="AXL261" s="18"/>
      <c r="AXM261" s="18"/>
      <c r="AXN261" s="18"/>
      <c r="AXO261" s="18"/>
      <c r="AXP261" s="18"/>
      <c r="AXQ261" s="18"/>
      <c r="AXR261" s="18"/>
      <c r="AXS261" s="18"/>
      <c r="AXT261" s="18"/>
      <c r="AXU261" s="18"/>
      <c r="AXV261" s="18"/>
      <c r="AXW261" s="18"/>
      <c r="AXX261" s="18"/>
      <c r="AXY261" s="18"/>
      <c r="AXZ261" s="18"/>
      <c r="AYA261" s="18"/>
      <c r="AYB261" s="18"/>
      <c r="AYC261" s="18"/>
      <c r="AYD261" s="18"/>
      <c r="AYE261" s="18"/>
      <c r="AYF261" s="18"/>
      <c r="AYG261" s="18"/>
      <c r="AYH261" s="18"/>
      <c r="AYI261" s="18"/>
      <c r="AYJ261" s="18"/>
      <c r="AYK261" s="18"/>
      <c r="AYL261" s="18"/>
      <c r="AYM261" s="18"/>
      <c r="AYN261" s="18"/>
      <c r="AYO261" s="18"/>
      <c r="AYP261" s="18"/>
      <c r="AYQ261" s="18"/>
      <c r="AYR261" s="18"/>
      <c r="AYS261" s="18"/>
      <c r="AYT261" s="18"/>
      <c r="AYU261" s="18"/>
      <c r="AYV261" s="18"/>
      <c r="AYW261" s="18"/>
      <c r="AYX261" s="18"/>
      <c r="AYY261" s="18"/>
      <c r="AYZ261" s="18"/>
      <c r="AZA261" s="18"/>
      <c r="AZB261" s="18"/>
      <c r="AZC261" s="18"/>
      <c r="AZD261" s="18"/>
      <c r="AZE261" s="18"/>
      <c r="AZF261" s="18"/>
      <c r="AZG261" s="18"/>
      <c r="AZH261" s="18"/>
      <c r="AZI261" s="18"/>
      <c r="AZJ261" s="18"/>
      <c r="AZK261" s="18"/>
      <c r="AZL261" s="18"/>
      <c r="AZM261" s="18"/>
      <c r="AZN261" s="18"/>
      <c r="AZO261" s="18"/>
      <c r="AZP261" s="18"/>
      <c r="AZQ261" s="18"/>
      <c r="AZR261" s="18"/>
      <c r="AZS261" s="18"/>
      <c r="AZT261" s="18"/>
      <c r="AZU261" s="18"/>
      <c r="AZV261" s="18"/>
      <c r="AZW261" s="18"/>
      <c r="AZX261" s="18"/>
      <c r="AZY261" s="18"/>
      <c r="AZZ261" s="18"/>
      <c r="BAA261" s="18"/>
      <c r="BAB261" s="18"/>
      <c r="BAC261" s="18"/>
      <c r="BAD261" s="18"/>
      <c r="BAE261" s="18"/>
      <c r="BAF261" s="18"/>
      <c r="BAG261" s="18"/>
      <c r="BAH261" s="18"/>
      <c r="BAI261" s="18"/>
      <c r="BAJ261" s="18"/>
      <c r="BAK261" s="18"/>
      <c r="BAL261" s="18"/>
      <c r="BAM261" s="18"/>
      <c r="BAN261" s="18"/>
      <c r="BAO261" s="18"/>
      <c r="BAP261" s="18"/>
      <c r="BAQ261" s="18"/>
      <c r="BAR261" s="18"/>
      <c r="BAS261" s="18"/>
      <c r="BAT261" s="18"/>
      <c r="BAU261" s="18"/>
      <c r="BAV261" s="18"/>
      <c r="BAW261" s="18"/>
      <c r="BAX261" s="18"/>
      <c r="BAY261" s="18"/>
      <c r="BAZ261" s="18"/>
      <c r="BBA261" s="18"/>
      <c r="BBB261" s="18"/>
      <c r="BBC261" s="18"/>
      <c r="BBD261" s="18"/>
      <c r="BBE261" s="18"/>
      <c r="BBF261" s="18"/>
      <c r="BBG261" s="18"/>
      <c r="BBH261" s="18"/>
      <c r="BBI261" s="18"/>
      <c r="BBJ261" s="18"/>
      <c r="BBK261" s="18"/>
      <c r="BBL261" s="18"/>
      <c r="BBM261" s="18"/>
      <c r="BBN261" s="18"/>
      <c r="BBO261" s="18"/>
      <c r="BBP261" s="18"/>
      <c r="BBQ261" s="18"/>
      <c r="BBR261" s="18"/>
      <c r="BBS261" s="18"/>
      <c r="BBT261" s="18"/>
      <c r="BBU261" s="18"/>
      <c r="BBV261" s="18"/>
      <c r="BBW261" s="18"/>
      <c r="BBX261" s="18"/>
      <c r="BBY261" s="18"/>
      <c r="BBZ261" s="18"/>
      <c r="BCA261" s="18"/>
      <c r="BCB261" s="18"/>
      <c r="BCC261" s="18"/>
      <c r="BCD261" s="18"/>
      <c r="BCE261" s="18"/>
      <c r="BCF261" s="18"/>
      <c r="BCG261" s="18"/>
      <c r="BCH261" s="18"/>
      <c r="BCI261" s="18"/>
      <c r="BCJ261" s="18"/>
      <c r="BCK261" s="18"/>
      <c r="BCL261" s="18"/>
      <c r="BCM261" s="18"/>
      <c r="BCN261" s="18"/>
      <c r="BCO261" s="18"/>
      <c r="BCP261" s="18"/>
      <c r="BCQ261" s="18"/>
      <c r="BCR261" s="18"/>
      <c r="BCS261" s="18"/>
      <c r="BCT261" s="18"/>
      <c r="BCU261" s="18"/>
      <c r="BCV261" s="18"/>
      <c r="BCW261" s="18"/>
      <c r="BCX261" s="18"/>
      <c r="BCY261" s="18"/>
      <c r="BCZ261" s="18"/>
      <c r="BDA261" s="18"/>
      <c r="BDB261" s="18"/>
      <c r="BDC261" s="18"/>
      <c r="BDD261" s="18"/>
      <c r="BDE261" s="18"/>
      <c r="BDF261" s="18"/>
      <c r="BDG261" s="18"/>
      <c r="BDH261" s="18"/>
      <c r="BDI261" s="18"/>
      <c r="BDJ261" s="18"/>
      <c r="BDK261" s="18"/>
      <c r="BDL261" s="18"/>
      <c r="BDM261" s="18"/>
      <c r="BDN261" s="18"/>
      <c r="BDO261" s="18"/>
      <c r="BDP261" s="18"/>
      <c r="BDQ261" s="18"/>
      <c r="BDR261" s="18"/>
      <c r="BDS261" s="18"/>
      <c r="BDT261" s="18"/>
      <c r="BDU261" s="18"/>
      <c r="BDV261" s="18"/>
      <c r="BDW261" s="18"/>
      <c r="BDX261" s="18"/>
      <c r="BDY261" s="18"/>
      <c r="BDZ261" s="18"/>
      <c r="BEA261" s="18"/>
      <c r="BEB261" s="18"/>
      <c r="BEC261" s="18"/>
      <c r="BED261" s="18"/>
      <c r="BEE261" s="18"/>
      <c r="BEF261" s="18"/>
      <c r="BEG261" s="18"/>
      <c r="BEH261" s="18"/>
      <c r="BEI261" s="18"/>
      <c r="BEJ261" s="18"/>
      <c r="BEK261" s="18"/>
      <c r="BEL261" s="18"/>
      <c r="BEM261" s="18"/>
      <c r="BEN261" s="18"/>
      <c r="BEO261" s="18"/>
      <c r="BEP261" s="18"/>
      <c r="BEQ261" s="18"/>
      <c r="BER261" s="18"/>
      <c r="BES261" s="18"/>
      <c r="BET261" s="18"/>
      <c r="BEU261" s="18"/>
      <c r="BEV261" s="18"/>
      <c r="BEW261" s="18"/>
      <c r="BEX261" s="18"/>
      <c r="BEY261" s="18"/>
      <c r="BEZ261" s="18"/>
      <c r="BFA261" s="18"/>
      <c r="BFB261" s="18"/>
      <c r="BFC261" s="18"/>
      <c r="BFD261" s="18"/>
      <c r="BFE261" s="18"/>
      <c r="BFF261" s="18"/>
      <c r="BFG261" s="18"/>
      <c r="BFH261" s="18"/>
      <c r="BFI261" s="18"/>
      <c r="BFJ261" s="18"/>
      <c r="BFK261" s="18"/>
      <c r="BFL261" s="18"/>
      <c r="BFM261" s="18"/>
      <c r="BFN261" s="18"/>
      <c r="BFO261" s="18"/>
      <c r="BFP261" s="18"/>
      <c r="BFQ261" s="18"/>
      <c r="BFR261" s="18"/>
      <c r="BFS261" s="18"/>
      <c r="BFT261" s="18"/>
      <c r="BFU261" s="18"/>
      <c r="BFV261" s="18"/>
      <c r="BFW261" s="18"/>
      <c r="BFX261" s="18"/>
      <c r="BFY261" s="18"/>
      <c r="BFZ261" s="18"/>
      <c r="BGA261" s="18"/>
      <c r="BGB261" s="18"/>
      <c r="BGC261" s="18"/>
      <c r="BGD261" s="18"/>
      <c r="BGE261" s="18"/>
      <c r="BGF261" s="18"/>
      <c r="BGG261" s="18"/>
      <c r="BGH261" s="18"/>
      <c r="BGI261" s="18"/>
      <c r="BGJ261" s="18"/>
      <c r="BGK261" s="18"/>
      <c r="BGL261" s="18"/>
      <c r="BGM261" s="18"/>
      <c r="BGN261" s="18"/>
      <c r="BGO261" s="18"/>
      <c r="BGP261" s="18"/>
      <c r="BGQ261" s="18"/>
      <c r="BGR261" s="18"/>
      <c r="BGS261" s="18"/>
      <c r="BGT261" s="18"/>
      <c r="BGU261" s="18"/>
      <c r="BGV261" s="18"/>
      <c r="BGW261" s="18"/>
      <c r="BGX261" s="18"/>
      <c r="BGY261" s="18"/>
      <c r="BGZ261" s="18"/>
      <c r="BHA261" s="18"/>
      <c r="BHB261" s="18"/>
      <c r="BHC261" s="18"/>
      <c r="BHD261" s="18"/>
      <c r="BHE261" s="18"/>
      <c r="BHF261" s="18"/>
      <c r="BHG261" s="18"/>
      <c r="BHH261" s="18"/>
      <c r="BHI261" s="18"/>
      <c r="BHJ261" s="18"/>
      <c r="BHK261" s="18"/>
      <c r="BHL261" s="18"/>
      <c r="BHM261" s="18"/>
      <c r="BHN261" s="18"/>
      <c r="BHO261" s="18"/>
      <c r="BHP261" s="18"/>
      <c r="BHQ261" s="18"/>
      <c r="BHR261" s="18"/>
      <c r="BHS261" s="18"/>
      <c r="BHT261" s="18"/>
      <c r="BHU261" s="18"/>
      <c r="BHV261" s="18"/>
      <c r="BHW261" s="18"/>
      <c r="BHX261" s="18"/>
      <c r="BHY261" s="18"/>
      <c r="BHZ261" s="18"/>
      <c r="BIA261" s="18"/>
      <c r="BIB261" s="18"/>
      <c r="BIC261" s="18"/>
      <c r="BID261" s="18"/>
      <c r="BIE261" s="18"/>
      <c r="BIF261" s="18"/>
      <c r="BIG261" s="18"/>
      <c r="BIH261" s="18"/>
      <c r="BII261" s="18"/>
      <c r="BIJ261" s="18"/>
      <c r="BIK261" s="18"/>
      <c r="BIL261" s="18"/>
      <c r="BIM261" s="18"/>
      <c r="BIN261" s="18"/>
      <c r="BIO261" s="18"/>
      <c r="BIP261" s="18"/>
      <c r="BIQ261" s="18"/>
      <c r="BIR261" s="18"/>
      <c r="BIS261" s="18"/>
      <c r="BIT261" s="18"/>
      <c r="BIU261" s="18"/>
      <c r="BIV261" s="18"/>
      <c r="BIW261" s="18"/>
      <c r="BIX261" s="18"/>
      <c r="BIY261" s="18"/>
      <c r="BIZ261" s="18"/>
      <c r="BJA261" s="18"/>
      <c r="BJB261" s="18"/>
      <c r="BJC261" s="18"/>
      <c r="BJD261" s="18"/>
      <c r="BJE261" s="18"/>
      <c r="BJF261" s="18"/>
      <c r="BJG261" s="18"/>
      <c r="BJH261" s="18"/>
      <c r="BJI261" s="18"/>
      <c r="BJJ261" s="18"/>
      <c r="BJK261" s="18"/>
      <c r="BJL261" s="18"/>
      <c r="BJM261" s="18"/>
      <c r="BJN261" s="18"/>
      <c r="BJO261" s="18"/>
      <c r="BJP261" s="18"/>
      <c r="BJQ261" s="18"/>
      <c r="BJR261" s="18"/>
      <c r="BJS261" s="18"/>
      <c r="BJT261" s="18"/>
      <c r="BJU261" s="18"/>
      <c r="BJV261" s="18"/>
      <c r="BJW261" s="18"/>
      <c r="BJX261" s="18"/>
      <c r="BJY261" s="18"/>
      <c r="BJZ261" s="18"/>
      <c r="BKA261" s="18"/>
      <c r="BKB261" s="18"/>
      <c r="BKC261" s="18"/>
      <c r="BKD261" s="18"/>
      <c r="BKE261" s="18"/>
      <c r="BKF261" s="18"/>
      <c r="BKG261" s="18"/>
      <c r="BKH261" s="18"/>
      <c r="BKI261" s="18"/>
      <c r="BKJ261" s="18"/>
      <c r="BKK261" s="18"/>
      <c r="BKL261" s="18"/>
      <c r="BKM261" s="18"/>
      <c r="BKN261" s="18"/>
      <c r="BKO261" s="18"/>
      <c r="BKP261" s="18"/>
      <c r="BKQ261" s="18"/>
      <c r="BKR261" s="18"/>
      <c r="BKS261" s="18"/>
      <c r="BKT261" s="18"/>
      <c r="BKU261" s="18"/>
      <c r="BKV261" s="18"/>
      <c r="BKW261" s="18"/>
      <c r="BKX261" s="18"/>
      <c r="BKY261" s="18"/>
      <c r="BKZ261" s="18"/>
      <c r="BLA261" s="18"/>
      <c r="BLB261" s="18"/>
      <c r="BLC261" s="18"/>
      <c r="BLD261" s="18"/>
      <c r="BLE261" s="18"/>
      <c r="BLF261" s="18"/>
      <c r="BLG261" s="18"/>
      <c r="BLH261" s="18"/>
      <c r="BLI261" s="18"/>
      <c r="BLJ261" s="18"/>
      <c r="BLK261" s="18"/>
      <c r="BLL261" s="18"/>
      <c r="BLM261" s="18"/>
      <c r="BLN261" s="18"/>
      <c r="BLO261" s="18"/>
      <c r="BLP261" s="18"/>
      <c r="BLQ261" s="18"/>
      <c r="BLR261" s="18"/>
      <c r="BLS261" s="18"/>
      <c r="BLT261" s="18"/>
      <c r="BLU261" s="18"/>
      <c r="BLV261" s="18"/>
      <c r="BLW261" s="18"/>
      <c r="BLX261" s="18"/>
      <c r="BLY261" s="18"/>
      <c r="BLZ261" s="18"/>
      <c r="BMA261" s="18"/>
      <c r="BMB261" s="18"/>
      <c r="BMC261" s="18"/>
      <c r="BMD261" s="18"/>
      <c r="BME261" s="18"/>
      <c r="BMF261" s="18"/>
      <c r="BMG261" s="18"/>
      <c r="BMH261" s="18"/>
      <c r="BMI261" s="18"/>
      <c r="BMJ261" s="18"/>
      <c r="BMK261" s="18"/>
      <c r="BML261" s="18"/>
      <c r="BMM261" s="18"/>
      <c r="BMN261" s="18"/>
      <c r="BMO261" s="18"/>
      <c r="BMP261" s="18"/>
      <c r="BMQ261" s="18"/>
      <c r="BMR261" s="18"/>
      <c r="BMS261" s="18"/>
      <c r="BMT261" s="18"/>
      <c r="BMU261" s="18"/>
      <c r="BMV261" s="18"/>
      <c r="BMW261" s="18"/>
      <c r="BMX261" s="18"/>
      <c r="BMY261" s="18"/>
      <c r="BMZ261" s="18"/>
      <c r="BNA261" s="18"/>
      <c r="BNB261" s="18"/>
      <c r="BNC261" s="18"/>
      <c r="BND261" s="18"/>
      <c r="BNE261" s="18"/>
      <c r="BNF261" s="18"/>
      <c r="BNG261" s="18"/>
      <c r="BNH261" s="18"/>
      <c r="BNI261" s="18"/>
      <c r="BNJ261" s="18"/>
      <c r="BNK261" s="18"/>
      <c r="BNL261" s="18"/>
      <c r="BNM261" s="18"/>
      <c r="BNN261" s="18"/>
      <c r="BNO261" s="18"/>
      <c r="BNP261" s="18"/>
      <c r="BNQ261" s="18"/>
      <c r="BNR261" s="18"/>
      <c r="BNS261" s="18"/>
      <c r="BNT261" s="18"/>
      <c r="BNU261" s="18"/>
      <c r="BNV261" s="18"/>
      <c r="BNW261" s="18"/>
      <c r="BNX261" s="18"/>
      <c r="BNY261" s="18"/>
      <c r="BNZ261" s="18"/>
      <c r="BOA261" s="18"/>
      <c r="BOB261" s="18"/>
      <c r="BOC261" s="18"/>
      <c r="BOD261" s="18"/>
      <c r="BOE261" s="18"/>
      <c r="BOF261" s="18"/>
      <c r="BOG261" s="18"/>
      <c r="BOH261" s="18"/>
      <c r="BOI261" s="18"/>
      <c r="BOJ261" s="18"/>
      <c r="BOK261" s="18"/>
      <c r="BOL261" s="18"/>
      <c r="BOM261" s="18"/>
      <c r="BON261" s="18"/>
      <c r="BOO261" s="18"/>
      <c r="BOP261" s="18"/>
      <c r="BOQ261" s="18"/>
      <c r="BOR261" s="18"/>
      <c r="BOS261" s="18"/>
      <c r="BOT261" s="18"/>
      <c r="BOU261" s="18"/>
      <c r="BOV261" s="18"/>
      <c r="BOW261" s="18"/>
      <c r="BOX261" s="18"/>
      <c r="BOY261" s="18"/>
      <c r="BOZ261" s="18"/>
      <c r="BPA261" s="18"/>
      <c r="BPB261" s="18"/>
      <c r="BPC261" s="18"/>
      <c r="BPD261" s="18"/>
      <c r="BPE261" s="18"/>
      <c r="BPF261" s="18"/>
      <c r="BPG261" s="18"/>
      <c r="BPH261" s="18"/>
      <c r="BPI261" s="18"/>
      <c r="BPJ261" s="18"/>
      <c r="BPK261" s="18"/>
      <c r="BPL261" s="18"/>
      <c r="BPM261" s="18"/>
      <c r="BPN261" s="18"/>
      <c r="BPO261" s="18"/>
      <c r="BPP261" s="18"/>
      <c r="BPQ261" s="18"/>
      <c r="BPR261" s="18"/>
      <c r="BPS261" s="18"/>
      <c r="BPT261" s="18"/>
      <c r="BPU261" s="18"/>
      <c r="BPV261" s="18"/>
      <c r="BPW261" s="18"/>
      <c r="BPX261" s="18"/>
      <c r="BPY261" s="18"/>
      <c r="BPZ261" s="18"/>
      <c r="BQA261" s="18"/>
      <c r="BQB261" s="18"/>
      <c r="BQC261" s="18"/>
      <c r="BQD261" s="18"/>
      <c r="BQE261" s="18"/>
      <c r="BQF261" s="18"/>
      <c r="BQG261" s="18"/>
      <c r="BQH261" s="18"/>
      <c r="BQI261" s="18"/>
      <c r="BQJ261" s="18"/>
      <c r="BQK261" s="18"/>
      <c r="BQL261" s="18"/>
      <c r="BQM261" s="18"/>
      <c r="BQN261" s="18"/>
      <c r="BQO261" s="18"/>
      <c r="BQP261" s="18"/>
      <c r="BQQ261" s="18"/>
      <c r="BQR261" s="18"/>
      <c r="BQS261" s="18"/>
      <c r="BQT261" s="18"/>
      <c r="BQU261" s="18"/>
      <c r="BQV261" s="18"/>
      <c r="BQW261" s="18"/>
      <c r="BQX261" s="18"/>
      <c r="BQY261" s="18"/>
      <c r="BQZ261" s="18"/>
      <c r="BRA261" s="18"/>
      <c r="BRB261" s="18"/>
      <c r="BRC261" s="18"/>
      <c r="BRD261" s="18"/>
      <c r="BRE261" s="18"/>
      <c r="BRF261" s="18"/>
      <c r="BRG261" s="18"/>
      <c r="BRH261" s="18"/>
      <c r="BRI261" s="18"/>
      <c r="BRJ261" s="18"/>
      <c r="BRK261" s="18"/>
      <c r="BRL261" s="18"/>
      <c r="BRM261" s="18"/>
      <c r="BRN261" s="18"/>
      <c r="BRO261" s="18"/>
      <c r="BRP261" s="18"/>
      <c r="BRQ261" s="18"/>
      <c r="BRR261" s="18"/>
      <c r="BRS261" s="18"/>
      <c r="BRT261" s="18"/>
      <c r="BRU261" s="18"/>
      <c r="BRV261" s="18"/>
      <c r="BRW261" s="18"/>
      <c r="BRX261" s="18"/>
      <c r="BRY261" s="18"/>
      <c r="BRZ261" s="18"/>
      <c r="BSA261" s="18"/>
      <c r="BSB261" s="18"/>
      <c r="BSC261" s="18"/>
      <c r="BSD261" s="18"/>
      <c r="BSE261" s="18"/>
      <c r="BSF261" s="18"/>
      <c r="BSG261" s="18"/>
      <c r="BSH261" s="18"/>
      <c r="BSI261" s="18"/>
      <c r="BSJ261" s="18"/>
      <c r="BSK261" s="18"/>
      <c r="BSL261" s="18"/>
      <c r="BSM261" s="18"/>
      <c r="BSN261" s="18"/>
      <c r="BSO261" s="18"/>
      <c r="BSP261" s="18"/>
      <c r="BSQ261" s="18"/>
      <c r="BSR261" s="18"/>
      <c r="BSS261" s="18"/>
      <c r="BST261" s="18"/>
      <c r="BSU261" s="18"/>
      <c r="BSV261" s="18"/>
      <c r="BSW261" s="18"/>
      <c r="BSX261" s="18"/>
      <c r="BSY261" s="18"/>
      <c r="BSZ261" s="18"/>
      <c r="BTA261" s="18"/>
      <c r="BTB261" s="18"/>
      <c r="BTC261" s="18"/>
      <c r="BTD261" s="18"/>
      <c r="BTE261" s="18"/>
      <c r="BTF261" s="18"/>
      <c r="BTG261" s="18"/>
      <c r="BTH261" s="18"/>
      <c r="BTI261" s="18"/>
    </row>
    <row r="262" spans="1:1881" s="756" customFormat="1" ht="110.25" customHeight="1" x14ac:dyDescent="0.3">
      <c r="A262" s="121">
        <v>622</v>
      </c>
      <c r="B262" s="757" t="s">
        <v>348</v>
      </c>
      <c r="C262" s="121" t="s">
        <v>402</v>
      </c>
      <c r="D262" s="121" t="s">
        <v>1086</v>
      </c>
      <c r="E262" s="661" t="e">
        <f>HLOOKUP($D$2,'2020 Data(H)'!$C$1:$AI$426,282,FALSE)</f>
        <v>#N/A</v>
      </c>
      <c r="F262" s="286">
        <v>0</v>
      </c>
      <c r="G262" s="722"/>
      <c r="H262" s="17"/>
      <c r="I262" s="753"/>
      <c r="J262" s="18"/>
      <c r="K262" s="18"/>
      <c r="L262" s="18"/>
      <c r="M262" s="18"/>
      <c r="N262" s="288"/>
      <c r="O262" s="18"/>
      <c r="P262" s="18"/>
      <c r="Q262" s="18"/>
      <c r="R262" s="18"/>
      <c r="S262" s="18"/>
      <c r="T262" s="18"/>
      <c r="U262" s="18"/>
      <c r="V262" s="18"/>
      <c r="W262" s="18"/>
      <c r="X262" s="18"/>
      <c r="Y262" s="18"/>
      <c r="Z262" s="121"/>
      <c r="AA262" s="121"/>
      <c r="AB262" s="121"/>
      <c r="AC262" s="121"/>
      <c r="AD262" s="121"/>
      <c r="AE262" s="121"/>
      <c r="AF262" s="121"/>
      <c r="AG262" s="121"/>
      <c r="AH262" s="121"/>
      <c r="AI262" s="121"/>
      <c r="AJ262" s="121"/>
      <c r="AK262" s="121"/>
      <c r="AL262" s="121"/>
      <c r="AM262" s="121"/>
      <c r="AN262" s="121"/>
      <c r="AO262" s="121"/>
      <c r="AP262" s="121"/>
      <c r="AQ262" s="121"/>
      <c r="AR262" s="121"/>
      <c r="AS262" s="18"/>
      <c r="AT262" s="18"/>
      <c r="AU262" s="18"/>
      <c r="AV262" s="18"/>
      <c r="AW262" s="18"/>
      <c r="AX262" s="18"/>
      <c r="AY262" s="18"/>
      <c r="AZ262" s="18"/>
      <c r="BA262" s="18"/>
      <c r="BB262" s="18"/>
      <c r="BC262" s="18"/>
      <c r="BD262" s="18"/>
      <c r="BE262" s="18"/>
      <c r="BF262" s="18"/>
      <c r="BG262" s="18"/>
      <c r="BH262" s="18"/>
      <c r="BI262" s="18"/>
      <c r="BJ262" s="18"/>
      <c r="BK262" s="18"/>
      <c r="BL262" s="18"/>
      <c r="BM262" s="18"/>
      <c r="BN262" s="18"/>
      <c r="BO262" s="18"/>
      <c r="BP262" s="18"/>
      <c r="BQ262" s="18"/>
      <c r="BR262" s="18"/>
      <c r="BS262" s="18"/>
      <c r="BT262" s="18"/>
      <c r="BU262" s="18"/>
      <c r="BV262" s="18"/>
      <c r="BW262" s="18"/>
      <c r="BX262" s="18"/>
      <c r="BY262" s="18"/>
      <c r="BZ262" s="18"/>
      <c r="CA262" s="18"/>
      <c r="CB262" s="18"/>
      <c r="CC262" s="18"/>
      <c r="CD262" s="18"/>
      <c r="CE262" s="18"/>
      <c r="CF262" s="18"/>
      <c r="CG262" s="18"/>
      <c r="CH262" s="18"/>
      <c r="CI262" s="18"/>
      <c r="CJ262" s="18"/>
      <c r="CK262" s="18"/>
      <c r="CL262" s="18"/>
      <c r="CM262" s="18"/>
      <c r="CN262" s="18"/>
      <c r="CO262" s="18"/>
      <c r="CP262" s="18"/>
      <c r="CQ262" s="18"/>
      <c r="CR262" s="18"/>
      <c r="CS262" s="18"/>
      <c r="CT262" s="18"/>
      <c r="CU262" s="18"/>
      <c r="CV262" s="18"/>
      <c r="CW262" s="18"/>
      <c r="CX262" s="18"/>
      <c r="CY262" s="18"/>
      <c r="CZ262" s="18"/>
      <c r="DA262" s="18"/>
      <c r="DB262" s="18"/>
      <c r="DC262" s="18"/>
      <c r="DD262" s="18"/>
      <c r="DE262" s="18"/>
      <c r="DF262" s="18"/>
      <c r="DG262" s="18"/>
      <c r="DH262" s="18"/>
      <c r="DI262" s="18"/>
      <c r="DJ262" s="18"/>
      <c r="DK262" s="18"/>
      <c r="DL262" s="18"/>
      <c r="DM262" s="18"/>
      <c r="DN262" s="18"/>
      <c r="DO262" s="18"/>
      <c r="DP262" s="18"/>
      <c r="DQ262" s="18"/>
      <c r="DR262" s="18"/>
      <c r="DS262" s="18"/>
      <c r="DT262" s="18"/>
      <c r="DU262" s="18"/>
      <c r="DV262" s="18"/>
      <c r="DW262" s="18"/>
      <c r="DX262" s="18"/>
      <c r="DY262" s="18"/>
      <c r="DZ262" s="18"/>
      <c r="EA262" s="18"/>
      <c r="EB262" s="18"/>
      <c r="EC262" s="18"/>
      <c r="ED262" s="18"/>
      <c r="EE262" s="18"/>
      <c r="EF262" s="18"/>
      <c r="EG262" s="18"/>
      <c r="EH262" s="18"/>
      <c r="EI262" s="18"/>
      <c r="EJ262" s="18"/>
      <c r="EK262" s="18"/>
      <c r="EL262" s="18"/>
      <c r="EM262" s="18"/>
      <c r="EN262" s="18"/>
      <c r="EO262" s="18"/>
      <c r="EP262" s="18"/>
      <c r="EQ262" s="18"/>
      <c r="ER262" s="18"/>
      <c r="ES262" s="18"/>
      <c r="ET262" s="18"/>
      <c r="EU262" s="18"/>
      <c r="EV262" s="18"/>
      <c r="EW262" s="18"/>
      <c r="EX262" s="18"/>
      <c r="EY262" s="18"/>
      <c r="EZ262" s="18"/>
      <c r="FA262" s="18"/>
      <c r="FB262" s="18"/>
      <c r="FC262" s="18"/>
      <c r="FD262" s="18"/>
      <c r="FE262" s="18"/>
      <c r="FF262" s="18"/>
      <c r="FG262" s="18"/>
      <c r="FH262" s="18"/>
      <c r="FI262" s="18"/>
      <c r="FJ262" s="18"/>
      <c r="FK262" s="18"/>
      <c r="FL262" s="18"/>
      <c r="FM262" s="18"/>
      <c r="FN262" s="18"/>
      <c r="FO262" s="18"/>
      <c r="FP262" s="18"/>
      <c r="FQ262" s="18"/>
      <c r="FR262" s="18"/>
      <c r="FS262" s="18"/>
      <c r="FT262" s="18"/>
      <c r="FU262" s="18"/>
      <c r="FV262" s="18"/>
      <c r="FW262" s="18"/>
      <c r="FX262" s="18"/>
      <c r="FY262" s="18"/>
      <c r="FZ262" s="18"/>
      <c r="GA262" s="18"/>
      <c r="GB262" s="18"/>
      <c r="GC262" s="18"/>
      <c r="GD262" s="18"/>
      <c r="GE262" s="18"/>
      <c r="GF262" s="18"/>
      <c r="GG262" s="18"/>
      <c r="GH262" s="18"/>
      <c r="GI262" s="18"/>
      <c r="GJ262" s="18"/>
      <c r="GK262" s="18"/>
      <c r="GL262" s="18"/>
      <c r="GM262" s="18"/>
      <c r="GN262" s="18"/>
      <c r="GO262" s="18"/>
      <c r="GP262" s="18"/>
      <c r="GQ262" s="18"/>
      <c r="GR262" s="18"/>
      <c r="GS262" s="18"/>
      <c r="GT262" s="18"/>
      <c r="GU262" s="18"/>
      <c r="GV262" s="18"/>
      <c r="GW262" s="18"/>
      <c r="GX262" s="18"/>
      <c r="GY262" s="18"/>
      <c r="GZ262" s="18"/>
      <c r="HA262" s="18"/>
      <c r="HB262" s="18"/>
      <c r="HC262" s="18"/>
      <c r="HD262" s="18"/>
      <c r="HE262" s="18"/>
      <c r="HF262" s="18"/>
      <c r="HG262" s="18"/>
      <c r="HH262" s="18"/>
      <c r="HI262" s="18"/>
      <c r="HJ262" s="18"/>
      <c r="HK262" s="18"/>
      <c r="HL262" s="18"/>
      <c r="HM262" s="18"/>
      <c r="HN262" s="18"/>
      <c r="HO262" s="18"/>
      <c r="HP262" s="18"/>
      <c r="HQ262" s="18"/>
      <c r="HR262" s="18"/>
      <c r="HS262" s="18"/>
      <c r="HT262" s="18"/>
      <c r="HU262" s="18"/>
      <c r="HV262" s="18"/>
      <c r="HW262" s="18"/>
      <c r="HX262" s="18"/>
      <c r="HY262" s="18"/>
      <c r="HZ262" s="18"/>
      <c r="IA262" s="18"/>
      <c r="IB262" s="18"/>
      <c r="IC262" s="18"/>
      <c r="ID262" s="18"/>
      <c r="IE262" s="18"/>
      <c r="IF262" s="18"/>
      <c r="IG262" s="18"/>
      <c r="IH262" s="18"/>
      <c r="II262" s="18"/>
      <c r="IJ262" s="18"/>
      <c r="IK262" s="18"/>
      <c r="IL262" s="18"/>
      <c r="IM262" s="18"/>
      <c r="IN262" s="18"/>
      <c r="IO262" s="18"/>
      <c r="IP262" s="18"/>
      <c r="IQ262" s="18"/>
      <c r="IR262" s="18"/>
      <c r="IS262" s="18"/>
      <c r="IT262" s="18"/>
      <c r="IU262" s="18"/>
      <c r="IV262" s="18"/>
      <c r="IW262" s="18"/>
      <c r="IX262" s="18"/>
      <c r="IY262" s="18"/>
      <c r="IZ262" s="18"/>
      <c r="JA262" s="18"/>
      <c r="JB262" s="18"/>
      <c r="JC262" s="18"/>
      <c r="JD262" s="18"/>
      <c r="JE262" s="18"/>
      <c r="JF262" s="18"/>
      <c r="JG262" s="18"/>
      <c r="JH262" s="18"/>
      <c r="JI262" s="18"/>
      <c r="JJ262" s="18"/>
      <c r="JK262" s="18"/>
      <c r="JL262" s="18"/>
      <c r="JM262" s="18"/>
      <c r="JN262" s="18"/>
      <c r="JO262" s="18"/>
      <c r="JP262" s="18"/>
      <c r="JQ262" s="18"/>
      <c r="JR262" s="18"/>
      <c r="JS262" s="18"/>
      <c r="JT262" s="18"/>
      <c r="JU262" s="18"/>
      <c r="JV262" s="18"/>
      <c r="JW262" s="18"/>
      <c r="JX262" s="18"/>
      <c r="JY262" s="18"/>
      <c r="JZ262" s="18"/>
      <c r="KA262" s="18"/>
      <c r="KB262" s="18"/>
      <c r="KC262" s="18"/>
      <c r="KD262" s="18"/>
      <c r="KE262" s="18"/>
      <c r="KF262" s="18"/>
      <c r="KG262" s="18"/>
      <c r="KH262" s="18"/>
      <c r="KI262" s="18"/>
      <c r="KJ262" s="18"/>
      <c r="KK262" s="18"/>
      <c r="KL262" s="18"/>
      <c r="KM262" s="18"/>
      <c r="KN262" s="18"/>
      <c r="KO262" s="18"/>
      <c r="KP262" s="18"/>
      <c r="KQ262" s="18"/>
      <c r="KR262" s="18"/>
      <c r="KS262" s="18"/>
      <c r="KT262" s="18"/>
      <c r="KU262" s="18"/>
      <c r="KV262" s="18"/>
      <c r="KW262" s="18"/>
      <c r="KX262" s="18"/>
      <c r="KY262" s="18"/>
      <c r="KZ262" s="18"/>
      <c r="LA262" s="18"/>
      <c r="LB262" s="18"/>
      <c r="LC262" s="18"/>
      <c r="LD262" s="18"/>
      <c r="LE262" s="18"/>
      <c r="LF262" s="18"/>
      <c r="LG262" s="18"/>
      <c r="LH262" s="18"/>
      <c r="LI262" s="18"/>
      <c r="LJ262" s="18"/>
      <c r="LK262" s="18"/>
      <c r="LL262" s="18"/>
      <c r="LM262" s="18"/>
      <c r="LN262" s="18"/>
      <c r="LO262" s="18"/>
      <c r="LP262" s="18"/>
      <c r="LQ262" s="18"/>
      <c r="LR262" s="18"/>
      <c r="LS262" s="18"/>
      <c r="LT262" s="18"/>
      <c r="LU262" s="18"/>
      <c r="LV262" s="18"/>
      <c r="LW262" s="18"/>
      <c r="LX262" s="18"/>
      <c r="LY262" s="18"/>
      <c r="LZ262" s="18"/>
      <c r="MA262" s="18"/>
      <c r="MB262" s="18"/>
      <c r="MC262" s="18"/>
      <c r="MD262" s="18"/>
      <c r="ME262" s="18"/>
      <c r="MF262" s="18"/>
      <c r="MG262" s="18"/>
      <c r="MH262" s="18"/>
      <c r="MI262" s="18"/>
      <c r="MJ262" s="18"/>
      <c r="MK262" s="18"/>
      <c r="ML262" s="18"/>
      <c r="MM262" s="18"/>
      <c r="MN262" s="18"/>
      <c r="MO262" s="18"/>
      <c r="MP262" s="18"/>
      <c r="MQ262" s="18"/>
      <c r="MR262" s="18"/>
      <c r="MS262" s="18"/>
      <c r="MT262" s="18"/>
      <c r="MU262" s="18"/>
      <c r="MV262" s="18"/>
      <c r="MW262" s="18"/>
      <c r="MX262" s="18"/>
      <c r="MY262" s="18"/>
      <c r="MZ262" s="18"/>
      <c r="NA262" s="18"/>
      <c r="NB262" s="18"/>
      <c r="NC262" s="18"/>
      <c r="ND262" s="18"/>
      <c r="NE262" s="18"/>
      <c r="NF262" s="18"/>
      <c r="NG262" s="18"/>
      <c r="NH262" s="18"/>
      <c r="NI262" s="18"/>
      <c r="NJ262" s="18"/>
      <c r="NK262" s="18"/>
      <c r="NL262" s="18"/>
      <c r="NM262" s="18"/>
      <c r="NN262" s="18"/>
      <c r="NO262" s="18"/>
      <c r="NP262" s="18"/>
      <c r="NQ262" s="18"/>
      <c r="NR262" s="18"/>
      <c r="NS262" s="18"/>
      <c r="NT262" s="18"/>
      <c r="NU262" s="18"/>
      <c r="NV262" s="18"/>
      <c r="NW262" s="18"/>
      <c r="NX262" s="18"/>
      <c r="NY262" s="18"/>
      <c r="NZ262" s="18"/>
      <c r="OA262" s="18"/>
      <c r="OB262" s="18"/>
      <c r="OC262" s="18"/>
      <c r="OD262" s="18"/>
      <c r="OE262" s="18"/>
      <c r="OF262" s="18"/>
      <c r="OG262" s="18"/>
      <c r="OH262" s="18"/>
      <c r="OI262" s="18"/>
      <c r="OJ262" s="18"/>
      <c r="OK262" s="18"/>
      <c r="OL262" s="18"/>
      <c r="OM262" s="18"/>
      <c r="ON262" s="18"/>
      <c r="OO262" s="18"/>
      <c r="OP262" s="18"/>
      <c r="OQ262" s="18"/>
      <c r="OR262" s="18"/>
      <c r="OS262" s="18"/>
      <c r="OT262" s="18"/>
      <c r="OU262" s="18"/>
      <c r="OV262" s="18"/>
      <c r="OW262" s="18"/>
      <c r="OX262" s="18"/>
      <c r="OY262" s="18"/>
      <c r="OZ262" s="18"/>
      <c r="PA262" s="18"/>
      <c r="PB262" s="18"/>
      <c r="PC262" s="18"/>
      <c r="PD262" s="18"/>
      <c r="PE262" s="18"/>
      <c r="PF262" s="18"/>
      <c r="PG262" s="18"/>
      <c r="PH262" s="18"/>
      <c r="PI262" s="18"/>
      <c r="PJ262" s="18"/>
      <c r="PK262" s="18"/>
      <c r="PL262" s="18"/>
      <c r="PM262" s="18"/>
      <c r="PN262" s="18"/>
      <c r="PO262" s="18"/>
      <c r="PP262" s="18"/>
      <c r="PQ262" s="18"/>
      <c r="PR262" s="18"/>
      <c r="PS262" s="18"/>
      <c r="PT262" s="18"/>
      <c r="PU262" s="18"/>
      <c r="PV262" s="18"/>
      <c r="PW262" s="18"/>
      <c r="PX262" s="18"/>
      <c r="PY262" s="18"/>
      <c r="PZ262" s="18"/>
      <c r="QA262" s="18"/>
      <c r="QB262" s="18"/>
      <c r="QC262" s="18"/>
      <c r="QD262" s="18"/>
      <c r="QE262" s="18"/>
      <c r="QF262" s="18"/>
      <c r="QG262" s="18"/>
      <c r="QH262" s="18"/>
      <c r="QI262" s="18"/>
      <c r="QJ262" s="18"/>
      <c r="QK262" s="18"/>
      <c r="QL262" s="18"/>
      <c r="QM262" s="18"/>
      <c r="QN262" s="18"/>
      <c r="QO262" s="18"/>
      <c r="QP262" s="18"/>
      <c r="QQ262" s="18"/>
      <c r="QR262" s="18"/>
      <c r="QS262" s="18"/>
      <c r="QT262" s="18"/>
      <c r="QU262" s="18"/>
      <c r="QV262" s="18"/>
      <c r="QW262" s="18"/>
      <c r="QX262" s="18"/>
      <c r="QY262" s="18"/>
      <c r="QZ262" s="18"/>
      <c r="RA262" s="18"/>
      <c r="RB262" s="18"/>
      <c r="RC262" s="18"/>
      <c r="RD262" s="18"/>
      <c r="RE262" s="18"/>
      <c r="RF262" s="18"/>
      <c r="RG262" s="18"/>
      <c r="RH262" s="18"/>
      <c r="RI262" s="18"/>
      <c r="RJ262" s="18"/>
      <c r="RK262" s="18"/>
      <c r="RL262" s="18"/>
      <c r="RM262" s="18"/>
      <c r="RN262" s="18"/>
      <c r="RO262" s="18"/>
      <c r="RP262" s="18"/>
      <c r="RQ262" s="18"/>
      <c r="RR262" s="18"/>
      <c r="RS262" s="18"/>
      <c r="RT262" s="18"/>
      <c r="RU262" s="18"/>
      <c r="RV262" s="18"/>
      <c r="RW262" s="18"/>
      <c r="RX262" s="18"/>
      <c r="RY262" s="18"/>
      <c r="RZ262" s="18"/>
      <c r="SA262" s="18"/>
      <c r="SB262" s="18"/>
      <c r="SC262" s="18"/>
      <c r="SD262" s="18"/>
      <c r="SE262" s="18"/>
      <c r="SF262" s="18"/>
      <c r="SG262" s="18"/>
      <c r="SH262" s="18"/>
      <c r="SI262" s="18"/>
      <c r="SJ262" s="18"/>
      <c r="SK262" s="18"/>
      <c r="SL262" s="18"/>
      <c r="SM262" s="18"/>
      <c r="SN262" s="18"/>
      <c r="SO262" s="18"/>
      <c r="SP262" s="18"/>
      <c r="SQ262" s="18"/>
      <c r="SR262" s="18"/>
      <c r="SS262" s="18"/>
      <c r="ST262" s="18"/>
      <c r="SU262" s="18"/>
      <c r="SV262" s="18"/>
      <c r="SW262" s="18"/>
      <c r="SX262" s="18"/>
      <c r="SY262" s="18"/>
      <c r="SZ262" s="18"/>
      <c r="TA262" s="18"/>
      <c r="TB262" s="18"/>
      <c r="TC262" s="18"/>
      <c r="TD262" s="18"/>
      <c r="TE262" s="18"/>
      <c r="TF262" s="18"/>
      <c r="TG262" s="18"/>
      <c r="TH262" s="18"/>
      <c r="TI262" s="18"/>
      <c r="TJ262" s="18"/>
      <c r="TK262" s="18"/>
      <c r="TL262" s="18"/>
      <c r="TM262" s="18"/>
      <c r="TN262" s="18"/>
      <c r="TO262" s="18"/>
      <c r="TP262" s="18"/>
      <c r="TQ262" s="18"/>
      <c r="TR262" s="18"/>
      <c r="TS262" s="18"/>
      <c r="TT262" s="18"/>
      <c r="TU262" s="18"/>
      <c r="TV262" s="18"/>
      <c r="TW262" s="18"/>
      <c r="TX262" s="18"/>
      <c r="TY262" s="18"/>
      <c r="TZ262" s="18"/>
      <c r="UA262" s="18"/>
      <c r="UB262" s="18"/>
      <c r="UC262" s="18"/>
      <c r="UD262" s="18"/>
      <c r="UE262" s="18"/>
      <c r="UF262" s="18"/>
      <c r="UG262" s="18"/>
      <c r="UH262" s="18"/>
      <c r="UI262" s="18"/>
      <c r="UJ262" s="18"/>
      <c r="UK262" s="18"/>
      <c r="UL262" s="18"/>
      <c r="UM262" s="18"/>
      <c r="UN262" s="18"/>
      <c r="UO262" s="18"/>
      <c r="UP262" s="18"/>
      <c r="UQ262" s="18"/>
      <c r="UR262" s="18"/>
      <c r="US262" s="18"/>
      <c r="UT262" s="18"/>
      <c r="UU262" s="18"/>
      <c r="UV262" s="18"/>
      <c r="UW262" s="18"/>
      <c r="UX262" s="18"/>
      <c r="UY262" s="18"/>
      <c r="UZ262" s="18"/>
      <c r="VA262" s="18"/>
      <c r="VB262" s="18"/>
      <c r="VC262" s="18"/>
      <c r="VD262" s="18"/>
      <c r="VE262" s="18"/>
      <c r="VF262" s="18"/>
      <c r="VG262" s="18"/>
      <c r="VH262" s="18"/>
      <c r="VI262" s="18"/>
      <c r="VJ262" s="18"/>
      <c r="VK262" s="18"/>
      <c r="VL262" s="18"/>
      <c r="VM262" s="18"/>
      <c r="VN262" s="18"/>
      <c r="VO262" s="18"/>
      <c r="VP262" s="18"/>
      <c r="VQ262" s="18"/>
      <c r="VR262" s="18"/>
      <c r="VS262" s="18"/>
      <c r="VT262" s="18"/>
      <c r="VU262" s="18"/>
      <c r="VV262" s="18"/>
      <c r="VW262" s="18"/>
      <c r="VX262" s="18"/>
      <c r="VY262" s="18"/>
      <c r="VZ262" s="18"/>
      <c r="WA262" s="18"/>
      <c r="WB262" s="18"/>
      <c r="WC262" s="18"/>
      <c r="WD262" s="18"/>
      <c r="WE262" s="18"/>
      <c r="WF262" s="18"/>
      <c r="WG262" s="18"/>
      <c r="WH262" s="18"/>
      <c r="WI262" s="18"/>
      <c r="WJ262" s="18"/>
      <c r="WK262" s="18"/>
      <c r="WL262" s="18"/>
      <c r="WM262" s="18"/>
      <c r="WN262" s="18"/>
      <c r="WO262" s="18"/>
      <c r="WP262" s="18"/>
      <c r="WQ262" s="18"/>
      <c r="WR262" s="18"/>
      <c r="WS262" s="18"/>
      <c r="WT262" s="18"/>
      <c r="WU262" s="18"/>
      <c r="WV262" s="18"/>
      <c r="WW262" s="18"/>
      <c r="WX262" s="18"/>
      <c r="WY262" s="18"/>
      <c r="WZ262" s="18"/>
      <c r="XA262" s="18"/>
      <c r="XB262" s="18"/>
      <c r="XC262" s="18"/>
      <c r="XD262" s="18"/>
      <c r="XE262" s="18"/>
      <c r="XF262" s="18"/>
      <c r="XG262" s="18"/>
      <c r="XH262" s="18"/>
      <c r="XI262" s="18"/>
      <c r="XJ262" s="18"/>
      <c r="XK262" s="18"/>
      <c r="XL262" s="18"/>
      <c r="XM262" s="18"/>
      <c r="XN262" s="18"/>
      <c r="XO262" s="18"/>
      <c r="XP262" s="18"/>
      <c r="XQ262" s="18"/>
      <c r="XR262" s="18"/>
      <c r="XS262" s="18"/>
      <c r="XT262" s="18"/>
      <c r="XU262" s="18"/>
      <c r="XV262" s="18"/>
      <c r="XW262" s="18"/>
      <c r="XX262" s="18"/>
      <c r="XY262" s="18"/>
      <c r="XZ262" s="18"/>
      <c r="YA262" s="18"/>
      <c r="YB262" s="18"/>
      <c r="YC262" s="18"/>
      <c r="YD262" s="18"/>
      <c r="YE262" s="18"/>
      <c r="YF262" s="18"/>
      <c r="YG262" s="18"/>
      <c r="YH262" s="18"/>
      <c r="YI262" s="18"/>
      <c r="YJ262" s="18"/>
      <c r="YK262" s="18"/>
      <c r="YL262" s="18"/>
      <c r="YM262" s="18"/>
      <c r="YN262" s="18"/>
      <c r="YO262" s="18"/>
      <c r="YP262" s="18"/>
      <c r="YQ262" s="18"/>
      <c r="YR262" s="18"/>
      <c r="YS262" s="18"/>
      <c r="YT262" s="18"/>
      <c r="YU262" s="18"/>
      <c r="YV262" s="18"/>
      <c r="YW262" s="18"/>
      <c r="YX262" s="18"/>
      <c r="YY262" s="18"/>
      <c r="YZ262" s="18"/>
      <c r="ZA262" s="18"/>
      <c r="ZB262" s="18"/>
      <c r="ZC262" s="18"/>
      <c r="ZD262" s="18"/>
      <c r="ZE262" s="18"/>
      <c r="ZF262" s="18"/>
      <c r="ZG262" s="18"/>
      <c r="ZH262" s="18"/>
      <c r="ZI262" s="18"/>
      <c r="ZJ262" s="18"/>
      <c r="ZK262" s="18"/>
      <c r="ZL262" s="18"/>
      <c r="ZM262" s="18"/>
      <c r="ZN262" s="18"/>
      <c r="ZO262" s="18"/>
      <c r="ZP262" s="18"/>
      <c r="ZQ262" s="18"/>
      <c r="ZR262" s="18"/>
      <c r="ZS262" s="18"/>
      <c r="ZT262" s="18"/>
      <c r="ZU262" s="18"/>
      <c r="ZV262" s="18"/>
      <c r="ZW262" s="18"/>
      <c r="ZX262" s="18"/>
      <c r="ZY262" s="18"/>
      <c r="ZZ262" s="18"/>
      <c r="AAA262" s="18"/>
      <c r="AAB262" s="18"/>
      <c r="AAC262" s="18"/>
      <c r="AAD262" s="18"/>
      <c r="AAE262" s="18"/>
      <c r="AAF262" s="18"/>
      <c r="AAG262" s="18"/>
      <c r="AAH262" s="18"/>
      <c r="AAI262" s="18"/>
      <c r="AAJ262" s="18"/>
      <c r="AAK262" s="18"/>
      <c r="AAL262" s="18"/>
      <c r="AAM262" s="18"/>
      <c r="AAN262" s="18"/>
      <c r="AAO262" s="18"/>
      <c r="AAP262" s="18"/>
      <c r="AAQ262" s="18"/>
      <c r="AAR262" s="18"/>
      <c r="AAS262" s="18"/>
      <c r="AAT262" s="18"/>
      <c r="AAU262" s="18"/>
      <c r="AAV262" s="18"/>
      <c r="AAW262" s="18"/>
      <c r="AAX262" s="18"/>
      <c r="AAY262" s="18"/>
      <c r="AAZ262" s="18"/>
      <c r="ABA262" s="18"/>
      <c r="ABB262" s="18"/>
      <c r="ABC262" s="18"/>
      <c r="ABD262" s="18"/>
      <c r="ABE262" s="18"/>
      <c r="ABF262" s="18"/>
      <c r="ABG262" s="18"/>
      <c r="ABH262" s="18"/>
      <c r="ABI262" s="18"/>
      <c r="ABJ262" s="18"/>
      <c r="ABK262" s="18"/>
      <c r="ABL262" s="18"/>
      <c r="ABM262" s="18"/>
      <c r="ABN262" s="18"/>
      <c r="ABO262" s="18"/>
      <c r="ABP262" s="18"/>
      <c r="ABQ262" s="18"/>
      <c r="ABR262" s="18"/>
      <c r="ABS262" s="18"/>
      <c r="ABT262" s="18"/>
      <c r="ABU262" s="18"/>
      <c r="ABV262" s="18"/>
      <c r="ABW262" s="18"/>
      <c r="ABX262" s="18"/>
      <c r="ABY262" s="18"/>
      <c r="ABZ262" s="18"/>
      <c r="ACA262" s="18"/>
      <c r="ACB262" s="18"/>
      <c r="ACC262" s="18"/>
      <c r="ACD262" s="18"/>
      <c r="ACE262" s="18"/>
      <c r="ACF262" s="18"/>
      <c r="ACG262" s="18"/>
      <c r="ACH262" s="18"/>
      <c r="ACI262" s="18"/>
      <c r="ACJ262" s="18"/>
      <c r="ACK262" s="18"/>
      <c r="ACL262" s="18"/>
      <c r="ACM262" s="18"/>
      <c r="ACN262" s="18"/>
      <c r="ACO262" s="18"/>
      <c r="ACP262" s="18"/>
      <c r="ACQ262" s="18"/>
      <c r="ACR262" s="18"/>
      <c r="ACS262" s="18"/>
      <c r="ACT262" s="18"/>
      <c r="ACU262" s="18"/>
      <c r="ACV262" s="18"/>
      <c r="ACW262" s="18"/>
      <c r="ACX262" s="18"/>
      <c r="ACY262" s="18"/>
      <c r="ACZ262" s="18"/>
      <c r="ADA262" s="18"/>
      <c r="ADB262" s="18"/>
      <c r="ADC262" s="18"/>
      <c r="ADD262" s="18"/>
      <c r="ADE262" s="18"/>
      <c r="ADF262" s="18"/>
      <c r="ADG262" s="18"/>
      <c r="ADH262" s="18"/>
      <c r="ADI262" s="18"/>
      <c r="ADJ262" s="18"/>
      <c r="ADK262" s="18"/>
      <c r="ADL262" s="18"/>
      <c r="ADM262" s="18"/>
      <c r="ADN262" s="18"/>
      <c r="ADO262" s="18"/>
      <c r="ADP262" s="18"/>
      <c r="ADQ262" s="18"/>
      <c r="ADR262" s="18"/>
      <c r="ADS262" s="18"/>
      <c r="ADT262" s="18"/>
      <c r="ADU262" s="18"/>
      <c r="ADV262" s="18"/>
      <c r="ADW262" s="18"/>
      <c r="ADX262" s="18"/>
      <c r="ADY262" s="18"/>
      <c r="ADZ262" s="18"/>
      <c r="AEA262" s="18"/>
      <c r="AEB262" s="18"/>
      <c r="AEC262" s="18"/>
      <c r="AED262" s="18"/>
      <c r="AEE262" s="18"/>
      <c r="AEF262" s="18"/>
      <c r="AEG262" s="18"/>
      <c r="AEH262" s="18"/>
      <c r="AEI262" s="18"/>
      <c r="AEJ262" s="18"/>
      <c r="AEK262" s="18"/>
      <c r="AEL262" s="18"/>
      <c r="AEM262" s="18"/>
      <c r="AEN262" s="18"/>
      <c r="AEO262" s="18"/>
      <c r="AEP262" s="18"/>
      <c r="AEQ262" s="18"/>
      <c r="AER262" s="18"/>
      <c r="AES262" s="18"/>
      <c r="AET262" s="18"/>
      <c r="AEU262" s="18"/>
      <c r="AEV262" s="18"/>
      <c r="AEW262" s="18"/>
      <c r="AEX262" s="18"/>
      <c r="AEY262" s="18"/>
      <c r="AEZ262" s="18"/>
      <c r="AFA262" s="18"/>
      <c r="AFB262" s="18"/>
      <c r="AFC262" s="18"/>
      <c r="AFD262" s="18"/>
      <c r="AFE262" s="18"/>
      <c r="AFF262" s="18"/>
      <c r="AFG262" s="18"/>
      <c r="AFH262" s="18"/>
      <c r="AFI262" s="18"/>
      <c r="AFJ262" s="18"/>
      <c r="AFK262" s="18"/>
      <c r="AFL262" s="18"/>
      <c r="AFM262" s="18"/>
      <c r="AFN262" s="18"/>
      <c r="AFO262" s="18"/>
      <c r="AFP262" s="18"/>
      <c r="AFQ262" s="18"/>
      <c r="AFR262" s="18"/>
      <c r="AFS262" s="18"/>
      <c r="AFT262" s="18"/>
      <c r="AFU262" s="18"/>
      <c r="AFV262" s="18"/>
      <c r="AFW262" s="18"/>
      <c r="AFX262" s="18"/>
      <c r="AFY262" s="18"/>
      <c r="AFZ262" s="18"/>
      <c r="AGA262" s="18"/>
      <c r="AGB262" s="18"/>
      <c r="AGC262" s="18"/>
      <c r="AGD262" s="18"/>
      <c r="AGE262" s="18"/>
      <c r="AGF262" s="18"/>
      <c r="AGG262" s="18"/>
      <c r="AGH262" s="18"/>
      <c r="AGI262" s="18"/>
      <c r="AGJ262" s="18"/>
      <c r="AGK262" s="18"/>
      <c r="AGL262" s="18"/>
      <c r="AGM262" s="18"/>
      <c r="AGN262" s="18"/>
      <c r="AGO262" s="18"/>
      <c r="AGP262" s="18"/>
      <c r="AGQ262" s="18"/>
      <c r="AGR262" s="18"/>
      <c r="AGS262" s="18"/>
      <c r="AGT262" s="18"/>
      <c r="AGU262" s="18"/>
      <c r="AGV262" s="18"/>
      <c r="AGW262" s="18"/>
      <c r="AGX262" s="18"/>
      <c r="AGY262" s="18"/>
      <c r="AGZ262" s="18"/>
      <c r="AHA262" s="18"/>
      <c r="AHB262" s="18"/>
      <c r="AHC262" s="18"/>
      <c r="AHD262" s="18"/>
      <c r="AHE262" s="18"/>
      <c r="AHF262" s="18"/>
      <c r="AHG262" s="18"/>
      <c r="AHH262" s="18"/>
      <c r="AHI262" s="18"/>
      <c r="AHJ262" s="18"/>
      <c r="AHK262" s="18"/>
      <c r="AHL262" s="18"/>
      <c r="AHM262" s="18"/>
      <c r="AHN262" s="18"/>
      <c r="AHO262" s="18"/>
      <c r="AHP262" s="18"/>
      <c r="AHQ262" s="18"/>
      <c r="AHR262" s="18"/>
      <c r="AHS262" s="18"/>
      <c r="AHT262" s="18"/>
      <c r="AHU262" s="18"/>
      <c r="AHV262" s="18"/>
      <c r="AHW262" s="18"/>
      <c r="AHX262" s="18"/>
      <c r="AHY262" s="18"/>
      <c r="AHZ262" s="18"/>
      <c r="AIA262" s="18"/>
      <c r="AIB262" s="18"/>
      <c r="AIC262" s="18"/>
      <c r="AID262" s="18"/>
      <c r="AIE262" s="18"/>
      <c r="AIF262" s="18"/>
      <c r="AIG262" s="18"/>
      <c r="AIH262" s="18"/>
      <c r="AII262" s="18"/>
      <c r="AIJ262" s="18"/>
      <c r="AIK262" s="18"/>
      <c r="AIL262" s="18"/>
      <c r="AIM262" s="18"/>
      <c r="AIN262" s="18"/>
      <c r="AIO262" s="18"/>
      <c r="AIP262" s="18"/>
      <c r="AIQ262" s="18"/>
      <c r="AIR262" s="18"/>
      <c r="AIS262" s="18"/>
      <c r="AIT262" s="18"/>
      <c r="AIU262" s="18"/>
      <c r="AIV262" s="18"/>
      <c r="AIW262" s="18"/>
      <c r="AIX262" s="18"/>
      <c r="AIY262" s="18"/>
      <c r="AIZ262" s="18"/>
      <c r="AJA262" s="18"/>
      <c r="AJB262" s="18"/>
      <c r="AJC262" s="18"/>
      <c r="AJD262" s="18"/>
      <c r="AJE262" s="18"/>
      <c r="AJF262" s="18"/>
      <c r="AJG262" s="18"/>
      <c r="AJH262" s="18"/>
      <c r="AJI262" s="18"/>
      <c r="AJJ262" s="18"/>
      <c r="AJK262" s="18"/>
      <c r="AJL262" s="18"/>
      <c r="AJM262" s="18"/>
      <c r="AJN262" s="18"/>
      <c r="AJO262" s="18"/>
      <c r="AJP262" s="18"/>
      <c r="AJQ262" s="18"/>
      <c r="AJR262" s="18"/>
      <c r="AJS262" s="18"/>
      <c r="AJT262" s="18"/>
      <c r="AJU262" s="18"/>
      <c r="AJV262" s="18"/>
      <c r="AJW262" s="18"/>
      <c r="AJX262" s="18"/>
      <c r="AJY262" s="18"/>
      <c r="AJZ262" s="18"/>
      <c r="AKA262" s="18"/>
      <c r="AKB262" s="18"/>
      <c r="AKC262" s="18"/>
      <c r="AKD262" s="18"/>
      <c r="AKE262" s="18"/>
      <c r="AKF262" s="18"/>
      <c r="AKG262" s="18"/>
      <c r="AKH262" s="18"/>
      <c r="AKI262" s="18"/>
      <c r="AKJ262" s="18"/>
      <c r="AKK262" s="18"/>
      <c r="AKL262" s="18"/>
      <c r="AKM262" s="18"/>
      <c r="AKN262" s="18"/>
      <c r="AKO262" s="18"/>
      <c r="AKP262" s="18"/>
      <c r="AKQ262" s="18"/>
      <c r="AKR262" s="18"/>
      <c r="AKS262" s="18"/>
      <c r="AKT262" s="18"/>
      <c r="AKU262" s="18"/>
      <c r="AKV262" s="18"/>
      <c r="AKW262" s="18"/>
      <c r="AKX262" s="18"/>
      <c r="AKY262" s="18"/>
      <c r="AKZ262" s="18"/>
      <c r="ALA262" s="18"/>
      <c r="ALB262" s="18"/>
      <c r="ALC262" s="18"/>
      <c r="ALD262" s="18"/>
      <c r="ALE262" s="18"/>
      <c r="ALF262" s="18"/>
      <c r="ALG262" s="18"/>
      <c r="ALH262" s="18"/>
      <c r="ALI262" s="18"/>
      <c r="ALJ262" s="18"/>
      <c r="ALK262" s="18"/>
      <c r="ALL262" s="18"/>
      <c r="ALM262" s="18"/>
      <c r="ALN262" s="18"/>
      <c r="ALO262" s="18"/>
      <c r="ALP262" s="18"/>
      <c r="ALQ262" s="18"/>
      <c r="ALR262" s="18"/>
      <c r="ALS262" s="18"/>
      <c r="ALT262" s="18"/>
      <c r="ALU262" s="18"/>
      <c r="ALV262" s="18"/>
      <c r="ALW262" s="18"/>
      <c r="ALX262" s="18"/>
      <c r="ALY262" s="18"/>
      <c r="ALZ262" s="18"/>
      <c r="AMA262" s="18"/>
      <c r="AMB262" s="18"/>
      <c r="AMC262" s="18"/>
      <c r="AMD262" s="18"/>
      <c r="AME262" s="18"/>
      <c r="AMF262" s="18"/>
      <c r="AMG262" s="18"/>
      <c r="AMH262" s="18"/>
      <c r="AMI262" s="18"/>
      <c r="AMJ262" s="18"/>
      <c r="AMK262" s="18"/>
      <c r="AML262" s="18"/>
      <c r="AMM262" s="18"/>
      <c r="AMN262" s="18"/>
      <c r="AMO262" s="18"/>
      <c r="AMP262" s="18"/>
      <c r="AMQ262" s="18"/>
      <c r="AMR262" s="18"/>
      <c r="AMS262" s="18"/>
      <c r="AMT262" s="18"/>
      <c r="AMU262" s="18"/>
      <c r="AMV262" s="18"/>
      <c r="AMW262" s="18"/>
      <c r="AMX262" s="18"/>
      <c r="AMY262" s="18"/>
      <c r="AMZ262" s="18"/>
      <c r="ANA262" s="18"/>
      <c r="ANB262" s="18"/>
      <c r="ANC262" s="18"/>
      <c r="AND262" s="18"/>
      <c r="ANE262" s="18"/>
      <c r="ANF262" s="18"/>
      <c r="ANG262" s="18"/>
      <c r="ANH262" s="18"/>
      <c r="ANI262" s="18"/>
      <c r="ANJ262" s="18"/>
      <c r="ANK262" s="18"/>
      <c r="ANL262" s="18"/>
      <c r="ANM262" s="18"/>
      <c r="ANN262" s="18"/>
      <c r="ANO262" s="18"/>
      <c r="ANP262" s="18"/>
      <c r="ANQ262" s="18"/>
      <c r="ANR262" s="18"/>
      <c r="ANS262" s="18"/>
      <c r="ANT262" s="18"/>
      <c r="ANU262" s="18"/>
      <c r="ANV262" s="18"/>
      <c r="ANW262" s="18"/>
      <c r="ANX262" s="18"/>
      <c r="ANY262" s="18"/>
      <c r="ANZ262" s="18"/>
      <c r="AOA262" s="18"/>
      <c r="AOB262" s="18"/>
      <c r="AOC262" s="18"/>
      <c r="AOD262" s="18"/>
      <c r="AOE262" s="18"/>
      <c r="AOF262" s="18"/>
      <c r="AOG262" s="18"/>
      <c r="AOH262" s="18"/>
      <c r="AOI262" s="18"/>
      <c r="AOJ262" s="18"/>
      <c r="AOK262" s="18"/>
      <c r="AOL262" s="18"/>
      <c r="AOM262" s="18"/>
      <c r="AON262" s="18"/>
      <c r="AOO262" s="18"/>
      <c r="AOP262" s="18"/>
      <c r="AOQ262" s="18"/>
      <c r="AOR262" s="18"/>
      <c r="AOS262" s="18"/>
      <c r="AOT262" s="18"/>
      <c r="AOU262" s="18"/>
      <c r="AOV262" s="18"/>
      <c r="AOW262" s="18"/>
      <c r="AOX262" s="18"/>
      <c r="AOY262" s="18"/>
      <c r="AOZ262" s="18"/>
      <c r="APA262" s="18"/>
      <c r="APB262" s="18"/>
      <c r="APC262" s="18"/>
      <c r="APD262" s="18"/>
      <c r="APE262" s="18"/>
      <c r="APF262" s="18"/>
      <c r="APG262" s="18"/>
      <c r="APH262" s="18"/>
      <c r="API262" s="18"/>
      <c r="APJ262" s="18"/>
      <c r="APK262" s="18"/>
      <c r="APL262" s="18"/>
      <c r="APM262" s="18"/>
      <c r="APN262" s="18"/>
      <c r="APO262" s="18"/>
      <c r="APP262" s="18"/>
      <c r="APQ262" s="18"/>
      <c r="APR262" s="18"/>
      <c r="APS262" s="18"/>
      <c r="APT262" s="18"/>
      <c r="APU262" s="18"/>
      <c r="APV262" s="18"/>
      <c r="APW262" s="18"/>
      <c r="APX262" s="18"/>
      <c r="APY262" s="18"/>
      <c r="APZ262" s="18"/>
      <c r="AQA262" s="18"/>
      <c r="AQB262" s="18"/>
      <c r="AQC262" s="18"/>
      <c r="AQD262" s="18"/>
      <c r="AQE262" s="18"/>
      <c r="AQF262" s="18"/>
      <c r="AQG262" s="18"/>
      <c r="AQH262" s="18"/>
      <c r="AQI262" s="18"/>
      <c r="AQJ262" s="18"/>
      <c r="AQK262" s="18"/>
      <c r="AQL262" s="18"/>
      <c r="AQM262" s="18"/>
      <c r="AQN262" s="18"/>
      <c r="AQO262" s="18"/>
      <c r="AQP262" s="18"/>
      <c r="AQQ262" s="18"/>
      <c r="AQR262" s="18"/>
      <c r="AQS262" s="18"/>
      <c r="AQT262" s="18"/>
      <c r="AQU262" s="18"/>
      <c r="AQV262" s="18"/>
      <c r="AQW262" s="18"/>
      <c r="AQX262" s="18"/>
      <c r="AQY262" s="18"/>
      <c r="AQZ262" s="18"/>
      <c r="ARA262" s="18"/>
      <c r="ARB262" s="18"/>
      <c r="ARC262" s="18"/>
      <c r="ARD262" s="18"/>
      <c r="ARE262" s="18"/>
      <c r="ARF262" s="18"/>
      <c r="ARG262" s="18"/>
      <c r="ARH262" s="18"/>
      <c r="ARI262" s="18"/>
      <c r="ARJ262" s="18"/>
      <c r="ARK262" s="18"/>
      <c r="ARL262" s="18"/>
      <c r="ARM262" s="18"/>
      <c r="ARN262" s="18"/>
      <c r="ARO262" s="18"/>
      <c r="ARP262" s="18"/>
      <c r="ARQ262" s="18"/>
      <c r="ARR262" s="18"/>
      <c r="ARS262" s="18"/>
      <c r="ART262" s="18"/>
      <c r="ARU262" s="18"/>
      <c r="ARV262" s="18"/>
      <c r="ARW262" s="18"/>
      <c r="ARX262" s="18"/>
      <c r="ARY262" s="18"/>
      <c r="ARZ262" s="18"/>
      <c r="ASA262" s="18"/>
      <c r="ASB262" s="18"/>
      <c r="ASC262" s="18"/>
      <c r="ASD262" s="18"/>
      <c r="ASE262" s="18"/>
      <c r="ASF262" s="18"/>
      <c r="ASG262" s="18"/>
      <c r="ASH262" s="18"/>
      <c r="ASI262" s="18"/>
      <c r="ASJ262" s="18"/>
      <c r="ASK262" s="18"/>
      <c r="ASL262" s="18"/>
      <c r="ASM262" s="18"/>
      <c r="ASN262" s="18"/>
      <c r="ASO262" s="18"/>
      <c r="ASP262" s="18"/>
      <c r="ASQ262" s="18"/>
      <c r="ASR262" s="18"/>
      <c r="ASS262" s="18"/>
      <c r="AST262" s="18"/>
      <c r="ASU262" s="18"/>
      <c r="ASV262" s="18"/>
      <c r="ASW262" s="18"/>
      <c r="ASX262" s="18"/>
      <c r="ASY262" s="18"/>
      <c r="ASZ262" s="18"/>
      <c r="ATA262" s="18"/>
      <c r="ATB262" s="18"/>
      <c r="ATC262" s="18"/>
      <c r="ATD262" s="18"/>
      <c r="ATE262" s="18"/>
      <c r="ATF262" s="18"/>
      <c r="ATG262" s="18"/>
      <c r="ATH262" s="18"/>
      <c r="ATI262" s="18"/>
      <c r="ATJ262" s="18"/>
      <c r="ATK262" s="18"/>
      <c r="ATL262" s="18"/>
      <c r="ATM262" s="18"/>
      <c r="ATN262" s="18"/>
      <c r="ATO262" s="18"/>
      <c r="ATP262" s="18"/>
      <c r="ATQ262" s="18"/>
      <c r="ATR262" s="18"/>
      <c r="ATS262" s="18"/>
      <c r="ATT262" s="18"/>
      <c r="ATU262" s="18"/>
      <c r="ATV262" s="18"/>
      <c r="ATW262" s="18"/>
      <c r="ATX262" s="18"/>
      <c r="ATY262" s="18"/>
      <c r="ATZ262" s="18"/>
      <c r="AUA262" s="18"/>
      <c r="AUB262" s="18"/>
      <c r="AUC262" s="18"/>
      <c r="AUD262" s="18"/>
      <c r="AUE262" s="18"/>
      <c r="AUF262" s="18"/>
      <c r="AUG262" s="18"/>
      <c r="AUH262" s="18"/>
      <c r="AUI262" s="18"/>
      <c r="AUJ262" s="18"/>
      <c r="AUK262" s="18"/>
      <c r="AUL262" s="18"/>
      <c r="AUM262" s="18"/>
      <c r="AUN262" s="18"/>
      <c r="AUO262" s="18"/>
      <c r="AUP262" s="18"/>
      <c r="AUQ262" s="18"/>
      <c r="AUR262" s="18"/>
      <c r="AUS262" s="18"/>
      <c r="AUT262" s="18"/>
      <c r="AUU262" s="18"/>
      <c r="AUV262" s="18"/>
      <c r="AUW262" s="18"/>
      <c r="AUX262" s="18"/>
      <c r="AUY262" s="18"/>
      <c r="AUZ262" s="18"/>
      <c r="AVA262" s="18"/>
      <c r="AVB262" s="18"/>
      <c r="AVC262" s="18"/>
      <c r="AVD262" s="18"/>
      <c r="AVE262" s="18"/>
      <c r="AVF262" s="18"/>
      <c r="AVG262" s="18"/>
      <c r="AVH262" s="18"/>
      <c r="AVI262" s="18"/>
      <c r="AVJ262" s="18"/>
      <c r="AVK262" s="18"/>
      <c r="AVL262" s="18"/>
      <c r="AVM262" s="18"/>
      <c r="AVN262" s="18"/>
      <c r="AVO262" s="18"/>
      <c r="AVP262" s="18"/>
      <c r="AVQ262" s="18"/>
      <c r="AVR262" s="18"/>
      <c r="AVS262" s="18"/>
      <c r="AVT262" s="18"/>
      <c r="AVU262" s="18"/>
      <c r="AVV262" s="18"/>
      <c r="AVW262" s="18"/>
      <c r="AVX262" s="18"/>
      <c r="AVY262" s="18"/>
      <c r="AVZ262" s="18"/>
      <c r="AWA262" s="18"/>
      <c r="AWB262" s="18"/>
      <c r="AWC262" s="18"/>
      <c r="AWD262" s="18"/>
      <c r="AWE262" s="18"/>
      <c r="AWF262" s="18"/>
      <c r="AWG262" s="18"/>
      <c r="AWH262" s="18"/>
      <c r="AWI262" s="18"/>
      <c r="AWJ262" s="18"/>
      <c r="AWK262" s="18"/>
      <c r="AWL262" s="18"/>
      <c r="AWM262" s="18"/>
      <c r="AWN262" s="18"/>
      <c r="AWO262" s="18"/>
      <c r="AWP262" s="18"/>
      <c r="AWQ262" s="18"/>
      <c r="AWR262" s="18"/>
      <c r="AWS262" s="18"/>
      <c r="AWT262" s="18"/>
      <c r="AWU262" s="18"/>
      <c r="AWV262" s="18"/>
      <c r="AWW262" s="18"/>
      <c r="AWX262" s="18"/>
      <c r="AWY262" s="18"/>
      <c r="AWZ262" s="18"/>
      <c r="AXA262" s="18"/>
      <c r="AXB262" s="18"/>
      <c r="AXC262" s="18"/>
      <c r="AXD262" s="18"/>
      <c r="AXE262" s="18"/>
      <c r="AXF262" s="18"/>
      <c r="AXG262" s="18"/>
      <c r="AXH262" s="18"/>
      <c r="AXI262" s="18"/>
      <c r="AXJ262" s="18"/>
      <c r="AXK262" s="18"/>
      <c r="AXL262" s="18"/>
      <c r="AXM262" s="18"/>
      <c r="AXN262" s="18"/>
      <c r="AXO262" s="18"/>
      <c r="AXP262" s="18"/>
      <c r="AXQ262" s="18"/>
      <c r="AXR262" s="18"/>
      <c r="AXS262" s="18"/>
      <c r="AXT262" s="18"/>
      <c r="AXU262" s="18"/>
      <c r="AXV262" s="18"/>
      <c r="AXW262" s="18"/>
      <c r="AXX262" s="18"/>
      <c r="AXY262" s="18"/>
      <c r="AXZ262" s="18"/>
      <c r="AYA262" s="18"/>
      <c r="AYB262" s="18"/>
      <c r="AYC262" s="18"/>
      <c r="AYD262" s="18"/>
      <c r="AYE262" s="18"/>
      <c r="AYF262" s="18"/>
      <c r="AYG262" s="18"/>
      <c r="AYH262" s="18"/>
      <c r="AYI262" s="18"/>
      <c r="AYJ262" s="18"/>
      <c r="AYK262" s="18"/>
      <c r="AYL262" s="18"/>
      <c r="AYM262" s="18"/>
      <c r="AYN262" s="18"/>
      <c r="AYO262" s="18"/>
      <c r="AYP262" s="18"/>
      <c r="AYQ262" s="18"/>
      <c r="AYR262" s="18"/>
      <c r="AYS262" s="18"/>
      <c r="AYT262" s="18"/>
      <c r="AYU262" s="18"/>
      <c r="AYV262" s="18"/>
      <c r="AYW262" s="18"/>
      <c r="AYX262" s="18"/>
      <c r="AYY262" s="18"/>
      <c r="AYZ262" s="18"/>
      <c r="AZA262" s="18"/>
      <c r="AZB262" s="18"/>
      <c r="AZC262" s="18"/>
      <c r="AZD262" s="18"/>
      <c r="AZE262" s="18"/>
      <c r="AZF262" s="18"/>
      <c r="AZG262" s="18"/>
      <c r="AZH262" s="18"/>
      <c r="AZI262" s="18"/>
      <c r="AZJ262" s="18"/>
      <c r="AZK262" s="18"/>
      <c r="AZL262" s="18"/>
      <c r="AZM262" s="18"/>
      <c r="AZN262" s="18"/>
      <c r="AZO262" s="18"/>
      <c r="AZP262" s="18"/>
      <c r="AZQ262" s="18"/>
      <c r="AZR262" s="18"/>
      <c r="AZS262" s="18"/>
      <c r="AZT262" s="18"/>
      <c r="AZU262" s="18"/>
      <c r="AZV262" s="18"/>
      <c r="AZW262" s="18"/>
      <c r="AZX262" s="18"/>
      <c r="AZY262" s="18"/>
      <c r="AZZ262" s="18"/>
      <c r="BAA262" s="18"/>
      <c r="BAB262" s="18"/>
      <c r="BAC262" s="18"/>
      <c r="BAD262" s="18"/>
      <c r="BAE262" s="18"/>
      <c r="BAF262" s="18"/>
      <c r="BAG262" s="18"/>
      <c r="BAH262" s="18"/>
      <c r="BAI262" s="18"/>
      <c r="BAJ262" s="18"/>
      <c r="BAK262" s="18"/>
      <c r="BAL262" s="18"/>
      <c r="BAM262" s="18"/>
      <c r="BAN262" s="18"/>
      <c r="BAO262" s="18"/>
      <c r="BAP262" s="18"/>
      <c r="BAQ262" s="18"/>
      <c r="BAR262" s="18"/>
      <c r="BAS262" s="18"/>
      <c r="BAT262" s="18"/>
      <c r="BAU262" s="18"/>
      <c r="BAV262" s="18"/>
      <c r="BAW262" s="18"/>
      <c r="BAX262" s="18"/>
      <c r="BAY262" s="18"/>
      <c r="BAZ262" s="18"/>
      <c r="BBA262" s="18"/>
      <c r="BBB262" s="18"/>
      <c r="BBC262" s="18"/>
      <c r="BBD262" s="18"/>
      <c r="BBE262" s="18"/>
      <c r="BBF262" s="18"/>
      <c r="BBG262" s="18"/>
      <c r="BBH262" s="18"/>
      <c r="BBI262" s="18"/>
      <c r="BBJ262" s="18"/>
      <c r="BBK262" s="18"/>
      <c r="BBL262" s="18"/>
      <c r="BBM262" s="18"/>
      <c r="BBN262" s="18"/>
      <c r="BBO262" s="18"/>
      <c r="BBP262" s="18"/>
      <c r="BBQ262" s="18"/>
      <c r="BBR262" s="18"/>
      <c r="BBS262" s="18"/>
      <c r="BBT262" s="18"/>
      <c r="BBU262" s="18"/>
      <c r="BBV262" s="18"/>
      <c r="BBW262" s="18"/>
      <c r="BBX262" s="18"/>
      <c r="BBY262" s="18"/>
      <c r="BBZ262" s="18"/>
      <c r="BCA262" s="18"/>
      <c r="BCB262" s="18"/>
      <c r="BCC262" s="18"/>
      <c r="BCD262" s="18"/>
      <c r="BCE262" s="18"/>
      <c r="BCF262" s="18"/>
      <c r="BCG262" s="18"/>
      <c r="BCH262" s="18"/>
      <c r="BCI262" s="18"/>
      <c r="BCJ262" s="18"/>
      <c r="BCK262" s="18"/>
      <c r="BCL262" s="18"/>
      <c r="BCM262" s="18"/>
      <c r="BCN262" s="18"/>
      <c r="BCO262" s="18"/>
      <c r="BCP262" s="18"/>
      <c r="BCQ262" s="18"/>
      <c r="BCR262" s="18"/>
      <c r="BCS262" s="18"/>
      <c r="BCT262" s="18"/>
      <c r="BCU262" s="18"/>
      <c r="BCV262" s="18"/>
      <c r="BCW262" s="18"/>
      <c r="BCX262" s="18"/>
      <c r="BCY262" s="18"/>
      <c r="BCZ262" s="18"/>
      <c r="BDA262" s="18"/>
      <c r="BDB262" s="18"/>
      <c r="BDC262" s="18"/>
      <c r="BDD262" s="18"/>
      <c r="BDE262" s="18"/>
      <c r="BDF262" s="18"/>
      <c r="BDG262" s="18"/>
      <c r="BDH262" s="18"/>
      <c r="BDI262" s="18"/>
      <c r="BDJ262" s="18"/>
      <c r="BDK262" s="18"/>
      <c r="BDL262" s="18"/>
      <c r="BDM262" s="18"/>
      <c r="BDN262" s="18"/>
      <c r="BDO262" s="18"/>
      <c r="BDP262" s="18"/>
      <c r="BDQ262" s="18"/>
      <c r="BDR262" s="18"/>
      <c r="BDS262" s="18"/>
      <c r="BDT262" s="18"/>
      <c r="BDU262" s="18"/>
      <c r="BDV262" s="18"/>
      <c r="BDW262" s="18"/>
      <c r="BDX262" s="18"/>
      <c r="BDY262" s="18"/>
      <c r="BDZ262" s="18"/>
      <c r="BEA262" s="18"/>
      <c r="BEB262" s="18"/>
      <c r="BEC262" s="18"/>
      <c r="BED262" s="18"/>
      <c r="BEE262" s="18"/>
      <c r="BEF262" s="18"/>
      <c r="BEG262" s="18"/>
      <c r="BEH262" s="18"/>
      <c r="BEI262" s="18"/>
      <c r="BEJ262" s="18"/>
      <c r="BEK262" s="18"/>
      <c r="BEL262" s="18"/>
      <c r="BEM262" s="18"/>
      <c r="BEN262" s="18"/>
      <c r="BEO262" s="18"/>
      <c r="BEP262" s="18"/>
      <c r="BEQ262" s="18"/>
      <c r="BER262" s="18"/>
      <c r="BES262" s="18"/>
      <c r="BET262" s="18"/>
      <c r="BEU262" s="18"/>
      <c r="BEV262" s="18"/>
      <c r="BEW262" s="18"/>
      <c r="BEX262" s="18"/>
      <c r="BEY262" s="18"/>
      <c r="BEZ262" s="18"/>
      <c r="BFA262" s="18"/>
      <c r="BFB262" s="18"/>
      <c r="BFC262" s="18"/>
      <c r="BFD262" s="18"/>
      <c r="BFE262" s="18"/>
      <c r="BFF262" s="18"/>
      <c r="BFG262" s="18"/>
      <c r="BFH262" s="18"/>
      <c r="BFI262" s="18"/>
      <c r="BFJ262" s="18"/>
      <c r="BFK262" s="18"/>
      <c r="BFL262" s="18"/>
      <c r="BFM262" s="18"/>
      <c r="BFN262" s="18"/>
      <c r="BFO262" s="18"/>
      <c r="BFP262" s="18"/>
      <c r="BFQ262" s="18"/>
      <c r="BFR262" s="18"/>
      <c r="BFS262" s="18"/>
      <c r="BFT262" s="18"/>
      <c r="BFU262" s="18"/>
      <c r="BFV262" s="18"/>
      <c r="BFW262" s="18"/>
      <c r="BFX262" s="18"/>
      <c r="BFY262" s="18"/>
      <c r="BFZ262" s="18"/>
      <c r="BGA262" s="18"/>
      <c r="BGB262" s="18"/>
      <c r="BGC262" s="18"/>
      <c r="BGD262" s="18"/>
      <c r="BGE262" s="18"/>
      <c r="BGF262" s="18"/>
      <c r="BGG262" s="18"/>
      <c r="BGH262" s="18"/>
      <c r="BGI262" s="18"/>
      <c r="BGJ262" s="18"/>
      <c r="BGK262" s="18"/>
      <c r="BGL262" s="18"/>
      <c r="BGM262" s="18"/>
      <c r="BGN262" s="18"/>
      <c r="BGO262" s="18"/>
      <c r="BGP262" s="18"/>
      <c r="BGQ262" s="18"/>
      <c r="BGR262" s="18"/>
      <c r="BGS262" s="18"/>
      <c r="BGT262" s="18"/>
      <c r="BGU262" s="18"/>
      <c r="BGV262" s="18"/>
      <c r="BGW262" s="18"/>
      <c r="BGX262" s="18"/>
      <c r="BGY262" s="18"/>
      <c r="BGZ262" s="18"/>
      <c r="BHA262" s="18"/>
      <c r="BHB262" s="18"/>
      <c r="BHC262" s="18"/>
      <c r="BHD262" s="18"/>
      <c r="BHE262" s="18"/>
      <c r="BHF262" s="18"/>
      <c r="BHG262" s="18"/>
      <c r="BHH262" s="18"/>
      <c r="BHI262" s="18"/>
      <c r="BHJ262" s="18"/>
      <c r="BHK262" s="18"/>
      <c r="BHL262" s="18"/>
      <c r="BHM262" s="18"/>
      <c r="BHN262" s="18"/>
      <c r="BHO262" s="18"/>
      <c r="BHP262" s="18"/>
      <c r="BHQ262" s="18"/>
      <c r="BHR262" s="18"/>
      <c r="BHS262" s="18"/>
      <c r="BHT262" s="18"/>
      <c r="BHU262" s="18"/>
      <c r="BHV262" s="18"/>
      <c r="BHW262" s="18"/>
      <c r="BHX262" s="18"/>
      <c r="BHY262" s="18"/>
      <c r="BHZ262" s="18"/>
      <c r="BIA262" s="18"/>
      <c r="BIB262" s="18"/>
      <c r="BIC262" s="18"/>
      <c r="BID262" s="18"/>
      <c r="BIE262" s="18"/>
      <c r="BIF262" s="18"/>
      <c r="BIG262" s="18"/>
      <c r="BIH262" s="18"/>
      <c r="BII262" s="18"/>
      <c r="BIJ262" s="18"/>
      <c r="BIK262" s="18"/>
      <c r="BIL262" s="18"/>
      <c r="BIM262" s="18"/>
      <c r="BIN262" s="18"/>
      <c r="BIO262" s="18"/>
      <c r="BIP262" s="18"/>
      <c r="BIQ262" s="18"/>
      <c r="BIR262" s="18"/>
      <c r="BIS262" s="18"/>
      <c r="BIT262" s="18"/>
      <c r="BIU262" s="18"/>
      <c r="BIV262" s="18"/>
      <c r="BIW262" s="18"/>
      <c r="BIX262" s="18"/>
      <c r="BIY262" s="18"/>
      <c r="BIZ262" s="18"/>
      <c r="BJA262" s="18"/>
      <c r="BJB262" s="18"/>
      <c r="BJC262" s="18"/>
      <c r="BJD262" s="18"/>
      <c r="BJE262" s="18"/>
      <c r="BJF262" s="18"/>
      <c r="BJG262" s="18"/>
      <c r="BJH262" s="18"/>
      <c r="BJI262" s="18"/>
      <c r="BJJ262" s="18"/>
      <c r="BJK262" s="18"/>
      <c r="BJL262" s="18"/>
      <c r="BJM262" s="18"/>
      <c r="BJN262" s="18"/>
      <c r="BJO262" s="18"/>
      <c r="BJP262" s="18"/>
      <c r="BJQ262" s="18"/>
      <c r="BJR262" s="18"/>
      <c r="BJS262" s="18"/>
      <c r="BJT262" s="18"/>
      <c r="BJU262" s="18"/>
      <c r="BJV262" s="18"/>
      <c r="BJW262" s="18"/>
      <c r="BJX262" s="18"/>
      <c r="BJY262" s="18"/>
      <c r="BJZ262" s="18"/>
      <c r="BKA262" s="18"/>
      <c r="BKB262" s="18"/>
      <c r="BKC262" s="18"/>
      <c r="BKD262" s="18"/>
      <c r="BKE262" s="18"/>
      <c r="BKF262" s="18"/>
      <c r="BKG262" s="18"/>
      <c r="BKH262" s="18"/>
      <c r="BKI262" s="18"/>
      <c r="BKJ262" s="18"/>
      <c r="BKK262" s="18"/>
      <c r="BKL262" s="18"/>
      <c r="BKM262" s="18"/>
      <c r="BKN262" s="18"/>
      <c r="BKO262" s="18"/>
      <c r="BKP262" s="18"/>
      <c r="BKQ262" s="18"/>
      <c r="BKR262" s="18"/>
      <c r="BKS262" s="18"/>
      <c r="BKT262" s="18"/>
      <c r="BKU262" s="18"/>
      <c r="BKV262" s="18"/>
      <c r="BKW262" s="18"/>
      <c r="BKX262" s="18"/>
      <c r="BKY262" s="18"/>
      <c r="BKZ262" s="18"/>
      <c r="BLA262" s="18"/>
      <c r="BLB262" s="18"/>
      <c r="BLC262" s="18"/>
      <c r="BLD262" s="18"/>
      <c r="BLE262" s="18"/>
      <c r="BLF262" s="18"/>
      <c r="BLG262" s="18"/>
      <c r="BLH262" s="18"/>
      <c r="BLI262" s="18"/>
      <c r="BLJ262" s="18"/>
      <c r="BLK262" s="18"/>
      <c r="BLL262" s="18"/>
      <c r="BLM262" s="18"/>
      <c r="BLN262" s="18"/>
      <c r="BLO262" s="18"/>
      <c r="BLP262" s="18"/>
      <c r="BLQ262" s="18"/>
      <c r="BLR262" s="18"/>
      <c r="BLS262" s="18"/>
      <c r="BLT262" s="18"/>
      <c r="BLU262" s="18"/>
      <c r="BLV262" s="18"/>
      <c r="BLW262" s="18"/>
      <c r="BLX262" s="18"/>
      <c r="BLY262" s="18"/>
      <c r="BLZ262" s="18"/>
      <c r="BMA262" s="18"/>
      <c r="BMB262" s="18"/>
      <c r="BMC262" s="18"/>
      <c r="BMD262" s="18"/>
      <c r="BME262" s="18"/>
      <c r="BMF262" s="18"/>
      <c r="BMG262" s="18"/>
      <c r="BMH262" s="18"/>
      <c r="BMI262" s="18"/>
      <c r="BMJ262" s="18"/>
      <c r="BMK262" s="18"/>
      <c r="BML262" s="18"/>
      <c r="BMM262" s="18"/>
      <c r="BMN262" s="18"/>
      <c r="BMO262" s="18"/>
      <c r="BMP262" s="18"/>
      <c r="BMQ262" s="18"/>
      <c r="BMR262" s="18"/>
      <c r="BMS262" s="18"/>
      <c r="BMT262" s="18"/>
      <c r="BMU262" s="18"/>
      <c r="BMV262" s="18"/>
      <c r="BMW262" s="18"/>
      <c r="BMX262" s="18"/>
      <c r="BMY262" s="18"/>
      <c r="BMZ262" s="18"/>
      <c r="BNA262" s="18"/>
      <c r="BNB262" s="18"/>
      <c r="BNC262" s="18"/>
      <c r="BND262" s="18"/>
      <c r="BNE262" s="18"/>
      <c r="BNF262" s="18"/>
      <c r="BNG262" s="18"/>
      <c r="BNH262" s="18"/>
      <c r="BNI262" s="18"/>
      <c r="BNJ262" s="18"/>
      <c r="BNK262" s="18"/>
      <c r="BNL262" s="18"/>
      <c r="BNM262" s="18"/>
      <c r="BNN262" s="18"/>
      <c r="BNO262" s="18"/>
      <c r="BNP262" s="18"/>
      <c r="BNQ262" s="18"/>
      <c r="BNR262" s="18"/>
      <c r="BNS262" s="18"/>
      <c r="BNT262" s="18"/>
      <c r="BNU262" s="18"/>
      <c r="BNV262" s="18"/>
      <c r="BNW262" s="18"/>
      <c r="BNX262" s="18"/>
      <c r="BNY262" s="18"/>
      <c r="BNZ262" s="18"/>
      <c r="BOA262" s="18"/>
      <c r="BOB262" s="18"/>
      <c r="BOC262" s="18"/>
      <c r="BOD262" s="18"/>
      <c r="BOE262" s="18"/>
      <c r="BOF262" s="18"/>
      <c r="BOG262" s="18"/>
      <c r="BOH262" s="18"/>
      <c r="BOI262" s="18"/>
      <c r="BOJ262" s="18"/>
      <c r="BOK262" s="18"/>
      <c r="BOL262" s="18"/>
      <c r="BOM262" s="18"/>
      <c r="BON262" s="18"/>
      <c r="BOO262" s="18"/>
      <c r="BOP262" s="18"/>
      <c r="BOQ262" s="18"/>
      <c r="BOR262" s="18"/>
      <c r="BOS262" s="18"/>
      <c r="BOT262" s="18"/>
      <c r="BOU262" s="18"/>
      <c r="BOV262" s="18"/>
      <c r="BOW262" s="18"/>
      <c r="BOX262" s="18"/>
      <c r="BOY262" s="18"/>
      <c r="BOZ262" s="18"/>
      <c r="BPA262" s="18"/>
      <c r="BPB262" s="18"/>
      <c r="BPC262" s="18"/>
      <c r="BPD262" s="18"/>
      <c r="BPE262" s="18"/>
      <c r="BPF262" s="18"/>
      <c r="BPG262" s="18"/>
      <c r="BPH262" s="18"/>
      <c r="BPI262" s="18"/>
      <c r="BPJ262" s="18"/>
      <c r="BPK262" s="18"/>
      <c r="BPL262" s="18"/>
      <c r="BPM262" s="18"/>
      <c r="BPN262" s="18"/>
      <c r="BPO262" s="18"/>
      <c r="BPP262" s="18"/>
      <c r="BPQ262" s="18"/>
      <c r="BPR262" s="18"/>
      <c r="BPS262" s="18"/>
      <c r="BPT262" s="18"/>
      <c r="BPU262" s="18"/>
      <c r="BPV262" s="18"/>
      <c r="BPW262" s="18"/>
      <c r="BPX262" s="18"/>
      <c r="BPY262" s="18"/>
      <c r="BPZ262" s="18"/>
      <c r="BQA262" s="18"/>
      <c r="BQB262" s="18"/>
      <c r="BQC262" s="18"/>
      <c r="BQD262" s="18"/>
      <c r="BQE262" s="18"/>
      <c r="BQF262" s="18"/>
      <c r="BQG262" s="18"/>
      <c r="BQH262" s="18"/>
      <c r="BQI262" s="18"/>
      <c r="BQJ262" s="18"/>
      <c r="BQK262" s="18"/>
      <c r="BQL262" s="18"/>
      <c r="BQM262" s="18"/>
      <c r="BQN262" s="18"/>
      <c r="BQO262" s="18"/>
      <c r="BQP262" s="18"/>
      <c r="BQQ262" s="18"/>
      <c r="BQR262" s="18"/>
      <c r="BQS262" s="18"/>
      <c r="BQT262" s="18"/>
      <c r="BQU262" s="18"/>
      <c r="BQV262" s="18"/>
      <c r="BQW262" s="18"/>
      <c r="BQX262" s="18"/>
      <c r="BQY262" s="18"/>
      <c r="BQZ262" s="18"/>
      <c r="BRA262" s="18"/>
      <c r="BRB262" s="18"/>
      <c r="BRC262" s="18"/>
      <c r="BRD262" s="18"/>
      <c r="BRE262" s="18"/>
      <c r="BRF262" s="18"/>
      <c r="BRG262" s="18"/>
      <c r="BRH262" s="18"/>
      <c r="BRI262" s="18"/>
      <c r="BRJ262" s="18"/>
      <c r="BRK262" s="18"/>
      <c r="BRL262" s="18"/>
      <c r="BRM262" s="18"/>
      <c r="BRN262" s="18"/>
      <c r="BRO262" s="18"/>
      <c r="BRP262" s="18"/>
      <c r="BRQ262" s="18"/>
      <c r="BRR262" s="18"/>
      <c r="BRS262" s="18"/>
      <c r="BRT262" s="18"/>
      <c r="BRU262" s="18"/>
      <c r="BRV262" s="18"/>
      <c r="BRW262" s="18"/>
      <c r="BRX262" s="18"/>
      <c r="BRY262" s="18"/>
      <c r="BRZ262" s="18"/>
      <c r="BSA262" s="18"/>
      <c r="BSB262" s="18"/>
      <c r="BSC262" s="18"/>
      <c r="BSD262" s="18"/>
      <c r="BSE262" s="18"/>
      <c r="BSF262" s="18"/>
      <c r="BSG262" s="18"/>
      <c r="BSH262" s="18"/>
      <c r="BSI262" s="18"/>
      <c r="BSJ262" s="18"/>
      <c r="BSK262" s="18"/>
      <c r="BSL262" s="18"/>
      <c r="BSM262" s="18"/>
      <c r="BSN262" s="18"/>
      <c r="BSO262" s="18"/>
      <c r="BSP262" s="18"/>
      <c r="BSQ262" s="18"/>
      <c r="BSR262" s="18"/>
      <c r="BSS262" s="18"/>
      <c r="BST262" s="18"/>
      <c r="BSU262" s="18"/>
      <c r="BSV262" s="18"/>
      <c r="BSW262" s="18"/>
      <c r="BSX262" s="18"/>
      <c r="BSY262" s="18"/>
      <c r="BSZ262" s="18"/>
      <c r="BTA262" s="18"/>
      <c r="BTB262" s="18"/>
      <c r="BTC262" s="18"/>
      <c r="BTD262" s="18"/>
      <c r="BTE262" s="18"/>
      <c r="BTF262" s="18"/>
      <c r="BTG262" s="18"/>
      <c r="BTH262" s="18"/>
      <c r="BTI262" s="18"/>
    </row>
    <row r="263" spans="1:1881" s="756" customFormat="1" ht="225" customHeight="1" x14ac:dyDescent="0.3">
      <c r="A263" s="105">
        <v>577</v>
      </c>
      <c r="B263" s="663"/>
      <c r="C263" s="663" t="s">
        <v>316</v>
      </c>
      <c r="D263" s="343" t="s">
        <v>370</v>
      </c>
      <c r="E263" s="1048"/>
      <c r="F263" s="286"/>
      <c r="G263" s="286" t="str">
        <f>IF(F263="Yes","In this cell - Please include the name of the plan, a brief description of the benefit and the population group that received the benefits."," ")</f>
        <v xml:space="preserve"> </v>
      </c>
      <c r="H263" s="17"/>
      <c r="I263" s="753"/>
      <c r="J263" s="567"/>
      <c r="K263" s="18"/>
      <c r="L263" s="18"/>
      <c r="M263" s="18"/>
      <c r="N263" s="288"/>
      <c r="O263" s="18"/>
      <c r="P263" s="18"/>
      <c r="Q263" s="18"/>
      <c r="R263" s="18"/>
      <c r="S263" s="18"/>
      <c r="T263" s="18"/>
      <c r="U263" s="18"/>
      <c r="V263" s="18"/>
      <c r="W263" s="18"/>
      <c r="X263" s="18"/>
      <c r="Y263" s="18"/>
      <c r="Z263" s="105"/>
      <c r="AA263" s="105"/>
      <c r="AB263" s="105"/>
      <c r="AC263" s="105"/>
      <c r="AD263" s="105"/>
      <c r="AE263" s="105"/>
      <c r="AF263" s="105"/>
      <c r="AG263" s="105"/>
      <c r="AH263" s="105"/>
      <c r="AI263" s="105"/>
      <c r="AJ263" s="105"/>
      <c r="AK263" s="105"/>
      <c r="AL263" s="105"/>
      <c r="AM263" s="105"/>
      <c r="AN263" s="105"/>
      <c r="AO263" s="105"/>
      <c r="AP263" s="105"/>
      <c r="AQ263" s="105"/>
      <c r="AR263" s="105"/>
      <c r="AS263" s="18"/>
      <c r="AT263" s="18"/>
      <c r="AU263" s="18"/>
      <c r="AV263" s="18"/>
      <c r="AW263" s="18"/>
      <c r="AX263" s="18"/>
      <c r="AY263" s="18"/>
      <c r="AZ263" s="18"/>
      <c r="BA263" s="18"/>
      <c r="BB263" s="18"/>
      <c r="BC263" s="18"/>
      <c r="BD263" s="18"/>
      <c r="BE263" s="18"/>
      <c r="BF263" s="18"/>
      <c r="BG263" s="18"/>
      <c r="BH263" s="18"/>
      <c r="BI263" s="18"/>
      <c r="BJ263" s="18"/>
      <c r="BK263" s="18"/>
      <c r="BL263" s="18"/>
      <c r="BM263" s="18"/>
      <c r="BN263" s="18"/>
      <c r="BO263" s="18"/>
      <c r="BP263" s="18"/>
      <c r="BQ263" s="18"/>
      <c r="BR263" s="18"/>
      <c r="BS263" s="18"/>
      <c r="BT263" s="18"/>
      <c r="BU263" s="18"/>
      <c r="BV263" s="18"/>
      <c r="BW263" s="18"/>
      <c r="BX263" s="18"/>
      <c r="BY263" s="18"/>
      <c r="BZ263" s="18"/>
      <c r="CA263" s="18"/>
      <c r="CB263" s="18"/>
      <c r="CC263" s="18"/>
      <c r="CD263" s="18"/>
      <c r="CE263" s="18"/>
      <c r="CF263" s="18"/>
      <c r="CG263" s="18"/>
      <c r="CH263" s="18"/>
      <c r="CI263" s="18"/>
      <c r="CJ263" s="18"/>
      <c r="CK263" s="18"/>
      <c r="CL263" s="18"/>
      <c r="CM263" s="18"/>
      <c r="CN263" s="18"/>
      <c r="CO263" s="18"/>
      <c r="CP263" s="18"/>
      <c r="CQ263" s="18"/>
      <c r="CR263" s="18"/>
      <c r="CS263" s="18"/>
      <c r="CT263" s="18"/>
      <c r="CU263" s="18"/>
      <c r="CV263" s="18"/>
      <c r="CW263" s="18"/>
      <c r="CX263" s="18"/>
      <c r="CY263" s="18"/>
      <c r="CZ263" s="18"/>
      <c r="DA263" s="18"/>
      <c r="DB263" s="18"/>
      <c r="DC263" s="18"/>
      <c r="DD263" s="18"/>
      <c r="DE263" s="18"/>
      <c r="DF263" s="18"/>
      <c r="DG263" s="18"/>
      <c r="DH263" s="18"/>
      <c r="DI263" s="18"/>
      <c r="DJ263" s="18"/>
      <c r="DK263" s="18"/>
      <c r="DL263" s="18"/>
      <c r="DM263" s="18"/>
      <c r="DN263" s="18"/>
      <c r="DO263" s="18"/>
      <c r="DP263" s="18"/>
      <c r="DQ263" s="18"/>
      <c r="DR263" s="18"/>
      <c r="DS263" s="18"/>
      <c r="DT263" s="18"/>
      <c r="DU263" s="18"/>
      <c r="DV263" s="18"/>
      <c r="DW263" s="18"/>
      <c r="DX263" s="18"/>
      <c r="DY263" s="18"/>
      <c r="DZ263" s="18"/>
      <c r="EA263" s="18"/>
      <c r="EB263" s="18"/>
      <c r="EC263" s="18"/>
      <c r="ED263" s="18"/>
      <c r="EE263" s="18"/>
      <c r="EF263" s="18"/>
      <c r="EG263" s="18"/>
      <c r="EH263" s="18"/>
      <c r="EI263" s="18"/>
      <c r="EJ263" s="18"/>
      <c r="EK263" s="18"/>
      <c r="EL263" s="18"/>
      <c r="EM263" s="18"/>
      <c r="EN263" s="18"/>
      <c r="EO263" s="18"/>
      <c r="EP263" s="18"/>
      <c r="EQ263" s="18"/>
      <c r="ER263" s="18"/>
      <c r="ES263" s="18"/>
      <c r="ET263" s="18"/>
      <c r="EU263" s="18"/>
      <c r="EV263" s="18"/>
      <c r="EW263" s="18"/>
      <c r="EX263" s="18"/>
      <c r="EY263" s="18"/>
      <c r="EZ263" s="18"/>
      <c r="FA263" s="18"/>
      <c r="FB263" s="18"/>
      <c r="FC263" s="18"/>
      <c r="FD263" s="18"/>
      <c r="FE263" s="18"/>
      <c r="FF263" s="18"/>
      <c r="FG263" s="18"/>
      <c r="FH263" s="18"/>
      <c r="FI263" s="18"/>
      <c r="FJ263" s="18"/>
      <c r="FK263" s="18"/>
      <c r="FL263" s="18"/>
      <c r="FM263" s="18"/>
      <c r="FN263" s="18"/>
      <c r="FO263" s="18"/>
      <c r="FP263" s="18"/>
      <c r="FQ263" s="18"/>
      <c r="FR263" s="18"/>
      <c r="FS263" s="18"/>
      <c r="FT263" s="18"/>
      <c r="FU263" s="18"/>
      <c r="FV263" s="18"/>
      <c r="FW263" s="18"/>
      <c r="FX263" s="18"/>
      <c r="FY263" s="18"/>
      <c r="FZ263" s="18"/>
      <c r="GA263" s="18"/>
      <c r="GB263" s="18"/>
      <c r="GC263" s="18"/>
      <c r="GD263" s="18"/>
      <c r="GE263" s="18"/>
      <c r="GF263" s="18"/>
      <c r="GG263" s="18"/>
      <c r="GH263" s="18"/>
      <c r="GI263" s="18"/>
      <c r="GJ263" s="18"/>
      <c r="GK263" s="18"/>
      <c r="GL263" s="18"/>
      <c r="GM263" s="18"/>
      <c r="GN263" s="18"/>
      <c r="GO263" s="18"/>
      <c r="GP263" s="18"/>
      <c r="GQ263" s="18"/>
      <c r="GR263" s="18"/>
      <c r="GS263" s="18"/>
      <c r="GT263" s="18"/>
      <c r="GU263" s="18"/>
      <c r="GV263" s="18"/>
      <c r="GW263" s="18"/>
      <c r="GX263" s="18"/>
      <c r="GY263" s="18"/>
      <c r="GZ263" s="18"/>
      <c r="HA263" s="18"/>
      <c r="HB263" s="18"/>
      <c r="HC263" s="18"/>
      <c r="HD263" s="18"/>
      <c r="HE263" s="18"/>
      <c r="HF263" s="18"/>
      <c r="HG263" s="18"/>
      <c r="HH263" s="18"/>
      <c r="HI263" s="18"/>
      <c r="HJ263" s="18"/>
      <c r="HK263" s="18"/>
      <c r="HL263" s="18"/>
      <c r="HM263" s="18"/>
      <c r="HN263" s="18"/>
      <c r="HO263" s="18"/>
      <c r="HP263" s="18"/>
      <c r="HQ263" s="18"/>
      <c r="HR263" s="18"/>
      <c r="HS263" s="18"/>
      <c r="HT263" s="18"/>
      <c r="HU263" s="18"/>
      <c r="HV263" s="18"/>
      <c r="HW263" s="18"/>
      <c r="HX263" s="18"/>
      <c r="HY263" s="18"/>
      <c r="HZ263" s="18"/>
      <c r="IA263" s="18"/>
      <c r="IB263" s="18"/>
      <c r="IC263" s="18"/>
      <c r="ID263" s="18"/>
      <c r="IE263" s="18"/>
      <c r="IF263" s="18"/>
      <c r="IG263" s="18"/>
      <c r="IH263" s="18"/>
      <c r="II263" s="18"/>
      <c r="IJ263" s="18"/>
      <c r="IK263" s="18"/>
      <c r="IL263" s="18"/>
      <c r="IM263" s="18"/>
      <c r="IN263" s="18"/>
      <c r="IO263" s="18"/>
      <c r="IP263" s="18"/>
      <c r="IQ263" s="18"/>
      <c r="IR263" s="18"/>
      <c r="IS263" s="18"/>
      <c r="IT263" s="18"/>
      <c r="IU263" s="18"/>
      <c r="IV263" s="18"/>
      <c r="IW263" s="18"/>
      <c r="IX263" s="18"/>
      <c r="IY263" s="18"/>
      <c r="IZ263" s="18"/>
      <c r="JA263" s="18"/>
      <c r="JB263" s="18"/>
      <c r="JC263" s="18"/>
      <c r="JD263" s="18"/>
      <c r="JE263" s="18"/>
      <c r="JF263" s="18"/>
      <c r="JG263" s="18"/>
      <c r="JH263" s="18"/>
      <c r="JI263" s="18"/>
      <c r="JJ263" s="18"/>
      <c r="JK263" s="18"/>
      <c r="JL263" s="18"/>
      <c r="JM263" s="18"/>
      <c r="JN263" s="18"/>
      <c r="JO263" s="18"/>
      <c r="JP263" s="18"/>
      <c r="JQ263" s="18"/>
      <c r="JR263" s="18"/>
      <c r="JS263" s="18"/>
      <c r="JT263" s="18"/>
      <c r="JU263" s="18"/>
      <c r="JV263" s="18"/>
      <c r="JW263" s="18"/>
      <c r="JX263" s="18"/>
      <c r="JY263" s="18"/>
      <c r="JZ263" s="18"/>
      <c r="KA263" s="18"/>
      <c r="KB263" s="18"/>
      <c r="KC263" s="18"/>
      <c r="KD263" s="18"/>
      <c r="KE263" s="18"/>
      <c r="KF263" s="18"/>
      <c r="KG263" s="18"/>
      <c r="KH263" s="18"/>
      <c r="KI263" s="18"/>
      <c r="KJ263" s="18"/>
      <c r="KK263" s="18"/>
      <c r="KL263" s="18"/>
      <c r="KM263" s="18"/>
      <c r="KN263" s="18"/>
      <c r="KO263" s="18"/>
      <c r="KP263" s="18"/>
      <c r="KQ263" s="18"/>
      <c r="KR263" s="18"/>
      <c r="KS263" s="18"/>
      <c r="KT263" s="18"/>
      <c r="KU263" s="18"/>
      <c r="KV263" s="18"/>
      <c r="KW263" s="18"/>
      <c r="KX263" s="18"/>
      <c r="KY263" s="18"/>
      <c r="KZ263" s="18"/>
      <c r="LA263" s="18"/>
      <c r="LB263" s="18"/>
      <c r="LC263" s="18"/>
      <c r="LD263" s="18"/>
      <c r="LE263" s="18"/>
      <c r="LF263" s="18"/>
      <c r="LG263" s="18"/>
      <c r="LH263" s="18"/>
      <c r="LI263" s="18"/>
      <c r="LJ263" s="18"/>
      <c r="LK263" s="18"/>
      <c r="LL263" s="18"/>
      <c r="LM263" s="18"/>
      <c r="LN263" s="18"/>
      <c r="LO263" s="18"/>
      <c r="LP263" s="18"/>
      <c r="LQ263" s="18"/>
      <c r="LR263" s="18"/>
      <c r="LS263" s="18"/>
      <c r="LT263" s="18"/>
      <c r="LU263" s="18"/>
      <c r="LV263" s="18"/>
      <c r="LW263" s="18"/>
      <c r="LX263" s="18"/>
      <c r="LY263" s="18"/>
      <c r="LZ263" s="18"/>
      <c r="MA263" s="18"/>
      <c r="MB263" s="18"/>
      <c r="MC263" s="18"/>
      <c r="MD263" s="18"/>
      <c r="ME263" s="18"/>
      <c r="MF263" s="18"/>
      <c r="MG263" s="18"/>
      <c r="MH263" s="18"/>
      <c r="MI263" s="18"/>
      <c r="MJ263" s="18"/>
      <c r="MK263" s="18"/>
      <c r="ML263" s="18"/>
      <c r="MM263" s="18"/>
      <c r="MN263" s="18"/>
      <c r="MO263" s="18"/>
      <c r="MP263" s="18"/>
      <c r="MQ263" s="18"/>
      <c r="MR263" s="18"/>
      <c r="MS263" s="18"/>
      <c r="MT263" s="18"/>
      <c r="MU263" s="18"/>
      <c r="MV263" s="18"/>
      <c r="MW263" s="18"/>
      <c r="MX263" s="18"/>
      <c r="MY263" s="18"/>
      <c r="MZ263" s="18"/>
      <c r="NA263" s="18"/>
      <c r="NB263" s="18"/>
      <c r="NC263" s="18"/>
      <c r="ND263" s="18"/>
      <c r="NE263" s="18"/>
      <c r="NF263" s="18"/>
      <c r="NG263" s="18"/>
      <c r="NH263" s="18"/>
      <c r="NI263" s="18"/>
      <c r="NJ263" s="18"/>
      <c r="NK263" s="18"/>
      <c r="NL263" s="18"/>
      <c r="NM263" s="18"/>
      <c r="NN263" s="18"/>
      <c r="NO263" s="18"/>
      <c r="NP263" s="18"/>
      <c r="NQ263" s="18"/>
      <c r="NR263" s="18"/>
      <c r="NS263" s="18"/>
      <c r="NT263" s="18"/>
      <c r="NU263" s="18"/>
      <c r="NV263" s="18"/>
      <c r="NW263" s="18"/>
      <c r="NX263" s="18"/>
      <c r="NY263" s="18"/>
      <c r="NZ263" s="18"/>
      <c r="OA263" s="18"/>
      <c r="OB263" s="18"/>
      <c r="OC263" s="18"/>
      <c r="OD263" s="18"/>
      <c r="OE263" s="18"/>
      <c r="OF263" s="18"/>
      <c r="OG263" s="18"/>
      <c r="OH263" s="18"/>
      <c r="OI263" s="18"/>
      <c r="OJ263" s="18"/>
      <c r="OK263" s="18"/>
      <c r="OL263" s="18"/>
      <c r="OM263" s="18"/>
      <c r="ON263" s="18"/>
      <c r="OO263" s="18"/>
      <c r="OP263" s="18"/>
      <c r="OQ263" s="18"/>
      <c r="OR263" s="18"/>
      <c r="OS263" s="18"/>
      <c r="OT263" s="18"/>
      <c r="OU263" s="18"/>
      <c r="OV263" s="18"/>
      <c r="OW263" s="18"/>
      <c r="OX263" s="18"/>
      <c r="OY263" s="18"/>
      <c r="OZ263" s="18"/>
      <c r="PA263" s="18"/>
      <c r="PB263" s="18"/>
      <c r="PC263" s="18"/>
      <c r="PD263" s="18"/>
      <c r="PE263" s="18"/>
      <c r="PF263" s="18"/>
      <c r="PG263" s="18"/>
      <c r="PH263" s="18"/>
      <c r="PI263" s="18"/>
      <c r="PJ263" s="18"/>
      <c r="PK263" s="18"/>
      <c r="PL263" s="18"/>
      <c r="PM263" s="18"/>
      <c r="PN263" s="18"/>
      <c r="PO263" s="18"/>
      <c r="PP263" s="18"/>
      <c r="PQ263" s="18"/>
      <c r="PR263" s="18"/>
      <c r="PS263" s="18"/>
      <c r="PT263" s="18"/>
      <c r="PU263" s="18"/>
      <c r="PV263" s="18"/>
      <c r="PW263" s="18"/>
      <c r="PX263" s="18"/>
      <c r="PY263" s="18"/>
      <c r="PZ263" s="18"/>
      <c r="QA263" s="18"/>
      <c r="QB263" s="18"/>
      <c r="QC263" s="18"/>
      <c r="QD263" s="18"/>
      <c r="QE263" s="18"/>
      <c r="QF263" s="18"/>
      <c r="QG263" s="18"/>
      <c r="QH263" s="18"/>
      <c r="QI263" s="18"/>
      <c r="QJ263" s="18"/>
      <c r="QK263" s="18"/>
      <c r="QL263" s="18"/>
      <c r="QM263" s="18"/>
      <c r="QN263" s="18"/>
      <c r="QO263" s="18"/>
      <c r="QP263" s="18"/>
      <c r="QQ263" s="18"/>
      <c r="QR263" s="18"/>
      <c r="QS263" s="18"/>
      <c r="QT263" s="18"/>
      <c r="QU263" s="18"/>
      <c r="QV263" s="18"/>
      <c r="QW263" s="18"/>
      <c r="QX263" s="18"/>
      <c r="QY263" s="18"/>
      <c r="QZ263" s="18"/>
      <c r="RA263" s="18"/>
      <c r="RB263" s="18"/>
      <c r="RC263" s="18"/>
      <c r="RD263" s="18"/>
      <c r="RE263" s="18"/>
      <c r="RF263" s="18"/>
      <c r="RG263" s="18"/>
      <c r="RH263" s="18"/>
      <c r="RI263" s="18"/>
      <c r="RJ263" s="18"/>
      <c r="RK263" s="18"/>
      <c r="RL263" s="18"/>
      <c r="RM263" s="18"/>
      <c r="RN263" s="18"/>
      <c r="RO263" s="18"/>
      <c r="RP263" s="18"/>
      <c r="RQ263" s="18"/>
      <c r="RR263" s="18"/>
      <c r="RS263" s="18"/>
      <c r="RT263" s="18"/>
      <c r="RU263" s="18"/>
      <c r="RV263" s="18"/>
      <c r="RW263" s="18"/>
      <c r="RX263" s="18"/>
      <c r="RY263" s="18"/>
      <c r="RZ263" s="18"/>
      <c r="SA263" s="18"/>
      <c r="SB263" s="18"/>
      <c r="SC263" s="18"/>
      <c r="SD263" s="18"/>
      <c r="SE263" s="18"/>
      <c r="SF263" s="18"/>
      <c r="SG263" s="18"/>
      <c r="SH263" s="18"/>
      <c r="SI263" s="18"/>
      <c r="SJ263" s="18"/>
      <c r="SK263" s="18"/>
      <c r="SL263" s="18"/>
      <c r="SM263" s="18"/>
      <c r="SN263" s="18"/>
      <c r="SO263" s="18"/>
      <c r="SP263" s="18"/>
      <c r="SQ263" s="18"/>
      <c r="SR263" s="18"/>
      <c r="SS263" s="18"/>
      <c r="ST263" s="18"/>
      <c r="SU263" s="18"/>
      <c r="SV263" s="18"/>
      <c r="SW263" s="18"/>
      <c r="SX263" s="18"/>
      <c r="SY263" s="18"/>
      <c r="SZ263" s="18"/>
      <c r="TA263" s="18"/>
      <c r="TB263" s="18"/>
      <c r="TC263" s="18"/>
      <c r="TD263" s="18"/>
      <c r="TE263" s="18"/>
      <c r="TF263" s="18"/>
      <c r="TG263" s="18"/>
      <c r="TH263" s="18"/>
      <c r="TI263" s="18"/>
      <c r="TJ263" s="18"/>
      <c r="TK263" s="18"/>
      <c r="TL263" s="18"/>
      <c r="TM263" s="18"/>
      <c r="TN263" s="18"/>
      <c r="TO263" s="18"/>
      <c r="TP263" s="18"/>
      <c r="TQ263" s="18"/>
      <c r="TR263" s="18"/>
      <c r="TS263" s="18"/>
      <c r="TT263" s="18"/>
      <c r="TU263" s="18"/>
      <c r="TV263" s="18"/>
      <c r="TW263" s="18"/>
      <c r="TX263" s="18"/>
      <c r="TY263" s="18"/>
      <c r="TZ263" s="18"/>
      <c r="UA263" s="18"/>
      <c r="UB263" s="18"/>
      <c r="UC263" s="18"/>
      <c r="UD263" s="18"/>
      <c r="UE263" s="18"/>
      <c r="UF263" s="18"/>
      <c r="UG263" s="18"/>
      <c r="UH263" s="18"/>
      <c r="UI263" s="18"/>
      <c r="UJ263" s="18"/>
      <c r="UK263" s="18"/>
      <c r="UL263" s="18"/>
      <c r="UM263" s="18"/>
      <c r="UN263" s="18"/>
      <c r="UO263" s="18"/>
      <c r="UP263" s="18"/>
      <c r="UQ263" s="18"/>
      <c r="UR263" s="18"/>
      <c r="US263" s="18"/>
      <c r="UT263" s="18"/>
      <c r="UU263" s="18"/>
      <c r="UV263" s="18"/>
      <c r="UW263" s="18"/>
      <c r="UX263" s="18"/>
      <c r="UY263" s="18"/>
      <c r="UZ263" s="18"/>
      <c r="VA263" s="18"/>
      <c r="VB263" s="18"/>
      <c r="VC263" s="18"/>
      <c r="VD263" s="18"/>
      <c r="VE263" s="18"/>
      <c r="VF263" s="18"/>
      <c r="VG263" s="18"/>
      <c r="VH263" s="18"/>
      <c r="VI263" s="18"/>
      <c r="VJ263" s="18"/>
      <c r="VK263" s="18"/>
      <c r="VL263" s="18"/>
      <c r="VM263" s="18"/>
      <c r="VN263" s="18"/>
      <c r="VO263" s="18"/>
      <c r="VP263" s="18"/>
      <c r="VQ263" s="18"/>
      <c r="VR263" s="18"/>
      <c r="VS263" s="18"/>
      <c r="VT263" s="18"/>
      <c r="VU263" s="18"/>
      <c r="VV263" s="18"/>
      <c r="VW263" s="18"/>
      <c r="VX263" s="18"/>
      <c r="VY263" s="18"/>
      <c r="VZ263" s="18"/>
      <c r="WA263" s="18"/>
      <c r="WB263" s="18"/>
      <c r="WC263" s="18"/>
      <c r="WD263" s="18"/>
      <c r="WE263" s="18"/>
      <c r="WF263" s="18"/>
      <c r="WG263" s="18"/>
      <c r="WH263" s="18"/>
      <c r="WI263" s="18"/>
      <c r="WJ263" s="18"/>
      <c r="WK263" s="18"/>
      <c r="WL263" s="18"/>
      <c r="WM263" s="18"/>
      <c r="WN263" s="18"/>
      <c r="WO263" s="18"/>
      <c r="WP263" s="18"/>
      <c r="WQ263" s="18"/>
      <c r="WR263" s="18"/>
      <c r="WS263" s="18"/>
      <c r="WT263" s="18"/>
      <c r="WU263" s="18"/>
      <c r="WV263" s="18"/>
      <c r="WW263" s="18"/>
      <c r="WX263" s="18"/>
      <c r="WY263" s="18"/>
      <c r="WZ263" s="18"/>
      <c r="XA263" s="18"/>
      <c r="XB263" s="18"/>
      <c r="XC263" s="18"/>
      <c r="XD263" s="18"/>
      <c r="XE263" s="18"/>
      <c r="XF263" s="18"/>
      <c r="XG263" s="18"/>
      <c r="XH263" s="18"/>
      <c r="XI263" s="18"/>
      <c r="XJ263" s="18"/>
      <c r="XK263" s="18"/>
      <c r="XL263" s="18"/>
      <c r="XM263" s="18"/>
      <c r="XN263" s="18"/>
      <c r="XO263" s="18"/>
      <c r="XP263" s="18"/>
      <c r="XQ263" s="18"/>
      <c r="XR263" s="18"/>
      <c r="XS263" s="18"/>
      <c r="XT263" s="18"/>
      <c r="XU263" s="18"/>
      <c r="XV263" s="18"/>
      <c r="XW263" s="18"/>
      <c r="XX263" s="18"/>
      <c r="XY263" s="18"/>
      <c r="XZ263" s="18"/>
      <c r="YA263" s="18"/>
      <c r="YB263" s="18"/>
      <c r="YC263" s="18"/>
      <c r="YD263" s="18"/>
      <c r="YE263" s="18"/>
      <c r="YF263" s="18"/>
      <c r="YG263" s="18"/>
      <c r="YH263" s="18"/>
      <c r="YI263" s="18"/>
      <c r="YJ263" s="18"/>
      <c r="YK263" s="18"/>
      <c r="YL263" s="18"/>
      <c r="YM263" s="18"/>
      <c r="YN263" s="18"/>
      <c r="YO263" s="18"/>
      <c r="YP263" s="18"/>
      <c r="YQ263" s="18"/>
      <c r="YR263" s="18"/>
      <c r="YS263" s="18"/>
      <c r="YT263" s="18"/>
      <c r="YU263" s="18"/>
      <c r="YV263" s="18"/>
      <c r="YW263" s="18"/>
      <c r="YX263" s="18"/>
      <c r="YY263" s="18"/>
      <c r="YZ263" s="18"/>
      <c r="ZA263" s="18"/>
      <c r="ZB263" s="18"/>
      <c r="ZC263" s="18"/>
      <c r="ZD263" s="18"/>
      <c r="ZE263" s="18"/>
      <c r="ZF263" s="18"/>
      <c r="ZG263" s="18"/>
      <c r="ZH263" s="18"/>
      <c r="ZI263" s="18"/>
      <c r="ZJ263" s="18"/>
      <c r="ZK263" s="18"/>
      <c r="ZL263" s="18"/>
      <c r="ZM263" s="18"/>
      <c r="ZN263" s="18"/>
      <c r="ZO263" s="18"/>
      <c r="ZP263" s="18"/>
      <c r="ZQ263" s="18"/>
      <c r="ZR263" s="18"/>
      <c r="ZS263" s="18"/>
      <c r="ZT263" s="18"/>
      <c r="ZU263" s="18"/>
      <c r="ZV263" s="18"/>
      <c r="ZW263" s="18"/>
      <c r="ZX263" s="18"/>
      <c r="ZY263" s="18"/>
      <c r="ZZ263" s="18"/>
      <c r="AAA263" s="18"/>
      <c r="AAB263" s="18"/>
      <c r="AAC263" s="18"/>
      <c r="AAD263" s="18"/>
      <c r="AAE263" s="18"/>
      <c r="AAF263" s="18"/>
      <c r="AAG263" s="18"/>
      <c r="AAH263" s="18"/>
      <c r="AAI263" s="18"/>
      <c r="AAJ263" s="18"/>
      <c r="AAK263" s="18"/>
      <c r="AAL263" s="18"/>
      <c r="AAM263" s="18"/>
      <c r="AAN263" s="18"/>
      <c r="AAO263" s="18"/>
      <c r="AAP263" s="18"/>
      <c r="AAQ263" s="18"/>
      <c r="AAR263" s="18"/>
      <c r="AAS263" s="18"/>
      <c r="AAT263" s="18"/>
      <c r="AAU263" s="18"/>
      <c r="AAV263" s="18"/>
      <c r="AAW263" s="18"/>
      <c r="AAX263" s="18"/>
      <c r="AAY263" s="18"/>
      <c r="AAZ263" s="18"/>
      <c r="ABA263" s="18"/>
      <c r="ABB263" s="18"/>
      <c r="ABC263" s="18"/>
      <c r="ABD263" s="18"/>
      <c r="ABE263" s="18"/>
      <c r="ABF263" s="18"/>
      <c r="ABG263" s="18"/>
      <c r="ABH263" s="18"/>
      <c r="ABI263" s="18"/>
      <c r="ABJ263" s="18"/>
      <c r="ABK263" s="18"/>
      <c r="ABL263" s="18"/>
      <c r="ABM263" s="18"/>
      <c r="ABN263" s="18"/>
      <c r="ABO263" s="18"/>
      <c r="ABP263" s="18"/>
      <c r="ABQ263" s="18"/>
      <c r="ABR263" s="18"/>
      <c r="ABS263" s="18"/>
      <c r="ABT263" s="18"/>
      <c r="ABU263" s="18"/>
      <c r="ABV263" s="18"/>
      <c r="ABW263" s="18"/>
      <c r="ABX263" s="18"/>
      <c r="ABY263" s="18"/>
      <c r="ABZ263" s="18"/>
      <c r="ACA263" s="18"/>
      <c r="ACB263" s="18"/>
      <c r="ACC263" s="18"/>
      <c r="ACD263" s="18"/>
      <c r="ACE263" s="18"/>
      <c r="ACF263" s="18"/>
      <c r="ACG263" s="18"/>
      <c r="ACH263" s="18"/>
      <c r="ACI263" s="18"/>
      <c r="ACJ263" s="18"/>
      <c r="ACK263" s="18"/>
      <c r="ACL263" s="18"/>
      <c r="ACM263" s="18"/>
      <c r="ACN263" s="18"/>
      <c r="ACO263" s="18"/>
      <c r="ACP263" s="18"/>
      <c r="ACQ263" s="18"/>
      <c r="ACR263" s="18"/>
      <c r="ACS263" s="18"/>
      <c r="ACT263" s="18"/>
      <c r="ACU263" s="18"/>
      <c r="ACV263" s="18"/>
      <c r="ACW263" s="18"/>
      <c r="ACX263" s="18"/>
      <c r="ACY263" s="18"/>
      <c r="ACZ263" s="18"/>
      <c r="ADA263" s="18"/>
      <c r="ADB263" s="18"/>
      <c r="ADC263" s="18"/>
      <c r="ADD263" s="18"/>
      <c r="ADE263" s="18"/>
      <c r="ADF263" s="18"/>
      <c r="ADG263" s="18"/>
      <c r="ADH263" s="18"/>
      <c r="ADI263" s="18"/>
      <c r="ADJ263" s="18"/>
      <c r="ADK263" s="18"/>
      <c r="ADL263" s="18"/>
      <c r="ADM263" s="18"/>
      <c r="ADN263" s="18"/>
      <c r="ADO263" s="18"/>
      <c r="ADP263" s="18"/>
      <c r="ADQ263" s="18"/>
      <c r="ADR263" s="18"/>
      <c r="ADS263" s="18"/>
      <c r="ADT263" s="18"/>
      <c r="ADU263" s="18"/>
      <c r="ADV263" s="18"/>
      <c r="ADW263" s="18"/>
      <c r="ADX263" s="18"/>
      <c r="ADY263" s="18"/>
      <c r="ADZ263" s="18"/>
      <c r="AEA263" s="18"/>
      <c r="AEB263" s="18"/>
      <c r="AEC263" s="18"/>
      <c r="AED263" s="18"/>
      <c r="AEE263" s="18"/>
      <c r="AEF263" s="18"/>
      <c r="AEG263" s="18"/>
      <c r="AEH263" s="18"/>
      <c r="AEI263" s="18"/>
      <c r="AEJ263" s="18"/>
      <c r="AEK263" s="18"/>
      <c r="AEL263" s="18"/>
      <c r="AEM263" s="18"/>
      <c r="AEN263" s="18"/>
      <c r="AEO263" s="18"/>
      <c r="AEP263" s="18"/>
      <c r="AEQ263" s="18"/>
      <c r="AER263" s="18"/>
      <c r="AES263" s="18"/>
      <c r="AET263" s="18"/>
      <c r="AEU263" s="18"/>
      <c r="AEV263" s="18"/>
      <c r="AEW263" s="18"/>
      <c r="AEX263" s="18"/>
      <c r="AEY263" s="18"/>
      <c r="AEZ263" s="18"/>
      <c r="AFA263" s="18"/>
      <c r="AFB263" s="18"/>
      <c r="AFC263" s="18"/>
      <c r="AFD263" s="18"/>
      <c r="AFE263" s="18"/>
      <c r="AFF263" s="18"/>
      <c r="AFG263" s="18"/>
      <c r="AFH263" s="18"/>
      <c r="AFI263" s="18"/>
      <c r="AFJ263" s="18"/>
      <c r="AFK263" s="18"/>
      <c r="AFL263" s="18"/>
      <c r="AFM263" s="18"/>
      <c r="AFN263" s="18"/>
      <c r="AFO263" s="18"/>
      <c r="AFP263" s="18"/>
      <c r="AFQ263" s="18"/>
      <c r="AFR263" s="18"/>
      <c r="AFS263" s="18"/>
      <c r="AFT263" s="18"/>
      <c r="AFU263" s="18"/>
      <c r="AFV263" s="18"/>
      <c r="AFW263" s="18"/>
      <c r="AFX263" s="18"/>
      <c r="AFY263" s="18"/>
      <c r="AFZ263" s="18"/>
      <c r="AGA263" s="18"/>
      <c r="AGB263" s="18"/>
      <c r="AGC263" s="18"/>
      <c r="AGD263" s="18"/>
      <c r="AGE263" s="18"/>
      <c r="AGF263" s="18"/>
      <c r="AGG263" s="18"/>
      <c r="AGH263" s="18"/>
      <c r="AGI263" s="18"/>
      <c r="AGJ263" s="18"/>
      <c r="AGK263" s="18"/>
      <c r="AGL263" s="18"/>
      <c r="AGM263" s="18"/>
      <c r="AGN263" s="18"/>
      <c r="AGO263" s="18"/>
      <c r="AGP263" s="18"/>
      <c r="AGQ263" s="18"/>
      <c r="AGR263" s="18"/>
      <c r="AGS263" s="18"/>
      <c r="AGT263" s="18"/>
      <c r="AGU263" s="18"/>
      <c r="AGV263" s="18"/>
      <c r="AGW263" s="18"/>
      <c r="AGX263" s="18"/>
      <c r="AGY263" s="18"/>
      <c r="AGZ263" s="18"/>
      <c r="AHA263" s="18"/>
      <c r="AHB263" s="18"/>
      <c r="AHC263" s="18"/>
      <c r="AHD263" s="18"/>
      <c r="AHE263" s="18"/>
      <c r="AHF263" s="18"/>
      <c r="AHG263" s="18"/>
      <c r="AHH263" s="18"/>
      <c r="AHI263" s="18"/>
      <c r="AHJ263" s="18"/>
      <c r="AHK263" s="18"/>
      <c r="AHL263" s="18"/>
      <c r="AHM263" s="18"/>
      <c r="AHN263" s="18"/>
      <c r="AHO263" s="18"/>
      <c r="AHP263" s="18"/>
      <c r="AHQ263" s="18"/>
      <c r="AHR263" s="18"/>
      <c r="AHS263" s="18"/>
      <c r="AHT263" s="18"/>
      <c r="AHU263" s="18"/>
      <c r="AHV263" s="18"/>
      <c r="AHW263" s="18"/>
      <c r="AHX263" s="18"/>
      <c r="AHY263" s="18"/>
      <c r="AHZ263" s="18"/>
      <c r="AIA263" s="18"/>
      <c r="AIB263" s="18"/>
      <c r="AIC263" s="18"/>
      <c r="AID263" s="18"/>
      <c r="AIE263" s="18"/>
      <c r="AIF263" s="18"/>
      <c r="AIG263" s="18"/>
      <c r="AIH263" s="18"/>
      <c r="AII263" s="18"/>
      <c r="AIJ263" s="18"/>
      <c r="AIK263" s="18"/>
      <c r="AIL263" s="18"/>
      <c r="AIM263" s="18"/>
      <c r="AIN263" s="18"/>
      <c r="AIO263" s="18"/>
      <c r="AIP263" s="18"/>
      <c r="AIQ263" s="18"/>
      <c r="AIR263" s="18"/>
      <c r="AIS263" s="18"/>
      <c r="AIT263" s="18"/>
      <c r="AIU263" s="18"/>
      <c r="AIV263" s="18"/>
      <c r="AIW263" s="18"/>
      <c r="AIX263" s="18"/>
      <c r="AIY263" s="18"/>
      <c r="AIZ263" s="18"/>
      <c r="AJA263" s="18"/>
      <c r="AJB263" s="18"/>
      <c r="AJC263" s="18"/>
      <c r="AJD263" s="18"/>
      <c r="AJE263" s="18"/>
      <c r="AJF263" s="18"/>
      <c r="AJG263" s="18"/>
      <c r="AJH263" s="18"/>
      <c r="AJI263" s="18"/>
      <c r="AJJ263" s="18"/>
      <c r="AJK263" s="18"/>
      <c r="AJL263" s="18"/>
      <c r="AJM263" s="18"/>
      <c r="AJN263" s="18"/>
      <c r="AJO263" s="18"/>
      <c r="AJP263" s="18"/>
      <c r="AJQ263" s="18"/>
      <c r="AJR263" s="18"/>
      <c r="AJS263" s="18"/>
      <c r="AJT263" s="18"/>
      <c r="AJU263" s="18"/>
      <c r="AJV263" s="18"/>
      <c r="AJW263" s="18"/>
      <c r="AJX263" s="18"/>
      <c r="AJY263" s="18"/>
      <c r="AJZ263" s="18"/>
      <c r="AKA263" s="18"/>
      <c r="AKB263" s="18"/>
      <c r="AKC263" s="18"/>
      <c r="AKD263" s="18"/>
      <c r="AKE263" s="18"/>
      <c r="AKF263" s="18"/>
      <c r="AKG263" s="18"/>
      <c r="AKH263" s="18"/>
      <c r="AKI263" s="18"/>
      <c r="AKJ263" s="18"/>
      <c r="AKK263" s="18"/>
      <c r="AKL263" s="18"/>
      <c r="AKM263" s="18"/>
      <c r="AKN263" s="18"/>
      <c r="AKO263" s="18"/>
      <c r="AKP263" s="18"/>
      <c r="AKQ263" s="18"/>
      <c r="AKR263" s="18"/>
      <c r="AKS263" s="18"/>
      <c r="AKT263" s="18"/>
      <c r="AKU263" s="18"/>
      <c r="AKV263" s="18"/>
      <c r="AKW263" s="18"/>
      <c r="AKX263" s="18"/>
      <c r="AKY263" s="18"/>
      <c r="AKZ263" s="18"/>
      <c r="ALA263" s="18"/>
      <c r="ALB263" s="18"/>
      <c r="ALC263" s="18"/>
      <c r="ALD263" s="18"/>
      <c r="ALE263" s="18"/>
      <c r="ALF263" s="18"/>
      <c r="ALG263" s="18"/>
      <c r="ALH263" s="18"/>
      <c r="ALI263" s="18"/>
      <c r="ALJ263" s="18"/>
      <c r="ALK263" s="18"/>
      <c r="ALL263" s="18"/>
      <c r="ALM263" s="18"/>
      <c r="ALN263" s="18"/>
      <c r="ALO263" s="18"/>
      <c r="ALP263" s="18"/>
      <c r="ALQ263" s="18"/>
      <c r="ALR263" s="18"/>
      <c r="ALS263" s="18"/>
      <c r="ALT263" s="18"/>
      <c r="ALU263" s="18"/>
      <c r="ALV263" s="18"/>
      <c r="ALW263" s="18"/>
      <c r="ALX263" s="18"/>
      <c r="ALY263" s="18"/>
      <c r="ALZ263" s="18"/>
      <c r="AMA263" s="18"/>
      <c r="AMB263" s="18"/>
      <c r="AMC263" s="18"/>
      <c r="AMD263" s="18"/>
      <c r="AME263" s="18"/>
      <c r="AMF263" s="18"/>
      <c r="AMG263" s="18"/>
      <c r="AMH263" s="18"/>
      <c r="AMI263" s="18"/>
      <c r="AMJ263" s="18"/>
      <c r="AMK263" s="18"/>
      <c r="AML263" s="18"/>
      <c r="AMM263" s="18"/>
      <c r="AMN263" s="18"/>
      <c r="AMO263" s="18"/>
      <c r="AMP263" s="18"/>
      <c r="AMQ263" s="18"/>
      <c r="AMR263" s="18"/>
      <c r="AMS263" s="18"/>
      <c r="AMT263" s="18"/>
      <c r="AMU263" s="18"/>
      <c r="AMV263" s="18"/>
      <c r="AMW263" s="18"/>
      <c r="AMX263" s="18"/>
      <c r="AMY263" s="18"/>
      <c r="AMZ263" s="18"/>
      <c r="ANA263" s="18"/>
      <c r="ANB263" s="18"/>
      <c r="ANC263" s="18"/>
      <c r="AND263" s="18"/>
      <c r="ANE263" s="18"/>
      <c r="ANF263" s="18"/>
      <c r="ANG263" s="18"/>
      <c r="ANH263" s="18"/>
      <c r="ANI263" s="18"/>
      <c r="ANJ263" s="18"/>
      <c r="ANK263" s="18"/>
      <c r="ANL263" s="18"/>
      <c r="ANM263" s="18"/>
      <c r="ANN263" s="18"/>
      <c r="ANO263" s="18"/>
      <c r="ANP263" s="18"/>
      <c r="ANQ263" s="18"/>
      <c r="ANR263" s="18"/>
      <c r="ANS263" s="18"/>
      <c r="ANT263" s="18"/>
      <c r="ANU263" s="18"/>
      <c r="ANV263" s="18"/>
      <c r="ANW263" s="18"/>
      <c r="ANX263" s="18"/>
      <c r="ANY263" s="18"/>
      <c r="ANZ263" s="18"/>
      <c r="AOA263" s="18"/>
      <c r="AOB263" s="18"/>
      <c r="AOC263" s="18"/>
      <c r="AOD263" s="18"/>
      <c r="AOE263" s="18"/>
      <c r="AOF263" s="18"/>
      <c r="AOG263" s="18"/>
      <c r="AOH263" s="18"/>
      <c r="AOI263" s="18"/>
      <c r="AOJ263" s="18"/>
      <c r="AOK263" s="18"/>
      <c r="AOL263" s="18"/>
      <c r="AOM263" s="18"/>
      <c r="AON263" s="18"/>
      <c r="AOO263" s="18"/>
      <c r="AOP263" s="18"/>
      <c r="AOQ263" s="18"/>
      <c r="AOR263" s="18"/>
      <c r="AOS263" s="18"/>
      <c r="AOT263" s="18"/>
      <c r="AOU263" s="18"/>
      <c r="AOV263" s="18"/>
      <c r="AOW263" s="18"/>
      <c r="AOX263" s="18"/>
      <c r="AOY263" s="18"/>
      <c r="AOZ263" s="18"/>
      <c r="APA263" s="18"/>
      <c r="APB263" s="18"/>
      <c r="APC263" s="18"/>
      <c r="APD263" s="18"/>
      <c r="APE263" s="18"/>
      <c r="APF263" s="18"/>
      <c r="APG263" s="18"/>
      <c r="APH263" s="18"/>
      <c r="API263" s="18"/>
      <c r="APJ263" s="18"/>
      <c r="APK263" s="18"/>
      <c r="APL263" s="18"/>
      <c r="APM263" s="18"/>
      <c r="APN263" s="18"/>
      <c r="APO263" s="18"/>
      <c r="APP263" s="18"/>
      <c r="APQ263" s="18"/>
      <c r="APR263" s="18"/>
      <c r="APS263" s="18"/>
      <c r="APT263" s="18"/>
      <c r="APU263" s="18"/>
      <c r="APV263" s="18"/>
      <c r="APW263" s="18"/>
      <c r="APX263" s="18"/>
      <c r="APY263" s="18"/>
      <c r="APZ263" s="18"/>
      <c r="AQA263" s="18"/>
      <c r="AQB263" s="18"/>
      <c r="AQC263" s="18"/>
      <c r="AQD263" s="18"/>
      <c r="AQE263" s="18"/>
      <c r="AQF263" s="18"/>
      <c r="AQG263" s="18"/>
      <c r="AQH263" s="18"/>
      <c r="AQI263" s="18"/>
      <c r="AQJ263" s="18"/>
      <c r="AQK263" s="18"/>
      <c r="AQL263" s="18"/>
      <c r="AQM263" s="18"/>
      <c r="AQN263" s="18"/>
      <c r="AQO263" s="18"/>
      <c r="AQP263" s="18"/>
      <c r="AQQ263" s="18"/>
      <c r="AQR263" s="18"/>
      <c r="AQS263" s="18"/>
      <c r="AQT263" s="18"/>
      <c r="AQU263" s="18"/>
      <c r="AQV263" s="18"/>
      <c r="AQW263" s="18"/>
      <c r="AQX263" s="18"/>
      <c r="AQY263" s="18"/>
      <c r="AQZ263" s="18"/>
      <c r="ARA263" s="18"/>
      <c r="ARB263" s="18"/>
      <c r="ARC263" s="18"/>
      <c r="ARD263" s="18"/>
      <c r="ARE263" s="18"/>
      <c r="ARF263" s="18"/>
      <c r="ARG263" s="18"/>
      <c r="ARH263" s="18"/>
      <c r="ARI263" s="18"/>
      <c r="ARJ263" s="18"/>
      <c r="ARK263" s="18"/>
      <c r="ARL263" s="18"/>
      <c r="ARM263" s="18"/>
      <c r="ARN263" s="18"/>
      <c r="ARO263" s="18"/>
      <c r="ARP263" s="18"/>
      <c r="ARQ263" s="18"/>
      <c r="ARR263" s="18"/>
      <c r="ARS263" s="18"/>
      <c r="ART263" s="18"/>
      <c r="ARU263" s="18"/>
      <c r="ARV263" s="18"/>
      <c r="ARW263" s="18"/>
      <c r="ARX263" s="18"/>
      <c r="ARY263" s="18"/>
      <c r="ARZ263" s="18"/>
      <c r="ASA263" s="18"/>
      <c r="ASB263" s="18"/>
      <c r="ASC263" s="18"/>
      <c r="ASD263" s="18"/>
      <c r="ASE263" s="18"/>
      <c r="ASF263" s="18"/>
      <c r="ASG263" s="18"/>
      <c r="ASH263" s="18"/>
      <c r="ASI263" s="18"/>
      <c r="ASJ263" s="18"/>
      <c r="ASK263" s="18"/>
      <c r="ASL263" s="18"/>
      <c r="ASM263" s="18"/>
      <c r="ASN263" s="18"/>
      <c r="ASO263" s="18"/>
      <c r="ASP263" s="18"/>
      <c r="ASQ263" s="18"/>
      <c r="ASR263" s="18"/>
      <c r="ASS263" s="18"/>
      <c r="AST263" s="18"/>
      <c r="ASU263" s="18"/>
      <c r="ASV263" s="18"/>
      <c r="ASW263" s="18"/>
      <c r="ASX263" s="18"/>
      <c r="ASY263" s="18"/>
      <c r="ASZ263" s="18"/>
      <c r="ATA263" s="18"/>
      <c r="ATB263" s="18"/>
      <c r="ATC263" s="18"/>
      <c r="ATD263" s="18"/>
      <c r="ATE263" s="18"/>
      <c r="ATF263" s="18"/>
      <c r="ATG263" s="18"/>
      <c r="ATH263" s="18"/>
      <c r="ATI263" s="18"/>
      <c r="ATJ263" s="18"/>
      <c r="ATK263" s="18"/>
      <c r="ATL263" s="18"/>
      <c r="ATM263" s="18"/>
      <c r="ATN263" s="18"/>
      <c r="ATO263" s="18"/>
      <c r="ATP263" s="18"/>
      <c r="ATQ263" s="18"/>
      <c r="ATR263" s="18"/>
      <c r="ATS263" s="18"/>
      <c r="ATT263" s="18"/>
      <c r="ATU263" s="18"/>
      <c r="ATV263" s="18"/>
      <c r="ATW263" s="18"/>
      <c r="ATX263" s="18"/>
      <c r="ATY263" s="18"/>
      <c r="ATZ263" s="18"/>
      <c r="AUA263" s="18"/>
      <c r="AUB263" s="18"/>
      <c r="AUC263" s="18"/>
      <c r="AUD263" s="18"/>
      <c r="AUE263" s="18"/>
      <c r="AUF263" s="18"/>
      <c r="AUG263" s="18"/>
      <c r="AUH263" s="18"/>
      <c r="AUI263" s="18"/>
      <c r="AUJ263" s="18"/>
      <c r="AUK263" s="18"/>
      <c r="AUL263" s="18"/>
      <c r="AUM263" s="18"/>
      <c r="AUN263" s="18"/>
      <c r="AUO263" s="18"/>
      <c r="AUP263" s="18"/>
      <c r="AUQ263" s="18"/>
      <c r="AUR263" s="18"/>
      <c r="AUS263" s="18"/>
      <c r="AUT263" s="18"/>
      <c r="AUU263" s="18"/>
      <c r="AUV263" s="18"/>
      <c r="AUW263" s="18"/>
      <c r="AUX263" s="18"/>
      <c r="AUY263" s="18"/>
      <c r="AUZ263" s="18"/>
      <c r="AVA263" s="18"/>
      <c r="AVB263" s="18"/>
      <c r="AVC263" s="18"/>
      <c r="AVD263" s="18"/>
      <c r="AVE263" s="18"/>
      <c r="AVF263" s="18"/>
      <c r="AVG263" s="18"/>
      <c r="AVH263" s="18"/>
      <c r="AVI263" s="18"/>
      <c r="AVJ263" s="18"/>
      <c r="AVK263" s="18"/>
      <c r="AVL263" s="18"/>
      <c r="AVM263" s="18"/>
      <c r="AVN263" s="18"/>
      <c r="AVO263" s="18"/>
      <c r="AVP263" s="18"/>
      <c r="AVQ263" s="18"/>
      <c r="AVR263" s="18"/>
      <c r="AVS263" s="18"/>
      <c r="AVT263" s="18"/>
      <c r="AVU263" s="18"/>
      <c r="AVV263" s="18"/>
      <c r="AVW263" s="18"/>
      <c r="AVX263" s="18"/>
      <c r="AVY263" s="18"/>
      <c r="AVZ263" s="18"/>
      <c r="AWA263" s="18"/>
      <c r="AWB263" s="18"/>
      <c r="AWC263" s="18"/>
      <c r="AWD263" s="18"/>
      <c r="AWE263" s="18"/>
      <c r="AWF263" s="18"/>
      <c r="AWG263" s="18"/>
      <c r="AWH263" s="18"/>
      <c r="AWI263" s="18"/>
      <c r="AWJ263" s="18"/>
      <c r="AWK263" s="18"/>
      <c r="AWL263" s="18"/>
      <c r="AWM263" s="18"/>
      <c r="AWN263" s="18"/>
      <c r="AWO263" s="18"/>
      <c r="AWP263" s="18"/>
      <c r="AWQ263" s="18"/>
      <c r="AWR263" s="18"/>
      <c r="AWS263" s="18"/>
      <c r="AWT263" s="18"/>
      <c r="AWU263" s="18"/>
      <c r="AWV263" s="18"/>
      <c r="AWW263" s="18"/>
      <c r="AWX263" s="18"/>
      <c r="AWY263" s="18"/>
      <c r="AWZ263" s="18"/>
      <c r="AXA263" s="18"/>
      <c r="AXB263" s="18"/>
      <c r="AXC263" s="18"/>
      <c r="AXD263" s="18"/>
      <c r="AXE263" s="18"/>
      <c r="AXF263" s="18"/>
      <c r="AXG263" s="18"/>
      <c r="AXH263" s="18"/>
      <c r="AXI263" s="18"/>
      <c r="AXJ263" s="18"/>
      <c r="AXK263" s="18"/>
      <c r="AXL263" s="18"/>
      <c r="AXM263" s="18"/>
      <c r="AXN263" s="18"/>
      <c r="AXO263" s="18"/>
      <c r="AXP263" s="18"/>
      <c r="AXQ263" s="18"/>
      <c r="AXR263" s="18"/>
      <c r="AXS263" s="18"/>
      <c r="AXT263" s="18"/>
      <c r="AXU263" s="18"/>
      <c r="AXV263" s="18"/>
      <c r="AXW263" s="18"/>
      <c r="AXX263" s="18"/>
      <c r="AXY263" s="18"/>
      <c r="AXZ263" s="18"/>
      <c r="AYA263" s="18"/>
      <c r="AYB263" s="18"/>
      <c r="AYC263" s="18"/>
      <c r="AYD263" s="18"/>
      <c r="AYE263" s="18"/>
      <c r="AYF263" s="18"/>
      <c r="AYG263" s="18"/>
      <c r="AYH263" s="18"/>
      <c r="AYI263" s="18"/>
      <c r="AYJ263" s="18"/>
      <c r="AYK263" s="18"/>
      <c r="AYL263" s="18"/>
      <c r="AYM263" s="18"/>
      <c r="AYN263" s="18"/>
      <c r="AYO263" s="18"/>
      <c r="AYP263" s="18"/>
      <c r="AYQ263" s="18"/>
      <c r="AYR263" s="18"/>
      <c r="AYS263" s="18"/>
      <c r="AYT263" s="18"/>
      <c r="AYU263" s="18"/>
      <c r="AYV263" s="18"/>
      <c r="AYW263" s="18"/>
      <c r="AYX263" s="18"/>
      <c r="AYY263" s="18"/>
      <c r="AYZ263" s="18"/>
      <c r="AZA263" s="18"/>
      <c r="AZB263" s="18"/>
      <c r="AZC263" s="18"/>
      <c r="AZD263" s="18"/>
      <c r="AZE263" s="18"/>
      <c r="AZF263" s="18"/>
      <c r="AZG263" s="18"/>
      <c r="AZH263" s="18"/>
      <c r="AZI263" s="18"/>
      <c r="AZJ263" s="18"/>
      <c r="AZK263" s="18"/>
      <c r="AZL263" s="18"/>
      <c r="AZM263" s="18"/>
      <c r="AZN263" s="18"/>
      <c r="AZO263" s="18"/>
      <c r="AZP263" s="18"/>
      <c r="AZQ263" s="18"/>
      <c r="AZR263" s="18"/>
      <c r="AZS263" s="18"/>
      <c r="AZT263" s="18"/>
      <c r="AZU263" s="18"/>
      <c r="AZV263" s="18"/>
      <c r="AZW263" s="18"/>
      <c r="AZX263" s="18"/>
      <c r="AZY263" s="18"/>
      <c r="AZZ263" s="18"/>
      <c r="BAA263" s="18"/>
      <c r="BAB263" s="18"/>
      <c r="BAC263" s="18"/>
      <c r="BAD263" s="18"/>
      <c r="BAE263" s="18"/>
      <c r="BAF263" s="18"/>
      <c r="BAG263" s="18"/>
      <c r="BAH263" s="18"/>
      <c r="BAI263" s="18"/>
      <c r="BAJ263" s="18"/>
      <c r="BAK263" s="18"/>
      <c r="BAL263" s="18"/>
      <c r="BAM263" s="18"/>
      <c r="BAN263" s="18"/>
      <c r="BAO263" s="18"/>
      <c r="BAP263" s="18"/>
      <c r="BAQ263" s="18"/>
      <c r="BAR263" s="18"/>
      <c r="BAS263" s="18"/>
      <c r="BAT263" s="18"/>
      <c r="BAU263" s="18"/>
      <c r="BAV263" s="18"/>
      <c r="BAW263" s="18"/>
      <c r="BAX263" s="18"/>
      <c r="BAY263" s="18"/>
      <c r="BAZ263" s="18"/>
      <c r="BBA263" s="18"/>
      <c r="BBB263" s="18"/>
      <c r="BBC263" s="18"/>
      <c r="BBD263" s="18"/>
      <c r="BBE263" s="18"/>
      <c r="BBF263" s="18"/>
      <c r="BBG263" s="18"/>
      <c r="BBH263" s="18"/>
      <c r="BBI263" s="18"/>
      <c r="BBJ263" s="18"/>
      <c r="BBK263" s="18"/>
      <c r="BBL263" s="18"/>
      <c r="BBM263" s="18"/>
      <c r="BBN263" s="18"/>
      <c r="BBO263" s="18"/>
      <c r="BBP263" s="18"/>
      <c r="BBQ263" s="18"/>
      <c r="BBR263" s="18"/>
      <c r="BBS263" s="18"/>
      <c r="BBT263" s="18"/>
      <c r="BBU263" s="18"/>
      <c r="BBV263" s="18"/>
      <c r="BBW263" s="18"/>
      <c r="BBX263" s="18"/>
      <c r="BBY263" s="18"/>
      <c r="BBZ263" s="18"/>
      <c r="BCA263" s="18"/>
      <c r="BCB263" s="18"/>
      <c r="BCC263" s="18"/>
      <c r="BCD263" s="18"/>
      <c r="BCE263" s="18"/>
      <c r="BCF263" s="18"/>
      <c r="BCG263" s="18"/>
      <c r="BCH263" s="18"/>
      <c r="BCI263" s="18"/>
      <c r="BCJ263" s="18"/>
      <c r="BCK263" s="18"/>
      <c r="BCL263" s="18"/>
      <c r="BCM263" s="18"/>
      <c r="BCN263" s="18"/>
      <c r="BCO263" s="18"/>
      <c r="BCP263" s="18"/>
      <c r="BCQ263" s="18"/>
      <c r="BCR263" s="18"/>
      <c r="BCS263" s="18"/>
      <c r="BCT263" s="18"/>
      <c r="BCU263" s="18"/>
      <c r="BCV263" s="18"/>
      <c r="BCW263" s="18"/>
      <c r="BCX263" s="18"/>
      <c r="BCY263" s="18"/>
      <c r="BCZ263" s="18"/>
      <c r="BDA263" s="18"/>
      <c r="BDB263" s="18"/>
      <c r="BDC263" s="18"/>
      <c r="BDD263" s="18"/>
      <c r="BDE263" s="18"/>
      <c r="BDF263" s="18"/>
      <c r="BDG263" s="18"/>
      <c r="BDH263" s="18"/>
      <c r="BDI263" s="18"/>
      <c r="BDJ263" s="18"/>
      <c r="BDK263" s="18"/>
      <c r="BDL263" s="18"/>
      <c r="BDM263" s="18"/>
      <c r="BDN263" s="18"/>
      <c r="BDO263" s="18"/>
      <c r="BDP263" s="18"/>
      <c r="BDQ263" s="18"/>
      <c r="BDR263" s="18"/>
      <c r="BDS263" s="18"/>
      <c r="BDT263" s="18"/>
      <c r="BDU263" s="18"/>
      <c r="BDV263" s="18"/>
      <c r="BDW263" s="18"/>
      <c r="BDX263" s="18"/>
      <c r="BDY263" s="18"/>
      <c r="BDZ263" s="18"/>
      <c r="BEA263" s="18"/>
      <c r="BEB263" s="18"/>
      <c r="BEC263" s="18"/>
      <c r="BED263" s="18"/>
      <c r="BEE263" s="18"/>
      <c r="BEF263" s="18"/>
      <c r="BEG263" s="18"/>
      <c r="BEH263" s="18"/>
      <c r="BEI263" s="18"/>
      <c r="BEJ263" s="18"/>
      <c r="BEK263" s="18"/>
      <c r="BEL263" s="18"/>
      <c r="BEM263" s="18"/>
      <c r="BEN263" s="18"/>
      <c r="BEO263" s="18"/>
      <c r="BEP263" s="18"/>
      <c r="BEQ263" s="18"/>
      <c r="BER263" s="18"/>
      <c r="BES263" s="18"/>
      <c r="BET263" s="18"/>
      <c r="BEU263" s="18"/>
      <c r="BEV263" s="18"/>
      <c r="BEW263" s="18"/>
      <c r="BEX263" s="18"/>
      <c r="BEY263" s="18"/>
      <c r="BEZ263" s="18"/>
      <c r="BFA263" s="18"/>
      <c r="BFB263" s="18"/>
      <c r="BFC263" s="18"/>
      <c r="BFD263" s="18"/>
      <c r="BFE263" s="18"/>
      <c r="BFF263" s="18"/>
      <c r="BFG263" s="18"/>
      <c r="BFH263" s="18"/>
      <c r="BFI263" s="18"/>
      <c r="BFJ263" s="18"/>
      <c r="BFK263" s="18"/>
      <c r="BFL263" s="18"/>
      <c r="BFM263" s="18"/>
      <c r="BFN263" s="18"/>
      <c r="BFO263" s="18"/>
      <c r="BFP263" s="18"/>
      <c r="BFQ263" s="18"/>
      <c r="BFR263" s="18"/>
      <c r="BFS263" s="18"/>
      <c r="BFT263" s="18"/>
      <c r="BFU263" s="18"/>
      <c r="BFV263" s="18"/>
      <c r="BFW263" s="18"/>
      <c r="BFX263" s="18"/>
      <c r="BFY263" s="18"/>
      <c r="BFZ263" s="18"/>
      <c r="BGA263" s="18"/>
      <c r="BGB263" s="18"/>
      <c r="BGC263" s="18"/>
      <c r="BGD263" s="18"/>
      <c r="BGE263" s="18"/>
      <c r="BGF263" s="18"/>
      <c r="BGG263" s="18"/>
      <c r="BGH263" s="18"/>
      <c r="BGI263" s="18"/>
      <c r="BGJ263" s="18"/>
      <c r="BGK263" s="18"/>
      <c r="BGL263" s="18"/>
      <c r="BGM263" s="18"/>
      <c r="BGN263" s="18"/>
      <c r="BGO263" s="18"/>
      <c r="BGP263" s="18"/>
      <c r="BGQ263" s="18"/>
      <c r="BGR263" s="18"/>
      <c r="BGS263" s="18"/>
      <c r="BGT263" s="18"/>
      <c r="BGU263" s="18"/>
      <c r="BGV263" s="18"/>
      <c r="BGW263" s="18"/>
      <c r="BGX263" s="18"/>
      <c r="BGY263" s="18"/>
      <c r="BGZ263" s="18"/>
      <c r="BHA263" s="18"/>
      <c r="BHB263" s="18"/>
      <c r="BHC263" s="18"/>
      <c r="BHD263" s="18"/>
      <c r="BHE263" s="18"/>
      <c r="BHF263" s="18"/>
      <c r="BHG263" s="18"/>
      <c r="BHH263" s="18"/>
      <c r="BHI263" s="18"/>
      <c r="BHJ263" s="18"/>
      <c r="BHK263" s="18"/>
      <c r="BHL263" s="18"/>
      <c r="BHM263" s="18"/>
      <c r="BHN263" s="18"/>
      <c r="BHO263" s="18"/>
      <c r="BHP263" s="18"/>
      <c r="BHQ263" s="18"/>
      <c r="BHR263" s="18"/>
      <c r="BHS263" s="18"/>
      <c r="BHT263" s="18"/>
      <c r="BHU263" s="18"/>
      <c r="BHV263" s="18"/>
      <c r="BHW263" s="18"/>
      <c r="BHX263" s="18"/>
      <c r="BHY263" s="18"/>
      <c r="BHZ263" s="18"/>
      <c r="BIA263" s="18"/>
      <c r="BIB263" s="18"/>
      <c r="BIC263" s="18"/>
      <c r="BID263" s="18"/>
      <c r="BIE263" s="18"/>
      <c r="BIF263" s="18"/>
      <c r="BIG263" s="18"/>
      <c r="BIH263" s="18"/>
      <c r="BII263" s="18"/>
      <c r="BIJ263" s="18"/>
      <c r="BIK263" s="18"/>
      <c r="BIL263" s="18"/>
      <c r="BIM263" s="18"/>
      <c r="BIN263" s="18"/>
      <c r="BIO263" s="18"/>
      <c r="BIP263" s="18"/>
      <c r="BIQ263" s="18"/>
      <c r="BIR263" s="18"/>
      <c r="BIS263" s="18"/>
      <c r="BIT263" s="18"/>
      <c r="BIU263" s="18"/>
      <c r="BIV263" s="18"/>
      <c r="BIW263" s="18"/>
      <c r="BIX263" s="18"/>
      <c r="BIY263" s="18"/>
      <c r="BIZ263" s="18"/>
      <c r="BJA263" s="18"/>
      <c r="BJB263" s="18"/>
      <c r="BJC263" s="18"/>
      <c r="BJD263" s="18"/>
      <c r="BJE263" s="18"/>
      <c r="BJF263" s="18"/>
      <c r="BJG263" s="18"/>
      <c r="BJH263" s="18"/>
      <c r="BJI263" s="18"/>
      <c r="BJJ263" s="18"/>
      <c r="BJK263" s="18"/>
      <c r="BJL263" s="18"/>
      <c r="BJM263" s="18"/>
      <c r="BJN263" s="18"/>
      <c r="BJO263" s="18"/>
      <c r="BJP263" s="18"/>
      <c r="BJQ263" s="18"/>
      <c r="BJR263" s="18"/>
      <c r="BJS263" s="18"/>
      <c r="BJT263" s="18"/>
      <c r="BJU263" s="18"/>
      <c r="BJV263" s="18"/>
      <c r="BJW263" s="18"/>
      <c r="BJX263" s="18"/>
      <c r="BJY263" s="18"/>
      <c r="BJZ263" s="18"/>
      <c r="BKA263" s="18"/>
      <c r="BKB263" s="18"/>
      <c r="BKC263" s="18"/>
      <c r="BKD263" s="18"/>
      <c r="BKE263" s="18"/>
      <c r="BKF263" s="18"/>
      <c r="BKG263" s="18"/>
      <c r="BKH263" s="18"/>
      <c r="BKI263" s="18"/>
      <c r="BKJ263" s="18"/>
      <c r="BKK263" s="18"/>
      <c r="BKL263" s="18"/>
      <c r="BKM263" s="18"/>
      <c r="BKN263" s="18"/>
      <c r="BKO263" s="18"/>
      <c r="BKP263" s="18"/>
      <c r="BKQ263" s="18"/>
      <c r="BKR263" s="18"/>
      <c r="BKS263" s="18"/>
      <c r="BKT263" s="18"/>
      <c r="BKU263" s="18"/>
      <c r="BKV263" s="18"/>
      <c r="BKW263" s="18"/>
      <c r="BKX263" s="18"/>
      <c r="BKY263" s="18"/>
      <c r="BKZ263" s="18"/>
      <c r="BLA263" s="18"/>
      <c r="BLB263" s="18"/>
      <c r="BLC263" s="18"/>
      <c r="BLD263" s="18"/>
      <c r="BLE263" s="18"/>
      <c r="BLF263" s="18"/>
      <c r="BLG263" s="18"/>
      <c r="BLH263" s="18"/>
      <c r="BLI263" s="18"/>
      <c r="BLJ263" s="18"/>
      <c r="BLK263" s="18"/>
      <c r="BLL263" s="18"/>
      <c r="BLM263" s="18"/>
      <c r="BLN263" s="18"/>
      <c r="BLO263" s="18"/>
      <c r="BLP263" s="18"/>
      <c r="BLQ263" s="18"/>
      <c r="BLR263" s="18"/>
      <c r="BLS263" s="18"/>
      <c r="BLT263" s="18"/>
      <c r="BLU263" s="18"/>
      <c r="BLV263" s="18"/>
      <c r="BLW263" s="18"/>
      <c r="BLX263" s="18"/>
      <c r="BLY263" s="18"/>
      <c r="BLZ263" s="18"/>
      <c r="BMA263" s="18"/>
      <c r="BMB263" s="18"/>
      <c r="BMC263" s="18"/>
      <c r="BMD263" s="18"/>
      <c r="BME263" s="18"/>
      <c r="BMF263" s="18"/>
      <c r="BMG263" s="18"/>
      <c r="BMH263" s="18"/>
      <c r="BMI263" s="18"/>
      <c r="BMJ263" s="18"/>
      <c r="BMK263" s="18"/>
      <c r="BML263" s="18"/>
      <c r="BMM263" s="18"/>
      <c r="BMN263" s="18"/>
      <c r="BMO263" s="18"/>
      <c r="BMP263" s="18"/>
      <c r="BMQ263" s="18"/>
      <c r="BMR263" s="18"/>
      <c r="BMS263" s="18"/>
      <c r="BMT263" s="18"/>
      <c r="BMU263" s="18"/>
      <c r="BMV263" s="18"/>
      <c r="BMW263" s="18"/>
      <c r="BMX263" s="18"/>
      <c r="BMY263" s="18"/>
      <c r="BMZ263" s="18"/>
      <c r="BNA263" s="18"/>
      <c r="BNB263" s="18"/>
      <c r="BNC263" s="18"/>
      <c r="BND263" s="18"/>
      <c r="BNE263" s="18"/>
      <c r="BNF263" s="18"/>
      <c r="BNG263" s="18"/>
      <c r="BNH263" s="18"/>
      <c r="BNI263" s="18"/>
      <c r="BNJ263" s="18"/>
      <c r="BNK263" s="18"/>
      <c r="BNL263" s="18"/>
      <c r="BNM263" s="18"/>
      <c r="BNN263" s="18"/>
      <c r="BNO263" s="18"/>
      <c r="BNP263" s="18"/>
      <c r="BNQ263" s="18"/>
      <c r="BNR263" s="18"/>
      <c r="BNS263" s="18"/>
      <c r="BNT263" s="18"/>
      <c r="BNU263" s="18"/>
      <c r="BNV263" s="18"/>
      <c r="BNW263" s="18"/>
      <c r="BNX263" s="18"/>
      <c r="BNY263" s="18"/>
      <c r="BNZ263" s="18"/>
      <c r="BOA263" s="18"/>
      <c r="BOB263" s="18"/>
      <c r="BOC263" s="18"/>
      <c r="BOD263" s="18"/>
      <c r="BOE263" s="18"/>
      <c r="BOF263" s="18"/>
      <c r="BOG263" s="18"/>
      <c r="BOH263" s="18"/>
      <c r="BOI263" s="18"/>
      <c r="BOJ263" s="18"/>
      <c r="BOK263" s="18"/>
      <c r="BOL263" s="18"/>
      <c r="BOM263" s="18"/>
      <c r="BON263" s="18"/>
      <c r="BOO263" s="18"/>
      <c r="BOP263" s="18"/>
      <c r="BOQ263" s="18"/>
      <c r="BOR263" s="18"/>
      <c r="BOS263" s="18"/>
      <c r="BOT263" s="18"/>
      <c r="BOU263" s="18"/>
      <c r="BOV263" s="18"/>
      <c r="BOW263" s="18"/>
      <c r="BOX263" s="18"/>
      <c r="BOY263" s="18"/>
      <c r="BOZ263" s="18"/>
      <c r="BPA263" s="18"/>
      <c r="BPB263" s="18"/>
      <c r="BPC263" s="18"/>
      <c r="BPD263" s="18"/>
      <c r="BPE263" s="18"/>
      <c r="BPF263" s="18"/>
      <c r="BPG263" s="18"/>
      <c r="BPH263" s="18"/>
      <c r="BPI263" s="18"/>
      <c r="BPJ263" s="18"/>
      <c r="BPK263" s="18"/>
      <c r="BPL263" s="18"/>
      <c r="BPM263" s="18"/>
      <c r="BPN263" s="18"/>
      <c r="BPO263" s="18"/>
      <c r="BPP263" s="18"/>
      <c r="BPQ263" s="18"/>
      <c r="BPR263" s="18"/>
      <c r="BPS263" s="18"/>
      <c r="BPT263" s="18"/>
      <c r="BPU263" s="18"/>
      <c r="BPV263" s="18"/>
      <c r="BPW263" s="18"/>
      <c r="BPX263" s="18"/>
      <c r="BPY263" s="18"/>
      <c r="BPZ263" s="18"/>
      <c r="BQA263" s="18"/>
      <c r="BQB263" s="18"/>
      <c r="BQC263" s="18"/>
      <c r="BQD263" s="18"/>
      <c r="BQE263" s="18"/>
      <c r="BQF263" s="18"/>
      <c r="BQG263" s="18"/>
      <c r="BQH263" s="18"/>
      <c r="BQI263" s="18"/>
      <c r="BQJ263" s="18"/>
      <c r="BQK263" s="18"/>
      <c r="BQL263" s="18"/>
      <c r="BQM263" s="18"/>
      <c r="BQN263" s="18"/>
      <c r="BQO263" s="18"/>
      <c r="BQP263" s="18"/>
      <c r="BQQ263" s="18"/>
      <c r="BQR263" s="18"/>
      <c r="BQS263" s="18"/>
      <c r="BQT263" s="18"/>
      <c r="BQU263" s="18"/>
      <c r="BQV263" s="18"/>
      <c r="BQW263" s="18"/>
      <c r="BQX263" s="18"/>
      <c r="BQY263" s="18"/>
      <c r="BQZ263" s="18"/>
      <c r="BRA263" s="18"/>
      <c r="BRB263" s="18"/>
      <c r="BRC263" s="18"/>
      <c r="BRD263" s="18"/>
      <c r="BRE263" s="18"/>
      <c r="BRF263" s="18"/>
      <c r="BRG263" s="18"/>
      <c r="BRH263" s="18"/>
      <c r="BRI263" s="18"/>
      <c r="BRJ263" s="18"/>
      <c r="BRK263" s="18"/>
      <c r="BRL263" s="18"/>
      <c r="BRM263" s="18"/>
      <c r="BRN263" s="18"/>
      <c r="BRO263" s="18"/>
      <c r="BRP263" s="18"/>
      <c r="BRQ263" s="18"/>
      <c r="BRR263" s="18"/>
      <c r="BRS263" s="18"/>
      <c r="BRT263" s="18"/>
      <c r="BRU263" s="18"/>
      <c r="BRV263" s="18"/>
      <c r="BRW263" s="18"/>
      <c r="BRX263" s="18"/>
      <c r="BRY263" s="18"/>
      <c r="BRZ263" s="18"/>
      <c r="BSA263" s="18"/>
      <c r="BSB263" s="18"/>
      <c r="BSC263" s="18"/>
      <c r="BSD263" s="18"/>
      <c r="BSE263" s="18"/>
      <c r="BSF263" s="18"/>
      <c r="BSG263" s="18"/>
      <c r="BSH263" s="18"/>
      <c r="BSI263" s="18"/>
      <c r="BSJ263" s="18"/>
      <c r="BSK263" s="18"/>
      <c r="BSL263" s="18"/>
      <c r="BSM263" s="18"/>
      <c r="BSN263" s="18"/>
      <c r="BSO263" s="18"/>
      <c r="BSP263" s="18"/>
      <c r="BSQ263" s="18"/>
      <c r="BSR263" s="18"/>
      <c r="BSS263" s="18"/>
      <c r="BST263" s="18"/>
      <c r="BSU263" s="18"/>
      <c r="BSV263" s="18"/>
      <c r="BSW263" s="18"/>
      <c r="BSX263" s="18"/>
      <c r="BSY263" s="18"/>
      <c r="BSZ263" s="18"/>
      <c r="BTA263" s="18"/>
      <c r="BTB263" s="18"/>
      <c r="BTC263" s="18"/>
      <c r="BTD263" s="18"/>
      <c r="BTE263" s="18"/>
      <c r="BTF263" s="18"/>
      <c r="BTG263" s="18"/>
      <c r="BTH263" s="18"/>
      <c r="BTI263" s="18"/>
    </row>
    <row r="264" spans="1:1881" s="756" customFormat="1" ht="30.75" hidden="1" customHeight="1" x14ac:dyDescent="0.3">
      <c r="A264" s="105"/>
      <c r="B264" s="805" t="s">
        <v>303</v>
      </c>
      <c r="C264" s="806"/>
      <c r="D264" s="94"/>
      <c r="E264" s="755"/>
      <c r="F264" s="758"/>
      <c r="G264" s="721"/>
      <c r="H264" s="17"/>
      <c r="I264" s="77"/>
      <c r="J264" s="18"/>
      <c r="K264" s="18"/>
      <c r="L264" s="18"/>
      <c r="M264" s="18"/>
      <c r="N264" s="288"/>
      <c r="O264" s="18"/>
      <c r="P264" s="18"/>
      <c r="Q264" s="18"/>
      <c r="R264" s="18"/>
      <c r="S264" s="18"/>
      <c r="T264" s="18"/>
      <c r="U264" s="18"/>
      <c r="V264" s="18"/>
      <c r="W264" s="18"/>
      <c r="X264" s="18"/>
      <c r="Y264" s="18"/>
      <c r="Z264" s="105"/>
      <c r="AA264" s="105"/>
      <c r="AB264" s="105"/>
      <c r="AC264" s="105"/>
      <c r="AD264" s="105"/>
      <c r="AE264" s="105"/>
      <c r="AF264" s="105"/>
      <c r="AG264" s="105"/>
      <c r="AH264" s="105"/>
      <c r="AI264" s="105"/>
      <c r="AJ264" s="105"/>
      <c r="AK264" s="105"/>
      <c r="AL264" s="105"/>
      <c r="AM264" s="105"/>
      <c r="AN264" s="105"/>
      <c r="AO264" s="105"/>
      <c r="AP264" s="105"/>
      <c r="AQ264" s="105"/>
      <c r="AR264" s="105"/>
      <c r="AS264" s="18"/>
      <c r="AT264" s="18"/>
      <c r="AU264" s="18"/>
      <c r="AV264" s="18"/>
      <c r="AW264" s="18"/>
      <c r="AX264" s="18"/>
      <c r="AY264" s="18"/>
      <c r="AZ264" s="18"/>
      <c r="BA264" s="18"/>
      <c r="BB264" s="18"/>
      <c r="BC264" s="18"/>
      <c r="BD264" s="18"/>
      <c r="BE264" s="18"/>
      <c r="BF264" s="18"/>
      <c r="BG264" s="18"/>
      <c r="BH264" s="18"/>
      <c r="BI264" s="18"/>
      <c r="BJ264" s="18"/>
      <c r="BK264" s="18"/>
      <c r="BL264" s="18"/>
      <c r="BM264" s="18"/>
      <c r="BN264" s="18"/>
      <c r="BO264" s="18"/>
      <c r="BP264" s="18"/>
      <c r="BQ264" s="18"/>
      <c r="BR264" s="18"/>
      <c r="BS264" s="18"/>
      <c r="BT264" s="18"/>
      <c r="BU264" s="18"/>
      <c r="BV264" s="18"/>
      <c r="BW264" s="18"/>
      <c r="BX264" s="18"/>
      <c r="BY264" s="18"/>
      <c r="BZ264" s="18"/>
      <c r="CA264" s="18"/>
      <c r="CB264" s="18"/>
      <c r="CC264" s="18"/>
      <c r="CD264" s="18"/>
      <c r="CE264" s="18"/>
      <c r="CF264" s="18"/>
      <c r="CG264" s="18"/>
      <c r="CH264" s="18"/>
      <c r="CI264" s="18"/>
      <c r="CJ264" s="18"/>
      <c r="CK264" s="18"/>
      <c r="CL264" s="18"/>
      <c r="CM264" s="18"/>
      <c r="CN264" s="18"/>
      <c r="CO264" s="18"/>
      <c r="CP264" s="18"/>
      <c r="CQ264" s="18"/>
      <c r="CR264" s="18"/>
      <c r="CS264" s="18"/>
      <c r="CT264" s="18"/>
      <c r="CU264" s="18"/>
      <c r="CV264" s="18"/>
      <c r="CW264" s="18"/>
      <c r="CX264" s="18"/>
      <c r="CY264" s="18"/>
      <c r="CZ264" s="18"/>
      <c r="DA264" s="18"/>
      <c r="DB264" s="18"/>
      <c r="DC264" s="18"/>
      <c r="DD264" s="18"/>
      <c r="DE264" s="18"/>
      <c r="DF264" s="18"/>
      <c r="DG264" s="18"/>
      <c r="DH264" s="18"/>
      <c r="DI264" s="18"/>
      <c r="DJ264" s="18"/>
      <c r="DK264" s="18"/>
      <c r="DL264" s="18"/>
      <c r="DM264" s="18"/>
      <c r="DN264" s="18"/>
      <c r="DO264" s="18"/>
      <c r="DP264" s="18"/>
      <c r="DQ264" s="18"/>
      <c r="DR264" s="18"/>
      <c r="DS264" s="18"/>
      <c r="DT264" s="18"/>
      <c r="DU264" s="18"/>
      <c r="DV264" s="18"/>
      <c r="DW264" s="18"/>
      <c r="DX264" s="18"/>
      <c r="DY264" s="18"/>
      <c r="DZ264" s="18"/>
      <c r="EA264" s="18"/>
      <c r="EB264" s="18"/>
      <c r="EC264" s="18"/>
      <c r="ED264" s="18"/>
      <c r="EE264" s="18"/>
      <c r="EF264" s="18"/>
      <c r="EG264" s="18"/>
      <c r="EH264" s="18"/>
      <c r="EI264" s="18"/>
      <c r="EJ264" s="18"/>
      <c r="EK264" s="18"/>
      <c r="EL264" s="18"/>
      <c r="EM264" s="18"/>
      <c r="EN264" s="18"/>
      <c r="EO264" s="18"/>
      <c r="EP264" s="18"/>
      <c r="EQ264" s="18"/>
      <c r="ER264" s="18"/>
      <c r="ES264" s="18"/>
      <c r="ET264" s="18"/>
      <c r="EU264" s="18"/>
      <c r="EV264" s="18"/>
      <c r="EW264" s="18"/>
      <c r="EX264" s="18"/>
      <c r="EY264" s="18"/>
      <c r="EZ264" s="18"/>
      <c r="FA264" s="18"/>
      <c r="FB264" s="18"/>
      <c r="FC264" s="18"/>
      <c r="FD264" s="18"/>
      <c r="FE264" s="18"/>
      <c r="FF264" s="18"/>
      <c r="FG264" s="18"/>
      <c r="FH264" s="18"/>
      <c r="FI264" s="18"/>
      <c r="FJ264" s="18"/>
      <c r="FK264" s="18"/>
      <c r="FL264" s="18"/>
      <c r="FM264" s="18"/>
      <c r="FN264" s="18"/>
      <c r="FO264" s="18"/>
      <c r="FP264" s="18"/>
      <c r="FQ264" s="18"/>
      <c r="FR264" s="18"/>
      <c r="FS264" s="18"/>
      <c r="FT264" s="18"/>
      <c r="FU264" s="18"/>
      <c r="FV264" s="18"/>
      <c r="FW264" s="18"/>
      <c r="FX264" s="18"/>
      <c r="FY264" s="18"/>
      <c r="FZ264" s="18"/>
      <c r="GA264" s="18"/>
      <c r="GB264" s="18"/>
      <c r="GC264" s="18"/>
      <c r="GD264" s="18"/>
      <c r="GE264" s="18"/>
      <c r="GF264" s="18"/>
      <c r="GG264" s="18"/>
      <c r="GH264" s="18"/>
      <c r="GI264" s="18"/>
      <c r="GJ264" s="18"/>
      <c r="GK264" s="18"/>
      <c r="GL264" s="18"/>
      <c r="GM264" s="18"/>
      <c r="GN264" s="18"/>
      <c r="GO264" s="18"/>
      <c r="GP264" s="18"/>
      <c r="GQ264" s="18"/>
      <c r="GR264" s="18"/>
      <c r="GS264" s="18"/>
      <c r="GT264" s="18"/>
      <c r="GU264" s="18"/>
      <c r="GV264" s="18"/>
      <c r="GW264" s="18"/>
      <c r="GX264" s="18"/>
      <c r="GY264" s="18"/>
      <c r="GZ264" s="18"/>
      <c r="HA264" s="18"/>
      <c r="HB264" s="18"/>
      <c r="HC264" s="18"/>
      <c r="HD264" s="18"/>
      <c r="HE264" s="18"/>
      <c r="HF264" s="18"/>
      <c r="HG264" s="18"/>
      <c r="HH264" s="18"/>
      <c r="HI264" s="18"/>
      <c r="HJ264" s="18"/>
      <c r="HK264" s="18"/>
      <c r="HL264" s="18"/>
      <c r="HM264" s="18"/>
      <c r="HN264" s="18"/>
      <c r="HO264" s="18"/>
      <c r="HP264" s="18"/>
      <c r="HQ264" s="18"/>
      <c r="HR264" s="18"/>
      <c r="HS264" s="18"/>
      <c r="HT264" s="18"/>
      <c r="HU264" s="18"/>
      <c r="HV264" s="18"/>
      <c r="HW264" s="18"/>
      <c r="HX264" s="18"/>
      <c r="HY264" s="18"/>
      <c r="HZ264" s="18"/>
      <c r="IA264" s="18"/>
      <c r="IB264" s="18"/>
      <c r="IC264" s="18"/>
      <c r="ID264" s="18"/>
      <c r="IE264" s="18"/>
      <c r="IF264" s="18"/>
      <c r="IG264" s="18"/>
      <c r="IH264" s="18"/>
      <c r="II264" s="18"/>
      <c r="IJ264" s="18"/>
      <c r="IK264" s="18"/>
      <c r="IL264" s="18"/>
      <c r="IM264" s="18"/>
      <c r="IN264" s="18"/>
      <c r="IO264" s="18"/>
      <c r="IP264" s="18"/>
      <c r="IQ264" s="18"/>
      <c r="IR264" s="18"/>
      <c r="IS264" s="18"/>
      <c r="IT264" s="18"/>
      <c r="IU264" s="18"/>
      <c r="IV264" s="18"/>
      <c r="IW264" s="18"/>
      <c r="IX264" s="18"/>
      <c r="IY264" s="18"/>
      <c r="IZ264" s="18"/>
      <c r="JA264" s="18"/>
      <c r="JB264" s="18"/>
      <c r="JC264" s="18"/>
      <c r="JD264" s="18"/>
      <c r="JE264" s="18"/>
      <c r="JF264" s="18"/>
      <c r="JG264" s="18"/>
      <c r="JH264" s="18"/>
      <c r="JI264" s="18"/>
      <c r="JJ264" s="18"/>
      <c r="JK264" s="18"/>
      <c r="JL264" s="18"/>
      <c r="JM264" s="18"/>
      <c r="JN264" s="18"/>
      <c r="JO264" s="18"/>
      <c r="JP264" s="18"/>
      <c r="JQ264" s="18"/>
      <c r="JR264" s="18"/>
      <c r="JS264" s="18"/>
      <c r="JT264" s="18"/>
      <c r="JU264" s="18"/>
      <c r="JV264" s="18"/>
      <c r="JW264" s="18"/>
      <c r="JX264" s="18"/>
      <c r="JY264" s="18"/>
      <c r="JZ264" s="18"/>
      <c r="KA264" s="18"/>
      <c r="KB264" s="18"/>
      <c r="KC264" s="18"/>
      <c r="KD264" s="18"/>
      <c r="KE264" s="18"/>
      <c r="KF264" s="18"/>
      <c r="KG264" s="18"/>
      <c r="KH264" s="18"/>
      <c r="KI264" s="18"/>
      <c r="KJ264" s="18"/>
      <c r="KK264" s="18"/>
      <c r="KL264" s="18"/>
      <c r="KM264" s="18"/>
      <c r="KN264" s="18"/>
      <c r="KO264" s="18"/>
      <c r="KP264" s="18"/>
      <c r="KQ264" s="18"/>
      <c r="KR264" s="18"/>
      <c r="KS264" s="18"/>
      <c r="KT264" s="18"/>
      <c r="KU264" s="18"/>
      <c r="KV264" s="18"/>
      <c r="KW264" s="18"/>
      <c r="KX264" s="18"/>
      <c r="KY264" s="18"/>
      <c r="KZ264" s="18"/>
      <c r="LA264" s="18"/>
      <c r="LB264" s="18"/>
      <c r="LC264" s="18"/>
      <c r="LD264" s="18"/>
      <c r="LE264" s="18"/>
      <c r="LF264" s="18"/>
      <c r="LG264" s="18"/>
      <c r="LH264" s="18"/>
      <c r="LI264" s="18"/>
      <c r="LJ264" s="18"/>
      <c r="LK264" s="18"/>
      <c r="LL264" s="18"/>
      <c r="LM264" s="18"/>
      <c r="LN264" s="18"/>
      <c r="LO264" s="18"/>
      <c r="LP264" s="18"/>
      <c r="LQ264" s="18"/>
      <c r="LR264" s="18"/>
      <c r="LS264" s="18"/>
      <c r="LT264" s="18"/>
      <c r="LU264" s="18"/>
      <c r="LV264" s="18"/>
      <c r="LW264" s="18"/>
      <c r="LX264" s="18"/>
      <c r="LY264" s="18"/>
      <c r="LZ264" s="18"/>
      <c r="MA264" s="18"/>
      <c r="MB264" s="18"/>
      <c r="MC264" s="18"/>
      <c r="MD264" s="18"/>
      <c r="ME264" s="18"/>
      <c r="MF264" s="18"/>
      <c r="MG264" s="18"/>
      <c r="MH264" s="18"/>
      <c r="MI264" s="18"/>
      <c r="MJ264" s="18"/>
      <c r="MK264" s="18"/>
      <c r="ML264" s="18"/>
      <c r="MM264" s="18"/>
      <c r="MN264" s="18"/>
      <c r="MO264" s="18"/>
      <c r="MP264" s="18"/>
      <c r="MQ264" s="18"/>
      <c r="MR264" s="18"/>
      <c r="MS264" s="18"/>
      <c r="MT264" s="18"/>
      <c r="MU264" s="18"/>
      <c r="MV264" s="18"/>
      <c r="MW264" s="18"/>
      <c r="MX264" s="18"/>
      <c r="MY264" s="18"/>
      <c r="MZ264" s="18"/>
      <c r="NA264" s="18"/>
      <c r="NB264" s="18"/>
      <c r="NC264" s="18"/>
      <c r="ND264" s="18"/>
      <c r="NE264" s="18"/>
      <c r="NF264" s="18"/>
      <c r="NG264" s="18"/>
      <c r="NH264" s="18"/>
      <c r="NI264" s="18"/>
      <c r="NJ264" s="18"/>
      <c r="NK264" s="18"/>
      <c r="NL264" s="18"/>
      <c r="NM264" s="18"/>
      <c r="NN264" s="18"/>
      <c r="NO264" s="18"/>
      <c r="NP264" s="18"/>
      <c r="NQ264" s="18"/>
      <c r="NR264" s="18"/>
      <c r="NS264" s="18"/>
      <c r="NT264" s="18"/>
      <c r="NU264" s="18"/>
      <c r="NV264" s="18"/>
      <c r="NW264" s="18"/>
      <c r="NX264" s="18"/>
      <c r="NY264" s="18"/>
      <c r="NZ264" s="18"/>
      <c r="OA264" s="18"/>
      <c r="OB264" s="18"/>
      <c r="OC264" s="18"/>
      <c r="OD264" s="18"/>
      <c r="OE264" s="18"/>
      <c r="OF264" s="18"/>
      <c r="OG264" s="18"/>
      <c r="OH264" s="18"/>
      <c r="OI264" s="18"/>
      <c r="OJ264" s="18"/>
      <c r="OK264" s="18"/>
      <c r="OL264" s="18"/>
      <c r="OM264" s="18"/>
      <c r="ON264" s="18"/>
      <c r="OO264" s="18"/>
      <c r="OP264" s="18"/>
      <c r="OQ264" s="18"/>
      <c r="OR264" s="18"/>
      <c r="OS264" s="18"/>
      <c r="OT264" s="18"/>
      <c r="OU264" s="18"/>
      <c r="OV264" s="18"/>
      <c r="OW264" s="18"/>
      <c r="OX264" s="18"/>
      <c r="OY264" s="18"/>
      <c r="OZ264" s="18"/>
      <c r="PA264" s="18"/>
      <c r="PB264" s="18"/>
      <c r="PC264" s="18"/>
      <c r="PD264" s="18"/>
      <c r="PE264" s="18"/>
      <c r="PF264" s="18"/>
      <c r="PG264" s="18"/>
      <c r="PH264" s="18"/>
      <c r="PI264" s="18"/>
      <c r="PJ264" s="18"/>
      <c r="PK264" s="18"/>
      <c r="PL264" s="18"/>
      <c r="PM264" s="18"/>
      <c r="PN264" s="18"/>
      <c r="PO264" s="18"/>
      <c r="PP264" s="18"/>
      <c r="PQ264" s="18"/>
      <c r="PR264" s="18"/>
      <c r="PS264" s="18"/>
      <c r="PT264" s="18"/>
      <c r="PU264" s="18"/>
      <c r="PV264" s="18"/>
      <c r="PW264" s="18"/>
      <c r="PX264" s="18"/>
      <c r="PY264" s="18"/>
      <c r="PZ264" s="18"/>
      <c r="QA264" s="18"/>
      <c r="QB264" s="18"/>
      <c r="QC264" s="18"/>
      <c r="QD264" s="18"/>
      <c r="QE264" s="18"/>
      <c r="QF264" s="18"/>
      <c r="QG264" s="18"/>
      <c r="QH264" s="18"/>
      <c r="QI264" s="18"/>
      <c r="QJ264" s="18"/>
      <c r="QK264" s="18"/>
      <c r="QL264" s="18"/>
      <c r="QM264" s="18"/>
      <c r="QN264" s="18"/>
      <c r="QO264" s="18"/>
      <c r="QP264" s="18"/>
      <c r="QQ264" s="18"/>
      <c r="QR264" s="18"/>
      <c r="QS264" s="18"/>
      <c r="QT264" s="18"/>
      <c r="QU264" s="18"/>
      <c r="QV264" s="18"/>
      <c r="QW264" s="18"/>
      <c r="QX264" s="18"/>
      <c r="QY264" s="18"/>
      <c r="QZ264" s="18"/>
      <c r="RA264" s="18"/>
      <c r="RB264" s="18"/>
      <c r="RC264" s="18"/>
      <c r="RD264" s="18"/>
      <c r="RE264" s="18"/>
      <c r="RF264" s="18"/>
      <c r="RG264" s="18"/>
      <c r="RH264" s="18"/>
      <c r="RI264" s="18"/>
      <c r="RJ264" s="18"/>
      <c r="RK264" s="18"/>
      <c r="RL264" s="18"/>
      <c r="RM264" s="18"/>
      <c r="RN264" s="18"/>
      <c r="RO264" s="18"/>
      <c r="RP264" s="18"/>
      <c r="RQ264" s="18"/>
      <c r="RR264" s="18"/>
      <c r="RS264" s="18"/>
      <c r="RT264" s="18"/>
      <c r="RU264" s="18"/>
      <c r="RV264" s="18"/>
      <c r="RW264" s="18"/>
      <c r="RX264" s="18"/>
      <c r="RY264" s="18"/>
      <c r="RZ264" s="18"/>
      <c r="SA264" s="18"/>
      <c r="SB264" s="18"/>
      <c r="SC264" s="18"/>
      <c r="SD264" s="18"/>
      <c r="SE264" s="18"/>
      <c r="SF264" s="18"/>
      <c r="SG264" s="18"/>
      <c r="SH264" s="18"/>
      <c r="SI264" s="18"/>
      <c r="SJ264" s="18"/>
      <c r="SK264" s="18"/>
      <c r="SL264" s="18"/>
      <c r="SM264" s="18"/>
      <c r="SN264" s="18"/>
      <c r="SO264" s="18"/>
      <c r="SP264" s="18"/>
      <c r="SQ264" s="18"/>
      <c r="SR264" s="18"/>
      <c r="SS264" s="18"/>
      <c r="ST264" s="18"/>
      <c r="SU264" s="18"/>
      <c r="SV264" s="18"/>
      <c r="SW264" s="18"/>
      <c r="SX264" s="18"/>
      <c r="SY264" s="18"/>
      <c r="SZ264" s="18"/>
      <c r="TA264" s="18"/>
      <c r="TB264" s="18"/>
      <c r="TC264" s="18"/>
      <c r="TD264" s="18"/>
      <c r="TE264" s="18"/>
      <c r="TF264" s="18"/>
      <c r="TG264" s="18"/>
      <c r="TH264" s="18"/>
      <c r="TI264" s="18"/>
      <c r="TJ264" s="18"/>
      <c r="TK264" s="18"/>
      <c r="TL264" s="18"/>
      <c r="TM264" s="18"/>
      <c r="TN264" s="18"/>
      <c r="TO264" s="18"/>
      <c r="TP264" s="18"/>
      <c r="TQ264" s="18"/>
      <c r="TR264" s="18"/>
      <c r="TS264" s="18"/>
      <c r="TT264" s="18"/>
      <c r="TU264" s="18"/>
      <c r="TV264" s="18"/>
      <c r="TW264" s="18"/>
      <c r="TX264" s="18"/>
      <c r="TY264" s="18"/>
      <c r="TZ264" s="18"/>
      <c r="UA264" s="18"/>
      <c r="UB264" s="18"/>
      <c r="UC264" s="18"/>
      <c r="UD264" s="18"/>
      <c r="UE264" s="18"/>
      <c r="UF264" s="18"/>
      <c r="UG264" s="18"/>
      <c r="UH264" s="18"/>
      <c r="UI264" s="18"/>
      <c r="UJ264" s="18"/>
      <c r="UK264" s="18"/>
      <c r="UL264" s="18"/>
      <c r="UM264" s="18"/>
      <c r="UN264" s="18"/>
      <c r="UO264" s="18"/>
      <c r="UP264" s="18"/>
      <c r="UQ264" s="18"/>
      <c r="UR264" s="18"/>
      <c r="US264" s="18"/>
      <c r="UT264" s="18"/>
      <c r="UU264" s="18"/>
      <c r="UV264" s="18"/>
      <c r="UW264" s="18"/>
      <c r="UX264" s="18"/>
      <c r="UY264" s="18"/>
      <c r="UZ264" s="18"/>
      <c r="VA264" s="18"/>
      <c r="VB264" s="18"/>
      <c r="VC264" s="18"/>
      <c r="VD264" s="18"/>
      <c r="VE264" s="18"/>
      <c r="VF264" s="18"/>
      <c r="VG264" s="18"/>
      <c r="VH264" s="18"/>
      <c r="VI264" s="18"/>
      <c r="VJ264" s="18"/>
      <c r="VK264" s="18"/>
      <c r="VL264" s="18"/>
      <c r="VM264" s="18"/>
      <c r="VN264" s="18"/>
      <c r="VO264" s="18"/>
      <c r="VP264" s="18"/>
      <c r="VQ264" s="18"/>
      <c r="VR264" s="18"/>
      <c r="VS264" s="18"/>
      <c r="VT264" s="18"/>
      <c r="VU264" s="18"/>
      <c r="VV264" s="18"/>
      <c r="VW264" s="18"/>
      <c r="VX264" s="18"/>
      <c r="VY264" s="18"/>
      <c r="VZ264" s="18"/>
      <c r="WA264" s="18"/>
      <c r="WB264" s="18"/>
      <c r="WC264" s="18"/>
      <c r="WD264" s="18"/>
      <c r="WE264" s="18"/>
      <c r="WF264" s="18"/>
      <c r="WG264" s="18"/>
      <c r="WH264" s="18"/>
      <c r="WI264" s="18"/>
      <c r="WJ264" s="18"/>
      <c r="WK264" s="18"/>
      <c r="WL264" s="18"/>
      <c r="WM264" s="18"/>
      <c r="WN264" s="18"/>
      <c r="WO264" s="18"/>
      <c r="WP264" s="18"/>
      <c r="WQ264" s="18"/>
      <c r="WR264" s="18"/>
      <c r="WS264" s="18"/>
      <c r="WT264" s="18"/>
      <c r="WU264" s="18"/>
      <c r="WV264" s="18"/>
      <c r="WW264" s="18"/>
      <c r="WX264" s="18"/>
      <c r="WY264" s="18"/>
      <c r="WZ264" s="18"/>
      <c r="XA264" s="18"/>
      <c r="XB264" s="18"/>
      <c r="XC264" s="18"/>
      <c r="XD264" s="18"/>
      <c r="XE264" s="18"/>
      <c r="XF264" s="18"/>
      <c r="XG264" s="18"/>
      <c r="XH264" s="18"/>
      <c r="XI264" s="18"/>
      <c r="XJ264" s="18"/>
      <c r="XK264" s="18"/>
      <c r="XL264" s="18"/>
      <c r="XM264" s="18"/>
      <c r="XN264" s="18"/>
      <c r="XO264" s="18"/>
      <c r="XP264" s="18"/>
      <c r="XQ264" s="18"/>
      <c r="XR264" s="18"/>
      <c r="XS264" s="18"/>
      <c r="XT264" s="18"/>
      <c r="XU264" s="18"/>
      <c r="XV264" s="18"/>
      <c r="XW264" s="18"/>
      <c r="XX264" s="18"/>
      <c r="XY264" s="18"/>
      <c r="XZ264" s="18"/>
      <c r="YA264" s="18"/>
      <c r="YB264" s="18"/>
      <c r="YC264" s="18"/>
      <c r="YD264" s="18"/>
      <c r="YE264" s="18"/>
      <c r="YF264" s="18"/>
      <c r="YG264" s="18"/>
      <c r="YH264" s="18"/>
      <c r="YI264" s="18"/>
      <c r="YJ264" s="18"/>
      <c r="YK264" s="18"/>
      <c r="YL264" s="18"/>
      <c r="YM264" s="18"/>
      <c r="YN264" s="18"/>
      <c r="YO264" s="18"/>
      <c r="YP264" s="18"/>
      <c r="YQ264" s="18"/>
      <c r="YR264" s="18"/>
      <c r="YS264" s="18"/>
      <c r="YT264" s="18"/>
      <c r="YU264" s="18"/>
      <c r="YV264" s="18"/>
      <c r="YW264" s="18"/>
      <c r="YX264" s="18"/>
      <c r="YY264" s="18"/>
      <c r="YZ264" s="18"/>
      <c r="ZA264" s="18"/>
      <c r="ZB264" s="18"/>
      <c r="ZC264" s="18"/>
      <c r="ZD264" s="18"/>
      <c r="ZE264" s="18"/>
      <c r="ZF264" s="18"/>
      <c r="ZG264" s="18"/>
      <c r="ZH264" s="18"/>
      <c r="ZI264" s="18"/>
      <c r="ZJ264" s="18"/>
      <c r="ZK264" s="18"/>
      <c r="ZL264" s="18"/>
      <c r="ZM264" s="18"/>
      <c r="ZN264" s="18"/>
      <c r="ZO264" s="18"/>
      <c r="ZP264" s="18"/>
      <c r="ZQ264" s="18"/>
      <c r="ZR264" s="18"/>
      <c r="ZS264" s="18"/>
      <c r="ZT264" s="18"/>
      <c r="ZU264" s="18"/>
      <c r="ZV264" s="18"/>
      <c r="ZW264" s="18"/>
      <c r="ZX264" s="18"/>
      <c r="ZY264" s="18"/>
      <c r="ZZ264" s="18"/>
      <c r="AAA264" s="18"/>
      <c r="AAB264" s="18"/>
      <c r="AAC264" s="18"/>
      <c r="AAD264" s="18"/>
      <c r="AAE264" s="18"/>
      <c r="AAF264" s="18"/>
      <c r="AAG264" s="18"/>
      <c r="AAH264" s="18"/>
      <c r="AAI264" s="18"/>
      <c r="AAJ264" s="18"/>
      <c r="AAK264" s="18"/>
      <c r="AAL264" s="18"/>
      <c r="AAM264" s="18"/>
      <c r="AAN264" s="18"/>
      <c r="AAO264" s="18"/>
      <c r="AAP264" s="18"/>
      <c r="AAQ264" s="18"/>
      <c r="AAR264" s="18"/>
      <c r="AAS264" s="18"/>
      <c r="AAT264" s="18"/>
      <c r="AAU264" s="18"/>
      <c r="AAV264" s="18"/>
      <c r="AAW264" s="18"/>
      <c r="AAX264" s="18"/>
      <c r="AAY264" s="18"/>
      <c r="AAZ264" s="18"/>
      <c r="ABA264" s="18"/>
      <c r="ABB264" s="18"/>
      <c r="ABC264" s="18"/>
      <c r="ABD264" s="18"/>
      <c r="ABE264" s="18"/>
      <c r="ABF264" s="18"/>
      <c r="ABG264" s="18"/>
      <c r="ABH264" s="18"/>
      <c r="ABI264" s="18"/>
      <c r="ABJ264" s="18"/>
      <c r="ABK264" s="18"/>
      <c r="ABL264" s="18"/>
      <c r="ABM264" s="18"/>
      <c r="ABN264" s="18"/>
      <c r="ABO264" s="18"/>
      <c r="ABP264" s="18"/>
      <c r="ABQ264" s="18"/>
      <c r="ABR264" s="18"/>
      <c r="ABS264" s="18"/>
      <c r="ABT264" s="18"/>
      <c r="ABU264" s="18"/>
      <c r="ABV264" s="18"/>
      <c r="ABW264" s="18"/>
      <c r="ABX264" s="18"/>
      <c r="ABY264" s="18"/>
      <c r="ABZ264" s="18"/>
      <c r="ACA264" s="18"/>
      <c r="ACB264" s="18"/>
      <c r="ACC264" s="18"/>
      <c r="ACD264" s="18"/>
      <c r="ACE264" s="18"/>
      <c r="ACF264" s="18"/>
      <c r="ACG264" s="18"/>
      <c r="ACH264" s="18"/>
      <c r="ACI264" s="18"/>
      <c r="ACJ264" s="18"/>
      <c r="ACK264" s="18"/>
      <c r="ACL264" s="18"/>
      <c r="ACM264" s="18"/>
      <c r="ACN264" s="18"/>
      <c r="ACO264" s="18"/>
      <c r="ACP264" s="18"/>
      <c r="ACQ264" s="18"/>
      <c r="ACR264" s="18"/>
      <c r="ACS264" s="18"/>
      <c r="ACT264" s="18"/>
      <c r="ACU264" s="18"/>
      <c r="ACV264" s="18"/>
      <c r="ACW264" s="18"/>
      <c r="ACX264" s="18"/>
      <c r="ACY264" s="18"/>
      <c r="ACZ264" s="18"/>
      <c r="ADA264" s="18"/>
      <c r="ADB264" s="18"/>
      <c r="ADC264" s="18"/>
      <c r="ADD264" s="18"/>
      <c r="ADE264" s="18"/>
      <c r="ADF264" s="18"/>
      <c r="ADG264" s="18"/>
      <c r="ADH264" s="18"/>
      <c r="ADI264" s="18"/>
      <c r="ADJ264" s="18"/>
      <c r="ADK264" s="18"/>
      <c r="ADL264" s="18"/>
      <c r="ADM264" s="18"/>
      <c r="ADN264" s="18"/>
      <c r="ADO264" s="18"/>
      <c r="ADP264" s="18"/>
      <c r="ADQ264" s="18"/>
      <c r="ADR264" s="18"/>
      <c r="ADS264" s="18"/>
      <c r="ADT264" s="18"/>
      <c r="ADU264" s="18"/>
      <c r="ADV264" s="18"/>
      <c r="ADW264" s="18"/>
      <c r="ADX264" s="18"/>
      <c r="ADY264" s="18"/>
      <c r="ADZ264" s="18"/>
      <c r="AEA264" s="18"/>
      <c r="AEB264" s="18"/>
      <c r="AEC264" s="18"/>
      <c r="AED264" s="18"/>
      <c r="AEE264" s="18"/>
      <c r="AEF264" s="18"/>
      <c r="AEG264" s="18"/>
      <c r="AEH264" s="18"/>
      <c r="AEI264" s="18"/>
      <c r="AEJ264" s="18"/>
      <c r="AEK264" s="18"/>
      <c r="AEL264" s="18"/>
      <c r="AEM264" s="18"/>
      <c r="AEN264" s="18"/>
      <c r="AEO264" s="18"/>
      <c r="AEP264" s="18"/>
      <c r="AEQ264" s="18"/>
      <c r="AER264" s="18"/>
      <c r="AES264" s="18"/>
      <c r="AET264" s="18"/>
      <c r="AEU264" s="18"/>
      <c r="AEV264" s="18"/>
      <c r="AEW264" s="18"/>
      <c r="AEX264" s="18"/>
      <c r="AEY264" s="18"/>
      <c r="AEZ264" s="18"/>
      <c r="AFA264" s="18"/>
      <c r="AFB264" s="18"/>
      <c r="AFC264" s="18"/>
      <c r="AFD264" s="18"/>
      <c r="AFE264" s="18"/>
      <c r="AFF264" s="18"/>
      <c r="AFG264" s="18"/>
      <c r="AFH264" s="18"/>
      <c r="AFI264" s="18"/>
      <c r="AFJ264" s="18"/>
      <c r="AFK264" s="18"/>
      <c r="AFL264" s="18"/>
      <c r="AFM264" s="18"/>
      <c r="AFN264" s="18"/>
      <c r="AFO264" s="18"/>
      <c r="AFP264" s="18"/>
      <c r="AFQ264" s="18"/>
      <c r="AFR264" s="18"/>
      <c r="AFS264" s="18"/>
      <c r="AFT264" s="18"/>
      <c r="AFU264" s="18"/>
      <c r="AFV264" s="18"/>
      <c r="AFW264" s="18"/>
      <c r="AFX264" s="18"/>
      <c r="AFY264" s="18"/>
      <c r="AFZ264" s="18"/>
      <c r="AGA264" s="18"/>
      <c r="AGB264" s="18"/>
      <c r="AGC264" s="18"/>
      <c r="AGD264" s="18"/>
      <c r="AGE264" s="18"/>
      <c r="AGF264" s="18"/>
      <c r="AGG264" s="18"/>
      <c r="AGH264" s="18"/>
      <c r="AGI264" s="18"/>
      <c r="AGJ264" s="18"/>
      <c r="AGK264" s="18"/>
      <c r="AGL264" s="18"/>
      <c r="AGM264" s="18"/>
      <c r="AGN264" s="18"/>
      <c r="AGO264" s="18"/>
      <c r="AGP264" s="18"/>
      <c r="AGQ264" s="18"/>
      <c r="AGR264" s="18"/>
      <c r="AGS264" s="18"/>
      <c r="AGT264" s="18"/>
      <c r="AGU264" s="18"/>
      <c r="AGV264" s="18"/>
      <c r="AGW264" s="18"/>
      <c r="AGX264" s="18"/>
      <c r="AGY264" s="18"/>
      <c r="AGZ264" s="18"/>
      <c r="AHA264" s="18"/>
      <c r="AHB264" s="18"/>
      <c r="AHC264" s="18"/>
      <c r="AHD264" s="18"/>
      <c r="AHE264" s="18"/>
      <c r="AHF264" s="18"/>
      <c r="AHG264" s="18"/>
      <c r="AHH264" s="18"/>
      <c r="AHI264" s="18"/>
      <c r="AHJ264" s="18"/>
      <c r="AHK264" s="18"/>
      <c r="AHL264" s="18"/>
      <c r="AHM264" s="18"/>
      <c r="AHN264" s="18"/>
      <c r="AHO264" s="18"/>
      <c r="AHP264" s="18"/>
      <c r="AHQ264" s="18"/>
      <c r="AHR264" s="18"/>
      <c r="AHS264" s="18"/>
      <c r="AHT264" s="18"/>
      <c r="AHU264" s="18"/>
      <c r="AHV264" s="18"/>
      <c r="AHW264" s="18"/>
      <c r="AHX264" s="18"/>
      <c r="AHY264" s="18"/>
      <c r="AHZ264" s="18"/>
      <c r="AIA264" s="18"/>
      <c r="AIB264" s="18"/>
      <c r="AIC264" s="18"/>
      <c r="AID264" s="18"/>
      <c r="AIE264" s="18"/>
      <c r="AIF264" s="18"/>
      <c r="AIG264" s="18"/>
      <c r="AIH264" s="18"/>
      <c r="AII264" s="18"/>
      <c r="AIJ264" s="18"/>
      <c r="AIK264" s="18"/>
      <c r="AIL264" s="18"/>
      <c r="AIM264" s="18"/>
      <c r="AIN264" s="18"/>
      <c r="AIO264" s="18"/>
      <c r="AIP264" s="18"/>
      <c r="AIQ264" s="18"/>
      <c r="AIR264" s="18"/>
      <c r="AIS264" s="18"/>
      <c r="AIT264" s="18"/>
      <c r="AIU264" s="18"/>
      <c r="AIV264" s="18"/>
      <c r="AIW264" s="18"/>
      <c r="AIX264" s="18"/>
      <c r="AIY264" s="18"/>
      <c r="AIZ264" s="18"/>
      <c r="AJA264" s="18"/>
      <c r="AJB264" s="18"/>
      <c r="AJC264" s="18"/>
      <c r="AJD264" s="18"/>
      <c r="AJE264" s="18"/>
      <c r="AJF264" s="18"/>
      <c r="AJG264" s="18"/>
      <c r="AJH264" s="18"/>
      <c r="AJI264" s="18"/>
      <c r="AJJ264" s="18"/>
      <c r="AJK264" s="18"/>
      <c r="AJL264" s="18"/>
      <c r="AJM264" s="18"/>
      <c r="AJN264" s="18"/>
      <c r="AJO264" s="18"/>
      <c r="AJP264" s="18"/>
      <c r="AJQ264" s="18"/>
      <c r="AJR264" s="18"/>
      <c r="AJS264" s="18"/>
      <c r="AJT264" s="18"/>
      <c r="AJU264" s="18"/>
      <c r="AJV264" s="18"/>
      <c r="AJW264" s="18"/>
      <c r="AJX264" s="18"/>
      <c r="AJY264" s="18"/>
      <c r="AJZ264" s="18"/>
      <c r="AKA264" s="18"/>
      <c r="AKB264" s="18"/>
      <c r="AKC264" s="18"/>
      <c r="AKD264" s="18"/>
      <c r="AKE264" s="18"/>
      <c r="AKF264" s="18"/>
      <c r="AKG264" s="18"/>
      <c r="AKH264" s="18"/>
      <c r="AKI264" s="18"/>
      <c r="AKJ264" s="18"/>
      <c r="AKK264" s="18"/>
      <c r="AKL264" s="18"/>
      <c r="AKM264" s="18"/>
      <c r="AKN264" s="18"/>
      <c r="AKO264" s="18"/>
      <c r="AKP264" s="18"/>
      <c r="AKQ264" s="18"/>
      <c r="AKR264" s="18"/>
      <c r="AKS264" s="18"/>
      <c r="AKT264" s="18"/>
      <c r="AKU264" s="18"/>
      <c r="AKV264" s="18"/>
      <c r="AKW264" s="18"/>
      <c r="AKX264" s="18"/>
      <c r="AKY264" s="18"/>
      <c r="AKZ264" s="18"/>
      <c r="ALA264" s="18"/>
      <c r="ALB264" s="18"/>
      <c r="ALC264" s="18"/>
      <c r="ALD264" s="18"/>
      <c r="ALE264" s="18"/>
      <c r="ALF264" s="18"/>
      <c r="ALG264" s="18"/>
      <c r="ALH264" s="18"/>
      <c r="ALI264" s="18"/>
      <c r="ALJ264" s="18"/>
      <c r="ALK264" s="18"/>
      <c r="ALL264" s="18"/>
      <c r="ALM264" s="18"/>
      <c r="ALN264" s="18"/>
      <c r="ALO264" s="18"/>
      <c r="ALP264" s="18"/>
      <c r="ALQ264" s="18"/>
      <c r="ALR264" s="18"/>
      <c r="ALS264" s="18"/>
      <c r="ALT264" s="18"/>
      <c r="ALU264" s="18"/>
      <c r="ALV264" s="18"/>
      <c r="ALW264" s="18"/>
      <c r="ALX264" s="18"/>
      <c r="ALY264" s="18"/>
      <c r="ALZ264" s="18"/>
      <c r="AMA264" s="18"/>
      <c r="AMB264" s="18"/>
      <c r="AMC264" s="18"/>
      <c r="AMD264" s="18"/>
      <c r="AME264" s="18"/>
      <c r="AMF264" s="18"/>
      <c r="AMG264" s="18"/>
      <c r="AMH264" s="18"/>
      <c r="AMI264" s="18"/>
      <c r="AMJ264" s="18"/>
      <c r="AMK264" s="18"/>
      <c r="AML264" s="18"/>
      <c r="AMM264" s="18"/>
      <c r="AMN264" s="18"/>
      <c r="AMO264" s="18"/>
      <c r="AMP264" s="18"/>
      <c r="AMQ264" s="18"/>
      <c r="AMR264" s="18"/>
      <c r="AMS264" s="18"/>
      <c r="AMT264" s="18"/>
      <c r="AMU264" s="18"/>
      <c r="AMV264" s="18"/>
      <c r="AMW264" s="18"/>
      <c r="AMX264" s="18"/>
      <c r="AMY264" s="18"/>
      <c r="AMZ264" s="18"/>
      <c r="ANA264" s="18"/>
      <c r="ANB264" s="18"/>
      <c r="ANC264" s="18"/>
      <c r="AND264" s="18"/>
      <c r="ANE264" s="18"/>
      <c r="ANF264" s="18"/>
      <c r="ANG264" s="18"/>
      <c r="ANH264" s="18"/>
      <c r="ANI264" s="18"/>
      <c r="ANJ264" s="18"/>
      <c r="ANK264" s="18"/>
      <c r="ANL264" s="18"/>
      <c r="ANM264" s="18"/>
      <c r="ANN264" s="18"/>
      <c r="ANO264" s="18"/>
      <c r="ANP264" s="18"/>
      <c r="ANQ264" s="18"/>
      <c r="ANR264" s="18"/>
      <c r="ANS264" s="18"/>
      <c r="ANT264" s="18"/>
      <c r="ANU264" s="18"/>
      <c r="ANV264" s="18"/>
      <c r="ANW264" s="18"/>
      <c r="ANX264" s="18"/>
      <c r="ANY264" s="18"/>
      <c r="ANZ264" s="18"/>
      <c r="AOA264" s="18"/>
      <c r="AOB264" s="18"/>
      <c r="AOC264" s="18"/>
      <c r="AOD264" s="18"/>
      <c r="AOE264" s="18"/>
      <c r="AOF264" s="18"/>
      <c r="AOG264" s="18"/>
      <c r="AOH264" s="18"/>
      <c r="AOI264" s="18"/>
      <c r="AOJ264" s="18"/>
      <c r="AOK264" s="18"/>
      <c r="AOL264" s="18"/>
      <c r="AOM264" s="18"/>
      <c r="AON264" s="18"/>
      <c r="AOO264" s="18"/>
      <c r="AOP264" s="18"/>
      <c r="AOQ264" s="18"/>
      <c r="AOR264" s="18"/>
      <c r="AOS264" s="18"/>
      <c r="AOT264" s="18"/>
      <c r="AOU264" s="18"/>
      <c r="AOV264" s="18"/>
      <c r="AOW264" s="18"/>
      <c r="AOX264" s="18"/>
      <c r="AOY264" s="18"/>
      <c r="AOZ264" s="18"/>
      <c r="APA264" s="18"/>
      <c r="APB264" s="18"/>
      <c r="APC264" s="18"/>
      <c r="APD264" s="18"/>
      <c r="APE264" s="18"/>
      <c r="APF264" s="18"/>
      <c r="APG264" s="18"/>
      <c r="APH264" s="18"/>
      <c r="API264" s="18"/>
      <c r="APJ264" s="18"/>
      <c r="APK264" s="18"/>
      <c r="APL264" s="18"/>
      <c r="APM264" s="18"/>
      <c r="APN264" s="18"/>
      <c r="APO264" s="18"/>
      <c r="APP264" s="18"/>
      <c r="APQ264" s="18"/>
      <c r="APR264" s="18"/>
      <c r="APS264" s="18"/>
      <c r="APT264" s="18"/>
      <c r="APU264" s="18"/>
      <c r="APV264" s="18"/>
      <c r="APW264" s="18"/>
      <c r="APX264" s="18"/>
      <c r="APY264" s="18"/>
      <c r="APZ264" s="18"/>
      <c r="AQA264" s="18"/>
      <c r="AQB264" s="18"/>
      <c r="AQC264" s="18"/>
      <c r="AQD264" s="18"/>
      <c r="AQE264" s="18"/>
      <c r="AQF264" s="18"/>
      <c r="AQG264" s="18"/>
      <c r="AQH264" s="18"/>
      <c r="AQI264" s="18"/>
      <c r="AQJ264" s="18"/>
      <c r="AQK264" s="18"/>
      <c r="AQL264" s="18"/>
      <c r="AQM264" s="18"/>
      <c r="AQN264" s="18"/>
      <c r="AQO264" s="18"/>
      <c r="AQP264" s="18"/>
      <c r="AQQ264" s="18"/>
      <c r="AQR264" s="18"/>
      <c r="AQS264" s="18"/>
      <c r="AQT264" s="18"/>
      <c r="AQU264" s="18"/>
      <c r="AQV264" s="18"/>
      <c r="AQW264" s="18"/>
      <c r="AQX264" s="18"/>
      <c r="AQY264" s="18"/>
      <c r="AQZ264" s="18"/>
      <c r="ARA264" s="18"/>
      <c r="ARB264" s="18"/>
      <c r="ARC264" s="18"/>
      <c r="ARD264" s="18"/>
      <c r="ARE264" s="18"/>
      <c r="ARF264" s="18"/>
      <c r="ARG264" s="18"/>
      <c r="ARH264" s="18"/>
      <c r="ARI264" s="18"/>
      <c r="ARJ264" s="18"/>
      <c r="ARK264" s="18"/>
      <c r="ARL264" s="18"/>
      <c r="ARM264" s="18"/>
      <c r="ARN264" s="18"/>
      <c r="ARO264" s="18"/>
      <c r="ARP264" s="18"/>
      <c r="ARQ264" s="18"/>
      <c r="ARR264" s="18"/>
      <c r="ARS264" s="18"/>
      <c r="ART264" s="18"/>
      <c r="ARU264" s="18"/>
      <c r="ARV264" s="18"/>
      <c r="ARW264" s="18"/>
      <c r="ARX264" s="18"/>
      <c r="ARY264" s="18"/>
      <c r="ARZ264" s="18"/>
      <c r="ASA264" s="18"/>
      <c r="ASB264" s="18"/>
      <c r="ASC264" s="18"/>
      <c r="ASD264" s="18"/>
      <c r="ASE264" s="18"/>
      <c r="ASF264" s="18"/>
      <c r="ASG264" s="18"/>
      <c r="ASH264" s="18"/>
      <c r="ASI264" s="18"/>
      <c r="ASJ264" s="18"/>
      <c r="ASK264" s="18"/>
      <c r="ASL264" s="18"/>
      <c r="ASM264" s="18"/>
      <c r="ASN264" s="18"/>
      <c r="ASO264" s="18"/>
      <c r="ASP264" s="18"/>
      <c r="ASQ264" s="18"/>
      <c r="ASR264" s="18"/>
      <c r="ASS264" s="18"/>
      <c r="AST264" s="18"/>
      <c r="ASU264" s="18"/>
      <c r="ASV264" s="18"/>
      <c r="ASW264" s="18"/>
      <c r="ASX264" s="18"/>
      <c r="ASY264" s="18"/>
      <c r="ASZ264" s="18"/>
      <c r="ATA264" s="18"/>
      <c r="ATB264" s="18"/>
      <c r="ATC264" s="18"/>
      <c r="ATD264" s="18"/>
      <c r="ATE264" s="18"/>
      <c r="ATF264" s="18"/>
      <c r="ATG264" s="18"/>
      <c r="ATH264" s="18"/>
      <c r="ATI264" s="18"/>
      <c r="ATJ264" s="18"/>
      <c r="ATK264" s="18"/>
      <c r="ATL264" s="18"/>
      <c r="ATM264" s="18"/>
      <c r="ATN264" s="18"/>
      <c r="ATO264" s="18"/>
      <c r="ATP264" s="18"/>
      <c r="ATQ264" s="18"/>
      <c r="ATR264" s="18"/>
      <c r="ATS264" s="18"/>
      <c r="ATT264" s="18"/>
      <c r="ATU264" s="18"/>
      <c r="ATV264" s="18"/>
      <c r="ATW264" s="18"/>
      <c r="ATX264" s="18"/>
      <c r="ATY264" s="18"/>
      <c r="ATZ264" s="18"/>
      <c r="AUA264" s="18"/>
      <c r="AUB264" s="18"/>
      <c r="AUC264" s="18"/>
      <c r="AUD264" s="18"/>
      <c r="AUE264" s="18"/>
      <c r="AUF264" s="18"/>
      <c r="AUG264" s="18"/>
      <c r="AUH264" s="18"/>
      <c r="AUI264" s="18"/>
      <c r="AUJ264" s="18"/>
      <c r="AUK264" s="18"/>
      <c r="AUL264" s="18"/>
      <c r="AUM264" s="18"/>
      <c r="AUN264" s="18"/>
      <c r="AUO264" s="18"/>
      <c r="AUP264" s="18"/>
      <c r="AUQ264" s="18"/>
      <c r="AUR264" s="18"/>
      <c r="AUS264" s="18"/>
      <c r="AUT264" s="18"/>
      <c r="AUU264" s="18"/>
      <c r="AUV264" s="18"/>
      <c r="AUW264" s="18"/>
      <c r="AUX264" s="18"/>
      <c r="AUY264" s="18"/>
      <c r="AUZ264" s="18"/>
      <c r="AVA264" s="18"/>
      <c r="AVB264" s="18"/>
      <c r="AVC264" s="18"/>
      <c r="AVD264" s="18"/>
      <c r="AVE264" s="18"/>
      <c r="AVF264" s="18"/>
      <c r="AVG264" s="18"/>
      <c r="AVH264" s="18"/>
      <c r="AVI264" s="18"/>
      <c r="AVJ264" s="18"/>
      <c r="AVK264" s="18"/>
      <c r="AVL264" s="18"/>
      <c r="AVM264" s="18"/>
      <c r="AVN264" s="18"/>
      <c r="AVO264" s="18"/>
      <c r="AVP264" s="18"/>
      <c r="AVQ264" s="18"/>
      <c r="AVR264" s="18"/>
      <c r="AVS264" s="18"/>
      <c r="AVT264" s="18"/>
      <c r="AVU264" s="18"/>
      <c r="AVV264" s="18"/>
      <c r="AVW264" s="18"/>
      <c r="AVX264" s="18"/>
      <c r="AVY264" s="18"/>
      <c r="AVZ264" s="18"/>
      <c r="AWA264" s="18"/>
      <c r="AWB264" s="18"/>
      <c r="AWC264" s="18"/>
      <c r="AWD264" s="18"/>
      <c r="AWE264" s="18"/>
      <c r="AWF264" s="18"/>
      <c r="AWG264" s="18"/>
      <c r="AWH264" s="18"/>
      <c r="AWI264" s="18"/>
      <c r="AWJ264" s="18"/>
      <c r="AWK264" s="18"/>
      <c r="AWL264" s="18"/>
      <c r="AWM264" s="18"/>
      <c r="AWN264" s="18"/>
      <c r="AWO264" s="18"/>
      <c r="AWP264" s="18"/>
      <c r="AWQ264" s="18"/>
      <c r="AWR264" s="18"/>
      <c r="AWS264" s="18"/>
      <c r="AWT264" s="18"/>
      <c r="AWU264" s="18"/>
      <c r="AWV264" s="18"/>
      <c r="AWW264" s="18"/>
      <c r="AWX264" s="18"/>
      <c r="AWY264" s="18"/>
      <c r="AWZ264" s="18"/>
      <c r="AXA264" s="18"/>
      <c r="AXB264" s="18"/>
      <c r="AXC264" s="18"/>
      <c r="AXD264" s="18"/>
      <c r="AXE264" s="18"/>
      <c r="AXF264" s="18"/>
      <c r="AXG264" s="18"/>
      <c r="AXH264" s="18"/>
      <c r="AXI264" s="18"/>
      <c r="AXJ264" s="18"/>
      <c r="AXK264" s="18"/>
      <c r="AXL264" s="18"/>
      <c r="AXM264" s="18"/>
      <c r="AXN264" s="18"/>
      <c r="AXO264" s="18"/>
      <c r="AXP264" s="18"/>
      <c r="AXQ264" s="18"/>
      <c r="AXR264" s="18"/>
      <c r="AXS264" s="18"/>
      <c r="AXT264" s="18"/>
      <c r="AXU264" s="18"/>
      <c r="AXV264" s="18"/>
      <c r="AXW264" s="18"/>
      <c r="AXX264" s="18"/>
      <c r="AXY264" s="18"/>
      <c r="AXZ264" s="18"/>
      <c r="AYA264" s="18"/>
      <c r="AYB264" s="18"/>
      <c r="AYC264" s="18"/>
      <c r="AYD264" s="18"/>
      <c r="AYE264" s="18"/>
      <c r="AYF264" s="18"/>
      <c r="AYG264" s="18"/>
      <c r="AYH264" s="18"/>
      <c r="AYI264" s="18"/>
      <c r="AYJ264" s="18"/>
      <c r="AYK264" s="18"/>
      <c r="AYL264" s="18"/>
      <c r="AYM264" s="18"/>
      <c r="AYN264" s="18"/>
      <c r="AYO264" s="18"/>
      <c r="AYP264" s="18"/>
      <c r="AYQ264" s="18"/>
      <c r="AYR264" s="18"/>
      <c r="AYS264" s="18"/>
      <c r="AYT264" s="18"/>
      <c r="AYU264" s="18"/>
      <c r="AYV264" s="18"/>
      <c r="AYW264" s="18"/>
      <c r="AYX264" s="18"/>
      <c r="AYY264" s="18"/>
      <c r="AYZ264" s="18"/>
      <c r="AZA264" s="18"/>
      <c r="AZB264" s="18"/>
      <c r="AZC264" s="18"/>
      <c r="AZD264" s="18"/>
      <c r="AZE264" s="18"/>
      <c r="AZF264" s="18"/>
      <c r="AZG264" s="18"/>
      <c r="AZH264" s="18"/>
      <c r="AZI264" s="18"/>
      <c r="AZJ264" s="18"/>
      <c r="AZK264" s="18"/>
      <c r="AZL264" s="18"/>
      <c r="AZM264" s="18"/>
      <c r="AZN264" s="18"/>
      <c r="AZO264" s="18"/>
      <c r="AZP264" s="18"/>
      <c r="AZQ264" s="18"/>
      <c r="AZR264" s="18"/>
      <c r="AZS264" s="18"/>
      <c r="AZT264" s="18"/>
      <c r="AZU264" s="18"/>
      <c r="AZV264" s="18"/>
      <c r="AZW264" s="18"/>
      <c r="AZX264" s="18"/>
      <c r="AZY264" s="18"/>
      <c r="AZZ264" s="18"/>
      <c r="BAA264" s="18"/>
      <c r="BAB264" s="18"/>
      <c r="BAC264" s="18"/>
      <c r="BAD264" s="18"/>
      <c r="BAE264" s="18"/>
      <c r="BAF264" s="18"/>
      <c r="BAG264" s="18"/>
      <c r="BAH264" s="18"/>
      <c r="BAI264" s="18"/>
      <c r="BAJ264" s="18"/>
      <c r="BAK264" s="18"/>
      <c r="BAL264" s="18"/>
      <c r="BAM264" s="18"/>
      <c r="BAN264" s="18"/>
      <c r="BAO264" s="18"/>
      <c r="BAP264" s="18"/>
      <c r="BAQ264" s="18"/>
      <c r="BAR264" s="18"/>
      <c r="BAS264" s="18"/>
      <c r="BAT264" s="18"/>
      <c r="BAU264" s="18"/>
      <c r="BAV264" s="18"/>
      <c r="BAW264" s="18"/>
      <c r="BAX264" s="18"/>
      <c r="BAY264" s="18"/>
      <c r="BAZ264" s="18"/>
      <c r="BBA264" s="18"/>
      <c r="BBB264" s="18"/>
      <c r="BBC264" s="18"/>
      <c r="BBD264" s="18"/>
      <c r="BBE264" s="18"/>
      <c r="BBF264" s="18"/>
      <c r="BBG264" s="18"/>
      <c r="BBH264" s="18"/>
      <c r="BBI264" s="18"/>
      <c r="BBJ264" s="18"/>
      <c r="BBK264" s="18"/>
      <c r="BBL264" s="18"/>
      <c r="BBM264" s="18"/>
      <c r="BBN264" s="18"/>
      <c r="BBO264" s="18"/>
      <c r="BBP264" s="18"/>
      <c r="BBQ264" s="18"/>
      <c r="BBR264" s="18"/>
      <c r="BBS264" s="18"/>
      <c r="BBT264" s="18"/>
      <c r="BBU264" s="18"/>
      <c r="BBV264" s="18"/>
      <c r="BBW264" s="18"/>
      <c r="BBX264" s="18"/>
      <c r="BBY264" s="18"/>
      <c r="BBZ264" s="18"/>
      <c r="BCA264" s="18"/>
      <c r="BCB264" s="18"/>
      <c r="BCC264" s="18"/>
      <c r="BCD264" s="18"/>
      <c r="BCE264" s="18"/>
      <c r="BCF264" s="18"/>
      <c r="BCG264" s="18"/>
      <c r="BCH264" s="18"/>
      <c r="BCI264" s="18"/>
      <c r="BCJ264" s="18"/>
      <c r="BCK264" s="18"/>
      <c r="BCL264" s="18"/>
      <c r="BCM264" s="18"/>
      <c r="BCN264" s="18"/>
      <c r="BCO264" s="18"/>
      <c r="BCP264" s="18"/>
      <c r="BCQ264" s="18"/>
      <c r="BCR264" s="18"/>
      <c r="BCS264" s="18"/>
      <c r="BCT264" s="18"/>
      <c r="BCU264" s="18"/>
      <c r="BCV264" s="18"/>
      <c r="BCW264" s="18"/>
      <c r="BCX264" s="18"/>
      <c r="BCY264" s="18"/>
      <c r="BCZ264" s="18"/>
      <c r="BDA264" s="18"/>
      <c r="BDB264" s="18"/>
      <c r="BDC264" s="18"/>
      <c r="BDD264" s="18"/>
      <c r="BDE264" s="18"/>
      <c r="BDF264" s="18"/>
      <c r="BDG264" s="18"/>
      <c r="BDH264" s="18"/>
      <c r="BDI264" s="18"/>
      <c r="BDJ264" s="18"/>
      <c r="BDK264" s="18"/>
      <c r="BDL264" s="18"/>
      <c r="BDM264" s="18"/>
      <c r="BDN264" s="18"/>
      <c r="BDO264" s="18"/>
      <c r="BDP264" s="18"/>
      <c r="BDQ264" s="18"/>
      <c r="BDR264" s="18"/>
      <c r="BDS264" s="18"/>
      <c r="BDT264" s="18"/>
      <c r="BDU264" s="18"/>
      <c r="BDV264" s="18"/>
      <c r="BDW264" s="18"/>
      <c r="BDX264" s="18"/>
      <c r="BDY264" s="18"/>
      <c r="BDZ264" s="18"/>
      <c r="BEA264" s="18"/>
      <c r="BEB264" s="18"/>
      <c r="BEC264" s="18"/>
      <c r="BED264" s="18"/>
      <c r="BEE264" s="18"/>
      <c r="BEF264" s="18"/>
      <c r="BEG264" s="18"/>
      <c r="BEH264" s="18"/>
      <c r="BEI264" s="18"/>
      <c r="BEJ264" s="18"/>
      <c r="BEK264" s="18"/>
      <c r="BEL264" s="18"/>
      <c r="BEM264" s="18"/>
      <c r="BEN264" s="18"/>
      <c r="BEO264" s="18"/>
      <c r="BEP264" s="18"/>
      <c r="BEQ264" s="18"/>
      <c r="BER264" s="18"/>
      <c r="BES264" s="18"/>
      <c r="BET264" s="18"/>
      <c r="BEU264" s="18"/>
      <c r="BEV264" s="18"/>
      <c r="BEW264" s="18"/>
      <c r="BEX264" s="18"/>
      <c r="BEY264" s="18"/>
      <c r="BEZ264" s="18"/>
      <c r="BFA264" s="18"/>
      <c r="BFB264" s="18"/>
      <c r="BFC264" s="18"/>
      <c r="BFD264" s="18"/>
      <c r="BFE264" s="18"/>
      <c r="BFF264" s="18"/>
      <c r="BFG264" s="18"/>
      <c r="BFH264" s="18"/>
      <c r="BFI264" s="18"/>
      <c r="BFJ264" s="18"/>
      <c r="BFK264" s="18"/>
      <c r="BFL264" s="18"/>
      <c r="BFM264" s="18"/>
      <c r="BFN264" s="18"/>
      <c r="BFO264" s="18"/>
      <c r="BFP264" s="18"/>
      <c r="BFQ264" s="18"/>
      <c r="BFR264" s="18"/>
      <c r="BFS264" s="18"/>
      <c r="BFT264" s="18"/>
      <c r="BFU264" s="18"/>
      <c r="BFV264" s="18"/>
      <c r="BFW264" s="18"/>
      <c r="BFX264" s="18"/>
      <c r="BFY264" s="18"/>
      <c r="BFZ264" s="18"/>
      <c r="BGA264" s="18"/>
      <c r="BGB264" s="18"/>
      <c r="BGC264" s="18"/>
      <c r="BGD264" s="18"/>
      <c r="BGE264" s="18"/>
      <c r="BGF264" s="18"/>
      <c r="BGG264" s="18"/>
      <c r="BGH264" s="18"/>
      <c r="BGI264" s="18"/>
      <c r="BGJ264" s="18"/>
      <c r="BGK264" s="18"/>
      <c r="BGL264" s="18"/>
      <c r="BGM264" s="18"/>
      <c r="BGN264" s="18"/>
      <c r="BGO264" s="18"/>
      <c r="BGP264" s="18"/>
      <c r="BGQ264" s="18"/>
      <c r="BGR264" s="18"/>
      <c r="BGS264" s="18"/>
      <c r="BGT264" s="18"/>
      <c r="BGU264" s="18"/>
      <c r="BGV264" s="18"/>
      <c r="BGW264" s="18"/>
      <c r="BGX264" s="18"/>
      <c r="BGY264" s="18"/>
      <c r="BGZ264" s="18"/>
      <c r="BHA264" s="18"/>
      <c r="BHB264" s="18"/>
      <c r="BHC264" s="18"/>
      <c r="BHD264" s="18"/>
      <c r="BHE264" s="18"/>
      <c r="BHF264" s="18"/>
      <c r="BHG264" s="18"/>
      <c r="BHH264" s="18"/>
      <c r="BHI264" s="18"/>
      <c r="BHJ264" s="18"/>
      <c r="BHK264" s="18"/>
      <c r="BHL264" s="18"/>
      <c r="BHM264" s="18"/>
      <c r="BHN264" s="18"/>
      <c r="BHO264" s="18"/>
      <c r="BHP264" s="18"/>
      <c r="BHQ264" s="18"/>
      <c r="BHR264" s="18"/>
      <c r="BHS264" s="18"/>
      <c r="BHT264" s="18"/>
      <c r="BHU264" s="18"/>
      <c r="BHV264" s="18"/>
      <c r="BHW264" s="18"/>
      <c r="BHX264" s="18"/>
      <c r="BHY264" s="18"/>
      <c r="BHZ264" s="18"/>
      <c r="BIA264" s="18"/>
      <c r="BIB264" s="18"/>
      <c r="BIC264" s="18"/>
      <c r="BID264" s="18"/>
      <c r="BIE264" s="18"/>
      <c r="BIF264" s="18"/>
      <c r="BIG264" s="18"/>
      <c r="BIH264" s="18"/>
      <c r="BII264" s="18"/>
      <c r="BIJ264" s="18"/>
      <c r="BIK264" s="18"/>
      <c r="BIL264" s="18"/>
      <c r="BIM264" s="18"/>
      <c r="BIN264" s="18"/>
      <c r="BIO264" s="18"/>
      <c r="BIP264" s="18"/>
      <c r="BIQ264" s="18"/>
      <c r="BIR264" s="18"/>
      <c r="BIS264" s="18"/>
      <c r="BIT264" s="18"/>
      <c r="BIU264" s="18"/>
      <c r="BIV264" s="18"/>
      <c r="BIW264" s="18"/>
      <c r="BIX264" s="18"/>
      <c r="BIY264" s="18"/>
      <c r="BIZ264" s="18"/>
      <c r="BJA264" s="18"/>
      <c r="BJB264" s="18"/>
      <c r="BJC264" s="18"/>
      <c r="BJD264" s="18"/>
      <c r="BJE264" s="18"/>
      <c r="BJF264" s="18"/>
      <c r="BJG264" s="18"/>
      <c r="BJH264" s="18"/>
      <c r="BJI264" s="18"/>
      <c r="BJJ264" s="18"/>
      <c r="BJK264" s="18"/>
      <c r="BJL264" s="18"/>
      <c r="BJM264" s="18"/>
      <c r="BJN264" s="18"/>
      <c r="BJO264" s="18"/>
      <c r="BJP264" s="18"/>
      <c r="BJQ264" s="18"/>
      <c r="BJR264" s="18"/>
      <c r="BJS264" s="18"/>
      <c r="BJT264" s="18"/>
      <c r="BJU264" s="18"/>
      <c r="BJV264" s="18"/>
      <c r="BJW264" s="18"/>
      <c r="BJX264" s="18"/>
      <c r="BJY264" s="18"/>
      <c r="BJZ264" s="18"/>
      <c r="BKA264" s="18"/>
      <c r="BKB264" s="18"/>
      <c r="BKC264" s="18"/>
      <c r="BKD264" s="18"/>
      <c r="BKE264" s="18"/>
      <c r="BKF264" s="18"/>
      <c r="BKG264" s="18"/>
      <c r="BKH264" s="18"/>
      <c r="BKI264" s="18"/>
      <c r="BKJ264" s="18"/>
      <c r="BKK264" s="18"/>
      <c r="BKL264" s="18"/>
      <c r="BKM264" s="18"/>
      <c r="BKN264" s="18"/>
      <c r="BKO264" s="18"/>
      <c r="BKP264" s="18"/>
      <c r="BKQ264" s="18"/>
      <c r="BKR264" s="18"/>
      <c r="BKS264" s="18"/>
      <c r="BKT264" s="18"/>
      <c r="BKU264" s="18"/>
      <c r="BKV264" s="18"/>
      <c r="BKW264" s="18"/>
      <c r="BKX264" s="18"/>
      <c r="BKY264" s="18"/>
      <c r="BKZ264" s="18"/>
      <c r="BLA264" s="18"/>
      <c r="BLB264" s="18"/>
      <c r="BLC264" s="18"/>
      <c r="BLD264" s="18"/>
      <c r="BLE264" s="18"/>
      <c r="BLF264" s="18"/>
      <c r="BLG264" s="18"/>
      <c r="BLH264" s="18"/>
      <c r="BLI264" s="18"/>
      <c r="BLJ264" s="18"/>
      <c r="BLK264" s="18"/>
      <c r="BLL264" s="18"/>
      <c r="BLM264" s="18"/>
      <c r="BLN264" s="18"/>
      <c r="BLO264" s="18"/>
      <c r="BLP264" s="18"/>
      <c r="BLQ264" s="18"/>
      <c r="BLR264" s="18"/>
      <c r="BLS264" s="18"/>
      <c r="BLT264" s="18"/>
      <c r="BLU264" s="18"/>
      <c r="BLV264" s="18"/>
      <c r="BLW264" s="18"/>
      <c r="BLX264" s="18"/>
      <c r="BLY264" s="18"/>
      <c r="BLZ264" s="18"/>
      <c r="BMA264" s="18"/>
      <c r="BMB264" s="18"/>
      <c r="BMC264" s="18"/>
      <c r="BMD264" s="18"/>
      <c r="BME264" s="18"/>
      <c r="BMF264" s="18"/>
      <c r="BMG264" s="18"/>
      <c r="BMH264" s="18"/>
      <c r="BMI264" s="18"/>
      <c r="BMJ264" s="18"/>
      <c r="BMK264" s="18"/>
      <c r="BML264" s="18"/>
      <c r="BMM264" s="18"/>
      <c r="BMN264" s="18"/>
      <c r="BMO264" s="18"/>
      <c r="BMP264" s="18"/>
      <c r="BMQ264" s="18"/>
      <c r="BMR264" s="18"/>
      <c r="BMS264" s="18"/>
      <c r="BMT264" s="18"/>
      <c r="BMU264" s="18"/>
      <c r="BMV264" s="18"/>
      <c r="BMW264" s="18"/>
      <c r="BMX264" s="18"/>
      <c r="BMY264" s="18"/>
      <c r="BMZ264" s="18"/>
      <c r="BNA264" s="18"/>
      <c r="BNB264" s="18"/>
      <c r="BNC264" s="18"/>
      <c r="BND264" s="18"/>
      <c r="BNE264" s="18"/>
      <c r="BNF264" s="18"/>
      <c r="BNG264" s="18"/>
      <c r="BNH264" s="18"/>
      <c r="BNI264" s="18"/>
      <c r="BNJ264" s="18"/>
      <c r="BNK264" s="18"/>
      <c r="BNL264" s="18"/>
      <c r="BNM264" s="18"/>
      <c r="BNN264" s="18"/>
      <c r="BNO264" s="18"/>
      <c r="BNP264" s="18"/>
      <c r="BNQ264" s="18"/>
      <c r="BNR264" s="18"/>
      <c r="BNS264" s="18"/>
      <c r="BNT264" s="18"/>
      <c r="BNU264" s="18"/>
      <c r="BNV264" s="18"/>
      <c r="BNW264" s="18"/>
      <c r="BNX264" s="18"/>
      <c r="BNY264" s="18"/>
      <c r="BNZ264" s="18"/>
      <c r="BOA264" s="18"/>
      <c r="BOB264" s="18"/>
      <c r="BOC264" s="18"/>
      <c r="BOD264" s="18"/>
      <c r="BOE264" s="18"/>
      <c r="BOF264" s="18"/>
      <c r="BOG264" s="18"/>
      <c r="BOH264" s="18"/>
      <c r="BOI264" s="18"/>
      <c r="BOJ264" s="18"/>
      <c r="BOK264" s="18"/>
      <c r="BOL264" s="18"/>
      <c r="BOM264" s="18"/>
      <c r="BON264" s="18"/>
      <c r="BOO264" s="18"/>
      <c r="BOP264" s="18"/>
      <c r="BOQ264" s="18"/>
      <c r="BOR264" s="18"/>
      <c r="BOS264" s="18"/>
      <c r="BOT264" s="18"/>
      <c r="BOU264" s="18"/>
      <c r="BOV264" s="18"/>
      <c r="BOW264" s="18"/>
      <c r="BOX264" s="18"/>
      <c r="BOY264" s="18"/>
      <c r="BOZ264" s="18"/>
      <c r="BPA264" s="18"/>
      <c r="BPB264" s="18"/>
      <c r="BPC264" s="18"/>
      <c r="BPD264" s="18"/>
      <c r="BPE264" s="18"/>
      <c r="BPF264" s="18"/>
      <c r="BPG264" s="18"/>
      <c r="BPH264" s="18"/>
      <c r="BPI264" s="18"/>
      <c r="BPJ264" s="18"/>
      <c r="BPK264" s="18"/>
      <c r="BPL264" s="18"/>
      <c r="BPM264" s="18"/>
      <c r="BPN264" s="18"/>
      <c r="BPO264" s="18"/>
      <c r="BPP264" s="18"/>
      <c r="BPQ264" s="18"/>
      <c r="BPR264" s="18"/>
      <c r="BPS264" s="18"/>
      <c r="BPT264" s="18"/>
      <c r="BPU264" s="18"/>
      <c r="BPV264" s="18"/>
      <c r="BPW264" s="18"/>
      <c r="BPX264" s="18"/>
      <c r="BPY264" s="18"/>
      <c r="BPZ264" s="18"/>
      <c r="BQA264" s="18"/>
      <c r="BQB264" s="18"/>
      <c r="BQC264" s="18"/>
      <c r="BQD264" s="18"/>
      <c r="BQE264" s="18"/>
      <c r="BQF264" s="18"/>
      <c r="BQG264" s="18"/>
      <c r="BQH264" s="18"/>
      <c r="BQI264" s="18"/>
      <c r="BQJ264" s="18"/>
      <c r="BQK264" s="18"/>
      <c r="BQL264" s="18"/>
      <c r="BQM264" s="18"/>
      <c r="BQN264" s="18"/>
      <c r="BQO264" s="18"/>
      <c r="BQP264" s="18"/>
      <c r="BQQ264" s="18"/>
      <c r="BQR264" s="18"/>
      <c r="BQS264" s="18"/>
      <c r="BQT264" s="18"/>
      <c r="BQU264" s="18"/>
      <c r="BQV264" s="18"/>
      <c r="BQW264" s="18"/>
      <c r="BQX264" s="18"/>
      <c r="BQY264" s="18"/>
      <c r="BQZ264" s="18"/>
      <c r="BRA264" s="18"/>
      <c r="BRB264" s="18"/>
      <c r="BRC264" s="18"/>
      <c r="BRD264" s="18"/>
      <c r="BRE264" s="18"/>
      <c r="BRF264" s="18"/>
      <c r="BRG264" s="18"/>
      <c r="BRH264" s="18"/>
      <c r="BRI264" s="18"/>
      <c r="BRJ264" s="18"/>
      <c r="BRK264" s="18"/>
      <c r="BRL264" s="18"/>
      <c r="BRM264" s="18"/>
      <c r="BRN264" s="18"/>
      <c r="BRO264" s="18"/>
      <c r="BRP264" s="18"/>
      <c r="BRQ264" s="18"/>
      <c r="BRR264" s="18"/>
      <c r="BRS264" s="18"/>
      <c r="BRT264" s="18"/>
      <c r="BRU264" s="18"/>
      <c r="BRV264" s="18"/>
      <c r="BRW264" s="18"/>
      <c r="BRX264" s="18"/>
      <c r="BRY264" s="18"/>
      <c r="BRZ264" s="18"/>
      <c r="BSA264" s="18"/>
      <c r="BSB264" s="18"/>
      <c r="BSC264" s="18"/>
      <c r="BSD264" s="18"/>
      <c r="BSE264" s="18"/>
      <c r="BSF264" s="18"/>
      <c r="BSG264" s="18"/>
      <c r="BSH264" s="18"/>
      <c r="BSI264" s="18"/>
      <c r="BSJ264" s="18"/>
      <c r="BSK264" s="18"/>
      <c r="BSL264" s="18"/>
      <c r="BSM264" s="18"/>
      <c r="BSN264" s="18"/>
      <c r="BSO264" s="18"/>
      <c r="BSP264" s="18"/>
      <c r="BSQ264" s="18"/>
      <c r="BSR264" s="18"/>
      <c r="BSS264" s="18"/>
      <c r="BST264" s="18"/>
      <c r="BSU264" s="18"/>
      <c r="BSV264" s="18"/>
      <c r="BSW264" s="18"/>
      <c r="BSX264" s="18"/>
      <c r="BSY264" s="18"/>
      <c r="BSZ264" s="18"/>
      <c r="BTA264" s="18"/>
      <c r="BTB264" s="18"/>
      <c r="BTC264" s="18"/>
      <c r="BTD264" s="18"/>
      <c r="BTE264" s="18"/>
      <c r="BTF264" s="18"/>
      <c r="BTG264" s="18"/>
      <c r="BTH264" s="18"/>
      <c r="BTI264" s="18"/>
    </row>
    <row r="265" spans="1:1881" s="756" customFormat="1" ht="81.75" hidden="1" customHeight="1" x14ac:dyDescent="0.3">
      <c r="A265" s="105">
        <v>598</v>
      </c>
      <c r="B265" s="663" t="s">
        <v>59</v>
      </c>
      <c r="C265" s="663" t="s">
        <v>304</v>
      </c>
      <c r="D265" s="700" t="s">
        <v>374</v>
      </c>
      <c r="E265" s="661" t="e">
        <f>HLOOKUP($D$2,'2020 Data(H)'!$C$1:$AI$426,258,FALSE)</f>
        <v>#N/A</v>
      </c>
      <c r="F265" s="286">
        <v>0</v>
      </c>
      <c r="G265" s="722">
        <f>IF(F265&lt;0,"Error: Enter as positive.",)</f>
        <v>0</v>
      </c>
      <c r="H265" s="722"/>
      <c r="I265" s="753"/>
      <c r="J265" s="567"/>
      <c r="K265" s="18"/>
      <c r="L265" s="18"/>
      <c r="M265" s="18"/>
      <c r="N265" s="288"/>
      <c r="O265" s="18"/>
      <c r="P265" s="18"/>
      <c r="Q265" s="18"/>
      <c r="R265" s="18"/>
      <c r="S265" s="18"/>
      <c r="T265" s="18"/>
      <c r="U265" s="18"/>
      <c r="V265" s="18"/>
      <c r="W265" s="18"/>
      <c r="X265" s="18"/>
      <c r="Y265" s="18"/>
      <c r="Z265" s="105"/>
      <c r="AA265" s="105"/>
      <c r="AB265" s="105"/>
      <c r="AC265" s="105"/>
      <c r="AD265" s="105"/>
      <c r="AE265" s="105"/>
      <c r="AF265" s="105"/>
      <c r="AG265" s="105"/>
      <c r="AH265" s="105"/>
      <c r="AI265" s="105"/>
      <c r="AJ265" s="105"/>
      <c r="AK265" s="105"/>
      <c r="AL265" s="105"/>
      <c r="AM265" s="105"/>
      <c r="AN265" s="105"/>
      <c r="AO265" s="105"/>
      <c r="AP265" s="105"/>
      <c r="AQ265" s="105"/>
      <c r="AR265" s="105"/>
      <c r="AS265" s="18"/>
      <c r="AT265" s="18"/>
      <c r="AU265" s="18"/>
      <c r="AV265" s="18"/>
      <c r="AW265" s="18"/>
      <c r="AX265" s="18"/>
      <c r="AY265" s="18"/>
      <c r="AZ265" s="18"/>
      <c r="BA265" s="18"/>
      <c r="BB265" s="18"/>
      <c r="BC265" s="18"/>
      <c r="BD265" s="18"/>
      <c r="BE265" s="18"/>
      <c r="BF265" s="18"/>
      <c r="BG265" s="18"/>
      <c r="BH265" s="18"/>
      <c r="BI265" s="18"/>
      <c r="BJ265" s="18"/>
      <c r="BK265" s="18"/>
      <c r="BL265" s="18"/>
      <c r="BM265" s="18"/>
      <c r="BN265" s="18"/>
      <c r="BO265" s="18"/>
      <c r="BP265" s="18"/>
      <c r="BQ265" s="18"/>
      <c r="BR265" s="18"/>
      <c r="BS265" s="18"/>
      <c r="BT265" s="18"/>
      <c r="BU265" s="18"/>
      <c r="BV265" s="18"/>
      <c r="BW265" s="18"/>
      <c r="BX265" s="18"/>
      <c r="BY265" s="18"/>
      <c r="BZ265" s="18"/>
      <c r="CA265" s="18"/>
      <c r="CB265" s="18"/>
      <c r="CC265" s="18"/>
      <c r="CD265" s="18"/>
      <c r="CE265" s="18"/>
      <c r="CF265" s="18"/>
      <c r="CG265" s="18"/>
      <c r="CH265" s="18"/>
      <c r="CI265" s="18"/>
      <c r="CJ265" s="18"/>
      <c r="CK265" s="18"/>
      <c r="CL265" s="18"/>
      <c r="CM265" s="18"/>
      <c r="CN265" s="18"/>
      <c r="CO265" s="18"/>
      <c r="CP265" s="18"/>
      <c r="CQ265" s="18"/>
      <c r="CR265" s="18"/>
      <c r="CS265" s="18"/>
      <c r="CT265" s="18"/>
      <c r="CU265" s="18"/>
      <c r="CV265" s="18"/>
      <c r="CW265" s="18"/>
      <c r="CX265" s="18"/>
      <c r="CY265" s="18"/>
      <c r="CZ265" s="18"/>
      <c r="DA265" s="18"/>
      <c r="DB265" s="18"/>
      <c r="DC265" s="18"/>
      <c r="DD265" s="18"/>
      <c r="DE265" s="18"/>
      <c r="DF265" s="18"/>
      <c r="DG265" s="18"/>
      <c r="DH265" s="18"/>
      <c r="DI265" s="18"/>
      <c r="DJ265" s="18"/>
      <c r="DK265" s="18"/>
      <c r="DL265" s="18"/>
      <c r="DM265" s="18"/>
      <c r="DN265" s="18"/>
      <c r="DO265" s="18"/>
      <c r="DP265" s="18"/>
      <c r="DQ265" s="18"/>
      <c r="DR265" s="18"/>
      <c r="DS265" s="18"/>
      <c r="DT265" s="18"/>
      <c r="DU265" s="18"/>
      <c r="DV265" s="18"/>
      <c r="DW265" s="18"/>
      <c r="DX265" s="18"/>
      <c r="DY265" s="18"/>
      <c r="DZ265" s="18"/>
      <c r="EA265" s="18"/>
      <c r="EB265" s="18"/>
      <c r="EC265" s="18"/>
      <c r="ED265" s="18"/>
      <c r="EE265" s="18"/>
      <c r="EF265" s="18"/>
      <c r="EG265" s="18"/>
      <c r="EH265" s="18"/>
      <c r="EI265" s="18"/>
      <c r="EJ265" s="18"/>
      <c r="EK265" s="18"/>
      <c r="EL265" s="18"/>
      <c r="EM265" s="18"/>
      <c r="EN265" s="18"/>
      <c r="EO265" s="18"/>
      <c r="EP265" s="18"/>
      <c r="EQ265" s="18"/>
      <c r="ER265" s="18"/>
      <c r="ES265" s="18"/>
      <c r="ET265" s="18"/>
      <c r="EU265" s="18"/>
      <c r="EV265" s="18"/>
      <c r="EW265" s="18"/>
      <c r="EX265" s="18"/>
      <c r="EY265" s="18"/>
      <c r="EZ265" s="18"/>
      <c r="FA265" s="18"/>
      <c r="FB265" s="18"/>
      <c r="FC265" s="18"/>
      <c r="FD265" s="18"/>
      <c r="FE265" s="18"/>
      <c r="FF265" s="18"/>
      <c r="FG265" s="18"/>
      <c r="FH265" s="18"/>
      <c r="FI265" s="18"/>
      <c r="FJ265" s="18"/>
      <c r="FK265" s="18"/>
      <c r="FL265" s="18"/>
      <c r="FM265" s="18"/>
      <c r="FN265" s="18"/>
      <c r="FO265" s="18"/>
      <c r="FP265" s="18"/>
      <c r="FQ265" s="18"/>
      <c r="FR265" s="18"/>
      <c r="FS265" s="18"/>
      <c r="FT265" s="18"/>
      <c r="FU265" s="18"/>
      <c r="FV265" s="18"/>
      <c r="FW265" s="18"/>
      <c r="FX265" s="18"/>
      <c r="FY265" s="18"/>
      <c r="FZ265" s="18"/>
      <c r="GA265" s="18"/>
      <c r="GB265" s="18"/>
      <c r="GC265" s="18"/>
      <c r="GD265" s="18"/>
      <c r="GE265" s="18"/>
      <c r="GF265" s="18"/>
      <c r="GG265" s="18"/>
      <c r="GH265" s="18"/>
      <c r="GI265" s="18"/>
      <c r="GJ265" s="18"/>
      <c r="GK265" s="18"/>
      <c r="GL265" s="18"/>
      <c r="GM265" s="18"/>
      <c r="GN265" s="18"/>
      <c r="GO265" s="18"/>
      <c r="GP265" s="18"/>
      <c r="GQ265" s="18"/>
      <c r="GR265" s="18"/>
      <c r="GS265" s="18"/>
      <c r="GT265" s="18"/>
      <c r="GU265" s="18"/>
      <c r="GV265" s="18"/>
      <c r="GW265" s="18"/>
      <c r="GX265" s="18"/>
      <c r="GY265" s="18"/>
      <c r="GZ265" s="18"/>
      <c r="HA265" s="18"/>
      <c r="HB265" s="18"/>
      <c r="HC265" s="18"/>
      <c r="HD265" s="18"/>
      <c r="HE265" s="18"/>
      <c r="HF265" s="18"/>
      <c r="HG265" s="18"/>
      <c r="HH265" s="18"/>
      <c r="HI265" s="18"/>
      <c r="HJ265" s="18"/>
      <c r="HK265" s="18"/>
      <c r="HL265" s="18"/>
      <c r="HM265" s="18"/>
      <c r="HN265" s="18"/>
      <c r="HO265" s="18"/>
      <c r="HP265" s="18"/>
      <c r="HQ265" s="18"/>
      <c r="HR265" s="18"/>
      <c r="HS265" s="18"/>
      <c r="HT265" s="18"/>
      <c r="HU265" s="18"/>
      <c r="HV265" s="18"/>
      <c r="HW265" s="18"/>
      <c r="HX265" s="18"/>
      <c r="HY265" s="18"/>
      <c r="HZ265" s="18"/>
      <c r="IA265" s="18"/>
      <c r="IB265" s="18"/>
      <c r="IC265" s="18"/>
      <c r="ID265" s="18"/>
      <c r="IE265" s="18"/>
      <c r="IF265" s="18"/>
      <c r="IG265" s="18"/>
      <c r="IH265" s="18"/>
      <c r="II265" s="18"/>
      <c r="IJ265" s="18"/>
      <c r="IK265" s="18"/>
      <c r="IL265" s="18"/>
      <c r="IM265" s="18"/>
      <c r="IN265" s="18"/>
      <c r="IO265" s="18"/>
      <c r="IP265" s="18"/>
      <c r="IQ265" s="18"/>
      <c r="IR265" s="18"/>
      <c r="IS265" s="18"/>
      <c r="IT265" s="18"/>
      <c r="IU265" s="18"/>
      <c r="IV265" s="18"/>
      <c r="IW265" s="18"/>
      <c r="IX265" s="18"/>
      <c r="IY265" s="18"/>
      <c r="IZ265" s="18"/>
      <c r="JA265" s="18"/>
      <c r="JB265" s="18"/>
      <c r="JC265" s="18"/>
      <c r="JD265" s="18"/>
      <c r="JE265" s="18"/>
      <c r="JF265" s="18"/>
      <c r="JG265" s="18"/>
      <c r="JH265" s="18"/>
      <c r="JI265" s="18"/>
      <c r="JJ265" s="18"/>
      <c r="JK265" s="18"/>
      <c r="JL265" s="18"/>
      <c r="JM265" s="18"/>
      <c r="JN265" s="18"/>
      <c r="JO265" s="18"/>
      <c r="JP265" s="18"/>
      <c r="JQ265" s="18"/>
      <c r="JR265" s="18"/>
      <c r="JS265" s="18"/>
      <c r="JT265" s="18"/>
      <c r="JU265" s="18"/>
      <c r="JV265" s="18"/>
      <c r="JW265" s="18"/>
      <c r="JX265" s="18"/>
      <c r="JY265" s="18"/>
      <c r="JZ265" s="18"/>
      <c r="KA265" s="18"/>
      <c r="KB265" s="18"/>
      <c r="KC265" s="18"/>
      <c r="KD265" s="18"/>
      <c r="KE265" s="18"/>
      <c r="KF265" s="18"/>
      <c r="KG265" s="18"/>
      <c r="KH265" s="18"/>
      <c r="KI265" s="18"/>
      <c r="KJ265" s="18"/>
      <c r="KK265" s="18"/>
      <c r="KL265" s="18"/>
      <c r="KM265" s="18"/>
      <c r="KN265" s="18"/>
      <c r="KO265" s="18"/>
      <c r="KP265" s="18"/>
      <c r="KQ265" s="18"/>
      <c r="KR265" s="18"/>
      <c r="KS265" s="18"/>
      <c r="KT265" s="18"/>
      <c r="KU265" s="18"/>
      <c r="KV265" s="18"/>
      <c r="KW265" s="18"/>
      <c r="KX265" s="18"/>
      <c r="KY265" s="18"/>
      <c r="KZ265" s="18"/>
      <c r="LA265" s="18"/>
      <c r="LB265" s="18"/>
      <c r="LC265" s="18"/>
      <c r="LD265" s="18"/>
      <c r="LE265" s="18"/>
      <c r="LF265" s="18"/>
      <c r="LG265" s="18"/>
      <c r="LH265" s="18"/>
      <c r="LI265" s="18"/>
      <c r="LJ265" s="18"/>
      <c r="LK265" s="18"/>
      <c r="LL265" s="18"/>
      <c r="LM265" s="18"/>
      <c r="LN265" s="18"/>
      <c r="LO265" s="18"/>
      <c r="LP265" s="18"/>
      <c r="LQ265" s="18"/>
      <c r="LR265" s="18"/>
      <c r="LS265" s="18"/>
      <c r="LT265" s="18"/>
      <c r="LU265" s="18"/>
      <c r="LV265" s="18"/>
      <c r="LW265" s="18"/>
      <c r="LX265" s="18"/>
      <c r="LY265" s="18"/>
      <c r="LZ265" s="18"/>
      <c r="MA265" s="18"/>
      <c r="MB265" s="18"/>
      <c r="MC265" s="18"/>
      <c r="MD265" s="18"/>
      <c r="ME265" s="18"/>
      <c r="MF265" s="18"/>
      <c r="MG265" s="18"/>
      <c r="MH265" s="18"/>
      <c r="MI265" s="18"/>
      <c r="MJ265" s="18"/>
      <c r="MK265" s="18"/>
      <c r="ML265" s="18"/>
      <c r="MM265" s="18"/>
      <c r="MN265" s="18"/>
      <c r="MO265" s="18"/>
      <c r="MP265" s="18"/>
      <c r="MQ265" s="18"/>
      <c r="MR265" s="18"/>
      <c r="MS265" s="18"/>
      <c r="MT265" s="18"/>
      <c r="MU265" s="18"/>
      <c r="MV265" s="18"/>
      <c r="MW265" s="18"/>
      <c r="MX265" s="18"/>
      <c r="MY265" s="18"/>
      <c r="MZ265" s="18"/>
      <c r="NA265" s="18"/>
      <c r="NB265" s="18"/>
      <c r="NC265" s="18"/>
      <c r="ND265" s="18"/>
      <c r="NE265" s="18"/>
      <c r="NF265" s="18"/>
      <c r="NG265" s="18"/>
      <c r="NH265" s="18"/>
      <c r="NI265" s="18"/>
      <c r="NJ265" s="18"/>
      <c r="NK265" s="18"/>
      <c r="NL265" s="18"/>
      <c r="NM265" s="18"/>
      <c r="NN265" s="18"/>
      <c r="NO265" s="18"/>
      <c r="NP265" s="18"/>
      <c r="NQ265" s="18"/>
      <c r="NR265" s="18"/>
      <c r="NS265" s="18"/>
      <c r="NT265" s="18"/>
      <c r="NU265" s="18"/>
      <c r="NV265" s="18"/>
      <c r="NW265" s="18"/>
      <c r="NX265" s="18"/>
      <c r="NY265" s="18"/>
      <c r="NZ265" s="18"/>
      <c r="OA265" s="18"/>
      <c r="OB265" s="18"/>
      <c r="OC265" s="18"/>
      <c r="OD265" s="18"/>
      <c r="OE265" s="18"/>
      <c r="OF265" s="18"/>
      <c r="OG265" s="18"/>
      <c r="OH265" s="18"/>
      <c r="OI265" s="18"/>
      <c r="OJ265" s="18"/>
      <c r="OK265" s="18"/>
      <c r="OL265" s="18"/>
      <c r="OM265" s="18"/>
      <c r="ON265" s="18"/>
      <c r="OO265" s="18"/>
      <c r="OP265" s="18"/>
      <c r="OQ265" s="18"/>
      <c r="OR265" s="18"/>
      <c r="OS265" s="18"/>
      <c r="OT265" s="18"/>
      <c r="OU265" s="18"/>
      <c r="OV265" s="18"/>
      <c r="OW265" s="18"/>
      <c r="OX265" s="18"/>
      <c r="OY265" s="18"/>
      <c r="OZ265" s="18"/>
      <c r="PA265" s="18"/>
      <c r="PB265" s="18"/>
      <c r="PC265" s="18"/>
      <c r="PD265" s="18"/>
      <c r="PE265" s="18"/>
      <c r="PF265" s="18"/>
      <c r="PG265" s="18"/>
      <c r="PH265" s="18"/>
      <c r="PI265" s="18"/>
      <c r="PJ265" s="18"/>
      <c r="PK265" s="18"/>
      <c r="PL265" s="18"/>
      <c r="PM265" s="18"/>
      <c r="PN265" s="18"/>
      <c r="PO265" s="18"/>
      <c r="PP265" s="18"/>
      <c r="PQ265" s="18"/>
      <c r="PR265" s="18"/>
      <c r="PS265" s="18"/>
      <c r="PT265" s="18"/>
      <c r="PU265" s="18"/>
      <c r="PV265" s="18"/>
      <c r="PW265" s="18"/>
      <c r="PX265" s="18"/>
      <c r="PY265" s="18"/>
      <c r="PZ265" s="18"/>
      <c r="QA265" s="18"/>
      <c r="QB265" s="18"/>
      <c r="QC265" s="18"/>
      <c r="QD265" s="18"/>
      <c r="QE265" s="18"/>
      <c r="QF265" s="18"/>
      <c r="QG265" s="18"/>
      <c r="QH265" s="18"/>
      <c r="QI265" s="18"/>
      <c r="QJ265" s="18"/>
      <c r="QK265" s="18"/>
      <c r="QL265" s="18"/>
      <c r="QM265" s="18"/>
      <c r="QN265" s="18"/>
      <c r="QO265" s="18"/>
      <c r="QP265" s="18"/>
      <c r="QQ265" s="18"/>
      <c r="QR265" s="18"/>
      <c r="QS265" s="18"/>
      <c r="QT265" s="18"/>
      <c r="QU265" s="18"/>
      <c r="QV265" s="18"/>
      <c r="QW265" s="18"/>
      <c r="QX265" s="18"/>
      <c r="QY265" s="18"/>
      <c r="QZ265" s="18"/>
      <c r="RA265" s="18"/>
      <c r="RB265" s="18"/>
      <c r="RC265" s="18"/>
      <c r="RD265" s="18"/>
      <c r="RE265" s="18"/>
      <c r="RF265" s="18"/>
      <c r="RG265" s="18"/>
      <c r="RH265" s="18"/>
      <c r="RI265" s="18"/>
      <c r="RJ265" s="18"/>
      <c r="RK265" s="18"/>
      <c r="RL265" s="18"/>
      <c r="RM265" s="18"/>
      <c r="RN265" s="18"/>
      <c r="RO265" s="18"/>
      <c r="RP265" s="18"/>
      <c r="RQ265" s="18"/>
      <c r="RR265" s="18"/>
      <c r="RS265" s="18"/>
      <c r="RT265" s="18"/>
      <c r="RU265" s="18"/>
      <c r="RV265" s="18"/>
      <c r="RW265" s="18"/>
      <c r="RX265" s="18"/>
      <c r="RY265" s="18"/>
      <c r="RZ265" s="18"/>
      <c r="SA265" s="18"/>
      <c r="SB265" s="18"/>
      <c r="SC265" s="18"/>
      <c r="SD265" s="18"/>
      <c r="SE265" s="18"/>
      <c r="SF265" s="18"/>
      <c r="SG265" s="18"/>
      <c r="SH265" s="18"/>
      <c r="SI265" s="18"/>
      <c r="SJ265" s="18"/>
      <c r="SK265" s="18"/>
      <c r="SL265" s="18"/>
      <c r="SM265" s="18"/>
      <c r="SN265" s="18"/>
      <c r="SO265" s="18"/>
      <c r="SP265" s="18"/>
      <c r="SQ265" s="18"/>
      <c r="SR265" s="18"/>
      <c r="SS265" s="18"/>
      <c r="ST265" s="18"/>
      <c r="SU265" s="18"/>
      <c r="SV265" s="18"/>
      <c r="SW265" s="18"/>
      <c r="SX265" s="18"/>
      <c r="SY265" s="18"/>
      <c r="SZ265" s="18"/>
      <c r="TA265" s="18"/>
      <c r="TB265" s="18"/>
      <c r="TC265" s="18"/>
      <c r="TD265" s="18"/>
      <c r="TE265" s="18"/>
      <c r="TF265" s="18"/>
      <c r="TG265" s="18"/>
      <c r="TH265" s="18"/>
      <c r="TI265" s="18"/>
      <c r="TJ265" s="18"/>
      <c r="TK265" s="18"/>
      <c r="TL265" s="18"/>
      <c r="TM265" s="18"/>
      <c r="TN265" s="18"/>
      <c r="TO265" s="18"/>
      <c r="TP265" s="18"/>
      <c r="TQ265" s="18"/>
      <c r="TR265" s="18"/>
      <c r="TS265" s="18"/>
      <c r="TT265" s="18"/>
      <c r="TU265" s="18"/>
      <c r="TV265" s="18"/>
      <c r="TW265" s="18"/>
      <c r="TX265" s="18"/>
      <c r="TY265" s="18"/>
      <c r="TZ265" s="18"/>
      <c r="UA265" s="18"/>
      <c r="UB265" s="18"/>
      <c r="UC265" s="18"/>
      <c r="UD265" s="18"/>
      <c r="UE265" s="18"/>
      <c r="UF265" s="18"/>
      <c r="UG265" s="18"/>
      <c r="UH265" s="18"/>
      <c r="UI265" s="18"/>
      <c r="UJ265" s="18"/>
      <c r="UK265" s="18"/>
      <c r="UL265" s="18"/>
      <c r="UM265" s="18"/>
      <c r="UN265" s="18"/>
      <c r="UO265" s="18"/>
      <c r="UP265" s="18"/>
      <c r="UQ265" s="18"/>
      <c r="UR265" s="18"/>
      <c r="US265" s="18"/>
      <c r="UT265" s="18"/>
      <c r="UU265" s="18"/>
      <c r="UV265" s="18"/>
      <c r="UW265" s="18"/>
      <c r="UX265" s="18"/>
      <c r="UY265" s="18"/>
      <c r="UZ265" s="18"/>
      <c r="VA265" s="18"/>
      <c r="VB265" s="18"/>
      <c r="VC265" s="18"/>
      <c r="VD265" s="18"/>
      <c r="VE265" s="18"/>
      <c r="VF265" s="18"/>
      <c r="VG265" s="18"/>
      <c r="VH265" s="18"/>
      <c r="VI265" s="18"/>
      <c r="VJ265" s="18"/>
      <c r="VK265" s="18"/>
      <c r="VL265" s="18"/>
      <c r="VM265" s="18"/>
      <c r="VN265" s="18"/>
      <c r="VO265" s="18"/>
      <c r="VP265" s="18"/>
      <c r="VQ265" s="18"/>
      <c r="VR265" s="18"/>
      <c r="VS265" s="18"/>
      <c r="VT265" s="18"/>
      <c r="VU265" s="18"/>
      <c r="VV265" s="18"/>
      <c r="VW265" s="18"/>
      <c r="VX265" s="18"/>
      <c r="VY265" s="18"/>
      <c r="VZ265" s="18"/>
      <c r="WA265" s="18"/>
      <c r="WB265" s="18"/>
      <c r="WC265" s="18"/>
      <c r="WD265" s="18"/>
      <c r="WE265" s="18"/>
      <c r="WF265" s="18"/>
      <c r="WG265" s="18"/>
      <c r="WH265" s="18"/>
      <c r="WI265" s="18"/>
      <c r="WJ265" s="18"/>
      <c r="WK265" s="18"/>
      <c r="WL265" s="18"/>
      <c r="WM265" s="18"/>
      <c r="WN265" s="18"/>
      <c r="WO265" s="18"/>
      <c r="WP265" s="18"/>
      <c r="WQ265" s="18"/>
      <c r="WR265" s="18"/>
      <c r="WS265" s="18"/>
      <c r="WT265" s="18"/>
      <c r="WU265" s="18"/>
      <c r="WV265" s="18"/>
      <c r="WW265" s="18"/>
      <c r="WX265" s="18"/>
      <c r="WY265" s="18"/>
      <c r="WZ265" s="18"/>
      <c r="XA265" s="18"/>
      <c r="XB265" s="18"/>
      <c r="XC265" s="18"/>
      <c r="XD265" s="18"/>
      <c r="XE265" s="18"/>
      <c r="XF265" s="18"/>
      <c r="XG265" s="18"/>
      <c r="XH265" s="18"/>
      <c r="XI265" s="18"/>
      <c r="XJ265" s="18"/>
      <c r="XK265" s="18"/>
      <c r="XL265" s="18"/>
      <c r="XM265" s="18"/>
      <c r="XN265" s="18"/>
      <c r="XO265" s="18"/>
      <c r="XP265" s="18"/>
      <c r="XQ265" s="18"/>
      <c r="XR265" s="18"/>
      <c r="XS265" s="18"/>
      <c r="XT265" s="18"/>
      <c r="XU265" s="18"/>
      <c r="XV265" s="18"/>
      <c r="XW265" s="18"/>
      <c r="XX265" s="18"/>
      <c r="XY265" s="18"/>
      <c r="XZ265" s="18"/>
      <c r="YA265" s="18"/>
      <c r="YB265" s="18"/>
      <c r="YC265" s="18"/>
      <c r="YD265" s="18"/>
      <c r="YE265" s="18"/>
      <c r="YF265" s="18"/>
      <c r="YG265" s="18"/>
      <c r="YH265" s="18"/>
      <c r="YI265" s="18"/>
      <c r="YJ265" s="18"/>
      <c r="YK265" s="18"/>
      <c r="YL265" s="18"/>
      <c r="YM265" s="18"/>
      <c r="YN265" s="18"/>
      <c r="YO265" s="18"/>
      <c r="YP265" s="18"/>
      <c r="YQ265" s="18"/>
      <c r="YR265" s="18"/>
      <c r="YS265" s="18"/>
      <c r="YT265" s="18"/>
      <c r="YU265" s="18"/>
      <c r="YV265" s="18"/>
      <c r="YW265" s="18"/>
      <c r="YX265" s="18"/>
      <c r="YY265" s="18"/>
      <c r="YZ265" s="18"/>
      <c r="ZA265" s="18"/>
      <c r="ZB265" s="18"/>
      <c r="ZC265" s="18"/>
      <c r="ZD265" s="18"/>
      <c r="ZE265" s="18"/>
      <c r="ZF265" s="18"/>
      <c r="ZG265" s="18"/>
      <c r="ZH265" s="18"/>
      <c r="ZI265" s="18"/>
      <c r="ZJ265" s="18"/>
      <c r="ZK265" s="18"/>
      <c r="ZL265" s="18"/>
      <c r="ZM265" s="18"/>
      <c r="ZN265" s="18"/>
      <c r="ZO265" s="18"/>
      <c r="ZP265" s="18"/>
      <c r="ZQ265" s="18"/>
      <c r="ZR265" s="18"/>
      <c r="ZS265" s="18"/>
      <c r="ZT265" s="18"/>
      <c r="ZU265" s="18"/>
      <c r="ZV265" s="18"/>
      <c r="ZW265" s="18"/>
      <c r="ZX265" s="18"/>
      <c r="ZY265" s="18"/>
      <c r="ZZ265" s="18"/>
      <c r="AAA265" s="18"/>
      <c r="AAB265" s="18"/>
      <c r="AAC265" s="18"/>
      <c r="AAD265" s="18"/>
      <c r="AAE265" s="18"/>
      <c r="AAF265" s="18"/>
      <c r="AAG265" s="18"/>
      <c r="AAH265" s="18"/>
      <c r="AAI265" s="18"/>
      <c r="AAJ265" s="18"/>
      <c r="AAK265" s="18"/>
      <c r="AAL265" s="18"/>
      <c r="AAM265" s="18"/>
      <c r="AAN265" s="18"/>
      <c r="AAO265" s="18"/>
      <c r="AAP265" s="18"/>
      <c r="AAQ265" s="18"/>
      <c r="AAR265" s="18"/>
      <c r="AAS265" s="18"/>
      <c r="AAT265" s="18"/>
      <c r="AAU265" s="18"/>
      <c r="AAV265" s="18"/>
      <c r="AAW265" s="18"/>
      <c r="AAX265" s="18"/>
      <c r="AAY265" s="18"/>
      <c r="AAZ265" s="18"/>
      <c r="ABA265" s="18"/>
      <c r="ABB265" s="18"/>
      <c r="ABC265" s="18"/>
      <c r="ABD265" s="18"/>
      <c r="ABE265" s="18"/>
      <c r="ABF265" s="18"/>
      <c r="ABG265" s="18"/>
      <c r="ABH265" s="18"/>
      <c r="ABI265" s="18"/>
      <c r="ABJ265" s="18"/>
      <c r="ABK265" s="18"/>
      <c r="ABL265" s="18"/>
      <c r="ABM265" s="18"/>
      <c r="ABN265" s="18"/>
      <c r="ABO265" s="18"/>
      <c r="ABP265" s="18"/>
      <c r="ABQ265" s="18"/>
      <c r="ABR265" s="18"/>
      <c r="ABS265" s="18"/>
      <c r="ABT265" s="18"/>
      <c r="ABU265" s="18"/>
      <c r="ABV265" s="18"/>
      <c r="ABW265" s="18"/>
      <c r="ABX265" s="18"/>
      <c r="ABY265" s="18"/>
      <c r="ABZ265" s="18"/>
      <c r="ACA265" s="18"/>
      <c r="ACB265" s="18"/>
      <c r="ACC265" s="18"/>
      <c r="ACD265" s="18"/>
      <c r="ACE265" s="18"/>
      <c r="ACF265" s="18"/>
      <c r="ACG265" s="18"/>
      <c r="ACH265" s="18"/>
      <c r="ACI265" s="18"/>
      <c r="ACJ265" s="18"/>
      <c r="ACK265" s="18"/>
      <c r="ACL265" s="18"/>
      <c r="ACM265" s="18"/>
      <c r="ACN265" s="18"/>
      <c r="ACO265" s="18"/>
      <c r="ACP265" s="18"/>
      <c r="ACQ265" s="18"/>
      <c r="ACR265" s="18"/>
      <c r="ACS265" s="18"/>
      <c r="ACT265" s="18"/>
      <c r="ACU265" s="18"/>
      <c r="ACV265" s="18"/>
      <c r="ACW265" s="18"/>
      <c r="ACX265" s="18"/>
      <c r="ACY265" s="18"/>
      <c r="ACZ265" s="18"/>
      <c r="ADA265" s="18"/>
      <c r="ADB265" s="18"/>
      <c r="ADC265" s="18"/>
      <c r="ADD265" s="18"/>
      <c r="ADE265" s="18"/>
      <c r="ADF265" s="18"/>
      <c r="ADG265" s="18"/>
      <c r="ADH265" s="18"/>
      <c r="ADI265" s="18"/>
      <c r="ADJ265" s="18"/>
      <c r="ADK265" s="18"/>
      <c r="ADL265" s="18"/>
      <c r="ADM265" s="18"/>
      <c r="ADN265" s="18"/>
      <c r="ADO265" s="18"/>
      <c r="ADP265" s="18"/>
      <c r="ADQ265" s="18"/>
      <c r="ADR265" s="18"/>
      <c r="ADS265" s="18"/>
      <c r="ADT265" s="18"/>
      <c r="ADU265" s="18"/>
      <c r="ADV265" s="18"/>
      <c r="ADW265" s="18"/>
      <c r="ADX265" s="18"/>
      <c r="ADY265" s="18"/>
      <c r="ADZ265" s="18"/>
      <c r="AEA265" s="18"/>
      <c r="AEB265" s="18"/>
      <c r="AEC265" s="18"/>
      <c r="AED265" s="18"/>
      <c r="AEE265" s="18"/>
      <c r="AEF265" s="18"/>
      <c r="AEG265" s="18"/>
      <c r="AEH265" s="18"/>
      <c r="AEI265" s="18"/>
      <c r="AEJ265" s="18"/>
      <c r="AEK265" s="18"/>
      <c r="AEL265" s="18"/>
      <c r="AEM265" s="18"/>
      <c r="AEN265" s="18"/>
      <c r="AEO265" s="18"/>
      <c r="AEP265" s="18"/>
      <c r="AEQ265" s="18"/>
      <c r="AER265" s="18"/>
      <c r="AES265" s="18"/>
      <c r="AET265" s="18"/>
      <c r="AEU265" s="18"/>
      <c r="AEV265" s="18"/>
      <c r="AEW265" s="18"/>
      <c r="AEX265" s="18"/>
      <c r="AEY265" s="18"/>
      <c r="AEZ265" s="18"/>
      <c r="AFA265" s="18"/>
      <c r="AFB265" s="18"/>
      <c r="AFC265" s="18"/>
      <c r="AFD265" s="18"/>
      <c r="AFE265" s="18"/>
      <c r="AFF265" s="18"/>
      <c r="AFG265" s="18"/>
      <c r="AFH265" s="18"/>
      <c r="AFI265" s="18"/>
      <c r="AFJ265" s="18"/>
      <c r="AFK265" s="18"/>
      <c r="AFL265" s="18"/>
      <c r="AFM265" s="18"/>
      <c r="AFN265" s="18"/>
      <c r="AFO265" s="18"/>
      <c r="AFP265" s="18"/>
      <c r="AFQ265" s="18"/>
      <c r="AFR265" s="18"/>
      <c r="AFS265" s="18"/>
      <c r="AFT265" s="18"/>
      <c r="AFU265" s="18"/>
      <c r="AFV265" s="18"/>
      <c r="AFW265" s="18"/>
      <c r="AFX265" s="18"/>
      <c r="AFY265" s="18"/>
      <c r="AFZ265" s="18"/>
      <c r="AGA265" s="18"/>
      <c r="AGB265" s="18"/>
      <c r="AGC265" s="18"/>
      <c r="AGD265" s="18"/>
      <c r="AGE265" s="18"/>
      <c r="AGF265" s="18"/>
      <c r="AGG265" s="18"/>
      <c r="AGH265" s="18"/>
      <c r="AGI265" s="18"/>
      <c r="AGJ265" s="18"/>
      <c r="AGK265" s="18"/>
      <c r="AGL265" s="18"/>
      <c r="AGM265" s="18"/>
      <c r="AGN265" s="18"/>
      <c r="AGO265" s="18"/>
      <c r="AGP265" s="18"/>
      <c r="AGQ265" s="18"/>
      <c r="AGR265" s="18"/>
      <c r="AGS265" s="18"/>
      <c r="AGT265" s="18"/>
      <c r="AGU265" s="18"/>
      <c r="AGV265" s="18"/>
      <c r="AGW265" s="18"/>
      <c r="AGX265" s="18"/>
      <c r="AGY265" s="18"/>
      <c r="AGZ265" s="18"/>
      <c r="AHA265" s="18"/>
      <c r="AHB265" s="18"/>
      <c r="AHC265" s="18"/>
      <c r="AHD265" s="18"/>
      <c r="AHE265" s="18"/>
      <c r="AHF265" s="18"/>
      <c r="AHG265" s="18"/>
      <c r="AHH265" s="18"/>
      <c r="AHI265" s="18"/>
      <c r="AHJ265" s="18"/>
      <c r="AHK265" s="18"/>
      <c r="AHL265" s="18"/>
      <c r="AHM265" s="18"/>
      <c r="AHN265" s="18"/>
      <c r="AHO265" s="18"/>
      <c r="AHP265" s="18"/>
      <c r="AHQ265" s="18"/>
      <c r="AHR265" s="18"/>
      <c r="AHS265" s="18"/>
      <c r="AHT265" s="18"/>
      <c r="AHU265" s="18"/>
      <c r="AHV265" s="18"/>
      <c r="AHW265" s="18"/>
      <c r="AHX265" s="18"/>
      <c r="AHY265" s="18"/>
      <c r="AHZ265" s="18"/>
      <c r="AIA265" s="18"/>
      <c r="AIB265" s="18"/>
      <c r="AIC265" s="18"/>
      <c r="AID265" s="18"/>
      <c r="AIE265" s="18"/>
      <c r="AIF265" s="18"/>
      <c r="AIG265" s="18"/>
      <c r="AIH265" s="18"/>
      <c r="AII265" s="18"/>
      <c r="AIJ265" s="18"/>
      <c r="AIK265" s="18"/>
      <c r="AIL265" s="18"/>
      <c r="AIM265" s="18"/>
      <c r="AIN265" s="18"/>
      <c r="AIO265" s="18"/>
      <c r="AIP265" s="18"/>
      <c r="AIQ265" s="18"/>
      <c r="AIR265" s="18"/>
      <c r="AIS265" s="18"/>
      <c r="AIT265" s="18"/>
      <c r="AIU265" s="18"/>
      <c r="AIV265" s="18"/>
      <c r="AIW265" s="18"/>
      <c r="AIX265" s="18"/>
      <c r="AIY265" s="18"/>
      <c r="AIZ265" s="18"/>
      <c r="AJA265" s="18"/>
      <c r="AJB265" s="18"/>
      <c r="AJC265" s="18"/>
      <c r="AJD265" s="18"/>
      <c r="AJE265" s="18"/>
      <c r="AJF265" s="18"/>
      <c r="AJG265" s="18"/>
      <c r="AJH265" s="18"/>
      <c r="AJI265" s="18"/>
      <c r="AJJ265" s="18"/>
      <c r="AJK265" s="18"/>
      <c r="AJL265" s="18"/>
      <c r="AJM265" s="18"/>
      <c r="AJN265" s="18"/>
      <c r="AJO265" s="18"/>
      <c r="AJP265" s="18"/>
      <c r="AJQ265" s="18"/>
      <c r="AJR265" s="18"/>
      <c r="AJS265" s="18"/>
      <c r="AJT265" s="18"/>
      <c r="AJU265" s="18"/>
      <c r="AJV265" s="18"/>
      <c r="AJW265" s="18"/>
      <c r="AJX265" s="18"/>
      <c r="AJY265" s="18"/>
      <c r="AJZ265" s="18"/>
      <c r="AKA265" s="18"/>
      <c r="AKB265" s="18"/>
      <c r="AKC265" s="18"/>
      <c r="AKD265" s="18"/>
      <c r="AKE265" s="18"/>
      <c r="AKF265" s="18"/>
      <c r="AKG265" s="18"/>
      <c r="AKH265" s="18"/>
      <c r="AKI265" s="18"/>
      <c r="AKJ265" s="18"/>
      <c r="AKK265" s="18"/>
      <c r="AKL265" s="18"/>
      <c r="AKM265" s="18"/>
      <c r="AKN265" s="18"/>
      <c r="AKO265" s="18"/>
      <c r="AKP265" s="18"/>
      <c r="AKQ265" s="18"/>
      <c r="AKR265" s="18"/>
      <c r="AKS265" s="18"/>
      <c r="AKT265" s="18"/>
      <c r="AKU265" s="18"/>
      <c r="AKV265" s="18"/>
      <c r="AKW265" s="18"/>
      <c r="AKX265" s="18"/>
      <c r="AKY265" s="18"/>
      <c r="AKZ265" s="18"/>
      <c r="ALA265" s="18"/>
      <c r="ALB265" s="18"/>
      <c r="ALC265" s="18"/>
      <c r="ALD265" s="18"/>
      <c r="ALE265" s="18"/>
      <c r="ALF265" s="18"/>
      <c r="ALG265" s="18"/>
      <c r="ALH265" s="18"/>
      <c r="ALI265" s="18"/>
      <c r="ALJ265" s="18"/>
      <c r="ALK265" s="18"/>
      <c r="ALL265" s="18"/>
      <c r="ALM265" s="18"/>
      <c r="ALN265" s="18"/>
      <c r="ALO265" s="18"/>
      <c r="ALP265" s="18"/>
      <c r="ALQ265" s="18"/>
      <c r="ALR265" s="18"/>
      <c r="ALS265" s="18"/>
      <c r="ALT265" s="18"/>
      <c r="ALU265" s="18"/>
      <c r="ALV265" s="18"/>
      <c r="ALW265" s="18"/>
      <c r="ALX265" s="18"/>
      <c r="ALY265" s="18"/>
      <c r="ALZ265" s="18"/>
      <c r="AMA265" s="18"/>
      <c r="AMB265" s="18"/>
      <c r="AMC265" s="18"/>
      <c r="AMD265" s="18"/>
      <c r="AME265" s="18"/>
      <c r="AMF265" s="18"/>
      <c r="AMG265" s="18"/>
      <c r="AMH265" s="18"/>
      <c r="AMI265" s="18"/>
      <c r="AMJ265" s="18"/>
      <c r="AMK265" s="18"/>
      <c r="AML265" s="18"/>
      <c r="AMM265" s="18"/>
      <c r="AMN265" s="18"/>
      <c r="AMO265" s="18"/>
      <c r="AMP265" s="18"/>
      <c r="AMQ265" s="18"/>
      <c r="AMR265" s="18"/>
      <c r="AMS265" s="18"/>
      <c r="AMT265" s="18"/>
      <c r="AMU265" s="18"/>
      <c r="AMV265" s="18"/>
      <c r="AMW265" s="18"/>
      <c r="AMX265" s="18"/>
      <c r="AMY265" s="18"/>
      <c r="AMZ265" s="18"/>
      <c r="ANA265" s="18"/>
      <c r="ANB265" s="18"/>
      <c r="ANC265" s="18"/>
      <c r="AND265" s="18"/>
      <c r="ANE265" s="18"/>
      <c r="ANF265" s="18"/>
      <c r="ANG265" s="18"/>
      <c r="ANH265" s="18"/>
      <c r="ANI265" s="18"/>
      <c r="ANJ265" s="18"/>
      <c r="ANK265" s="18"/>
      <c r="ANL265" s="18"/>
      <c r="ANM265" s="18"/>
      <c r="ANN265" s="18"/>
      <c r="ANO265" s="18"/>
      <c r="ANP265" s="18"/>
      <c r="ANQ265" s="18"/>
      <c r="ANR265" s="18"/>
      <c r="ANS265" s="18"/>
      <c r="ANT265" s="18"/>
      <c r="ANU265" s="18"/>
      <c r="ANV265" s="18"/>
      <c r="ANW265" s="18"/>
      <c r="ANX265" s="18"/>
      <c r="ANY265" s="18"/>
      <c r="ANZ265" s="18"/>
      <c r="AOA265" s="18"/>
      <c r="AOB265" s="18"/>
      <c r="AOC265" s="18"/>
      <c r="AOD265" s="18"/>
      <c r="AOE265" s="18"/>
      <c r="AOF265" s="18"/>
      <c r="AOG265" s="18"/>
      <c r="AOH265" s="18"/>
      <c r="AOI265" s="18"/>
      <c r="AOJ265" s="18"/>
      <c r="AOK265" s="18"/>
      <c r="AOL265" s="18"/>
      <c r="AOM265" s="18"/>
      <c r="AON265" s="18"/>
      <c r="AOO265" s="18"/>
      <c r="AOP265" s="18"/>
      <c r="AOQ265" s="18"/>
      <c r="AOR265" s="18"/>
      <c r="AOS265" s="18"/>
      <c r="AOT265" s="18"/>
      <c r="AOU265" s="18"/>
      <c r="AOV265" s="18"/>
      <c r="AOW265" s="18"/>
      <c r="AOX265" s="18"/>
      <c r="AOY265" s="18"/>
      <c r="AOZ265" s="18"/>
      <c r="APA265" s="18"/>
      <c r="APB265" s="18"/>
      <c r="APC265" s="18"/>
      <c r="APD265" s="18"/>
      <c r="APE265" s="18"/>
      <c r="APF265" s="18"/>
      <c r="APG265" s="18"/>
      <c r="APH265" s="18"/>
      <c r="API265" s="18"/>
      <c r="APJ265" s="18"/>
      <c r="APK265" s="18"/>
      <c r="APL265" s="18"/>
      <c r="APM265" s="18"/>
      <c r="APN265" s="18"/>
      <c r="APO265" s="18"/>
      <c r="APP265" s="18"/>
      <c r="APQ265" s="18"/>
      <c r="APR265" s="18"/>
      <c r="APS265" s="18"/>
      <c r="APT265" s="18"/>
      <c r="APU265" s="18"/>
      <c r="APV265" s="18"/>
      <c r="APW265" s="18"/>
      <c r="APX265" s="18"/>
      <c r="APY265" s="18"/>
      <c r="APZ265" s="18"/>
      <c r="AQA265" s="18"/>
      <c r="AQB265" s="18"/>
      <c r="AQC265" s="18"/>
      <c r="AQD265" s="18"/>
      <c r="AQE265" s="18"/>
      <c r="AQF265" s="18"/>
      <c r="AQG265" s="18"/>
      <c r="AQH265" s="18"/>
      <c r="AQI265" s="18"/>
      <c r="AQJ265" s="18"/>
      <c r="AQK265" s="18"/>
      <c r="AQL265" s="18"/>
      <c r="AQM265" s="18"/>
      <c r="AQN265" s="18"/>
      <c r="AQO265" s="18"/>
      <c r="AQP265" s="18"/>
      <c r="AQQ265" s="18"/>
      <c r="AQR265" s="18"/>
      <c r="AQS265" s="18"/>
      <c r="AQT265" s="18"/>
      <c r="AQU265" s="18"/>
      <c r="AQV265" s="18"/>
      <c r="AQW265" s="18"/>
      <c r="AQX265" s="18"/>
      <c r="AQY265" s="18"/>
      <c r="AQZ265" s="18"/>
      <c r="ARA265" s="18"/>
      <c r="ARB265" s="18"/>
      <c r="ARC265" s="18"/>
      <c r="ARD265" s="18"/>
      <c r="ARE265" s="18"/>
      <c r="ARF265" s="18"/>
      <c r="ARG265" s="18"/>
      <c r="ARH265" s="18"/>
      <c r="ARI265" s="18"/>
      <c r="ARJ265" s="18"/>
      <c r="ARK265" s="18"/>
      <c r="ARL265" s="18"/>
      <c r="ARM265" s="18"/>
      <c r="ARN265" s="18"/>
      <c r="ARO265" s="18"/>
      <c r="ARP265" s="18"/>
      <c r="ARQ265" s="18"/>
      <c r="ARR265" s="18"/>
      <c r="ARS265" s="18"/>
      <c r="ART265" s="18"/>
      <c r="ARU265" s="18"/>
      <c r="ARV265" s="18"/>
      <c r="ARW265" s="18"/>
      <c r="ARX265" s="18"/>
      <c r="ARY265" s="18"/>
      <c r="ARZ265" s="18"/>
      <c r="ASA265" s="18"/>
      <c r="ASB265" s="18"/>
      <c r="ASC265" s="18"/>
      <c r="ASD265" s="18"/>
      <c r="ASE265" s="18"/>
      <c r="ASF265" s="18"/>
      <c r="ASG265" s="18"/>
      <c r="ASH265" s="18"/>
      <c r="ASI265" s="18"/>
      <c r="ASJ265" s="18"/>
      <c r="ASK265" s="18"/>
      <c r="ASL265" s="18"/>
      <c r="ASM265" s="18"/>
      <c r="ASN265" s="18"/>
      <c r="ASO265" s="18"/>
      <c r="ASP265" s="18"/>
      <c r="ASQ265" s="18"/>
      <c r="ASR265" s="18"/>
      <c r="ASS265" s="18"/>
      <c r="AST265" s="18"/>
      <c r="ASU265" s="18"/>
      <c r="ASV265" s="18"/>
      <c r="ASW265" s="18"/>
      <c r="ASX265" s="18"/>
      <c r="ASY265" s="18"/>
      <c r="ASZ265" s="18"/>
      <c r="ATA265" s="18"/>
      <c r="ATB265" s="18"/>
      <c r="ATC265" s="18"/>
      <c r="ATD265" s="18"/>
      <c r="ATE265" s="18"/>
      <c r="ATF265" s="18"/>
      <c r="ATG265" s="18"/>
      <c r="ATH265" s="18"/>
      <c r="ATI265" s="18"/>
      <c r="ATJ265" s="18"/>
      <c r="ATK265" s="18"/>
      <c r="ATL265" s="18"/>
      <c r="ATM265" s="18"/>
      <c r="ATN265" s="18"/>
      <c r="ATO265" s="18"/>
      <c r="ATP265" s="18"/>
      <c r="ATQ265" s="18"/>
      <c r="ATR265" s="18"/>
      <c r="ATS265" s="18"/>
      <c r="ATT265" s="18"/>
      <c r="ATU265" s="18"/>
      <c r="ATV265" s="18"/>
      <c r="ATW265" s="18"/>
      <c r="ATX265" s="18"/>
      <c r="ATY265" s="18"/>
      <c r="ATZ265" s="18"/>
      <c r="AUA265" s="18"/>
      <c r="AUB265" s="18"/>
      <c r="AUC265" s="18"/>
      <c r="AUD265" s="18"/>
      <c r="AUE265" s="18"/>
      <c r="AUF265" s="18"/>
      <c r="AUG265" s="18"/>
      <c r="AUH265" s="18"/>
      <c r="AUI265" s="18"/>
      <c r="AUJ265" s="18"/>
      <c r="AUK265" s="18"/>
      <c r="AUL265" s="18"/>
      <c r="AUM265" s="18"/>
      <c r="AUN265" s="18"/>
      <c r="AUO265" s="18"/>
      <c r="AUP265" s="18"/>
      <c r="AUQ265" s="18"/>
      <c r="AUR265" s="18"/>
      <c r="AUS265" s="18"/>
      <c r="AUT265" s="18"/>
      <c r="AUU265" s="18"/>
      <c r="AUV265" s="18"/>
      <c r="AUW265" s="18"/>
      <c r="AUX265" s="18"/>
      <c r="AUY265" s="18"/>
      <c r="AUZ265" s="18"/>
      <c r="AVA265" s="18"/>
      <c r="AVB265" s="18"/>
      <c r="AVC265" s="18"/>
      <c r="AVD265" s="18"/>
      <c r="AVE265" s="18"/>
      <c r="AVF265" s="18"/>
      <c r="AVG265" s="18"/>
      <c r="AVH265" s="18"/>
      <c r="AVI265" s="18"/>
      <c r="AVJ265" s="18"/>
      <c r="AVK265" s="18"/>
      <c r="AVL265" s="18"/>
      <c r="AVM265" s="18"/>
      <c r="AVN265" s="18"/>
      <c r="AVO265" s="18"/>
      <c r="AVP265" s="18"/>
      <c r="AVQ265" s="18"/>
      <c r="AVR265" s="18"/>
      <c r="AVS265" s="18"/>
      <c r="AVT265" s="18"/>
      <c r="AVU265" s="18"/>
      <c r="AVV265" s="18"/>
      <c r="AVW265" s="18"/>
      <c r="AVX265" s="18"/>
      <c r="AVY265" s="18"/>
      <c r="AVZ265" s="18"/>
      <c r="AWA265" s="18"/>
      <c r="AWB265" s="18"/>
      <c r="AWC265" s="18"/>
      <c r="AWD265" s="18"/>
      <c r="AWE265" s="18"/>
      <c r="AWF265" s="18"/>
      <c r="AWG265" s="18"/>
      <c r="AWH265" s="18"/>
      <c r="AWI265" s="18"/>
      <c r="AWJ265" s="18"/>
      <c r="AWK265" s="18"/>
      <c r="AWL265" s="18"/>
      <c r="AWM265" s="18"/>
      <c r="AWN265" s="18"/>
      <c r="AWO265" s="18"/>
      <c r="AWP265" s="18"/>
      <c r="AWQ265" s="18"/>
      <c r="AWR265" s="18"/>
      <c r="AWS265" s="18"/>
      <c r="AWT265" s="18"/>
      <c r="AWU265" s="18"/>
      <c r="AWV265" s="18"/>
      <c r="AWW265" s="18"/>
      <c r="AWX265" s="18"/>
      <c r="AWY265" s="18"/>
      <c r="AWZ265" s="18"/>
      <c r="AXA265" s="18"/>
      <c r="AXB265" s="18"/>
      <c r="AXC265" s="18"/>
      <c r="AXD265" s="18"/>
      <c r="AXE265" s="18"/>
      <c r="AXF265" s="18"/>
      <c r="AXG265" s="18"/>
      <c r="AXH265" s="18"/>
      <c r="AXI265" s="18"/>
      <c r="AXJ265" s="18"/>
      <c r="AXK265" s="18"/>
      <c r="AXL265" s="18"/>
      <c r="AXM265" s="18"/>
      <c r="AXN265" s="18"/>
      <c r="AXO265" s="18"/>
      <c r="AXP265" s="18"/>
      <c r="AXQ265" s="18"/>
      <c r="AXR265" s="18"/>
      <c r="AXS265" s="18"/>
      <c r="AXT265" s="18"/>
      <c r="AXU265" s="18"/>
      <c r="AXV265" s="18"/>
      <c r="AXW265" s="18"/>
      <c r="AXX265" s="18"/>
      <c r="AXY265" s="18"/>
      <c r="AXZ265" s="18"/>
      <c r="AYA265" s="18"/>
      <c r="AYB265" s="18"/>
      <c r="AYC265" s="18"/>
      <c r="AYD265" s="18"/>
      <c r="AYE265" s="18"/>
      <c r="AYF265" s="18"/>
      <c r="AYG265" s="18"/>
      <c r="AYH265" s="18"/>
      <c r="AYI265" s="18"/>
      <c r="AYJ265" s="18"/>
      <c r="AYK265" s="18"/>
      <c r="AYL265" s="18"/>
      <c r="AYM265" s="18"/>
      <c r="AYN265" s="18"/>
      <c r="AYO265" s="18"/>
      <c r="AYP265" s="18"/>
      <c r="AYQ265" s="18"/>
      <c r="AYR265" s="18"/>
      <c r="AYS265" s="18"/>
      <c r="AYT265" s="18"/>
      <c r="AYU265" s="18"/>
      <c r="AYV265" s="18"/>
      <c r="AYW265" s="18"/>
      <c r="AYX265" s="18"/>
      <c r="AYY265" s="18"/>
      <c r="AYZ265" s="18"/>
      <c r="AZA265" s="18"/>
      <c r="AZB265" s="18"/>
      <c r="AZC265" s="18"/>
      <c r="AZD265" s="18"/>
      <c r="AZE265" s="18"/>
      <c r="AZF265" s="18"/>
      <c r="AZG265" s="18"/>
      <c r="AZH265" s="18"/>
      <c r="AZI265" s="18"/>
      <c r="AZJ265" s="18"/>
      <c r="AZK265" s="18"/>
      <c r="AZL265" s="18"/>
      <c r="AZM265" s="18"/>
      <c r="AZN265" s="18"/>
      <c r="AZO265" s="18"/>
      <c r="AZP265" s="18"/>
      <c r="AZQ265" s="18"/>
      <c r="AZR265" s="18"/>
      <c r="AZS265" s="18"/>
      <c r="AZT265" s="18"/>
      <c r="AZU265" s="18"/>
      <c r="AZV265" s="18"/>
      <c r="AZW265" s="18"/>
      <c r="AZX265" s="18"/>
      <c r="AZY265" s="18"/>
      <c r="AZZ265" s="18"/>
      <c r="BAA265" s="18"/>
      <c r="BAB265" s="18"/>
      <c r="BAC265" s="18"/>
      <c r="BAD265" s="18"/>
      <c r="BAE265" s="18"/>
      <c r="BAF265" s="18"/>
      <c r="BAG265" s="18"/>
      <c r="BAH265" s="18"/>
      <c r="BAI265" s="18"/>
      <c r="BAJ265" s="18"/>
      <c r="BAK265" s="18"/>
      <c r="BAL265" s="18"/>
      <c r="BAM265" s="18"/>
      <c r="BAN265" s="18"/>
      <c r="BAO265" s="18"/>
      <c r="BAP265" s="18"/>
      <c r="BAQ265" s="18"/>
      <c r="BAR265" s="18"/>
      <c r="BAS265" s="18"/>
      <c r="BAT265" s="18"/>
      <c r="BAU265" s="18"/>
      <c r="BAV265" s="18"/>
      <c r="BAW265" s="18"/>
      <c r="BAX265" s="18"/>
      <c r="BAY265" s="18"/>
      <c r="BAZ265" s="18"/>
      <c r="BBA265" s="18"/>
      <c r="BBB265" s="18"/>
      <c r="BBC265" s="18"/>
      <c r="BBD265" s="18"/>
      <c r="BBE265" s="18"/>
      <c r="BBF265" s="18"/>
      <c r="BBG265" s="18"/>
      <c r="BBH265" s="18"/>
      <c r="BBI265" s="18"/>
      <c r="BBJ265" s="18"/>
      <c r="BBK265" s="18"/>
      <c r="BBL265" s="18"/>
      <c r="BBM265" s="18"/>
      <c r="BBN265" s="18"/>
      <c r="BBO265" s="18"/>
      <c r="BBP265" s="18"/>
      <c r="BBQ265" s="18"/>
      <c r="BBR265" s="18"/>
      <c r="BBS265" s="18"/>
      <c r="BBT265" s="18"/>
      <c r="BBU265" s="18"/>
      <c r="BBV265" s="18"/>
      <c r="BBW265" s="18"/>
      <c r="BBX265" s="18"/>
      <c r="BBY265" s="18"/>
      <c r="BBZ265" s="18"/>
      <c r="BCA265" s="18"/>
      <c r="BCB265" s="18"/>
      <c r="BCC265" s="18"/>
      <c r="BCD265" s="18"/>
      <c r="BCE265" s="18"/>
      <c r="BCF265" s="18"/>
      <c r="BCG265" s="18"/>
      <c r="BCH265" s="18"/>
      <c r="BCI265" s="18"/>
      <c r="BCJ265" s="18"/>
      <c r="BCK265" s="18"/>
      <c r="BCL265" s="18"/>
      <c r="BCM265" s="18"/>
      <c r="BCN265" s="18"/>
      <c r="BCO265" s="18"/>
      <c r="BCP265" s="18"/>
      <c r="BCQ265" s="18"/>
      <c r="BCR265" s="18"/>
      <c r="BCS265" s="18"/>
      <c r="BCT265" s="18"/>
      <c r="BCU265" s="18"/>
      <c r="BCV265" s="18"/>
      <c r="BCW265" s="18"/>
      <c r="BCX265" s="18"/>
      <c r="BCY265" s="18"/>
      <c r="BCZ265" s="18"/>
      <c r="BDA265" s="18"/>
      <c r="BDB265" s="18"/>
      <c r="BDC265" s="18"/>
      <c r="BDD265" s="18"/>
      <c r="BDE265" s="18"/>
      <c r="BDF265" s="18"/>
      <c r="BDG265" s="18"/>
      <c r="BDH265" s="18"/>
      <c r="BDI265" s="18"/>
      <c r="BDJ265" s="18"/>
      <c r="BDK265" s="18"/>
      <c r="BDL265" s="18"/>
      <c r="BDM265" s="18"/>
      <c r="BDN265" s="18"/>
      <c r="BDO265" s="18"/>
      <c r="BDP265" s="18"/>
      <c r="BDQ265" s="18"/>
      <c r="BDR265" s="18"/>
      <c r="BDS265" s="18"/>
      <c r="BDT265" s="18"/>
      <c r="BDU265" s="18"/>
      <c r="BDV265" s="18"/>
      <c r="BDW265" s="18"/>
      <c r="BDX265" s="18"/>
      <c r="BDY265" s="18"/>
      <c r="BDZ265" s="18"/>
      <c r="BEA265" s="18"/>
      <c r="BEB265" s="18"/>
      <c r="BEC265" s="18"/>
      <c r="BED265" s="18"/>
      <c r="BEE265" s="18"/>
      <c r="BEF265" s="18"/>
      <c r="BEG265" s="18"/>
      <c r="BEH265" s="18"/>
      <c r="BEI265" s="18"/>
      <c r="BEJ265" s="18"/>
      <c r="BEK265" s="18"/>
      <c r="BEL265" s="18"/>
      <c r="BEM265" s="18"/>
      <c r="BEN265" s="18"/>
      <c r="BEO265" s="18"/>
      <c r="BEP265" s="18"/>
      <c r="BEQ265" s="18"/>
      <c r="BER265" s="18"/>
      <c r="BES265" s="18"/>
      <c r="BET265" s="18"/>
      <c r="BEU265" s="18"/>
      <c r="BEV265" s="18"/>
      <c r="BEW265" s="18"/>
      <c r="BEX265" s="18"/>
      <c r="BEY265" s="18"/>
      <c r="BEZ265" s="18"/>
      <c r="BFA265" s="18"/>
      <c r="BFB265" s="18"/>
      <c r="BFC265" s="18"/>
      <c r="BFD265" s="18"/>
      <c r="BFE265" s="18"/>
      <c r="BFF265" s="18"/>
      <c r="BFG265" s="18"/>
      <c r="BFH265" s="18"/>
      <c r="BFI265" s="18"/>
      <c r="BFJ265" s="18"/>
      <c r="BFK265" s="18"/>
      <c r="BFL265" s="18"/>
      <c r="BFM265" s="18"/>
      <c r="BFN265" s="18"/>
      <c r="BFO265" s="18"/>
      <c r="BFP265" s="18"/>
      <c r="BFQ265" s="18"/>
      <c r="BFR265" s="18"/>
      <c r="BFS265" s="18"/>
      <c r="BFT265" s="18"/>
      <c r="BFU265" s="18"/>
      <c r="BFV265" s="18"/>
      <c r="BFW265" s="18"/>
      <c r="BFX265" s="18"/>
      <c r="BFY265" s="18"/>
      <c r="BFZ265" s="18"/>
      <c r="BGA265" s="18"/>
      <c r="BGB265" s="18"/>
      <c r="BGC265" s="18"/>
      <c r="BGD265" s="18"/>
      <c r="BGE265" s="18"/>
      <c r="BGF265" s="18"/>
      <c r="BGG265" s="18"/>
      <c r="BGH265" s="18"/>
      <c r="BGI265" s="18"/>
      <c r="BGJ265" s="18"/>
      <c r="BGK265" s="18"/>
      <c r="BGL265" s="18"/>
      <c r="BGM265" s="18"/>
      <c r="BGN265" s="18"/>
      <c r="BGO265" s="18"/>
      <c r="BGP265" s="18"/>
      <c r="BGQ265" s="18"/>
      <c r="BGR265" s="18"/>
      <c r="BGS265" s="18"/>
      <c r="BGT265" s="18"/>
      <c r="BGU265" s="18"/>
      <c r="BGV265" s="18"/>
      <c r="BGW265" s="18"/>
      <c r="BGX265" s="18"/>
      <c r="BGY265" s="18"/>
      <c r="BGZ265" s="18"/>
      <c r="BHA265" s="18"/>
      <c r="BHB265" s="18"/>
      <c r="BHC265" s="18"/>
      <c r="BHD265" s="18"/>
      <c r="BHE265" s="18"/>
      <c r="BHF265" s="18"/>
      <c r="BHG265" s="18"/>
      <c r="BHH265" s="18"/>
      <c r="BHI265" s="18"/>
      <c r="BHJ265" s="18"/>
      <c r="BHK265" s="18"/>
      <c r="BHL265" s="18"/>
      <c r="BHM265" s="18"/>
      <c r="BHN265" s="18"/>
      <c r="BHO265" s="18"/>
      <c r="BHP265" s="18"/>
      <c r="BHQ265" s="18"/>
      <c r="BHR265" s="18"/>
      <c r="BHS265" s="18"/>
      <c r="BHT265" s="18"/>
      <c r="BHU265" s="18"/>
      <c r="BHV265" s="18"/>
      <c r="BHW265" s="18"/>
      <c r="BHX265" s="18"/>
      <c r="BHY265" s="18"/>
      <c r="BHZ265" s="18"/>
      <c r="BIA265" s="18"/>
      <c r="BIB265" s="18"/>
      <c r="BIC265" s="18"/>
      <c r="BID265" s="18"/>
      <c r="BIE265" s="18"/>
      <c r="BIF265" s="18"/>
      <c r="BIG265" s="18"/>
      <c r="BIH265" s="18"/>
      <c r="BII265" s="18"/>
      <c r="BIJ265" s="18"/>
      <c r="BIK265" s="18"/>
      <c r="BIL265" s="18"/>
      <c r="BIM265" s="18"/>
      <c r="BIN265" s="18"/>
      <c r="BIO265" s="18"/>
      <c r="BIP265" s="18"/>
      <c r="BIQ265" s="18"/>
      <c r="BIR265" s="18"/>
      <c r="BIS265" s="18"/>
      <c r="BIT265" s="18"/>
      <c r="BIU265" s="18"/>
      <c r="BIV265" s="18"/>
      <c r="BIW265" s="18"/>
      <c r="BIX265" s="18"/>
      <c r="BIY265" s="18"/>
      <c r="BIZ265" s="18"/>
      <c r="BJA265" s="18"/>
      <c r="BJB265" s="18"/>
      <c r="BJC265" s="18"/>
      <c r="BJD265" s="18"/>
      <c r="BJE265" s="18"/>
      <c r="BJF265" s="18"/>
      <c r="BJG265" s="18"/>
      <c r="BJH265" s="18"/>
      <c r="BJI265" s="18"/>
      <c r="BJJ265" s="18"/>
      <c r="BJK265" s="18"/>
      <c r="BJL265" s="18"/>
      <c r="BJM265" s="18"/>
      <c r="BJN265" s="18"/>
      <c r="BJO265" s="18"/>
      <c r="BJP265" s="18"/>
      <c r="BJQ265" s="18"/>
      <c r="BJR265" s="18"/>
      <c r="BJS265" s="18"/>
      <c r="BJT265" s="18"/>
      <c r="BJU265" s="18"/>
      <c r="BJV265" s="18"/>
      <c r="BJW265" s="18"/>
      <c r="BJX265" s="18"/>
      <c r="BJY265" s="18"/>
      <c r="BJZ265" s="18"/>
      <c r="BKA265" s="18"/>
      <c r="BKB265" s="18"/>
      <c r="BKC265" s="18"/>
      <c r="BKD265" s="18"/>
      <c r="BKE265" s="18"/>
      <c r="BKF265" s="18"/>
      <c r="BKG265" s="18"/>
      <c r="BKH265" s="18"/>
      <c r="BKI265" s="18"/>
      <c r="BKJ265" s="18"/>
      <c r="BKK265" s="18"/>
      <c r="BKL265" s="18"/>
      <c r="BKM265" s="18"/>
      <c r="BKN265" s="18"/>
      <c r="BKO265" s="18"/>
      <c r="BKP265" s="18"/>
      <c r="BKQ265" s="18"/>
      <c r="BKR265" s="18"/>
      <c r="BKS265" s="18"/>
      <c r="BKT265" s="18"/>
      <c r="BKU265" s="18"/>
      <c r="BKV265" s="18"/>
      <c r="BKW265" s="18"/>
      <c r="BKX265" s="18"/>
      <c r="BKY265" s="18"/>
      <c r="BKZ265" s="18"/>
      <c r="BLA265" s="18"/>
      <c r="BLB265" s="18"/>
      <c r="BLC265" s="18"/>
      <c r="BLD265" s="18"/>
      <c r="BLE265" s="18"/>
      <c r="BLF265" s="18"/>
      <c r="BLG265" s="18"/>
      <c r="BLH265" s="18"/>
      <c r="BLI265" s="18"/>
      <c r="BLJ265" s="18"/>
      <c r="BLK265" s="18"/>
      <c r="BLL265" s="18"/>
      <c r="BLM265" s="18"/>
      <c r="BLN265" s="18"/>
      <c r="BLO265" s="18"/>
      <c r="BLP265" s="18"/>
      <c r="BLQ265" s="18"/>
      <c r="BLR265" s="18"/>
      <c r="BLS265" s="18"/>
      <c r="BLT265" s="18"/>
      <c r="BLU265" s="18"/>
      <c r="BLV265" s="18"/>
      <c r="BLW265" s="18"/>
      <c r="BLX265" s="18"/>
      <c r="BLY265" s="18"/>
      <c r="BLZ265" s="18"/>
      <c r="BMA265" s="18"/>
      <c r="BMB265" s="18"/>
      <c r="BMC265" s="18"/>
      <c r="BMD265" s="18"/>
      <c r="BME265" s="18"/>
      <c r="BMF265" s="18"/>
      <c r="BMG265" s="18"/>
      <c r="BMH265" s="18"/>
      <c r="BMI265" s="18"/>
      <c r="BMJ265" s="18"/>
      <c r="BMK265" s="18"/>
      <c r="BML265" s="18"/>
      <c r="BMM265" s="18"/>
      <c r="BMN265" s="18"/>
      <c r="BMO265" s="18"/>
      <c r="BMP265" s="18"/>
      <c r="BMQ265" s="18"/>
      <c r="BMR265" s="18"/>
      <c r="BMS265" s="18"/>
      <c r="BMT265" s="18"/>
      <c r="BMU265" s="18"/>
      <c r="BMV265" s="18"/>
      <c r="BMW265" s="18"/>
      <c r="BMX265" s="18"/>
      <c r="BMY265" s="18"/>
      <c r="BMZ265" s="18"/>
      <c r="BNA265" s="18"/>
      <c r="BNB265" s="18"/>
      <c r="BNC265" s="18"/>
      <c r="BND265" s="18"/>
      <c r="BNE265" s="18"/>
      <c r="BNF265" s="18"/>
      <c r="BNG265" s="18"/>
      <c r="BNH265" s="18"/>
      <c r="BNI265" s="18"/>
      <c r="BNJ265" s="18"/>
      <c r="BNK265" s="18"/>
      <c r="BNL265" s="18"/>
      <c r="BNM265" s="18"/>
      <c r="BNN265" s="18"/>
      <c r="BNO265" s="18"/>
      <c r="BNP265" s="18"/>
      <c r="BNQ265" s="18"/>
      <c r="BNR265" s="18"/>
      <c r="BNS265" s="18"/>
      <c r="BNT265" s="18"/>
      <c r="BNU265" s="18"/>
      <c r="BNV265" s="18"/>
      <c r="BNW265" s="18"/>
      <c r="BNX265" s="18"/>
      <c r="BNY265" s="18"/>
      <c r="BNZ265" s="18"/>
      <c r="BOA265" s="18"/>
      <c r="BOB265" s="18"/>
      <c r="BOC265" s="18"/>
      <c r="BOD265" s="18"/>
      <c r="BOE265" s="18"/>
      <c r="BOF265" s="18"/>
      <c r="BOG265" s="18"/>
      <c r="BOH265" s="18"/>
      <c r="BOI265" s="18"/>
      <c r="BOJ265" s="18"/>
      <c r="BOK265" s="18"/>
      <c r="BOL265" s="18"/>
      <c r="BOM265" s="18"/>
      <c r="BON265" s="18"/>
      <c r="BOO265" s="18"/>
      <c r="BOP265" s="18"/>
      <c r="BOQ265" s="18"/>
      <c r="BOR265" s="18"/>
      <c r="BOS265" s="18"/>
      <c r="BOT265" s="18"/>
      <c r="BOU265" s="18"/>
      <c r="BOV265" s="18"/>
      <c r="BOW265" s="18"/>
      <c r="BOX265" s="18"/>
      <c r="BOY265" s="18"/>
      <c r="BOZ265" s="18"/>
      <c r="BPA265" s="18"/>
      <c r="BPB265" s="18"/>
      <c r="BPC265" s="18"/>
      <c r="BPD265" s="18"/>
      <c r="BPE265" s="18"/>
      <c r="BPF265" s="18"/>
      <c r="BPG265" s="18"/>
      <c r="BPH265" s="18"/>
      <c r="BPI265" s="18"/>
      <c r="BPJ265" s="18"/>
      <c r="BPK265" s="18"/>
      <c r="BPL265" s="18"/>
      <c r="BPM265" s="18"/>
      <c r="BPN265" s="18"/>
      <c r="BPO265" s="18"/>
      <c r="BPP265" s="18"/>
      <c r="BPQ265" s="18"/>
      <c r="BPR265" s="18"/>
      <c r="BPS265" s="18"/>
      <c r="BPT265" s="18"/>
      <c r="BPU265" s="18"/>
      <c r="BPV265" s="18"/>
      <c r="BPW265" s="18"/>
      <c r="BPX265" s="18"/>
      <c r="BPY265" s="18"/>
      <c r="BPZ265" s="18"/>
      <c r="BQA265" s="18"/>
      <c r="BQB265" s="18"/>
      <c r="BQC265" s="18"/>
      <c r="BQD265" s="18"/>
      <c r="BQE265" s="18"/>
      <c r="BQF265" s="18"/>
      <c r="BQG265" s="18"/>
      <c r="BQH265" s="18"/>
      <c r="BQI265" s="18"/>
      <c r="BQJ265" s="18"/>
      <c r="BQK265" s="18"/>
      <c r="BQL265" s="18"/>
      <c r="BQM265" s="18"/>
      <c r="BQN265" s="18"/>
      <c r="BQO265" s="18"/>
      <c r="BQP265" s="18"/>
      <c r="BQQ265" s="18"/>
      <c r="BQR265" s="18"/>
      <c r="BQS265" s="18"/>
      <c r="BQT265" s="18"/>
      <c r="BQU265" s="18"/>
      <c r="BQV265" s="18"/>
      <c r="BQW265" s="18"/>
      <c r="BQX265" s="18"/>
      <c r="BQY265" s="18"/>
      <c r="BQZ265" s="18"/>
      <c r="BRA265" s="18"/>
      <c r="BRB265" s="18"/>
      <c r="BRC265" s="18"/>
      <c r="BRD265" s="18"/>
      <c r="BRE265" s="18"/>
      <c r="BRF265" s="18"/>
      <c r="BRG265" s="18"/>
      <c r="BRH265" s="18"/>
      <c r="BRI265" s="18"/>
      <c r="BRJ265" s="18"/>
      <c r="BRK265" s="18"/>
      <c r="BRL265" s="18"/>
      <c r="BRM265" s="18"/>
      <c r="BRN265" s="18"/>
      <c r="BRO265" s="18"/>
      <c r="BRP265" s="18"/>
      <c r="BRQ265" s="18"/>
      <c r="BRR265" s="18"/>
      <c r="BRS265" s="18"/>
      <c r="BRT265" s="18"/>
      <c r="BRU265" s="18"/>
      <c r="BRV265" s="18"/>
      <c r="BRW265" s="18"/>
      <c r="BRX265" s="18"/>
      <c r="BRY265" s="18"/>
      <c r="BRZ265" s="18"/>
      <c r="BSA265" s="18"/>
      <c r="BSB265" s="18"/>
      <c r="BSC265" s="18"/>
      <c r="BSD265" s="18"/>
      <c r="BSE265" s="18"/>
      <c r="BSF265" s="18"/>
      <c r="BSG265" s="18"/>
      <c r="BSH265" s="18"/>
      <c r="BSI265" s="18"/>
      <c r="BSJ265" s="18"/>
      <c r="BSK265" s="18"/>
      <c r="BSL265" s="18"/>
      <c r="BSM265" s="18"/>
      <c r="BSN265" s="18"/>
      <c r="BSO265" s="18"/>
      <c r="BSP265" s="18"/>
      <c r="BSQ265" s="18"/>
      <c r="BSR265" s="18"/>
      <c r="BSS265" s="18"/>
      <c r="BST265" s="18"/>
      <c r="BSU265" s="18"/>
      <c r="BSV265" s="18"/>
      <c r="BSW265" s="18"/>
      <c r="BSX265" s="18"/>
      <c r="BSY265" s="18"/>
      <c r="BSZ265" s="18"/>
      <c r="BTA265" s="18"/>
      <c r="BTB265" s="18"/>
      <c r="BTC265" s="18"/>
      <c r="BTD265" s="18"/>
      <c r="BTE265" s="18"/>
      <c r="BTF265" s="18"/>
      <c r="BTG265" s="18"/>
      <c r="BTH265" s="18"/>
      <c r="BTI265" s="18"/>
    </row>
    <row r="266" spans="1:1881" s="756" customFormat="1" ht="53.25" hidden="1" customHeight="1" x14ac:dyDescent="0.3">
      <c r="A266" s="105">
        <v>599</v>
      </c>
      <c r="B266" s="663" t="s">
        <v>59</v>
      </c>
      <c r="C266" s="663" t="s">
        <v>304</v>
      </c>
      <c r="D266" s="28" t="s">
        <v>375</v>
      </c>
      <c r="E266" s="661" t="e">
        <f>HLOOKUP($D$2,'2020 Data(H)'!$C$1:$AI$426,259,FALSE)</f>
        <v>#N/A</v>
      </c>
      <c r="F266" s="286">
        <v>0</v>
      </c>
      <c r="G266" s="760" t="str">
        <f>IF(ISBLANK(F266),"Please do not leave blank","")</f>
        <v/>
      </c>
      <c r="H266" s="722">
        <f>IF(F266&lt;0,"Error: Enter as positive.",)</f>
        <v>0</v>
      </c>
      <c r="I266" s="77"/>
      <c r="J266" s="754"/>
      <c r="K266" s="18"/>
      <c r="L266" s="18"/>
      <c r="M266" s="18"/>
      <c r="N266" s="288"/>
      <c r="O266" s="18"/>
      <c r="P266" s="18"/>
      <c r="Q266" s="18"/>
      <c r="R266" s="18"/>
      <c r="S266" s="18"/>
      <c r="T266" s="18"/>
      <c r="U266" s="18"/>
      <c r="V266" s="18"/>
      <c r="W266" s="18"/>
      <c r="X266" s="18"/>
      <c r="Y266" s="18"/>
      <c r="Z266" s="105"/>
      <c r="AA266" s="105"/>
      <c r="AB266" s="105"/>
      <c r="AC266" s="105"/>
      <c r="AD266" s="105"/>
      <c r="AE266" s="105"/>
      <c r="AF266" s="105"/>
      <c r="AG266" s="105"/>
      <c r="AH266" s="105"/>
      <c r="AI266" s="105"/>
      <c r="AJ266" s="105"/>
      <c r="AK266" s="105"/>
      <c r="AL266" s="105"/>
      <c r="AM266" s="105"/>
      <c r="AN266" s="105"/>
      <c r="AO266" s="105"/>
      <c r="AP266" s="105"/>
      <c r="AQ266" s="105"/>
      <c r="AR266" s="105"/>
      <c r="AS266" s="18"/>
      <c r="AT266" s="18"/>
      <c r="AU266" s="18"/>
      <c r="AV266" s="18"/>
      <c r="AW266" s="18"/>
      <c r="AX266" s="18"/>
      <c r="AY266" s="18"/>
      <c r="AZ266" s="18"/>
      <c r="BA266" s="18"/>
      <c r="BB266" s="18"/>
      <c r="BC266" s="18"/>
      <c r="BD266" s="18"/>
      <c r="BE266" s="18"/>
      <c r="BF266" s="18"/>
      <c r="BG266" s="18"/>
      <c r="BH266" s="18"/>
      <c r="BI266" s="18"/>
      <c r="BJ266" s="18"/>
      <c r="BK266" s="18"/>
      <c r="BL266" s="18"/>
      <c r="BM266" s="18"/>
      <c r="BN266" s="18"/>
      <c r="BO266" s="18"/>
      <c r="BP266" s="18"/>
      <c r="BQ266" s="18"/>
      <c r="BR266" s="18"/>
      <c r="BS266" s="18"/>
      <c r="BT266" s="18"/>
      <c r="BU266" s="18"/>
      <c r="BV266" s="18"/>
      <c r="BW266" s="18"/>
      <c r="BX266" s="18"/>
      <c r="BY266" s="18"/>
      <c r="BZ266" s="18"/>
      <c r="CA266" s="18"/>
      <c r="CB266" s="18"/>
      <c r="CC266" s="18"/>
      <c r="CD266" s="18"/>
      <c r="CE266" s="18"/>
      <c r="CF266" s="18"/>
      <c r="CG266" s="18"/>
      <c r="CH266" s="18"/>
      <c r="CI266" s="18"/>
      <c r="CJ266" s="18"/>
      <c r="CK266" s="18"/>
      <c r="CL266" s="18"/>
      <c r="CM266" s="18"/>
      <c r="CN266" s="18"/>
      <c r="CO266" s="18"/>
      <c r="CP266" s="18"/>
      <c r="CQ266" s="18"/>
      <c r="CR266" s="18"/>
      <c r="CS266" s="18"/>
      <c r="CT266" s="18"/>
      <c r="CU266" s="18"/>
      <c r="CV266" s="18"/>
      <c r="CW266" s="18"/>
      <c r="CX266" s="18"/>
      <c r="CY266" s="18"/>
      <c r="CZ266" s="18"/>
      <c r="DA266" s="18"/>
      <c r="DB266" s="18"/>
      <c r="DC266" s="18"/>
      <c r="DD266" s="18"/>
      <c r="DE266" s="18"/>
      <c r="DF266" s="18"/>
      <c r="DG266" s="18"/>
      <c r="DH266" s="18"/>
      <c r="DI266" s="18"/>
      <c r="DJ266" s="18"/>
      <c r="DK266" s="18"/>
      <c r="DL266" s="18"/>
      <c r="DM266" s="18"/>
      <c r="DN266" s="18"/>
      <c r="DO266" s="18"/>
      <c r="DP266" s="18"/>
      <c r="DQ266" s="18"/>
      <c r="DR266" s="18"/>
      <c r="DS266" s="18"/>
      <c r="DT266" s="18"/>
      <c r="DU266" s="18"/>
      <c r="DV266" s="18"/>
      <c r="DW266" s="18"/>
      <c r="DX266" s="18"/>
      <c r="DY266" s="18"/>
      <c r="DZ266" s="18"/>
      <c r="EA266" s="18"/>
      <c r="EB266" s="18"/>
      <c r="EC266" s="18"/>
      <c r="ED266" s="18"/>
      <c r="EE266" s="18"/>
      <c r="EF266" s="18"/>
      <c r="EG266" s="18"/>
      <c r="EH266" s="18"/>
      <c r="EI266" s="18"/>
      <c r="EJ266" s="18"/>
      <c r="EK266" s="18"/>
      <c r="EL266" s="18"/>
      <c r="EM266" s="18"/>
      <c r="EN266" s="18"/>
      <c r="EO266" s="18"/>
      <c r="EP266" s="18"/>
      <c r="EQ266" s="18"/>
      <c r="ER266" s="18"/>
      <c r="ES266" s="18"/>
      <c r="ET266" s="18"/>
      <c r="EU266" s="18"/>
      <c r="EV266" s="18"/>
      <c r="EW266" s="18"/>
      <c r="EX266" s="18"/>
      <c r="EY266" s="18"/>
      <c r="EZ266" s="18"/>
      <c r="FA266" s="18"/>
      <c r="FB266" s="18"/>
      <c r="FC266" s="18"/>
      <c r="FD266" s="18"/>
      <c r="FE266" s="18"/>
      <c r="FF266" s="18"/>
      <c r="FG266" s="18"/>
      <c r="FH266" s="18"/>
      <c r="FI266" s="18"/>
      <c r="FJ266" s="18"/>
      <c r="FK266" s="18"/>
      <c r="FL266" s="18"/>
      <c r="FM266" s="18"/>
      <c r="FN266" s="18"/>
      <c r="FO266" s="18"/>
      <c r="FP266" s="18"/>
      <c r="FQ266" s="18"/>
      <c r="FR266" s="18"/>
      <c r="FS266" s="18"/>
      <c r="FT266" s="18"/>
      <c r="FU266" s="18"/>
      <c r="FV266" s="18"/>
      <c r="FW266" s="18"/>
      <c r="FX266" s="18"/>
      <c r="FY266" s="18"/>
      <c r="FZ266" s="18"/>
      <c r="GA266" s="18"/>
      <c r="GB266" s="18"/>
      <c r="GC266" s="18"/>
      <c r="GD266" s="18"/>
      <c r="GE266" s="18"/>
      <c r="GF266" s="18"/>
      <c r="GG266" s="18"/>
      <c r="GH266" s="18"/>
      <c r="GI266" s="18"/>
      <c r="GJ266" s="18"/>
      <c r="GK266" s="18"/>
      <c r="GL266" s="18"/>
      <c r="GM266" s="18"/>
      <c r="GN266" s="18"/>
      <c r="GO266" s="18"/>
      <c r="GP266" s="18"/>
      <c r="GQ266" s="18"/>
      <c r="GR266" s="18"/>
      <c r="GS266" s="18"/>
      <c r="GT266" s="18"/>
      <c r="GU266" s="18"/>
      <c r="GV266" s="18"/>
      <c r="GW266" s="18"/>
      <c r="GX266" s="18"/>
      <c r="GY266" s="18"/>
      <c r="GZ266" s="18"/>
      <c r="HA266" s="18"/>
      <c r="HB266" s="18"/>
      <c r="HC266" s="18"/>
      <c r="HD266" s="18"/>
      <c r="HE266" s="18"/>
      <c r="HF266" s="18"/>
      <c r="HG266" s="18"/>
      <c r="HH266" s="18"/>
      <c r="HI266" s="18"/>
      <c r="HJ266" s="18"/>
      <c r="HK266" s="18"/>
      <c r="HL266" s="18"/>
      <c r="HM266" s="18"/>
      <c r="HN266" s="18"/>
      <c r="HO266" s="18"/>
      <c r="HP266" s="18"/>
      <c r="HQ266" s="18"/>
      <c r="HR266" s="18"/>
      <c r="HS266" s="18"/>
      <c r="HT266" s="18"/>
      <c r="HU266" s="18"/>
      <c r="HV266" s="18"/>
      <c r="HW266" s="18"/>
      <c r="HX266" s="18"/>
      <c r="HY266" s="18"/>
      <c r="HZ266" s="18"/>
      <c r="IA266" s="18"/>
      <c r="IB266" s="18"/>
      <c r="IC266" s="18"/>
      <c r="ID266" s="18"/>
      <c r="IE266" s="18"/>
      <c r="IF266" s="18"/>
      <c r="IG266" s="18"/>
      <c r="IH266" s="18"/>
      <c r="II266" s="18"/>
      <c r="IJ266" s="18"/>
      <c r="IK266" s="18"/>
      <c r="IL266" s="18"/>
      <c r="IM266" s="18"/>
      <c r="IN266" s="18"/>
      <c r="IO266" s="18"/>
      <c r="IP266" s="18"/>
      <c r="IQ266" s="18"/>
      <c r="IR266" s="18"/>
      <c r="IS266" s="18"/>
      <c r="IT266" s="18"/>
      <c r="IU266" s="18"/>
      <c r="IV266" s="18"/>
      <c r="IW266" s="18"/>
      <c r="IX266" s="18"/>
      <c r="IY266" s="18"/>
      <c r="IZ266" s="18"/>
      <c r="JA266" s="18"/>
      <c r="JB266" s="18"/>
      <c r="JC266" s="18"/>
      <c r="JD266" s="18"/>
      <c r="JE266" s="18"/>
      <c r="JF266" s="18"/>
      <c r="JG266" s="18"/>
      <c r="JH266" s="18"/>
      <c r="JI266" s="18"/>
      <c r="JJ266" s="18"/>
      <c r="JK266" s="18"/>
      <c r="JL266" s="18"/>
      <c r="JM266" s="18"/>
      <c r="JN266" s="18"/>
      <c r="JO266" s="18"/>
      <c r="JP266" s="18"/>
      <c r="JQ266" s="18"/>
      <c r="JR266" s="18"/>
      <c r="JS266" s="18"/>
      <c r="JT266" s="18"/>
      <c r="JU266" s="18"/>
      <c r="JV266" s="18"/>
      <c r="JW266" s="18"/>
      <c r="JX266" s="18"/>
      <c r="JY266" s="18"/>
      <c r="JZ266" s="18"/>
      <c r="KA266" s="18"/>
      <c r="KB266" s="18"/>
      <c r="KC266" s="18"/>
      <c r="KD266" s="18"/>
      <c r="KE266" s="18"/>
      <c r="KF266" s="18"/>
      <c r="KG266" s="18"/>
      <c r="KH266" s="18"/>
      <c r="KI266" s="18"/>
      <c r="KJ266" s="18"/>
      <c r="KK266" s="18"/>
      <c r="KL266" s="18"/>
      <c r="KM266" s="18"/>
      <c r="KN266" s="18"/>
      <c r="KO266" s="18"/>
      <c r="KP266" s="18"/>
      <c r="KQ266" s="18"/>
      <c r="KR266" s="18"/>
      <c r="KS266" s="18"/>
      <c r="KT266" s="18"/>
      <c r="KU266" s="18"/>
      <c r="KV266" s="18"/>
      <c r="KW266" s="18"/>
      <c r="KX266" s="18"/>
      <c r="KY266" s="18"/>
      <c r="KZ266" s="18"/>
      <c r="LA266" s="18"/>
      <c r="LB266" s="18"/>
      <c r="LC266" s="18"/>
      <c r="LD266" s="18"/>
      <c r="LE266" s="18"/>
      <c r="LF266" s="18"/>
      <c r="LG266" s="18"/>
      <c r="LH266" s="18"/>
      <c r="LI266" s="18"/>
      <c r="LJ266" s="18"/>
      <c r="LK266" s="18"/>
      <c r="LL266" s="18"/>
      <c r="LM266" s="18"/>
      <c r="LN266" s="18"/>
      <c r="LO266" s="18"/>
      <c r="LP266" s="18"/>
      <c r="LQ266" s="18"/>
      <c r="LR266" s="18"/>
      <c r="LS266" s="18"/>
      <c r="LT266" s="18"/>
      <c r="LU266" s="18"/>
      <c r="LV266" s="18"/>
      <c r="LW266" s="18"/>
      <c r="LX266" s="18"/>
      <c r="LY266" s="18"/>
      <c r="LZ266" s="18"/>
      <c r="MA266" s="18"/>
      <c r="MB266" s="18"/>
      <c r="MC266" s="18"/>
      <c r="MD266" s="18"/>
      <c r="ME266" s="18"/>
      <c r="MF266" s="18"/>
      <c r="MG266" s="18"/>
      <c r="MH266" s="18"/>
      <c r="MI266" s="18"/>
      <c r="MJ266" s="18"/>
      <c r="MK266" s="18"/>
      <c r="ML266" s="18"/>
      <c r="MM266" s="18"/>
      <c r="MN266" s="18"/>
      <c r="MO266" s="18"/>
      <c r="MP266" s="18"/>
      <c r="MQ266" s="18"/>
      <c r="MR266" s="18"/>
      <c r="MS266" s="18"/>
      <c r="MT266" s="18"/>
      <c r="MU266" s="18"/>
      <c r="MV266" s="18"/>
      <c r="MW266" s="18"/>
      <c r="MX266" s="18"/>
      <c r="MY266" s="18"/>
      <c r="MZ266" s="18"/>
      <c r="NA266" s="18"/>
      <c r="NB266" s="18"/>
      <c r="NC266" s="18"/>
      <c r="ND266" s="18"/>
      <c r="NE266" s="18"/>
      <c r="NF266" s="18"/>
      <c r="NG266" s="18"/>
      <c r="NH266" s="18"/>
      <c r="NI266" s="18"/>
      <c r="NJ266" s="18"/>
      <c r="NK266" s="18"/>
      <c r="NL266" s="18"/>
      <c r="NM266" s="18"/>
      <c r="NN266" s="18"/>
      <c r="NO266" s="18"/>
      <c r="NP266" s="18"/>
      <c r="NQ266" s="18"/>
      <c r="NR266" s="18"/>
      <c r="NS266" s="18"/>
      <c r="NT266" s="18"/>
      <c r="NU266" s="18"/>
      <c r="NV266" s="18"/>
      <c r="NW266" s="18"/>
      <c r="NX266" s="18"/>
      <c r="NY266" s="18"/>
      <c r="NZ266" s="18"/>
      <c r="OA266" s="18"/>
      <c r="OB266" s="18"/>
      <c r="OC266" s="18"/>
      <c r="OD266" s="18"/>
      <c r="OE266" s="18"/>
      <c r="OF266" s="18"/>
      <c r="OG266" s="18"/>
      <c r="OH266" s="18"/>
      <c r="OI266" s="18"/>
      <c r="OJ266" s="18"/>
      <c r="OK266" s="18"/>
      <c r="OL266" s="18"/>
      <c r="OM266" s="18"/>
      <c r="ON266" s="18"/>
      <c r="OO266" s="18"/>
      <c r="OP266" s="18"/>
      <c r="OQ266" s="18"/>
      <c r="OR266" s="18"/>
      <c r="OS266" s="18"/>
      <c r="OT266" s="18"/>
      <c r="OU266" s="18"/>
      <c r="OV266" s="18"/>
      <c r="OW266" s="18"/>
      <c r="OX266" s="18"/>
      <c r="OY266" s="18"/>
      <c r="OZ266" s="18"/>
      <c r="PA266" s="18"/>
      <c r="PB266" s="18"/>
      <c r="PC266" s="18"/>
      <c r="PD266" s="18"/>
      <c r="PE266" s="18"/>
      <c r="PF266" s="18"/>
      <c r="PG266" s="18"/>
      <c r="PH266" s="18"/>
      <c r="PI266" s="18"/>
      <c r="PJ266" s="18"/>
      <c r="PK266" s="18"/>
      <c r="PL266" s="18"/>
      <c r="PM266" s="18"/>
      <c r="PN266" s="18"/>
      <c r="PO266" s="18"/>
      <c r="PP266" s="18"/>
      <c r="PQ266" s="18"/>
      <c r="PR266" s="18"/>
      <c r="PS266" s="18"/>
      <c r="PT266" s="18"/>
      <c r="PU266" s="18"/>
      <c r="PV266" s="18"/>
      <c r="PW266" s="18"/>
      <c r="PX266" s="18"/>
      <c r="PY266" s="18"/>
      <c r="PZ266" s="18"/>
      <c r="QA266" s="18"/>
      <c r="QB266" s="18"/>
      <c r="QC266" s="18"/>
      <c r="QD266" s="18"/>
      <c r="QE266" s="18"/>
      <c r="QF266" s="18"/>
      <c r="QG266" s="18"/>
      <c r="QH266" s="18"/>
      <c r="QI266" s="18"/>
      <c r="QJ266" s="18"/>
      <c r="QK266" s="18"/>
      <c r="QL266" s="18"/>
      <c r="QM266" s="18"/>
      <c r="QN266" s="18"/>
      <c r="QO266" s="18"/>
      <c r="QP266" s="18"/>
      <c r="QQ266" s="18"/>
      <c r="QR266" s="18"/>
      <c r="QS266" s="18"/>
      <c r="QT266" s="18"/>
      <c r="QU266" s="18"/>
      <c r="QV266" s="18"/>
      <c r="QW266" s="18"/>
      <c r="QX266" s="18"/>
      <c r="QY266" s="18"/>
      <c r="QZ266" s="18"/>
      <c r="RA266" s="18"/>
      <c r="RB266" s="18"/>
      <c r="RC266" s="18"/>
      <c r="RD266" s="18"/>
      <c r="RE266" s="18"/>
      <c r="RF266" s="18"/>
      <c r="RG266" s="18"/>
      <c r="RH266" s="18"/>
      <c r="RI266" s="18"/>
      <c r="RJ266" s="18"/>
      <c r="RK266" s="18"/>
      <c r="RL266" s="18"/>
      <c r="RM266" s="18"/>
      <c r="RN266" s="18"/>
      <c r="RO266" s="18"/>
      <c r="RP266" s="18"/>
      <c r="RQ266" s="18"/>
      <c r="RR266" s="18"/>
      <c r="RS266" s="18"/>
      <c r="RT266" s="18"/>
      <c r="RU266" s="18"/>
      <c r="RV266" s="18"/>
      <c r="RW266" s="18"/>
      <c r="RX266" s="18"/>
      <c r="RY266" s="18"/>
      <c r="RZ266" s="18"/>
      <c r="SA266" s="18"/>
      <c r="SB266" s="18"/>
      <c r="SC266" s="18"/>
      <c r="SD266" s="18"/>
      <c r="SE266" s="18"/>
      <c r="SF266" s="18"/>
      <c r="SG266" s="18"/>
      <c r="SH266" s="18"/>
      <c r="SI266" s="18"/>
      <c r="SJ266" s="18"/>
      <c r="SK266" s="18"/>
      <c r="SL266" s="18"/>
      <c r="SM266" s="18"/>
      <c r="SN266" s="18"/>
      <c r="SO266" s="18"/>
      <c r="SP266" s="18"/>
      <c r="SQ266" s="18"/>
      <c r="SR266" s="18"/>
      <c r="SS266" s="18"/>
      <c r="ST266" s="18"/>
      <c r="SU266" s="18"/>
      <c r="SV266" s="18"/>
      <c r="SW266" s="18"/>
      <c r="SX266" s="18"/>
      <c r="SY266" s="18"/>
      <c r="SZ266" s="18"/>
      <c r="TA266" s="18"/>
      <c r="TB266" s="18"/>
      <c r="TC266" s="18"/>
      <c r="TD266" s="18"/>
      <c r="TE266" s="18"/>
      <c r="TF266" s="18"/>
      <c r="TG266" s="18"/>
      <c r="TH266" s="18"/>
      <c r="TI266" s="18"/>
      <c r="TJ266" s="18"/>
      <c r="TK266" s="18"/>
      <c r="TL266" s="18"/>
      <c r="TM266" s="18"/>
      <c r="TN266" s="18"/>
      <c r="TO266" s="18"/>
      <c r="TP266" s="18"/>
      <c r="TQ266" s="18"/>
      <c r="TR266" s="18"/>
      <c r="TS266" s="18"/>
      <c r="TT266" s="18"/>
      <c r="TU266" s="18"/>
      <c r="TV266" s="18"/>
      <c r="TW266" s="18"/>
      <c r="TX266" s="18"/>
      <c r="TY266" s="18"/>
      <c r="TZ266" s="18"/>
      <c r="UA266" s="18"/>
      <c r="UB266" s="18"/>
      <c r="UC266" s="18"/>
      <c r="UD266" s="18"/>
      <c r="UE266" s="18"/>
      <c r="UF266" s="18"/>
      <c r="UG266" s="18"/>
      <c r="UH266" s="18"/>
      <c r="UI266" s="18"/>
      <c r="UJ266" s="18"/>
      <c r="UK266" s="18"/>
      <c r="UL266" s="18"/>
      <c r="UM266" s="18"/>
      <c r="UN266" s="18"/>
      <c r="UO266" s="18"/>
      <c r="UP266" s="18"/>
      <c r="UQ266" s="18"/>
      <c r="UR266" s="18"/>
      <c r="US266" s="18"/>
      <c r="UT266" s="18"/>
      <c r="UU266" s="18"/>
      <c r="UV266" s="18"/>
      <c r="UW266" s="18"/>
      <c r="UX266" s="18"/>
      <c r="UY266" s="18"/>
      <c r="UZ266" s="18"/>
      <c r="VA266" s="18"/>
      <c r="VB266" s="18"/>
      <c r="VC266" s="18"/>
      <c r="VD266" s="18"/>
      <c r="VE266" s="18"/>
      <c r="VF266" s="18"/>
      <c r="VG266" s="18"/>
      <c r="VH266" s="18"/>
      <c r="VI266" s="18"/>
      <c r="VJ266" s="18"/>
      <c r="VK266" s="18"/>
      <c r="VL266" s="18"/>
      <c r="VM266" s="18"/>
      <c r="VN266" s="18"/>
      <c r="VO266" s="18"/>
      <c r="VP266" s="18"/>
      <c r="VQ266" s="18"/>
      <c r="VR266" s="18"/>
      <c r="VS266" s="18"/>
      <c r="VT266" s="18"/>
      <c r="VU266" s="18"/>
      <c r="VV266" s="18"/>
      <c r="VW266" s="18"/>
      <c r="VX266" s="18"/>
      <c r="VY266" s="18"/>
      <c r="VZ266" s="18"/>
      <c r="WA266" s="18"/>
      <c r="WB266" s="18"/>
      <c r="WC266" s="18"/>
      <c r="WD266" s="18"/>
      <c r="WE266" s="18"/>
      <c r="WF266" s="18"/>
      <c r="WG266" s="18"/>
      <c r="WH266" s="18"/>
      <c r="WI266" s="18"/>
      <c r="WJ266" s="18"/>
      <c r="WK266" s="18"/>
      <c r="WL266" s="18"/>
      <c r="WM266" s="18"/>
      <c r="WN266" s="18"/>
      <c r="WO266" s="18"/>
      <c r="WP266" s="18"/>
      <c r="WQ266" s="18"/>
      <c r="WR266" s="18"/>
      <c r="WS266" s="18"/>
      <c r="WT266" s="18"/>
      <c r="WU266" s="18"/>
      <c r="WV266" s="18"/>
      <c r="WW266" s="18"/>
      <c r="WX266" s="18"/>
      <c r="WY266" s="18"/>
      <c r="WZ266" s="18"/>
      <c r="XA266" s="18"/>
      <c r="XB266" s="18"/>
      <c r="XC266" s="18"/>
      <c r="XD266" s="18"/>
      <c r="XE266" s="18"/>
      <c r="XF266" s="18"/>
      <c r="XG266" s="18"/>
      <c r="XH266" s="18"/>
      <c r="XI266" s="18"/>
      <c r="XJ266" s="18"/>
      <c r="XK266" s="18"/>
      <c r="XL266" s="18"/>
      <c r="XM266" s="18"/>
      <c r="XN266" s="18"/>
      <c r="XO266" s="18"/>
      <c r="XP266" s="18"/>
      <c r="XQ266" s="18"/>
      <c r="XR266" s="18"/>
      <c r="XS266" s="18"/>
      <c r="XT266" s="18"/>
      <c r="XU266" s="18"/>
      <c r="XV266" s="18"/>
      <c r="XW266" s="18"/>
      <c r="XX266" s="18"/>
      <c r="XY266" s="18"/>
      <c r="XZ266" s="18"/>
      <c r="YA266" s="18"/>
      <c r="YB266" s="18"/>
      <c r="YC266" s="18"/>
      <c r="YD266" s="18"/>
      <c r="YE266" s="18"/>
      <c r="YF266" s="18"/>
      <c r="YG266" s="18"/>
      <c r="YH266" s="18"/>
      <c r="YI266" s="18"/>
      <c r="YJ266" s="18"/>
      <c r="YK266" s="18"/>
      <c r="YL266" s="18"/>
      <c r="YM266" s="18"/>
      <c r="YN266" s="18"/>
      <c r="YO266" s="18"/>
      <c r="YP266" s="18"/>
      <c r="YQ266" s="18"/>
      <c r="YR266" s="18"/>
      <c r="YS266" s="18"/>
      <c r="YT266" s="18"/>
      <c r="YU266" s="18"/>
      <c r="YV266" s="18"/>
      <c r="YW266" s="18"/>
      <c r="YX266" s="18"/>
      <c r="YY266" s="18"/>
      <c r="YZ266" s="18"/>
      <c r="ZA266" s="18"/>
      <c r="ZB266" s="18"/>
      <c r="ZC266" s="18"/>
      <c r="ZD266" s="18"/>
      <c r="ZE266" s="18"/>
      <c r="ZF266" s="18"/>
      <c r="ZG266" s="18"/>
      <c r="ZH266" s="18"/>
      <c r="ZI266" s="18"/>
      <c r="ZJ266" s="18"/>
      <c r="ZK266" s="18"/>
      <c r="ZL266" s="18"/>
      <c r="ZM266" s="18"/>
      <c r="ZN266" s="18"/>
      <c r="ZO266" s="18"/>
      <c r="ZP266" s="18"/>
      <c r="ZQ266" s="18"/>
      <c r="ZR266" s="18"/>
      <c r="ZS266" s="18"/>
      <c r="ZT266" s="18"/>
      <c r="ZU266" s="18"/>
      <c r="ZV266" s="18"/>
      <c r="ZW266" s="18"/>
      <c r="ZX266" s="18"/>
      <c r="ZY266" s="18"/>
      <c r="ZZ266" s="18"/>
      <c r="AAA266" s="18"/>
      <c r="AAB266" s="18"/>
      <c r="AAC266" s="18"/>
      <c r="AAD266" s="18"/>
      <c r="AAE266" s="18"/>
      <c r="AAF266" s="18"/>
      <c r="AAG266" s="18"/>
      <c r="AAH266" s="18"/>
      <c r="AAI266" s="18"/>
      <c r="AAJ266" s="18"/>
      <c r="AAK266" s="18"/>
      <c r="AAL266" s="18"/>
      <c r="AAM266" s="18"/>
      <c r="AAN266" s="18"/>
      <c r="AAO266" s="18"/>
      <c r="AAP266" s="18"/>
      <c r="AAQ266" s="18"/>
      <c r="AAR266" s="18"/>
      <c r="AAS266" s="18"/>
      <c r="AAT266" s="18"/>
      <c r="AAU266" s="18"/>
      <c r="AAV266" s="18"/>
      <c r="AAW266" s="18"/>
      <c r="AAX266" s="18"/>
      <c r="AAY266" s="18"/>
      <c r="AAZ266" s="18"/>
      <c r="ABA266" s="18"/>
      <c r="ABB266" s="18"/>
      <c r="ABC266" s="18"/>
      <c r="ABD266" s="18"/>
      <c r="ABE266" s="18"/>
      <c r="ABF266" s="18"/>
      <c r="ABG266" s="18"/>
      <c r="ABH266" s="18"/>
      <c r="ABI266" s="18"/>
      <c r="ABJ266" s="18"/>
      <c r="ABK266" s="18"/>
      <c r="ABL266" s="18"/>
      <c r="ABM266" s="18"/>
      <c r="ABN266" s="18"/>
      <c r="ABO266" s="18"/>
      <c r="ABP266" s="18"/>
      <c r="ABQ266" s="18"/>
      <c r="ABR266" s="18"/>
      <c r="ABS266" s="18"/>
      <c r="ABT266" s="18"/>
      <c r="ABU266" s="18"/>
      <c r="ABV266" s="18"/>
      <c r="ABW266" s="18"/>
      <c r="ABX266" s="18"/>
      <c r="ABY266" s="18"/>
      <c r="ABZ266" s="18"/>
      <c r="ACA266" s="18"/>
      <c r="ACB266" s="18"/>
      <c r="ACC266" s="18"/>
      <c r="ACD266" s="18"/>
      <c r="ACE266" s="18"/>
      <c r="ACF266" s="18"/>
      <c r="ACG266" s="18"/>
      <c r="ACH266" s="18"/>
      <c r="ACI266" s="18"/>
      <c r="ACJ266" s="18"/>
      <c r="ACK266" s="18"/>
      <c r="ACL266" s="18"/>
      <c r="ACM266" s="18"/>
      <c r="ACN266" s="18"/>
      <c r="ACO266" s="18"/>
      <c r="ACP266" s="18"/>
      <c r="ACQ266" s="18"/>
      <c r="ACR266" s="18"/>
      <c r="ACS266" s="18"/>
      <c r="ACT266" s="18"/>
      <c r="ACU266" s="18"/>
      <c r="ACV266" s="18"/>
      <c r="ACW266" s="18"/>
      <c r="ACX266" s="18"/>
      <c r="ACY266" s="18"/>
      <c r="ACZ266" s="18"/>
      <c r="ADA266" s="18"/>
      <c r="ADB266" s="18"/>
      <c r="ADC266" s="18"/>
      <c r="ADD266" s="18"/>
      <c r="ADE266" s="18"/>
      <c r="ADF266" s="18"/>
      <c r="ADG266" s="18"/>
      <c r="ADH266" s="18"/>
      <c r="ADI266" s="18"/>
      <c r="ADJ266" s="18"/>
      <c r="ADK266" s="18"/>
      <c r="ADL266" s="18"/>
      <c r="ADM266" s="18"/>
      <c r="ADN266" s="18"/>
      <c r="ADO266" s="18"/>
      <c r="ADP266" s="18"/>
      <c r="ADQ266" s="18"/>
      <c r="ADR266" s="18"/>
      <c r="ADS266" s="18"/>
      <c r="ADT266" s="18"/>
      <c r="ADU266" s="18"/>
      <c r="ADV266" s="18"/>
      <c r="ADW266" s="18"/>
      <c r="ADX266" s="18"/>
      <c r="ADY266" s="18"/>
      <c r="ADZ266" s="18"/>
      <c r="AEA266" s="18"/>
      <c r="AEB266" s="18"/>
      <c r="AEC266" s="18"/>
      <c r="AED266" s="18"/>
      <c r="AEE266" s="18"/>
      <c r="AEF266" s="18"/>
      <c r="AEG266" s="18"/>
      <c r="AEH266" s="18"/>
      <c r="AEI266" s="18"/>
      <c r="AEJ266" s="18"/>
      <c r="AEK266" s="18"/>
      <c r="AEL266" s="18"/>
      <c r="AEM266" s="18"/>
      <c r="AEN266" s="18"/>
      <c r="AEO266" s="18"/>
      <c r="AEP266" s="18"/>
      <c r="AEQ266" s="18"/>
      <c r="AER266" s="18"/>
      <c r="AES266" s="18"/>
      <c r="AET266" s="18"/>
      <c r="AEU266" s="18"/>
      <c r="AEV266" s="18"/>
      <c r="AEW266" s="18"/>
      <c r="AEX266" s="18"/>
      <c r="AEY266" s="18"/>
      <c r="AEZ266" s="18"/>
      <c r="AFA266" s="18"/>
      <c r="AFB266" s="18"/>
      <c r="AFC266" s="18"/>
      <c r="AFD266" s="18"/>
      <c r="AFE266" s="18"/>
      <c r="AFF266" s="18"/>
      <c r="AFG266" s="18"/>
      <c r="AFH266" s="18"/>
      <c r="AFI266" s="18"/>
      <c r="AFJ266" s="18"/>
      <c r="AFK266" s="18"/>
      <c r="AFL266" s="18"/>
      <c r="AFM266" s="18"/>
      <c r="AFN266" s="18"/>
      <c r="AFO266" s="18"/>
      <c r="AFP266" s="18"/>
      <c r="AFQ266" s="18"/>
      <c r="AFR266" s="18"/>
      <c r="AFS266" s="18"/>
      <c r="AFT266" s="18"/>
      <c r="AFU266" s="18"/>
      <c r="AFV266" s="18"/>
      <c r="AFW266" s="18"/>
      <c r="AFX266" s="18"/>
      <c r="AFY266" s="18"/>
      <c r="AFZ266" s="18"/>
      <c r="AGA266" s="18"/>
      <c r="AGB266" s="18"/>
      <c r="AGC266" s="18"/>
      <c r="AGD266" s="18"/>
      <c r="AGE266" s="18"/>
      <c r="AGF266" s="18"/>
      <c r="AGG266" s="18"/>
      <c r="AGH266" s="18"/>
      <c r="AGI266" s="18"/>
      <c r="AGJ266" s="18"/>
      <c r="AGK266" s="18"/>
      <c r="AGL266" s="18"/>
      <c r="AGM266" s="18"/>
      <c r="AGN266" s="18"/>
      <c r="AGO266" s="18"/>
      <c r="AGP266" s="18"/>
      <c r="AGQ266" s="18"/>
      <c r="AGR266" s="18"/>
      <c r="AGS266" s="18"/>
      <c r="AGT266" s="18"/>
      <c r="AGU266" s="18"/>
      <c r="AGV266" s="18"/>
      <c r="AGW266" s="18"/>
      <c r="AGX266" s="18"/>
      <c r="AGY266" s="18"/>
      <c r="AGZ266" s="18"/>
      <c r="AHA266" s="18"/>
      <c r="AHB266" s="18"/>
      <c r="AHC266" s="18"/>
      <c r="AHD266" s="18"/>
      <c r="AHE266" s="18"/>
      <c r="AHF266" s="18"/>
      <c r="AHG266" s="18"/>
      <c r="AHH266" s="18"/>
      <c r="AHI266" s="18"/>
      <c r="AHJ266" s="18"/>
      <c r="AHK266" s="18"/>
      <c r="AHL266" s="18"/>
      <c r="AHM266" s="18"/>
      <c r="AHN266" s="18"/>
      <c r="AHO266" s="18"/>
      <c r="AHP266" s="18"/>
      <c r="AHQ266" s="18"/>
      <c r="AHR266" s="18"/>
      <c r="AHS266" s="18"/>
      <c r="AHT266" s="18"/>
      <c r="AHU266" s="18"/>
      <c r="AHV266" s="18"/>
      <c r="AHW266" s="18"/>
      <c r="AHX266" s="18"/>
      <c r="AHY266" s="18"/>
      <c r="AHZ266" s="18"/>
      <c r="AIA266" s="18"/>
      <c r="AIB266" s="18"/>
      <c r="AIC266" s="18"/>
      <c r="AID266" s="18"/>
      <c r="AIE266" s="18"/>
      <c r="AIF266" s="18"/>
      <c r="AIG266" s="18"/>
      <c r="AIH266" s="18"/>
      <c r="AII266" s="18"/>
      <c r="AIJ266" s="18"/>
      <c r="AIK266" s="18"/>
      <c r="AIL266" s="18"/>
      <c r="AIM266" s="18"/>
      <c r="AIN266" s="18"/>
      <c r="AIO266" s="18"/>
      <c r="AIP266" s="18"/>
      <c r="AIQ266" s="18"/>
      <c r="AIR266" s="18"/>
      <c r="AIS266" s="18"/>
      <c r="AIT266" s="18"/>
      <c r="AIU266" s="18"/>
      <c r="AIV266" s="18"/>
      <c r="AIW266" s="18"/>
      <c r="AIX266" s="18"/>
      <c r="AIY266" s="18"/>
      <c r="AIZ266" s="18"/>
      <c r="AJA266" s="18"/>
      <c r="AJB266" s="18"/>
      <c r="AJC266" s="18"/>
      <c r="AJD266" s="18"/>
      <c r="AJE266" s="18"/>
      <c r="AJF266" s="18"/>
      <c r="AJG266" s="18"/>
      <c r="AJH266" s="18"/>
      <c r="AJI266" s="18"/>
      <c r="AJJ266" s="18"/>
      <c r="AJK266" s="18"/>
      <c r="AJL266" s="18"/>
      <c r="AJM266" s="18"/>
      <c r="AJN266" s="18"/>
      <c r="AJO266" s="18"/>
      <c r="AJP266" s="18"/>
      <c r="AJQ266" s="18"/>
      <c r="AJR266" s="18"/>
      <c r="AJS266" s="18"/>
      <c r="AJT266" s="18"/>
      <c r="AJU266" s="18"/>
      <c r="AJV266" s="18"/>
      <c r="AJW266" s="18"/>
      <c r="AJX266" s="18"/>
      <c r="AJY266" s="18"/>
      <c r="AJZ266" s="18"/>
      <c r="AKA266" s="18"/>
      <c r="AKB266" s="18"/>
      <c r="AKC266" s="18"/>
      <c r="AKD266" s="18"/>
      <c r="AKE266" s="18"/>
      <c r="AKF266" s="18"/>
      <c r="AKG266" s="18"/>
      <c r="AKH266" s="18"/>
      <c r="AKI266" s="18"/>
      <c r="AKJ266" s="18"/>
      <c r="AKK266" s="18"/>
      <c r="AKL266" s="18"/>
      <c r="AKM266" s="18"/>
      <c r="AKN266" s="18"/>
      <c r="AKO266" s="18"/>
      <c r="AKP266" s="18"/>
      <c r="AKQ266" s="18"/>
      <c r="AKR266" s="18"/>
      <c r="AKS266" s="18"/>
      <c r="AKT266" s="18"/>
      <c r="AKU266" s="18"/>
      <c r="AKV266" s="18"/>
      <c r="AKW266" s="18"/>
      <c r="AKX266" s="18"/>
      <c r="AKY266" s="18"/>
      <c r="AKZ266" s="18"/>
      <c r="ALA266" s="18"/>
      <c r="ALB266" s="18"/>
      <c r="ALC266" s="18"/>
      <c r="ALD266" s="18"/>
      <c r="ALE266" s="18"/>
      <c r="ALF266" s="18"/>
      <c r="ALG266" s="18"/>
      <c r="ALH266" s="18"/>
      <c r="ALI266" s="18"/>
      <c r="ALJ266" s="18"/>
      <c r="ALK266" s="18"/>
      <c r="ALL266" s="18"/>
      <c r="ALM266" s="18"/>
      <c r="ALN266" s="18"/>
      <c r="ALO266" s="18"/>
      <c r="ALP266" s="18"/>
      <c r="ALQ266" s="18"/>
      <c r="ALR266" s="18"/>
      <c r="ALS266" s="18"/>
      <c r="ALT266" s="18"/>
      <c r="ALU266" s="18"/>
      <c r="ALV266" s="18"/>
      <c r="ALW266" s="18"/>
      <c r="ALX266" s="18"/>
      <c r="ALY266" s="18"/>
      <c r="ALZ266" s="18"/>
      <c r="AMA266" s="18"/>
      <c r="AMB266" s="18"/>
      <c r="AMC266" s="18"/>
      <c r="AMD266" s="18"/>
      <c r="AME266" s="18"/>
      <c r="AMF266" s="18"/>
      <c r="AMG266" s="18"/>
      <c r="AMH266" s="18"/>
      <c r="AMI266" s="18"/>
      <c r="AMJ266" s="18"/>
      <c r="AMK266" s="18"/>
      <c r="AML266" s="18"/>
      <c r="AMM266" s="18"/>
      <c r="AMN266" s="18"/>
      <c r="AMO266" s="18"/>
      <c r="AMP266" s="18"/>
      <c r="AMQ266" s="18"/>
      <c r="AMR266" s="18"/>
      <c r="AMS266" s="18"/>
      <c r="AMT266" s="18"/>
      <c r="AMU266" s="18"/>
      <c r="AMV266" s="18"/>
      <c r="AMW266" s="18"/>
      <c r="AMX266" s="18"/>
      <c r="AMY266" s="18"/>
      <c r="AMZ266" s="18"/>
      <c r="ANA266" s="18"/>
      <c r="ANB266" s="18"/>
      <c r="ANC266" s="18"/>
      <c r="AND266" s="18"/>
      <c r="ANE266" s="18"/>
      <c r="ANF266" s="18"/>
      <c r="ANG266" s="18"/>
      <c r="ANH266" s="18"/>
      <c r="ANI266" s="18"/>
      <c r="ANJ266" s="18"/>
      <c r="ANK266" s="18"/>
      <c r="ANL266" s="18"/>
      <c r="ANM266" s="18"/>
      <c r="ANN266" s="18"/>
      <c r="ANO266" s="18"/>
      <c r="ANP266" s="18"/>
      <c r="ANQ266" s="18"/>
      <c r="ANR266" s="18"/>
      <c r="ANS266" s="18"/>
      <c r="ANT266" s="18"/>
      <c r="ANU266" s="18"/>
      <c r="ANV266" s="18"/>
      <c r="ANW266" s="18"/>
      <c r="ANX266" s="18"/>
      <c r="ANY266" s="18"/>
      <c r="ANZ266" s="18"/>
      <c r="AOA266" s="18"/>
      <c r="AOB266" s="18"/>
      <c r="AOC266" s="18"/>
      <c r="AOD266" s="18"/>
      <c r="AOE266" s="18"/>
      <c r="AOF266" s="18"/>
      <c r="AOG266" s="18"/>
      <c r="AOH266" s="18"/>
      <c r="AOI266" s="18"/>
      <c r="AOJ266" s="18"/>
      <c r="AOK266" s="18"/>
      <c r="AOL266" s="18"/>
      <c r="AOM266" s="18"/>
      <c r="AON266" s="18"/>
      <c r="AOO266" s="18"/>
      <c r="AOP266" s="18"/>
      <c r="AOQ266" s="18"/>
      <c r="AOR266" s="18"/>
      <c r="AOS266" s="18"/>
      <c r="AOT266" s="18"/>
      <c r="AOU266" s="18"/>
      <c r="AOV266" s="18"/>
      <c r="AOW266" s="18"/>
      <c r="AOX266" s="18"/>
      <c r="AOY266" s="18"/>
      <c r="AOZ266" s="18"/>
      <c r="APA266" s="18"/>
      <c r="APB266" s="18"/>
      <c r="APC266" s="18"/>
      <c r="APD266" s="18"/>
      <c r="APE266" s="18"/>
      <c r="APF266" s="18"/>
      <c r="APG266" s="18"/>
      <c r="APH266" s="18"/>
      <c r="API266" s="18"/>
      <c r="APJ266" s="18"/>
      <c r="APK266" s="18"/>
      <c r="APL266" s="18"/>
      <c r="APM266" s="18"/>
      <c r="APN266" s="18"/>
      <c r="APO266" s="18"/>
      <c r="APP266" s="18"/>
      <c r="APQ266" s="18"/>
      <c r="APR266" s="18"/>
      <c r="APS266" s="18"/>
      <c r="APT266" s="18"/>
      <c r="APU266" s="18"/>
      <c r="APV266" s="18"/>
      <c r="APW266" s="18"/>
      <c r="APX266" s="18"/>
      <c r="APY266" s="18"/>
      <c r="APZ266" s="18"/>
      <c r="AQA266" s="18"/>
      <c r="AQB266" s="18"/>
      <c r="AQC266" s="18"/>
      <c r="AQD266" s="18"/>
      <c r="AQE266" s="18"/>
      <c r="AQF266" s="18"/>
      <c r="AQG266" s="18"/>
      <c r="AQH266" s="18"/>
      <c r="AQI266" s="18"/>
      <c r="AQJ266" s="18"/>
      <c r="AQK266" s="18"/>
      <c r="AQL266" s="18"/>
      <c r="AQM266" s="18"/>
      <c r="AQN266" s="18"/>
      <c r="AQO266" s="18"/>
      <c r="AQP266" s="18"/>
      <c r="AQQ266" s="18"/>
      <c r="AQR266" s="18"/>
      <c r="AQS266" s="18"/>
      <c r="AQT266" s="18"/>
      <c r="AQU266" s="18"/>
      <c r="AQV266" s="18"/>
      <c r="AQW266" s="18"/>
      <c r="AQX266" s="18"/>
      <c r="AQY266" s="18"/>
      <c r="AQZ266" s="18"/>
      <c r="ARA266" s="18"/>
      <c r="ARB266" s="18"/>
      <c r="ARC266" s="18"/>
      <c r="ARD266" s="18"/>
      <c r="ARE266" s="18"/>
      <c r="ARF266" s="18"/>
      <c r="ARG266" s="18"/>
      <c r="ARH266" s="18"/>
      <c r="ARI266" s="18"/>
      <c r="ARJ266" s="18"/>
      <c r="ARK266" s="18"/>
      <c r="ARL266" s="18"/>
      <c r="ARM266" s="18"/>
      <c r="ARN266" s="18"/>
      <c r="ARO266" s="18"/>
      <c r="ARP266" s="18"/>
      <c r="ARQ266" s="18"/>
      <c r="ARR266" s="18"/>
      <c r="ARS266" s="18"/>
      <c r="ART266" s="18"/>
      <c r="ARU266" s="18"/>
      <c r="ARV266" s="18"/>
      <c r="ARW266" s="18"/>
      <c r="ARX266" s="18"/>
      <c r="ARY266" s="18"/>
      <c r="ARZ266" s="18"/>
      <c r="ASA266" s="18"/>
      <c r="ASB266" s="18"/>
      <c r="ASC266" s="18"/>
      <c r="ASD266" s="18"/>
      <c r="ASE266" s="18"/>
      <c r="ASF266" s="18"/>
      <c r="ASG266" s="18"/>
      <c r="ASH266" s="18"/>
      <c r="ASI266" s="18"/>
      <c r="ASJ266" s="18"/>
      <c r="ASK266" s="18"/>
      <c r="ASL266" s="18"/>
      <c r="ASM266" s="18"/>
      <c r="ASN266" s="18"/>
      <c r="ASO266" s="18"/>
      <c r="ASP266" s="18"/>
      <c r="ASQ266" s="18"/>
      <c r="ASR266" s="18"/>
      <c r="ASS266" s="18"/>
      <c r="AST266" s="18"/>
      <c r="ASU266" s="18"/>
      <c r="ASV266" s="18"/>
      <c r="ASW266" s="18"/>
      <c r="ASX266" s="18"/>
      <c r="ASY266" s="18"/>
      <c r="ASZ266" s="18"/>
      <c r="ATA266" s="18"/>
      <c r="ATB266" s="18"/>
      <c r="ATC266" s="18"/>
      <c r="ATD266" s="18"/>
      <c r="ATE266" s="18"/>
      <c r="ATF266" s="18"/>
      <c r="ATG266" s="18"/>
      <c r="ATH266" s="18"/>
      <c r="ATI266" s="18"/>
      <c r="ATJ266" s="18"/>
      <c r="ATK266" s="18"/>
      <c r="ATL266" s="18"/>
      <c r="ATM266" s="18"/>
      <c r="ATN266" s="18"/>
      <c r="ATO266" s="18"/>
      <c r="ATP266" s="18"/>
      <c r="ATQ266" s="18"/>
      <c r="ATR266" s="18"/>
      <c r="ATS266" s="18"/>
      <c r="ATT266" s="18"/>
      <c r="ATU266" s="18"/>
      <c r="ATV266" s="18"/>
      <c r="ATW266" s="18"/>
      <c r="ATX266" s="18"/>
      <c r="ATY266" s="18"/>
      <c r="ATZ266" s="18"/>
      <c r="AUA266" s="18"/>
      <c r="AUB266" s="18"/>
      <c r="AUC266" s="18"/>
      <c r="AUD266" s="18"/>
      <c r="AUE266" s="18"/>
      <c r="AUF266" s="18"/>
      <c r="AUG266" s="18"/>
      <c r="AUH266" s="18"/>
      <c r="AUI266" s="18"/>
      <c r="AUJ266" s="18"/>
      <c r="AUK266" s="18"/>
      <c r="AUL266" s="18"/>
      <c r="AUM266" s="18"/>
      <c r="AUN266" s="18"/>
      <c r="AUO266" s="18"/>
      <c r="AUP266" s="18"/>
      <c r="AUQ266" s="18"/>
      <c r="AUR266" s="18"/>
      <c r="AUS266" s="18"/>
      <c r="AUT266" s="18"/>
      <c r="AUU266" s="18"/>
      <c r="AUV266" s="18"/>
      <c r="AUW266" s="18"/>
      <c r="AUX266" s="18"/>
      <c r="AUY266" s="18"/>
      <c r="AUZ266" s="18"/>
      <c r="AVA266" s="18"/>
      <c r="AVB266" s="18"/>
      <c r="AVC266" s="18"/>
      <c r="AVD266" s="18"/>
      <c r="AVE266" s="18"/>
      <c r="AVF266" s="18"/>
      <c r="AVG266" s="18"/>
      <c r="AVH266" s="18"/>
      <c r="AVI266" s="18"/>
      <c r="AVJ266" s="18"/>
      <c r="AVK266" s="18"/>
      <c r="AVL266" s="18"/>
      <c r="AVM266" s="18"/>
      <c r="AVN266" s="18"/>
      <c r="AVO266" s="18"/>
      <c r="AVP266" s="18"/>
      <c r="AVQ266" s="18"/>
      <c r="AVR266" s="18"/>
      <c r="AVS266" s="18"/>
      <c r="AVT266" s="18"/>
      <c r="AVU266" s="18"/>
      <c r="AVV266" s="18"/>
      <c r="AVW266" s="18"/>
      <c r="AVX266" s="18"/>
      <c r="AVY266" s="18"/>
      <c r="AVZ266" s="18"/>
      <c r="AWA266" s="18"/>
      <c r="AWB266" s="18"/>
      <c r="AWC266" s="18"/>
      <c r="AWD266" s="18"/>
      <c r="AWE266" s="18"/>
      <c r="AWF266" s="18"/>
      <c r="AWG266" s="18"/>
      <c r="AWH266" s="18"/>
      <c r="AWI266" s="18"/>
      <c r="AWJ266" s="18"/>
      <c r="AWK266" s="18"/>
      <c r="AWL266" s="18"/>
      <c r="AWM266" s="18"/>
      <c r="AWN266" s="18"/>
      <c r="AWO266" s="18"/>
      <c r="AWP266" s="18"/>
      <c r="AWQ266" s="18"/>
      <c r="AWR266" s="18"/>
      <c r="AWS266" s="18"/>
      <c r="AWT266" s="18"/>
      <c r="AWU266" s="18"/>
      <c r="AWV266" s="18"/>
      <c r="AWW266" s="18"/>
      <c r="AWX266" s="18"/>
      <c r="AWY266" s="18"/>
      <c r="AWZ266" s="18"/>
      <c r="AXA266" s="18"/>
      <c r="AXB266" s="18"/>
      <c r="AXC266" s="18"/>
      <c r="AXD266" s="18"/>
      <c r="AXE266" s="18"/>
      <c r="AXF266" s="18"/>
      <c r="AXG266" s="18"/>
      <c r="AXH266" s="18"/>
      <c r="AXI266" s="18"/>
      <c r="AXJ266" s="18"/>
      <c r="AXK266" s="18"/>
      <c r="AXL266" s="18"/>
      <c r="AXM266" s="18"/>
      <c r="AXN266" s="18"/>
      <c r="AXO266" s="18"/>
      <c r="AXP266" s="18"/>
      <c r="AXQ266" s="18"/>
      <c r="AXR266" s="18"/>
      <c r="AXS266" s="18"/>
      <c r="AXT266" s="18"/>
      <c r="AXU266" s="18"/>
      <c r="AXV266" s="18"/>
      <c r="AXW266" s="18"/>
      <c r="AXX266" s="18"/>
      <c r="AXY266" s="18"/>
      <c r="AXZ266" s="18"/>
      <c r="AYA266" s="18"/>
      <c r="AYB266" s="18"/>
      <c r="AYC266" s="18"/>
      <c r="AYD266" s="18"/>
      <c r="AYE266" s="18"/>
      <c r="AYF266" s="18"/>
      <c r="AYG266" s="18"/>
      <c r="AYH266" s="18"/>
      <c r="AYI266" s="18"/>
      <c r="AYJ266" s="18"/>
      <c r="AYK266" s="18"/>
      <c r="AYL266" s="18"/>
      <c r="AYM266" s="18"/>
      <c r="AYN266" s="18"/>
      <c r="AYO266" s="18"/>
      <c r="AYP266" s="18"/>
      <c r="AYQ266" s="18"/>
      <c r="AYR266" s="18"/>
      <c r="AYS266" s="18"/>
      <c r="AYT266" s="18"/>
      <c r="AYU266" s="18"/>
      <c r="AYV266" s="18"/>
      <c r="AYW266" s="18"/>
      <c r="AYX266" s="18"/>
      <c r="AYY266" s="18"/>
      <c r="AYZ266" s="18"/>
      <c r="AZA266" s="18"/>
      <c r="AZB266" s="18"/>
      <c r="AZC266" s="18"/>
      <c r="AZD266" s="18"/>
      <c r="AZE266" s="18"/>
      <c r="AZF266" s="18"/>
      <c r="AZG266" s="18"/>
      <c r="AZH266" s="18"/>
      <c r="AZI266" s="18"/>
      <c r="AZJ266" s="18"/>
      <c r="AZK266" s="18"/>
      <c r="AZL266" s="18"/>
      <c r="AZM266" s="18"/>
      <c r="AZN266" s="18"/>
      <c r="AZO266" s="18"/>
      <c r="AZP266" s="18"/>
      <c r="AZQ266" s="18"/>
      <c r="AZR266" s="18"/>
      <c r="AZS266" s="18"/>
      <c r="AZT266" s="18"/>
      <c r="AZU266" s="18"/>
      <c r="AZV266" s="18"/>
      <c r="AZW266" s="18"/>
      <c r="AZX266" s="18"/>
      <c r="AZY266" s="18"/>
      <c r="AZZ266" s="18"/>
      <c r="BAA266" s="18"/>
      <c r="BAB266" s="18"/>
      <c r="BAC266" s="18"/>
      <c r="BAD266" s="18"/>
      <c r="BAE266" s="18"/>
      <c r="BAF266" s="18"/>
      <c r="BAG266" s="18"/>
      <c r="BAH266" s="18"/>
      <c r="BAI266" s="18"/>
      <c r="BAJ266" s="18"/>
      <c r="BAK266" s="18"/>
      <c r="BAL266" s="18"/>
      <c r="BAM266" s="18"/>
      <c r="BAN266" s="18"/>
      <c r="BAO266" s="18"/>
      <c r="BAP266" s="18"/>
      <c r="BAQ266" s="18"/>
      <c r="BAR266" s="18"/>
      <c r="BAS266" s="18"/>
      <c r="BAT266" s="18"/>
      <c r="BAU266" s="18"/>
      <c r="BAV266" s="18"/>
      <c r="BAW266" s="18"/>
      <c r="BAX266" s="18"/>
      <c r="BAY266" s="18"/>
      <c r="BAZ266" s="18"/>
      <c r="BBA266" s="18"/>
      <c r="BBB266" s="18"/>
      <c r="BBC266" s="18"/>
      <c r="BBD266" s="18"/>
      <c r="BBE266" s="18"/>
      <c r="BBF266" s="18"/>
      <c r="BBG266" s="18"/>
      <c r="BBH266" s="18"/>
      <c r="BBI266" s="18"/>
      <c r="BBJ266" s="18"/>
      <c r="BBK266" s="18"/>
      <c r="BBL266" s="18"/>
      <c r="BBM266" s="18"/>
      <c r="BBN266" s="18"/>
      <c r="BBO266" s="18"/>
      <c r="BBP266" s="18"/>
      <c r="BBQ266" s="18"/>
      <c r="BBR266" s="18"/>
      <c r="BBS266" s="18"/>
      <c r="BBT266" s="18"/>
      <c r="BBU266" s="18"/>
      <c r="BBV266" s="18"/>
      <c r="BBW266" s="18"/>
      <c r="BBX266" s="18"/>
      <c r="BBY266" s="18"/>
      <c r="BBZ266" s="18"/>
      <c r="BCA266" s="18"/>
      <c r="BCB266" s="18"/>
      <c r="BCC266" s="18"/>
      <c r="BCD266" s="18"/>
      <c r="BCE266" s="18"/>
      <c r="BCF266" s="18"/>
      <c r="BCG266" s="18"/>
      <c r="BCH266" s="18"/>
      <c r="BCI266" s="18"/>
      <c r="BCJ266" s="18"/>
      <c r="BCK266" s="18"/>
      <c r="BCL266" s="18"/>
      <c r="BCM266" s="18"/>
      <c r="BCN266" s="18"/>
      <c r="BCO266" s="18"/>
      <c r="BCP266" s="18"/>
      <c r="BCQ266" s="18"/>
      <c r="BCR266" s="18"/>
      <c r="BCS266" s="18"/>
      <c r="BCT266" s="18"/>
      <c r="BCU266" s="18"/>
      <c r="BCV266" s="18"/>
      <c r="BCW266" s="18"/>
      <c r="BCX266" s="18"/>
      <c r="BCY266" s="18"/>
      <c r="BCZ266" s="18"/>
      <c r="BDA266" s="18"/>
      <c r="BDB266" s="18"/>
      <c r="BDC266" s="18"/>
      <c r="BDD266" s="18"/>
      <c r="BDE266" s="18"/>
      <c r="BDF266" s="18"/>
      <c r="BDG266" s="18"/>
      <c r="BDH266" s="18"/>
      <c r="BDI266" s="18"/>
      <c r="BDJ266" s="18"/>
      <c r="BDK266" s="18"/>
      <c r="BDL266" s="18"/>
      <c r="BDM266" s="18"/>
      <c r="BDN266" s="18"/>
      <c r="BDO266" s="18"/>
      <c r="BDP266" s="18"/>
      <c r="BDQ266" s="18"/>
      <c r="BDR266" s="18"/>
      <c r="BDS266" s="18"/>
      <c r="BDT266" s="18"/>
      <c r="BDU266" s="18"/>
      <c r="BDV266" s="18"/>
      <c r="BDW266" s="18"/>
      <c r="BDX266" s="18"/>
      <c r="BDY266" s="18"/>
      <c r="BDZ266" s="18"/>
      <c r="BEA266" s="18"/>
      <c r="BEB266" s="18"/>
      <c r="BEC266" s="18"/>
      <c r="BED266" s="18"/>
      <c r="BEE266" s="18"/>
      <c r="BEF266" s="18"/>
      <c r="BEG266" s="18"/>
      <c r="BEH266" s="18"/>
      <c r="BEI266" s="18"/>
      <c r="BEJ266" s="18"/>
      <c r="BEK266" s="18"/>
      <c r="BEL266" s="18"/>
      <c r="BEM266" s="18"/>
      <c r="BEN266" s="18"/>
      <c r="BEO266" s="18"/>
      <c r="BEP266" s="18"/>
      <c r="BEQ266" s="18"/>
      <c r="BER266" s="18"/>
      <c r="BES266" s="18"/>
      <c r="BET266" s="18"/>
      <c r="BEU266" s="18"/>
      <c r="BEV266" s="18"/>
      <c r="BEW266" s="18"/>
      <c r="BEX266" s="18"/>
      <c r="BEY266" s="18"/>
      <c r="BEZ266" s="18"/>
      <c r="BFA266" s="18"/>
      <c r="BFB266" s="18"/>
      <c r="BFC266" s="18"/>
      <c r="BFD266" s="18"/>
      <c r="BFE266" s="18"/>
      <c r="BFF266" s="18"/>
      <c r="BFG266" s="18"/>
      <c r="BFH266" s="18"/>
      <c r="BFI266" s="18"/>
      <c r="BFJ266" s="18"/>
      <c r="BFK266" s="18"/>
      <c r="BFL266" s="18"/>
      <c r="BFM266" s="18"/>
      <c r="BFN266" s="18"/>
      <c r="BFO266" s="18"/>
      <c r="BFP266" s="18"/>
      <c r="BFQ266" s="18"/>
      <c r="BFR266" s="18"/>
      <c r="BFS266" s="18"/>
      <c r="BFT266" s="18"/>
      <c r="BFU266" s="18"/>
      <c r="BFV266" s="18"/>
      <c r="BFW266" s="18"/>
      <c r="BFX266" s="18"/>
      <c r="BFY266" s="18"/>
      <c r="BFZ266" s="18"/>
      <c r="BGA266" s="18"/>
      <c r="BGB266" s="18"/>
      <c r="BGC266" s="18"/>
      <c r="BGD266" s="18"/>
      <c r="BGE266" s="18"/>
      <c r="BGF266" s="18"/>
      <c r="BGG266" s="18"/>
      <c r="BGH266" s="18"/>
      <c r="BGI266" s="18"/>
      <c r="BGJ266" s="18"/>
      <c r="BGK266" s="18"/>
      <c r="BGL266" s="18"/>
      <c r="BGM266" s="18"/>
      <c r="BGN266" s="18"/>
      <c r="BGO266" s="18"/>
      <c r="BGP266" s="18"/>
      <c r="BGQ266" s="18"/>
      <c r="BGR266" s="18"/>
      <c r="BGS266" s="18"/>
      <c r="BGT266" s="18"/>
      <c r="BGU266" s="18"/>
      <c r="BGV266" s="18"/>
      <c r="BGW266" s="18"/>
      <c r="BGX266" s="18"/>
      <c r="BGY266" s="18"/>
      <c r="BGZ266" s="18"/>
      <c r="BHA266" s="18"/>
      <c r="BHB266" s="18"/>
      <c r="BHC266" s="18"/>
      <c r="BHD266" s="18"/>
      <c r="BHE266" s="18"/>
      <c r="BHF266" s="18"/>
      <c r="BHG266" s="18"/>
      <c r="BHH266" s="18"/>
      <c r="BHI266" s="18"/>
      <c r="BHJ266" s="18"/>
      <c r="BHK266" s="18"/>
      <c r="BHL266" s="18"/>
      <c r="BHM266" s="18"/>
      <c r="BHN266" s="18"/>
      <c r="BHO266" s="18"/>
      <c r="BHP266" s="18"/>
      <c r="BHQ266" s="18"/>
      <c r="BHR266" s="18"/>
      <c r="BHS266" s="18"/>
      <c r="BHT266" s="18"/>
      <c r="BHU266" s="18"/>
      <c r="BHV266" s="18"/>
      <c r="BHW266" s="18"/>
      <c r="BHX266" s="18"/>
      <c r="BHY266" s="18"/>
      <c r="BHZ266" s="18"/>
      <c r="BIA266" s="18"/>
      <c r="BIB266" s="18"/>
      <c r="BIC266" s="18"/>
      <c r="BID266" s="18"/>
      <c r="BIE266" s="18"/>
      <c r="BIF266" s="18"/>
      <c r="BIG266" s="18"/>
      <c r="BIH266" s="18"/>
      <c r="BII266" s="18"/>
      <c r="BIJ266" s="18"/>
      <c r="BIK266" s="18"/>
      <c r="BIL266" s="18"/>
      <c r="BIM266" s="18"/>
      <c r="BIN266" s="18"/>
      <c r="BIO266" s="18"/>
      <c r="BIP266" s="18"/>
      <c r="BIQ266" s="18"/>
      <c r="BIR266" s="18"/>
      <c r="BIS266" s="18"/>
      <c r="BIT266" s="18"/>
      <c r="BIU266" s="18"/>
      <c r="BIV266" s="18"/>
      <c r="BIW266" s="18"/>
      <c r="BIX266" s="18"/>
      <c r="BIY266" s="18"/>
      <c r="BIZ266" s="18"/>
      <c r="BJA266" s="18"/>
      <c r="BJB266" s="18"/>
      <c r="BJC266" s="18"/>
      <c r="BJD266" s="18"/>
      <c r="BJE266" s="18"/>
      <c r="BJF266" s="18"/>
      <c r="BJG266" s="18"/>
      <c r="BJH266" s="18"/>
      <c r="BJI266" s="18"/>
      <c r="BJJ266" s="18"/>
      <c r="BJK266" s="18"/>
      <c r="BJL266" s="18"/>
      <c r="BJM266" s="18"/>
      <c r="BJN266" s="18"/>
      <c r="BJO266" s="18"/>
      <c r="BJP266" s="18"/>
      <c r="BJQ266" s="18"/>
      <c r="BJR266" s="18"/>
      <c r="BJS266" s="18"/>
      <c r="BJT266" s="18"/>
      <c r="BJU266" s="18"/>
      <c r="BJV266" s="18"/>
      <c r="BJW266" s="18"/>
      <c r="BJX266" s="18"/>
      <c r="BJY266" s="18"/>
      <c r="BJZ266" s="18"/>
      <c r="BKA266" s="18"/>
      <c r="BKB266" s="18"/>
      <c r="BKC266" s="18"/>
      <c r="BKD266" s="18"/>
      <c r="BKE266" s="18"/>
      <c r="BKF266" s="18"/>
      <c r="BKG266" s="18"/>
      <c r="BKH266" s="18"/>
      <c r="BKI266" s="18"/>
      <c r="BKJ266" s="18"/>
      <c r="BKK266" s="18"/>
      <c r="BKL266" s="18"/>
      <c r="BKM266" s="18"/>
      <c r="BKN266" s="18"/>
      <c r="BKO266" s="18"/>
      <c r="BKP266" s="18"/>
      <c r="BKQ266" s="18"/>
      <c r="BKR266" s="18"/>
      <c r="BKS266" s="18"/>
      <c r="BKT266" s="18"/>
      <c r="BKU266" s="18"/>
      <c r="BKV266" s="18"/>
      <c r="BKW266" s="18"/>
      <c r="BKX266" s="18"/>
      <c r="BKY266" s="18"/>
      <c r="BKZ266" s="18"/>
      <c r="BLA266" s="18"/>
      <c r="BLB266" s="18"/>
      <c r="BLC266" s="18"/>
      <c r="BLD266" s="18"/>
      <c r="BLE266" s="18"/>
      <c r="BLF266" s="18"/>
      <c r="BLG266" s="18"/>
      <c r="BLH266" s="18"/>
      <c r="BLI266" s="18"/>
      <c r="BLJ266" s="18"/>
      <c r="BLK266" s="18"/>
      <c r="BLL266" s="18"/>
      <c r="BLM266" s="18"/>
      <c r="BLN266" s="18"/>
      <c r="BLO266" s="18"/>
      <c r="BLP266" s="18"/>
      <c r="BLQ266" s="18"/>
      <c r="BLR266" s="18"/>
      <c r="BLS266" s="18"/>
      <c r="BLT266" s="18"/>
      <c r="BLU266" s="18"/>
      <c r="BLV266" s="18"/>
      <c r="BLW266" s="18"/>
      <c r="BLX266" s="18"/>
      <c r="BLY266" s="18"/>
      <c r="BLZ266" s="18"/>
      <c r="BMA266" s="18"/>
      <c r="BMB266" s="18"/>
      <c r="BMC266" s="18"/>
      <c r="BMD266" s="18"/>
      <c r="BME266" s="18"/>
      <c r="BMF266" s="18"/>
      <c r="BMG266" s="18"/>
      <c r="BMH266" s="18"/>
      <c r="BMI266" s="18"/>
      <c r="BMJ266" s="18"/>
      <c r="BMK266" s="18"/>
      <c r="BML266" s="18"/>
      <c r="BMM266" s="18"/>
      <c r="BMN266" s="18"/>
      <c r="BMO266" s="18"/>
      <c r="BMP266" s="18"/>
      <c r="BMQ266" s="18"/>
      <c r="BMR266" s="18"/>
      <c r="BMS266" s="18"/>
      <c r="BMT266" s="18"/>
      <c r="BMU266" s="18"/>
      <c r="BMV266" s="18"/>
      <c r="BMW266" s="18"/>
      <c r="BMX266" s="18"/>
      <c r="BMY266" s="18"/>
      <c r="BMZ266" s="18"/>
      <c r="BNA266" s="18"/>
      <c r="BNB266" s="18"/>
      <c r="BNC266" s="18"/>
      <c r="BND266" s="18"/>
      <c r="BNE266" s="18"/>
      <c r="BNF266" s="18"/>
      <c r="BNG266" s="18"/>
      <c r="BNH266" s="18"/>
      <c r="BNI266" s="18"/>
      <c r="BNJ266" s="18"/>
      <c r="BNK266" s="18"/>
      <c r="BNL266" s="18"/>
      <c r="BNM266" s="18"/>
      <c r="BNN266" s="18"/>
      <c r="BNO266" s="18"/>
      <c r="BNP266" s="18"/>
      <c r="BNQ266" s="18"/>
      <c r="BNR266" s="18"/>
      <c r="BNS266" s="18"/>
      <c r="BNT266" s="18"/>
      <c r="BNU266" s="18"/>
      <c r="BNV266" s="18"/>
      <c r="BNW266" s="18"/>
      <c r="BNX266" s="18"/>
      <c r="BNY266" s="18"/>
      <c r="BNZ266" s="18"/>
      <c r="BOA266" s="18"/>
      <c r="BOB266" s="18"/>
      <c r="BOC266" s="18"/>
      <c r="BOD266" s="18"/>
      <c r="BOE266" s="18"/>
      <c r="BOF266" s="18"/>
      <c r="BOG266" s="18"/>
      <c r="BOH266" s="18"/>
      <c r="BOI266" s="18"/>
      <c r="BOJ266" s="18"/>
      <c r="BOK266" s="18"/>
      <c r="BOL266" s="18"/>
      <c r="BOM266" s="18"/>
      <c r="BON266" s="18"/>
      <c r="BOO266" s="18"/>
      <c r="BOP266" s="18"/>
      <c r="BOQ266" s="18"/>
      <c r="BOR266" s="18"/>
      <c r="BOS266" s="18"/>
      <c r="BOT266" s="18"/>
      <c r="BOU266" s="18"/>
      <c r="BOV266" s="18"/>
      <c r="BOW266" s="18"/>
      <c r="BOX266" s="18"/>
      <c r="BOY266" s="18"/>
      <c r="BOZ266" s="18"/>
      <c r="BPA266" s="18"/>
      <c r="BPB266" s="18"/>
      <c r="BPC266" s="18"/>
      <c r="BPD266" s="18"/>
      <c r="BPE266" s="18"/>
      <c r="BPF266" s="18"/>
      <c r="BPG266" s="18"/>
      <c r="BPH266" s="18"/>
      <c r="BPI266" s="18"/>
      <c r="BPJ266" s="18"/>
      <c r="BPK266" s="18"/>
      <c r="BPL266" s="18"/>
      <c r="BPM266" s="18"/>
      <c r="BPN266" s="18"/>
      <c r="BPO266" s="18"/>
      <c r="BPP266" s="18"/>
      <c r="BPQ266" s="18"/>
      <c r="BPR266" s="18"/>
      <c r="BPS266" s="18"/>
      <c r="BPT266" s="18"/>
      <c r="BPU266" s="18"/>
      <c r="BPV266" s="18"/>
      <c r="BPW266" s="18"/>
      <c r="BPX266" s="18"/>
      <c r="BPY266" s="18"/>
      <c r="BPZ266" s="18"/>
      <c r="BQA266" s="18"/>
      <c r="BQB266" s="18"/>
      <c r="BQC266" s="18"/>
      <c r="BQD266" s="18"/>
      <c r="BQE266" s="18"/>
      <c r="BQF266" s="18"/>
      <c r="BQG266" s="18"/>
      <c r="BQH266" s="18"/>
      <c r="BQI266" s="18"/>
      <c r="BQJ266" s="18"/>
      <c r="BQK266" s="18"/>
      <c r="BQL266" s="18"/>
      <c r="BQM266" s="18"/>
      <c r="BQN266" s="18"/>
      <c r="BQO266" s="18"/>
      <c r="BQP266" s="18"/>
      <c r="BQQ266" s="18"/>
      <c r="BQR266" s="18"/>
      <c r="BQS266" s="18"/>
      <c r="BQT266" s="18"/>
      <c r="BQU266" s="18"/>
      <c r="BQV266" s="18"/>
      <c r="BQW266" s="18"/>
      <c r="BQX266" s="18"/>
      <c r="BQY266" s="18"/>
      <c r="BQZ266" s="18"/>
      <c r="BRA266" s="18"/>
      <c r="BRB266" s="18"/>
      <c r="BRC266" s="18"/>
      <c r="BRD266" s="18"/>
      <c r="BRE266" s="18"/>
      <c r="BRF266" s="18"/>
      <c r="BRG266" s="18"/>
      <c r="BRH266" s="18"/>
      <c r="BRI266" s="18"/>
      <c r="BRJ266" s="18"/>
      <c r="BRK266" s="18"/>
      <c r="BRL266" s="18"/>
      <c r="BRM266" s="18"/>
      <c r="BRN266" s="18"/>
      <c r="BRO266" s="18"/>
      <c r="BRP266" s="18"/>
      <c r="BRQ266" s="18"/>
      <c r="BRR266" s="18"/>
      <c r="BRS266" s="18"/>
      <c r="BRT266" s="18"/>
      <c r="BRU266" s="18"/>
      <c r="BRV266" s="18"/>
      <c r="BRW266" s="18"/>
      <c r="BRX266" s="18"/>
      <c r="BRY266" s="18"/>
      <c r="BRZ266" s="18"/>
      <c r="BSA266" s="18"/>
      <c r="BSB266" s="18"/>
      <c r="BSC266" s="18"/>
      <c r="BSD266" s="18"/>
      <c r="BSE266" s="18"/>
      <c r="BSF266" s="18"/>
      <c r="BSG266" s="18"/>
      <c r="BSH266" s="18"/>
      <c r="BSI266" s="18"/>
      <c r="BSJ266" s="18"/>
      <c r="BSK266" s="18"/>
      <c r="BSL266" s="18"/>
      <c r="BSM266" s="18"/>
      <c r="BSN266" s="18"/>
      <c r="BSO266" s="18"/>
      <c r="BSP266" s="18"/>
      <c r="BSQ266" s="18"/>
      <c r="BSR266" s="18"/>
      <c r="BSS266" s="18"/>
      <c r="BST266" s="18"/>
      <c r="BSU266" s="18"/>
      <c r="BSV266" s="18"/>
      <c r="BSW266" s="18"/>
      <c r="BSX266" s="18"/>
      <c r="BSY266" s="18"/>
      <c r="BSZ266" s="18"/>
      <c r="BTA266" s="18"/>
      <c r="BTB266" s="18"/>
      <c r="BTC266" s="18"/>
      <c r="BTD266" s="18"/>
      <c r="BTE266" s="18"/>
      <c r="BTF266" s="18"/>
      <c r="BTG266" s="18"/>
      <c r="BTH266" s="18"/>
      <c r="BTI266" s="18"/>
    </row>
    <row r="267" spans="1:1881" s="756" customFormat="1" ht="78.75" hidden="1" customHeight="1" x14ac:dyDescent="0.3">
      <c r="A267" s="105">
        <v>602</v>
      </c>
      <c r="B267" s="663" t="s">
        <v>59</v>
      </c>
      <c r="C267" s="663" t="s">
        <v>304</v>
      </c>
      <c r="D267" s="104" t="s">
        <v>379</v>
      </c>
      <c r="E267" s="661" t="e">
        <f>HLOOKUP($D$2,'2020 Data(H)'!$C$1:$AI$426,262,FALSE)</f>
        <v>#N/A</v>
      </c>
      <c r="F267" s="286">
        <v>0</v>
      </c>
      <c r="G267" s="760" t="str">
        <f>IF(ISBLANK(F267),"Please do not leave blank","")</f>
        <v/>
      </c>
      <c r="H267" s="722">
        <f>IF(F267&lt;0,"Note: Number is normally positive.",)</f>
        <v>0</v>
      </c>
      <c r="I267" s="77"/>
      <c r="J267" s="567"/>
      <c r="K267" s="18"/>
      <c r="L267" s="18"/>
      <c r="M267" s="18"/>
      <c r="N267" s="288"/>
      <c r="O267" s="18"/>
      <c r="P267" s="18"/>
      <c r="Q267" s="18"/>
      <c r="R267" s="18"/>
      <c r="S267" s="18"/>
      <c r="T267" s="18"/>
      <c r="U267" s="18"/>
      <c r="V267" s="18"/>
      <c r="W267" s="18"/>
      <c r="X267" s="18"/>
      <c r="Y267" s="18"/>
      <c r="Z267" s="105"/>
      <c r="AA267" s="105"/>
      <c r="AB267" s="105"/>
      <c r="AC267" s="105"/>
      <c r="AD267" s="105"/>
      <c r="AE267" s="105"/>
      <c r="AF267" s="105"/>
      <c r="AG267" s="105"/>
      <c r="AH267" s="105"/>
      <c r="AI267" s="105"/>
      <c r="AJ267" s="105"/>
      <c r="AK267" s="105"/>
      <c r="AL267" s="105"/>
      <c r="AM267" s="105"/>
      <c r="AN267" s="105"/>
      <c r="AO267" s="105"/>
      <c r="AP267" s="105"/>
      <c r="AQ267" s="105"/>
      <c r="AR267" s="105"/>
      <c r="AS267" s="18"/>
      <c r="AT267" s="18"/>
      <c r="AU267" s="18"/>
      <c r="AV267" s="18"/>
      <c r="AW267" s="18"/>
      <c r="AX267" s="18"/>
      <c r="AY267" s="18"/>
      <c r="AZ267" s="18"/>
      <c r="BA267" s="18"/>
      <c r="BB267" s="18"/>
      <c r="BC267" s="18"/>
      <c r="BD267" s="18"/>
      <c r="BE267" s="18"/>
      <c r="BF267" s="18"/>
      <c r="BG267" s="18"/>
      <c r="BH267" s="18"/>
      <c r="BI267" s="18"/>
      <c r="BJ267" s="18"/>
      <c r="BK267" s="18"/>
      <c r="BL267" s="18"/>
      <c r="BM267" s="18"/>
      <c r="BN267" s="18"/>
      <c r="BO267" s="18"/>
      <c r="BP267" s="18"/>
      <c r="BQ267" s="18"/>
      <c r="BR267" s="18"/>
      <c r="BS267" s="18"/>
      <c r="BT267" s="18"/>
      <c r="BU267" s="18"/>
      <c r="BV267" s="18"/>
      <c r="BW267" s="18"/>
      <c r="BX267" s="18"/>
      <c r="BY267" s="18"/>
      <c r="BZ267" s="18"/>
      <c r="CA267" s="18"/>
      <c r="CB267" s="18"/>
      <c r="CC267" s="18"/>
      <c r="CD267" s="18"/>
      <c r="CE267" s="18"/>
      <c r="CF267" s="18"/>
      <c r="CG267" s="18"/>
      <c r="CH267" s="18"/>
      <c r="CI267" s="18"/>
      <c r="CJ267" s="18"/>
      <c r="CK267" s="18"/>
      <c r="CL267" s="18"/>
      <c r="CM267" s="18"/>
      <c r="CN267" s="18"/>
      <c r="CO267" s="18"/>
      <c r="CP267" s="18"/>
      <c r="CQ267" s="18"/>
      <c r="CR267" s="18"/>
      <c r="CS267" s="18"/>
      <c r="CT267" s="18"/>
      <c r="CU267" s="18"/>
      <c r="CV267" s="18"/>
      <c r="CW267" s="18"/>
      <c r="CX267" s="18"/>
      <c r="CY267" s="18"/>
      <c r="CZ267" s="18"/>
      <c r="DA267" s="18"/>
      <c r="DB267" s="18"/>
      <c r="DC267" s="18"/>
      <c r="DD267" s="18"/>
      <c r="DE267" s="18"/>
      <c r="DF267" s="18"/>
      <c r="DG267" s="18"/>
      <c r="DH267" s="18"/>
      <c r="DI267" s="18"/>
      <c r="DJ267" s="18"/>
      <c r="DK267" s="18"/>
      <c r="DL267" s="18"/>
      <c r="DM267" s="18"/>
      <c r="DN267" s="18"/>
      <c r="DO267" s="18"/>
      <c r="DP267" s="18"/>
      <c r="DQ267" s="18"/>
      <c r="DR267" s="18"/>
      <c r="DS267" s="18"/>
      <c r="DT267" s="18"/>
      <c r="DU267" s="18"/>
      <c r="DV267" s="18"/>
      <c r="DW267" s="18"/>
      <c r="DX267" s="18"/>
      <c r="DY267" s="18"/>
      <c r="DZ267" s="18"/>
      <c r="EA267" s="18"/>
      <c r="EB267" s="18"/>
      <c r="EC267" s="18"/>
      <c r="ED267" s="18"/>
      <c r="EE267" s="18"/>
      <c r="EF267" s="18"/>
      <c r="EG267" s="18"/>
      <c r="EH267" s="18"/>
      <c r="EI267" s="18"/>
      <c r="EJ267" s="18"/>
      <c r="EK267" s="18"/>
      <c r="EL267" s="18"/>
      <c r="EM267" s="18"/>
      <c r="EN267" s="18"/>
      <c r="EO267" s="18"/>
      <c r="EP267" s="18"/>
      <c r="EQ267" s="18"/>
      <c r="ER267" s="18"/>
      <c r="ES267" s="18"/>
      <c r="ET267" s="18"/>
      <c r="EU267" s="18"/>
      <c r="EV267" s="18"/>
      <c r="EW267" s="18"/>
      <c r="EX267" s="18"/>
      <c r="EY267" s="18"/>
      <c r="EZ267" s="18"/>
      <c r="FA267" s="18"/>
      <c r="FB267" s="18"/>
      <c r="FC267" s="18"/>
      <c r="FD267" s="18"/>
      <c r="FE267" s="18"/>
      <c r="FF267" s="18"/>
      <c r="FG267" s="18"/>
      <c r="FH267" s="18"/>
      <c r="FI267" s="18"/>
      <c r="FJ267" s="18"/>
      <c r="FK267" s="18"/>
      <c r="FL267" s="18"/>
      <c r="FM267" s="18"/>
      <c r="FN267" s="18"/>
      <c r="FO267" s="18"/>
      <c r="FP267" s="18"/>
      <c r="FQ267" s="18"/>
      <c r="FR267" s="18"/>
      <c r="FS267" s="18"/>
      <c r="FT267" s="18"/>
      <c r="FU267" s="18"/>
      <c r="FV267" s="18"/>
      <c r="FW267" s="18"/>
      <c r="FX267" s="18"/>
      <c r="FY267" s="18"/>
      <c r="FZ267" s="18"/>
      <c r="GA267" s="18"/>
      <c r="GB267" s="18"/>
      <c r="GC267" s="18"/>
      <c r="GD267" s="18"/>
      <c r="GE267" s="18"/>
      <c r="GF267" s="18"/>
      <c r="GG267" s="18"/>
      <c r="GH267" s="18"/>
      <c r="GI267" s="18"/>
      <c r="GJ267" s="18"/>
      <c r="GK267" s="18"/>
      <c r="GL267" s="18"/>
      <c r="GM267" s="18"/>
      <c r="GN267" s="18"/>
      <c r="GO267" s="18"/>
      <c r="GP267" s="18"/>
      <c r="GQ267" s="18"/>
      <c r="GR267" s="18"/>
      <c r="GS267" s="18"/>
      <c r="GT267" s="18"/>
      <c r="GU267" s="18"/>
      <c r="GV267" s="18"/>
      <c r="GW267" s="18"/>
      <c r="GX267" s="18"/>
      <c r="GY267" s="18"/>
      <c r="GZ267" s="18"/>
      <c r="HA267" s="18"/>
      <c r="HB267" s="18"/>
      <c r="HC267" s="18"/>
      <c r="HD267" s="18"/>
      <c r="HE267" s="18"/>
      <c r="HF267" s="18"/>
      <c r="HG267" s="18"/>
      <c r="HH267" s="18"/>
      <c r="HI267" s="18"/>
      <c r="HJ267" s="18"/>
      <c r="HK267" s="18"/>
      <c r="HL267" s="18"/>
      <c r="HM267" s="18"/>
      <c r="HN267" s="18"/>
      <c r="HO267" s="18"/>
      <c r="HP267" s="18"/>
      <c r="HQ267" s="18"/>
      <c r="HR267" s="18"/>
      <c r="HS267" s="18"/>
      <c r="HT267" s="18"/>
      <c r="HU267" s="18"/>
      <c r="HV267" s="18"/>
      <c r="HW267" s="18"/>
      <c r="HX267" s="18"/>
      <c r="HY267" s="18"/>
      <c r="HZ267" s="18"/>
      <c r="IA267" s="18"/>
      <c r="IB267" s="18"/>
      <c r="IC267" s="18"/>
      <c r="ID267" s="18"/>
      <c r="IE267" s="18"/>
      <c r="IF267" s="18"/>
      <c r="IG267" s="18"/>
      <c r="IH267" s="18"/>
      <c r="II267" s="18"/>
      <c r="IJ267" s="18"/>
      <c r="IK267" s="18"/>
      <c r="IL267" s="18"/>
      <c r="IM267" s="18"/>
      <c r="IN267" s="18"/>
      <c r="IO267" s="18"/>
      <c r="IP267" s="18"/>
      <c r="IQ267" s="18"/>
      <c r="IR267" s="18"/>
      <c r="IS267" s="18"/>
      <c r="IT267" s="18"/>
      <c r="IU267" s="18"/>
      <c r="IV267" s="18"/>
      <c r="IW267" s="18"/>
      <c r="IX267" s="18"/>
      <c r="IY267" s="18"/>
      <c r="IZ267" s="18"/>
      <c r="JA267" s="18"/>
      <c r="JB267" s="18"/>
      <c r="JC267" s="18"/>
      <c r="JD267" s="18"/>
      <c r="JE267" s="18"/>
      <c r="JF267" s="18"/>
      <c r="JG267" s="18"/>
      <c r="JH267" s="18"/>
      <c r="JI267" s="18"/>
      <c r="JJ267" s="18"/>
      <c r="JK267" s="18"/>
      <c r="JL267" s="18"/>
      <c r="JM267" s="18"/>
      <c r="JN267" s="18"/>
      <c r="JO267" s="18"/>
      <c r="JP267" s="18"/>
      <c r="JQ267" s="18"/>
      <c r="JR267" s="18"/>
      <c r="JS267" s="18"/>
      <c r="JT267" s="18"/>
      <c r="JU267" s="18"/>
      <c r="JV267" s="18"/>
      <c r="JW267" s="18"/>
      <c r="JX267" s="18"/>
      <c r="JY267" s="18"/>
      <c r="JZ267" s="18"/>
      <c r="KA267" s="18"/>
      <c r="KB267" s="18"/>
      <c r="KC267" s="18"/>
      <c r="KD267" s="18"/>
      <c r="KE267" s="18"/>
      <c r="KF267" s="18"/>
      <c r="KG267" s="18"/>
      <c r="KH267" s="18"/>
      <c r="KI267" s="18"/>
      <c r="KJ267" s="18"/>
      <c r="KK267" s="18"/>
      <c r="KL267" s="18"/>
      <c r="KM267" s="18"/>
      <c r="KN267" s="18"/>
      <c r="KO267" s="18"/>
      <c r="KP267" s="18"/>
      <c r="KQ267" s="18"/>
      <c r="KR267" s="18"/>
      <c r="KS267" s="18"/>
      <c r="KT267" s="18"/>
      <c r="KU267" s="18"/>
      <c r="KV267" s="18"/>
      <c r="KW267" s="18"/>
      <c r="KX267" s="18"/>
      <c r="KY267" s="18"/>
      <c r="KZ267" s="18"/>
      <c r="LA267" s="18"/>
      <c r="LB267" s="18"/>
      <c r="LC267" s="18"/>
      <c r="LD267" s="18"/>
      <c r="LE267" s="18"/>
      <c r="LF267" s="18"/>
      <c r="LG267" s="18"/>
      <c r="LH267" s="18"/>
      <c r="LI267" s="18"/>
      <c r="LJ267" s="18"/>
      <c r="LK267" s="18"/>
      <c r="LL267" s="18"/>
      <c r="LM267" s="18"/>
      <c r="LN267" s="18"/>
      <c r="LO267" s="18"/>
      <c r="LP267" s="18"/>
      <c r="LQ267" s="18"/>
      <c r="LR267" s="18"/>
      <c r="LS267" s="18"/>
      <c r="LT267" s="18"/>
      <c r="LU267" s="18"/>
      <c r="LV267" s="18"/>
      <c r="LW267" s="18"/>
      <c r="LX267" s="18"/>
      <c r="LY267" s="18"/>
      <c r="LZ267" s="18"/>
      <c r="MA267" s="18"/>
      <c r="MB267" s="18"/>
      <c r="MC267" s="18"/>
      <c r="MD267" s="18"/>
      <c r="ME267" s="18"/>
      <c r="MF267" s="18"/>
      <c r="MG267" s="18"/>
      <c r="MH267" s="18"/>
      <c r="MI267" s="18"/>
      <c r="MJ267" s="18"/>
      <c r="MK267" s="18"/>
      <c r="ML267" s="18"/>
      <c r="MM267" s="18"/>
      <c r="MN267" s="18"/>
      <c r="MO267" s="18"/>
      <c r="MP267" s="18"/>
      <c r="MQ267" s="18"/>
      <c r="MR267" s="18"/>
      <c r="MS267" s="18"/>
      <c r="MT267" s="18"/>
      <c r="MU267" s="18"/>
      <c r="MV267" s="18"/>
      <c r="MW267" s="18"/>
      <c r="MX267" s="18"/>
      <c r="MY267" s="18"/>
      <c r="MZ267" s="18"/>
      <c r="NA267" s="18"/>
      <c r="NB267" s="18"/>
      <c r="NC267" s="18"/>
      <c r="ND267" s="18"/>
      <c r="NE267" s="18"/>
      <c r="NF267" s="18"/>
      <c r="NG267" s="18"/>
      <c r="NH267" s="18"/>
      <c r="NI267" s="18"/>
      <c r="NJ267" s="18"/>
      <c r="NK267" s="18"/>
      <c r="NL267" s="18"/>
      <c r="NM267" s="18"/>
      <c r="NN267" s="18"/>
      <c r="NO267" s="18"/>
      <c r="NP267" s="18"/>
      <c r="NQ267" s="18"/>
      <c r="NR267" s="18"/>
      <c r="NS267" s="18"/>
      <c r="NT267" s="18"/>
      <c r="NU267" s="18"/>
      <c r="NV267" s="18"/>
      <c r="NW267" s="18"/>
      <c r="NX267" s="18"/>
      <c r="NY267" s="18"/>
      <c r="NZ267" s="18"/>
      <c r="OA267" s="18"/>
      <c r="OB267" s="18"/>
      <c r="OC267" s="18"/>
      <c r="OD267" s="18"/>
      <c r="OE267" s="18"/>
      <c r="OF267" s="18"/>
      <c r="OG267" s="18"/>
      <c r="OH267" s="18"/>
      <c r="OI267" s="18"/>
      <c r="OJ267" s="18"/>
      <c r="OK267" s="18"/>
      <c r="OL267" s="18"/>
      <c r="OM267" s="18"/>
      <c r="ON267" s="18"/>
      <c r="OO267" s="18"/>
      <c r="OP267" s="18"/>
      <c r="OQ267" s="18"/>
      <c r="OR267" s="18"/>
      <c r="OS267" s="18"/>
      <c r="OT267" s="18"/>
      <c r="OU267" s="18"/>
      <c r="OV267" s="18"/>
      <c r="OW267" s="18"/>
      <c r="OX267" s="18"/>
      <c r="OY267" s="18"/>
      <c r="OZ267" s="18"/>
      <c r="PA267" s="18"/>
      <c r="PB267" s="18"/>
      <c r="PC267" s="18"/>
      <c r="PD267" s="18"/>
      <c r="PE267" s="18"/>
      <c r="PF267" s="18"/>
      <c r="PG267" s="18"/>
      <c r="PH267" s="18"/>
      <c r="PI267" s="18"/>
      <c r="PJ267" s="18"/>
      <c r="PK267" s="18"/>
      <c r="PL267" s="18"/>
      <c r="PM267" s="18"/>
      <c r="PN267" s="18"/>
      <c r="PO267" s="18"/>
      <c r="PP267" s="18"/>
      <c r="PQ267" s="18"/>
      <c r="PR267" s="18"/>
      <c r="PS267" s="18"/>
      <c r="PT267" s="18"/>
      <c r="PU267" s="18"/>
      <c r="PV267" s="18"/>
      <c r="PW267" s="18"/>
      <c r="PX267" s="18"/>
      <c r="PY267" s="18"/>
      <c r="PZ267" s="18"/>
      <c r="QA267" s="18"/>
      <c r="QB267" s="18"/>
      <c r="QC267" s="18"/>
      <c r="QD267" s="18"/>
      <c r="QE267" s="18"/>
      <c r="QF267" s="18"/>
      <c r="QG267" s="18"/>
      <c r="QH267" s="18"/>
      <c r="QI267" s="18"/>
      <c r="QJ267" s="18"/>
      <c r="QK267" s="18"/>
      <c r="QL267" s="18"/>
      <c r="QM267" s="18"/>
      <c r="QN267" s="18"/>
      <c r="QO267" s="18"/>
      <c r="QP267" s="18"/>
      <c r="QQ267" s="18"/>
      <c r="QR267" s="18"/>
      <c r="QS267" s="18"/>
      <c r="QT267" s="18"/>
      <c r="QU267" s="18"/>
      <c r="QV267" s="18"/>
      <c r="QW267" s="18"/>
      <c r="QX267" s="18"/>
      <c r="QY267" s="18"/>
      <c r="QZ267" s="18"/>
      <c r="RA267" s="18"/>
      <c r="RB267" s="18"/>
      <c r="RC267" s="18"/>
      <c r="RD267" s="18"/>
      <c r="RE267" s="18"/>
      <c r="RF267" s="18"/>
      <c r="RG267" s="18"/>
      <c r="RH267" s="18"/>
      <c r="RI267" s="18"/>
      <c r="RJ267" s="18"/>
      <c r="RK267" s="18"/>
      <c r="RL267" s="18"/>
      <c r="RM267" s="18"/>
      <c r="RN267" s="18"/>
      <c r="RO267" s="18"/>
      <c r="RP267" s="18"/>
      <c r="RQ267" s="18"/>
      <c r="RR267" s="18"/>
      <c r="RS267" s="18"/>
      <c r="RT267" s="18"/>
      <c r="RU267" s="18"/>
      <c r="RV267" s="18"/>
      <c r="RW267" s="18"/>
      <c r="RX267" s="18"/>
      <c r="RY267" s="18"/>
      <c r="RZ267" s="18"/>
      <c r="SA267" s="18"/>
      <c r="SB267" s="18"/>
      <c r="SC267" s="18"/>
      <c r="SD267" s="18"/>
      <c r="SE267" s="18"/>
      <c r="SF267" s="18"/>
      <c r="SG267" s="18"/>
      <c r="SH267" s="18"/>
      <c r="SI267" s="18"/>
      <c r="SJ267" s="18"/>
      <c r="SK267" s="18"/>
      <c r="SL267" s="18"/>
      <c r="SM267" s="18"/>
      <c r="SN267" s="18"/>
      <c r="SO267" s="18"/>
      <c r="SP267" s="18"/>
      <c r="SQ267" s="18"/>
      <c r="SR267" s="18"/>
      <c r="SS267" s="18"/>
      <c r="ST267" s="18"/>
      <c r="SU267" s="18"/>
      <c r="SV267" s="18"/>
      <c r="SW267" s="18"/>
      <c r="SX267" s="18"/>
      <c r="SY267" s="18"/>
      <c r="SZ267" s="18"/>
      <c r="TA267" s="18"/>
      <c r="TB267" s="18"/>
      <c r="TC267" s="18"/>
      <c r="TD267" s="18"/>
      <c r="TE267" s="18"/>
      <c r="TF267" s="18"/>
      <c r="TG267" s="18"/>
      <c r="TH267" s="18"/>
      <c r="TI267" s="18"/>
      <c r="TJ267" s="18"/>
      <c r="TK267" s="18"/>
      <c r="TL267" s="18"/>
      <c r="TM267" s="18"/>
      <c r="TN267" s="18"/>
      <c r="TO267" s="18"/>
      <c r="TP267" s="18"/>
      <c r="TQ267" s="18"/>
      <c r="TR267" s="18"/>
      <c r="TS267" s="18"/>
      <c r="TT267" s="18"/>
      <c r="TU267" s="18"/>
      <c r="TV267" s="18"/>
      <c r="TW267" s="18"/>
      <c r="TX267" s="18"/>
      <c r="TY267" s="18"/>
      <c r="TZ267" s="18"/>
      <c r="UA267" s="18"/>
      <c r="UB267" s="18"/>
      <c r="UC267" s="18"/>
      <c r="UD267" s="18"/>
      <c r="UE267" s="18"/>
      <c r="UF267" s="18"/>
      <c r="UG267" s="18"/>
      <c r="UH267" s="18"/>
      <c r="UI267" s="18"/>
      <c r="UJ267" s="18"/>
      <c r="UK267" s="18"/>
      <c r="UL267" s="18"/>
      <c r="UM267" s="18"/>
      <c r="UN267" s="18"/>
      <c r="UO267" s="18"/>
      <c r="UP267" s="18"/>
      <c r="UQ267" s="18"/>
      <c r="UR267" s="18"/>
      <c r="US267" s="18"/>
      <c r="UT267" s="18"/>
      <c r="UU267" s="18"/>
      <c r="UV267" s="18"/>
      <c r="UW267" s="18"/>
      <c r="UX267" s="18"/>
      <c r="UY267" s="18"/>
      <c r="UZ267" s="18"/>
      <c r="VA267" s="18"/>
      <c r="VB267" s="18"/>
      <c r="VC267" s="18"/>
      <c r="VD267" s="18"/>
      <c r="VE267" s="18"/>
      <c r="VF267" s="18"/>
      <c r="VG267" s="18"/>
      <c r="VH267" s="18"/>
      <c r="VI267" s="18"/>
      <c r="VJ267" s="18"/>
      <c r="VK267" s="18"/>
      <c r="VL267" s="18"/>
      <c r="VM267" s="18"/>
      <c r="VN267" s="18"/>
      <c r="VO267" s="18"/>
      <c r="VP267" s="18"/>
      <c r="VQ267" s="18"/>
      <c r="VR267" s="18"/>
      <c r="VS267" s="18"/>
      <c r="VT267" s="18"/>
      <c r="VU267" s="18"/>
      <c r="VV267" s="18"/>
      <c r="VW267" s="18"/>
      <c r="VX267" s="18"/>
      <c r="VY267" s="18"/>
      <c r="VZ267" s="18"/>
      <c r="WA267" s="18"/>
      <c r="WB267" s="18"/>
      <c r="WC267" s="18"/>
      <c r="WD267" s="18"/>
      <c r="WE267" s="18"/>
      <c r="WF267" s="18"/>
      <c r="WG267" s="18"/>
      <c r="WH267" s="18"/>
      <c r="WI267" s="18"/>
      <c r="WJ267" s="18"/>
      <c r="WK267" s="18"/>
      <c r="WL267" s="18"/>
      <c r="WM267" s="18"/>
      <c r="WN267" s="18"/>
      <c r="WO267" s="18"/>
      <c r="WP267" s="18"/>
      <c r="WQ267" s="18"/>
      <c r="WR267" s="18"/>
      <c r="WS267" s="18"/>
      <c r="WT267" s="18"/>
      <c r="WU267" s="18"/>
      <c r="WV267" s="18"/>
      <c r="WW267" s="18"/>
      <c r="WX267" s="18"/>
      <c r="WY267" s="18"/>
      <c r="WZ267" s="18"/>
      <c r="XA267" s="18"/>
      <c r="XB267" s="18"/>
      <c r="XC267" s="18"/>
      <c r="XD267" s="18"/>
      <c r="XE267" s="18"/>
      <c r="XF267" s="18"/>
      <c r="XG267" s="18"/>
      <c r="XH267" s="18"/>
      <c r="XI267" s="18"/>
      <c r="XJ267" s="18"/>
      <c r="XK267" s="18"/>
      <c r="XL267" s="18"/>
      <c r="XM267" s="18"/>
      <c r="XN267" s="18"/>
      <c r="XO267" s="18"/>
      <c r="XP267" s="18"/>
      <c r="XQ267" s="18"/>
      <c r="XR267" s="18"/>
      <c r="XS267" s="18"/>
      <c r="XT267" s="18"/>
      <c r="XU267" s="18"/>
      <c r="XV267" s="18"/>
      <c r="XW267" s="18"/>
      <c r="XX267" s="18"/>
      <c r="XY267" s="18"/>
      <c r="XZ267" s="18"/>
      <c r="YA267" s="18"/>
      <c r="YB267" s="18"/>
      <c r="YC267" s="18"/>
      <c r="YD267" s="18"/>
      <c r="YE267" s="18"/>
      <c r="YF267" s="18"/>
      <c r="YG267" s="18"/>
      <c r="YH267" s="18"/>
      <c r="YI267" s="18"/>
      <c r="YJ267" s="18"/>
      <c r="YK267" s="18"/>
      <c r="YL267" s="18"/>
      <c r="YM267" s="18"/>
      <c r="YN267" s="18"/>
      <c r="YO267" s="18"/>
      <c r="YP267" s="18"/>
      <c r="YQ267" s="18"/>
      <c r="YR267" s="18"/>
      <c r="YS267" s="18"/>
      <c r="YT267" s="18"/>
      <c r="YU267" s="18"/>
      <c r="YV267" s="18"/>
      <c r="YW267" s="18"/>
      <c r="YX267" s="18"/>
      <c r="YY267" s="18"/>
      <c r="YZ267" s="18"/>
      <c r="ZA267" s="18"/>
      <c r="ZB267" s="18"/>
      <c r="ZC267" s="18"/>
      <c r="ZD267" s="18"/>
      <c r="ZE267" s="18"/>
      <c r="ZF267" s="18"/>
      <c r="ZG267" s="18"/>
      <c r="ZH267" s="18"/>
      <c r="ZI267" s="18"/>
      <c r="ZJ267" s="18"/>
      <c r="ZK267" s="18"/>
      <c r="ZL267" s="18"/>
      <c r="ZM267" s="18"/>
      <c r="ZN267" s="18"/>
      <c r="ZO267" s="18"/>
      <c r="ZP267" s="18"/>
      <c r="ZQ267" s="18"/>
      <c r="ZR267" s="18"/>
      <c r="ZS267" s="18"/>
      <c r="ZT267" s="18"/>
      <c r="ZU267" s="18"/>
      <c r="ZV267" s="18"/>
      <c r="ZW267" s="18"/>
      <c r="ZX267" s="18"/>
      <c r="ZY267" s="18"/>
      <c r="ZZ267" s="18"/>
      <c r="AAA267" s="18"/>
      <c r="AAB267" s="18"/>
      <c r="AAC267" s="18"/>
      <c r="AAD267" s="18"/>
      <c r="AAE267" s="18"/>
      <c r="AAF267" s="18"/>
      <c r="AAG267" s="18"/>
      <c r="AAH267" s="18"/>
      <c r="AAI267" s="18"/>
      <c r="AAJ267" s="18"/>
      <c r="AAK267" s="18"/>
      <c r="AAL267" s="18"/>
      <c r="AAM267" s="18"/>
      <c r="AAN267" s="18"/>
      <c r="AAO267" s="18"/>
      <c r="AAP267" s="18"/>
      <c r="AAQ267" s="18"/>
      <c r="AAR267" s="18"/>
      <c r="AAS267" s="18"/>
      <c r="AAT267" s="18"/>
      <c r="AAU267" s="18"/>
      <c r="AAV267" s="18"/>
      <c r="AAW267" s="18"/>
      <c r="AAX267" s="18"/>
      <c r="AAY267" s="18"/>
      <c r="AAZ267" s="18"/>
      <c r="ABA267" s="18"/>
      <c r="ABB267" s="18"/>
      <c r="ABC267" s="18"/>
      <c r="ABD267" s="18"/>
      <c r="ABE267" s="18"/>
      <c r="ABF267" s="18"/>
      <c r="ABG267" s="18"/>
      <c r="ABH267" s="18"/>
      <c r="ABI267" s="18"/>
      <c r="ABJ267" s="18"/>
      <c r="ABK267" s="18"/>
      <c r="ABL267" s="18"/>
      <c r="ABM267" s="18"/>
      <c r="ABN267" s="18"/>
      <c r="ABO267" s="18"/>
      <c r="ABP267" s="18"/>
      <c r="ABQ267" s="18"/>
      <c r="ABR267" s="18"/>
      <c r="ABS267" s="18"/>
      <c r="ABT267" s="18"/>
      <c r="ABU267" s="18"/>
      <c r="ABV267" s="18"/>
      <c r="ABW267" s="18"/>
      <c r="ABX267" s="18"/>
      <c r="ABY267" s="18"/>
      <c r="ABZ267" s="18"/>
      <c r="ACA267" s="18"/>
      <c r="ACB267" s="18"/>
      <c r="ACC267" s="18"/>
      <c r="ACD267" s="18"/>
      <c r="ACE267" s="18"/>
      <c r="ACF267" s="18"/>
      <c r="ACG267" s="18"/>
      <c r="ACH267" s="18"/>
      <c r="ACI267" s="18"/>
      <c r="ACJ267" s="18"/>
      <c r="ACK267" s="18"/>
      <c r="ACL267" s="18"/>
      <c r="ACM267" s="18"/>
      <c r="ACN267" s="18"/>
      <c r="ACO267" s="18"/>
      <c r="ACP267" s="18"/>
      <c r="ACQ267" s="18"/>
      <c r="ACR267" s="18"/>
      <c r="ACS267" s="18"/>
      <c r="ACT267" s="18"/>
      <c r="ACU267" s="18"/>
      <c r="ACV267" s="18"/>
      <c r="ACW267" s="18"/>
      <c r="ACX267" s="18"/>
      <c r="ACY267" s="18"/>
      <c r="ACZ267" s="18"/>
      <c r="ADA267" s="18"/>
      <c r="ADB267" s="18"/>
      <c r="ADC267" s="18"/>
      <c r="ADD267" s="18"/>
      <c r="ADE267" s="18"/>
      <c r="ADF267" s="18"/>
      <c r="ADG267" s="18"/>
      <c r="ADH267" s="18"/>
      <c r="ADI267" s="18"/>
      <c r="ADJ267" s="18"/>
      <c r="ADK267" s="18"/>
      <c r="ADL267" s="18"/>
      <c r="ADM267" s="18"/>
      <c r="ADN267" s="18"/>
      <c r="ADO267" s="18"/>
      <c r="ADP267" s="18"/>
      <c r="ADQ267" s="18"/>
      <c r="ADR267" s="18"/>
      <c r="ADS267" s="18"/>
      <c r="ADT267" s="18"/>
      <c r="ADU267" s="18"/>
      <c r="ADV267" s="18"/>
      <c r="ADW267" s="18"/>
      <c r="ADX267" s="18"/>
      <c r="ADY267" s="18"/>
      <c r="ADZ267" s="18"/>
      <c r="AEA267" s="18"/>
      <c r="AEB267" s="18"/>
      <c r="AEC267" s="18"/>
      <c r="AED267" s="18"/>
      <c r="AEE267" s="18"/>
      <c r="AEF267" s="18"/>
      <c r="AEG267" s="18"/>
      <c r="AEH267" s="18"/>
      <c r="AEI267" s="18"/>
      <c r="AEJ267" s="18"/>
      <c r="AEK267" s="18"/>
      <c r="AEL267" s="18"/>
      <c r="AEM267" s="18"/>
      <c r="AEN267" s="18"/>
      <c r="AEO267" s="18"/>
      <c r="AEP267" s="18"/>
      <c r="AEQ267" s="18"/>
      <c r="AER267" s="18"/>
      <c r="AES267" s="18"/>
      <c r="AET267" s="18"/>
      <c r="AEU267" s="18"/>
      <c r="AEV267" s="18"/>
      <c r="AEW267" s="18"/>
      <c r="AEX267" s="18"/>
      <c r="AEY267" s="18"/>
      <c r="AEZ267" s="18"/>
      <c r="AFA267" s="18"/>
      <c r="AFB267" s="18"/>
      <c r="AFC267" s="18"/>
      <c r="AFD267" s="18"/>
      <c r="AFE267" s="18"/>
      <c r="AFF267" s="18"/>
      <c r="AFG267" s="18"/>
      <c r="AFH267" s="18"/>
      <c r="AFI267" s="18"/>
      <c r="AFJ267" s="18"/>
      <c r="AFK267" s="18"/>
      <c r="AFL267" s="18"/>
      <c r="AFM267" s="18"/>
      <c r="AFN267" s="18"/>
      <c r="AFO267" s="18"/>
      <c r="AFP267" s="18"/>
      <c r="AFQ267" s="18"/>
      <c r="AFR267" s="18"/>
      <c r="AFS267" s="18"/>
      <c r="AFT267" s="18"/>
      <c r="AFU267" s="18"/>
      <c r="AFV267" s="18"/>
      <c r="AFW267" s="18"/>
      <c r="AFX267" s="18"/>
      <c r="AFY267" s="18"/>
      <c r="AFZ267" s="18"/>
      <c r="AGA267" s="18"/>
      <c r="AGB267" s="18"/>
      <c r="AGC267" s="18"/>
      <c r="AGD267" s="18"/>
      <c r="AGE267" s="18"/>
      <c r="AGF267" s="18"/>
      <c r="AGG267" s="18"/>
      <c r="AGH267" s="18"/>
      <c r="AGI267" s="18"/>
      <c r="AGJ267" s="18"/>
      <c r="AGK267" s="18"/>
      <c r="AGL267" s="18"/>
      <c r="AGM267" s="18"/>
      <c r="AGN267" s="18"/>
      <c r="AGO267" s="18"/>
      <c r="AGP267" s="18"/>
      <c r="AGQ267" s="18"/>
      <c r="AGR267" s="18"/>
      <c r="AGS267" s="18"/>
      <c r="AGT267" s="18"/>
      <c r="AGU267" s="18"/>
      <c r="AGV267" s="18"/>
      <c r="AGW267" s="18"/>
      <c r="AGX267" s="18"/>
      <c r="AGY267" s="18"/>
      <c r="AGZ267" s="18"/>
      <c r="AHA267" s="18"/>
      <c r="AHB267" s="18"/>
      <c r="AHC267" s="18"/>
      <c r="AHD267" s="18"/>
      <c r="AHE267" s="18"/>
      <c r="AHF267" s="18"/>
      <c r="AHG267" s="18"/>
      <c r="AHH267" s="18"/>
      <c r="AHI267" s="18"/>
      <c r="AHJ267" s="18"/>
      <c r="AHK267" s="18"/>
      <c r="AHL267" s="18"/>
      <c r="AHM267" s="18"/>
      <c r="AHN267" s="18"/>
      <c r="AHO267" s="18"/>
      <c r="AHP267" s="18"/>
      <c r="AHQ267" s="18"/>
      <c r="AHR267" s="18"/>
      <c r="AHS267" s="18"/>
      <c r="AHT267" s="18"/>
      <c r="AHU267" s="18"/>
      <c r="AHV267" s="18"/>
      <c r="AHW267" s="18"/>
      <c r="AHX267" s="18"/>
      <c r="AHY267" s="18"/>
      <c r="AHZ267" s="18"/>
      <c r="AIA267" s="18"/>
      <c r="AIB267" s="18"/>
      <c r="AIC267" s="18"/>
      <c r="AID267" s="18"/>
      <c r="AIE267" s="18"/>
      <c r="AIF267" s="18"/>
      <c r="AIG267" s="18"/>
      <c r="AIH267" s="18"/>
      <c r="AII267" s="18"/>
      <c r="AIJ267" s="18"/>
      <c r="AIK267" s="18"/>
      <c r="AIL267" s="18"/>
      <c r="AIM267" s="18"/>
      <c r="AIN267" s="18"/>
      <c r="AIO267" s="18"/>
      <c r="AIP267" s="18"/>
      <c r="AIQ267" s="18"/>
      <c r="AIR267" s="18"/>
      <c r="AIS267" s="18"/>
      <c r="AIT267" s="18"/>
      <c r="AIU267" s="18"/>
      <c r="AIV267" s="18"/>
      <c r="AIW267" s="18"/>
      <c r="AIX267" s="18"/>
      <c r="AIY267" s="18"/>
      <c r="AIZ267" s="18"/>
      <c r="AJA267" s="18"/>
      <c r="AJB267" s="18"/>
      <c r="AJC267" s="18"/>
      <c r="AJD267" s="18"/>
      <c r="AJE267" s="18"/>
      <c r="AJF267" s="18"/>
      <c r="AJG267" s="18"/>
      <c r="AJH267" s="18"/>
      <c r="AJI267" s="18"/>
      <c r="AJJ267" s="18"/>
      <c r="AJK267" s="18"/>
      <c r="AJL267" s="18"/>
      <c r="AJM267" s="18"/>
      <c r="AJN267" s="18"/>
      <c r="AJO267" s="18"/>
      <c r="AJP267" s="18"/>
      <c r="AJQ267" s="18"/>
      <c r="AJR267" s="18"/>
      <c r="AJS267" s="18"/>
      <c r="AJT267" s="18"/>
      <c r="AJU267" s="18"/>
      <c r="AJV267" s="18"/>
      <c r="AJW267" s="18"/>
      <c r="AJX267" s="18"/>
      <c r="AJY267" s="18"/>
      <c r="AJZ267" s="18"/>
      <c r="AKA267" s="18"/>
      <c r="AKB267" s="18"/>
      <c r="AKC267" s="18"/>
      <c r="AKD267" s="18"/>
      <c r="AKE267" s="18"/>
      <c r="AKF267" s="18"/>
      <c r="AKG267" s="18"/>
      <c r="AKH267" s="18"/>
      <c r="AKI267" s="18"/>
      <c r="AKJ267" s="18"/>
      <c r="AKK267" s="18"/>
      <c r="AKL267" s="18"/>
      <c r="AKM267" s="18"/>
      <c r="AKN267" s="18"/>
      <c r="AKO267" s="18"/>
      <c r="AKP267" s="18"/>
      <c r="AKQ267" s="18"/>
      <c r="AKR267" s="18"/>
      <c r="AKS267" s="18"/>
      <c r="AKT267" s="18"/>
      <c r="AKU267" s="18"/>
      <c r="AKV267" s="18"/>
      <c r="AKW267" s="18"/>
      <c r="AKX267" s="18"/>
      <c r="AKY267" s="18"/>
      <c r="AKZ267" s="18"/>
      <c r="ALA267" s="18"/>
      <c r="ALB267" s="18"/>
      <c r="ALC267" s="18"/>
      <c r="ALD267" s="18"/>
      <c r="ALE267" s="18"/>
      <c r="ALF267" s="18"/>
      <c r="ALG267" s="18"/>
      <c r="ALH267" s="18"/>
      <c r="ALI267" s="18"/>
      <c r="ALJ267" s="18"/>
      <c r="ALK267" s="18"/>
      <c r="ALL267" s="18"/>
      <c r="ALM267" s="18"/>
      <c r="ALN267" s="18"/>
      <c r="ALO267" s="18"/>
      <c r="ALP267" s="18"/>
      <c r="ALQ267" s="18"/>
      <c r="ALR267" s="18"/>
      <c r="ALS267" s="18"/>
      <c r="ALT267" s="18"/>
      <c r="ALU267" s="18"/>
      <c r="ALV267" s="18"/>
      <c r="ALW267" s="18"/>
      <c r="ALX267" s="18"/>
      <c r="ALY267" s="18"/>
      <c r="ALZ267" s="18"/>
      <c r="AMA267" s="18"/>
      <c r="AMB267" s="18"/>
      <c r="AMC267" s="18"/>
      <c r="AMD267" s="18"/>
      <c r="AME267" s="18"/>
      <c r="AMF267" s="18"/>
      <c r="AMG267" s="18"/>
      <c r="AMH267" s="18"/>
      <c r="AMI267" s="18"/>
      <c r="AMJ267" s="18"/>
      <c r="AMK267" s="18"/>
      <c r="AML267" s="18"/>
      <c r="AMM267" s="18"/>
      <c r="AMN267" s="18"/>
      <c r="AMO267" s="18"/>
      <c r="AMP267" s="18"/>
      <c r="AMQ267" s="18"/>
      <c r="AMR267" s="18"/>
      <c r="AMS267" s="18"/>
      <c r="AMT267" s="18"/>
      <c r="AMU267" s="18"/>
      <c r="AMV267" s="18"/>
      <c r="AMW267" s="18"/>
      <c r="AMX267" s="18"/>
      <c r="AMY267" s="18"/>
      <c r="AMZ267" s="18"/>
      <c r="ANA267" s="18"/>
      <c r="ANB267" s="18"/>
      <c r="ANC267" s="18"/>
      <c r="AND267" s="18"/>
      <c r="ANE267" s="18"/>
      <c r="ANF267" s="18"/>
      <c r="ANG267" s="18"/>
      <c r="ANH267" s="18"/>
      <c r="ANI267" s="18"/>
      <c r="ANJ267" s="18"/>
      <c r="ANK267" s="18"/>
      <c r="ANL267" s="18"/>
      <c r="ANM267" s="18"/>
      <c r="ANN267" s="18"/>
      <c r="ANO267" s="18"/>
      <c r="ANP267" s="18"/>
      <c r="ANQ267" s="18"/>
      <c r="ANR267" s="18"/>
      <c r="ANS267" s="18"/>
      <c r="ANT267" s="18"/>
      <c r="ANU267" s="18"/>
      <c r="ANV267" s="18"/>
      <c r="ANW267" s="18"/>
      <c r="ANX267" s="18"/>
      <c r="ANY267" s="18"/>
      <c r="ANZ267" s="18"/>
      <c r="AOA267" s="18"/>
      <c r="AOB267" s="18"/>
      <c r="AOC267" s="18"/>
      <c r="AOD267" s="18"/>
      <c r="AOE267" s="18"/>
      <c r="AOF267" s="18"/>
      <c r="AOG267" s="18"/>
      <c r="AOH267" s="18"/>
      <c r="AOI267" s="18"/>
      <c r="AOJ267" s="18"/>
      <c r="AOK267" s="18"/>
      <c r="AOL267" s="18"/>
      <c r="AOM267" s="18"/>
      <c r="AON267" s="18"/>
      <c r="AOO267" s="18"/>
      <c r="AOP267" s="18"/>
      <c r="AOQ267" s="18"/>
      <c r="AOR267" s="18"/>
      <c r="AOS267" s="18"/>
      <c r="AOT267" s="18"/>
      <c r="AOU267" s="18"/>
      <c r="AOV267" s="18"/>
      <c r="AOW267" s="18"/>
      <c r="AOX267" s="18"/>
      <c r="AOY267" s="18"/>
      <c r="AOZ267" s="18"/>
      <c r="APA267" s="18"/>
      <c r="APB267" s="18"/>
      <c r="APC267" s="18"/>
      <c r="APD267" s="18"/>
      <c r="APE267" s="18"/>
      <c r="APF267" s="18"/>
      <c r="APG267" s="18"/>
      <c r="APH267" s="18"/>
      <c r="API267" s="18"/>
      <c r="APJ267" s="18"/>
      <c r="APK267" s="18"/>
      <c r="APL267" s="18"/>
      <c r="APM267" s="18"/>
      <c r="APN267" s="18"/>
      <c r="APO267" s="18"/>
      <c r="APP267" s="18"/>
      <c r="APQ267" s="18"/>
      <c r="APR267" s="18"/>
      <c r="APS267" s="18"/>
      <c r="APT267" s="18"/>
      <c r="APU267" s="18"/>
      <c r="APV267" s="18"/>
      <c r="APW267" s="18"/>
      <c r="APX267" s="18"/>
      <c r="APY267" s="18"/>
      <c r="APZ267" s="18"/>
      <c r="AQA267" s="18"/>
      <c r="AQB267" s="18"/>
      <c r="AQC267" s="18"/>
      <c r="AQD267" s="18"/>
      <c r="AQE267" s="18"/>
      <c r="AQF267" s="18"/>
      <c r="AQG267" s="18"/>
      <c r="AQH267" s="18"/>
      <c r="AQI267" s="18"/>
      <c r="AQJ267" s="18"/>
      <c r="AQK267" s="18"/>
      <c r="AQL267" s="18"/>
      <c r="AQM267" s="18"/>
      <c r="AQN267" s="18"/>
      <c r="AQO267" s="18"/>
      <c r="AQP267" s="18"/>
      <c r="AQQ267" s="18"/>
      <c r="AQR267" s="18"/>
      <c r="AQS267" s="18"/>
      <c r="AQT267" s="18"/>
      <c r="AQU267" s="18"/>
      <c r="AQV267" s="18"/>
      <c r="AQW267" s="18"/>
      <c r="AQX267" s="18"/>
      <c r="AQY267" s="18"/>
      <c r="AQZ267" s="18"/>
      <c r="ARA267" s="18"/>
      <c r="ARB267" s="18"/>
      <c r="ARC267" s="18"/>
      <c r="ARD267" s="18"/>
      <c r="ARE267" s="18"/>
      <c r="ARF267" s="18"/>
      <c r="ARG267" s="18"/>
      <c r="ARH267" s="18"/>
      <c r="ARI267" s="18"/>
      <c r="ARJ267" s="18"/>
      <c r="ARK267" s="18"/>
      <c r="ARL267" s="18"/>
      <c r="ARM267" s="18"/>
      <c r="ARN267" s="18"/>
      <c r="ARO267" s="18"/>
      <c r="ARP267" s="18"/>
      <c r="ARQ267" s="18"/>
      <c r="ARR267" s="18"/>
      <c r="ARS267" s="18"/>
      <c r="ART267" s="18"/>
      <c r="ARU267" s="18"/>
      <c r="ARV267" s="18"/>
      <c r="ARW267" s="18"/>
      <c r="ARX267" s="18"/>
      <c r="ARY267" s="18"/>
      <c r="ARZ267" s="18"/>
      <c r="ASA267" s="18"/>
      <c r="ASB267" s="18"/>
      <c r="ASC267" s="18"/>
      <c r="ASD267" s="18"/>
      <c r="ASE267" s="18"/>
      <c r="ASF267" s="18"/>
      <c r="ASG267" s="18"/>
      <c r="ASH267" s="18"/>
      <c r="ASI267" s="18"/>
      <c r="ASJ267" s="18"/>
      <c r="ASK267" s="18"/>
      <c r="ASL267" s="18"/>
      <c r="ASM267" s="18"/>
      <c r="ASN267" s="18"/>
      <c r="ASO267" s="18"/>
      <c r="ASP267" s="18"/>
      <c r="ASQ267" s="18"/>
      <c r="ASR267" s="18"/>
      <c r="ASS267" s="18"/>
      <c r="AST267" s="18"/>
      <c r="ASU267" s="18"/>
      <c r="ASV267" s="18"/>
      <c r="ASW267" s="18"/>
      <c r="ASX267" s="18"/>
      <c r="ASY267" s="18"/>
      <c r="ASZ267" s="18"/>
      <c r="ATA267" s="18"/>
      <c r="ATB267" s="18"/>
      <c r="ATC267" s="18"/>
      <c r="ATD267" s="18"/>
      <c r="ATE267" s="18"/>
      <c r="ATF267" s="18"/>
      <c r="ATG267" s="18"/>
      <c r="ATH267" s="18"/>
      <c r="ATI267" s="18"/>
      <c r="ATJ267" s="18"/>
      <c r="ATK267" s="18"/>
      <c r="ATL267" s="18"/>
      <c r="ATM267" s="18"/>
      <c r="ATN267" s="18"/>
      <c r="ATO267" s="18"/>
      <c r="ATP267" s="18"/>
      <c r="ATQ267" s="18"/>
      <c r="ATR267" s="18"/>
      <c r="ATS267" s="18"/>
      <c r="ATT267" s="18"/>
      <c r="ATU267" s="18"/>
      <c r="ATV267" s="18"/>
      <c r="ATW267" s="18"/>
      <c r="ATX267" s="18"/>
      <c r="ATY267" s="18"/>
      <c r="ATZ267" s="18"/>
      <c r="AUA267" s="18"/>
      <c r="AUB267" s="18"/>
      <c r="AUC267" s="18"/>
      <c r="AUD267" s="18"/>
      <c r="AUE267" s="18"/>
      <c r="AUF267" s="18"/>
      <c r="AUG267" s="18"/>
      <c r="AUH267" s="18"/>
      <c r="AUI267" s="18"/>
      <c r="AUJ267" s="18"/>
      <c r="AUK267" s="18"/>
      <c r="AUL267" s="18"/>
      <c r="AUM267" s="18"/>
      <c r="AUN267" s="18"/>
      <c r="AUO267" s="18"/>
      <c r="AUP267" s="18"/>
      <c r="AUQ267" s="18"/>
      <c r="AUR267" s="18"/>
      <c r="AUS267" s="18"/>
      <c r="AUT267" s="18"/>
      <c r="AUU267" s="18"/>
      <c r="AUV267" s="18"/>
      <c r="AUW267" s="18"/>
      <c r="AUX267" s="18"/>
      <c r="AUY267" s="18"/>
      <c r="AUZ267" s="18"/>
      <c r="AVA267" s="18"/>
      <c r="AVB267" s="18"/>
      <c r="AVC267" s="18"/>
      <c r="AVD267" s="18"/>
      <c r="AVE267" s="18"/>
      <c r="AVF267" s="18"/>
      <c r="AVG267" s="18"/>
      <c r="AVH267" s="18"/>
      <c r="AVI267" s="18"/>
      <c r="AVJ267" s="18"/>
      <c r="AVK267" s="18"/>
      <c r="AVL267" s="18"/>
      <c r="AVM267" s="18"/>
      <c r="AVN267" s="18"/>
      <c r="AVO267" s="18"/>
      <c r="AVP267" s="18"/>
      <c r="AVQ267" s="18"/>
      <c r="AVR267" s="18"/>
      <c r="AVS267" s="18"/>
      <c r="AVT267" s="18"/>
      <c r="AVU267" s="18"/>
      <c r="AVV267" s="18"/>
      <c r="AVW267" s="18"/>
      <c r="AVX267" s="18"/>
      <c r="AVY267" s="18"/>
      <c r="AVZ267" s="18"/>
      <c r="AWA267" s="18"/>
      <c r="AWB267" s="18"/>
      <c r="AWC267" s="18"/>
      <c r="AWD267" s="18"/>
      <c r="AWE267" s="18"/>
      <c r="AWF267" s="18"/>
      <c r="AWG267" s="18"/>
      <c r="AWH267" s="18"/>
      <c r="AWI267" s="18"/>
      <c r="AWJ267" s="18"/>
      <c r="AWK267" s="18"/>
      <c r="AWL267" s="18"/>
      <c r="AWM267" s="18"/>
      <c r="AWN267" s="18"/>
      <c r="AWO267" s="18"/>
      <c r="AWP267" s="18"/>
      <c r="AWQ267" s="18"/>
      <c r="AWR267" s="18"/>
      <c r="AWS267" s="18"/>
      <c r="AWT267" s="18"/>
      <c r="AWU267" s="18"/>
      <c r="AWV267" s="18"/>
      <c r="AWW267" s="18"/>
      <c r="AWX267" s="18"/>
      <c r="AWY267" s="18"/>
      <c r="AWZ267" s="18"/>
      <c r="AXA267" s="18"/>
      <c r="AXB267" s="18"/>
      <c r="AXC267" s="18"/>
      <c r="AXD267" s="18"/>
      <c r="AXE267" s="18"/>
      <c r="AXF267" s="18"/>
      <c r="AXG267" s="18"/>
      <c r="AXH267" s="18"/>
      <c r="AXI267" s="18"/>
      <c r="AXJ267" s="18"/>
      <c r="AXK267" s="18"/>
      <c r="AXL267" s="18"/>
      <c r="AXM267" s="18"/>
      <c r="AXN267" s="18"/>
      <c r="AXO267" s="18"/>
      <c r="AXP267" s="18"/>
      <c r="AXQ267" s="18"/>
      <c r="AXR267" s="18"/>
      <c r="AXS267" s="18"/>
      <c r="AXT267" s="18"/>
      <c r="AXU267" s="18"/>
      <c r="AXV267" s="18"/>
      <c r="AXW267" s="18"/>
      <c r="AXX267" s="18"/>
      <c r="AXY267" s="18"/>
      <c r="AXZ267" s="18"/>
      <c r="AYA267" s="18"/>
      <c r="AYB267" s="18"/>
      <c r="AYC267" s="18"/>
      <c r="AYD267" s="18"/>
      <c r="AYE267" s="18"/>
      <c r="AYF267" s="18"/>
      <c r="AYG267" s="18"/>
      <c r="AYH267" s="18"/>
      <c r="AYI267" s="18"/>
      <c r="AYJ267" s="18"/>
      <c r="AYK267" s="18"/>
      <c r="AYL267" s="18"/>
      <c r="AYM267" s="18"/>
      <c r="AYN267" s="18"/>
      <c r="AYO267" s="18"/>
      <c r="AYP267" s="18"/>
      <c r="AYQ267" s="18"/>
      <c r="AYR267" s="18"/>
      <c r="AYS267" s="18"/>
      <c r="AYT267" s="18"/>
      <c r="AYU267" s="18"/>
      <c r="AYV267" s="18"/>
      <c r="AYW267" s="18"/>
      <c r="AYX267" s="18"/>
      <c r="AYY267" s="18"/>
      <c r="AYZ267" s="18"/>
      <c r="AZA267" s="18"/>
      <c r="AZB267" s="18"/>
      <c r="AZC267" s="18"/>
      <c r="AZD267" s="18"/>
      <c r="AZE267" s="18"/>
      <c r="AZF267" s="18"/>
      <c r="AZG267" s="18"/>
      <c r="AZH267" s="18"/>
      <c r="AZI267" s="18"/>
      <c r="AZJ267" s="18"/>
      <c r="AZK267" s="18"/>
      <c r="AZL267" s="18"/>
      <c r="AZM267" s="18"/>
      <c r="AZN267" s="18"/>
      <c r="AZO267" s="18"/>
      <c r="AZP267" s="18"/>
      <c r="AZQ267" s="18"/>
      <c r="AZR267" s="18"/>
      <c r="AZS267" s="18"/>
      <c r="AZT267" s="18"/>
      <c r="AZU267" s="18"/>
      <c r="AZV267" s="18"/>
      <c r="AZW267" s="18"/>
      <c r="AZX267" s="18"/>
      <c r="AZY267" s="18"/>
      <c r="AZZ267" s="18"/>
      <c r="BAA267" s="18"/>
      <c r="BAB267" s="18"/>
      <c r="BAC267" s="18"/>
      <c r="BAD267" s="18"/>
      <c r="BAE267" s="18"/>
      <c r="BAF267" s="18"/>
      <c r="BAG267" s="18"/>
      <c r="BAH267" s="18"/>
      <c r="BAI267" s="18"/>
      <c r="BAJ267" s="18"/>
      <c r="BAK267" s="18"/>
      <c r="BAL267" s="18"/>
      <c r="BAM267" s="18"/>
      <c r="BAN267" s="18"/>
      <c r="BAO267" s="18"/>
      <c r="BAP267" s="18"/>
      <c r="BAQ267" s="18"/>
      <c r="BAR267" s="18"/>
      <c r="BAS267" s="18"/>
      <c r="BAT267" s="18"/>
      <c r="BAU267" s="18"/>
      <c r="BAV267" s="18"/>
      <c r="BAW267" s="18"/>
      <c r="BAX267" s="18"/>
      <c r="BAY267" s="18"/>
      <c r="BAZ267" s="18"/>
      <c r="BBA267" s="18"/>
      <c r="BBB267" s="18"/>
      <c r="BBC267" s="18"/>
      <c r="BBD267" s="18"/>
      <c r="BBE267" s="18"/>
      <c r="BBF267" s="18"/>
      <c r="BBG267" s="18"/>
      <c r="BBH267" s="18"/>
      <c r="BBI267" s="18"/>
      <c r="BBJ267" s="18"/>
      <c r="BBK267" s="18"/>
      <c r="BBL267" s="18"/>
      <c r="BBM267" s="18"/>
      <c r="BBN267" s="18"/>
      <c r="BBO267" s="18"/>
      <c r="BBP267" s="18"/>
      <c r="BBQ267" s="18"/>
      <c r="BBR267" s="18"/>
      <c r="BBS267" s="18"/>
      <c r="BBT267" s="18"/>
      <c r="BBU267" s="18"/>
      <c r="BBV267" s="18"/>
      <c r="BBW267" s="18"/>
      <c r="BBX267" s="18"/>
      <c r="BBY267" s="18"/>
      <c r="BBZ267" s="18"/>
      <c r="BCA267" s="18"/>
      <c r="BCB267" s="18"/>
      <c r="BCC267" s="18"/>
      <c r="BCD267" s="18"/>
      <c r="BCE267" s="18"/>
      <c r="BCF267" s="18"/>
      <c r="BCG267" s="18"/>
      <c r="BCH267" s="18"/>
      <c r="BCI267" s="18"/>
      <c r="BCJ267" s="18"/>
      <c r="BCK267" s="18"/>
      <c r="BCL267" s="18"/>
      <c r="BCM267" s="18"/>
      <c r="BCN267" s="18"/>
      <c r="BCO267" s="18"/>
      <c r="BCP267" s="18"/>
      <c r="BCQ267" s="18"/>
      <c r="BCR267" s="18"/>
      <c r="BCS267" s="18"/>
      <c r="BCT267" s="18"/>
      <c r="BCU267" s="18"/>
      <c r="BCV267" s="18"/>
      <c r="BCW267" s="18"/>
      <c r="BCX267" s="18"/>
      <c r="BCY267" s="18"/>
      <c r="BCZ267" s="18"/>
      <c r="BDA267" s="18"/>
      <c r="BDB267" s="18"/>
      <c r="BDC267" s="18"/>
      <c r="BDD267" s="18"/>
      <c r="BDE267" s="18"/>
      <c r="BDF267" s="18"/>
      <c r="BDG267" s="18"/>
      <c r="BDH267" s="18"/>
      <c r="BDI267" s="18"/>
      <c r="BDJ267" s="18"/>
      <c r="BDK267" s="18"/>
      <c r="BDL267" s="18"/>
      <c r="BDM267" s="18"/>
      <c r="BDN267" s="18"/>
      <c r="BDO267" s="18"/>
      <c r="BDP267" s="18"/>
      <c r="BDQ267" s="18"/>
      <c r="BDR267" s="18"/>
      <c r="BDS267" s="18"/>
      <c r="BDT267" s="18"/>
      <c r="BDU267" s="18"/>
      <c r="BDV267" s="18"/>
      <c r="BDW267" s="18"/>
      <c r="BDX267" s="18"/>
      <c r="BDY267" s="18"/>
      <c r="BDZ267" s="18"/>
      <c r="BEA267" s="18"/>
      <c r="BEB267" s="18"/>
      <c r="BEC267" s="18"/>
      <c r="BED267" s="18"/>
      <c r="BEE267" s="18"/>
      <c r="BEF267" s="18"/>
      <c r="BEG267" s="18"/>
      <c r="BEH267" s="18"/>
      <c r="BEI267" s="18"/>
      <c r="BEJ267" s="18"/>
      <c r="BEK267" s="18"/>
      <c r="BEL267" s="18"/>
      <c r="BEM267" s="18"/>
      <c r="BEN267" s="18"/>
      <c r="BEO267" s="18"/>
      <c r="BEP267" s="18"/>
      <c r="BEQ267" s="18"/>
      <c r="BER267" s="18"/>
      <c r="BES267" s="18"/>
      <c r="BET267" s="18"/>
      <c r="BEU267" s="18"/>
      <c r="BEV267" s="18"/>
      <c r="BEW267" s="18"/>
      <c r="BEX267" s="18"/>
      <c r="BEY267" s="18"/>
      <c r="BEZ267" s="18"/>
      <c r="BFA267" s="18"/>
      <c r="BFB267" s="18"/>
      <c r="BFC267" s="18"/>
      <c r="BFD267" s="18"/>
      <c r="BFE267" s="18"/>
      <c r="BFF267" s="18"/>
      <c r="BFG267" s="18"/>
      <c r="BFH267" s="18"/>
      <c r="BFI267" s="18"/>
      <c r="BFJ267" s="18"/>
      <c r="BFK267" s="18"/>
      <c r="BFL267" s="18"/>
      <c r="BFM267" s="18"/>
      <c r="BFN267" s="18"/>
      <c r="BFO267" s="18"/>
      <c r="BFP267" s="18"/>
      <c r="BFQ267" s="18"/>
      <c r="BFR267" s="18"/>
      <c r="BFS267" s="18"/>
      <c r="BFT267" s="18"/>
      <c r="BFU267" s="18"/>
      <c r="BFV267" s="18"/>
      <c r="BFW267" s="18"/>
      <c r="BFX267" s="18"/>
      <c r="BFY267" s="18"/>
      <c r="BFZ267" s="18"/>
      <c r="BGA267" s="18"/>
      <c r="BGB267" s="18"/>
      <c r="BGC267" s="18"/>
      <c r="BGD267" s="18"/>
      <c r="BGE267" s="18"/>
      <c r="BGF267" s="18"/>
      <c r="BGG267" s="18"/>
      <c r="BGH267" s="18"/>
      <c r="BGI267" s="18"/>
      <c r="BGJ267" s="18"/>
      <c r="BGK267" s="18"/>
      <c r="BGL267" s="18"/>
      <c r="BGM267" s="18"/>
      <c r="BGN267" s="18"/>
      <c r="BGO267" s="18"/>
      <c r="BGP267" s="18"/>
      <c r="BGQ267" s="18"/>
      <c r="BGR267" s="18"/>
      <c r="BGS267" s="18"/>
      <c r="BGT267" s="18"/>
      <c r="BGU267" s="18"/>
      <c r="BGV267" s="18"/>
      <c r="BGW267" s="18"/>
      <c r="BGX267" s="18"/>
      <c r="BGY267" s="18"/>
      <c r="BGZ267" s="18"/>
      <c r="BHA267" s="18"/>
      <c r="BHB267" s="18"/>
      <c r="BHC267" s="18"/>
      <c r="BHD267" s="18"/>
      <c r="BHE267" s="18"/>
      <c r="BHF267" s="18"/>
      <c r="BHG267" s="18"/>
      <c r="BHH267" s="18"/>
      <c r="BHI267" s="18"/>
      <c r="BHJ267" s="18"/>
      <c r="BHK267" s="18"/>
      <c r="BHL267" s="18"/>
      <c r="BHM267" s="18"/>
      <c r="BHN267" s="18"/>
      <c r="BHO267" s="18"/>
      <c r="BHP267" s="18"/>
      <c r="BHQ267" s="18"/>
      <c r="BHR267" s="18"/>
      <c r="BHS267" s="18"/>
      <c r="BHT267" s="18"/>
      <c r="BHU267" s="18"/>
      <c r="BHV267" s="18"/>
      <c r="BHW267" s="18"/>
      <c r="BHX267" s="18"/>
      <c r="BHY267" s="18"/>
      <c r="BHZ267" s="18"/>
      <c r="BIA267" s="18"/>
      <c r="BIB267" s="18"/>
      <c r="BIC267" s="18"/>
      <c r="BID267" s="18"/>
      <c r="BIE267" s="18"/>
      <c r="BIF267" s="18"/>
      <c r="BIG267" s="18"/>
      <c r="BIH267" s="18"/>
      <c r="BII267" s="18"/>
      <c r="BIJ267" s="18"/>
      <c r="BIK267" s="18"/>
      <c r="BIL267" s="18"/>
      <c r="BIM267" s="18"/>
      <c r="BIN267" s="18"/>
      <c r="BIO267" s="18"/>
      <c r="BIP267" s="18"/>
      <c r="BIQ267" s="18"/>
      <c r="BIR267" s="18"/>
      <c r="BIS267" s="18"/>
      <c r="BIT267" s="18"/>
      <c r="BIU267" s="18"/>
      <c r="BIV267" s="18"/>
      <c r="BIW267" s="18"/>
      <c r="BIX267" s="18"/>
      <c r="BIY267" s="18"/>
      <c r="BIZ267" s="18"/>
      <c r="BJA267" s="18"/>
      <c r="BJB267" s="18"/>
      <c r="BJC267" s="18"/>
      <c r="BJD267" s="18"/>
      <c r="BJE267" s="18"/>
      <c r="BJF267" s="18"/>
      <c r="BJG267" s="18"/>
      <c r="BJH267" s="18"/>
      <c r="BJI267" s="18"/>
      <c r="BJJ267" s="18"/>
      <c r="BJK267" s="18"/>
      <c r="BJL267" s="18"/>
      <c r="BJM267" s="18"/>
      <c r="BJN267" s="18"/>
      <c r="BJO267" s="18"/>
      <c r="BJP267" s="18"/>
      <c r="BJQ267" s="18"/>
      <c r="BJR267" s="18"/>
      <c r="BJS267" s="18"/>
      <c r="BJT267" s="18"/>
      <c r="BJU267" s="18"/>
      <c r="BJV267" s="18"/>
      <c r="BJW267" s="18"/>
      <c r="BJX267" s="18"/>
      <c r="BJY267" s="18"/>
      <c r="BJZ267" s="18"/>
      <c r="BKA267" s="18"/>
      <c r="BKB267" s="18"/>
      <c r="BKC267" s="18"/>
      <c r="BKD267" s="18"/>
      <c r="BKE267" s="18"/>
      <c r="BKF267" s="18"/>
      <c r="BKG267" s="18"/>
      <c r="BKH267" s="18"/>
      <c r="BKI267" s="18"/>
      <c r="BKJ267" s="18"/>
      <c r="BKK267" s="18"/>
      <c r="BKL267" s="18"/>
      <c r="BKM267" s="18"/>
      <c r="BKN267" s="18"/>
      <c r="BKO267" s="18"/>
      <c r="BKP267" s="18"/>
      <c r="BKQ267" s="18"/>
      <c r="BKR267" s="18"/>
      <c r="BKS267" s="18"/>
      <c r="BKT267" s="18"/>
      <c r="BKU267" s="18"/>
      <c r="BKV267" s="18"/>
      <c r="BKW267" s="18"/>
      <c r="BKX267" s="18"/>
      <c r="BKY267" s="18"/>
      <c r="BKZ267" s="18"/>
      <c r="BLA267" s="18"/>
      <c r="BLB267" s="18"/>
      <c r="BLC267" s="18"/>
      <c r="BLD267" s="18"/>
      <c r="BLE267" s="18"/>
      <c r="BLF267" s="18"/>
      <c r="BLG267" s="18"/>
      <c r="BLH267" s="18"/>
      <c r="BLI267" s="18"/>
      <c r="BLJ267" s="18"/>
      <c r="BLK267" s="18"/>
      <c r="BLL267" s="18"/>
      <c r="BLM267" s="18"/>
      <c r="BLN267" s="18"/>
      <c r="BLO267" s="18"/>
      <c r="BLP267" s="18"/>
      <c r="BLQ267" s="18"/>
      <c r="BLR267" s="18"/>
      <c r="BLS267" s="18"/>
      <c r="BLT267" s="18"/>
      <c r="BLU267" s="18"/>
      <c r="BLV267" s="18"/>
      <c r="BLW267" s="18"/>
      <c r="BLX267" s="18"/>
      <c r="BLY267" s="18"/>
      <c r="BLZ267" s="18"/>
      <c r="BMA267" s="18"/>
      <c r="BMB267" s="18"/>
      <c r="BMC267" s="18"/>
      <c r="BMD267" s="18"/>
      <c r="BME267" s="18"/>
      <c r="BMF267" s="18"/>
      <c r="BMG267" s="18"/>
      <c r="BMH267" s="18"/>
      <c r="BMI267" s="18"/>
      <c r="BMJ267" s="18"/>
      <c r="BMK267" s="18"/>
      <c r="BML267" s="18"/>
      <c r="BMM267" s="18"/>
      <c r="BMN267" s="18"/>
      <c r="BMO267" s="18"/>
      <c r="BMP267" s="18"/>
      <c r="BMQ267" s="18"/>
      <c r="BMR267" s="18"/>
      <c r="BMS267" s="18"/>
      <c r="BMT267" s="18"/>
      <c r="BMU267" s="18"/>
      <c r="BMV267" s="18"/>
      <c r="BMW267" s="18"/>
      <c r="BMX267" s="18"/>
      <c r="BMY267" s="18"/>
      <c r="BMZ267" s="18"/>
      <c r="BNA267" s="18"/>
      <c r="BNB267" s="18"/>
      <c r="BNC267" s="18"/>
      <c r="BND267" s="18"/>
      <c r="BNE267" s="18"/>
      <c r="BNF267" s="18"/>
      <c r="BNG267" s="18"/>
      <c r="BNH267" s="18"/>
      <c r="BNI267" s="18"/>
      <c r="BNJ267" s="18"/>
      <c r="BNK267" s="18"/>
      <c r="BNL267" s="18"/>
      <c r="BNM267" s="18"/>
      <c r="BNN267" s="18"/>
      <c r="BNO267" s="18"/>
      <c r="BNP267" s="18"/>
      <c r="BNQ267" s="18"/>
      <c r="BNR267" s="18"/>
      <c r="BNS267" s="18"/>
      <c r="BNT267" s="18"/>
      <c r="BNU267" s="18"/>
      <c r="BNV267" s="18"/>
      <c r="BNW267" s="18"/>
      <c r="BNX267" s="18"/>
      <c r="BNY267" s="18"/>
      <c r="BNZ267" s="18"/>
      <c r="BOA267" s="18"/>
      <c r="BOB267" s="18"/>
      <c r="BOC267" s="18"/>
      <c r="BOD267" s="18"/>
      <c r="BOE267" s="18"/>
      <c r="BOF267" s="18"/>
      <c r="BOG267" s="18"/>
      <c r="BOH267" s="18"/>
      <c r="BOI267" s="18"/>
      <c r="BOJ267" s="18"/>
      <c r="BOK267" s="18"/>
      <c r="BOL267" s="18"/>
      <c r="BOM267" s="18"/>
      <c r="BON267" s="18"/>
      <c r="BOO267" s="18"/>
      <c r="BOP267" s="18"/>
      <c r="BOQ267" s="18"/>
      <c r="BOR267" s="18"/>
      <c r="BOS267" s="18"/>
      <c r="BOT267" s="18"/>
      <c r="BOU267" s="18"/>
      <c r="BOV267" s="18"/>
      <c r="BOW267" s="18"/>
      <c r="BOX267" s="18"/>
      <c r="BOY267" s="18"/>
      <c r="BOZ267" s="18"/>
      <c r="BPA267" s="18"/>
      <c r="BPB267" s="18"/>
      <c r="BPC267" s="18"/>
      <c r="BPD267" s="18"/>
      <c r="BPE267" s="18"/>
      <c r="BPF267" s="18"/>
      <c r="BPG267" s="18"/>
      <c r="BPH267" s="18"/>
      <c r="BPI267" s="18"/>
      <c r="BPJ267" s="18"/>
      <c r="BPK267" s="18"/>
      <c r="BPL267" s="18"/>
      <c r="BPM267" s="18"/>
      <c r="BPN267" s="18"/>
      <c r="BPO267" s="18"/>
      <c r="BPP267" s="18"/>
      <c r="BPQ267" s="18"/>
      <c r="BPR267" s="18"/>
      <c r="BPS267" s="18"/>
      <c r="BPT267" s="18"/>
      <c r="BPU267" s="18"/>
      <c r="BPV267" s="18"/>
      <c r="BPW267" s="18"/>
      <c r="BPX267" s="18"/>
      <c r="BPY267" s="18"/>
      <c r="BPZ267" s="18"/>
      <c r="BQA267" s="18"/>
      <c r="BQB267" s="18"/>
      <c r="BQC267" s="18"/>
      <c r="BQD267" s="18"/>
      <c r="BQE267" s="18"/>
      <c r="BQF267" s="18"/>
      <c r="BQG267" s="18"/>
      <c r="BQH267" s="18"/>
      <c r="BQI267" s="18"/>
      <c r="BQJ267" s="18"/>
      <c r="BQK267" s="18"/>
      <c r="BQL267" s="18"/>
      <c r="BQM267" s="18"/>
      <c r="BQN267" s="18"/>
      <c r="BQO267" s="18"/>
      <c r="BQP267" s="18"/>
      <c r="BQQ267" s="18"/>
      <c r="BQR267" s="18"/>
      <c r="BQS267" s="18"/>
      <c r="BQT267" s="18"/>
      <c r="BQU267" s="18"/>
      <c r="BQV267" s="18"/>
      <c r="BQW267" s="18"/>
      <c r="BQX267" s="18"/>
      <c r="BQY267" s="18"/>
      <c r="BQZ267" s="18"/>
      <c r="BRA267" s="18"/>
      <c r="BRB267" s="18"/>
      <c r="BRC267" s="18"/>
      <c r="BRD267" s="18"/>
      <c r="BRE267" s="18"/>
      <c r="BRF267" s="18"/>
      <c r="BRG267" s="18"/>
      <c r="BRH267" s="18"/>
      <c r="BRI267" s="18"/>
      <c r="BRJ267" s="18"/>
      <c r="BRK267" s="18"/>
      <c r="BRL267" s="18"/>
      <c r="BRM267" s="18"/>
      <c r="BRN267" s="18"/>
      <c r="BRO267" s="18"/>
      <c r="BRP267" s="18"/>
      <c r="BRQ267" s="18"/>
      <c r="BRR267" s="18"/>
      <c r="BRS267" s="18"/>
      <c r="BRT267" s="18"/>
      <c r="BRU267" s="18"/>
      <c r="BRV267" s="18"/>
      <c r="BRW267" s="18"/>
      <c r="BRX267" s="18"/>
      <c r="BRY267" s="18"/>
      <c r="BRZ267" s="18"/>
      <c r="BSA267" s="18"/>
      <c r="BSB267" s="18"/>
      <c r="BSC267" s="18"/>
      <c r="BSD267" s="18"/>
      <c r="BSE267" s="18"/>
      <c r="BSF267" s="18"/>
      <c r="BSG267" s="18"/>
      <c r="BSH267" s="18"/>
      <c r="BSI267" s="18"/>
      <c r="BSJ267" s="18"/>
      <c r="BSK267" s="18"/>
      <c r="BSL267" s="18"/>
      <c r="BSM267" s="18"/>
      <c r="BSN267" s="18"/>
      <c r="BSO267" s="18"/>
      <c r="BSP267" s="18"/>
      <c r="BSQ267" s="18"/>
      <c r="BSR267" s="18"/>
      <c r="BSS267" s="18"/>
      <c r="BST267" s="18"/>
      <c r="BSU267" s="18"/>
      <c r="BSV267" s="18"/>
      <c r="BSW267" s="18"/>
      <c r="BSX267" s="18"/>
      <c r="BSY267" s="18"/>
      <c r="BSZ267" s="18"/>
      <c r="BTA267" s="18"/>
      <c r="BTB267" s="18"/>
      <c r="BTC267" s="18"/>
      <c r="BTD267" s="18"/>
      <c r="BTE267" s="18"/>
      <c r="BTF267" s="18"/>
      <c r="BTG267" s="18"/>
      <c r="BTH267" s="18"/>
      <c r="BTI267" s="18"/>
    </row>
    <row r="268" spans="1:1881" s="756" customFormat="1" ht="90" hidden="1" customHeight="1" x14ac:dyDescent="0.3">
      <c r="A268" s="105">
        <v>619</v>
      </c>
      <c r="B268" s="663" t="s">
        <v>59</v>
      </c>
      <c r="C268" s="663" t="s">
        <v>394</v>
      </c>
      <c r="D268" s="92" t="s">
        <v>399</v>
      </c>
      <c r="E268" s="34" t="e">
        <f>HLOOKUP($D$2,'2020 Data(H)'!$C$1:$AI$426,279,FALSE)</f>
        <v>#N/A</v>
      </c>
      <c r="F268" s="876">
        <v>0</v>
      </c>
      <c r="G268" s="760" t="str">
        <f>IF(ISBLANK(F268),"Please do not leave blank ",IF(F268=H268,"","Please review percentage"))</f>
        <v/>
      </c>
      <c r="H268" s="761">
        <f>ROUND(IFERROR((F267/F266)*100,0),1)</f>
        <v>0</v>
      </c>
      <c r="I268" s="288"/>
      <c r="J268" s="18"/>
      <c r="K268" s="18"/>
      <c r="L268" s="18"/>
      <c r="M268" s="18"/>
      <c r="N268" s="288"/>
      <c r="O268" s="18"/>
      <c r="P268" s="18"/>
      <c r="Q268" s="18"/>
      <c r="R268" s="18"/>
      <c r="S268" s="18"/>
      <c r="T268" s="18"/>
      <c r="U268" s="18"/>
      <c r="V268" s="18"/>
      <c r="W268" s="18"/>
      <c r="X268" s="18"/>
      <c r="Y268" s="18"/>
      <c r="Z268" s="105"/>
      <c r="AA268" s="105"/>
      <c r="AB268" s="105"/>
      <c r="AC268" s="105"/>
      <c r="AD268" s="105"/>
      <c r="AE268" s="105"/>
      <c r="AF268" s="105"/>
      <c r="AG268" s="105"/>
      <c r="AH268" s="105"/>
      <c r="AI268" s="105"/>
      <c r="AJ268" s="105"/>
      <c r="AK268" s="105"/>
      <c r="AL268" s="105"/>
      <c r="AM268" s="105"/>
      <c r="AN268" s="105"/>
      <c r="AO268" s="105"/>
      <c r="AP268" s="105"/>
      <c r="AQ268" s="105"/>
      <c r="AR268" s="105"/>
      <c r="AS268" s="18"/>
      <c r="AT268" s="18"/>
      <c r="AU268" s="18"/>
      <c r="AV268" s="18"/>
      <c r="AW268" s="18"/>
      <c r="AX268" s="18"/>
      <c r="AY268" s="18"/>
      <c r="AZ268" s="18"/>
      <c r="BA268" s="18"/>
      <c r="BB268" s="18"/>
      <c r="BC268" s="18"/>
      <c r="BD268" s="18"/>
      <c r="BE268" s="18"/>
      <c r="BF268" s="18"/>
      <c r="BG268" s="18"/>
      <c r="BH268" s="18"/>
      <c r="BI268" s="18"/>
      <c r="BJ268" s="18"/>
      <c r="BK268" s="18"/>
      <c r="BL268" s="18"/>
      <c r="BM268" s="18"/>
      <c r="BN268" s="18"/>
      <c r="BO268" s="18"/>
      <c r="BP268" s="18"/>
      <c r="BQ268" s="18"/>
      <c r="BR268" s="18"/>
      <c r="BS268" s="18"/>
      <c r="BT268" s="18"/>
      <c r="BU268" s="18"/>
      <c r="BV268" s="18"/>
      <c r="BW268" s="18"/>
      <c r="BX268" s="18"/>
      <c r="BY268" s="18"/>
      <c r="BZ268" s="18"/>
      <c r="CA268" s="18"/>
      <c r="CB268" s="18"/>
      <c r="CC268" s="18"/>
      <c r="CD268" s="18"/>
      <c r="CE268" s="18"/>
      <c r="CF268" s="18"/>
      <c r="CG268" s="18"/>
      <c r="CH268" s="18"/>
      <c r="CI268" s="18"/>
      <c r="CJ268" s="18"/>
      <c r="CK268" s="18"/>
      <c r="CL268" s="18"/>
      <c r="CM268" s="18"/>
      <c r="CN268" s="18"/>
      <c r="CO268" s="18"/>
      <c r="CP268" s="18"/>
      <c r="CQ268" s="18"/>
      <c r="CR268" s="18"/>
      <c r="CS268" s="18"/>
      <c r="CT268" s="18"/>
      <c r="CU268" s="18"/>
      <c r="CV268" s="18"/>
      <c r="CW268" s="18"/>
      <c r="CX268" s="18"/>
      <c r="CY268" s="18"/>
      <c r="CZ268" s="18"/>
      <c r="DA268" s="18"/>
      <c r="DB268" s="18"/>
      <c r="DC268" s="18"/>
      <c r="DD268" s="18"/>
      <c r="DE268" s="18"/>
      <c r="DF268" s="18"/>
      <c r="DG268" s="18"/>
      <c r="DH268" s="18"/>
      <c r="DI268" s="18"/>
      <c r="DJ268" s="18"/>
      <c r="DK268" s="18"/>
      <c r="DL268" s="18"/>
      <c r="DM268" s="18"/>
      <c r="DN268" s="18"/>
      <c r="DO268" s="18"/>
      <c r="DP268" s="18"/>
      <c r="DQ268" s="18"/>
      <c r="DR268" s="18"/>
      <c r="DS268" s="18"/>
      <c r="DT268" s="18"/>
      <c r="DU268" s="18"/>
      <c r="DV268" s="18"/>
      <c r="DW268" s="18"/>
      <c r="DX268" s="18"/>
      <c r="DY268" s="18"/>
      <c r="DZ268" s="18"/>
      <c r="EA268" s="18"/>
      <c r="EB268" s="18"/>
      <c r="EC268" s="18"/>
      <c r="ED268" s="18"/>
      <c r="EE268" s="18"/>
      <c r="EF268" s="18"/>
      <c r="EG268" s="18"/>
      <c r="EH268" s="18"/>
      <c r="EI268" s="18"/>
      <c r="EJ268" s="18"/>
      <c r="EK268" s="18"/>
      <c r="EL268" s="18"/>
      <c r="EM268" s="18"/>
      <c r="EN268" s="18"/>
      <c r="EO268" s="18"/>
      <c r="EP268" s="18"/>
      <c r="EQ268" s="18"/>
      <c r="ER268" s="18"/>
      <c r="ES268" s="18"/>
      <c r="ET268" s="18"/>
      <c r="EU268" s="18"/>
      <c r="EV268" s="18"/>
      <c r="EW268" s="18"/>
      <c r="EX268" s="18"/>
      <c r="EY268" s="18"/>
      <c r="EZ268" s="18"/>
      <c r="FA268" s="18"/>
      <c r="FB268" s="18"/>
      <c r="FC268" s="18"/>
      <c r="FD268" s="18"/>
      <c r="FE268" s="18"/>
      <c r="FF268" s="18"/>
      <c r="FG268" s="18"/>
      <c r="FH268" s="18"/>
      <c r="FI268" s="18"/>
      <c r="FJ268" s="18"/>
      <c r="FK268" s="18"/>
      <c r="FL268" s="18"/>
      <c r="FM268" s="18"/>
      <c r="FN268" s="18"/>
      <c r="FO268" s="18"/>
      <c r="FP268" s="18"/>
      <c r="FQ268" s="18"/>
      <c r="FR268" s="18"/>
      <c r="FS268" s="18"/>
      <c r="FT268" s="18"/>
      <c r="FU268" s="18"/>
      <c r="FV268" s="18"/>
      <c r="FW268" s="18"/>
      <c r="FX268" s="18"/>
      <c r="FY268" s="18"/>
      <c r="FZ268" s="18"/>
      <c r="GA268" s="18"/>
      <c r="GB268" s="18"/>
      <c r="GC268" s="18"/>
      <c r="GD268" s="18"/>
      <c r="GE268" s="18"/>
      <c r="GF268" s="18"/>
      <c r="GG268" s="18"/>
      <c r="GH268" s="18"/>
      <c r="GI268" s="18"/>
      <c r="GJ268" s="18"/>
      <c r="GK268" s="18"/>
      <c r="GL268" s="18"/>
      <c r="GM268" s="18"/>
      <c r="GN268" s="18"/>
      <c r="GO268" s="18"/>
      <c r="GP268" s="18"/>
      <c r="GQ268" s="18"/>
      <c r="GR268" s="18"/>
      <c r="GS268" s="18"/>
      <c r="GT268" s="18"/>
      <c r="GU268" s="18"/>
      <c r="GV268" s="18"/>
      <c r="GW268" s="18"/>
      <c r="GX268" s="18"/>
      <c r="GY268" s="18"/>
      <c r="GZ268" s="18"/>
      <c r="HA268" s="18"/>
      <c r="HB268" s="18"/>
      <c r="HC268" s="18"/>
      <c r="HD268" s="18"/>
      <c r="HE268" s="18"/>
      <c r="HF268" s="18"/>
      <c r="HG268" s="18"/>
      <c r="HH268" s="18"/>
      <c r="HI268" s="18"/>
      <c r="HJ268" s="18"/>
      <c r="HK268" s="18"/>
      <c r="HL268" s="18"/>
      <c r="HM268" s="18"/>
      <c r="HN268" s="18"/>
      <c r="HO268" s="18"/>
      <c r="HP268" s="18"/>
      <c r="HQ268" s="18"/>
      <c r="HR268" s="18"/>
      <c r="HS268" s="18"/>
      <c r="HT268" s="18"/>
      <c r="HU268" s="18"/>
      <c r="HV268" s="18"/>
      <c r="HW268" s="18"/>
      <c r="HX268" s="18"/>
      <c r="HY268" s="18"/>
      <c r="HZ268" s="18"/>
      <c r="IA268" s="18"/>
      <c r="IB268" s="18"/>
      <c r="IC268" s="18"/>
      <c r="ID268" s="18"/>
      <c r="IE268" s="18"/>
      <c r="IF268" s="18"/>
      <c r="IG268" s="18"/>
      <c r="IH268" s="18"/>
      <c r="II268" s="18"/>
      <c r="IJ268" s="18"/>
      <c r="IK268" s="18"/>
      <c r="IL268" s="18"/>
      <c r="IM268" s="18"/>
      <c r="IN268" s="18"/>
      <c r="IO268" s="18"/>
      <c r="IP268" s="18"/>
      <c r="IQ268" s="18"/>
      <c r="IR268" s="18"/>
      <c r="IS268" s="18"/>
      <c r="IT268" s="18"/>
      <c r="IU268" s="18"/>
      <c r="IV268" s="18"/>
      <c r="IW268" s="18"/>
      <c r="IX268" s="18"/>
      <c r="IY268" s="18"/>
      <c r="IZ268" s="18"/>
      <c r="JA268" s="18"/>
      <c r="JB268" s="18"/>
      <c r="JC268" s="18"/>
      <c r="JD268" s="18"/>
      <c r="JE268" s="18"/>
      <c r="JF268" s="18"/>
      <c r="JG268" s="18"/>
      <c r="JH268" s="18"/>
      <c r="JI268" s="18"/>
      <c r="JJ268" s="18"/>
      <c r="JK268" s="18"/>
      <c r="JL268" s="18"/>
      <c r="JM268" s="18"/>
      <c r="JN268" s="18"/>
      <c r="JO268" s="18"/>
      <c r="JP268" s="18"/>
      <c r="JQ268" s="18"/>
      <c r="JR268" s="18"/>
      <c r="JS268" s="18"/>
      <c r="JT268" s="18"/>
      <c r="JU268" s="18"/>
      <c r="JV268" s="18"/>
      <c r="JW268" s="18"/>
      <c r="JX268" s="18"/>
      <c r="JY268" s="18"/>
      <c r="JZ268" s="18"/>
      <c r="KA268" s="18"/>
      <c r="KB268" s="18"/>
      <c r="KC268" s="18"/>
      <c r="KD268" s="18"/>
      <c r="KE268" s="18"/>
      <c r="KF268" s="18"/>
      <c r="KG268" s="18"/>
      <c r="KH268" s="18"/>
      <c r="KI268" s="18"/>
      <c r="KJ268" s="18"/>
      <c r="KK268" s="18"/>
      <c r="KL268" s="18"/>
      <c r="KM268" s="18"/>
      <c r="KN268" s="18"/>
      <c r="KO268" s="18"/>
      <c r="KP268" s="18"/>
      <c r="KQ268" s="18"/>
      <c r="KR268" s="18"/>
      <c r="KS268" s="18"/>
      <c r="KT268" s="18"/>
      <c r="KU268" s="18"/>
      <c r="KV268" s="18"/>
      <c r="KW268" s="18"/>
      <c r="KX268" s="18"/>
      <c r="KY268" s="18"/>
      <c r="KZ268" s="18"/>
      <c r="LA268" s="18"/>
      <c r="LB268" s="18"/>
      <c r="LC268" s="18"/>
      <c r="LD268" s="18"/>
      <c r="LE268" s="18"/>
      <c r="LF268" s="18"/>
      <c r="LG268" s="18"/>
      <c r="LH268" s="18"/>
      <c r="LI268" s="18"/>
      <c r="LJ268" s="18"/>
      <c r="LK268" s="18"/>
      <c r="LL268" s="18"/>
      <c r="LM268" s="18"/>
      <c r="LN268" s="18"/>
      <c r="LO268" s="18"/>
      <c r="LP268" s="18"/>
      <c r="LQ268" s="18"/>
      <c r="LR268" s="18"/>
      <c r="LS268" s="18"/>
      <c r="LT268" s="18"/>
      <c r="LU268" s="18"/>
      <c r="LV268" s="18"/>
      <c r="LW268" s="18"/>
      <c r="LX268" s="18"/>
      <c r="LY268" s="18"/>
      <c r="LZ268" s="18"/>
      <c r="MA268" s="18"/>
      <c r="MB268" s="18"/>
      <c r="MC268" s="18"/>
      <c r="MD268" s="18"/>
      <c r="ME268" s="18"/>
      <c r="MF268" s="18"/>
      <c r="MG268" s="18"/>
      <c r="MH268" s="18"/>
      <c r="MI268" s="18"/>
      <c r="MJ268" s="18"/>
      <c r="MK268" s="18"/>
      <c r="ML268" s="18"/>
      <c r="MM268" s="18"/>
      <c r="MN268" s="18"/>
      <c r="MO268" s="18"/>
      <c r="MP268" s="18"/>
      <c r="MQ268" s="18"/>
      <c r="MR268" s="18"/>
      <c r="MS268" s="18"/>
      <c r="MT268" s="18"/>
      <c r="MU268" s="18"/>
      <c r="MV268" s="18"/>
      <c r="MW268" s="18"/>
      <c r="MX268" s="18"/>
      <c r="MY268" s="18"/>
      <c r="MZ268" s="18"/>
      <c r="NA268" s="18"/>
      <c r="NB268" s="18"/>
      <c r="NC268" s="18"/>
      <c r="ND268" s="18"/>
      <c r="NE268" s="18"/>
      <c r="NF268" s="18"/>
      <c r="NG268" s="18"/>
      <c r="NH268" s="18"/>
      <c r="NI268" s="18"/>
      <c r="NJ268" s="18"/>
      <c r="NK268" s="18"/>
      <c r="NL268" s="18"/>
      <c r="NM268" s="18"/>
      <c r="NN268" s="18"/>
      <c r="NO268" s="18"/>
      <c r="NP268" s="18"/>
      <c r="NQ268" s="18"/>
      <c r="NR268" s="18"/>
      <c r="NS268" s="18"/>
      <c r="NT268" s="18"/>
      <c r="NU268" s="18"/>
      <c r="NV268" s="18"/>
      <c r="NW268" s="18"/>
      <c r="NX268" s="18"/>
      <c r="NY268" s="18"/>
      <c r="NZ268" s="18"/>
      <c r="OA268" s="18"/>
      <c r="OB268" s="18"/>
      <c r="OC268" s="18"/>
      <c r="OD268" s="18"/>
      <c r="OE268" s="18"/>
      <c r="OF268" s="18"/>
      <c r="OG268" s="18"/>
      <c r="OH268" s="18"/>
      <c r="OI268" s="18"/>
      <c r="OJ268" s="18"/>
      <c r="OK268" s="18"/>
      <c r="OL268" s="18"/>
      <c r="OM268" s="18"/>
      <c r="ON268" s="18"/>
      <c r="OO268" s="18"/>
      <c r="OP268" s="18"/>
      <c r="OQ268" s="18"/>
      <c r="OR268" s="18"/>
      <c r="OS268" s="18"/>
      <c r="OT268" s="18"/>
      <c r="OU268" s="18"/>
      <c r="OV268" s="18"/>
      <c r="OW268" s="18"/>
      <c r="OX268" s="18"/>
      <c r="OY268" s="18"/>
      <c r="OZ268" s="18"/>
      <c r="PA268" s="18"/>
      <c r="PB268" s="18"/>
      <c r="PC268" s="18"/>
      <c r="PD268" s="18"/>
      <c r="PE268" s="18"/>
      <c r="PF268" s="18"/>
      <c r="PG268" s="18"/>
      <c r="PH268" s="18"/>
      <c r="PI268" s="18"/>
      <c r="PJ268" s="18"/>
      <c r="PK268" s="18"/>
      <c r="PL268" s="18"/>
      <c r="PM268" s="18"/>
      <c r="PN268" s="18"/>
      <c r="PO268" s="18"/>
      <c r="PP268" s="18"/>
      <c r="PQ268" s="18"/>
      <c r="PR268" s="18"/>
      <c r="PS268" s="18"/>
      <c r="PT268" s="18"/>
      <c r="PU268" s="18"/>
      <c r="PV268" s="18"/>
      <c r="PW268" s="18"/>
      <c r="PX268" s="18"/>
      <c r="PY268" s="18"/>
      <c r="PZ268" s="18"/>
      <c r="QA268" s="18"/>
      <c r="QB268" s="18"/>
      <c r="QC268" s="18"/>
      <c r="QD268" s="18"/>
      <c r="QE268" s="18"/>
      <c r="QF268" s="18"/>
      <c r="QG268" s="18"/>
      <c r="QH268" s="18"/>
      <c r="QI268" s="18"/>
      <c r="QJ268" s="18"/>
      <c r="QK268" s="18"/>
      <c r="QL268" s="18"/>
      <c r="QM268" s="18"/>
      <c r="QN268" s="18"/>
      <c r="QO268" s="18"/>
      <c r="QP268" s="18"/>
      <c r="QQ268" s="18"/>
      <c r="QR268" s="18"/>
      <c r="QS268" s="18"/>
      <c r="QT268" s="18"/>
      <c r="QU268" s="18"/>
      <c r="QV268" s="18"/>
      <c r="QW268" s="18"/>
      <c r="QX268" s="18"/>
      <c r="QY268" s="18"/>
      <c r="QZ268" s="18"/>
      <c r="RA268" s="18"/>
      <c r="RB268" s="18"/>
      <c r="RC268" s="18"/>
      <c r="RD268" s="18"/>
      <c r="RE268" s="18"/>
      <c r="RF268" s="18"/>
      <c r="RG268" s="18"/>
      <c r="RH268" s="18"/>
      <c r="RI268" s="18"/>
      <c r="RJ268" s="18"/>
      <c r="RK268" s="18"/>
      <c r="RL268" s="18"/>
      <c r="RM268" s="18"/>
      <c r="RN268" s="18"/>
      <c r="RO268" s="18"/>
      <c r="RP268" s="18"/>
      <c r="RQ268" s="18"/>
      <c r="RR268" s="18"/>
      <c r="RS268" s="18"/>
      <c r="RT268" s="18"/>
      <c r="RU268" s="18"/>
      <c r="RV268" s="18"/>
      <c r="RW268" s="18"/>
      <c r="RX268" s="18"/>
      <c r="RY268" s="18"/>
      <c r="RZ268" s="18"/>
      <c r="SA268" s="18"/>
      <c r="SB268" s="18"/>
      <c r="SC268" s="18"/>
      <c r="SD268" s="18"/>
      <c r="SE268" s="18"/>
      <c r="SF268" s="18"/>
      <c r="SG268" s="18"/>
      <c r="SH268" s="18"/>
      <c r="SI268" s="18"/>
      <c r="SJ268" s="18"/>
      <c r="SK268" s="18"/>
      <c r="SL268" s="18"/>
      <c r="SM268" s="18"/>
      <c r="SN268" s="18"/>
      <c r="SO268" s="18"/>
      <c r="SP268" s="18"/>
      <c r="SQ268" s="18"/>
      <c r="SR268" s="18"/>
      <c r="SS268" s="18"/>
      <c r="ST268" s="18"/>
      <c r="SU268" s="18"/>
      <c r="SV268" s="18"/>
      <c r="SW268" s="18"/>
      <c r="SX268" s="18"/>
      <c r="SY268" s="18"/>
      <c r="SZ268" s="18"/>
      <c r="TA268" s="18"/>
      <c r="TB268" s="18"/>
      <c r="TC268" s="18"/>
      <c r="TD268" s="18"/>
      <c r="TE268" s="18"/>
      <c r="TF268" s="18"/>
      <c r="TG268" s="18"/>
      <c r="TH268" s="18"/>
      <c r="TI268" s="18"/>
      <c r="TJ268" s="18"/>
      <c r="TK268" s="18"/>
      <c r="TL268" s="18"/>
      <c r="TM268" s="18"/>
      <c r="TN268" s="18"/>
      <c r="TO268" s="18"/>
      <c r="TP268" s="18"/>
      <c r="TQ268" s="18"/>
      <c r="TR268" s="18"/>
      <c r="TS268" s="18"/>
      <c r="TT268" s="18"/>
      <c r="TU268" s="18"/>
      <c r="TV268" s="18"/>
      <c r="TW268" s="18"/>
      <c r="TX268" s="18"/>
      <c r="TY268" s="18"/>
      <c r="TZ268" s="18"/>
      <c r="UA268" s="18"/>
      <c r="UB268" s="18"/>
      <c r="UC268" s="18"/>
      <c r="UD268" s="18"/>
      <c r="UE268" s="18"/>
      <c r="UF268" s="18"/>
      <c r="UG268" s="18"/>
      <c r="UH268" s="18"/>
      <c r="UI268" s="18"/>
      <c r="UJ268" s="18"/>
      <c r="UK268" s="18"/>
      <c r="UL268" s="18"/>
      <c r="UM268" s="18"/>
      <c r="UN268" s="18"/>
      <c r="UO268" s="18"/>
      <c r="UP268" s="18"/>
      <c r="UQ268" s="18"/>
      <c r="UR268" s="18"/>
      <c r="US268" s="18"/>
      <c r="UT268" s="18"/>
      <c r="UU268" s="18"/>
      <c r="UV268" s="18"/>
      <c r="UW268" s="18"/>
      <c r="UX268" s="18"/>
      <c r="UY268" s="18"/>
      <c r="UZ268" s="18"/>
      <c r="VA268" s="18"/>
      <c r="VB268" s="18"/>
      <c r="VC268" s="18"/>
      <c r="VD268" s="18"/>
      <c r="VE268" s="18"/>
      <c r="VF268" s="18"/>
      <c r="VG268" s="18"/>
      <c r="VH268" s="18"/>
      <c r="VI268" s="18"/>
      <c r="VJ268" s="18"/>
      <c r="VK268" s="18"/>
      <c r="VL268" s="18"/>
      <c r="VM268" s="18"/>
      <c r="VN268" s="18"/>
      <c r="VO268" s="18"/>
      <c r="VP268" s="18"/>
      <c r="VQ268" s="18"/>
      <c r="VR268" s="18"/>
      <c r="VS268" s="18"/>
      <c r="VT268" s="18"/>
      <c r="VU268" s="18"/>
      <c r="VV268" s="18"/>
      <c r="VW268" s="18"/>
      <c r="VX268" s="18"/>
      <c r="VY268" s="18"/>
      <c r="VZ268" s="18"/>
      <c r="WA268" s="18"/>
      <c r="WB268" s="18"/>
      <c r="WC268" s="18"/>
      <c r="WD268" s="18"/>
      <c r="WE268" s="18"/>
      <c r="WF268" s="18"/>
      <c r="WG268" s="18"/>
      <c r="WH268" s="18"/>
      <c r="WI268" s="18"/>
      <c r="WJ268" s="18"/>
      <c r="WK268" s="18"/>
      <c r="WL268" s="18"/>
      <c r="WM268" s="18"/>
      <c r="WN268" s="18"/>
      <c r="WO268" s="18"/>
      <c r="WP268" s="18"/>
      <c r="WQ268" s="18"/>
      <c r="WR268" s="18"/>
      <c r="WS268" s="18"/>
      <c r="WT268" s="18"/>
      <c r="WU268" s="18"/>
      <c r="WV268" s="18"/>
      <c r="WW268" s="18"/>
      <c r="WX268" s="18"/>
      <c r="WY268" s="18"/>
      <c r="WZ268" s="18"/>
      <c r="XA268" s="18"/>
      <c r="XB268" s="18"/>
      <c r="XC268" s="18"/>
      <c r="XD268" s="18"/>
      <c r="XE268" s="18"/>
      <c r="XF268" s="18"/>
      <c r="XG268" s="18"/>
      <c r="XH268" s="18"/>
      <c r="XI268" s="18"/>
      <c r="XJ268" s="18"/>
      <c r="XK268" s="18"/>
      <c r="XL268" s="18"/>
      <c r="XM268" s="18"/>
      <c r="XN268" s="18"/>
      <c r="XO268" s="18"/>
      <c r="XP268" s="18"/>
      <c r="XQ268" s="18"/>
      <c r="XR268" s="18"/>
      <c r="XS268" s="18"/>
      <c r="XT268" s="18"/>
      <c r="XU268" s="18"/>
      <c r="XV268" s="18"/>
      <c r="XW268" s="18"/>
      <c r="XX268" s="18"/>
      <c r="XY268" s="18"/>
      <c r="XZ268" s="18"/>
      <c r="YA268" s="18"/>
      <c r="YB268" s="18"/>
      <c r="YC268" s="18"/>
      <c r="YD268" s="18"/>
      <c r="YE268" s="18"/>
      <c r="YF268" s="18"/>
      <c r="YG268" s="18"/>
      <c r="YH268" s="18"/>
      <c r="YI268" s="18"/>
      <c r="YJ268" s="18"/>
      <c r="YK268" s="18"/>
      <c r="YL268" s="18"/>
      <c r="YM268" s="18"/>
      <c r="YN268" s="18"/>
      <c r="YO268" s="18"/>
      <c r="YP268" s="18"/>
      <c r="YQ268" s="18"/>
      <c r="YR268" s="18"/>
      <c r="YS268" s="18"/>
      <c r="YT268" s="18"/>
      <c r="YU268" s="18"/>
      <c r="YV268" s="18"/>
      <c r="YW268" s="18"/>
      <c r="YX268" s="18"/>
      <c r="YY268" s="18"/>
      <c r="YZ268" s="18"/>
      <c r="ZA268" s="18"/>
      <c r="ZB268" s="18"/>
      <c r="ZC268" s="18"/>
      <c r="ZD268" s="18"/>
      <c r="ZE268" s="18"/>
      <c r="ZF268" s="18"/>
      <c r="ZG268" s="18"/>
      <c r="ZH268" s="18"/>
      <c r="ZI268" s="18"/>
      <c r="ZJ268" s="18"/>
      <c r="ZK268" s="18"/>
      <c r="ZL268" s="18"/>
      <c r="ZM268" s="18"/>
      <c r="ZN268" s="18"/>
      <c r="ZO268" s="18"/>
      <c r="ZP268" s="18"/>
      <c r="ZQ268" s="18"/>
      <c r="ZR268" s="18"/>
      <c r="ZS268" s="18"/>
      <c r="ZT268" s="18"/>
      <c r="ZU268" s="18"/>
      <c r="ZV268" s="18"/>
      <c r="ZW268" s="18"/>
      <c r="ZX268" s="18"/>
      <c r="ZY268" s="18"/>
      <c r="ZZ268" s="18"/>
      <c r="AAA268" s="18"/>
      <c r="AAB268" s="18"/>
      <c r="AAC268" s="18"/>
      <c r="AAD268" s="18"/>
      <c r="AAE268" s="18"/>
      <c r="AAF268" s="18"/>
      <c r="AAG268" s="18"/>
      <c r="AAH268" s="18"/>
      <c r="AAI268" s="18"/>
      <c r="AAJ268" s="18"/>
      <c r="AAK268" s="18"/>
      <c r="AAL268" s="18"/>
      <c r="AAM268" s="18"/>
      <c r="AAN268" s="18"/>
      <c r="AAO268" s="18"/>
      <c r="AAP268" s="18"/>
      <c r="AAQ268" s="18"/>
      <c r="AAR268" s="18"/>
      <c r="AAS268" s="18"/>
      <c r="AAT268" s="18"/>
      <c r="AAU268" s="18"/>
      <c r="AAV268" s="18"/>
      <c r="AAW268" s="18"/>
      <c r="AAX268" s="18"/>
      <c r="AAY268" s="18"/>
      <c r="AAZ268" s="18"/>
      <c r="ABA268" s="18"/>
      <c r="ABB268" s="18"/>
      <c r="ABC268" s="18"/>
      <c r="ABD268" s="18"/>
      <c r="ABE268" s="18"/>
      <c r="ABF268" s="18"/>
      <c r="ABG268" s="18"/>
      <c r="ABH268" s="18"/>
      <c r="ABI268" s="18"/>
      <c r="ABJ268" s="18"/>
      <c r="ABK268" s="18"/>
      <c r="ABL268" s="18"/>
      <c r="ABM268" s="18"/>
      <c r="ABN268" s="18"/>
      <c r="ABO268" s="18"/>
      <c r="ABP268" s="18"/>
      <c r="ABQ268" s="18"/>
      <c r="ABR268" s="18"/>
      <c r="ABS268" s="18"/>
      <c r="ABT268" s="18"/>
      <c r="ABU268" s="18"/>
      <c r="ABV268" s="18"/>
      <c r="ABW268" s="18"/>
      <c r="ABX268" s="18"/>
      <c r="ABY268" s="18"/>
      <c r="ABZ268" s="18"/>
      <c r="ACA268" s="18"/>
      <c r="ACB268" s="18"/>
      <c r="ACC268" s="18"/>
      <c r="ACD268" s="18"/>
      <c r="ACE268" s="18"/>
      <c r="ACF268" s="18"/>
      <c r="ACG268" s="18"/>
      <c r="ACH268" s="18"/>
      <c r="ACI268" s="18"/>
      <c r="ACJ268" s="18"/>
      <c r="ACK268" s="18"/>
      <c r="ACL268" s="18"/>
      <c r="ACM268" s="18"/>
      <c r="ACN268" s="18"/>
      <c r="ACO268" s="18"/>
      <c r="ACP268" s="18"/>
      <c r="ACQ268" s="18"/>
      <c r="ACR268" s="18"/>
      <c r="ACS268" s="18"/>
      <c r="ACT268" s="18"/>
      <c r="ACU268" s="18"/>
      <c r="ACV268" s="18"/>
      <c r="ACW268" s="18"/>
      <c r="ACX268" s="18"/>
      <c r="ACY268" s="18"/>
      <c r="ACZ268" s="18"/>
      <c r="ADA268" s="18"/>
      <c r="ADB268" s="18"/>
      <c r="ADC268" s="18"/>
      <c r="ADD268" s="18"/>
      <c r="ADE268" s="18"/>
      <c r="ADF268" s="18"/>
      <c r="ADG268" s="18"/>
      <c r="ADH268" s="18"/>
      <c r="ADI268" s="18"/>
      <c r="ADJ268" s="18"/>
      <c r="ADK268" s="18"/>
      <c r="ADL268" s="18"/>
      <c r="ADM268" s="18"/>
      <c r="ADN268" s="18"/>
      <c r="ADO268" s="18"/>
      <c r="ADP268" s="18"/>
      <c r="ADQ268" s="18"/>
      <c r="ADR268" s="18"/>
      <c r="ADS268" s="18"/>
      <c r="ADT268" s="18"/>
      <c r="ADU268" s="18"/>
      <c r="ADV268" s="18"/>
      <c r="ADW268" s="18"/>
      <c r="ADX268" s="18"/>
      <c r="ADY268" s="18"/>
      <c r="ADZ268" s="18"/>
      <c r="AEA268" s="18"/>
      <c r="AEB268" s="18"/>
      <c r="AEC268" s="18"/>
      <c r="AED268" s="18"/>
      <c r="AEE268" s="18"/>
      <c r="AEF268" s="18"/>
      <c r="AEG268" s="18"/>
      <c r="AEH268" s="18"/>
      <c r="AEI268" s="18"/>
      <c r="AEJ268" s="18"/>
      <c r="AEK268" s="18"/>
      <c r="AEL268" s="18"/>
      <c r="AEM268" s="18"/>
      <c r="AEN268" s="18"/>
      <c r="AEO268" s="18"/>
      <c r="AEP268" s="18"/>
      <c r="AEQ268" s="18"/>
      <c r="AER268" s="18"/>
      <c r="AES268" s="18"/>
      <c r="AET268" s="18"/>
      <c r="AEU268" s="18"/>
      <c r="AEV268" s="18"/>
      <c r="AEW268" s="18"/>
      <c r="AEX268" s="18"/>
      <c r="AEY268" s="18"/>
      <c r="AEZ268" s="18"/>
      <c r="AFA268" s="18"/>
      <c r="AFB268" s="18"/>
      <c r="AFC268" s="18"/>
      <c r="AFD268" s="18"/>
      <c r="AFE268" s="18"/>
      <c r="AFF268" s="18"/>
      <c r="AFG268" s="18"/>
      <c r="AFH268" s="18"/>
      <c r="AFI268" s="18"/>
      <c r="AFJ268" s="18"/>
      <c r="AFK268" s="18"/>
      <c r="AFL268" s="18"/>
      <c r="AFM268" s="18"/>
      <c r="AFN268" s="18"/>
      <c r="AFO268" s="18"/>
      <c r="AFP268" s="18"/>
      <c r="AFQ268" s="18"/>
      <c r="AFR268" s="18"/>
      <c r="AFS268" s="18"/>
      <c r="AFT268" s="18"/>
      <c r="AFU268" s="18"/>
      <c r="AFV268" s="18"/>
      <c r="AFW268" s="18"/>
      <c r="AFX268" s="18"/>
      <c r="AFY268" s="18"/>
      <c r="AFZ268" s="18"/>
      <c r="AGA268" s="18"/>
      <c r="AGB268" s="18"/>
      <c r="AGC268" s="18"/>
      <c r="AGD268" s="18"/>
      <c r="AGE268" s="18"/>
      <c r="AGF268" s="18"/>
      <c r="AGG268" s="18"/>
      <c r="AGH268" s="18"/>
      <c r="AGI268" s="18"/>
      <c r="AGJ268" s="18"/>
      <c r="AGK268" s="18"/>
      <c r="AGL268" s="18"/>
      <c r="AGM268" s="18"/>
      <c r="AGN268" s="18"/>
      <c r="AGO268" s="18"/>
      <c r="AGP268" s="18"/>
      <c r="AGQ268" s="18"/>
      <c r="AGR268" s="18"/>
      <c r="AGS268" s="18"/>
      <c r="AGT268" s="18"/>
      <c r="AGU268" s="18"/>
      <c r="AGV268" s="18"/>
      <c r="AGW268" s="18"/>
      <c r="AGX268" s="18"/>
      <c r="AGY268" s="18"/>
      <c r="AGZ268" s="18"/>
      <c r="AHA268" s="18"/>
      <c r="AHB268" s="18"/>
      <c r="AHC268" s="18"/>
      <c r="AHD268" s="18"/>
      <c r="AHE268" s="18"/>
      <c r="AHF268" s="18"/>
      <c r="AHG268" s="18"/>
      <c r="AHH268" s="18"/>
      <c r="AHI268" s="18"/>
      <c r="AHJ268" s="18"/>
      <c r="AHK268" s="18"/>
      <c r="AHL268" s="18"/>
      <c r="AHM268" s="18"/>
      <c r="AHN268" s="18"/>
      <c r="AHO268" s="18"/>
      <c r="AHP268" s="18"/>
      <c r="AHQ268" s="18"/>
      <c r="AHR268" s="18"/>
      <c r="AHS268" s="18"/>
      <c r="AHT268" s="18"/>
      <c r="AHU268" s="18"/>
      <c r="AHV268" s="18"/>
      <c r="AHW268" s="18"/>
      <c r="AHX268" s="18"/>
      <c r="AHY268" s="18"/>
      <c r="AHZ268" s="18"/>
      <c r="AIA268" s="18"/>
      <c r="AIB268" s="18"/>
      <c r="AIC268" s="18"/>
      <c r="AID268" s="18"/>
      <c r="AIE268" s="18"/>
      <c r="AIF268" s="18"/>
      <c r="AIG268" s="18"/>
      <c r="AIH268" s="18"/>
      <c r="AII268" s="18"/>
      <c r="AIJ268" s="18"/>
      <c r="AIK268" s="18"/>
      <c r="AIL268" s="18"/>
      <c r="AIM268" s="18"/>
      <c r="AIN268" s="18"/>
      <c r="AIO268" s="18"/>
      <c r="AIP268" s="18"/>
      <c r="AIQ268" s="18"/>
      <c r="AIR268" s="18"/>
      <c r="AIS268" s="18"/>
      <c r="AIT268" s="18"/>
      <c r="AIU268" s="18"/>
      <c r="AIV268" s="18"/>
      <c r="AIW268" s="18"/>
      <c r="AIX268" s="18"/>
      <c r="AIY268" s="18"/>
      <c r="AIZ268" s="18"/>
      <c r="AJA268" s="18"/>
      <c r="AJB268" s="18"/>
      <c r="AJC268" s="18"/>
      <c r="AJD268" s="18"/>
      <c r="AJE268" s="18"/>
      <c r="AJF268" s="18"/>
      <c r="AJG268" s="18"/>
      <c r="AJH268" s="18"/>
      <c r="AJI268" s="18"/>
      <c r="AJJ268" s="18"/>
      <c r="AJK268" s="18"/>
      <c r="AJL268" s="18"/>
      <c r="AJM268" s="18"/>
      <c r="AJN268" s="18"/>
      <c r="AJO268" s="18"/>
      <c r="AJP268" s="18"/>
      <c r="AJQ268" s="18"/>
      <c r="AJR268" s="18"/>
      <c r="AJS268" s="18"/>
      <c r="AJT268" s="18"/>
      <c r="AJU268" s="18"/>
      <c r="AJV268" s="18"/>
      <c r="AJW268" s="18"/>
      <c r="AJX268" s="18"/>
      <c r="AJY268" s="18"/>
      <c r="AJZ268" s="18"/>
      <c r="AKA268" s="18"/>
      <c r="AKB268" s="18"/>
      <c r="AKC268" s="18"/>
      <c r="AKD268" s="18"/>
      <c r="AKE268" s="18"/>
      <c r="AKF268" s="18"/>
      <c r="AKG268" s="18"/>
      <c r="AKH268" s="18"/>
      <c r="AKI268" s="18"/>
      <c r="AKJ268" s="18"/>
      <c r="AKK268" s="18"/>
      <c r="AKL268" s="18"/>
      <c r="AKM268" s="18"/>
      <c r="AKN268" s="18"/>
      <c r="AKO268" s="18"/>
      <c r="AKP268" s="18"/>
      <c r="AKQ268" s="18"/>
      <c r="AKR268" s="18"/>
      <c r="AKS268" s="18"/>
      <c r="AKT268" s="18"/>
      <c r="AKU268" s="18"/>
      <c r="AKV268" s="18"/>
      <c r="AKW268" s="18"/>
      <c r="AKX268" s="18"/>
      <c r="AKY268" s="18"/>
      <c r="AKZ268" s="18"/>
      <c r="ALA268" s="18"/>
      <c r="ALB268" s="18"/>
      <c r="ALC268" s="18"/>
      <c r="ALD268" s="18"/>
      <c r="ALE268" s="18"/>
      <c r="ALF268" s="18"/>
      <c r="ALG268" s="18"/>
      <c r="ALH268" s="18"/>
      <c r="ALI268" s="18"/>
      <c r="ALJ268" s="18"/>
      <c r="ALK268" s="18"/>
      <c r="ALL268" s="18"/>
      <c r="ALM268" s="18"/>
      <c r="ALN268" s="18"/>
      <c r="ALO268" s="18"/>
      <c r="ALP268" s="18"/>
      <c r="ALQ268" s="18"/>
      <c r="ALR268" s="18"/>
      <c r="ALS268" s="18"/>
      <c r="ALT268" s="18"/>
      <c r="ALU268" s="18"/>
      <c r="ALV268" s="18"/>
      <c r="ALW268" s="18"/>
      <c r="ALX268" s="18"/>
      <c r="ALY268" s="18"/>
      <c r="ALZ268" s="18"/>
      <c r="AMA268" s="18"/>
      <c r="AMB268" s="18"/>
      <c r="AMC268" s="18"/>
      <c r="AMD268" s="18"/>
      <c r="AME268" s="18"/>
      <c r="AMF268" s="18"/>
      <c r="AMG268" s="18"/>
      <c r="AMH268" s="18"/>
      <c r="AMI268" s="18"/>
      <c r="AMJ268" s="18"/>
      <c r="AMK268" s="18"/>
      <c r="AML268" s="18"/>
      <c r="AMM268" s="18"/>
      <c r="AMN268" s="18"/>
      <c r="AMO268" s="18"/>
      <c r="AMP268" s="18"/>
      <c r="AMQ268" s="18"/>
      <c r="AMR268" s="18"/>
      <c r="AMS268" s="18"/>
      <c r="AMT268" s="18"/>
      <c r="AMU268" s="18"/>
      <c r="AMV268" s="18"/>
      <c r="AMW268" s="18"/>
      <c r="AMX268" s="18"/>
      <c r="AMY268" s="18"/>
      <c r="AMZ268" s="18"/>
      <c r="ANA268" s="18"/>
      <c r="ANB268" s="18"/>
      <c r="ANC268" s="18"/>
      <c r="AND268" s="18"/>
      <c r="ANE268" s="18"/>
      <c r="ANF268" s="18"/>
      <c r="ANG268" s="18"/>
      <c r="ANH268" s="18"/>
      <c r="ANI268" s="18"/>
      <c r="ANJ268" s="18"/>
      <c r="ANK268" s="18"/>
      <c r="ANL268" s="18"/>
      <c r="ANM268" s="18"/>
      <c r="ANN268" s="18"/>
      <c r="ANO268" s="18"/>
      <c r="ANP268" s="18"/>
      <c r="ANQ268" s="18"/>
      <c r="ANR268" s="18"/>
      <c r="ANS268" s="18"/>
      <c r="ANT268" s="18"/>
      <c r="ANU268" s="18"/>
      <c r="ANV268" s="18"/>
      <c r="ANW268" s="18"/>
      <c r="ANX268" s="18"/>
      <c r="ANY268" s="18"/>
      <c r="ANZ268" s="18"/>
      <c r="AOA268" s="18"/>
      <c r="AOB268" s="18"/>
      <c r="AOC268" s="18"/>
      <c r="AOD268" s="18"/>
      <c r="AOE268" s="18"/>
      <c r="AOF268" s="18"/>
      <c r="AOG268" s="18"/>
      <c r="AOH268" s="18"/>
      <c r="AOI268" s="18"/>
      <c r="AOJ268" s="18"/>
      <c r="AOK268" s="18"/>
      <c r="AOL268" s="18"/>
      <c r="AOM268" s="18"/>
      <c r="AON268" s="18"/>
      <c r="AOO268" s="18"/>
      <c r="AOP268" s="18"/>
      <c r="AOQ268" s="18"/>
      <c r="AOR268" s="18"/>
      <c r="AOS268" s="18"/>
      <c r="AOT268" s="18"/>
      <c r="AOU268" s="18"/>
      <c r="AOV268" s="18"/>
      <c r="AOW268" s="18"/>
      <c r="AOX268" s="18"/>
      <c r="AOY268" s="18"/>
      <c r="AOZ268" s="18"/>
      <c r="APA268" s="18"/>
      <c r="APB268" s="18"/>
      <c r="APC268" s="18"/>
      <c r="APD268" s="18"/>
      <c r="APE268" s="18"/>
      <c r="APF268" s="18"/>
      <c r="APG268" s="18"/>
      <c r="APH268" s="18"/>
      <c r="API268" s="18"/>
      <c r="APJ268" s="18"/>
      <c r="APK268" s="18"/>
      <c r="APL268" s="18"/>
      <c r="APM268" s="18"/>
      <c r="APN268" s="18"/>
      <c r="APO268" s="18"/>
      <c r="APP268" s="18"/>
      <c r="APQ268" s="18"/>
      <c r="APR268" s="18"/>
      <c r="APS268" s="18"/>
      <c r="APT268" s="18"/>
      <c r="APU268" s="18"/>
      <c r="APV268" s="18"/>
      <c r="APW268" s="18"/>
      <c r="APX268" s="18"/>
      <c r="APY268" s="18"/>
      <c r="APZ268" s="18"/>
      <c r="AQA268" s="18"/>
      <c r="AQB268" s="18"/>
      <c r="AQC268" s="18"/>
      <c r="AQD268" s="18"/>
      <c r="AQE268" s="18"/>
      <c r="AQF268" s="18"/>
      <c r="AQG268" s="18"/>
      <c r="AQH268" s="18"/>
      <c r="AQI268" s="18"/>
      <c r="AQJ268" s="18"/>
      <c r="AQK268" s="18"/>
      <c r="AQL268" s="18"/>
      <c r="AQM268" s="18"/>
      <c r="AQN268" s="18"/>
      <c r="AQO268" s="18"/>
      <c r="AQP268" s="18"/>
      <c r="AQQ268" s="18"/>
      <c r="AQR268" s="18"/>
      <c r="AQS268" s="18"/>
      <c r="AQT268" s="18"/>
      <c r="AQU268" s="18"/>
      <c r="AQV268" s="18"/>
      <c r="AQW268" s="18"/>
      <c r="AQX268" s="18"/>
      <c r="AQY268" s="18"/>
      <c r="AQZ268" s="18"/>
      <c r="ARA268" s="18"/>
      <c r="ARB268" s="18"/>
      <c r="ARC268" s="18"/>
      <c r="ARD268" s="18"/>
      <c r="ARE268" s="18"/>
      <c r="ARF268" s="18"/>
      <c r="ARG268" s="18"/>
      <c r="ARH268" s="18"/>
      <c r="ARI268" s="18"/>
      <c r="ARJ268" s="18"/>
      <c r="ARK268" s="18"/>
      <c r="ARL268" s="18"/>
      <c r="ARM268" s="18"/>
      <c r="ARN268" s="18"/>
      <c r="ARO268" s="18"/>
      <c r="ARP268" s="18"/>
      <c r="ARQ268" s="18"/>
      <c r="ARR268" s="18"/>
      <c r="ARS268" s="18"/>
      <c r="ART268" s="18"/>
      <c r="ARU268" s="18"/>
      <c r="ARV268" s="18"/>
      <c r="ARW268" s="18"/>
      <c r="ARX268" s="18"/>
      <c r="ARY268" s="18"/>
      <c r="ARZ268" s="18"/>
      <c r="ASA268" s="18"/>
      <c r="ASB268" s="18"/>
      <c r="ASC268" s="18"/>
      <c r="ASD268" s="18"/>
      <c r="ASE268" s="18"/>
      <c r="ASF268" s="18"/>
      <c r="ASG268" s="18"/>
      <c r="ASH268" s="18"/>
      <c r="ASI268" s="18"/>
      <c r="ASJ268" s="18"/>
      <c r="ASK268" s="18"/>
      <c r="ASL268" s="18"/>
      <c r="ASM268" s="18"/>
      <c r="ASN268" s="18"/>
      <c r="ASO268" s="18"/>
      <c r="ASP268" s="18"/>
      <c r="ASQ268" s="18"/>
      <c r="ASR268" s="18"/>
      <c r="ASS268" s="18"/>
      <c r="AST268" s="18"/>
      <c r="ASU268" s="18"/>
      <c r="ASV268" s="18"/>
      <c r="ASW268" s="18"/>
      <c r="ASX268" s="18"/>
      <c r="ASY268" s="18"/>
      <c r="ASZ268" s="18"/>
      <c r="ATA268" s="18"/>
      <c r="ATB268" s="18"/>
      <c r="ATC268" s="18"/>
      <c r="ATD268" s="18"/>
      <c r="ATE268" s="18"/>
      <c r="ATF268" s="18"/>
      <c r="ATG268" s="18"/>
      <c r="ATH268" s="18"/>
      <c r="ATI268" s="18"/>
      <c r="ATJ268" s="18"/>
      <c r="ATK268" s="18"/>
      <c r="ATL268" s="18"/>
      <c r="ATM268" s="18"/>
      <c r="ATN268" s="18"/>
      <c r="ATO268" s="18"/>
      <c r="ATP268" s="18"/>
      <c r="ATQ268" s="18"/>
      <c r="ATR268" s="18"/>
      <c r="ATS268" s="18"/>
      <c r="ATT268" s="18"/>
      <c r="ATU268" s="18"/>
      <c r="ATV268" s="18"/>
      <c r="ATW268" s="18"/>
      <c r="ATX268" s="18"/>
      <c r="ATY268" s="18"/>
      <c r="ATZ268" s="18"/>
      <c r="AUA268" s="18"/>
      <c r="AUB268" s="18"/>
      <c r="AUC268" s="18"/>
      <c r="AUD268" s="18"/>
      <c r="AUE268" s="18"/>
      <c r="AUF268" s="18"/>
      <c r="AUG268" s="18"/>
      <c r="AUH268" s="18"/>
      <c r="AUI268" s="18"/>
      <c r="AUJ268" s="18"/>
      <c r="AUK268" s="18"/>
      <c r="AUL268" s="18"/>
      <c r="AUM268" s="18"/>
      <c r="AUN268" s="18"/>
      <c r="AUO268" s="18"/>
      <c r="AUP268" s="18"/>
      <c r="AUQ268" s="18"/>
      <c r="AUR268" s="18"/>
      <c r="AUS268" s="18"/>
      <c r="AUT268" s="18"/>
      <c r="AUU268" s="18"/>
      <c r="AUV268" s="18"/>
      <c r="AUW268" s="18"/>
      <c r="AUX268" s="18"/>
      <c r="AUY268" s="18"/>
      <c r="AUZ268" s="18"/>
      <c r="AVA268" s="18"/>
      <c r="AVB268" s="18"/>
      <c r="AVC268" s="18"/>
      <c r="AVD268" s="18"/>
      <c r="AVE268" s="18"/>
      <c r="AVF268" s="18"/>
      <c r="AVG268" s="18"/>
      <c r="AVH268" s="18"/>
      <c r="AVI268" s="18"/>
      <c r="AVJ268" s="18"/>
      <c r="AVK268" s="18"/>
      <c r="AVL268" s="18"/>
      <c r="AVM268" s="18"/>
      <c r="AVN268" s="18"/>
      <c r="AVO268" s="18"/>
      <c r="AVP268" s="18"/>
      <c r="AVQ268" s="18"/>
      <c r="AVR268" s="18"/>
      <c r="AVS268" s="18"/>
      <c r="AVT268" s="18"/>
      <c r="AVU268" s="18"/>
      <c r="AVV268" s="18"/>
      <c r="AVW268" s="18"/>
      <c r="AVX268" s="18"/>
      <c r="AVY268" s="18"/>
      <c r="AVZ268" s="18"/>
      <c r="AWA268" s="18"/>
      <c r="AWB268" s="18"/>
      <c r="AWC268" s="18"/>
      <c r="AWD268" s="18"/>
      <c r="AWE268" s="18"/>
      <c r="AWF268" s="18"/>
      <c r="AWG268" s="18"/>
      <c r="AWH268" s="18"/>
      <c r="AWI268" s="18"/>
      <c r="AWJ268" s="18"/>
      <c r="AWK268" s="18"/>
      <c r="AWL268" s="18"/>
      <c r="AWM268" s="18"/>
      <c r="AWN268" s="18"/>
      <c r="AWO268" s="18"/>
      <c r="AWP268" s="18"/>
      <c r="AWQ268" s="18"/>
      <c r="AWR268" s="18"/>
      <c r="AWS268" s="18"/>
      <c r="AWT268" s="18"/>
      <c r="AWU268" s="18"/>
      <c r="AWV268" s="18"/>
      <c r="AWW268" s="18"/>
      <c r="AWX268" s="18"/>
      <c r="AWY268" s="18"/>
      <c r="AWZ268" s="18"/>
      <c r="AXA268" s="18"/>
      <c r="AXB268" s="18"/>
      <c r="AXC268" s="18"/>
      <c r="AXD268" s="18"/>
      <c r="AXE268" s="18"/>
      <c r="AXF268" s="18"/>
      <c r="AXG268" s="18"/>
      <c r="AXH268" s="18"/>
      <c r="AXI268" s="18"/>
      <c r="AXJ268" s="18"/>
      <c r="AXK268" s="18"/>
      <c r="AXL268" s="18"/>
      <c r="AXM268" s="18"/>
      <c r="AXN268" s="18"/>
      <c r="AXO268" s="18"/>
      <c r="AXP268" s="18"/>
      <c r="AXQ268" s="18"/>
      <c r="AXR268" s="18"/>
      <c r="AXS268" s="18"/>
      <c r="AXT268" s="18"/>
      <c r="AXU268" s="18"/>
      <c r="AXV268" s="18"/>
      <c r="AXW268" s="18"/>
      <c r="AXX268" s="18"/>
      <c r="AXY268" s="18"/>
      <c r="AXZ268" s="18"/>
      <c r="AYA268" s="18"/>
      <c r="AYB268" s="18"/>
      <c r="AYC268" s="18"/>
      <c r="AYD268" s="18"/>
      <c r="AYE268" s="18"/>
      <c r="AYF268" s="18"/>
      <c r="AYG268" s="18"/>
      <c r="AYH268" s="18"/>
      <c r="AYI268" s="18"/>
      <c r="AYJ268" s="18"/>
      <c r="AYK268" s="18"/>
      <c r="AYL268" s="18"/>
      <c r="AYM268" s="18"/>
      <c r="AYN268" s="18"/>
      <c r="AYO268" s="18"/>
      <c r="AYP268" s="18"/>
      <c r="AYQ268" s="18"/>
      <c r="AYR268" s="18"/>
      <c r="AYS268" s="18"/>
      <c r="AYT268" s="18"/>
      <c r="AYU268" s="18"/>
      <c r="AYV268" s="18"/>
      <c r="AYW268" s="18"/>
      <c r="AYX268" s="18"/>
      <c r="AYY268" s="18"/>
      <c r="AYZ268" s="18"/>
      <c r="AZA268" s="18"/>
      <c r="AZB268" s="18"/>
      <c r="AZC268" s="18"/>
      <c r="AZD268" s="18"/>
      <c r="AZE268" s="18"/>
      <c r="AZF268" s="18"/>
      <c r="AZG268" s="18"/>
      <c r="AZH268" s="18"/>
      <c r="AZI268" s="18"/>
      <c r="AZJ268" s="18"/>
      <c r="AZK268" s="18"/>
      <c r="AZL268" s="18"/>
      <c r="AZM268" s="18"/>
      <c r="AZN268" s="18"/>
      <c r="AZO268" s="18"/>
      <c r="AZP268" s="18"/>
      <c r="AZQ268" s="18"/>
      <c r="AZR268" s="18"/>
      <c r="AZS268" s="18"/>
      <c r="AZT268" s="18"/>
      <c r="AZU268" s="18"/>
      <c r="AZV268" s="18"/>
      <c r="AZW268" s="18"/>
      <c r="AZX268" s="18"/>
      <c r="AZY268" s="18"/>
      <c r="AZZ268" s="18"/>
      <c r="BAA268" s="18"/>
      <c r="BAB268" s="18"/>
      <c r="BAC268" s="18"/>
      <c r="BAD268" s="18"/>
      <c r="BAE268" s="18"/>
      <c r="BAF268" s="18"/>
      <c r="BAG268" s="18"/>
      <c r="BAH268" s="18"/>
      <c r="BAI268" s="18"/>
      <c r="BAJ268" s="18"/>
      <c r="BAK268" s="18"/>
      <c r="BAL268" s="18"/>
      <c r="BAM268" s="18"/>
      <c r="BAN268" s="18"/>
      <c r="BAO268" s="18"/>
      <c r="BAP268" s="18"/>
      <c r="BAQ268" s="18"/>
      <c r="BAR268" s="18"/>
      <c r="BAS268" s="18"/>
      <c r="BAT268" s="18"/>
      <c r="BAU268" s="18"/>
      <c r="BAV268" s="18"/>
      <c r="BAW268" s="18"/>
      <c r="BAX268" s="18"/>
      <c r="BAY268" s="18"/>
      <c r="BAZ268" s="18"/>
      <c r="BBA268" s="18"/>
      <c r="BBB268" s="18"/>
      <c r="BBC268" s="18"/>
      <c r="BBD268" s="18"/>
      <c r="BBE268" s="18"/>
      <c r="BBF268" s="18"/>
      <c r="BBG268" s="18"/>
      <c r="BBH268" s="18"/>
      <c r="BBI268" s="18"/>
      <c r="BBJ268" s="18"/>
      <c r="BBK268" s="18"/>
      <c r="BBL268" s="18"/>
      <c r="BBM268" s="18"/>
      <c r="BBN268" s="18"/>
      <c r="BBO268" s="18"/>
      <c r="BBP268" s="18"/>
      <c r="BBQ268" s="18"/>
      <c r="BBR268" s="18"/>
      <c r="BBS268" s="18"/>
      <c r="BBT268" s="18"/>
      <c r="BBU268" s="18"/>
      <c r="BBV268" s="18"/>
      <c r="BBW268" s="18"/>
      <c r="BBX268" s="18"/>
      <c r="BBY268" s="18"/>
      <c r="BBZ268" s="18"/>
      <c r="BCA268" s="18"/>
      <c r="BCB268" s="18"/>
      <c r="BCC268" s="18"/>
      <c r="BCD268" s="18"/>
      <c r="BCE268" s="18"/>
      <c r="BCF268" s="18"/>
      <c r="BCG268" s="18"/>
      <c r="BCH268" s="18"/>
      <c r="BCI268" s="18"/>
      <c r="BCJ268" s="18"/>
      <c r="BCK268" s="18"/>
      <c r="BCL268" s="18"/>
      <c r="BCM268" s="18"/>
      <c r="BCN268" s="18"/>
      <c r="BCO268" s="18"/>
      <c r="BCP268" s="18"/>
      <c r="BCQ268" s="18"/>
      <c r="BCR268" s="18"/>
      <c r="BCS268" s="18"/>
      <c r="BCT268" s="18"/>
      <c r="BCU268" s="18"/>
      <c r="BCV268" s="18"/>
      <c r="BCW268" s="18"/>
      <c r="BCX268" s="18"/>
      <c r="BCY268" s="18"/>
      <c r="BCZ268" s="18"/>
      <c r="BDA268" s="18"/>
      <c r="BDB268" s="18"/>
      <c r="BDC268" s="18"/>
      <c r="BDD268" s="18"/>
      <c r="BDE268" s="18"/>
      <c r="BDF268" s="18"/>
      <c r="BDG268" s="18"/>
      <c r="BDH268" s="18"/>
      <c r="BDI268" s="18"/>
      <c r="BDJ268" s="18"/>
      <c r="BDK268" s="18"/>
      <c r="BDL268" s="18"/>
      <c r="BDM268" s="18"/>
      <c r="BDN268" s="18"/>
      <c r="BDO268" s="18"/>
      <c r="BDP268" s="18"/>
      <c r="BDQ268" s="18"/>
      <c r="BDR268" s="18"/>
      <c r="BDS268" s="18"/>
      <c r="BDT268" s="18"/>
      <c r="BDU268" s="18"/>
      <c r="BDV268" s="18"/>
      <c r="BDW268" s="18"/>
      <c r="BDX268" s="18"/>
      <c r="BDY268" s="18"/>
      <c r="BDZ268" s="18"/>
      <c r="BEA268" s="18"/>
      <c r="BEB268" s="18"/>
      <c r="BEC268" s="18"/>
      <c r="BED268" s="18"/>
      <c r="BEE268" s="18"/>
      <c r="BEF268" s="18"/>
      <c r="BEG268" s="18"/>
      <c r="BEH268" s="18"/>
      <c r="BEI268" s="18"/>
      <c r="BEJ268" s="18"/>
      <c r="BEK268" s="18"/>
      <c r="BEL268" s="18"/>
      <c r="BEM268" s="18"/>
      <c r="BEN268" s="18"/>
      <c r="BEO268" s="18"/>
      <c r="BEP268" s="18"/>
      <c r="BEQ268" s="18"/>
      <c r="BER268" s="18"/>
      <c r="BES268" s="18"/>
      <c r="BET268" s="18"/>
      <c r="BEU268" s="18"/>
      <c r="BEV268" s="18"/>
      <c r="BEW268" s="18"/>
      <c r="BEX268" s="18"/>
      <c r="BEY268" s="18"/>
      <c r="BEZ268" s="18"/>
      <c r="BFA268" s="18"/>
      <c r="BFB268" s="18"/>
      <c r="BFC268" s="18"/>
      <c r="BFD268" s="18"/>
      <c r="BFE268" s="18"/>
      <c r="BFF268" s="18"/>
      <c r="BFG268" s="18"/>
      <c r="BFH268" s="18"/>
      <c r="BFI268" s="18"/>
      <c r="BFJ268" s="18"/>
      <c r="BFK268" s="18"/>
      <c r="BFL268" s="18"/>
      <c r="BFM268" s="18"/>
      <c r="BFN268" s="18"/>
      <c r="BFO268" s="18"/>
      <c r="BFP268" s="18"/>
      <c r="BFQ268" s="18"/>
      <c r="BFR268" s="18"/>
      <c r="BFS268" s="18"/>
      <c r="BFT268" s="18"/>
      <c r="BFU268" s="18"/>
      <c r="BFV268" s="18"/>
      <c r="BFW268" s="18"/>
      <c r="BFX268" s="18"/>
      <c r="BFY268" s="18"/>
      <c r="BFZ268" s="18"/>
      <c r="BGA268" s="18"/>
      <c r="BGB268" s="18"/>
      <c r="BGC268" s="18"/>
      <c r="BGD268" s="18"/>
      <c r="BGE268" s="18"/>
      <c r="BGF268" s="18"/>
      <c r="BGG268" s="18"/>
      <c r="BGH268" s="18"/>
      <c r="BGI268" s="18"/>
      <c r="BGJ268" s="18"/>
      <c r="BGK268" s="18"/>
      <c r="BGL268" s="18"/>
      <c r="BGM268" s="18"/>
      <c r="BGN268" s="18"/>
      <c r="BGO268" s="18"/>
      <c r="BGP268" s="18"/>
      <c r="BGQ268" s="18"/>
      <c r="BGR268" s="18"/>
      <c r="BGS268" s="18"/>
      <c r="BGT268" s="18"/>
      <c r="BGU268" s="18"/>
      <c r="BGV268" s="18"/>
      <c r="BGW268" s="18"/>
      <c r="BGX268" s="18"/>
      <c r="BGY268" s="18"/>
      <c r="BGZ268" s="18"/>
      <c r="BHA268" s="18"/>
      <c r="BHB268" s="18"/>
      <c r="BHC268" s="18"/>
      <c r="BHD268" s="18"/>
      <c r="BHE268" s="18"/>
      <c r="BHF268" s="18"/>
      <c r="BHG268" s="18"/>
      <c r="BHH268" s="18"/>
      <c r="BHI268" s="18"/>
      <c r="BHJ268" s="18"/>
      <c r="BHK268" s="18"/>
      <c r="BHL268" s="18"/>
      <c r="BHM268" s="18"/>
      <c r="BHN268" s="18"/>
      <c r="BHO268" s="18"/>
      <c r="BHP268" s="18"/>
      <c r="BHQ268" s="18"/>
      <c r="BHR268" s="18"/>
      <c r="BHS268" s="18"/>
      <c r="BHT268" s="18"/>
      <c r="BHU268" s="18"/>
      <c r="BHV268" s="18"/>
      <c r="BHW268" s="18"/>
      <c r="BHX268" s="18"/>
      <c r="BHY268" s="18"/>
      <c r="BHZ268" s="18"/>
      <c r="BIA268" s="18"/>
      <c r="BIB268" s="18"/>
      <c r="BIC268" s="18"/>
      <c r="BID268" s="18"/>
      <c r="BIE268" s="18"/>
      <c r="BIF268" s="18"/>
      <c r="BIG268" s="18"/>
      <c r="BIH268" s="18"/>
      <c r="BII268" s="18"/>
      <c r="BIJ268" s="18"/>
      <c r="BIK268" s="18"/>
      <c r="BIL268" s="18"/>
      <c r="BIM268" s="18"/>
      <c r="BIN268" s="18"/>
      <c r="BIO268" s="18"/>
      <c r="BIP268" s="18"/>
      <c r="BIQ268" s="18"/>
      <c r="BIR268" s="18"/>
      <c r="BIS268" s="18"/>
      <c r="BIT268" s="18"/>
      <c r="BIU268" s="18"/>
      <c r="BIV268" s="18"/>
      <c r="BIW268" s="18"/>
      <c r="BIX268" s="18"/>
      <c r="BIY268" s="18"/>
      <c r="BIZ268" s="18"/>
      <c r="BJA268" s="18"/>
      <c r="BJB268" s="18"/>
      <c r="BJC268" s="18"/>
      <c r="BJD268" s="18"/>
      <c r="BJE268" s="18"/>
      <c r="BJF268" s="18"/>
      <c r="BJG268" s="18"/>
      <c r="BJH268" s="18"/>
      <c r="BJI268" s="18"/>
      <c r="BJJ268" s="18"/>
      <c r="BJK268" s="18"/>
      <c r="BJL268" s="18"/>
      <c r="BJM268" s="18"/>
      <c r="BJN268" s="18"/>
      <c r="BJO268" s="18"/>
      <c r="BJP268" s="18"/>
      <c r="BJQ268" s="18"/>
      <c r="BJR268" s="18"/>
      <c r="BJS268" s="18"/>
      <c r="BJT268" s="18"/>
      <c r="BJU268" s="18"/>
      <c r="BJV268" s="18"/>
      <c r="BJW268" s="18"/>
      <c r="BJX268" s="18"/>
      <c r="BJY268" s="18"/>
      <c r="BJZ268" s="18"/>
      <c r="BKA268" s="18"/>
      <c r="BKB268" s="18"/>
      <c r="BKC268" s="18"/>
      <c r="BKD268" s="18"/>
      <c r="BKE268" s="18"/>
      <c r="BKF268" s="18"/>
      <c r="BKG268" s="18"/>
      <c r="BKH268" s="18"/>
      <c r="BKI268" s="18"/>
      <c r="BKJ268" s="18"/>
      <c r="BKK268" s="18"/>
      <c r="BKL268" s="18"/>
      <c r="BKM268" s="18"/>
      <c r="BKN268" s="18"/>
      <c r="BKO268" s="18"/>
      <c r="BKP268" s="18"/>
      <c r="BKQ268" s="18"/>
      <c r="BKR268" s="18"/>
      <c r="BKS268" s="18"/>
      <c r="BKT268" s="18"/>
      <c r="BKU268" s="18"/>
      <c r="BKV268" s="18"/>
      <c r="BKW268" s="18"/>
      <c r="BKX268" s="18"/>
      <c r="BKY268" s="18"/>
      <c r="BKZ268" s="18"/>
      <c r="BLA268" s="18"/>
      <c r="BLB268" s="18"/>
      <c r="BLC268" s="18"/>
      <c r="BLD268" s="18"/>
      <c r="BLE268" s="18"/>
      <c r="BLF268" s="18"/>
      <c r="BLG268" s="18"/>
      <c r="BLH268" s="18"/>
      <c r="BLI268" s="18"/>
      <c r="BLJ268" s="18"/>
      <c r="BLK268" s="18"/>
      <c r="BLL268" s="18"/>
      <c r="BLM268" s="18"/>
      <c r="BLN268" s="18"/>
      <c r="BLO268" s="18"/>
      <c r="BLP268" s="18"/>
      <c r="BLQ268" s="18"/>
      <c r="BLR268" s="18"/>
      <c r="BLS268" s="18"/>
      <c r="BLT268" s="18"/>
      <c r="BLU268" s="18"/>
      <c r="BLV268" s="18"/>
      <c r="BLW268" s="18"/>
      <c r="BLX268" s="18"/>
      <c r="BLY268" s="18"/>
      <c r="BLZ268" s="18"/>
      <c r="BMA268" s="18"/>
      <c r="BMB268" s="18"/>
      <c r="BMC268" s="18"/>
      <c r="BMD268" s="18"/>
      <c r="BME268" s="18"/>
      <c r="BMF268" s="18"/>
      <c r="BMG268" s="18"/>
      <c r="BMH268" s="18"/>
      <c r="BMI268" s="18"/>
      <c r="BMJ268" s="18"/>
      <c r="BMK268" s="18"/>
      <c r="BML268" s="18"/>
      <c r="BMM268" s="18"/>
      <c r="BMN268" s="18"/>
      <c r="BMO268" s="18"/>
      <c r="BMP268" s="18"/>
      <c r="BMQ268" s="18"/>
      <c r="BMR268" s="18"/>
      <c r="BMS268" s="18"/>
      <c r="BMT268" s="18"/>
      <c r="BMU268" s="18"/>
      <c r="BMV268" s="18"/>
      <c r="BMW268" s="18"/>
      <c r="BMX268" s="18"/>
      <c r="BMY268" s="18"/>
      <c r="BMZ268" s="18"/>
      <c r="BNA268" s="18"/>
      <c r="BNB268" s="18"/>
      <c r="BNC268" s="18"/>
      <c r="BND268" s="18"/>
      <c r="BNE268" s="18"/>
      <c r="BNF268" s="18"/>
      <c r="BNG268" s="18"/>
      <c r="BNH268" s="18"/>
      <c r="BNI268" s="18"/>
      <c r="BNJ268" s="18"/>
      <c r="BNK268" s="18"/>
      <c r="BNL268" s="18"/>
      <c r="BNM268" s="18"/>
      <c r="BNN268" s="18"/>
      <c r="BNO268" s="18"/>
      <c r="BNP268" s="18"/>
      <c r="BNQ268" s="18"/>
      <c r="BNR268" s="18"/>
      <c r="BNS268" s="18"/>
      <c r="BNT268" s="18"/>
      <c r="BNU268" s="18"/>
      <c r="BNV268" s="18"/>
      <c r="BNW268" s="18"/>
      <c r="BNX268" s="18"/>
      <c r="BNY268" s="18"/>
      <c r="BNZ268" s="18"/>
      <c r="BOA268" s="18"/>
      <c r="BOB268" s="18"/>
      <c r="BOC268" s="18"/>
      <c r="BOD268" s="18"/>
      <c r="BOE268" s="18"/>
      <c r="BOF268" s="18"/>
      <c r="BOG268" s="18"/>
      <c r="BOH268" s="18"/>
      <c r="BOI268" s="18"/>
      <c r="BOJ268" s="18"/>
      <c r="BOK268" s="18"/>
      <c r="BOL268" s="18"/>
      <c r="BOM268" s="18"/>
      <c r="BON268" s="18"/>
      <c r="BOO268" s="18"/>
      <c r="BOP268" s="18"/>
      <c r="BOQ268" s="18"/>
      <c r="BOR268" s="18"/>
      <c r="BOS268" s="18"/>
      <c r="BOT268" s="18"/>
      <c r="BOU268" s="18"/>
      <c r="BOV268" s="18"/>
      <c r="BOW268" s="18"/>
      <c r="BOX268" s="18"/>
      <c r="BOY268" s="18"/>
      <c r="BOZ268" s="18"/>
      <c r="BPA268" s="18"/>
      <c r="BPB268" s="18"/>
      <c r="BPC268" s="18"/>
      <c r="BPD268" s="18"/>
      <c r="BPE268" s="18"/>
      <c r="BPF268" s="18"/>
      <c r="BPG268" s="18"/>
      <c r="BPH268" s="18"/>
      <c r="BPI268" s="18"/>
      <c r="BPJ268" s="18"/>
      <c r="BPK268" s="18"/>
      <c r="BPL268" s="18"/>
      <c r="BPM268" s="18"/>
      <c r="BPN268" s="18"/>
      <c r="BPO268" s="18"/>
      <c r="BPP268" s="18"/>
      <c r="BPQ268" s="18"/>
      <c r="BPR268" s="18"/>
      <c r="BPS268" s="18"/>
      <c r="BPT268" s="18"/>
      <c r="BPU268" s="18"/>
      <c r="BPV268" s="18"/>
      <c r="BPW268" s="18"/>
      <c r="BPX268" s="18"/>
      <c r="BPY268" s="18"/>
      <c r="BPZ268" s="18"/>
      <c r="BQA268" s="18"/>
      <c r="BQB268" s="18"/>
      <c r="BQC268" s="18"/>
      <c r="BQD268" s="18"/>
      <c r="BQE268" s="18"/>
      <c r="BQF268" s="18"/>
      <c r="BQG268" s="18"/>
      <c r="BQH268" s="18"/>
      <c r="BQI268" s="18"/>
      <c r="BQJ268" s="18"/>
      <c r="BQK268" s="18"/>
      <c r="BQL268" s="18"/>
      <c r="BQM268" s="18"/>
      <c r="BQN268" s="18"/>
      <c r="BQO268" s="18"/>
      <c r="BQP268" s="18"/>
      <c r="BQQ268" s="18"/>
      <c r="BQR268" s="18"/>
      <c r="BQS268" s="18"/>
      <c r="BQT268" s="18"/>
      <c r="BQU268" s="18"/>
      <c r="BQV268" s="18"/>
      <c r="BQW268" s="18"/>
      <c r="BQX268" s="18"/>
      <c r="BQY268" s="18"/>
      <c r="BQZ268" s="18"/>
      <c r="BRA268" s="18"/>
      <c r="BRB268" s="18"/>
      <c r="BRC268" s="18"/>
      <c r="BRD268" s="18"/>
      <c r="BRE268" s="18"/>
      <c r="BRF268" s="18"/>
      <c r="BRG268" s="18"/>
      <c r="BRH268" s="18"/>
      <c r="BRI268" s="18"/>
      <c r="BRJ268" s="18"/>
      <c r="BRK268" s="18"/>
      <c r="BRL268" s="18"/>
      <c r="BRM268" s="18"/>
      <c r="BRN268" s="18"/>
      <c r="BRO268" s="18"/>
      <c r="BRP268" s="18"/>
      <c r="BRQ268" s="18"/>
      <c r="BRR268" s="18"/>
      <c r="BRS268" s="18"/>
      <c r="BRT268" s="18"/>
      <c r="BRU268" s="18"/>
      <c r="BRV268" s="18"/>
      <c r="BRW268" s="18"/>
      <c r="BRX268" s="18"/>
      <c r="BRY268" s="18"/>
      <c r="BRZ268" s="18"/>
      <c r="BSA268" s="18"/>
      <c r="BSB268" s="18"/>
      <c r="BSC268" s="18"/>
      <c r="BSD268" s="18"/>
      <c r="BSE268" s="18"/>
      <c r="BSF268" s="18"/>
      <c r="BSG268" s="18"/>
      <c r="BSH268" s="18"/>
      <c r="BSI268" s="18"/>
      <c r="BSJ268" s="18"/>
      <c r="BSK268" s="18"/>
      <c r="BSL268" s="18"/>
      <c r="BSM268" s="18"/>
      <c r="BSN268" s="18"/>
      <c r="BSO268" s="18"/>
      <c r="BSP268" s="18"/>
      <c r="BSQ268" s="18"/>
      <c r="BSR268" s="18"/>
      <c r="BSS268" s="18"/>
      <c r="BST268" s="18"/>
      <c r="BSU268" s="18"/>
      <c r="BSV268" s="18"/>
      <c r="BSW268" s="18"/>
      <c r="BSX268" s="18"/>
      <c r="BSY268" s="18"/>
      <c r="BSZ268" s="18"/>
      <c r="BTA268" s="18"/>
      <c r="BTB268" s="18"/>
      <c r="BTC268" s="18"/>
      <c r="BTD268" s="18"/>
      <c r="BTE268" s="18"/>
      <c r="BTF268" s="18"/>
      <c r="BTG268" s="18"/>
      <c r="BTH268" s="18"/>
      <c r="BTI268" s="18"/>
    </row>
    <row r="269" spans="1:1881" ht="35.25" customHeight="1" x14ac:dyDescent="0.3">
      <c r="A269" s="105"/>
      <c r="B269" s="843" t="s">
        <v>25</v>
      </c>
      <c r="C269" s="844"/>
      <c r="D269" s="846"/>
      <c r="E269" s="858"/>
      <c r="F269" s="859"/>
      <c r="G269" s="828"/>
      <c r="H269" s="17"/>
      <c r="I269" s="77"/>
      <c r="J269" s="567"/>
      <c r="Z269" s="105"/>
      <c r="AA269" s="105"/>
      <c r="AB269" s="105"/>
      <c r="AC269" s="105"/>
      <c r="AD269" s="105"/>
      <c r="AE269" s="105"/>
      <c r="AF269" s="105"/>
      <c r="AG269" s="105"/>
      <c r="AH269" s="105"/>
      <c r="AI269" s="105"/>
      <c r="AJ269" s="105"/>
      <c r="AK269" s="105"/>
      <c r="AL269" s="105"/>
      <c r="AM269" s="105"/>
      <c r="AN269" s="105"/>
      <c r="AO269" s="105"/>
      <c r="AP269" s="105"/>
      <c r="AQ269" s="105"/>
      <c r="AR269" s="105"/>
    </row>
    <row r="270" spans="1:1881" ht="168" customHeight="1" x14ac:dyDescent="0.3">
      <c r="A270" s="122">
        <v>621</v>
      </c>
      <c r="B270" s="122" t="s">
        <v>348</v>
      </c>
      <c r="C270" s="121" t="s">
        <v>404</v>
      </c>
      <c r="D270" s="121" t="s">
        <v>1087</v>
      </c>
      <c r="E270" s="661" t="e">
        <f>HLOOKUP($D$2,'2020 Data(H)'!$C$1:$AI$426,281,FALSE)</f>
        <v>#N/A</v>
      </c>
      <c r="F270" s="286">
        <v>0</v>
      </c>
      <c r="G270" s="760" t="s">
        <v>1088</v>
      </c>
      <c r="Z270" s="122"/>
      <c r="AA270" s="122"/>
      <c r="AB270" s="122"/>
      <c r="AC270" s="122"/>
      <c r="AD270" s="122"/>
      <c r="AE270" s="122"/>
      <c r="AF270" s="122"/>
      <c r="AG270" s="122"/>
      <c r="AH270" s="122"/>
      <c r="AI270" s="122"/>
      <c r="AJ270" s="122"/>
      <c r="AK270" s="122"/>
      <c r="AL270" s="122"/>
      <c r="AM270" s="122"/>
      <c r="AN270" s="122"/>
      <c r="AO270" s="122"/>
      <c r="AP270" s="122"/>
      <c r="AQ270" s="122"/>
      <c r="AR270" s="122"/>
    </row>
    <row r="271" spans="1:1881" ht="176.25" customHeight="1" x14ac:dyDescent="0.3">
      <c r="A271" s="105">
        <v>547</v>
      </c>
      <c r="B271" s="663"/>
      <c r="C271" s="663" t="s">
        <v>167</v>
      </c>
      <c r="D271" s="660" t="s">
        <v>307</v>
      </c>
      <c r="E271" s="661" t="e">
        <f>HLOOKUP($D$2,'2020 Data(H)'!$C$1:$AI$426,197,FALSE)</f>
        <v>#N/A</v>
      </c>
      <c r="F271" s="730"/>
      <c r="G271" s="759" t="str">
        <f>IF(F271&lt;1,"Please answer this question","")</f>
        <v>Please answer this question</v>
      </c>
      <c r="H271" s="723"/>
      <c r="I271" s="724"/>
      <c r="Z271" s="105"/>
      <c r="AA271" s="105"/>
      <c r="AB271" s="105"/>
      <c r="AC271" s="105"/>
      <c r="AD271" s="105"/>
      <c r="AE271" s="105"/>
      <c r="AF271" s="105"/>
      <c r="AG271" s="105"/>
      <c r="AH271" s="105"/>
      <c r="AI271" s="105"/>
      <c r="AJ271" s="105"/>
      <c r="AK271" s="105"/>
      <c r="AL271" s="105"/>
      <c r="AM271" s="105"/>
      <c r="AN271" s="105"/>
      <c r="AO271" s="105"/>
      <c r="AP271" s="105"/>
      <c r="AQ271" s="105"/>
      <c r="AR271" s="105"/>
    </row>
    <row r="272" spans="1:1881" s="18" customFormat="1" ht="221.25" customHeight="1" x14ac:dyDescent="0.3">
      <c r="A272" s="300">
        <v>659</v>
      </c>
      <c r="B272" s="804" t="s">
        <v>59</v>
      </c>
      <c r="C272" s="804" t="s">
        <v>389</v>
      </c>
      <c r="D272" s="303" t="s">
        <v>1089</v>
      </c>
      <c r="E272" s="661" t="e">
        <f>HLOOKUP($D$2,'2020 Data(H)'!$C$1:$AI$426,312,FALSE)</f>
        <v>#N/A</v>
      </c>
      <c r="F272" s="287">
        <v>0</v>
      </c>
      <c r="G272" s="760" t="s">
        <v>1090</v>
      </c>
      <c r="H272" s="722"/>
      <c r="I272" s="365"/>
      <c r="N272" s="288"/>
      <c r="Z272" s="300"/>
      <c r="AA272" s="300"/>
      <c r="AB272" s="300"/>
      <c r="AC272" s="300"/>
      <c r="AD272" s="300"/>
      <c r="AE272" s="300"/>
      <c r="AF272" s="300"/>
      <c r="AG272" s="300"/>
      <c r="AH272" s="300"/>
      <c r="AI272" s="300"/>
      <c r="AJ272" s="300"/>
      <c r="AK272" s="300"/>
      <c r="AL272" s="300"/>
      <c r="AM272" s="300"/>
      <c r="AN272" s="300"/>
      <c r="AO272" s="300"/>
      <c r="AP272" s="300"/>
      <c r="AQ272" s="300"/>
      <c r="AR272" s="300"/>
    </row>
    <row r="273" spans="1:44" ht="65.25" customHeight="1" x14ac:dyDescent="0.3">
      <c r="A273" s="300">
        <v>660</v>
      </c>
      <c r="B273" s="804" t="s">
        <v>59</v>
      </c>
      <c r="C273" s="804" t="s">
        <v>389</v>
      </c>
      <c r="D273" s="303" t="s">
        <v>1091</v>
      </c>
      <c r="E273" s="661" t="e">
        <f>HLOOKUP($D$2,'2020 Data(H)'!$C$1:$AI$426,313,FALSE)</f>
        <v>#N/A</v>
      </c>
      <c r="F273" s="287">
        <v>0</v>
      </c>
      <c r="G273" s="760" t="str">
        <f>IF(ISBLANK(F273),"Please do not leave blank","")</f>
        <v/>
      </c>
      <c r="H273" s="722">
        <f>IF(F270&lt;0,"Note: Number is normally positive.",)</f>
        <v>0</v>
      </c>
      <c r="I273" s="17"/>
      <c r="Z273" s="300"/>
      <c r="AA273" s="300"/>
      <c r="AB273" s="300"/>
      <c r="AC273" s="300"/>
      <c r="AD273" s="300"/>
      <c r="AE273" s="300"/>
      <c r="AF273" s="300"/>
      <c r="AG273" s="300"/>
      <c r="AH273" s="300"/>
      <c r="AI273" s="300"/>
      <c r="AJ273" s="300"/>
      <c r="AK273" s="300"/>
      <c r="AL273" s="300"/>
      <c r="AM273" s="300"/>
      <c r="AN273" s="300"/>
      <c r="AO273" s="300"/>
      <c r="AP273" s="300"/>
      <c r="AQ273" s="300"/>
      <c r="AR273" s="300"/>
    </row>
    <row r="274" spans="1:44" ht="94.5" customHeight="1" x14ac:dyDescent="0.3">
      <c r="A274" s="300">
        <v>661</v>
      </c>
      <c r="B274" s="804" t="s">
        <v>59</v>
      </c>
      <c r="C274" s="804" t="s">
        <v>393</v>
      </c>
      <c r="D274" s="628" t="s">
        <v>1092</v>
      </c>
      <c r="E274" s="367" t="e">
        <f>HLOOKUP($D$2,'2020 Data(H)'!$C$1:$AI$426,314,FALSE)</f>
        <v>#N/A</v>
      </c>
      <c r="F274" s="265">
        <v>0</v>
      </c>
      <c r="G274" s="760" t="str">
        <f>IF(ISBLANK(F274),"Please do not leave blank ",IF(F274=H274,"","Please review percentage"))</f>
        <v/>
      </c>
      <c r="H274" s="761">
        <f>ROUND(IFERROR((F273/F272)*100,0),1)</f>
        <v>0</v>
      </c>
      <c r="I274" s="761"/>
      <c r="Z274" s="300"/>
      <c r="AA274" s="300"/>
      <c r="AB274" s="300"/>
      <c r="AC274" s="300"/>
      <c r="AD274" s="300"/>
      <c r="AE274" s="300"/>
      <c r="AF274" s="300"/>
      <c r="AG274" s="300"/>
      <c r="AH274" s="300"/>
      <c r="AI274" s="300"/>
      <c r="AJ274" s="300"/>
      <c r="AK274" s="300"/>
      <c r="AL274" s="300"/>
      <c r="AM274" s="300"/>
      <c r="AN274" s="300"/>
      <c r="AO274" s="300"/>
      <c r="AP274" s="300"/>
      <c r="AQ274" s="300"/>
      <c r="AR274" s="300"/>
    </row>
    <row r="275" spans="1:44" ht="111.75" customHeight="1" x14ac:dyDescent="0.3">
      <c r="A275" s="105"/>
      <c r="B275" s="663"/>
      <c r="C275" s="663"/>
      <c r="D275" s="26" t="s">
        <v>26</v>
      </c>
      <c r="E275" s="665"/>
      <c r="F275" s="668"/>
      <c r="G275" s="760"/>
      <c r="H275" s="761"/>
      <c r="I275" s="762"/>
      <c r="Z275" s="105"/>
      <c r="AA275" s="105"/>
      <c r="AB275" s="105"/>
      <c r="AC275" s="105"/>
      <c r="AD275" s="105"/>
      <c r="AE275" s="105"/>
      <c r="AF275" s="105"/>
      <c r="AG275" s="105"/>
      <c r="AH275" s="105"/>
      <c r="AI275" s="105"/>
      <c r="AJ275" s="105"/>
      <c r="AK275" s="105"/>
      <c r="AL275" s="105"/>
      <c r="AM275" s="105"/>
      <c r="AN275" s="105"/>
      <c r="AO275" s="105"/>
      <c r="AP275" s="105"/>
      <c r="AQ275" s="105"/>
      <c r="AR275" s="105"/>
    </row>
    <row r="276" spans="1:44" ht="32.25" hidden="1" customHeight="1" x14ac:dyDescent="0.3">
      <c r="A276" s="105"/>
      <c r="B276" s="843" t="s">
        <v>27</v>
      </c>
      <c r="C276" s="844"/>
      <c r="D276" s="846"/>
      <c r="E276" s="858"/>
      <c r="F276" s="858"/>
      <c r="G276" s="828"/>
      <c r="H276" s="17"/>
      <c r="I276" s="77"/>
      <c r="Z276" s="105"/>
      <c r="AA276" s="105"/>
      <c r="AB276" s="105"/>
      <c r="AC276" s="105"/>
      <c r="AD276" s="105"/>
      <c r="AE276" s="105"/>
      <c r="AF276" s="105"/>
      <c r="AG276" s="105"/>
      <c r="AH276" s="105"/>
      <c r="AI276" s="105"/>
      <c r="AJ276" s="105"/>
      <c r="AK276" s="105"/>
      <c r="AL276" s="105"/>
      <c r="AM276" s="105"/>
      <c r="AN276" s="105"/>
      <c r="AO276" s="105"/>
      <c r="AP276" s="105"/>
      <c r="AQ276" s="105"/>
      <c r="AR276" s="105"/>
    </row>
    <row r="277" spans="1:44" ht="63.75" hidden="1" customHeight="1" x14ac:dyDescent="0.3">
      <c r="A277" s="32">
        <v>371</v>
      </c>
      <c r="B277" s="4" t="s">
        <v>56</v>
      </c>
      <c r="C277" s="4" t="s">
        <v>168</v>
      </c>
      <c r="D277" s="24" t="s">
        <v>1146</v>
      </c>
      <c r="E277" s="661" t="e">
        <f>HLOOKUP($D$2,'2020 Data(H)'!$C$1:$AI$426,132,FALSE)</f>
        <v>#N/A</v>
      </c>
      <c r="F277" s="287">
        <v>0</v>
      </c>
      <c r="G277" s="722">
        <f>IF(F277&lt;0,"Error: Enter as positive.",)</f>
        <v>0</v>
      </c>
      <c r="H277" s="17"/>
      <c r="I277" s="77"/>
      <c r="Z277" s="32"/>
      <c r="AA277" s="32"/>
      <c r="AB277" s="32"/>
      <c r="AC277" s="32"/>
      <c r="AD277" s="32"/>
      <c r="AE277" s="32"/>
      <c r="AF277" s="32"/>
      <c r="AG277" s="32"/>
      <c r="AH277" s="32"/>
      <c r="AI277" s="32"/>
      <c r="AJ277" s="32"/>
      <c r="AK277" s="32"/>
      <c r="AL277" s="32"/>
      <c r="AM277" s="32"/>
      <c r="AN277" s="32"/>
      <c r="AO277" s="32"/>
      <c r="AP277" s="32"/>
      <c r="AQ277" s="32"/>
      <c r="AR277" s="32"/>
    </row>
    <row r="278" spans="1:44" ht="70.5" hidden="1" customHeight="1" x14ac:dyDescent="0.3">
      <c r="A278" s="105">
        <v>513</v>
      </c>
      <c r="B278" s="803" t="s">
        <v>58</v>
      </c>
      <c r="C278" s="4" t="s">
        <v>168</v>
      </c>
      <c r="D278" s="24" t="s">
        <v>1147</v>
      </c>
      <c r="E278" s="661" t="e">
        <f>HLOOKUP($D$2,'2020 Data(H)'!$C$1:$AI$426,163,FALSE)</f>
        <v>#N/A</v>
      </c>
      <c r="F278" s="287">
        <v>0</v>
      </c>
      <c r="G278" s="722">
        <f>IF(F278&lt;0,"Error: Enter as positive.",)</f>
        <v>0</v>
      </c>
      <c r="H278" s="723"/>
      <c r="I278" s="724"/>
      <c r="Z278" s="105"/>
      <c r="AA278" s="105"/>
      <c r="AB278" s="105"/>
      <c r="AC278" s="105"/>
      <c r="AD278" s="105"/>
      <c r="AE278" s="105"/>
      <c r="AF278" s="105"/>
      <c r="AG278" s="105"/>
      <c r="AH278" s="105"/>
      <c r="AI278" s="105"/>
      <c r="AJ278" s="105"/>
      <c r="AK278" s="105"/>
      <c r="AL278" s="105"/>
      <c r="AM278" s="105"/>
      <c r="AN278" s="105"/>
      <c r="AO278" s="105"/>
      <c r="AP278" s="105"/>
      <c r="AQ278" s="105"/>
      <c r="AR278" s="105"/>
    </row>
    <row r="279" spans="1:44" ht="80.25" hidden="1" customHeight="1" x14ac:dyDescent="0.3">
      <c r="A279" s="105">
        <v>514</v>
      </c>
      <c r="B279" s="803" t="s">
        <v>58</v>
      </c>
      <c r="C279" s="4" t="s">
        <v>168</v>
      </c>
      <c r="D279" s="24" t="s">
        <v>1148</v>
      </c>
      <c r="E279" s="661" t="e">
        <f>HLOOKUP($D$2,'2020 Data(H)'!$C$1:$AI$426,164,FALSE)</f>
        <v>#N/A</v>
      </c>
      <c r="F279" s="287">
        <v>0</v>
      </c>
      <c r="G279" s="722">
        <f>IF(F279&lt;0,"Error: Enter as positive.",)</f>
        <v>0</v>
      </c>
      <c r="H279" s="17"/>
      <c r="I279" s="724"/>
      <c r="Z279" s="105"/>
      <c r="AA279" s="105"/>
      <c r="AB279" s="105"/>
      <c r="AC279" s="105"/>
      <c r="AD279" s="105"/>
      <c r="AE279" s="105"/>
      <c r="AF279" s="105"/>
      <c r="AG279" s="105"/>
      <c r="AH279" s="105"/>
      <c r="AI279" s="105"/>
      <c r="AJ279" s="105"/>
      <c r="AK279" s="105"/>
      <c r="AL279" s="105"/>
      <c r="AM279" s="105"/>
      <c r="AN279" s="105"/>
      <c r="AO279" s="105"/>
      <c r="AP279" s="105"/>
      <c r="AQ279" s="105"/>
      <c r="AR279" s="105"/>
    </row>
    <row r="280" spans="1:44" ht="80.25" hidden="1" customHeight="1" x14ac:dyDescent="0.3">
      <c r="A280" s="105">
        <v>990</v>
      </c>
      <c r="B280" s="810" t="s">
        <v>721</v>
      </c>
      <c r="C280" s="807" t="s">
        <v>168</v>
      </c>
      <c r="D280" s="744" t="s">
        <v>722</v>
      </c>
      <c r="E280" s="663" t="s">
        <v>698</v>
      </c>
      <c r="F280" s="287">
        <v>0</v>
      </c>
      <c r="G280" s="722"/>
      <c r="H280" s="17"/>
      <c r="I280" s="724"/>
      <c r="Z280" s="105"/>
      <c r="AA280" s="105"/>
      <c r="AB280" s="105"/>
      <c r="AC280" s="105"/>
      <c r="AD280" s="105"/>
      <c r="AE280" s="105"/>
      <c r="AF280" s="105"/>
      <c r="AG280" s="105"/>
      <c r="AH280" s="105"/>
      <c r="AI280" s="105"/>
      <c r="AJ280" s="105"/>
      <c r="AK280" s="105"/>
      <c r="AL280" s="105"/>
      <c r="AM280" s="105"/>
      <c r="AN280" s="105"/>
      <c r="AO280" s="105"/>
      <c r="AP280" s="105"/>
      <c r="AQ280" s="105"/>
      <c r="AR280" s="105"/>
    </row>
    <row r="281" spans="1:44" ht="32.25" customHeight="1" x14ac:dyDescent="0.3">
      <c r="A281" s="105"/>
      <c r="B281" s="843" t="s">
        <v>28</v>
      </c>
      <c r="C281" s="844"/>
      <c r="D281" s="846"/>
      <c r="E281" s="858"/>
      <c r="F281" s="828"/>
      <c r="G281" s="828"/>
      <c r="H281" s="17"/>
      <c r="I281" s="77"/>
      <c r="Z281" s="105"/>
      <c r="AA281" s="105"/>
      <c r="AB281" s="105"/>
      <c r="AC281" s="105"/>
      <c r="AD281" s="105"/>
      <c r="AE281" s="105"/>
      <c r="AF281" s="105"/>
      <c r="AG281" s="105"/>
      <c r="AH281" s="105"/>
      <c r="AI281" s="105"/>
      <c r="AJ281" s="105"/>
      <c r="AK281" s="105"/>
      <c r="AL281" s="105"/>
      <c r="AM281" s="105"/>
      <c r="AN281" s="105"/>
      <c r="AO281" s="105"/>
      <c r="AP281" s="105"/>
      <c r="AQ281" s="105"/>
      <c r="AR281" s="105"/>
    </row>
    <row r="282" spans="1:44" ht="68.25" customHeight="1" x14ac:dyDescent="0.3">
      <c r="A282" s="105">
        <v>6</v>
      </c>
      <c r="B282" s="4" t="s">
        <v>55</v>
      </c>
      <c r="C282" s="4" t="s">
        <v>169</v>
      </c>
      <c r="D282" s="24" t="s">
        <v>1149</v>
      </c>
      <c r="E282" s="661" t="e">
        <f>HLOOKUP($D$2,'2020 Data(H)'!$C$1:$AI$426,5,FALSE)</f>
        <v>#N/A</v>
      </c>
      <c r="F282" s="287">
        <v>0</v>
      </c>
      <c r="G282" s="722">
        <f>IF(F282&lt;0,"Error: Enter as positive.",)</f>
        <v>0</v>
      </c>
      <c r="H282" s="17"/>
      <c r="I282" s="77"/>
      <c r="J282" s="567"/>
      <c r="Z282" s="105"/>
      <c r="AA282" s="105"/>
      <c r="AB282" s="105"/>
      <c r="AC282" s="105"/>
      <c r="AD282" s="105"/>
      <c r="AE282" s="105"/>
      <c r="AF282" s="105"/>
      <c r="AG282" s="105"/>
      <c r="AH282" s="105"/>
      <c r="AI282" s="105"/>
      <c r="AJ282" s="105"/>
      <c r="AK282" s="105"/>
      <c r="AL282" s="105"/>
      <c r="AM282" s="105"/>
      <c r="AN282" s="105"/>
      <c r="AO282" s="105"/>
      <c r="AP282" s="105"/>
      <c r="AQ282" s="105"/>
      <c r="AR282" s="105"/>
    </row>
    <row r="283" spans="1:44" ht="33" hidden="1" customHeight="1" x14ac:dyDescent="0.3">
      <c r="A283" s="105"/>
      <c r="B283" s="843" t="s">
        <v>180</v>
      </c>
      <c r="C283" s="844"/>
      <c r="D283" s="846"/>
      <c r="E283" s="860"/>
      <c r="F283" s="838"/>
      <c r="G283" s="838"/>
      <c r="H283" s="723"/>
      <c r="I283" s="724"/>
      <c r="J283" s="567"/>
      <c r="Z283" s="105"/>
      <c r="AA283" s="105"/>
      <c r="AB283" s="105"/>
      <c r="AC283" s="105"/>
      <c r="AD283" s="105"/>
      <c r="AE283" s="105"/>
      <c r="AF283" s="105"/>
      <c r="AG283" s="105"/>
      <c r="AH283" s="105"/>
      <c r="AI283" s="105"/>
      <c r="AJ283" s="105"/>
      <c r="AK283" s="105"/>
      <c r="AL283" s="105"/>
      <c r="AM283" s="105"/>
      <c r="AN283" s="105"/>
      <c r="AO283" s="105"/>
      <c r="AP283" s="105"/>
      <c r="AQ283" s="105"/>
      <c r="AR283" s="105"/>
    </row>
    <row r="284" spans="1:44" ht="141" hidden="1" customHeight="1" x14ac:dyDescent="0.3">
      <c r="A284" s="105">
        <v>541</v>
      </c>
      <c r="B284" s="663" t="s">
        <v>59</v>
      </c>
      <c r="C284" s="663" t="s">
        <v>1150</v>
      </c>
      <c r="D284" s="660" t="s">
        <v>1151</v>
      </c>
      <c r="E284" s="661" t="e">
        <f>HLOOKUP($D$2,'2020 Data(H)'!$C$1:$AI$426,191,FALSE)</f>
        <v>#N/A</v>
      </c>
      <c r="F284" s="287">
        <v>0</v>
      </c>
      <c r="G284" s="722"/>
      <c r="H284" s="723"/>
      <c r="I284" s="724"/>
      <c r="J284" s="567"/>
      <c r="Z284" s="105"/>
      <c r="AA284" s="105"/>
      <c r="AB284" s="105"/>
      <c r="AC284" s="105"/>
      <c r="AD284" s="105"/>
      <c r="AE284" s="105"/>
      <c r="AF284" s="105"/>
      <c r="AG284" s="105"/>
      <c r="AH284" s="105"/>
      <c r="AI284" s="105"/>
      <c r="AJ284" s="105"/>
      <c r="AK284" s="105"/>
      <c r="AL284" s="105"/>
      <c r="AM284" s="105"/>
      <c r="AN284" s="105"/>
      <c r="AO284" s="105"/>
      <c r="AP284" s="105"/>
      <c r="AQ284" s="105"/>
      <c r="AR284" s="105"/>
    </row>
    <row r="285" spans="1:44" ht="28.5" hidden="1" customHeight="1" x14ac:dyDescent="0.3">
      <c r="A285" s="105"/>
      <c r="B285" s="844" t="s">
        <v>50</v>
      </c>
      <c r="C285" s="844"/>
      <c r="D285" s="846"/>
      <c r="E285" s="860"/>
      <c r="F285" s="856"/>
      <c r="G285" s="856"/>
      <c r="H285" s="723"/>
      <c r="I285" s="724"/>
      <c r="Z285" s="105"/>
      <c r="AA285" s="105"/>
      <c r="AB285" s="105"/>
      <c r="AC285" s="105"/>
      <c r="AD285" s="105"/>
      <c r="AE285" s="105"/>
      <c r="AF285" s="105"/>
      <c r="AG285" s="105"/>
      <c r="AH285" s="105"/>
      <c r="AI285" s="105"/>
      <c r="AJ285" s="105"/>
      <c r="AK285" s="105"/>
      <c r="AL285" s="105"/>
      <c r="AM285" s="105"/>
      <c r="AN285" s="105"/>
      <c r="AO285" s="105"/>
      <c r="AP285" s="105"/>
      <c r="AQ285" s="105"/>
      <c r="AR285" s="105"/>
    </row>
    <row r="286" spans="1:44" ht="77.25" hidden="1" customHeight="1" x14ac:dyDescent="0.3">
      <c r="A286" s="105">
        <v>542</v>
      </c>
      <c r="B286" s="663" t="s">
        <v>59</v>
      </c>
      <c r="C286" s="811" t="s">
        <v>1152</v>
      </c>
      <c r="D286" s="28" t="s">
        <v>170</v>
      </c>
      <c r="E286" s="661" t="e">
        <f>HLOOKUP($D$2,'2020 Data(H)'!$C$1:$AI$426,192,FALSE)</f>
        <v>#N/A</v>
      </c>
      <c r="F286" s="287">
        <v>0</v>
      </c>
      <c r="G286" s="722"/>
      <c r="H286" s="723"/>
      <c r="I286" s="763"/>
      <c r="Z286" s="105"/>
      <c r="AA286" s="105"/>
      <c r="AB286" s="105"/>
      <c r="AC286" s="105"/>
      <c r="AD286" s="105"/>
      <c r="AE286" s="105"/>
      <c r="AF286" s="105"/>
      <c r="AG286" s="105"/>
      <c r="AH286" s="105"/>
      <c r="AI286" s="105"/>
      <c r="AJ286" s="105"/>
      <c r="AK286" s="105"/>
      <c r="AL286" s="105"/>
      <c r="AM286" s="105"/>
      <c r="AN286" s="105"/>
      <c r="AO286" s="105"/>
      <c r="AP286" s="105"/>
      <c r="AQ286" s="105"/>
      <c r="AR286" s="105"/>
    </row>
    <row r="287" spans="1:44" ht="24.75" hidden="1" customHeight="1" x14ac:dyDescent="0.3">
      <c r="A287" s="105"/>
      <c r="B287" s="843" t="s">
        <v>1153</v>
      </c>
      <c r="C287" s="843"/>
      <c r="D287" s="819"/>
      <c r="E287" s="820"/>
      <c r="F287" s="840"/>
      <c r="G287" s="840"/>
      <c r="H287" s="17"/>
      <c r="I287" s="77"/>
      <c r="Z287" s="105"/>
      <c r="AA287" s="105"/>
      <c r="AB287" s="105"/>
      <c r="AC287" s="105"/>
      <c r="AD287" s="105"/>
      <c r="AE287" s="105"/>
      <c r="AF287" s="105"/>
      <c r="AG287" s="105"/>
      <c r="AH287" s="105"/>
      <c r="AI287" s="105"/>
      <c r="AJ287" s="105"/>
      <c r="AK287" s="105"/>
      <c r="AL287" s="105"/>
      <c r="AM287" s="105"/>
      <c r="AN287" s="105"/>
      <c r="AO287" s="105"/>
      <c r="AP287" s="105"/>
      <c r="AQ287" s="105"/>
      <c r="AR287" s="105"/>
    </row>
    <row r="288" spans="1:44" ht="25.5" hidden="1" customHeight="1" x14ac:dyDescent="0.3">
      <c r="A288" s="105"/>
      <c r="B288" s="861" t="s">
        <v>12</v>
      </c>
      <c r="C288" s="861"/>
      <c r="D288" s="819"/>
      <c r="E288" s="820"/>
      <c r="F288" s="862"/>
      <c r="G288" s="840"/>
      <c r="H288" s="17"/>
      <c r="I288" s="77"/>
      <c r="Z288" s="105"/>
      <c r="AA288" s="105"/>
      <c r="AB288" s="105"/>
      <c r="AC288" s="105"/>
      <c r="AD288" s="105"/>
      <c r="AE288" s="105"/>
      <c r="AF288" s="105"/>
      <c r="AG288" s="105"/>
      <c r="AH288" s="105"/>
      <c r="AI288" s="105"/>
      <c r="AJ288" s="105"/>
      <c r="AK288" s="105"/>
      <c r="AL288" s="105"/>
      <c r="AM288" s="105"/>
      <c r="AN288" s="105"/>
      <c r="AO288" s="105"/>
      <c r="AP288" s="105"/>
      <c r="AQ288" s="105"/>
      <c r="AR288" s="105"/>
    </row>
    <row r="289" spans="1:44" ht="77.25" hidden="1" customHeight="1" x14ac:dyDescent="0.3">
      <c r="A289" s="33">
        <v>528</v>
      </c>
      <c r="B289" s="663" t="s">
        <v>55</v>
      </c>
      <c r="C289" s="4" t="s">
        <v>171</v>
      </c>
      <c r="D289" s="600" t="s">
        <v>1179</v>
      </c>
      <c r="E289" s="661" t="e">
        <f>HLOOKUP($D$2,'2020 Data(H)'!$C$1:$AI$426,178,FALSE)</f>
        <v>#N/A</v>
      </c>
      <c r="F289" s="287">
        <v>0</v>
      </c>
      <c r="G289" s="722">
        <f>IF(F289="","Error: Unit must enter this information if they levy taxes.",)</f>
        <v>0</v>
      </c>
      <c r="H289" s="764"/>
      <c r="I289" s="77"/>
      <c r="J289" s="765"/>
      <c r="Z289" s="33"/>
      <c r="AA289" s="33"/>
      <c r="AB289" s="33"/>
      <c r="AC289" s="33"/>
      <c r="AD289" s="33"/>
      <c r="AE289" s="33"/>
      <c r="AF289" s="33"/>
      <c r="AG289" s="33"/>
      <c r="AH289" s="33"/>
      <c r="AI289" s="33"/>
      <c r="AJ289" s="33"/>
      <c r="AK289" s="33"/>
      <c r="AL289" s="33"/>
      <c r="AM289" s="33"/>
      <c r="AN289" s="33"/>
      <c r="AO289" s="33"/>
      <c r="AP289" s="33"/>
      <c r="AQ289" s="33"/>
      <c r="AR289" s="33"/>
    </row>
    <row r="290" spans="1:44" ht="69" hidden="1" customHeight="1" x14ac:dyDescent="0.3">
      <c r="A290" s="33">
        <v>529</v>
      </c>
      <c r="B290" s="663" t="s">
        <v>55</v>
      </c>
      <c r="C290" s="4" t="s">
        <v>171</v>
      </c>
      <c r="D290" s="600" t="s">
        <v>1154</v>
      </c>
      <c r="E290" s="661" t="e">
        <f>HLOOKUP($D$2,'2020 Data(H)'!$C$1:$AI$426,179,FALSE)</f>
        <v>#N/A</v>
      </c>
      <c r="F290" s="287">
        <v>0</v>
      </c>
      <c r="G290" s="722">
        <f>IF(F290="","Error: Unit must enter this information if they levy taxes.",)</f>
        <v>0</v>
      </c>
      <c r="H290" s="17"/>
      <c r="I290" s="77"/>
      <c r="Z290" s="33"/>
      <c r="AA290" s="33"/>
      <c r="AB290" s="33"/>
      <c r="AC290" s="33"/>
      <c r="AD290" s="33"/>
      <c r="AE290" s="33"/>
      <c r="AF290" s="33"/>
      <c r="AG290" s="33"/>
      <c r="AH290" s="33"/>
      <c r="AI290" s="33"/>
      <c r="AJ290" s="33"/>
      <c r="AK290" s="33"/>
      <c r="AL290" s="33"/>
      <c r="AM290" s="33"/>
      <c r="AN290" s="33"/>
      <c r="AO290" s="33"/>
      <c r="AP290" s="33"/>
      <c r="AQ290" s="33"/>
      <c r="AR290" s="33"/>
    </row>
    <row r="291" spans="1:44" ht="69" hidden="1" customHeight="1" x14ac:dyDescent="0.3">
      <c r="A291" s="33">
        <v>530</v>
      </c>
      <c r="B291" s="663" t="s">
        <v>55</v>
      </c>
      <c r="C291" s="4" t="s">
        <v>171</v>
      </c>
      <c r="D291" s="812" t="s">
        <v>1155</v>
      </c>
      <c r="E291" s="661" t="e">
        <f>HLOOKUP($D$2,'2020 Data(H)'!$C$1:$AI$426,180,FALSE)</f>
        <v>#N/A</v>
      </c>
      <c r="F291" s="287">
        <v>0</v>
      </c>
      <c r="G291" s="722">
        <f>IF(F291="","Error: Unit must enter this information if they levy taxes.",)</f>
        <v>0</v>
      </c>
      <c r="H291" s="17"/>
      <c r="I291" s="77"/>
      <c r="Z291" s="33"/>
      <c r="AA291" s="33"/>
      <c r="AB291" s="33"/>
      <c r="AC291" s="33"/>
      <c r="AD291" s="33"/>
      <c r="AE291" s="33"/>
      <c r="AF291" s="33"/>
      <c r="AG291" s="33"/>
      <c r="AH291" s="33"/>
      <c r="AI291" s="33"/>
      <c r="AJ291" s="33"/>
      <c r="AK291" s="33"/>
      <c r="AL291" s="33"/>
      <c r="AM291" s="33"/>
      <c r="AN291" s="33"/>
      <c r="AO291" s="33"/>
      <c r="AP291" s="33"/>
      <c r="AQ291" s="33"/>
      <c r="AR291" s="33"/>
    </row>
    <row r="292" spans="1:44" ht="55.5" hidden="1" customHeight="1" x14ac:dyDescent="0.3">
      <c r="A292" s="33">
        <v>531</v>
      </c>
      <c r="B292" s="663" t="s">
        <v>55</v>
      </c>
      <c r="C292" s="4" t="s">
        <v>171</v>
      </c>
      <c r="D292" s="812" t="s">
        <v>1156</v>
      </c>
      <c r="E292" s="661" t="e">
        <f>HLOOKUP($D$2,'2020 Data(H)'!$C$1:$AI$426,181,FALSE)</f>
        <v>#N/A</v>
      </c>
      <c r="F292" s="287">
        <v>0</v>
      </c>
      <c r="G292" s="722">
        <f>IF(F292="","Error: Unit must enter this information if they levy taxes.",)</f>
        <v>0</v>
      </c>
      <c r="H292" s="17"/>
      <c r="I292" s="77"/>
      <c r="Z292" s="33"/>
      <c r="AA292" s="33"/>
      <c r="AB292" s="33"/>
      <c r="AC292" s="33"/>
      <c r="AD292" s="33"/>
      <c r="AE292" s="33"/>
      <c r="AF292" s="33"/>
      <c r="AG292" s="33"/>
      <c r="AH292" s="33"/>
      <c r="AI292" s="33"/>
      <c r="AJ292" s="33"/>
      <c r="AK292" s="33"/>
      <c r="AL292" s="33"/>
      <c r="AM292" s="33"/>
      <c r="AN292" s="33"/>
      <c r="AO292" s="33"/>
      <c r="AP292" s="33"/>
      <c r="AQ292" s="33"/>
      <c r="AR292" s="33"/>
    </row>
    <row r="293" spans="1:44" ht="69" hidden="1" customHeight="1" x14ac:dyDescent="0.3">
      <c r="A293" s="105">
        <v>61</v>
      </c>
      <c r="B293" s="4" t="s">
        <v>59</v>
      </c>
      <c r="C293" s="4" t="s">
        <v>171</v>
      </c>
      <c r="D293" s="28" t="s">
        <v>1157</v>
      </c>
      <c r="E293" s="34" t="e">
        <f>HLOOKUP($D$2,'2020 Data(H)'!$C$1:$AI$426,43,FALSE)</f>
        <v>#N/A</v>
      </c>
      <c r="F293" s="274">
        <v>0</v>
      </c>
      <c r="G293" s="722" t="e">
        <f>IF(F293=H293," ","Please check values in account 528, 529, 530 and  531.")</f>
        <v>#DIV/0!</v>
      </c>
      <c r="H293" s="766" t="e">
        <f>ROUND((F289+F290-F291-F292)/(F289+F290)*100,2)</f>
        <v>#DIV/0!</v>
      </c>
      <c r="I293" s="77"/>
      <c r="Z293" s="105"/>
      <c r="AA293" s="105"/>
      <c r="AB293" s="105"/>
      <c r="AC293" s="105"/>
      <c r="AD293" s="105"/>
      <c r="AE293" s="105"/>
      <c r="AF293" s="105"/>
      <c r="AG293" s="105"/>
      <c r="AH293" s="105"/>
      <c r="AI293" s="105"/>
      <c r="AJ293" s="105"/>
      <c r="AK293" s="105"/>
      <c r="AL293" s="105"/>
      <c r="AM293" s="105"/>
      <c r="AN293" s="105"/>
      <c r="AO293" s="105"/>
      <c r="AP293" s="105"/>
      <c r="AQ293" s="105"/>
      <c r="AR293" s="105"/>
    </row>
    <row r="294" spans="1:44" ht="69" hidden="1" customHeight="1" x14ac:dyDescent="0.3">
      <c r="A294" s="105">
        <v>102</v>
      </c>
      <c r="B294" s="4" t="s">
        <v>59</v>
      </c>
      <c r="C294" s="4" t="s">
        <v>171</v>
      </c>
      <c r="D294" s="58" t="s">
        <v>1158</v>
      </c>
      <c r="E294" s="34" t="e">
        <f>HLOOKUP($D$2,'2020 Data(H)'!$C$1:$AI$426,62,FALSE)</f>
        <v>#N/A</v>
      </c>
      <c r="F294" s="274">
        <v>0</v>
      </c>
      <c r="G294" s="722" t="e">
        <f>IF(F294=H294," ","Please check values in account 528 and 530.")</f>
        <v>#DIV/0!</v>
      </c>
      <c r="H294" s="766" t="e">
        <f>ROUND((F289-F291)/(F289)*100,2)</f>
        <v>#DIV/0!</v>
      </c>
      <c r="I294" s="77"/>
      <c r="Z294" s="105"/>
      <c r="AA294" s="105"/>
      <c r="AB294" s="105"/>
      <c r="AC294" s="105"/>
      <c r="AD294" s="105"/>
      <c r="AE294" s="105"/>
      <c r="AF294" s="105"/>
      <c r="AG294" s="105"/>
      <c r="AH294" s="105"/>
      <c r="AI294" s="105"/>
      <c r="AJ294" s="105"/>
      <c r="AK294" s="105"/>
      <c r="AL294" s="105"/>
      <c r="AM294" s="105"/>
      <c r="AN294" s="105"/>
      <c r="AO294" s="105"/>
      <c r="AP294" s="105"/>
      <c r="AQ294" s="105"/>
      <c r="AR294" s="105"/>
    </row>
    <row r="295" spans="1:44" ht="63.75" hidden="1" customHeight="1" x14ac:dyDescent="0.3">
      <c r="A295" s="105">
        <v>103</v>
      </c>
      <c r="B295" s="4" t="s">
        <v>59</v>
      </c>
      <c r="C295" s="4" t="s">
        <v>171</v>
      </c>
      <c r="D295" s="28" t="s">
        <v>1159</v>
      </c>
      <c r="E295" s="34" t="e">
        <f>HLOOKUP($D$2,'2020 Data(H)'!$C$1:$AI$426,63,FALSE)</f>
        <v>#N/A</v>
      </c>
      <c r="F295" s="274">
        <v>0</v>
      </c>
      <c r="G295" s="722" t="e">
        <f>IF(F295=H295," ","Please check values in account 529 and 531.")</f>
        <v>#DIV/0!</v>
      </c>
      <c r="H295" s="766" t="e">
        <f>ROUND((F290-F292)/F290*100,2)</f>
        <v>#DIV/0!</v>
      </c>
      <c r="I295" s="77"/>
      <c r="M295" s="18" t="s">
        <v>699</v>
      </c>
      <c r="Z295" s="105"/>
      <c r="AA295" s="105"/>
      <c r="AB295" s="105"/>
      <c r="AC295" s="105"/>
      <c r="AD295" s="105"/>
      <c r="AE295" s="105"/>
      <c r="AF295" s="105"/>
      <c r="AG295" s="105"/>
      <c r="AH295" s="105"/>
      <c r="AI295" s="105"/>
      <c r="AJ295" s="105"/>
      <c r="AK295" s="105"/>
      <c r="AL295" s="105"/>
      <c r="AM295" s="105"/>
      <c r="AN295" s="105"/>
      <c r="AO295" s="105"/>
      <c r="AP295" s="105"/>
      <c r="AQ295" s="105"/>
      <c r="AR295" s="105"/>
    </row>
    <row r="296" spans="1:44" ht="72" hidden="1" customHeight="1" x14ac:dyDescent="0.3">
      <c r="A296" s="105">
        <v>544</v>
      </c>
      <c r="B296" s="663" t="s">
        <v>59</v>
      </c>
      <c r="C296" s="663" t="s">
        <v>171</v>
      </c>
      <c r="D296" s="24" t="s">
        <v>1160</v>
      </c>
      <c r="E296" s="35" t="e">
        <f>HLOOKUP($D$2,'2020 Data(H)'!$C$1:$AI$426,194,FALSE)</f>
        <v>#N/A</v>
      </c>
      <c r="F296" s="356">
        <v>0</v>
      </c>
      <c r="G296" s="722"/>
      <c r="H296" s="17"/>
      <c r="I296" s="105"/>
      <c r="J296" s="813"/>
      <c r="M296" s="18" t="s">
        <v>51</v>
      </c>
      <c r="Z296" s="105"/>
      <c r="AA296" s="105"/>
      <c r="AB296" s="105"/>
      <c r="AC296" s="105"/>
      <c r="AD296" s="105"/>
      <c r="AE296" s="105"/>
      <c r="AF296" s="105"/>
      <c r="AG296" s="105"/>
      <c r="AH296" s="105"/>
      <c r="AI296" s="105"/>
      <c r="AJ296" s="105"/>
      <c r="AK296" s="105"/>
      <c r="AL296" s="105"/>
      <c r="AM296" s="105"/>
      <c r="AN296" s="105"/>
      <c r="AO296" s="105"/>
      <c r="AP296" s="105"/>
      <c r="AQ296" s="105"/>
      <c r="AR296" s="105"/>
    </row>
    <row r="297" spans="1:44" ht="73.5" hidden="1" customHeight="1" x14ac:dyDescent="0.3">
      <c r="A297" s="105">
        <v>545</v>
      </c>
      <c r="B297" s="663" t="s">
        <v>59</v>
      </c>
      <c r="C297" s="663" t="s">
        <v>171</v>
      </c>
      <c r="D297" s="24" t="s">
        <v>1161</v>
      </c>
      <c r="E297" s="35"/>
      <c r="F297" s="356">
        <v>0</v>
      </c>
      <c r="G297" s="722"/>
      <c r="H297" s="17"/>
      <c r="I297" s="134"/>
      <c r="J297" s="813"/>
      <c r="M297" s="18" t="s">
        <v>52</v>
      </c>
      <c r="Z297" s="105"/>
      <c r="AA297" s="105"/>
      <c r="AB297" s="105"/>
      <c r="AC297" s="105"/>
      <c r="AD297" s="105"/>
      <c r="AE297" s="105"/>
      <c r="AF297" s="105"/>
      <c r="AG297" s="105"/>
      <c r="AH297" s="105"/>
      <c r="AI297" s="105"/>
      <c r="AJ297" s="105"/>
      <c r="AK297" s="105"/>
      <c r="AL297" s="105"/>
      <c r="AM297" s="105"/>
      <c r="AN297" s="105"/>
      <c r="AO297" s="105"/>
      <c r="AP297" s="105"/>
      <c r="AQ297" s="105"/>
      <c r="AR297" s="105"/>
    </row>
    <row r="298" spans="1:44" ht="51.75" hidden="1" customHeight="1" x14ac:dyDescent="0.3">
      <c r="A298" s="122">
        <v>624</v>
      </c>
      <c r="B298" s="121" t="s">
        <v>59</v>
      </c>
      <c r="C298" s="121"/>
      <c r="D298" s="121" t="s">
        <v>405</v>
      </c>
      <c r="E298" s="35"/>
      <c r="F298" s="264"/>
      <c r="G298" s="759" t="str">
        <f>IF(+F298&lt;1,"Please answer this question","")</f>
        <v>Please answer this question</v>
      </c>
      <c r="H298" s="17"/>
      <c r="I298" s="105"/>
      <c r="J298" s="813"/>
      <c r="M298" s="18" t="s">
        <v>700</v>
      </c>
      <c r="Z298" s="122"/>
      <c r="AA298" s="122"/>
      <c r="AB298" s="122"/>
      <c r="AC298" s="122"/>
      <c r="AD298" s="122"/>
      <c r="AE298" s="122"/>
      <c r="AF298" s="122"/>
      <c r="AG298" s="122"/>
      <c r="AH298" s="122"/>
      <c r="AI298" s="122"/>
      <c r="AJ298" s="122"/>
      <c r="AK298" s="122"/>
      <c r="AL298" s="122"/>
      <c r="AM298" s="122"/>
      <c r="AN298" s="122"/>
      <c r="AO298" s="122"/>
      <c r="AP298" s="122"/>
      <c r="AQ298" s="122"/>
      <c r="AR298" s="122"/>
    </row>
    <row r="299" spans="1:44" ht="70.5" hidden="1" customHeight="1" x14ac:dyDescent="0.3">
      <c r="A299" s="664">
        <v>648</v>
      </c>
      <c r="B299" s="306" t="s">
        <v>803</v>
      </c>
      <c r="C299" s="807" t="s">
        <v>171</v>
      </c>
      <c r="D299" s="306" t="s">
        <v>1071</v>
      </c>
      <c r="E299" s="663" t="s">
        <v>698</v>
      </c>
      <c r="F299" s="356">
        <v>0</v>
      </c>
      <c r="G299" s="759"/>
      <c r="H299" s="17"/>
      <c r="I299" s="105"/>
      <c r="J299" s="813"/>
      <c r="Z299" s="664"/>
      <c r="AA299" s="664"/>
      <c r="AB299" s="664"/>
      <c r="AC299" s="664"/>
      <c r="AD299" s="664"/>
      <c r="AE299" s="664"/>
      <c r="AF299" s="664"/>
      <c r="AG299" s="664"/>
      <c r="AH299" s="664"/>
      <c r="AI299" s="664"/>
      <c r="AJ299" s="664"/>
      <c r="AK299" s="664"/>
      <c r="AL299" s="664"/>
      <c r="AM299" s="664"/>
      <c r="AN299" s="664"/>
      <c r="AO299" s="664"/>
      <c r="AP299" s="664"/>
      <c r="AQ299" s="664"/>
      <c r="AR299" s="664"/>
    </row>
    <row r="300" spans="1:44" ht="171" hidden="1" customHeight="1" x14ac:dyDescent="0.3">
      <c r="A300" s="664">
        <v>991</v>
      </c>
      <c r="B300" s="305" t="s">
        <v>728</v>
      </c>
      <c r="C300" s="306"/>
      <c r="D300" s="767" t="s">
        <v>999</v>
      </c>
      <c r="E300" s="663" t="s">
        <v>698</v>
      </c>
      <c r="F300" s="264"/>
      <c r="G300" s="759"/>
      <c r="H300" s="768" t="s">
        <v>724</v>
      </c>
      <c r="I300" s="247"/>
      <c r="J300" s="813"/>
      <c r="M300" s="18" t="s">
        <v>725</v>
      </c>
      <c r="Z300" s="664"/>
      <c r="AA300" s="664"/>
      <c r="AB300" s="664"/>
      <c r="AC300" s="664"/>
      <c r="AD300" s="664"/>
      <c r="AE300" s="664"/>
      <c r="AF300" s="664"/>
      <c r="AG300" s="664"/>
      <c r="AH300" s="664"/>
      <c r="AI300" s="664"/>
      <c r="AJ300" s="664"/>
      <c r="AK300" s="664"/>
      <c r="AL300" s="664"/>
      <c r="AM300" s="664"/>
      <c r="AN300" s="664"/>
      <c r="AO300" s="664"/>
      <c r="AP300" s="664"/>
      <c r="AQ300" s="664"/>
      <c r="AR300" s="664"/>
    </row>
    <row r="301" spans="1:44" ht="27.75" hidden="1" customHeight="1" x14ac:dyDescent="0.3">
      <c r="A301" s="105"/>
      <c r="B301" s="843" t="s">
        <v>396</v>
      </c>
      <c r="C301" s="843"/>
      <c r="D301" s="843"/>
      <c r="E301" s="863"/>
      <c r="F301" s="863"/>
      <c r="G301" s="864"/>
      <c r="H301" s="17"/>
      <c r="I301" s="105"/>
      <c r="J301" s="813"/>
      <c r="M301" s="18" t="s">
        <v>726</v>
      </c>
      <c r="Z301" s="105"/>
      <c r="AA301" s="105"/>
      <c r="AB301" s="105"/>
      <c r="AC301" s="105"/>
      <c r="AD301" s="105"/>
      <c r="AE301" s="105"/>
      <c r="AF301" s="105"/>
      <c r="AG301" s="105"/>
      <c r="AH301" s="105"/>
      <c r="AI301" s="105"/>
      <c r="AJ301" s="105"/>
      <c r="AK301" s="105"/>
      <c r="AL301" s="105"/>
      <c r="AM301" s="105"/>
      <c r="AN301" s="105"/>
      <c r="AO301" s="105"/>
      <c r="AP301" s="105"/>
      <c r="AQ301" s="105"/>
      <c r="AR301" s="105"/>
    </row>
    <row r="302" spans="1:44" ht="68.25" hidden="1" customHeight="1" x14ac:dyDescent="0.3">
      <c r="A302" s="105">
        <v>620</v>
      </c>
      <c r="B302" s="663" t="s">
        <v>59</v>
      </c>
      <c r="C302" s="663"/>
      <c r="D302" s="24" t="s">
        <v>395</v>
      </c>
      <c r="E302" s="884"/>
      <c r="F302" s="264"/>
      <c r="G302" s="759" t="str">
        <f>IF(F302&lt;1,"Please answer this question","")</f>
        <v>Please answer this question</v>
      </c>
      <c r="H302" s="17"/>
      <c r="I302" s="105"/>
      <c r="J302" s="813"/>
      <c r="M302" s="18" t="s">
        <v>727</v>
      </c>
      <c r="Z302" s="105"/>
      <c r="AA302" s="105"/>
      <c r="AB302" s="105"/>
      <c r="AC302" s="105"/>
      <c r="AD302" s="105"/>
      <c r="AE302" s="105"/>
      <c r="AF302" s="105"/>
      <c r="AG302" s="105"/>
      <c r="AH302" s="105"/>
      <c r="AI302" s="105"/>
      <c r="AJ302" s="105"/>
      <c r="AK302" s="105"/>
      <c r="AL302" s="105"/>
      <c r="AM302" s="105"/>
      <c r="AN302" s="105"/>
      <c r="AO302" s="105"/>
      <c r="AP302" s="105"/>
      <c r="AQ302" s="105"/>
      <c r="AR302" s="105"/>
    </row>
    <row r="303" spans="1:44" ht="123.75" customHeight="1" x14ac:dyDescent="0.3">
      <c r="A303" s="814"/>
      <c r="B303" s="1142" t="s">
        <v>551</v>
      </c>
      <c r="C303" s="1142"/>
      <c r="D303" s="1142"/>
      <c r="E303" s="877"/>
      <c r="F303" s="877"/>
      <c r="G303" s="877"/>
      <c r="H303" s="17"/>
      <c r="I303" s="105"/>
      <c r="J303" s="813"/>
      <c r="M303" s="18" t="s">
        <v>559</v>
      </c>
      <c r="Z303" s="814"/>
      <c r="AA303" s="814"/>
      <c r="AB303" s="814"/>
      <c r="AC303" s="814"/>
      <c r="AD303" s="814"/>
      <c r="AE303" s="814"/>
      <c r="AF303" s="814"/>
      <c r="AG303" s="814"/>
      <c r="AH303" s="814"/>
      <c r="AI303" s="814"/>
      <c r="AJ303" s="814"/>
      <c r="AK303" s="814"/>
      <c r="AL303" s="814"/>
      <c r="AM303" s="814"/>
      <c r="AN303" s="814"/>
      <c r="AO303" s="814"/>
      <c r="AP303" s="814"/>
      <c r="AQ303" s="814"/>
      <c r="AR303" s="814"/>
    </row>
    <row r="304" spans="1:44" ht="63" customHeight="1" x14ac:dyDescent="0.3">
      <c r="A304" s="300">
        <v>947</v>
      </c>
      <c r="B304" s="815"/>
      <c r="C304" s="815"/>
      <c r="D304" s="171" t="s">
        <v>503</v>
      </c>
      <c r="E304" s="666"/>
      <c r="F304" s="769"/>
      <c r="G304" s="759" t="str">
        <f>IF(ISBLANK(F304),"Please do not leave blank","")</f>
        <v>Please do not leave blank</v>
      </c>
      <c r="H304" s="17"/>
      <c r="I304" s="288"/>
      <c r="J304" s="701"/>
      <c r="K304" s="288"/>
      <c r="L304" s="288"/>
      <c r="M304" s="288"/>
      <c r="O304" s="288"/>
      <c r="Z304" s="300"/>
      <c r="AA304" s="300"/>
      <c r="AB304" s="300"/>
      <c r="AC304" s="300"/>
      <c r="AD304" s="300"/>
      <c r="AE304" s="300"/>
      <c r="AF304" s="300"/>
      <c r="AG304" s="300"/>
      <c r="AH304" s="300"/>
      <c r="AI304" s="300"/>
      <c r="AJ304" s="300"/>
      <c r="AK304" s="300"/>
      <c r="AL304" s="300"/>
      <c r="AM304" s="300"/>
      <c r="AN304" s="300"/>
      <c r="AO304" s="300"/>
      <c r="AP304" s="300"/>
      <c r="AQ304" s="300"/>
      <c r="AR304" s="300"/>
    </row>
    <row r="305" spans="1:44" ht="65.25" customHeight="1" x14ac:dyDescent="0.3">
      <c r="A305" s="300">
        <v>948</v>
      </c>
      <c r="B305" s="815"/>
      <c r="C305" s="815"/>
      <c r="D305" s="171" t="s">
        <v>504</v>
      </c>
      <c r="E305" s="666"/>
      <c r="F305" s="769"/>
      <c r="G305" s="759" t="str">
        <f t="shared" ref="G305:G311" si="3">IF(ISBLANK(F305),"Please do not leave blank","")</f>
        <v>Please do not leave blank</v>
      </c>
      <c r="H305" s="17"/>
      <c r="I305" s="288"/>
      <c r="J305" s="701"/>
      <c r="K305" s="288"/>
      <c r="L305" s="288"/>
      <c r="M305" s="288"/>
      <c r="O305" s="288"/>
      <c r="Z305" s="300"/>
      <c r="AA305" s="300"/>
      <c r="AB305" s="300"/>
      <c r="AC305" s="300"/>
      <c r="AD305" s="300"/>
      <c r="AE305" s="300"/>
      <c r="AF305" s="300"/>
      <c r="AG305" s="300"/>
      <c r="AH305" s="300"/>
      <c r="AI305" s="300"/>
      <c r="AJ305" s="300"/>
      <c r="AK305" s="300"/>
      <c r="AL305" s="300"/>
      <c r="AM305" s="300"/>
      <c r="AN305" s="300"/>
      <c r="AO305" s="300"/>
      <c r="AP305" s="300"/>
      <c r="AQ305" s="300"/>
      <c r="AR305" s="300"/>
    </row>
    <row r="306" spans="1:44" ht="76.5" customHeight="1" x14ac:dyDescent="0.3">
      <c r="A306" s="300">
        <v>949</v>
      </c>
      <c r="B306" s="815"/>
      <c r="C306" s="815"/>
      <c r="D306" s="171" t="s">
        <v>505</v>
      </c>
      <c r="E306" s="666"/>
      <c r="F306" s="769"/>
      <c r="G306" s="759" t="str">
        <f t="shared" si="3"/>
        <v>Please do not leave blank</v>
      </c>
      <c r="H306" s="17"/>
      <c r="I306" s="288"/>
      <c r="J306" s="701"/>
      <c r="K306" s="288"/>
      <c r="L306" s="288"/>
      <c r="M306" s="288"/>
      <c r="O306" s="288"/>
      <c r="Z306" s="300"/>
      <c r="AA306" s="300"/>
      <c r="AB306" s="300"/>
      <c r="AC306" s="300"/>
      <c r="AD306" s="300"/>
      <c r="AE306" s="300"/>
      <c r="AF306" s="300"/>
      <c r="AG306" s="300"/>
      <c r="AH306" s="300"/>
      <c r="AI306" s="300"/>
      <c r="AJ306" s="300"/>
      <c r="AK306" s="300"/>
      <c r="AL306" s="300"/>
      <c r="AM306" s="300"/>
      <c r="AN306" s="300"/>
      <c r="AO306" s="300"/>
      <c r="AP306" s="300"/>
      <c r="AQ306" s="300"/>
      <c r="AR306" s="300"/>
    </row>
    <row r="307" spans="1:44" ht="60" customHeight="1" x14ac:dyDescent="0.3">
      <c r="A307" s="300">
        <v>950</v>
      </c>
      <c r="B307" s="815"/>
      <c r="C307" s="815"/>
      <c r="D307" s="171" t="s">
        <v>487</v>
      </c>
      <c r="E307" s="666"/>
      <c r="F307" s="769"/>
      <c r="G307" s="759" t="str">
        <f t="shared" si="3"/>
        <v>Please do not leave blank</v>
      </c>
      <c r="H307" s="17"/>
      <c r="I307" s="288"/>
      <c r="J307" s="701"/>
      <c r="K307" s="288"/>
      <c r="L307" s="288"/>
      <c r="M307" s="288"/>
      <c r="O307" s="288"/>
      <c r="Z307" s="300"/>
      <c r="AA307" s="300"/>
      <c r="AB307" s="300"/>
      <c r="AC307" s="300"/>
      <c r="AD307" s="300"/>
      <c r="AE307" s="300"/>
      <c r="AF307" s="300"/>
      <c r="AG307" s="300"/>
      <c r="AH307" s="300"/>
      <c r="AI307" s="300"/>
      <c r="AJ307" s="300"/>
      <c r="AK307" s="300"/>
      <c r="AL307" s="300"/>
      <c r="AM307" s="300"/>
      <c r="AN307" s="300"/>
      <c r="AO307" s="300"/>
      <c r="AP307" s="300"/>
      <c r="AQ307" s="300"/>
      <c r="AR307" s="300"/>
    </row>
    <row r="308" spans="1:44" ht="72" x14ac:dyDescent="0.3">
      <c r="A308" s="300">
        <v>952</v>
      </c>
      <c r="B308" s="815"/>
      <c r="C308" s="815"/>
      <c r="D308" s="770" t="s">
        <v>1093</v>
      </c>
      <c r="E308" s="666"/>
      <c r="F308" s="771"/>
      <c r="G308" s="759" t="s">
        <v>1180</v>
      </c>
      <c r="H308" s="17"/>
      <c r="I308" s="772"/>
      <c r="J308" s="701"/>
      <c r="K308" s="288"/>
      <c r="L308" s="288"/>
      <c r="M308" s="288"/>
      <c r="O308" s="288"/>
      <c r="Z308" s="300"/>
      <c r="AA308" s="300"/>
      <c r="AB308" s="300"/>
      <c r="AC308" s="300"/>
      <c r="AD308" s="300"/>
      <c r="AE308" s="300"/>
      <c r="AF308" s="300"/>
      <c r="AG308" s="300"/>
      <c r="AH308" s="300"/>
      <c r="AI308" s="300"/>
      <c r="AJ308" s="300"/>
      <c r="AK308" s="300"/>
      <c r="AL308" s="300"/>
      <c r="AM308" s="300"/>
      <c r="AN308" s="300"/>
      <c r="AO308" s="300"/>
      <c r="AP308" s="300"/>
      <c r="AQ308" s="300"/>
      <c r="AR308" s="300"/>
    </row>
    <row r="309" spans="1:44" ht="93" customHeight="1" x14ac:dyDescent="0.3">
      <c r="A309" s="300">
        <v>954</v>
      </c>
      <c r="B309" s="815"/>
      <c r="C309" s="815"/>
      <c r="D309" s="770" t="s">
        <v>488</v>
      </c>
      <c r="E309" s="666"/>
      <c r="F309" s="769"/>
      <c r="G309" s="759" t="str">
        <f t="shared" si="3"/>
        <v>Please do not leave blank</v>
      </c>
      <c r="H309" s="17"/>
      <c r="I309" s="288"/>
      <c r="J309" s="701"/>
      <c r="K309" s="288"/>
      <c r="L309" s="288"/>
      <c r="M309" s="288"/>
      <c r="O309" s="288"/>
      <c r="Z309" s="300"/>
      <c r="AA309" s="300"/>
      <c r="AB309" s="300"/>
      <c r="AC309" s="300"/>
      <c r="AD309" s="300"/>
      <c r="AE309" s="300"/>
      <c r="AF309" s="300"/>
      <c r="AG309" s="300"/>
      <c r="AH309" s="300"/>
      <c r="AI309" s="300"/>
      <c r="AJ309" s="300"/>
      <c r="AK309" s="300"/>
      <c r="AL309" s="300"/>
      <c r="AM309" s="300"/>
      <c r="AN309" s="300"/>
      <c r="AO309" s="300"/>
      <c r="AP309" s="300"/>
      <c r="AQ309" s="300"/>
      <c r="AR309" s="300"/>
    </row>
    <row r="310" spans="1:44" ht="98.25" customHeight="1" x14ac:dyDescent="0.3">
      <c r="A310" s="300">
        <v>956</v>
      </c>
      <c r="B310" s="815"/>
      <c r="C310" s="815"/>
      <c r="D310" s="770" t="s">
        <v>489</v>
      </c>
      <c r="E310" s="666"/>
      <c r="F310" s="769"/>
      <c r="G310" s="759" t="str">
        <f t="shared" si="3"/>
        <v>Please do not leave blank</v>
      </c>
      <c r="H310" s="17"/>
      <c r="I310" s="288"/>
      <c r="J310" s="292"/>
      <c r="K310" s="288"/>
      <c r="L310" s="288"/>
      <c r="M310" s="288"/>
      <c r="O310" s="288"/>
      <c r="Z310" s="300"/>
      <c r="AA310" s="300"/>
      <c r="AB310" s="300"/>
      <c r="AC310" s="300"/>
      <c r="AD310" s="300"/>
      <c r="AE310" s="300"/>
      <c r="AF310" s="300"/>
      <c r="AG310" s="300"/>
      <c r="AH310" s="300"/>
      <c r="AI310" s="300"/>
      <c r="AJ310" s="300"/>
      <c r="AK310" s="300"/>
      <c r="AL310" s="300"/>
      <c r="AM310" s="300"/>
      <c r="AN310" s="300"/>
      <c r="AO310" s="300"/>
      <c r="AP310" s="300"/>
      <c r="AQ310" s="300"/>
      <c r="AR310" s="300"/>
    </row>
    <row r="311" spans="1:44" ht="218.25" customHeight="1" x14ac:dyDescent="0.3">
      <c r="A311" s="300">
        <v>958</v>
      </c>
      <c r="B311" s="815"/>
      <c r="C311" s="815"/>
      <c r="D311" s="767" t="s">
        <v>939</v>
      </c>
      <c r="E311" s="666"/>
      <c r="F311" s="769"/>
      <c r="G311" s="759" t="str">
        <f t="shared" si="3"/>
        <v>Please do not leave blank</v>
      </c>
      <c r="H311" s="17"/>
      <c r="I311" s="288"/>
      <c r="J311" s="288"/>
      <c r="K311" s="288"/>
      <c r="L311" s="288"/>
      <c r="M311" s="288"/>
      <c r="O311" s="288"/>
      <c r="Z311" s="300"/>
      <c r="AA311" s="300"/>
      <c r="AB311" s="300"/>
      <c r="AC311" s="300"/>
      <c r="AD311" s="300"/>
      <c r="AE311" s="300"/>
      <c r="AF311" s="300"/>
      <c r="AG311" s="300"/>
      <c r="AH311" s="300"/>
      <c r="AI311" s="300"/>
      <c r="AJ311" s="300"/>
      <c r="AK311" s="300"/>
      <c r="AL311" s="300"/>
      <c r="AM311" s="300"/>
      <c r="AN311" s="300"/>
      <c r="AO311" s="300"/>
      <c r="AP311" s="300"/>
      <c r="AQ311" s="300"/>
      <c r="AR311" s="300"/>
    </row>
    <row r="312" spans="1:44" ht="15" thickBot="1" x14ac:dyDescent="0.35">
      <c r="A312" s="105"/>
      <c r="B312" s="865"/>
      <c r="C312" s="866"/>
      <c r="D312" s="867" t="s">
        <v>491</v>
      </c>
      <c r="E312" s="851"/>
      <c r="F312" s="868"/>
      <c r="G312" s="869"/>
      <c r="H312" s="870"/>
      <c r="I312" s="288"/>
      <c r="J312" s="288"/>
      <c r="K312" s="288"/>
      <c r="L312" s="288"/>
      <c r="M312" s="288"/>
      <c r="O312" s="288"/>
      <c r="Z312" s="105"/>
      <c r="AA312" s="105"/>
      <c r="AB312" s="105"/>
      <c r="AC312" s="105"/>
      <c r="AD312" s="105"/>
      <c r="AE312" s="105"/>
      <c r="AF312" s="105"/>
      <c r="AG312" s="105"/>
      <c r="AH312" s="105"/>
      <c r="AI312" s="105"/>
      <c r="AJ312" s="105"/>
      <c r="AK312" s="105"/>
      <c r="AL312" s="105"/>
      <c r="AM312" s="105"/>
      <c r="AN312" s="105"/>
      <c r="AO312" s="105"/>
      <c r="AP312" s="105"/>
      <c r="AQ312" s="105"/>
      <c r="AR312" s="105"/>
    </row>
    <row r="313" spans="1:44" ht="15" thickBot="1" x14ac:dyDescent="0.35">
      <c r="B313" s="1139" t="s">
        <v>552</v>
      </c>
      <c r="C313" s="1140"/>
      <c r="D313" s="1140"/>
      <c r="E313" s="1141"/>
      <c r="F313" s="77"/>
      <c r="G313" s="759"/>
      <c r="H313" s="17"/>
      <c r="I313" s="105"/>
      <c r="Z313" s="18"/>
    </row>
    <row r="314" spans="1:44" ht="75.75" customHeight="1" x14ac:dyDescent="0.3">
      <c r="B314" s="1143" t="s">
        <v>553</v>
      </c>
      <c r="C314" s="1143"/>
      <c r="D314" s="1143"/>
      <c r="E314" s="1143"/>
      <c r="F314" s="77"/>
      <c r="G314" s="759"/>
      <c r="H314" s="17"/>
      <c r="I314" s="105"/>
      <c r="Z314" s="18"/>
    </row>
    <row r="315" spans="1:44" ht="15" thickBot="1" x14ac:dyDescent="0.35">
      <c r="A315" s="773"/>
      <c r="B315" s="774"/>
      <c r="C315" s="774"/>
      <c r="D315" s="775"/>
      <c r="E315" s="661"/>
      <c r="F315" s="77"/>
      <c r="G315" s="759"/>
      <c r="H315" s="17"/>
      <c r="I315" s="105"/>
      <c r="Z315" s="773"/>
      <c r="AA315" s="773"/>
      <c r="AB315" s="773"/>
      <c r="AC315" s="773"/>
      <c r="AD315" s="773"/>
      <c r="AE315" s="773"/>
      <c r="AF315" s="773"/>
      <c r="AG315" s="773"/>
      <c r="AH315" s="773"/>
      <c r="AI315" s="773"/>
      <c r="AJ315" s="773"/>
      <c r="AK315" s="773"/>
      <c r="AL315" s="773"/>
      <c r="AM315" s="773"/>
      <c r="AN315" s="773"/>
      <c r="AO315" s="773"/>
      <c r="AP315" s="773"/>
      <c r="AQ315" s="773"/>
      <c r="AR315" s="773"/>
    </row>
    <row r="316" spans="1:44" ht="15" thickBot="1" x14ac:dyDescent="0.35">
      <c r="B316" s="156" t="s">
        <v>469</v>
      </c>
      <c r="C316" s="157" t="s">
        <v>470</v>
      </c>
      <c r="D316" s="776"/>
      <c r="E316" s="777"/>
      <c r="F316" s="98"/>
      <c r="G316" s="759"/>
      <c r="H316" s="17"/>
      <c r="I316" s="105"/>
      <c r="Z316" s="18"/>
    </row>
    <row r="317" spans="1:44" ht="44.25" customHeight="1" thickBot="1" x14ac:dyDescent="0.35">
      <c r="B317" s="160" t="s">
        <v>509</v>
      </c>
      <c r="C317" s="159"/>
      <c r="D317" s="158"/>
      <c r="E317" s="667"/>
      <c r="F317" s="778"/>
      <c r="G317" s="759"/>
      <c r="H317" s="17"/>
      <c r="I317" s="105"/>
      <c r="Z317" s="18"/>
    </row>
    <row r="318" spans="1:44" ht="44.25" customHeight="1" thickBot="1" x14ac:dyDescent="0.35">
      <c r="B318" s="160"/>
      <c r="C318" s="170"/>
      <c r="D318" s="779" t="s">
        <v>541</v>
      </c>
      <c r="E318" s="780"/>
      <c r="F318" s="781"/>
      <c r="G318" s="781"/>
      <c r="H318" s="17"/>
      <c r="I318" s="105"/>
      <c r="Z318" s="18"/>
    </row>
    <row r="319" spans="1:44" ht="64.5" customHeight="1" thickBot="1" x14ac:dyDescent="0.35">
      <c r="A319" s="551">
        <v>960</v>
      </c>
      <c r="B319" s="1148" t="s">
        <v>510</v>
      </c>
      <c r="C319" s="1149"/>
      <c r="D319" s="782"/>
      <c r="E319" s="878" t="str">
        <f>IF(ISBLANK($D319),"&lt;&lt;&lt;&lt;&lt;&lt;&lt;&lt;&lt;&lt;&lt;&lt;&lt;&lt;&lt;","")</f>
        <v>&lt;&lt;&lt;&lt;&lt;&lt;&lt;&lt;&lt;&lt;&lt;&lt;&lt;&lt;&lt;</v>
      </c>
      <c r="F319" s="879" t="str">
        <f>IF(ISBLANK($D319),"Required","")</f>
        <v>Required</v>
      </c>
      <c r="G319" s="881"/>
      <c r="H319" s="723"/>
      <c r="I319" s="105"/>
      <c r="Z319" s="551"/>
      <c r="AA319" s="551"/>
      <c r="AB319" s="551"/>
      <c r="AC319" s="551"/>
      <c r="AD319" s="551"/>
      <c r="AE319" s="551"/>
      <c r="AF319" s="551"/>
      <c r="AG319" s="551"/>
      <c r="AH319" s="551"/>
      <c r="AI319" s="551"/>
      <c r="AJ319" s="551"/>
      <c r="AK319" s="551"/>
      <c r="AL319" s="551"/>
      <c r="AM319" s="551"/>
      <c r="AN319" s="551"/>
      <c r="AO319" s="551"/>
      <c r="AP319" s="551"/>
      <c r="AQ319" s="551"/>
      <c r="AR319" s="551"/>
    </row>
    <row r="320" spans="1:44" ht="30.75" customHeight="1" thickBot="1" x14ac:dyDescent="0.35">
      <c r="A320" s="551">
        <v>962</v>
      </c>
      <c r="B320" s="1144" t="s">
        <v>471</v>
      </c>
      <c r="C320" s="1145"/>
      <c r="D320" s="782"/>
      <c r="E320" s="878" t="str">
        <f>IF(ISBLANK($D320),"&lt;&lt;&lt;&lt;&lt;&lt;&lt;&lt;&lt;&lt;&lt;&lt;&lt;&lt;&lt;","")</f>
        <v>&lt;&lt;&lt;&lt;&lt;&lt;&lt;&lt;&lt;&lt;&lt;&lt;&lt;&lt;&lt;</v>
      </c>
      <c r="F320" s="879" t="str">
        <f>IF(ISBLANK($D320),"Required","")</f>
        <v>Required</v>
      </c>
      <c r="H320" s="17"/>
      <c r="I320" s="105"/>
      <c r="Z320" s="551"/>
      <c r="AA320" s="551"/>
      <c r="AB320" s="551"/>
      <c r="AC320" s="551"/>
      <c r="AD320" s="551"/>
      <c r="AE320" s="551"/>
      <c r="AF320" s="551"/>
      <c r="AG320" s="551"/>
      <c r="AH320" s="551"/>
      <c r="AI320" s="551"/>
      <c r="AJ320" s="551"/>
      <c r="AK320" s="551"/>
      <c r="AL320" s="551"/>
      <c r="AM320" s="551"/>
      <c r="AN320" s="551"/>
      <c r="AO320" s="551"/>
      <c r="AP320" s="551"/>
      <c r="AQ320" s="551"/>
      <c r="AR320" s="551"/>
    </row>
    <row r="321" spans="1:44" ht="30.75" customHeight="1" thickBot="1" x14ac:dyDescent="0.35">
      <c r="A321" s="551">
        <v>964</v>
      </c>
      <c r="B321" s="1144" t="s">
        <v>472</v>
      </c>
      <c r="C321" s="1145"/>
      <c r="D321" s="783"/>
      <c r="E321" s="878" t="str">
        <f>IF(ISBLANK($D321),"&lt;&lt;&lt;&lt;&lt;&lt;&lt;&lt;&lt;&lt;&lt;&lt;&lt;&lt;&lt;","")</f>
        <v>&lt;&lt;&lt;&lt;&lt;&lt;&lt;&lt;&lt;&lt;&lt;&lt;&lt;&lt;&lt;</v>
      </c>
      <c r="F321" s="879" t="str">
        <f>IF(ISBLANK($D321),"Required","")</f>
        <v>Required</v>
      </c>
      <c r="H321" s="17"/>
      <c r="I321" s="357"/>
      <c r="Z321" s="551"/>
      <c r="AA321" s="551"/>
      <c r="AB321" s="551"/>
      <c r="AC321" s="551"/>
      <c r="AD321" s="551"/>
      <c r="AE321" s="551"/>
      <c r="AF321" s="551"/>
      <c r="AG321" s="551"/>
      <c r="AH321" s="551"/>
      <c r="AI321" s="551"/>
      <c r="AJ321" s="551"/>
      <c r="AK321" s="551"/>
      <c r="AL321" s="551"/>
      <c r="AM321" s="551"/>
      <c r="AN321" s="551"/>
      <c r="AO321" s="551"/>
      <c r="AP321" s="551"/>
      <c r="AQ321" s="551"/>
      <c r="AR321" s="551"/>
    </row>
    <row r="322" spans="1:44" ht="30.75" customHeight="1" thickBot="1" x14ac:dyDescent="0.35">
      <c r="A322" s="551">
        <v>966</v>
      </c>
      <c r="B322" s="1144" t="s">
        <v>473</v>
      </c>
      <c r="C322" s="1145"/>
      <c r="D322" s="782"/>
      <c r="E322" s="878" t="str">
        <f>IF(ISBLANK($D322),"&lt;&lt;&lt;&lt;&lt;&lt;&lt;&lt;&lt;&lt;&lt;&lt;&lt;&lt;&lt;","")</f>
        <v>&lt;&lt;&lt;&lt;&lt;&lt;&lt;&lt;&lt;&lt;&lt;&lt;&lt;&lt;&lt;</v>
      </c>
      <c r="F322" s="879" t="str">
        <f>IF(ISBLANK($D322),"Required","")</f>
        <v>Required</v>
      </c>
      <c r="H322" s="17"/>
      <c r="I322" s="105"/>
      <c r="Z322" s="551"/>
      <c r="AA322" s="551"/>
      <c r="AB322" s="551"/>
      <c r="AC322" s="551"/>
      <c r="AD322" s="551"/>
      <c r="AE322" s="551"/>
      <c r="AF322" s="551"/>
      <c r="AG322" s="551"/>
      <c r="AH322" s="551"/>
      <c r="AI322" s="551"/>
      <c r="AJ322" s="551"/>
      <c r="AK322" s="551"/>
      <c r="AL322" s="551"/>
      <c r="AM322" s="551"/>
      <c r="AN322" s="551"/>
      <c r="AO322" s="551"/>
      <c r="AP322" s="551"/>
      <c r="AQ322" s="551"/>
      <c r="AR322" s="551"/>
    </row>
    <row r="323" spans="1:44" ht="30.75" customHeight="1" thickBot="1" x14ac:dyDescent="0.35">
      <c r="A323" s="551">
        <v>968</v>
      </c>
      <c r="B323" s="1146" t="s">
        <v>474</v>
      </c>
      <c r="C323" s="1147"/>
      <c r="D323" s="784"/>
      <c r="E323" s="880" t="str">
        <f>IF(ISBLANK($D323),"&lt;&lt;&lt;&lt;&lt;&lt;&lt;&lt;&lt;&lt;&lt;&lt;&lt;&lt;&lt;","")</f>
        <v>&lt;&lt;&lt;&lt;&lt;&lt;&lt;&lt;&lt;&lt;&lt;&lt;&lt;&lt;&lt;</v>
      </c>
      <c r="F323" s="879" t="str">
        <f>IF(ISBLANK($D323),"Required","")</f>
        <v>Required</v>
      </c>
      <c r="H323" s="17"/>
      <c r="I323" s="105"/>
      <c r="Z323" s="551"/>
      <c r="AA323" s="551"/>
      <c r="AB323" s="551"/>
      <c r="AC323" s="551"/>
      <c r="AD323" s="551"/>
      <c r="AE323" s="551"/>
      <c r="AF323" s="551"/>
      <c r="AG323" s="551"/>
      <c r="AH323" s="551"/>
      <c r="AI323" s="551"/>
      <c r="AJ323" s="551"/>
      <c r="AK323" s="551"/>
      <c r="AL323" s="551"/>
      <c r="AM323" s="551"/>
      <c r="AN323" s="551"/>
      <c r="AO323" s="551"/>
      <c r="AP323" s="551"/>
      <c r="AQ323" s="551"/>
      <c r="AR323" s="551"/>
    </row>
    <row r="324" spans="1:44" x14ac:dyDescent="0.3">
      <c r="A324" s="105"/>
      <c r="B324" s="871"/>
      <c r="C324" s="871"/>
      <c r="D324" s="882" t="s">
        <v>46</v>
      </c>
      <c r="E324" s="872"/>
      <c r="F324" s="872"/>
      <c r="G324" s="872"/>
      <c r="H324" s="873"/>
      <c r="I324" s="105"/>
    </row>
    <row r="325" spans="1:44" x14ac:dyDescent="0.3">
      <c r="A325" s="105"/>
      <c r="B325" s="663"/>
      <c r="C325" s="663"/>
      <c r="D325" s="168"/>
      <c r="E325" s="290"/>
      <c r="F325" s="785"/>
      <c r="G325" s="785"/>
      <c r="H325" s="17"/>
      <c r="I325" s="105"/>
    </row>
    <row r="326" spans="1:44" x14ac:dyDescent="0.3">
      <c r="A326" s="105"/>
      <c r="B326" s="663"/>
      <c r="C326" s="663"/>
      <c r="D326" s="24"/>
      <c r="E326" s="661"/>
      <c r="F326" s="785"/>
      <c r="G326" s="785"/>
      <c r="H326" s="17"/>
      <c r="I326" s="105"/>
    </row>
    <row r="327" spans="1:44" x14ac:dyDescent="0.3">
      <c r="A327" s="18">
        <f>SUBTOTAL(109,A7:A323)</f>
        <v>36693</v>
      </c>
    </row>
    <row r="328" spans="1:44" x14ac:dyDescent="0.3">
      <c r="A328" s="105"/>
      <c r="B328" s="816"/>
      <c r="C328" s="816"/>
      <c r="D328" s="786"/>
      <c r="E328" s="397"/>
      <c r="F328" s="18"/>
      <c r="G328" s="787"/>
      <c r="H328" s="17"/>
      <c r="I328" s="105"/>
    </row>
    <row r="329" spans="1:44" x14ac:dyDescent="0.3">
      <c r="A329" s="551"/>
      <c r="B329" s="551"/>
      <c r="C329" s="551"/>
      <c r="D329" s="786"/>
      <c r="E329" s="397"/>
      <c r="F329" s="288"/>
      <c r="G329" s="787"/>
      <c r="H329" s="17"/>
      <c r="I329" s="105"/>
    </row>
    <row r="330" spans="1:44" x14ac:dyDescent="0.3">
      <c r="A330" s="551"/>
      <c r="B330" s="551"/>
      <c r="C330" s="551"/>
      <c r="D330" s="788"/>
      <c r="E330" s="397"/>
      <c r="F330" s="288"/>
      <c r="G330" s="787"/>
      <c r="H330" s="17"/>
      <c r="I330" s="105"/>
    </row>
    <row r="331" spans="1:44" x14ac:dyDescent="0.3">
      <c r="A331" s="551"/>
      <c r="B331" s="551"/>
      <c r="C331" s="551"/>
      <c r="D331" s="788"/>
      <c r="E331" s="397"/>
      <c r="F331" s="288"/>
      <c r="G331" s="787"/>
      <c r="H331" s="17"/>
      <c r="I331" s="105"/>
    </row>
    <row r="332" spans="1:44" x14ac:dyDescent="0.3">
      <c r="A332" s="551"/>
      <c r="B332" s="551"/>
      <c r="C332" s="551"/>
      <c r="D332" s="788"/>
      <c r="E332" s="397"/>
      <c r="F332" s="288"/>
      <c r="G332" s="787"/>
      <c r="H332" s="17"/>
      <c r="I332" s="105"/>
    </row>
    <row r="333" spans="1:44" x14ac:dyDescent="0.3">
      <c r="A333" s="551"/>
      <c r="B333" s="551"/>
      <c r="C333" s="551"/>
      <c r="D333" s="788"/>
      <c r="E333" s="397"/>
      <c r="F333" s="288"/>
      <c r="G333" s="787"/>
      <c r="H333" s="17"/>
      <c r="I333" s="105"/>
    </row>
    <row r="334" spans="1:44" x14ac:dyDescent="0.3">
      <c r="A334" s="551"/>
      <c r="D334" s="591"/>
      <c r="E334" s="397"/>
      <c r="F334" s="288"/>
      <c r="H334" s="17"/>
      <c r="I334" s="105"/>
    </row>
    <row r="335" spans="1:44" x14ac:dyDescent="0.3">
      <c r="D335" s="591"/>
      <c r="E335" s="398"/>
      <c r="F335" s="288"/>
      <c r="H335" s="17"/>
      <c r="I335" s="105"/>
    </row>
    <row r="336" spans="1:44" x14ac:dyDescent="0.3">
      <c r="D336" s="591"/>
      <c r="E336" s="290"/>
      <c r="F336" s="288"/>
      <c r="H336" s="17"/>
      <c r="I336" s="105"/>
    </row>
    <row r="337" spans="4:12" x14ac:dyDescent="0.3">
      <c r="D337" s="591"/>
      <c r="E337" s="290"/>
      <c r="F337" s="288"/>
      <c r="I337" s="105"/>
    </row>
    <row r="338" spans="4:12" x14ac:dyDescent="0.3">
      <c r="E338" s="290"/>
      <c r="F338" s="288"/>
      <c r="G338" s="790"/>
      <c r="I338" s="105"/>
    </row>
    <row r="339" spans="4:12" x14ac:dyDescent="0.3">
      <c r="E339" s="290"/>
      <c r="F339" s="288"/>
      <c r="I339" s="105"/>
    </row>
    <row r="340" spans="4:12" x14ac:dyDescent="0.3">
      <c r="E340" s="290"/>
      <c r="F340" s="288"/>
      <c r="I340" s="105"/>
    </row>
    <row r="341" spans="4:12" x14ac:dyDescent="0.3">
      <c r="E341" s="290"/>
      <c r="F341" s="288"/>
      <c r="I341" s="105"/>
    </row>
    <row r="342" spans="4:12" x14ac:dyDescent="0.3">
      <c r="I342" s="105"/>
    </row>
    <row r="343" spans="4:12" x14ac:dyDescent="0.3">
      <c r="I343" s="105"/>
    </row>
    <row r="344" spans="4:12" x14ac:dyDescent="0.3">
      <c r="I344" s="105"/>
    </row>
    <row r="345" spans="4:12" x14ac:dyDescent="0.3">
      <c r="I345" s="105"/>
    </row>
    <row r="346" spans="4:12" x14ac:dyDescent="0.3">
      <c r="I346" s="105"/>
    </row>
    <row r="347" spans="4:12" x14ac:dyDescent="0.3">
      <c r="I347" s="105"/>
    </row>
    <row r="348" spans="4:12" x14ac:dyDescent="0.3">
      <c r="I348" s="105"/>
    </row>
    <row r="349" spans="4:12" x14ac:dyDescent="0.3">
      <c r="I349" s="288"/>
    </row>
    <row r="350" spans="4:12" x14ac:dyDescent="0.3">
      <c r="I350" s="288"/>
      <c r="K350" s="290"/>
      <c r="L350" s="290"/>
    </row>
    <row r="351" spans="4:12" x14ac:dyDescent="0.3">
      <c r="I351" s="288"/>
      <c r="K351" s="290"/>
      <c r="L351" s="290"/>
    </row>
    <row r="352" spans="4:12" x14ac:dyDescent="0.3">
      <c r="I352" s="288"/>
      <c r="K352" s="290"/>
      <c r="L352" s="290"/>
    </row>
    <row r="353" spans="9:12" x14ac:dyDescent="0.3">
      <c r="I353" s="288"/>
      <c r="K353" s="290"/>
      <c r="L353" s="290"/>
    </row>
    <row r="354" spans="9:12" x14ac:dyDescent="0.3">
      <c r="I354" s="288"/>
      <c r="K354" s="290"/>
      <c r="L354" s="290"/>
    </row>
    <row r="355" spans="9:12" x14ac:dyDescent="0.3">
      <c r="I355" s="288"/>
      <c r="K355" s="290"/>
      <c r="L355" s="290"/>
    </row>
    <row r="356" spans="9:12" x14ac:dyDescent="0.3">
      <c r="I356" s="105"/>
      <c r="K356" s="290"/>
      <c r="L356" s="290"/>
    </row>
    <row r="357" spans="9:12" x14ac:dyDescent="0.3">
      <c r="I357" s="105"/>
      <c r="K357" s="290"/>
      <c r="L357" s="290"/>
    </row>
    <row r="358" spans="9:12" x14ac:dyDescent="0.3">
      <c r="I358" s="105"/>
      <c r="J358" s="290"/>
      <c r="K358" s="290"/>
      <c r="L358" s="290"/>
    </row>
    <row r="359" spans="9:12" x14ac:dyDescent="0.3">
      <c r="I359" s="105"/>
      <c r="J359" s="290"/>
      <c r="K359" s="290"/>
      <c r="L359" s="290"/>
    </row>
    <row r="360" spans="9:12" x14ac:dyDescent="0.3">
      <c r="I360" s="105"/>
      <c r="J360" s="290"/>
      <c r="K360" s="290"/>
      <c r="L360" s="290"/>
    </row>
    <row r="361" spans="9:12" x14ac:dyDescent="0.3">
      <c r="I361" s="105"/>
      <c r="J361" s="290"/>
      <c r="K361" s="290"/>
      <c r="L361" s="290"/>
    </row>
    <row r="362" spans="9:12" x14ac:dyDescent="0.3">
      <c r="I362" s="105"/>
      <c r="J362" s="290"/>
      <c r="K362" s="290"/>
      <c r="L362" s="290"/>
    </row>
    <row r="363" spans="9:12" x14ac:dyDescent="0.3">
      <c r="I363" s="105"/>
      <c r="J363" s="290"/>
      <c r="K363" s="290"/>
      <c r="L363" s="290"/>
    </row>
    <row r="364" spans="9:12" x14ac:dyDescent="0.3">
      <c r="I364" s="105"/>
      <c r="J364" s="290"/>
      <c r="K364" s="290"/>
      <c r="L364" s="290"/>
    </row>
    <row r="365" spans="9:12" x14ac:dyDescent="0.3">
      <c r="I365" s="288"/>
      <c r="J365" s="290"/>
      <c r="K365" s="290"/>
      <c r="L365" s="290"/>
    </row>
    <row r="366" spans="9:12" x14ac:dyDescent="0.3">
      <c r="I366" s="288"/>
      <c r="J366" s="290"/>
      <c r="K366" s="290"/>
      <c r="L366" s="290"/>
    </row>
    <row r="367" spans="9:12" x14ac:dyDescent="0.3">
      <c r="I367" s="288"/>
      <c r="J367" s="290"/>
      <c r="K367" s="290"/>
      <c r="L367" s="290"/>
    </row>
    <row r="368" spans="9:12" x14ac:dyDescent="0.3">
      <c r="I368" s="288"/>
      <c r="J368" s="290"/>
      <c r="K368" s="290"/>
      <c r="L368" s="290"/>
    </row>
    <row r="369" spans="9:12" x14ac:dyDescent="0.3">
      <c r="I369" s="288"/>
      <c r="J369" s="290"/>
      <c r="K369" s="290"/>
      <c r="L369" s="290"/>
    </row>
    <row r="370" spans="9:12" x14ac:dyDescent="0.3">
      <c r="I370" s="288"/>
      <c r="J370" s="290"/>
      <c r="K370" s="290"/>
      <c r="L370" s="290"/>
    </row>
    <row r="371" spans="9:12" x14ac:dyDescent="0.3">
      <c r="I371" s="288"/>
      <c r="J371" s="290"/>
      <c r="K371" s="290"/>
      <c r="L371" s="290"/>
    </row>
    <row r="372" spans="9:12" x14ac:dyDescent="0.3">
      <c r="I372" s="288"/>
      <c r="J372" s="290"/>
      <c r="K372" s="290"/>
      <c r="L372" s="290"/>
    </row>
    <row r="373" spans="9:12" x14ac:dyDescent="0.3">
      <c r="I373" s="288"/>
      <c r="J373" s="290"/>
      <c r="K373" s="290"/>
      <c r="L373" s="290"/>
    </row>
    <row r="374" spans="9:12" x14ac:dyDescent="0.3">
      <c r="I374" s="288"/>
      <c r="J374" s="290"/>
      <c r="K374" s="290"/>
      <c r="L374" s="290"/>
    </row>
    <row r="375" spans="9:12" x14ac:dyDescent="0.3">
      <c r="I375" s="288"/>
      <c r="J375" s="290"/>
      <c r="K375" s="290"/>
      <c r="L375" s="290"/>
    </row>
    <row r="376" spans="9:12" x14ac:dyDescent="0.3">
      <c r="I376" s="288"/>
      <c r="J376" s="290"/>
      <c r="K376" s="290"/>
      <c r="L376" s="290"/>
    </row>
    <row r="377" spans="9:12" x14ac:dyDescent="0.3">
      <c r="I377" s="288"/>
      <c r="J377" s="290"/>
      <c r="K377" s="290"/>
      <c r="L377" s="290"/>
    </row>
    <row r="378" spans="9:12" x14ac:dyDescent="0.3">
      <c r="I378" s="288"/>
      <c r="J378" s="290"/>
      <c r="K378" s="290"/>
      <c r="L378" s="290"/>
    </row>
    <row r="379" spans="9:12" x14ac:dyDescent="0.3">
      <c r="I379" s="288"/>
      <c r="J379" s="290"/>
      <c r="K379" s="290"/>
      <c r="L379" s="290"/>
    </row>
    <row r="380" spans="9:12" x14ac:dyDescent="0.3">
      <c r="I380" s="288"/>
      <c r="J380" s="290"/>
      <c r="K380" s="290"/>
      <c r="L380" s="290"/>
    </row>
    <row r="381" spans="9:12" x14ac:dyDescent="0.3">
      <c r="I381" s="288"/>
      <c r="J381" s="290"/>
      <c r="K381" s="290"/>
      <c r="L381" s="290"/>
    </row>
    <row r="382" spans="9:12" x14ac:dyDescent="0.3">
      <c r="I382" s="288"/>
      <c r="J382" s="290"/>
      <c r="K382" s="290"/>
      <c r="L382" s="290"/>
    </row>
    <row r="383" spans="9:12" x14ac:dyDescent="0.3">
      <c r="I383" s="288"/>
      <c r="J383" s="290"/>
      <c r="K383" s="290"/>
      <c r="L383" s="290"/>
    </row>
    <row r="384" spans="9:12" x14ac:dyDescent="0.3">
      <c r="I384" s="288"/>
      <c r="J384" s="290"/>
      <c r="K384" s="290"/>
      <c r="L384" s="290"/>
    </row>
    <row r="385" spans="9:12" x14ac:dyDescent="0.3">
      <c r="I385" s="288"/>
      <c r="J385" s="290"/>
      <c r="K385" s="290"/>
      <c r="L385" s="290"/>
    </row>
    <row r="386" spans="9:12" x14ac:dyDescent="0.3">
      <c r="I386" s="288"/>
      <c r="J386" s="290"/>
      <c r="K386" s="290"/>
      <c r="L386" s="290"/>
    </row>
    <row r="387" spans="9:12" x14ac:dyDescent="0.3">
      <c r="I387" s="288"/>
      <c r="J387" s="290"/>
      <c r="K387" s="290"/>
      <c r="L387" s="290"/>
    </row>
    <row r="388" spans="9:12" x14ac:dyDescent="0.3">
      <c r="I388" s="288"/>
      <c r="J388" s="290"/>
      <c r="K388" s="290"/>
      <c r="L388" s="290"/>
    </row>
    <row r="389" spans="9:12" x14ac:dyDescent="0.3">
      <c r="I389" s="288"/>
      <c r="J389" s="290"/>
      <c r="K389" s="290"/>
      <c r="L389" s="290"/>
    </row>
    <row r="390" spans="9:12" x14ac:dyDescent="0.3">
      <c r="I390" s="288"/>
      <c r="J390" s="290"/>
      <c r="K390" s="290"/>
      <c r="L390" s="290"/>
    </row>
    <row r="391" spans="9:12" x14ac:dyDescent="0.3">
      <c r="I391" s="288"/>
      <c r="J391" s="290"/>
      <c r="K391" s="290"/>
      <c r="L391" s="290"/>
    </row>
    <row r="392" spans="9:12" x14ac:dyDescent="0.3">
      <c r="I392" s="288"/>
      <c r="J392" s="290"/>
      <c r="K392" s="290"/>
      <c r="L392" s="290"/>
    </row>
    <row r="393" spans="9:12" x14ac:dyDescent="0.3">
      <c r="I393" s="288"/>
      <c r="J393" s="290"/>
      <c r="K393" s="290"/>
      <c r="L393" s="290"/>
    </row>
    <row r="394" spans="9:12" x14ac:dyDescent="0.3">
      <c r="I394" s="288"/>
      <c r="J394" s="290"/>
      <c r="K394" s="290"/>
      <c r="L394" s="290"/>
    </row>
    <row r="395" spans="9:12" x14ac:dyDescent="0.3">
      <c r="I395" s="288"/>
      <c r="J395" s="290"/>
      <c r="K395" s="290"/>
      <c r="L395" s="290"/>
    </row>
    <row r="396" spans="9:12" x14ac:dyDescent="0.3">
      <c r="I396" s="288"/>
      <c r="J396" s="290"/>
      <c r="K396" s="290"/>
      <c r="L396" s="290"/>
    </row>
    <row r="397" spans="9:12" x14ac:dyDescent="0.3">
      <c r="I397" s="288"/>
      <c r="J397" s="290"/>
      <c r="K397" s="290"/>
      <c r="L397" s="290"/>
    </row>
    <row r="398" spans="9:12" x14ac:dyDescent="0.3">
      <c r="I398" s="288"/>
      <c r="J398" s="290"/>
      <c r="K398" s="290"/>
      <c r="L398" s="290"/>
    </row>
    <row r="399" spans="9:12" x14ac:dyDescent="0.3">
      <c r="I399" s="288"/>
      <c r="J399" s="290"/>
      <c r="K399" s="290"/>
      <c r="L399" s="290"/>
    </row>
    <row r="400" spans="9:12" x14ac:dyDescent="0.3">
      <c r="I400" s="288"/>
      <c r="J400" s="290"/>
      <c r="K400" s="290"/>
      <c r="L400" s="290"/>
    </row>
    <row r="401" spans="9:12" x14ac:dyDescent="0.3">
      <c r="I401" s="288"/>
      <c r="J401" s="290"/>
      <c r="K401" s="290"/>
      <c r="L401" s="290"/>
    </row>
    <row r="402" spans="9:12" x14ac:dyDescent="0.3">
      <c r="I402" s="288"/>
      <c r="J402" s="290"/>
      <c r="K402" s="290"/>
      <c r="L402" s="290"/>
    </row>
    <row r="403" spans="9:12" x14ac:dyDescent="0.3">
      <c r="I403" s="288"/>
      <c r="J403" s="290"/>
      <c r="K403" s="290"/>
      <c r="L403" s="290"/>
    </row>
    <row r="404" spans="9:12" x14ac:dyDescent="0.3">
      <c r="I404" s="288"/>
      <c r="J404" s="290"/>
      <c r="K404" s="290"/>
      <c r="L404" s="290"/>
    </row>
    <row r="405" spans="9:12" x14ac:dyDescent="0.3">
      <c r="I405" s="288"/>
      <c r="J405" s="290"/>
      <c r="K405" s="290"/>
      <c r="L405" s="290"/>
    </row>
    <row r="406" spans="9:12" x14ac:dyDescent="0.3">
      <c r="I406" s="288"/>
      <c r="J406" s="290"/>
      <c r="K406" s="290"/>
      <c r="L406" s="290"/>
    </row>
    <row r="407" spans="9:12" x14ac:dyDescent="0.3">
      <c r="I407" s="288"/>
      <c r="J407" s="290"/>
      <c r="K407" s="290"/>
      <c r="L407" s="290"/>
    </row>
    <row r="408" spans="9:12" x14ac:dyDescent="0.3">
      <c r="I408" s="288"/>
      <c r="J408" s="290"/>
      <c r="K408" s="290"/>
      <c r="L408" s="290"/>
    </row>
    <row r="409" spans="9:12" x14ac:dyDescent="0.3">
      <c r="I409" s="288"/>
      <c r="J409" s="290"/>
      <c r="K409" s="290"/>
      <c r="L409" s="290"/>
    </row>
    <row r="410" spans="9:12" x14ac:dyDescent="0.3">
      <c r="I410" s="288"/>
      <c r="J410" s="290"/>
      <c r="K410" s="290"/>
      <c r="L410" s="290"/>
    </row>
    <row r="411" spans="9:12" x14ac:dyDescent="0.3">
      <c r="I411" s="288"/>
      <c r="J411" s="290"/>
      <c r="K411" s="290"/>
      <c r="L411" s="290"/>
    </row>
    <row r="412" spans="9:12" x14ac:dyDescent="0.3">
      <c r="I412" s="288"/>
      <c r="J412" s="290"/>
      <c r="K412" s="290"/>
      <c r="L412" s="290"/>
    </row>
    <row r="413" spans="9:12" x14ac:dyDescent="0.3">
      <c r="I413" s="288"/>
      <c r="J413" s="290"/>
      <c r="K413" s="290"/>
      <c r="L413" s="290"/>
    </row>
    <row r="414" spans="9:12" x14ac:dyDescent="0.3">
      <c r="I414" s="288"/>
      <c r="J414" s="290"/>
      <c r="K414" s="290"/>
      <c r="L414" s="290"/>
    </row>
    <row r="415" spans="9:12" x14ac:dyDescent="0.3">
      <c r="I415" s="288"/>
      <c r="J415" s="290"/>
      <c r="K415" s="290"/>
      <c r="L415" s="290"/>
    </row>
    <row r="416" spans="9:12" x14ac:dyDescent="0.3">
      <c r="I416" s="288"/>
      <c r="J416" s="290"/>
      <c r="K416" s="290"/>
      <c r="L416" s="290"/>
    </row>
    <row r="417" spans="9:12" x14ac:dyDescent="0.3">
      <c r="I417" s="288"/>
      <c r="J417" s="290"/>
      <c r="K417" s="290"/>
      <c r="L417" s="290"/>
    </row>
    <row r="418" spans="9:12" x14ac:dyDescent="0.3">
      <c r="I418" s="288"/>
      <c r="J418" s="290"/>
      <c r="K418" s="290"/>
      <c r="L418" s="290"/>
    </row>
    <row r="419" spans="9:12" x14ac:dyDescent="0.3">
      <c r="I419" s="288"/>
      <c r="J419" s="290"/>
    </row>
    <row r="420" spans="9:12" x14ac:dyDescent="0.3">
      <c r="I420" s="288"/>
      <c r="J420" s="290"/>
    </row>
    <row r="421" spans="9:12" x14ac:dyDescent="0.3">
      <c r="I421" s="288"/>
      <c r="J421" s="290"/>
    </row>
    <row r="422" spans="9:12" x14ac:dyDescent="0.3">
      <c r="I422" s="288"/>
      <c r="J422" s="290"/>
    </row>
    <row r="423" spans="9:12" x14ac:dyDescent="0.3">
      <c r="I423" s="288"/>
      <c r="J423" s="290"/>
    </row>
    <row r="424" spans="9:12" x14ac:dyDescent="0.3">
      <c r="I424" s="288"/>
      <c r="J424" s="290"/>
    </row>
    <row r="425" spans="9:12" x14ac:dyDescent="0.3">
      <c r="I425" s="288"/>
      <c r="J425" s="290"/>
    </row>
    <row r="426" spans="9:12" x14ac:dyDescent="0.3">
      <c r="I426" s="288"/>
      <c r="J426" s="290"/>
    </row>
    <row r="427" spans="9:12" x14ac:dyDescent="0.3">
      <c r="I427" s="288"/>
    </row>
    <row r="428" spans="9:12" x14ac:dyDescent="0.3">
      <c r="I428" s="288"/>
    </row>
    <row r="429" spans="9:12" x14ac:dyDescent="0.3">
      <c r="I429" s="288"/>
    </row>
    <row r="430" spans="9:12" x14ac:dyDescent="0.3">
      <c r="I430" s="288"/>
    </row>
    <row r="431" spans="9:12" x14ac:dyDescent="0.3">
      <c r="I431" s="288"/>
    </row>
    <row r="432" spans="9:12" x14ac:dyDescent="0.3">
      <c r="I432" s="288"/>
    </row>
    <row r="433" spans="9:9" x14ac:dyDescent="0.3">
      <c r="I433" s="288"/>
    </row>
    <row r="434" spans="9:9" x14ac:dyDescent="0.3">
      <c r="I434" s="105"/>
    </row>
    <row r="435" spans="9:9" x14ac:dyDescent="0.3">
      <c r="I435" s="105"/>
    </row>
    <row r="436" spans="9:9" x14ac:dyDescent="0.3">
      <c r="I436" s="105"/>
    </row>
    <row r="437" spans="9:9" x14ac:dyDescent="0.3">
      <c r="I437" s="105"/>
    </row>
    <row r="438" spans="9:9" x14ac:dyDescent="0.3">
      <c r="I438" s="105"/>
    </row>
    <row r="439" spans="9:9" x14ac:dyDescent="0.3">
      <c r="I439" s="105"/>
    </row>
    <row r="440" spans="9:9" x14ac:dyDescent="0.3">
      <c r="I440" s="105"/>
    </row>
    <row r="441" spans="9:9" x14ac:dyDescent="0.3">
      <c r="I441" s="105"/>
    </row>
    <row r="442" spans="9:9" x14ac:dyDescent="0.3">
      <c r="I442" s="105"/>
    </row>
    <row r="443" spans="9:9" x14ac:dyDescent="0.3">
      <c r="I443" s="105"/>
    </row>
  </sheetData>
  <sheetProtection algorithmName="SHA-512" hashValue="CwVFeG2lrv3l6i8Wm+Sbk/CbJVQgW9BY2dosdTVPOUc+00vs8KhtvtwLVZyOGdtvOc3zIbAaXqAFLWB/MsqxqA==" saltValue="7xVhlRM0RnN0PFNp+8pwPg==" spinCount="100000" sheet="1" formatCells="0"/>
  <dataConsolidate link="1"/>
  <mergeCells count="11">
    <mergeCell ref="B314:E314"/>
    <mergeCell ref="B322:C322"/>
    <mergeCell ref="B323:C323"/>
    <mergeCell ref="B321:C321"/>
    <mergeCell ref="B319:C319"/>
    <mergeCell ref="B320:C320"/>
    <mergeCell ref="E2:G2"/>
    <mergeCell ref="B2:C2"/>
    <mergeCell ref="B170:D170"/>
    <mergeCell ref="B313:E313"/>
    <mergeCell ref="B303:D303"/>
  </mergeCells>
  <phoneticPr fontId="56" type="noConversion"/>
  <conditionalFormatting sqref="H198 H87:H98">
    <cfRule type="cellIs" dxfId="122" priority="107" stopIfTrue="1" operator="notEqual">
      <formula>0</formula>
    </cfRule>
  </conditionalFormatting>
  <conditionalFormatting sqref="H199">
    <cfRule type="cellIs" dxfId="121" priority="105" stopIfTrue="1" operator="notEqual">
      <formula>0</formula>
    </cfRule>
  </conditionalFormatting>
  <conditionalFormatting sqref="G289:G292 G296:G297">
    <cfRule type="cellIs" dxfId="120" priority="104" stopIfTrue="1" operator="notEqual">
      <formula>0</formula>
    </cfRule>
  </conditionalFormatting>
  <conditionalFormatting sqref="H23">
    <cfRule type="cellIs" dxfId="119" priority="103" stopIfTrue="1" operator="notEqual">
      <formula>0</formula>
    </cfRule>
  </conditionalFormatting>
  <conditionalFormatting sqref="H37:H38">
    <cfRule type="cellIs" dxfId="118" priority="102" stopIfTrue="1" operator="notEqual">
      <formula>0</formula>
    </cfRule>
  </conditionalFormatting>
  <conditionalFormatting sqref="H72">
    <cfRule type="cellIs" dxfId="117" priority="101" stopIfTrue="1" operator="notEqual">
      <formula>0</formula>
    </cfRule>
  </conditionalFormatting>
  <conditionalFormatting sqref="H149">
    <cfRule type="cellIs" dxfId="116" priority="99" stopIfTrue="1" operator="notEqual">
      <formula>0</formula>
    </cfRule>
  </conditionalFormatting>
  <conditionalFormatting sqref="H168">
    <cfRule type="cellIs" dxfId="115" priority="98" stopIfTrue="1" operator="notEqual">
      <formula>0</formula>
    </cfRule>
  </conditionalFormatting>
  <conditionalFormatting sqref="H182">
    <cfRule type="cellIs" dxfId="114" priority="97" stopIfTrue="1" operator="notEqual">
      <formula>0</formula>
    </cfRule>
  </conditionalFormatting>
  <conditionalFormatting sqref="H183">
    <cfRule type="cellIs" dxfId="113" priority="96" stopIfTrue="1" operator="notEqual">
      <formula>0</formula>
    </cfRule>
  </conditionalFormatting>
  <conditionalFormatting sqref="L260 G275">
    <cfRule type="cellIs" priority="68" stopIfTrue="1" operator="equal">
      <formula>";;;"</formula>
    </cfRule>
  </conditionalFormatting>
  <conditionalFormatting sqref="L260 G275">
    <cfRule type="cellIs" dxfId="112" priority="67" stopIfTrue="1" operator="equal">
      <formula>0</formula>
    </cfRule>
  </conditionalFormatting>
  <conditionalFormatting sqref="L260">
    <cfRule type="cellIs" dxfId="111" priority="66" stopIfTrue="1" operator="equal">
      <formula>0</formula>
    </cfRule>
  </conditionalFormatting>
  <conditionalFormatting sqref="G274">
    <cfRule type="cellIs" priority="65" stopIfTrue="1" operator="equal">
      <formula>";;;"</formula>
    </cfRule>
  </conditionalFormatting>
  <conditionalFormatting sqref="G274">
    <cfRule type="cellIs" dxfId="110" priority="64" stopIfTrue="1" operator="equal">
      <formula>0</formula>
    </cfRule>
  </conditionalFormatting>
  <conditionalFormatting sqref="G274">
    <cfRule type="cellIs" dxfId="109" priority="63" stopIfTrue="1" operator="equal">
      <formula>0</formula>
    </cfRule>
  </conditionalFormatting>
  <conditionalFormatting sqref="G273">
    <cfRule type="cellIs" priority="53" stopIfTrue="1" operator="equal">
      <formula>";;;"</formula>
    </cfRule>
  </conditionalFormatting>
  <conditionalFormatting sqref="G273">
    <cfRule type="cellIs" dxfId="108" priority="52" stopIfTrue="1" operator="equal">
      <formula>0</formula>
    </cfRule>
  </conditionalFormatting>
  <conditionalFormatting sqref="G273">
    <cfRule type="cellIs" dxfId="107" priority="51" stopIfTrue="1" operator="equal">
      <formula>0</formula>
    </cfRule>
  </conditionalFormatting>
  <conditionalFormatting sqref="J266">
    <cfRule type="cellIs" priority="50" stopIfTrue="1" operator="equal">
      <formula>";;;"</formula>
    </cfRule>
  </conditionalFormatting>
  <conditionalFormatting sqref="J266">
    <cfRule type="cellIs" dxfId="106" priority="49" stopIfTrue="1" operator="equal">
      <formula>0</formula>
    </cfRule>
  </conditionalFormatting>
  <conditionalFormatting sqref="J266">
    <cfRule type="cellIs" dxfId="105" priority="48" stopIfTrue="1" operator="equal">
      <formula>0</formula>
    </cfRule>
  </conditionalFormatting>
  <conditionalFormatting sqref="G268">
    <cfRule type="cellIs" priority="20" stopIfTrue="1" operator="equal">
      <formula>";;;"</formula>
    </cfRule>
  </conditionalFormatting>
  <conditionalFormatting sqref="G268">
    <cfRule type="cellIs" dxfId="104" priority="19" stopIfTrue="1" operator="equal">
      <formula>0</formula>
    </cfRule>
  </conditionalFormatting>
  <conditionalFormatting sqref="G268">
    <cfRule type="cellIs" dxfId="103" priority="18" stopIfTrue="1" operator="equal">
      <formula>0</formula>
    </cfRule>
  </conditionalFormatting>
  <conditionalFormatting sqref="G266">
    <cfRule type="cellIs" priority="17" stopIfTrue="1" operator="equal">
      <formula>";;;"</formula>
    </cfRule>
  </conditionalFormatting>
  <conditionalFormatting sqref="G266">
    <cfRule type="cellIs" dxfId="102" priority="16" stopIfTrue="1" operator="equal">
      <formula>0</formula>
    </cfRule>
  </conditionalFormatting>
  <conditionalFormatting sqref="G266">
    <cfRule type="cellIs" dxfId="101" priority="15" stopIfTrue="1" operator="equal">
      <formula>0</formula>
    </cfRule>
  </conditionalFormatting>
  <conditionalFormatting sqref="G267">
    <cfRule type="cellIs" priority="14" stopIfTrue="1" operator="equal">
      <formula>";;;"</formula>
    </cfRule>
  </conditionalFormatting>
  <conditionalFormatting sqref="G267">
    <cfRule type="cellIs" dxfId="100" priority="13" stopIfTrue="1" operator="equal">
      <formula>0</formula>
    </cfRule>
  </conditionalFormatting>
  <conditionalFormatting sqref="G267">
    <cfRule type="cellIs" dxfId="99" priority="12" stopIfTrue="1" operator="equal">
      <formula>0</formula>
    </cfRule>
  </conditionalFormatting>
  <conditionalFormatting sqref="G270">
    <cfRule type="cellIs" priority="11" stopIfTrue="1" operator="equal">
      <formula>";;;"</formula>
    </cfRule>
  </conditionalFormatting>
  <conditionalFormatting sqref="G270">
    <cfRule type="cellIs" dxfId="98" priority="10" stopIfTrue="1" operator="equal">
      <formula>0</formula>
    </cfRule>
  </conditionalFormatting>
  <conditionalFormatting sqref="G270">
    <cfRule type="cellIs" dxfId="97" priority="9" stopIfTrue="1" operator="equal">
      <formula>0</formula>
    </cfRule>
  </conditionalFormatting>
  <conditionalFormatting sqref="G272">
    <cfRule type="cellIs" priority="3" stopIfTrue="1" operator="equal">
      <formula>";;;"</formula>
    </cfRule>
  </conditionalFormatting>
  <conditionalFormatting sqref="G272">
    <cfRule type="cellIs" dxfId="96" priority="2" stopIfTrue="1" operator="equal">
      <formula>0</formula>
    </cfRule>
  </conditionalFormatting>
  <conditionalFormatting sqref="G272">
    <cfRule type="cellIs" dxfId="95" priority="1" stopIfTrue="1" operator="equal">
      <formula>0</formula>
    </cfRule>
  </conditionalFormatting>
  <dataValidations xWindow="829" yWindow="690" count="23">
    <dataValidation type="list" allowBlank="1" showInputMessage="1" showErrorMessage="1" prompt="Please select the appropriate number value from the drop-down box." sqref="F131" xr:uid="{00000000-0002-0000-0100-000005000000}">
      <formula1>$N$2:$N$4</formula1>
    </dataValidation>
    <dataValidation type="list" allowBlank="1" showInputMessage="1" showErrorMessage="1" sqref="F88" xr:uid="{A85FF889-D99F-45B3-A284-6701B76512B6}">
      <formula1>$M$4:$M$5</formula1>
    </dataValidation>
    <dataValidation type="list" allowBlank="1" showInputMessage="1" showErrorMessage="1" sqref="F309:F311 F263 F307" xr:uid="{9CC5535C-800A-4D03-A86E-273A5BC3EBB6}">
      <formula1>$M$1:$M$2</formula1>
    </dataValidation>
    <dataValidation type="list" allowBlank="1" showInputMessage="1" showErrorMessage="1" sqref="F298" xr:uid="{FCE57F22-20D9-4CFA-AFE5-1751E216D3C1}">
      <formula1>$O$1:$O$2</formula1>
    </dataValidation>
    <dataValidation type="list" allowBlank="1" showInputMessage="1" showErrorMessage="1" sqref="F271" xr:uid="{2CD3BDAD-30EF-425F-BB01-D3FF43CDAA81}">
      <formula1>$O$1:$O$4</formula1>
    </dataValidation>
    <dataValidation type="list" allowBlank="1" showInputMessage="1" showErrorMessage="1" prompt="Please select from the drop down box the most appropriate answer" sqref="F302" xr:uid="{7584867B-76E5-42C2-B404-3B1B6C94E6E2}">
      <formula1>$O$1:$O$2</formula1>
    </dataValidation>
    <dataValidation type="list" allowBlank="1" showInputMessage="1" showErrorMessage="1" sqref="F306" xr:uid="{DB0EB8F5-2DE0-4833-AFDF-F7BB7A8D56E1}">
      <formula1>$M$6:$M$8</formula1>
    </dataValidation>
    <dataValidation type="list" allowBlank="1" showErrorMessage="1" prompt="Please select from the drop down box the most appropriate answer" sqref="F300" xr:uid="{7FCE12A8-B6A0-48F9-9BA0-C3D89D188CEE}">
      <formula1>"20,21,22,23"</formula1>
    </dataValidation>
    <dataValidation type="list" operator="greaterThan" allowBlank="1" showErrorMessage="1" prompt="Please select appropriate answer from drop down list." sqref="F224" xr:uid="{D9A20B08-5895-4736-8659-042438D0E620}">
      <formula1>"1,2,3"</formula1>
    </dataValidation>
    <dataValidation type="custom" allowBlank="1" showInputMessage="1" showErrorMessage="1" error="Please enter a numeric value.  If this data is not applicable to your unit of government, the cell should be populated with zero." sqref="F216 F212 F201 F28:F39 F41:F57 F59:F73 F75:F87 F25:F26 F132:F149 F151:F168 F171:F183 F187:F199 F204:F210 F220:F222 F18:F23 F100:F101 F89:F98 F103:F120 F123:F127" xr:uid="{B5815DCD-160E-4CA9-A461-76D5F396E4F1}">
      <formula1>ISNUMBER(F18)</formula1>
    </dataValidation>
    <dataValidation type="custom" allowBlank="1" showErrorMessage="1" error="Please enter a numeric value.  If this data is not applicable to your unit of government, the cell should be populated with zero." prompt="_x000a__x000a_" sqref="F233:F236 F239:F242 F245:F248 F253:F255 F257:F260 F228:F229" xr:uid="{DA17F63A-7740-447E-B0DD-1FD94F0BE4C8}">
      <formula1>ISNUMBER(F228)</formula1>
    </dataValidation>
    <dataValidation type="custom" allowBlank="1" showErrorMessage="1" error="Please enter a numeric value.  If this data is not applicable to your unit of government, the cell should be populated with zero." sqref="F299 F289:F297 F286 F284 F277:F280 F282 F272:F274 F265:F268" xr:uid="{6656F482-2030-43E8-B669-24F0F4187CE8}">
      <formula1>ISNUMBER(F265)</formula1>
    </dataValidation>
    <dataValidation type="custom" allowBlank="1" showInputMessage="1" showErrorMessage="1" error="Please enter a numeric value.  If this data is not applicable to your unit of government, please enter a zero." prompt="This cell requires a numeric value.  If this data is not applicable to your unit of government, please enter a zero." sqref="F269" xr:uid="{8DAFED68-C7CC-4E4B-B0DE-1B3BA6E17585}">
      <formula1>-ISNUMBER(221)</formula1>
    </dataValidation>
    <dataValidation type="list" allowBlank="1" showErrorMessage="1" prompt="Please select appropriate answer from drop down list." sqref="F223" xr:uid="{15C60609-2D17-4E28-A2AB-41834F9A09EE}">
      <formula1>"1,2"</formula1>
    </dataValidation>
    <dataValidation type="custom" allowBlank="1" showInputMessage="1" showErrorMessage="1" error="Please enter a numeric value.  If this data is not applicable to your unit of government, please enter zero." prompt="_x000a_" sqref="Q21:Q23" xr:uid="{9CBC3A0A-ED2F-4189-A811-9F7E91132699}">
      <formula1>ISNUMBER(Q21)</formula1>
    </dataValidation>
    <dataValidation type="custom" allowBlank="1" showInputMessage="1" showErrorMessage="1" error="Please enter a numeric value. " sqref="Q7" xr:uid="{CB95FD3C-B04D-4711-9116-7A469E0AAB1B}">
      <formula1>ISNUMBER(Q7)</formula1>
    </dataValidation>
    <dataValidation type="custom" allowBlank="1" showInputMessage="1" showErrorMessage="1" error="Please enter a numeric value. If this data is not applicable to your unit of government, the cell should be populated with zero." sqref="Q8:Q17 F7:F17" xr:uid="{2B8A4F99-9CD2-4D02-A062-E988EF3799E5}">
      <formula1>ISNUMBER(F7)</formula1>
    </dataValidation>
    <dataValidation allowBlank="1" showInputMessage="1" showErrorMessage="1" error="Please enter a numeric value. If this data is not applicable to your unit of government, the cell should be populated with zero." sqref="Q18:Q19" xr:uid="{74AB16B8-397F-4D3E-B798-0C4CD86D1B10}"/>
    <dataValidation type="custom" allowBlank="1" showInputMessage="1" showErrorMessage="1" error="Please enter a numeric value. If this data is not applicable to your unit of government, the cell should be populated with zero." prompt="_x000a_" sqref="Q20" xr:uid="{ECAB93E3-7E39-4615-8FE4-6276528C897F}">
      <formula1>ISNUMBER(Q20)</formula1>
    </dataValidation>
    <dataValidation type="list" allowBlank="1" showErrorMessage="1" prompt="Please select appropriate answer from drop down list." sqref="F184:F185" xr:uid="{B28A4ED8-9280-4348-99A1-3B99F5248D33}">
      <formula1>$M$1:$M$2</formula1>
    </dataValidation>
    <dataValidation type="list" allowBlank="1" showInputMessage="1" showErrorMessage="1" prompt="Please select appropriate answer from drop down list." sqref="F214" xr:uid="{CE840982-6377-4DDA-A117-91D0B30682FD}">
      <formula1>$O$1:$O$2</formula1>
    </dataValidation>
    <dataValidation type="custom" allowBlank="1" showErrorMessage="1" error="Please enter a numeric value.  If this data is not applicable to your unit of government the cell should be populated with zero." sqref="F262" xr:uid="{CB641EB2-3894-4A74-BBEC-CDF7A3E8D5D8}">
      <formula1>ISNUMBER(F262)</formula1>
    </dataValidation>
    <dataValidation type="custom" allowBlank="1" showErrorMessage="1" error="Please enter a numeric value.  If this data is not applicable to your unit of government, the cell should be populated wih zero." sqref="F270" xr:uid="{EE3DADAD-5656-406D-A714-9D6C22BCD542}">
      <formula1>ISNUMBER(F270)</formula1>
    </dataValidation>
  </dataValidations>
  <printOptions headings="1" gridLines="1"/>
  <pageMargins left="0.25" right="0.25" top="0.25" bottom="0.75" header="0.3" footer="0.3"/>
  <pageSetup fitToHeight="0" orientation="portrait" r:id="rId1"/>
  <headerFooter>
    <oddFooter>&amp;LPage &amp;P&amp;R&amp;Z&amp;F</oddFooter>
  </headerFooter>
  <ignoredErrors>
    <ignoredError sqref="H293:H295" unlockedFormula="1"/>
  </ignoredErrors>
  <extLst>
    <ext xmlns:x14="http://schemas.microsoft.com/office/spreadsheetml/2009/9/main" uri="{CCE6A557-97BC-4b89-ADB6-D9C93CAAB3DF}">
      <x14:dataValidations xmlns:xm="http://schemas.microsoft.com/office/excel/2006/main" xWindow="829" yWindow="690" count="1">
        <x14:dataValidation type="list" allowBlank="1" showInputMessage="1" showErrorMessage="1" xr:uid="{58393190-762B-41D9-B25B-2C7D3E23E833}">
          <x14:formula1>
            <xm:f>'Unit Names(H)'!$A$1:$A$115</xm:f>
          </x14:formula1>
          <xm:sqref>D2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9AF871-8D58-4B43-B608-BEB0D5AB7735}">
  <sheetPr codeName="Sheet3">
    <tabColor theme="3" tint="0.79998168889431442"/>
    <pageSetUpPr fitToPage="1"/>
  </sheetPr>
  <dimension ref="A1:AU97"/>
  <sheetViews>
    <sheetView showGridLines="0" zoomScaleNormal="100" workbookViewId="0">
      <selection activeCell="G41" sqref="G41"/>
    </sheetView>
  </sheetViews>
  <sheetFormatPr defaultColWidth="9.33203125" defaultRowHeight="14.4" x14ac:dyDescent="0.3"/>
  <cols>
    <col min="1" max="1" width="2.6640625" style="190" customWidth="1"/>
    <col min="2" max="3" width="2.33203125" style="190" customWidth="1"/>
    <col min="4" max="4" width="7.44140625" style="254" customWidth="1"/>
    <col min="5" max="5" width="43.6640625" style="242" customWidth="1"/>
    <col min="6" max="6" width="53.33203125" style="242" customWidth="1"/>
    <col min="7" max="7" width="18.6640625" style="190" customWidth="1"/>
    <col min="8" max="8" width="44.44140625" style="190" customWidth="1"/>
    <col min="9" max="9" width="9.44140625" style="190" customWidth="1"/>
    <col min="10" max="10" width="9.33203125" style="242" customWidth="1"/>
    <col min="11" max="12" width="16.6640625" customWidth="1"/>
    <col min="13" max="13" width="15.109375" customWidth="1"/>
    <col min="14" max="14" width="2.6640625" customWidth="1"/>
    <col min="15" max="15" width="61.109375" customWidth="1"/>
    <col min="16" max="16" width="77.6640625" customWidth="1"/>
    <col min="17" max="17" width="30.6640625" customWidth="1"/>
    <col min="18" max="18" width="10.44140625" customWidth="1"/>
    <col min="19" max="19" width="10.6640625" customWidth="1"/>
    <col min="20" max="20" width="11.109375" customWidth="1"/>
    <col min="21" max="21" width="14" customWidth="1"/>
    <col min="22" max="22" width="17.6640625" customWidth="1"/>
    <col min="23" max="23" width="11.33203125" customWidth="1"/>
    <col min="24" max="24" width="57.33203125" customWidth="1"/>
    <col min="25" max="25" width="13.109375" customWidth="1"/>
    <col min="26" max="26" width="31.109375" customWidth="1"/>
    <col min="27" max="27" width="4.6640625" customWidth="1"/>
    <col min="28" max="36" width="9.33203125" customWidth="1"/>
    <col min="37" max="37" width="36.44140625" customWidth="1"/>
    <col min="38" max="38" width="9.33203125" customWidth="1"/>
    <col min="48" max="16384" width="9.33203125" style="190"/>
  </cols>
  <sheetData>
    <row r="1" spans="1:47" ht="87" customHeight="1" thickBot="1" x14ac:dyDescent="0.35">
      <c r="B1" s="1179" t="s">
        <v>1467</v>
      </c>
      <c r="C1" s="1180"/>
      <c r="D1" s="1180"/>
      <c r="E1" s="1180"/>
      <c r="F1" s="1180"/>
      <c r="G1" s="1180"/>
      <c r="H1" s="1180"/>
      <c r="I1" s="1180"/>
      <c r="J1" s="1181"/>
    </row>
    <row r="2" spans="1:47" s="191" customFormat="1" ht="16.8" hidden="1" thickBot="1" x14ac:dyDescent="0.35">
      <c r="B2" s="1182" t="s">
        <v>560</v>
      </c>
      <c r="C2" s="1183"/>
      <c r="D2" s="1183"/>
      <c r="E2" s="1183"/>
      <c r="F2" s="1183"/>
      <c r="G2" s="1183"/>
      <c r="H2" s="1183"/>
      <c r="I2" s="1183"/>
      <c r="J2" s="1184"/>
      <c r="K2"/>
      <c r="L2"/>
      <c r="M2"/>
      <c r="N2"/>
      <c r="O2"/>
      <c r="P2"/>
      <c r="Q2"/>
      <c r="R2"/>
      <c r="S2"/>
      <c r="T2"/>
      <c r="U2"/>
      <c r="V2"/>
      <c r="W2"/>
      <c r="X2"/>
      <c r="Y2"/>
      <c r="Z2"/>
      <c r="AA2"/>
      <c r="AB2"/>
      <c r="AC2"/>
      <c r="AD2"/>
      <c r="AE2"/>
      <c r="AF2"/>
      <c r="AG2"/>
      <c r="AH2"/>
      <c r="AI2"/>
      <c r="AJ2"/>
      <c r="AK2"/>
      <c r="AL2"/>
      <c r="AM2"/>
      <c r="AN2"/>
      <c r="AO2"/>
      <c r="AP2"/>
      <c r="AQ2"/>
      <c r="AR2"/>
      <c r="AS2"/>
      <c r="AT2"/>
      <c r="AU2"/>
    </row>
    <row r="3" spans="1:47" s="192" customFormat="1" ht="39" hidden="1" customHeight="1" thickBot="1" x14ac:dyDescent="0.35">
      <c r="A3" s="190"/>
      <c r="B3" s="1185" t="s">
        <v>561</v>
      </c>
      <c r="C3" s="1186"/>
      <c r="D3" s="1186"/>
      <c r="E3" s="1186"/>
      <c r="F3" s="1186"/>
      <c r="G3" s="1186"/>
      <c r="H3" s="1186"/>
      <c r="I3" s="1186"/>
      <c r="J3" s="1187"/>
      <c r="K3"/>
      <c r="L3"/>
      <c r="M3"/>
      <c r="N3"/>
      <c r="O3"/>
      <c r="P3"/>
      <c r="Q3"/>
      <c r="R3"/>
      <c r="S3"/>
      <c r="T3"/>
      <c r="U3"/>
      <c r="V3"/>
      <c r="W3"/>
      <c r="X3"/>
      <c r="Y3"/>
      <c r="Z3"/>
      <c r="AA3"/>
      <c r="AB3"/>
      <c r="AC3"/>
      <c r="AD3"/>
      <c r="AE3"/>
      <c r="AF3"/>
      <c r="AG3"/>
      <c r="AH3"/>
      <c r="AI3"/>
      <c r="AJ3"/>
      <c r="AK3"/>
      <c r="AL3"/>
      <c r="AM3"/>
      <c r="AN3"/>
      <c r="AO3"/>
      <c r="AP3"/>
      <c r="AQ3"/>
      <c r="AR3"/>
      <c r="AS3"/>
      <c r="AT3"/>
      <c r="AU3"/>
    </row>
    <row r="4" spans="1:47" ht="20.25" customHeight="1" x14ac:dyDescent="0.3">
      <c r="B4" s="1120" t="s">
        <v>1468</v>
      </c>
      <c r="C4" s="1121"/>
      <c r="D4" s="1121"/>
      <c r="E4" s="1121"/>
      <c r="F4" s="1121"/>
      <c r="G4" s="1121"/>
      <c r="H4" s="1121"/>
      <c r="I4" s="1121"/>
      <c r="J4" s="1122"/>
    </row>
    <row r="5" spans="1:47" ht="27" hidden="1" customHeight="1" x14ac:dyDescent="0.3">
      <c r="B5" s="1191" t="s">
        <v>1200</v>
      </c>
      <c r="C5" s="1192"/>
      <c r="D5" s="1192"/>
      <c r="E5" s="1192"/>
      <c r="F5" s="1192"/>
      <c r="G5" s="1192"/>
      <c r="H5" s="1192"/>
      <c r="I5" s="1192"/>
      <c r="J5" s="1193"/>
    </row>
    <row r="6" spans="1:47" ht="27" hidden="1" customHeight="1" x14ac:dyDescent="0.3">
      <c r="B6" s="921"/>
      <c r="C6" s="922"/>
      <c r="D6" s="922"/>
      <c r="E6" s="922"/>
      <c r="F6" s="922"/>
      <c r="G6" s="922"/>
      <c r="H6" s="922"/>
      <c r="I6" s="922"/>
      <c r="J6" s="923"/>
    </row>
    <row r="7" spans="1:47" ht="20.25" customHeight="1" thickBot="1" x14ac:dyDescent="0.35">
      <c r="B7" s="1188" t="s">
        <v>1469</v>
      </c>
      <c r="C7" s="1189"/>
      <c r="D7" s="1189"/>
      <c r="E7" s="1189"/>
      <c r="F7" s="1189"/>
      <c r="G7" s="1189"/>
      <c r="H7" s="1189"/>
      <c r="I7" s="1189"/>
      <c r="J7" s="1190"/>
    </row>
    <row r="8" spans="1:47" ht="39" hidden="1" customHeight="1" thickBot="1" x14ac:dyDescent="0.35">
      <c r="B8" s="193"/>
      <c r="C8" s="194"/>
      <c r="D8" s="195" t="s">
        <v>562</v>
      </c>
      <c r="E8" s="196"/>
      <c r="F8" s="197"/>
      <c r="G8" s="197"/>
      <c r="H8" s="197"/>
      <c r="I8" s="197"/>
      <c r="J8" s="198"/>
    </row>
    <row r="9" spans="1:47" s="199" customFormat="1" ht="15" hidden="1" thickBot="1" x14ac:dyDescent="0.35">
      <c r="B9" s="200"/>
      <c r="C9" s="201"/>
      <c r="D9" s="249" t="s">
        <v>440</v>
      </c>
      <c r="E9" s="202"/>
      <c r="F9" s="202"/>
      <c r="G9" s="202"/>
      <c r="H9" s="203"/>
      <c r="I9" s="203"/>
      <c r="J9" s="204"/>
      <c r="K9"/>
      <c r="L9"/>
      <c r="M9"/>
      <c r="N9"/>
      <c r="O9"/>
      <c r="P9"/>
      <c r="Q9"/>
      <c r="R9"/>
      <c r="S9"/>
      <c r="T9"/>
      <c r="U9"/>
      <c r="V9"/>
      <c r="W9"/>
      <c r="X9"/>
      <c r="Y9"/>
      <c r="Z9"/>
      <c r="AA9"/>
      <c r="AB9"/>
      <c r="AC9"/>
      <c r="AD9"/>
      <c r="AE9"/>
      <c r="AF9"/>
      <c r="AG9"/>
      <c r="AH9"/>
      <c r="AI9"/>
      <c r="AJ9"/>
      <c r="AK9"/>
      <c r="AL9"/>
      <c r="AM9"/>
      <c r="AN9"/>
      <c r="AO9"/>
      <c r="AP9"/>
      <c r="AQ9"/>
      <c r="AR9"/>
      <c r="AS9"/>
      <c r="AT9"/>
      <c r="AU9"/>
    </row>
    <row r="10" spans="1:47" ht="19.5" hidden="1" customHeight="1" thickBot="1" x14ac:dyDescent="0.35">
      <c r="B10" s="205"/>
      <c r="C10" s="206"/>
      <c r="D10" s="297" t="s">
        <v>807</v>
      </c>
      <c r="E10" s="1150" t="s">
        <v>563</v>
      </c>
      <c r="F10" s="1150"/>
      <c r="G10" s="1152"/>
      <c r="H10" s="1153"/>
      <c r="I10" s="1154"/>
      <c r="J10" s="207"/>
    </row>
    <row r="11" spans="1:47" ht="14.25" hidden="1" customHeight="1" thickBot="1" x14ac:dyDescent="0.35">
      <c r="B11" s="205"/>
      <c r="C11" s="206"/>
      <c r="D11" s="249"/>
      <c r="E11" s="202"/>
      <c r="F11" s="202"/>
      <c r="G11" s="208" t="str">
        <f>IF(U9&gt;0,"PLEASE SEE INSTRUCTIONS REGARDING NAME","")</f>
        <v/>
      </c>
      <c r="H11" s="209"/>
      <c r="I11" s="209"/>
      <c r="J11" s="207"/>
    </row>
    <row r="12" spans="1:47" ht="21" hidden="1" customHeight="1" thickBot="1" x14ac:dyDescent="0.35">
      <c r="B12" s="205"/>
      <c r="C12" s="206"/>
      <c r="D12" s="298" t="s">
        <v>808</v>
      </c>
      <c r="E12" s="1150" t="s">
        <v>1001</v>
      </c>
      <c r="F12" s="1150"/>
      <c r="G12" s="210"/>
      <c r="H12" s="209"/>
      <c r="I12" s="209"/>
      <c r="J12" s="207"/>
    </row>
    <row r="13" spans="1:47" ht="6.75" hidden="1" customHeight="1" thickBot="1" x14ac:dyDescent="0.35">
      <c r="B13" s="205"/>
      <c r="C13" s="206"/>
      <c r="D13" s="249"/>
      <c r="E13" s="211"/>
      <c r="F13" s="211"/>
      <c r="G13" s="209"/>
      <c r="H13" s="209"/>
      <c r="I13" s="209"/>
      <c r="J13" s="207"/>
    </row>
    <row r="14" spans="1:47" ht="26.25" hidden="1" customHeight="1" thickBot="1" x14ac:dyDescent="0.35">
      <c r="B14" s="205"/>
      <c r="C14" s="206"/>
      <c r="D14" s="255">
        <v>900</v>
      </c>
      <c r="E14" s="1150" t="s">
        <v>564</v>
      </c>
      <c r="F14" s="1150"/>
      <c r="G14" s="212"/>
      <c r="H14" s="209"/>
      <c r="I14" s="209"/>
      <c r="J14" s="207"/>
    </row>
    <row r="15" spans="1:47" ht="6.75" hidden="1" customHeight="1" thickBot="1" x14ac:dyDescent="0.35">
      <c r="B15" s="205"/>
      <c r="C15" s="206"/>
      <c r="D15" s="255"/>
      <c r="E15" s="211"/>
      <c r="F15" s="211"/>
      <c r="G15" s="209"/>
      <c r="H15" s="209"/>
      <c r="I15" s="209"/>
      <c r="J15" s="207"/>
    </row>
    <row r="16" spans="1:47" ht="26.25" hidden="1" customHeight="1" thickBot="1" x14ac:dyDescent="0.35">
      <c r="B16" s="205"/>
      <c r="C16" s="206"/>
      <c r="D16" s="255" t="s">
        <v>740</v>
      </c>
      <c r="E16" s="1169" t="s">
        <v>565</v>
      </c>
      <c r="F16" s="1169"/>
      <c r="G16" s="1170"/>
      <c r="H16" s="1153"/>
      <c r="I16" s="1154"/>
      <c r="J16" s="207"/>
    </row>
    <row r="17" spans="2:10" ht="6.75" hidden="1" customHeight="1" thickBot="1" x14ac:dyDescent="0.35">
      <c r="B17" s="205"/>
      <c r="C17" s="206"/>
      <c r="D17" s="255"/>
      <c r="E17" s="211"/>
      <c r="F17" s="211"/>
      <c r="G17" s="209"/>
      <c r="H17" s="209"/>
      <c r="I17" s="209"/>
      <c r="J17" s="207"/>
    </row>
    <row r="18" spans="2:10" ht="24" hidden="1" customHeight="1" thickBot="1" x14ac:dyDescent="0.35">
      <c r="B18" s="205"/>
      <c r="C18" s="206"/>
      <c r="D18" s="255" t="s">
        <v>741</v>
      </c>
      <c r="E18" s="1169" t="s">
        <v>566</v>
      </c>
      <c r="F18" s="1169"/>
      <c r="G18" s="1152"/>
      <c r="H18" s="1153"/>
      <c r="I18" s="1154"/>
      <c r="J18" s="207"/>
    </row>
    <row r="19" spans="2:10" ht="6.75" hidden="1" customHeight="1" thickBot="1" x14ac:dyDescent="0.35">
      <c r="B19" s="205"/>
      <c r="C19" s="206"/>
      <c r="D19" s="255"/>
      <c r="E19" s="211"/>
      <c r="F19" s="211"/>
      <c r="G19" s="209"/>
      <c r="H19" s="209"/>
      <c r="I19" s="209"/>
      <c r="J19" s="207"/>
    </row>
    <row r="20" spans="2:10" ht="24" hidden="1" customHeight="1" thickBot="1" x14ac:dyDescent="0.35">
      <c r="B20" s="205"/>
      <c r="C20" s="206"/>
      <c r="D20" s="255" t="s">
        <v>742</v>
      </c>
      <c r="E20" s="1169" t="s">
        <v>567</v>
      </c>
      <c r="F20" s="1169"/>
      <c r="G20" s="1152"/>
      <c r="H20" s="1153"/>
      <c r="I20" s="1154"/>
      <c r="J20" s="207"/>
    </row>
    <row r="21" spans="2:10" ht="6.75" hidden="1" customHeight="1" thickBot="1" x14ac:dyDescent="0.35">
      <c r="B21" s="205"/>
      <c r="C21" s="206"/>
      <c r="D21" s="255"/>
      <c r="E21" s="211"/>
      <c r="F21" s="211"/>
      <c r="G21" s="209"/>
      <c r="H21" s="209"/>
      <c r="I21" s="209"/>
      <c r="J21" s="207"/>
    </row>
    <row r="22" spans="2:10" ht="24" hidden="1" customHeight="1" thickBot="1" x14ac:dyDescent="0.35">
      <c r="B22" s="205"/>
      <c r="C22" s="206"/>
      <c r="D22" s="255" t="s">
        <v>743</v>
      </c>
      <c r="E22" s="1169" t="s">
        <v>568</v>
      </c>
      <c r="F22" s="1169"/>
      <c r="G22" s="1170"/>
      <c r="H22" s="1153"/>
      <c r="I22" s="1154"/>
      <c r="J22" s="207"/>
    </row>
    <row r="23" spans="2:10" ht="6.75" hidden="1" customHeight="1" thickBot="1" x14ac:dyDescent="0.35">
      <c r="B23" s="205"/>
      <c r="C23" s="206"/>
      <c r="D23" s="255"/>
      <c r="E23" s="211"/>
      <c r="F23" s="211"/>
      <c r="G23" s="209"/>
      <c r="H23" s="209"/>
      <c r="I23" s="209"/>
      <c r="J23" s="207"/>
    </row>
    <row r="24" spans="2:10" ht="24" hidden="1" customHeight="1" thickBot="1" x14ac:dyDescent="0.35">
      <c r="B24" s="205"/>
      <c r="C24" s="206"/>
      <c r="D24" s="255" t="s">
        <v>744</v>
      </c>
      <c r="E24" s="1169" t="s">
        <v>569</v>
      </c>
      <c r="F24" s="1169"/>
      <c r="G24" s="1170"/>
      <c r="H24" s="1153"/>
      <c r="I24" s="1154"/>
      <c r="J24" s="207"/>
    </row>
    <row r="25" spans="2:10" ht="6.75" hidden="1" customHeight="1" thickBot="1" x14ac:dyDescent="0.35">
      <c r="B25" s="205"/>
      <c r="C25" s="206"/>
      <c r="D25" s="256"/>
      <c r="E25" s="202"/>
      <c r="F25" s="202"/>
      <c r="G25" s="206"/>
      <c r="H25" s="206"/>
      <c r="I25" s="206"/>
      <c r="J25" s="207"/>
    </row>
    <row r="26" spans="2:10" ht="18.75" hidden="1" customHeight="1" thickBot="1" x14ac:dyDescent="0.35">
      <c r="B26" s="205"/>
      <c r="C26" s="206"/>
      <c r="D26" s="255" t="s">
        <v>809</v>
      </c>
      <c r="E26" s="1150" t="s">
        <v>570</v>
      </c>
      <c r="F26" s="1150"/>
      <c r="G26" s="1171"/>
      <c r="H26" s="1172"/>
      <c r="I26" s="213"/>
      <c r="J26" s="207"/>
    </row>
    <row r="27" spans="2:10" ht="28.5" hidden="1" customHeight="1" thickBot="1" x14ac:dyDescent="0.35">
      <c r="B27" s="205"/>
      <c r="C27" s="206"/>
      <c r="D27" s="255"/>
      <c r="E27" s="1173" t="str">
        <f>IF(G26="Housing Authority", CONCATENATE("SKIP Questions ",D28,"-",D66),"")</f>
        <v/>
      </c>
      <c r="F27" s="1173"/>
      <c r="G27" s="1173"/>
      <c r="H27" s="1173"/>
      <c r="I27" s="213"/>
      <c r="J27" s="207"/>
    </row>
    <row r="28" spans="2:10" ht="28.5" hidden="1" customHeight="1" thickBot="1" x14ac:dyDescent="0.35">
      <c r="B28" s="205"/>
      <c r="C28" s="206"/>
      <c r="D28" s="255" t="s">
        <v>746</v>
      </c>
      <c r="E28" s="1150" t="s">
        <v>571</v>
      </c>
      <c r="F28" s="1150"/>
      <c r="G28" s="214"/>
      <c r="H28" s="1174">
        <f>+O28</f>
        <v>0</v>
      </c>
      <c r="I28" s="1175"/>
      <c r="J28" s="207"/>
    </row>
    <row r="29" spans="2:10" ht="6.75" hidden="1" customHeight="1" thickBot="1" x14ac:dyDescent="0.35">
      <c r="B29" s="205"/>
      <c r="C29" s="206"/>
      <c r="D29" s="256"/>
      <c r="E29" s="202"/>
      <c r="F29" s="202"/>
      <c r="G29" s="215"/>
      <c r="H29" s="202"/>
      <c r="I29" s="216"/>
      <c r="J29" s="207"/>
    </row>
    <row r="30" spans="2:10" ht="18.75" hidden="1" customHeight="1" thickBot="1" x14ac:dyDescent="0.35">
      <c r="B30" s="205"/>
      <c r="C30" s="206"/>
      <c r="D30" s="255" t="s">
        <v>745</v>
      </c>
      <c r="E30" s="1150" t="s">
        <v>572</v>
      </c>
      <c r="F30" s="1150"/>
      <c r="G30" s="217"/>
      <c r="H30" s="1176"/>
      <c r="I30" s="1176"/>
      <c r="J30" s="207"/>
    </row>
    <row r="31" spans="2:10" ht="6.75" hidden="1" customHeight="1" thickBot="1" x14ac:dyDescent="0.35">
      <c r="B31" s="205"/>
      <c r="C31" s="206"/>
      <c r="D31" s="256"/>
      <c r="E31" s="202"/>
      <c r="F31" s="202"/>
      <c r="G31" s="206"/>
      <c r="H31" s="206"/>
      <c r="I31" s="206"/>
      <c r="J31" s="207"/>
    </row>
    <row r="32" spans="2:10" ht="27.75" hidden="1" customHeight="1" thickBot="1" x14ac:dyDescent="0.35">
      <c r="B32" s="205"/>
      <c r="C32" s="206"/>
      <c r="D32" s="255" t="s">
        <v>747</v>
      </c>
      <c r="E32" s="1177" t="s">
        <v>573</v>
      </c>
      <c r="F32" s="1178"/>
      <c r="G32" s="1166"/>
      <c r="H32" s="1167"/>
      <c r="I32" s="1168"/>
      <c r="J32" s="207"/>
    </row>
    <row r="33" spans="2:10" ht="6.75" hidden="1" customHeight="1" thickBot="1" x14ac:dyDescent="0.35">
      <c r="B33" s="205"/>
      <c r="C33" s="206"/>
      <c r="D33" s="256"/>
      <c r="E33" s="202"/>
      <c r="F33" s="202"/>
      <c r="G33" s="206"/>
      <c r="H33" s="206"/>
      <c r="I33" s="206"/>
      <c r="J33" s="207"/>
    </row>
    <row r="34" spans="2:10" ht="17.25" hidden="1" customHeight="1" thickBot="1" x14ac:dyDescent="0.35">
      <c r="B34" s="205"/>
      <c r="C34" s="206"/>
      <c r="D34" s="255" t="s">
        <v>748</v>
      </c>
      <c r="E34" s="211" t="s">
        <v>574</v>
      </c>
      <c r="F34" s="211"/>
      <c r="G34" s="1152"/>
      <c r="H34" s="1153"/>
      <c r="I34" s="1154"/>
      <c r="J34" s="207"/>
    </row>
    <row r="35" spans="2:10" ht="6.75" hidden="1" customHeight="1" thickBot="1" x14ac:dyDescent="0.35">
      <c r="B35" s="205"/>
      <c r="C35" s="206"/>
      <c r="D35" s="256"/>
      <c r="E35" s="202"/>
      <c r="F35" s="202"/>
      <c r="G35" s="206"/>
      <c r="H35" s="206"/>
      <c r="I35" s="206"/>
      <c r="J35" s="207"/>
    </row>
    <row r="36" spans="2:10" ht="18" hidden="1" customHeight="1" thickBot="1" x14ac:dyDescent="0.35">
      <c r="B36" s="205"/>
      <c r="C36" s="206"/>
      <c r="D36" s="255" t="s">
        <v>749</v>
      </c>
      <c r="E36" s="1150" t="s">
        <v>575</v>
      </c>
      <c r="F36" s="1161"/>
      <c r="G36" s="1152"/>
      <c r="H36" s="1153"/>
      <c r="I36" s="1154"/>
      <c r="J36" s="207"/>
    </row>
    <row r="37" spans="2:10" ht="8.25" hidden="1" customHeight="1" thickBot="1" x14ac:dyDescent="0.35">
      <c r="B37" s="205"/>
      <c r="C37" s="206"/>
      <c r="D37" s="249"/>
      <c r="E37" s="1162"/>
      <c r="F37" s="1162"/>
      <c r="G37" s="1162"/>
      <c r="H37" s="1162"/>
      <c r="I37" s="213"/>
      <c r="J37" s="207"/>
    </row>
    <row r="38" spans="2:10" ht="39" customHeight="1" thickBot="1" x14ac:dyDescent="0.35">
      <c r="B38" s="1163" t="s">
        <v>1199</v>
      </c>
      <c r="C38" s="1164"/>
      <c r="D38" s="1164"/>
      <c r="E38" s="1164"/>
      <c r="F38" s="1164"/>
      <c r="G38" s="1164"/>
      <c r="H38" s="1164"/>
      <c r="I38" s="1164"/>
      <c r="J38" s="1165"/>
    </row>
    <row r="39" spans="2:10" ht="4.5" customHeight="1" x14ac:dyDescent="0.3">
      <c r="B39" s="205"/>
      <c r="C39" s="206"/>
      <c r="D39" s="250"/>
      <c r="E39" s="202"/>
      <c r="F39" s="202"/>
      <c r="G39" s="206"/>
      <c r="H39" s="206"/>
      <c r="I39" s="206"/>
      <c r="J39" s="207"/>
    </row>
    <row r="40" spans="2:10" ht="4.5" customHeight="1" thickBot="1" x14ac:dyDescent="0.35">
      <c r="B40" s="205"/>
      <c r="C40" s="206"/>
      <c r="D40" s="250"/>
      <c r="E40" s="202"/>
      <c r="F40" s="202"/>
      <c r="G40" s="206"/>
      <c r="H40" s="206"/>
      <c r="I40" s="206"/>
      <c r="J40" s="207"/>
    </row>
    <row r="41" spans="2:10" ht="30.75" customHeight="1" thickBot="1" x14ac:dyDescent="0.35">
      <c r="B41" s="205"/>
      <c r="C41" s="206"/>
      <c r="D41" s="249">
        <v>906</v>
      </c>
      <c r="E41" s="1150" t="s">
        <v>576</v>
      </c>
      <c r="F41" s="1150"/>
      <c r="G41" s="214"/>
      <c r="H41" s="294" t="str">
        <f>IF(G41="","This Question must be answered before uploading, the report will not be processed if left blank","")</f>
        <v>This Question must be answered before uploading, the report will not be processed if left blank</v>
      </c>
      <c r="I41" s="206"/>
      <c r="J41" s="207"/>
    </row>
    <row r="42" spans="2:10" ht="6.75" customHeight="1" thickBot="1" x14ac:dyDescent="0.35">
      <c r="B42" s="205"/>
      <c r="C42" s="206"/>
      <c r="D42" s="249"/>
      <c r="E42" s="211"/>
      <c r="F42" s="211"/>
      <c r="G42" s="215"/>
      <c r="H42" s="206"/>
      <c r="I42" s="206"/>
      <c r="J42" s="207"/>
    </row>
    <row r="43" spans="2:10" ht="32.25" customHeight="1" thickBot="1" x14ac:dyDescent="0.35">
      <c r="B43" s="205"/>
      <c r="C43" s="206"/>
      <c r="D43" s="249">
        <v>907</v>
      </c>
      <c r="E43" s="1150" t="s">
        <v>577</v>
      </c>
      <c r="F43" s="1150"/>
      <c r="G43" s="214"/>
      <c r="H43" s="294" t="str">
        <f>IF(G43="","This Question must be answered before uploading, the report will not be processed if left blank","")</f>
        <v>This Question must be answered before uploading, the report will not be processed if left blank</v>
      </c>
      <c r="I43" s="206"/>
      <c r="J43" s="207"/>
    </row>
    <row r="44" spans="2:10" ht="6.75" customHeight="1" thickBot="1" x14ac:dyDescent="0.35">
      <c r="B44" s="205"/>
      <c r="C44" s="206"/>
      <c r="D44" s="249"/>
      <c r="E44" s="211"/>
      <c r="F44" s="211"/>
      <c r="G44" s="215"/>
      <c r="H44" s="206"/>
      <c r="I44" s="206"/>
      <c r="J44" s="207"/>
    </row>
    <row r="45" spans="2:10" ht="32.25" customHeight="1" thickBot="1" x14ac:dyDescent="0.35">
      <c r="B45" s="205"/>
      <c r="C45" s="206"/>
      <c r="D45" s="249">
        <v>951</v>
      </c>
      <c r="E45" s="1150" t="s">
        <v>578</v>
      </c>
      <c r="F45" s="1150"/>
      <c r="G45" s="214"/>
      <c r="H45" s="294" t="str">
        <f>IF(G45="","This Question must be answered before uploading, the report will not be processed if left blank","")</f>
        <v>This Question must be answered before uploading, the report will not be processed if left blank</v>
      </c>
      <c r="I45" s="202"/>
      <c r="J45" s="207"/>
    </row>
    <row r="46" spans="2:10" ht="6.75" customHeight="1" thickBot="1" x14ac:dyDescent="0.35">
      <c r="B46" s="205"/>
      <c r="C46" s="206"/>
      <c r="D46" s="249"/>
      <c r="E46" s="211"/>
      <c r="F46" s="211"/>
      <c r="G46" s="215"/>
      <c r="H46" s="206"/>
      <c r="I46" s="206"/>
      <c r="J46" s="207"/>
    </row>
    <row r="47" spans="2:10" ht="33" customHeight="1" thickBot="1" x14ac:dyDescent="0.35">
      <c r="B47" s="205"/>
      <c r="C47" s="206"/>
      <c r="D47" s="249">
        <v>953</v>
      </c>
      <c r="E47" s="1150" t="s">
        <v>579</v>
      </c>
      <c r="F47" s="1150"/>
      <c r="G47" s="214"/>
      <c r="H47" s="294" t="str">
        <f>IF(G47="","This Question must be answered before uploading, the report will not be processed if left blank","")</f>
        <v>This Question must be answered before uploading, the report will not be processed if left blank</v>
      </c>
      <c r="I47" s="202"/>
      <c r="J47" s="207"/>
    </row>
    <row r="48" spans="2:10" ht="6.75" customHeight="1" thickBot="1" x14ac:dyDescent="0.35">
      <c r="B48" s="205"/>
      <c r="C48" s="206"/>
      <c r="D48" s="251"/>
      <c r="E48" s="211"/>
      <c r="F48" s="211"/>
      <c r="G48" s="215"/>
      <c r="H48" s="206"/>
      <c r="I48" s="206"/>
      <c r="J48" s="207"/>
    </row>
    <row r="49" spans="2:47" ht="32.25" customHeight="1" thickBot="1" x14ac:dyDescent="0.35">
      <c r="B49" s="205"/>
      <c r="C49" s="206"/>
      <c r="D49" s="249">
        <v>955</v>
      </c>
      <c r="E49" s="1150" t="s">
        <v>580</v>
      </c>
      <c r="F49" s="1150"/>
      <c r="G49" s="218"/>
      <c r="H49" s="294" t="str">
        <f>IF(G49="","This Question must be answered before uploading, the report will not be processed if left blank","")</f>
        <v>This Question must be answered before uploading, the report will not be processed if left blank</v>
      </c>
      <c r="I49" s="219"/>
      <c r="J49" s="220"/>
    </row>
    <row r="50" spans="2:47" ht="6.75" customHeight="1" thickBot="1" x14ac:dyDescent="0.35">
      <c r="B50" s="205"/>
      <c r="C50" s="206"/>
      <c r="D50" s="249"/>
      <c r="E50" s="211"/>
      <c r="F50" s="211"/>
      <c r="G50" s="215"/>
      <c r="H50" s="219"/>
      <c r="I50" s="219"/>
      <c r="J50" s="220"/>
    </row>
    <row r="51" spans="2:47" ht="39.75" customHeight="1" thickBot="1" x14ac:dyDescent="0.35">
      <c r="B51" s="205"/>
      <c r="C51" s="206"/>
      <c r="D51" s="249">
        <v>957</v>
      </c>
      <c r="E51" s="1150" t="s">
        <v>581</v>
      </c>
      <c r="F51" s="1150"/>
      <c r="G51" s="218"/>
      <c r="H51" s="294" t="str">
        <f>IF(G51="","This Question must be answered before uploading, the report will not be processed if left blank","")</f>
        <v>This Question must be answered before uploading, the report will not be processed if left blank</v>
      </c>
      <c r="I51" s="219"/>
      <c r="J51" s="220"/>
    </row>
    <row r="52" spans="2:47" ht="9.75" customHeight="1" thickBot="1" x14ac:dyDescent="0.35">
      <c r="B52" s="205"/>
      <c r="C52" s="206"/>
      <c r="D52" s="250"/>
      <c r="E52" s="202"/>
      <c r="F52" s="202"/>
      <c r="G52" s="206"/>
      <c r="H52" s="206"/>
      <c r="I52" s="206"/>
      <c r="J52" s="207"/>
    </row>
    <row r="53" spans="2:47" ht="35.1" customHeight="1" thickBot="1" x14ac:dyDescent="0.35">
      <c r="B53" s="205"/>
      <c r="C53" s="206"/>
      <c r="D53" s="249">
        <v>959</v>
      </c>
      <c r="E53" s="1160" t="s">
        <v>996</v>
      </c>
      <c r="F53" s="1160"/>
      <c r="G53" s="214"/>
      <c r="H53" s="294" t="str">
        <f>IF(G53="","This Question must be answered before uploading, the report will not be processed if left blank","")</f>
        <v>This Question must be answered before uploading, the report will not be processed if left blank</v>
      </c>
      <c r="I53" s="206"/>
      <c r="J53" s="207"/>
    </row>
    <row r="54" spans="2:47" ht="8.25" hidden="1" customHeight="1" thickBot="1" x14ac:dyDescent="0.35">
      <c r="B54" s="205"/>
      <c r="C54" s="206"/>
      <c r="D54" s="249"/>
      <c r="E54" s="371"/>
      <c r="F54" s="371"/>
      <c r="G54" s="206"/>
      <c r="H54" s="206"/>
      <c r="I54" s="206"/>
      <c r="J54" s="207"/>
    </row>
    <row r="55" spans="2:47" ht="67.5" hidden="1" customHeight="1" thickBot="1" x14ac:dyDescent="0.35">
      <c r="B55" s="205"/>
      <c r="C55" s="221"/>
      <c r="D55" s="249">
        <v>973</v>
      </c>
      <c r="E55" s="1160" t="s">
        <v>1070</v>
      </c>
      <c r="F55" s="1160"/>
      <c r="G55" s="376"/>
      <c r="H55" s="294" t="str">
        <f>IF(G55="","This Question must be answered before uploading, the report will not be processed if left blank","")</f>
        <v>This Question must be answered before uploading, the report will not be processed if left blank</v>
      </c>
      <c r="I55" s="273"/>
      <c r="J55" s="207"/>
    </row>
    <row r="56" spans="2:47" ht="6.75" hidden="1" customHeight="1" x14ac:dyDescent="0.3">
      <c r="B56" s="205"/>
      <c r="C56" s="221"/>
      <c r="D56" s="252"/>
      <c r="E56" s="202"/>
      <c r="F56" s="202"/>
      <c r="G56" s="248"/>
      <c r="H56" s="206"/>
      <c r="I56" s="206"/>
      <c r="J56" s="207"/>
    </row>
    <row r="57" spans="2:47" ht="7.5" hidden="1" customHeight="1" thickBot="1" x14ac:dyDescent="0.35">
      <c r="B57" s="205"/>
      <c r="C57" s="206"/>
      <c r="D57" s="249"/>
      <c r="E57" s="295"/>
      <c r="F57" s="295"/>
      <c r="G57" s="215"/>
      <c r="H57" s="206"/>
      <c r="I57" s="206"/>
      <c r="J57" s="207"/>
    </row>
    <row r="58" spans="2:47" ht="98.25" hidden="1" customHeight="1" thickBot="1" x14ac:dyDescent="0.35">
      <c r="B58" s="205"/>
      <c r="C58" s="206"/>
      <c r="D58" s="249">
        <v>974</v>
      </c>
      <c r="E58" s="1150" t="s">
        <v>1000</v>
      </c>
      <c r="F58" s="1151"/>
      <c r="G58" s="214"/>
      <c r="H58" s="293" t="str">
        <f>IF(G58="","This Question must be answered before uploading, the report will not be processed if left blank","")</f>
        <v>This Question must be answered before uploading, the report will not be processed if left blank</v>
      </c>
      <c r="I58" s="222"/>
      <c r="J58" s="207"/>
    </row>
    <row r="59" spans="2:47" ht="6.75" hidden="1" customHeight="1" thickBot="1" x14ac:dyDescent="0.35">
      <c r="B59" s="205"/>
      <c r="C59" s="206"/>
      <c r="D59" s="249"/>
      <c r="E59" s="211"/>
      <c r="F59" s="211"/>
      <c r="G59" s="215"/>
      <c r="H59" s="202"/>
      <c r="I59" s="206"/>
      <c r="J59" s="207"/>
    </row>
    <row r="60" spans="2:47" ht="29.25" hidden="1" customHeight="1" thickBot="1" x14ac:dyDescent="0.35">
      <c r="B60" s="205"/>
      <c r="C60" s="206"/>
      <c r="D60" s="249">
        <v>965</v>
      </c>
      <c r="E60" s="1150" t="s">
        <v>582</v>
      </c>
      <c r="F60" s="1150"/>
      <c r="G60" s="217"/>
      <c r="H60" s="294" t="str">
        <f>IF(G60="","This Question must be answered before uploading, the report will not be processed if left blank","")</f>
        <v>This Question must be answered before uploading, the report will not be processed if left blank</v>
      </c>
      <c r="I60" s="216"/>
      <c r="J60" s="207"/>
    </row>
    <row r="61" spans="2:47" ht="6.75" customHeight="1" thickBot="1" x14ac:dyDescent="0.35">
      <c r="B61" s="205"/>
      <c r="C61" s="206"/>
      <c r="D61" s="250"/>
      <c r="E61" s="202"/>
      <c r="F61" s="202"/>
      <c r="G61" s="215"/>
      <c r="H61" s="202"/>
      <c r="I61" s="216"/>
      <c r="J61" s="207"/>
    </row>
    <row r="62" spans="2:47" s="227" customFormat="1" ht="30.75" customHeight="1" thickBot="1" x14ac:dyDescent="0.35">
      <c r="B62" s="223"/>
      <c r="C62" s="224"/>
      <c r="D62" s="249" t="s">
        <v>810</v>
      </c>
      <c r="E62" s="225" t="s">
        <v>583</v>
      </c>
      <c r="F62" s="226" t="str">
        <f>IF(G62="Yes", "Please Submit Management Letter","")</f>
        <v/>
      </c>
      <c r="G62" s="214"/>
      <c r="H62" s="294" t="str">
        <f>IF(G62="","This Question must be answered before uploading, the report will not be processed if left blank","")</f>
        <v>This Question must be answered before uploading, the report will not be processed if left blank</v>
      </c>
      <c r="I62" s="272"/>
      <c r="J62" s="207"/>
      <c r="K62"/>
      <c r="L62"/>
      <c r="M62"/>
      <c r="N62"/>
      <c r="O62"/>
      <c r="P62"/>
      <c r="Q62"/>
      <c r="R62"/>
      <c r="S62"/>
      <c r="T62"/>
      <c r="U62"/>
      <c r="V62"/>
      <c r="W62"/>
      <c r="X62"/>
      <c r="Y62"/>
      <c r="Z62"/>
      <c r="AA62"/>
      <c r="AB62"/>
      <c r="AC62"/>
      <c r="AD62"/>
      <c r="AE62"/>
      <c r="AF62"/>
      <c r="AG62"/>
      <c r="AH62"/>
      <c r="AI62"/>
      <c r="AJ62"/>
      <c r="AK62"/>
      <c r="AL62"/>
      <c r="AM62"/>
      <c r="AN62"/>
      <c r="AO62"/>
      <c r="AP62"/>
      <c r="AQ62"/>
      <c r="AR62"/>
      <c r="AS62"/>
      <c r="AT62"/>
      <c r="AU62"/>
    </row>
    <row r="63" spans="2:47" s="227" customFormat="1" ht="9.75" customHeight="1" thickBot="1" x14ac:dyDescent="0.35">
      <c r="B63" s="223"/>
      <c r="C63" s="224"/>
      <c r="D63" s="250"/>
      <c r="E63" s="228"/>
      <c r="F63" s="229"/>
      <c r="G63" s="215"/>
      <c r="H63" s="202"/>
      <c r="I63" s="216"/>
      <c r="J63" s="207"/>
      <c r="K63"/>
      <c r="L63"/>
      <c r="M63"/>
      <c r="N63"/>
      <c r="O63"/>
      <c r="P63"/>
      <c r="Q63"/>
      <c r="R63"/>
      <c r="S63"/>
      <c r="T63"/>
      <c r="U63"/>
      <c r="V63"/>
      <c r="W63"/>
      <c r="X63"/>
      <c r="Y63"/>
      <c r="Z63"/>
      <c r="AA63"/>
      <c r="AB63"/>
      <c r="AC63"/>
      <c r="AD63"/>
      <c r="AE63"/>
      <c r="AF63"/>
      <c r="AG63"/>
      <c r="AH63"/>
      <c r="AI63"/>
      <c r="AJ63"/>
      <c r="AK63"/>
      <c r="AL63"/>
      <c r="AM63"/>
      <c r="AN63"/>
      <c r="AO63"/>
      <c r="AP63"/>
      <c r="AQ63"/>
      <c r="AR63"/>
      <c r="AS63"/>
      <c r="AT63"/>
      <c r="AU63"/>
    </row>
    <row r="64" spans="2:47" s="227" customFormat="1" ht="31.5" customHeight="1" thickBot="1" x14ac:dyDescent="0.35">
      <c r="B64" s="223"/>
      <c r="C64" s="224"/>
      <c r="D64" s="249" t="s">
        <v>811</v>
      </c>
      <c r="E64" s="225" t="s">
        <v>584</v>
      </c>
      <c r="F64" s="226" t="str">
        <f>IF(G64="Yes", "Please Submit AU-C 260 Letter","")</f>
        <v/>
      </c>
      <c r="G64" s="214"/>
      <c r="H64" s="294" t="str">
        <f>IF(G64="","This Question must be answered before uploading, the report will not be processed if left blank","")</f>
        <v>This Question must be answered before uploading, the report will not be processed if left blank</v>
      </c>
      <c r="I64" s="272"/>
      <c r="J64" s="207"/>
      <c r="K64"/>
      <c r="L64"/>
      <c r="M64"/>
      <c r="N64"/>
      <c r="O64"/>
      <c r="P64"/>
      <c r="Q64"/>
      <c r="R64"/>
      <c r="S64"/>
      <c r="T64"/>
      <c r="U64"/>
      <c r="V64"/>
      <c r="W64"/>
      <c r="X64"/>
      <c r="Y64"/>
      <c r="Z64"/>
      <c r="AA64"/>
      <c r="AB64"/>
      <c r="AC64"/>
      <c r="AD64"/>
      <c r="AE64"/>
      <c r="AF64"/>
      <c r="AG64"/>
      <c r="AH64"/>
      <c r="AI64"/>
      <c r="AJ64"/>
      <c r="AK64"/>
      <c r="AL64"/>
      <c r="AM64"/>
      <c r="AN64"/>
      <c r="AO64"/>
      <c r="AP64"/>
      <c r="AQ64"/>
      <c r="AR64"/>
      <c r="AS64"/>
      <c r="AT64"/>
      <c r="AU64"/>
    </row>
    <row r="65" spans="2:47" s="227" customFormat="1" ht="8.25" customHeight="1" thickBot="1" x14ac:dyDescent="0.35">
      <c r="B65" s="223"/>
      <c r="C65" s="224"/>
      <c r="D65" s="250"/>
      <c r="E65" s="230"/>
      <c r="F65" s="229"/>
      <c r="G65" s="215"/>
      <c r="H65" s="202"/>
      <c r="I65" s="216"/>
      <c r="J65" s="207"/>
      <c r="K65"/>
      <c r="L65"/>
      <c r="M65"/>
      <c r="N65"/>
      <c r="O65"/>
      <c r="P65"/>
      <c r="Q65"/>
      <c r="R65"/>
      <c r="S65"/>
      <c r="T65"/>
      <c r="U65"/>
      <c r="V65"/>
      <c r="W65"/>
      <c r="X65"/>
      <c r="Y65"/>
      <c r="Z65"/>
      <c r="AA65"/>
      <c r="AB65"/>
      <c r="AC65"/>
      <c r="AD65"/>
      <c r="AE65"/>
      <c r="AF65"/>
      <c r="AG65"/>
      <c r="AH65"/>
      <c r="AI65"/>
      <c r="AJ65"/>
      <c r="AK65"/>
      <c r="AL65"/>
      <c r="AM65"/>
      <c r="AN65"/>
      <c r="AO65"/>
      <c r="AP65"/>
      <c r="AQ65"/>
      <c r="AR65"/>
      <c r="AS65"/>
      <c r="AT65"/>
      <c r="AU65"/>
    </row>
    <row r="66" spans="2:47" s="227" customFormat="1" ht="33.75" customHeight="1" thickBot="1" x14ac:dyDescent="0.35">
      <c r="B66" s="223"/>
      <c r="C66" s="224"/>
      <c r="D66" s="249" t="s">
        <v>812</v>
      </c>
      <c r="E66" s="225" t="s">
        <v>585</v>
      </c>
      <c r="F66" s="226" t="str">
        <f>IF(G66="Yes", "Please Submit AU-C 265 Letter","")</f>
        <v/>
      </c>
      <c r="G66" s="214"/>
      <c r="H66" s="294" t="str">
        <f>IF(G66="","This Question must be answered before uploading, the report will not be processed if left blank","")</f>
        <v>This Question must be answered before uploading, the report will not be processed if left blank</v>
      </c>
      <c r="I66" s="272"/>
      <c r="J66" s="207"/>
      <c r="K66"/>
      <c r="L66"/>
      <c r="M66"/>
      <c r="N66"/>
      <c r="O66"/>
      <c r="P66"/>
      <c r="Q66"/>
      <c r="R66"/>
      <c r="S66"/>
      <c r="T66"/>
      <c r="U66"/>
      <c r="V66"/>
      <c r="W66"/>
      <c r="X66"/>
      <c r="Y66"/>
      <c r="Z66"/>
      <c r="AA66"/>
      <c r="AB66"/>
      <c r="AC66"/>
      <c r="AD66"/>
      <c r="AE66"/>
      <c r="AF66"/>
      <c r="AG66"/>
      <c r="AH66"/>
      <c r="AI66"/>
      <c r="AJ66"/>
      <c r="AK66"/>
      <c r="AL66"/>
      <c r="AM66"/>
      <c r="AN66"/>
      <c r="AO66"/>
      <c r="AP66"/>
      <c r="AQ66"/>
      <c r="AR66"/>
      <c r="AS66"/>
      <c r="AT66"/>
      <c r="AU66"/>
    </row>
    <row r="67" spans="2:47" ht="6.75" customHeight="1" x14ac:dyDescent="0.3">
      <c r="B67" s="205"/>
      <c r="C67" s="206"/>
      <c r="D67" s="250"/>
      <c r="E67" s="231"/>
      <c r="F67" s="231"/>
      <c r="G67" s="209"/>
      <c r="H67" s="202"/>
      <c r="I67" s="202"/>
      <c r="J67" s="207"/>
    </row>
    <row r="68" spans="2:47" s="227" customFormat="1" ht="35.25" hidden="1" customHeight="1" thickBot="1" x14ac:dyDescent="0.35">
      <c r="B68" s="223"/>
      <c r="C68" s="209"/>
      <c r="D68" s="379">
        <v>977</v>
      </c>
      <c r="E68" s="1156" t="s">
        <v>981</v>
      </c>
      <c r="F68" s="1157"/>
      <c r="G68" s="377"/>
      <c r="H68" s="294" t="str">
        <f>IF(G68="","This Question must be answered before uploading, the report will not be processed if left blank","")</f>
        <v>This Question must be answered before uploading, the report will not be processed if left blank</v>
      </c>
      <c r="I68" s="216"/>
      <c r="J68" s="207"/>
      <c r="K68"/>
      <c r="L68"/>
      <c r="M68"/>
      <c r="N68"/>
      <c r="O68"/>
      <c r="P68"/>
      <c r="Q68"/>
      <c r="R68"/>
      <c r="S68"/>
      <c r="T68"/>
      <c r="U68"/>
      <c r="V68"/>
      <c r="W68"/>
      <c r="X68"/>
      <c r="Y68"/>
      <c r="Z68"/>
      <c r="AA68"/>
      <c r="AB68"/>
      <c r="AC68"/>
      <c r="AD68"/>
      <c r="AE68"/>
      <c r="AF68"/>
      <c r="AG68"/>
      <c r="AH68"/>
      <c r="AI68"/>
      <c r="AJ68"/>
      <c r="AK68"/>
      <c r="AL68"/>
      <c r="AM68"/>
      <c r="AN68"/>
      <c r="AO68"/>
      <c r="AP68"/>
      <c r="AQ68"/>
      <c r="AR68"/>
      <c r="AS68"/>
      <c r="AT68"/>
      <c r="AU68"/>
    </row>
    <row r="69" spans="2:47" s="227" customFormat="1" ht="8.25" customHeight="1" thickBot="1" x14ac:dyDescent="0.35">
      <c r="B69" s="223"/>
      <c r="C69" s="209"/>
      <c r="D69" s="249"/>
      <c r="E69" s="257"/>
      <c r="F69" s="258"/>
      <c r="G69" s="215"/>
      <c r="H69" s="202"/>
      <c r="I69" s="216"/>
      <c r="J69" s="207"/>
      <c r="K69"/>
      <c r="L69"/>
      <c r="M69"/>
      <c r="N69"/>
      <c r="O69"/>
      <c r="P69"/>
      <c r="Q69"/>
      <c r="R69"/>
      <c r="S69"/>
      <c r="T69"/>
      <c r="U69"/>
      <c r="V69"/>
      <c r="W69"/>
      <c r="X69"/>
      <c r="Y69"/>
      <c r="Z69"/>
      <c r="AA69"/>
      <c r="AB69"/>
      <c r="AC69"/>
      <c r="AD69"/>
      <c r="AE69"/>
      <c r="AF69"/>
      <c r="AG69"/>
      <c r="AH69"/>
      <c r="AI69"/>
      <c r="AJ69"/>
      <c r="AK69"/>
      <c r="AL69"/>
      <c r="AM69"/>
      <c r="AN69"/>
      <c r="AO69"/>
      <c r="AP69"/>
      <c r="AQ69"/>
      <c r="AR69"/>
      <c r="AS69"/>
      <c r="AT69"/>
      <c r="AU69"/>
    </row>
    <row r="70" spans="2:47" s="227" customFormat="1" ht="30" customHeight="1" thickBot="1" x14ac:dyDescent="0.35">
      <c r="B70" s="223"/>
      <c r="C70" s="209"/>
      <c r="D70" s="379">
        <v>978</v>
      </c>
      <c r="E70" s="1156" t="s">
        <v>751</v>
      </c>
      <c r="F70" s="1157"/>
      <c r="G70" s="377"/>
      <c r="H70" s="294" t="str">
        <f>IF(G70="","This Question must be answered before uploading, the report will not be processed if left blank","")</f>
        <v>This Question must be answered before uploading, the report will not be processed if left blank</v>
      </c>
      <c r="I70" s="216"/>
      <c r="J70" s="207"/>
      <c r="K70"/>
      <c r="L70"/>
      <c r="M70"/>
      <c r="N70"/>
      <c r="O70"/>
      <c r="P70"/>
      <c r="Q70"/>
      <c r="R70"/>
      <c r="S70"/>
      <c r="T70"/>
      <c r="U70"/>
      <c r="V70"/>
      <c r="W70"/>
      <c r="X70"/>
      <c r="Y70"/>
      <c r="Z70"/>
      <c r="AA70"/>
      <c r="AB70"/>
      <c r="AC70"/>
      <c r="AD70"/>
      <c r="AE70"/>
      <c r="AF70"/>
      <c r="AG70"/>
      <c r="AH70"/>
      <c r="AI70"/>
      <c r="AJ70"/>
      <c r="AK70"/>
      <c r="AL70"/>
      <c r="AM70"/>
      <c r="AN70"/>
      <c r="AO70"/>
      <c r="AP70"/>
      <c r="AQ70"/>
      <c r="AR70"/>
      <c r="AS70"/>
      <c r="AT70"/>
      <c r="AU70"/>
    </row>
    <row r="71" spans="2:47" s="227" customFormat="1" ht="8.25" customHeight="1" thickBot="1" x14ac:dyDescent="0.35">
      <c r="B71" s="223"/>
      <c r="C71" s="209"/>
      <c r="D71" s="379"/>
      <c r="E71" s="257"/>
      <c r="F71" s="258"/>
      <c r="G71" s="215"/>
      <c r="H71" s="202"/>
      <c r="I71" s="216"/>
      <c r="J71" s="207"/>
      <c r="K71"/>
      <c r="L71"/>
      <c r="M71"/>
      <c r="N71"/>
      <c r="O71"/>
      <c r="P71"/>
      <c r="Q71"/>
      <c r="R71"/>
      <c r="S71"/>
      <c r="T71"/>
      <c r="U71"/>
      <c r="V71"/>
      <c r="W71"/>
      <c r="X71"/>
      <c r="Y71"/>
      <c r="Z71"/>
      <c r="AA71"/>
      <c r="AB71"/>
      <c r="AC71"/>
      <c r="AD71"/>
      <c r="AE71"/>
      <c r="AF71"/>
      <c r="AG71"/>
      <c r="AH71"/>
      <c r="AI71"/>
      <c r="AJ71"/>
      <c r="AK71"/>
      <c r="AL71"/>
      <c r="AM71"/>
      <c r="AN71"/>
      <c r="AO71"/>
      <c r="AP71"/>
      <c r="AQ71"/>
      <c r="AR71"/>
      <c r="AS71"/>
      <c r="AT71"/>
      <c r="AU71"/>
    </row>
    <row r="72" spans="2:47" s="227" customFormat="1" ht="36.75" customHeight="1" thickBot="1" x14ac:dyDescent="0.35">
      <c r="B72" s="223"/>
      <c r="C72" s="209"/>
      <c r="D72" s="379">
        <v>979</v>
      </c>
      <c r="E72" s="1156" t="s">
        <v>1377</v>
      </c>
      <c r="F72" s="1157"/>
      <c r="G72" s="377"/>
      <c r="H72" s="294" t="str">
        <f>IF(G72="","This Question must be answered before uploading, the report will not be processed if left blank","")</f>
        <v>This Question must be answered before uploading, the report will not be processed if left blank</v>
      </c>
      <c r="I72" s="216"/>
      <c r="J72" s="207"/>
      <c r="K72"/>
      <c r="L72"/>
      <c r="M72"/>
      <c r="N72"/>
      <c r="O72"/>
      <c r="P72"/>
      <c r="Q72"/>
      <c r="R72"/>
      <c r="S72"/>
      <c r="T72"/>
      <c r="U72"/>
      <c r="V72"/>
      <c r="W72"/>
      <c r="X72"/>
      <c r="Y72"/>
      <c r="Z72"/>
      <c r="AA72"/>
      <c r="AB72"/>
      <c r="AC72"/>
      <c r="AD72"/>
      <c r="AE72"/>
      <c r="AF72"/>
      <c r="AG72"/>
      <c r="AH72"/>
      <c r="AI72"/>
      <c r="AJ72"/>
      <c r="AK72"/>
      <c r="AL72"/>
      <c r="AM72"/>
      <c r="AN72"/>
      <c r="AO72"/>
      <c r="AP72"/>
      <c r="AQ72"/>
      <c r="AR72"/>
      <c r="AS72"/>
      <c r="AT72"/>
      <c r="AU72"/>
    </row>
    <row r="73" spans="2:47" s="259" customFormat="1" ht="6.75" customHeight="1" thickBot="1" x14ac:dyDescent="0.35">
      <c r="B73" s="223"/>
      <c r="C73" s="209"/>
      <c r="D73" s="249"/>
      <c r="E73" s="257"/>
      <c r="F73" s="258"/>
      <c r="G73" s="215"/>
      <c r="H73" s="202"/>
      <c r="I73" s="216"/>
      <c r="J73" s="207"/>
      <c r="K73"/>
      <c r="L73"/>
      <c r="M73"/>
      <c r="N73"/>
      <c r="O73"/>
      <c r="P73"/>
      <c r="Q73"/>
      <c r="R73"/>
      <c r="S73"/>
      <c r="T73"/>
      <c r="U73"/>
      <c r="V73"/>
      <c r="W73"/>
      <c r="X73"/>
      <c r="Y73"/>
      <c r="Z73"/>
      <c r="AA73"/>
      <c r="AB73"/>
      <c r="AC73"/>
      <c r="AD73"/>
      <c r="AE73"/>
      <c r="AF73"/>
      <c r="AG73"/>
      <c r="AH73"/>
      <c r="AI73"/>
      <c r="AJ73"/>
      <c r="AK73"/>
      <c r="AL73"/>
      <c r="AM73"/>
      <c r="AN73"/>
      <c r="AO73"/>
      <c r="AP73"/>
      <c r="AQ73"/>
      <c r="AR73"/>
      <c r="AS73"/>
      <c r="AT73"/>
      <c r="AU73"/>
    </row>
    <row r="74" spans="2:47" s="227" customFormat="1" ht="39" customHeight="1" thickBot="1" x14ac:dyDescent="0.35">
      <c r="B74" s="223"/>
      <c r="C74" s="209"/>
      <c r="D74" s="379">
        <v>980</v>
      </c>
      <c r="E74" s="1158" t="s">
        <v>750</v>
      </c>
      <c r="F74" s="1158"/>
      <c r="G74" s="378"/>
      <c r="H74" s="294" t="str">
        <f>IF(G74="","This Question must be answered before uploading, the report will not be processed if left blank","")</f>
        <v>This Question must be answered before uploading, the report will not be processed if left blank</v>
      </c>
      <c r="I74" s="216"/>
      <c r="J74" s="207"/>
      <c r="K74"/>
      <c r="L74"/>
      <c r="M74"/>
      <c r="N74"/>
      <c r="O74"/>
      <c r="P74"/>
      <c r="Q74"/>
      <c r="R74"/>
      <c r="S74"/>
      <c r="T74"/>
      <c r="U74"/>
      <c r="V74"/>
      <c r="W74"/>
      <c r="X74"/>
      <c r="Y74"/>
      <c r="Z74"/>
      <c r="AA74"/>
      <c r="AB74"/>
      <c r="AC74"/>
      <c r="AD74"/>
      <c r="AE74"/>
      <c r="AF74"/>
      <c r="AG74"/>
      <c r="AH74"/>
      <c r="AI74"/>
      <c r="AJ74"/>
      <c r="AK74"/>
      <c r="AL74"/>
      <c r="AM74"/>
      <c r="AN74"/>
      <c r="AO74"/>
      <c r="AP74"/>
      <c r="AQ74"/>
      <c r="AR74"/>
      <c r="AS74"/>
      <c r="AT74"/>
      <c r="AU74"/>
    </row>
    <row r="75" spans="2:47" s="259" customFormat="1" ht="6.75" customHeight="1" thickBot="1" x14ac:dyDescent="0.35">
      <c r="B75" s="223"/>
      <c r="C75" s="209"/>
      <c r="D75" s="249"/>
      <c r="E75" s="1103"/>
      <c r="F75" s="258"/>
      <c r="G75" s="215"/>
      <c r="H75" s="1104"/>
      <c r="I75" s="216"/>
      <c r="J75" s="207"/>
      <c r="K75"/>
      <c r="L75"/>
      <c r="M75"/>
      <c r="N75"/>
      <c r="O75"/>
      <c r="P75"/>
      <c r="Q75"/>
      <c r="R75"/>
      <c r="S75"/>
      <c r="T75"/>
      <c r="U75"/>
      <c r="V75"/>
      <c r="W75"/>
      <c r="X75"/>
      <c r="Y75"/>
      <c r="Z75"/>
      <c r="AA75"/>
      <c r="AB75"/>
      <c r="AC75"/>
      <c r="AD75"/>
      <c r="AE75"/>
      <c r="AF75"/>
      <c r="AG75"/>
      <c r="AH75"/>
      <c r="AI75"/>
      <c r="AJ75"/>
      <c r="AK75"/>
      <c r="AL75"/>
      <c r="AM75"/>
      <c r="AN75"/>
      <c r="AO75"/>
      <c r="AP75"/>
      <c r="AQ75"/>
      <c r="AR75"/>
      <c r="AS75"/>
      <c r="AT75"/>
      <c r="AU75"/>
    </row>
    <row r="76" spans="2:47" s="259" customFormat="1" ht="39" customHeight="1" thickBot="1" x14ac:dyDescent="0.35">
      <c r="B76" s="205"/>
      <c r="C76" s="221"/>
      <c r="D76" s="249">
        <v>975</v>
      </c>
      <c r="E76" s="1150" t="s">
        <v>753</v>
      </c>
      <c r="F76" s="1151"/>
      <c r="G76" s="214"/>
      <c r="H76" s="293" t="str">
        <f>IF(G76="","This Question must be answered before uploading, the report will not be processed if left blank","")</f>
        <v>This Question must be answered before uploading, the report will not be processed if left blank</v>
      </c>
      <c r="I76" s="219"/>
      <c r="J76" s="220"/>
      <c r="K76"/>
      <c r="L76"/>
      <c r="M76"/>
      <c r="N76"/>
      <c r="O76"/>
      <c r="P76"/>
      <c r="Q76"/>
      <c r="R76"/>
      <c r="S76"/>
      <c r="T76"/>
      <c r="U76"/>
      <c r="V76"/>
      <c r="W76"/>
      <c r="X76"/>
      <c r="Y76"/>
      <c r="Z76"/>
      <c r="AA76"/>
      <c r="AB76"/>
      <c r="AC76"/>
      <c r="AD76"/>
      <c r="AE76"/>
      <c r="AF76"/>
      <c r="AG76"/>
      <c r="AH76"/>
      <c r="AI76"/>
      <c r="AJ76"/>
      <c r="AK76"/>
      <c r="AL76"/>
      <c r="AM76"/>
      <c r="AN76"/>
      <c r="AO76"/>
      <c r="AP76"/>
      <c r="AQ76"/>
      <c r="AR76"/>
      <c r="AS76"/>
      <c r="AT76"/>
      <c r="AU76"/>
    </row>
    <row r="77" spans="2:47" s="259" customFormat="1" ht="6.75" customHeight="1" thickBot="1" x14ac:dyDescent="0.35">
      <c r="B77" s="223"/>
      <c r="C77" s="209"/>
      <c r="D77" s="249"/>
      <c r="E77" s="1050"/>
      <c r="F77" s="258"/>
      <c r="G77" s="215"/>
      <c r="H77" s="1049"/>
      <c r="I77" s="216"/>
      <c r="J77" s="207"/>
      <c r="K77"/>
      <c r="L77"/>
      <c r="M77"/>
      <c r="N77"/>
      <c r="O77"/>
      <c r="P77"/>
      <c r="Q77"/>
      <c r="R77"/>
      <c r="S77"/>
      <c r="T77"/>
      <c r="U77"/>
      <c r="V77"/>
      <c r="W77"/>
      <c r="X77"/>
      <c r="Y77"/>
      <c r="Z77"/>
      <c r="AA77"/>
      <c r="AB77"/>
      <c r="AC77"/>
      <c r="AD77"/>
      <c r="AE77"/>
      <c r="AF77"/>
      <c r="AG77"/>
      <c r="AH77"/>
      <c r="AI77"/>
      <c r="AJ77"/>
      <c r="AK77"/>
      <c r="AL77"/>
      <c r="AM77"/>
      <c r="AN77"/>
      <c r="AO77"/>
      <c r="AP77"/>
      <c r="AQ77"/>
      <c r="AR77"/>
      <c r="AS77"/>
      <c r="AT77"/>
      <c r="AU77"/>
    </row>
    <row r="78" spans="2:47" ht="61.5" customHeight="1" thickBot="1" x14ac:dyDescent="0.35">
      <c r="B78" s="205"/>
      <c r="C78" s="221"/>
      <c r="D78" s="249">
        <v>976</v>
      </c>
      <c r="E78" s="1150" t="s">
        <v>953</v>
      </c>
      <c r="F78" s="1151"/>
      <c r="G78" s="214"/>
      <c r="H78" s="293" t="str">
        <f>IF(G78="","This Question must be answered before uploading, the report will not be processed if left blank","")</f>
        <v>This Question must be answered before uploading, the report will not be processed if left blank</v>
      </c>
      <c r="I78" s="219"/>
      <c r="J78" s="220"/>
    </row>
    <row r="79" spans="2:47" ht="39" customHeight="1" thickBot="1" x14ac:dyDescent="0.35">
      <c r="B79" s="193"/>
      <c r="C79" s="194"/>
      <c r="D79" s="195"/>
      <c r="E79" s="196"/>
      <c r="F79" s="197"/>
      <c r="G79" s="268"/>
      <c r="H79" s="197"/>
      <c r="I79" s="197"/>
      <c r="J79" s="198"/>
    </row>
    <row r="80" spans="2:47" ht="10.5" customHeight="1" thickBot="1" x14ac:dyDescent="0.35">
      <c r="B80" s="205"/>
      <c r="C80" s="206"/>
      <c r="D80" s="250"/>
      <c r="E80" s="202"/>
      <c r="F80" s="202"/>
      <c r="G80" s="209"/>
      <c r="H80" s="206"/>
      <c r="I80" s="206"/>
      <c r="J80" s="207"/>
    </row>
    <row r="81" spans="1:10" ht="33.6" customHeight="1" thickBot="1" x14ac:dyDescent="0.35">
      <c r="B81" s="205"/>
      <c r="C81" s="206"/>
      <c r="D81" s="250" t="s">
        <v>813</v>
      </c>
      <c r="E81" s="1133" t="str">
        <f>IF(G81="","This Question must be answered before uploading, the report will not be processed if left blank","")</f>
        <v>This Question must be answered before uploading, the report will not be processed if left blank</v>
      </c>
      <c r="F81" s="1129" t="s">
        <v>586</v>
      </c>
      <c r="G81" s="1152"/>
      <c r="H81" s="1153"/>
      <c r="I81" s="1154"/>
      <c r="J81" s="207"/>
    </row>
    <row r="82" spans="1:10" ht="6.75" customHeight="1" thickBot="1" x14ac:dyDescent="0.35">
      <c r="B82" s="205"/>
      <c r="C82" s="206"/>
      <c r="D82" s="250"/>
      <c r="E82" s="231"/>
      <c r="F82" s="231"/>
      <c r="G82" s="209"/>
      <c r="H82" s="209"/>
      <c r="I82" s="209"/>
      <c r="J82" s="207"/>
    </row>
    <row r="83" spans="1:10" ht="42.6" customHeight="1" thickBot="1" x14ac:dyDescent="0.35">
      <c r="B83" s="205"/>
      <c r="C83" s="206"/>
      <c r="D83" s="250" t="s">
        <v>814</v>
      </c>
      <c r="E83" s="1133" t="str">
        <f>IF(G83="","This Question must be answered before uploading, the report will not be processed if left blank","")</f>
        <v>This Question must be answered before uploading, the report will not be processed if left blank</v>
      </c>
      <c r="F83" s="1129" t="s">
        <v>587</v>
      </c>
      <c r="G83" s="1152"/>
      <c r="H83" s="1153"/>
      <c r="I83" s="1154"/>
      <c r="J83" s="207"/>
    </row>
    <row r="84" spans="1:10" ht="6.75" customHeight="1" thickBot="1" x14ac:dyDescent="0.35">
      <c r="B84" s="205"/>
      <c r="C84" s="206"/>
      <c r="D84" s="250"/>
      <c r="E84" s="231"/>
      <c r="F84" s="231"/>
      <c r="G84" s="232"/>
      <c r="H84" s="209"/>
      <c r="I84" s="209"/>
      <c r="J84" s="207"/>
    </row>
    <row r="85" spans="1:10" ht="31.2" customHeight="1" thickBot="1" x14ac:dyDescent="0.35">
      <c r="B85" s="205"/>
      <c r="C85" s="206"/>
      <c r="D85" s="250" t="s">
        <v>1441</v>
      </c>
      <c r="E85" s="1133" t="str">
        <f>IF(G85="","This Question must be answered before uploading, the report will not be processed if left blank","")</f>
        <v>This Question must be answered before uploading, the report will not be processed if left blank</v>
      </c>
      <c r="F85" s="1129" t="s">
        <v>1002</v>
      </c>
      <c r="G85" s="210"/>
      <c r="H85" s="209"/>
      <c r="I85" s="209"/>
      <c r="J85" s="207"/>
    </row>
    <row r="86" spans="1:10" ht="6.75" customHeight="1" x14ac:dyDescent="0.3">
      <c r="B86" s="205"/>
      <c r="C86" s="206"/>
      <c r="D86" s="250"/>
      <c r="E86" s="231"/>
      <c r="F86" s="231"/>
      <c r="G86" s="209"/>
      <c r="H86" s="209"/>
      <c r="I86" s="209"/>
      <c r="J86" s="207"/>
    </row>
    <row r="87" spans="1:10" ht="30" hidden="1" customHeight="1" x14ac:dyDescent="0.3">
      <c r="B87" s="205"/>
      <c r="C87" s="206"/>
      <c r="D87" s="250"/>
      <c r="E87" s="1155"/>
      <c r="F87" s="1155"/>
      <c r="G87" s="233" t="str">
        <f>CONCATENATE(G10," 2021 TD.xlsx")</f>
        <v xml:space="preserve"> 2021 TD.xlsx</v>
      </c>
      <c r="H87" s="233"/>
      <c r="I87" s="234"/>
      <c r="J87" s="207"/>
    </row>
    <row r="88" spans="1:10" ht="18" customHeight="1" x14ac:dyDescent="0.3">
      <c r="B88" s="205"/>
      <c r="C88" s="206"/>
      <c r="D88" s="1132"/>
      <c r="E88" s="1132"/>
      <c r="F88" s="1132"/>
      <c r="G88" s="1159" t="str">
        <f>IF(G11="","","Please review the Transmittal Instructions and your answer to Question 1")</f>
        <v/>
      </c>
      <c r="H88" s="1159"/>
      <c r="I88" s="1159"/>
      <c r="J88" s="207"/>
    </row>
    <row r="89" spans="1:10" ht="20.399999999999999" customHeight="1" x14ac:dyDescent="0.3">
      <c r="B89" s="205"/>
      <c r="C89" s="206"/>
      <c r="D89" s="1132"/>
      <c r="E89" s="1132"/>
      <c r="F89" s="1132"/>
      <c r="G89" s="1159" t="str">
        <f>IF(G88="Currently the file name is incorrect, please correct before uploading",CONCATENATE("File current name is ",O89),"")</f>
        <v/>
      </c>
      <c r="H89" s="1159"/>
      <c r="I89" s="235"/>
      <c r="J89" s="236"/>
    </row>
    <row r="90" spans="1:10" ht="6.75" customHeight="1" thickBot="1" x14ac:dyDescent="0.35">
      <c r="B90" s="237"/>
      <c r="C90" s="238"/>
      <c r="D90" s="253"/>
      <c r="E90" s="239"/>
      <c r="F90" s="239"/>
      <c r="G90" s="240"/>
      <c r="H90" s="240"/>
      <c r="I90" s="240"/>
      <c r="J90" s="241"/>
    </row>
    <row r="93" spans="1:10" x14ac:dyDescent="0.3">
      <c r="B93" s="190" t="s">
        <v>588</v>
      </c>
      <c r="D93" s="192"/>
      <c r="E93" s="243">
        <v>1.01</v>
      </c>
      <c r="F93" s="244"/>
    </row>
    <row r="94" spans="1:10" x14ac:dyDescent="0.3">
      <c r="A94" s="192"/>
      <c r="B94" s="190" t="s">
        <v>589</v>
      </c>
      <c r="D94" s="192"/>
      <c r="E94" s="245">
        <v>44427</v>
      </c>
      <c r="F94" s="246"/>
    </row>
    <row r="95" spans="1:10" x14ac:dyDescent="0.3">
      <c r="E95" s="244"/>
      <c r="F95" s="244"/>
    </row>
    <row r="97" spans="5:5" x14ac:dyDescent="0.3">
      <c r="E97" s="242">
        <f>SUBTOTAL(109,D3:D89)</f>
        <v>11476</v>
      </c>
    </row>
  </sheetData>
  <sheetProtection algorithmName="SHA-512" hashValue="aIOxzP9FI3Es3+aDQ8tyNFTsrhhRGonodtGdwOAh4Q6qCAedeYrQeA+N4PsfJziznHbMVfryX2ck8Mz6/IuZlQ==" saltValue="ATpPsiCNHAxwbd+1eZJF0A==" spinCount="100000" sheet="1" selectLockedCells="1"/>
  <mergeCells count="54">
    <mergeCell ref="B1:J1"/>
    <mergeCell ref="B2:J2"/>
    <mergeCell ref="B3:J3"/>
    <mergeCell ref="E20:F20"/>
    <mergeCell ref="G20:I20"/>
    <mergeCell ref="E12:F12"/>
    <mergeCell ref="E14:F14"/>
    <mergeCell ref="E16:F16"/>
    <mergeCell ref="G16:I16"/>
    <mergeCell ref="E18:F18"/>
    <mergeCell ref="G18:I18"/>
    <mergeCell ref="B7:J7"/>
    <mergeCell ref="E10:F10"/>
    <mergeCell ref="G10:I10"/>
    <mergeCell ref="B5:J5"/>
    <mergeCell ref="G32:I32"/>
    <mergeCell ref="E22:F22"/>
    <mergeCell ref="G22:I22"/>
    <mergeCell ref="E24:F24"/>
    <mergeCell ref="G24:I24"/>
    <mergeCell ref="E26:F26"/>
    <mergeCell ref="G26:H26"/>
    <mergeCell ref="E27:H27"/>
    <mergeCell ref="E28:F28"/>
    <mergeCell ref="H28:I28"/>
    <mergeCell ref="E30:F30"/>
    <mergeCell ref="H30:I30"/>
    <mergeCell ref="E32:F32"/>
    <mergeCell ref="G88:I88"/>
    <mergeCell ref="G89:H89"/>
    <mergeCell ref="G81:I81"/>
    <mergeCell ref="E55:F55"/>
    <mergeCell ref="G34:I34"/>
    <mergeCell ref="E36:F36"/>
    <mergeCell ref="G36:I36"/>
    <mergeCell ref="E37:H37"/>
    <mergeCell ref="B38:J38"/>
    <mergeCell ref="E41:F41"/>
    <mergeCell ref="E43:F43"/>
    <mergeCell ref="E45:F45"/>
    <mergeCell ref="E47:F47"/>
    <mergeCell ref="E49:F49"/>
    <mergeCell ref="E51:F51"/>
    <mergeCell ref="E53:F53"/>
    <mergeCell ref="E58:F58"/>
    <mergeCell ref="G83:I83"/>
    <mergeCell ref="E87:F87"/>
    <mergeCell ref="E78:F78"/>
    <mergeCell ref="E60:F60"/>
    <mergeCell ref="E68:F68"/>
    <mergeCell ref="E70:F70"/>
    <mergeCell ref="E72:F72"/>
    <mergeCell ref="E76:F76"/>
    <mergeCell ref="E74:F74"/>
  </mergeCells>
  <conditionalFormatting sqref="G10 G41 G43 G45 G47 G49 G58 G66 G60 G51 G78 G76">
    <cfRule type="expression" dxfId="94" priority="43">
      <formula>$T10</formula>
    </cfRule>
  </conditionalFormatting>
  <conditionalFormatting sqref="G10">
    <cfRule type="containsText" priority="42" operator="containsText" text="The, City,Village,of">
      <formula>NOT(ISERROR(SEARCH("The, City,Village,of",G10)))</formula>
    </cfRule>
  </conditionalFormatting>
  <conditionalFormatting sqref="G26">
    <cfRule type="expression" dxfId="93" priority="41">
      <formula>$T26</formula>
    </cfRule>
  </conditionalFormatting>
  <conditionalFormatting sqref="G41 G43 G45 G47 G49 G58 G60 G62 G64 G66 G30 G32 G51:G56 G78">
    <cfRule type="expression" dxfId="92" priority="40">
      <formula>$G$26="Housing Authority"</formula>
    </cfRule>
  </conditionalFormatting>
  <conditionalFormatting sqref="G14">
    <cfRule type="expression" dxfId="91" priority="39">
      <formula>$T14</formula>
    </cfRule>
  </conditionalFormatting>
  <conditionalFormatting sqref="G12">
    <cfRule type="expression" dxfId="90" priority="38">
      <formula>$T12</formula>
    </cfRule>
  </conditionalFormatting>
  <conditionalFormatting sqref="G85">
    <cfRule type="expression" dxfId="89" priority="37">
      <formula>$T85</formula>
    </cfRule>
  </conditionalFormatting>
  <conditionalFormatting sqref="G81">
    <cfRule type="expression" dxfId="88" priority="36">
      <formula>$T81</formula>
    </cfRule>
  </conditionalFormatting>
  <conditionalFormatting sqref="G81">
    <cfRule type="containsText" priority="35" operator="containsText" text="The, City,Village,of">
      <formula>NOT(ISERROR(SEARCH("The, City,Village,of",G81)))</formula>
    </cfRule>
  </conditionalFormatting>
  <conditionalFormatting sqref="G83">
    <cfRule type="expression" dxfId="87" priority="34">
      <formula>$T83</formula>
    </cfRule>
  </conditionalFormatting>
  <conditionalFormatting sqref="G83">
    <cfRule type="containsText" priority="33" operator="containsText" text="The, City,Village,of">
      <formula>NOT(ISERROR(SEARCH("The, City,Village,of",G83)))</formula>
    </cfRule>
  </conditionalFormatting>
  <conditionalFormatting sqref="G18">
    <cfRule type="expression" dxfId="86" priority="32">
      <formula>$T18</formula>
    </cfRule>
  </conditionalFormatting>
  <conditionalFormatting sqref="G18">
    <cfRule type="containsText" priority="31" operator="containsText" text="The, City,Village,of">
      <formula>NOT(ISERROR(SEARCH("The, City,Village,of",G18)))</formula>
    </cfRule>
  </conditionalFormatting>
  <conditionalFormatting sqref="G60">
    <cfRule type="expression" dxfId="85" priority="25">
      <formula>$G$26="Housing Authority"</formula>
    </cfRule>
  </conditionalFormatting>
  <conditionalFormatting sqref="G64">
    <cfRule type="expression" dxfId="84" priority="30">
      <formula>$T64</formula>
    </cfRule>
  </conditionalFormatting>
  <conditionalFormatting sqref="G64">
    <cfRule type="expression" dxfId="83" priority="29">
      <formula>$G$26="Housing Authority"</formula>
    </cfRule>
  </conditionalFormatting>
  <conditionalFormatting sqref="G66">
    <cfRule type="expression" dxfId="82" priority="28">
      <formula>$G$26="Housing Authority"</formula>
    </cfRule>
  </conditionalFormatting>
  <conditionalFormatting sqref="G62">
    <cfRule type="expression" dxfId="81" priority="27">
      <formula>$T62</formula>
    </cfRule>
  </conditionalFormatting>
  <conditionalFormatting sqref="G62">
    <cfRule type="expression" dxfId="80" priority="26">
      <formula>$G$26="Housing Authority"</formula>
    </cfRule>
  </conditionalFormatting>
  <conditionalFormatting sqref="G31">
    <cfRule type="expression" dxfId="79" priority="24">
      <formula>$T31</formula>
    </cfRule>
  </conditionalFormatting>
  <conditionalFormatting sqref="G28">
    <cfRule type="expression" dxfId="78" priority="23">
      <formula>$T28</formula>
    </cfRule>
  </conditionalFormatting>
  <conditionalFormatting sqref="G28">
    <cfRule type="expression" dxfId="77" priority="22">
      <formula>$G$26="Housing Authority"</formula>
    </cfRule>
  </conditionalFormatting>
  <conditionalFormatting sqref="G30">
    <cfRule type="expression" dxfId="76" priority="21">
      <formula>$T30</formula>
    </cfRule>
  </conditionalFormatting>
  <conditionalFormatting sqref="G16">
    <cfRule type="expression" dxfId="75" priority="19">
      <formula>$T16</formula>
    </cfRule>
  </conditionalFormatting>
  <conditionalFormatting sqref="G16">
    <cfRule type="containsText" priority="18" operator="containsText" text="The, City,Village,of">
      <formula>NOT(ISERROR(SEARCH("The, City,Village,of",G16)))</formula>
    </cfRule>
  </conditionalFormatting>
  <conditionalFormatting sqref="G20">
    <cfRule type="expression" dxfId="74" priority="17">
      <formula>$T20</formula>
    </cfRule>
  </conditionalFormatting>
  <conditionalFormatting sqref="G20">
    <cfRule type="containsText" priority="16" operator="containsText" text="The, City,Village,of">
      <formula>NOT(ISERROR(SEARCH("The, City,Village,of",G20)))</formula>
    </cfRule>
  </conditionalFormatting>
  <conditionalFormatting sqref="G22">
    <cfRule type="expression" dxfId="73" priority="15">
      <formula>$T22</formula>
    </cfRule>
  </conditionalFormatting>
  <conditionalFormatting sqref="G22">
    <cfRule type="containsText" priority="14" operator="containsText" text="The, City,Village,of">
      <formula>NOT(ISERROR(SEARCH("The, City,Village,of",G22)))</formula>
    </cfRule>
  </conditionalFormatting>
  <conditionalFormatting sqref="G28">
    <cfRule type="expression" dxfId="72" priority="12">
      <formula>$G$26="Housing Authority"</formula>
    </cfRule>
  </conditionalFormatting>
  <conditionalFormatting sqref="G32">
    <cfRule type="expression" dxfId="71" priority="13">
      <formula>$P$32</formula>
    </cfRule>
    <cfRule type="expression" dxfId="70" priority="20">
      <formula>$T32</formula>
    </cfRule>
  </conditionalFormatting>
  <conditionalFormatting sqref="G36">
    <cfRule type="expression" dxfId="69" priority="9">
      <formula>$G$26="Housing Authority"</formula>
    </cfRule>
  </conditionalFormatting>
  <conditionalFormatting sqref="G36">
    <cfRule type="expression" dxfId="68" priority="10">
      <formula>$P$32</formula>
    </cfRule>
    <cfRule type="expression" dxfId="67" priority="11">
      <formula>$T36</formula>
    </cfRule>
  </conditionalFormatting>
  <conditionalFormatting sqref="G34">
    <cfRule type="expression" dxfId="66" priority="6">
      <formula>$G$26="Housing Authority"</formula>
    </cfRule>
  </conditionalFormatting>
  <conditionalFormatting sqref="G34">
    <cfRule type="expression" dxfId="65" priority="7">
      <formula>$P$32</formula>
    </cfRule>
    <cfRule type="expression" dxfId="64" priority="8">
      <formula>$T34</formula>
    </cfRule>
  </conditionalFormatting>
  <conditionalFormatting sqref="G24">
    <cfRule type="expression" dxfId="63" priority="5">
      <formula>$T24</formula>
    </cfRule>
  </conditionalFormatting>
  <conditionalFormatting sqref="G24">
    <cfRule type="containsText" priority="4" operator="containsText" text="The, City,Village,of">
      <formula>NOT(ISERROR(SEARCH("The, City,Village,of",G24)))</formula>
    </cfRule>
  </conditionalFormatting>
  <conditionalFormatting sqref="G53">
    <cfRule type="expression" dxfId="62" priority="3">
      <formula>$T53</formula>
    </cfRule>
  </conditionalFormatting>
  <conditionalFormatting sqref="G76">
    <cfRule type="expression" dxfId="61" priority="1">
      <formula>$G$26="Housing Authority"</formula>
    </cfRule>
  </conditionalFormatting>
  <dataValidations xWindow="873" yWindow="799" count="25">
    <dataValidation type="list" allowBlank="1" showInputMessage="1" showErrorMessage="1" prompt="Chose Unit Type" sqref="G26:H26" xr:uid="{0F10F559-8F23-44EB-987B-C924C826D337}">
      <formula1>"Municipality, County, Charter School, Tourism Development Authority, Housing Authority, Other"</formula1>
    </dataValidation>
    <dataValidation type="date" operator="greaterThan" allowBlank="1" showInputMessage="1" showErrorMessage="1" sqref="G63 G71 G89:G90 G65 G79:G80 G85:G86 G67 G69 G73 G77" xr:uid="{4BF7E2BE-68E4-4EDC-9705-A6DBFAEB7B90}">
      <formula1>44012</formula1>
    </dataValidation>
    <dataValidation type="list" allowBlank="1" showInputMessage="1" showErrorMessage="1" prompt="Please select Yes or No from the drop down list" sqref="G30" xr:uid="{53DB461E-98F8-470D-9081-CDE7B5E62384}">
      <formula1>"Financial Only, Yellow Book, Single Audit"</formula1>
    </dataValidation>
    <dataValidation allowBlank="1" showInputMessage="1" showErrorMessage="1" error="Cannot be blank" sqref="G24:I24 G20:I20 G22:I22" xr:uid="{4F77B4D1-7320-4937-BC6C-3C85879203C8}"/>
    <dataValidation type="list" operator="greaterThan" showInputMessage="1" showErrorMessage="1" promptTitle="Cannot be blank" prompt="This cannot be blank - please complete before uploading to the portal" sqref="G69 G80 G71 G67 G73 G77" xr:uid="{D198A47C-CDFA-4D46-B722-9DA3FB2EB984}">
      <formula1>"N/A, 1,2,3,4"</formula1>
    </dataValidation>
    <dataValidation type="list" allowBlank="1" showInputMessage="1" showErrorMessage="1" prompt="Chose Unit Type" sqref="G31:H31 H33" xr:uid="{75E505E4-60F6-4743-B472-20907ABD52A6}">
      <formula1>"Municipality, County, Tourism Development Authority, Housing Authority, Other"</formula1>
    </dataValidation>
    <dataValidation type="textLength" operator="greaterThan" showInputMessage="1" showErrorMessage="1" errorTitle="Blank Field" error="Check the name entered for length" promptTitle="Cannot be blank" prompt="This cannot be blank - please complete before uploading to the portal" sqref="G10 G18 G16" xr:uid="{7C48D2AE-CF0B-4E23-BD0B-A4168116C962}">
      <formula1>3</formula1>
    </dataValidation>
    <dataValidation type="date" showDropDown="1" showInputMessage="1" showErrorMessage="1" errorTitle="FYE date error" error="FYE must be 06/30/21 or after to use this form." prompt="For Fiscal Year ends prior to 06/30/21, please use the  2020 Transmittal Document_x000a_" sqref="G12" xr:uid="{BCAA93FC-8B8A-41A3-AB91-C0CDA25B87BA}">
      <formula1>44287</formula1>
      <formula2>44712</formula2>
    </dataValidation>
    <dataValidation type="list" allowBlank="1" showInputMessage="1" showErrorMessage="1" prompt="Please select Yes, No or N/A from the drop down list" sqref="G58" xr:uid="{740F9C53-B8A7-483C-B384-B0DCDA2D2BCB}">
      <formula1>"Yes, No, N/A"</formula1>
    </dataValidation>
    <dataValidation type="whole" operator="greaterThan" allowBlank="1" showInputMessage="1" showErrorMessage="1" prompt="Please enter a whole number.  If there are no findings please enter 0" sqref="G49 G51:G52 G54:G56" xr:uid="{1A2CB230-B6DB-4036-94B3-6FD2E784AB33}">
      <formula1>-1</formula1>
    </dataValidation>
    <dataValidation type="textLength" operator="greaterThan" allowBlank="1" showInputMessage="1" showErrorMessage="1" errorTitle="File Name Error" error="Check that you have not left the Primary Government Name blank...see Question 1" sqref="G87" xr:uid="{653B8F25-9FF3-4457-86FF-093169F7B39F}">
      <formula1>10</formula1>
    </dataValidation>
    <dataValidation type="textLength" operator="greaterThan" showInputMessage="1" showErrorMessage="1" errorTitle="Blank Field" error="Check the name entered for length" promptTitle="Cannot be blank" prompt="This cannot be blank - please complete before uploading to the portal" sqref="H11" xr:uid="{D1874534-B18B-445D-9D56-8708CFB0B431}">
      <formula1>4</formula1>
    </dataValidation>
    <dataValidation type="list" showInputMessage="1" showErrorMessage="1" errorTitle="Cannot be blank" error="This cell cannot be left blank" prompt="Please select Yes or No from the drop down list" sqref="G14" xr:uid="{FA0A92A0-CFAB-49D4-8608-8D1DB740CB36}">
      <formula1>"Yes, No"</formula1>
    </dataValidation>
    <dataValidation type="textLength" operator="greaterThan" showInputMessage="1" showErrorMessage="1" promptTitle="Cannot be blank" prompt="This cannot be blank - please complete before uploading to the portal" sqref="H89:I90 H79:H80 I63 H85:I87 H65:I65 H77 H69 H71 G81 H73 I68:I75 I77:I80" xr:uid="{970B9B41-3DA6-49D9-8538-915E33C95C98}">
      <formula1>5</formula1>
    </dataValidation>
    <dataValidation type="list" allowBlank="1" showInputMessage="1" showErrorMessage="1" prompt="Please select Yes or No from the drop down list" sqref="G47 G60 G43 G45 G66 G62 G64 G28 G41" xr:uid="{F8DAA637-067A-4445-87D8-12A58F77F0A2}">
      <formula1>"Yes, No"</formula1>
    </dataValidation>
    <dataValidation type="date" operator="greaterThan" showInputMessage="1" showErrorMessage="1" promptTitle="MM/DD/YYYY" prompt="This cannot be blank" sqref="G74:G75 G77" xr:uid="{FA296981-A236-46B7-9FFE-5DC3167CFD46}">
      <formula1>44377</formula1>
    </dataValidation>
    <dataValidation type="date" operator="greaterThan" allowBlank="1" showInputMessage="1" showErrorMessage="1" prompt="MM/DD/YYYY" sqref="G74:G75 G77" xr:uid="{362B854A-1333-435D-A562-CD0AC3D0CBDC}">
      <formula1>44012</formula1>
    </dataValidation>
    <dataValidation type="list" operator="greaterThan" allowBlank="1" showInputMessage="1" showErrorMessage="1" sqref="G70" xr:uid="{05F2F645-3F7B-4EB6-A09F-034934497E3E}">
      <formula1>"Yes, No"</formula1>
    </dataValidation>
    <dataValidation type="list" operator="greaterThan" allowBlank="1" showInputMessage="1" showErrorMessage="1" prompt="Please select Yes or No from drop down list" sqref="G68" xr:uid="{E971EE97-C595-4AA1-9573-23EDB218A969}">
      <formula1>"yes, No"</formula1>
    </dataValidation>
    <dataValidation type="list" allowBlank="1" showInputMessage="1" showErrorMessage="1" prompt="Please select Yes, No or N/A from drop down list" sqref="G78 G53" xr:uid="{AD8CBEC4-23F6-4F06-B268-46366C73CF32}">
      <formula1>"Yes, No,N/A"</formula1>
    </dataValidation>
    <dataValidation type="list" allowBlank="1" showInputMessage="1" showErrorMessage="1" prompt="Please select Yes or No from the drop down list" sqref="G76" xr:uid="{0BEC721E-0D27-4077-8790-03D91092BB64}">
      <formula1>"Yes,No"</formula1>
    </dataValidation>
    <dataValidation type="list" operator="greaterThan" allowBlank="1" showInputMessage="1" showErrorMessage="1" prompt="Please select Yes or No from drop down list" sqref="G72" xr:uid="{80B217B5-9DCE-4043-A1B7-D1BB209B176F}">
      <formula1>"Yes, No"</formula1>
    </dataValidation>
    <dataValidation type="date" operator="greaterThan" allowBlank="1" showInputMessage="1" showErrorMessage="1" sqref="G87" xr:uid="{1CB4710E-81E8-4DA8-BB55-72CEC5ACBD8A}">
      <formula1>44377</formula1>
    </dataValidation>
    <dataValidation type="date" operator="greaterThan" showInputMessage="1" showErrorMessage="1" sqref="G76 G78" xr:uid="{EE45CE37-8EF0-48D3-A283-A4C891D893B3}">
      <formula1>44377</formula1>
    </dataValidation>
    <dataValidation type="list" allowBlank="1" showInputMessage="1" showErrorMessage="1" sqref="G76 G78" xr:uid="{DAADA35D-C044-431E-A3B6-FF9DA127DA10}">
      <formula1>"Yes,No"</formula1>
    </dataValidation>
  </dataValidations>
  <printOptions horizontalCentered="1" verticalCentered="1"/>
  <pageMargins left="0" right="0" top="0" bottom="1" header="0.3" footer="0.3"/>
  <pageSetup scale="50" fitToWidth="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pageSetUpPr fitToPage="1"/>
  </sheetPr>
  <dimension ref="A1:AA744"/>
  <sheetViews>
    <sheetView zoomScaleNormal="100" workbookViewId="0">
      <pane xSplit="3" ySplit="3" topLeftCell="D4" activePane="bottomRight" state="frozen"/>
      <selection activeCell="K179" sqref="K179"/>
      <selection pane="topRight" activeCell="K179" sqref="K179"/>
      <selection pane="bottomLeft" activeCell="K179" sqref="K179"/>
      <selection pane="bottomRight" activeCell="D5" sqref="D5"/>
    </sheetView>
  </sheetViews>
  <sheetFormatPr defaultColWidth="9.109375" defaultRowHeight="14.4" x14ac:dyDescent="0.3"/>
  <cols>
    <col min="1" max="1" width="8.88671875" style="3" customWidth="1"/>
    <col min="2" max="2" width="17.5546875" style="51" bestFit="1" customWidth="1"/>
    <col min="3" max="3" width="36.6640625" style="651" customWidth="1"/>
    <col min="4" max="4" width="20.88671875" style="3" bestFit="1" customWidth="1"/>
    <col min="5" max="5" width="17.5546875" style="3" customWidth="1"/>
    <col min="6" max="6" width="22.6640625" style="3" customWidth="1"/>
    <col min="7" max="7" width="17.44140625" style="548" bestFit="1" customWidth="1"/>
    <col min="8" max="8" width="9.6640625" style="3" bestFit="1" customWidth="1"/>
    <col min="9" max="9" width="1" style="582" customWidth="1"/>
    <col min="10" max="10" width="18.109375" style="5" customWidth="1"/>
    <col min="11" max="11" width="36.88671875" style="9" customWidth="1"/>
    <col min="12" max="12" width="15.44140625" style="659" bestFit="1" customWidth="1"/>
    <col min="13" max="13" width="1.44140625" style="3" customWidth="1"/>
    <col min="14" max="14" width="18.109375" style="3" customWidth="1"/>
    <col min="15" max="15" width="17.88671875" style="3" customWidth="1"/>
    <col min="16" max="16" width="8.6640625" style="290"/>
    <col min="17" max="17" width="10.33203125" style="551" hidden="1" customWidth="1"/>
    <col min="18" max="18" width="7.109375" style="3" hidden="1" customWidth="1"/>
    <col min="19" max="19" width="6" style="3" hidden="1" customWidth="1"/>
    <col min="20" max="20" width="6.6640625" style="3" hidden="1" customWidth="1"/>
    <col min="21" max="21" width="7.5546875" style="3" hidden="1" customWidth="1"/>
    <col min="22" max="22" width="3.44140625" style="3" hidden="1" customWidth="1"/>
    <col min="23" max="23" width="7.33203125" style="3" hidden="1" customWidth="1"/>
    <col min="24" max="24" width="10.5546875" style="3" hidden="1" customWidth="1"/>
    <col min="25" max="25" width="9.88671875" style="3" hidden="1" customWidth="1"/>
    <col min="26" max="26" width="0" style="3" hidden="1" customWidth="1"/>
    <col min="27" max="16384" width="9.109375" style="3"/>
  </cols>
  <sheetData>
    <row r="1" spans="1:25" ht="36" x14ac:dyDescent="0.3">
      <c r="C1" s="48" t="s">
        <v>492</v>
      </c>
      <c r="D1" s="13">
        <f>L65-(L52+L53-L57-L58-L233)-L61</f>
        <v>0</v>
      </c>
      <c r="I1" s="549"/>
      <c r="J1" s="47"/>
      <c r="K1" s="14" t="s">
        <v>47</v>
      </c>
      <c r="L1" s="61"/>
      <c r="M1" s="550"/>
      <c r="S1" s="3">
        <v>100</v>
      </c>
      <c r="T1" s="3">
        <v>1</v>
      </c>
    </row>
    <row r="2" spans="1:25" ht="36" x14ac:dyDescent="0.4">
      <c r="C2" s="72" t="str">
        <f>'Unit Data from Audit Worksheet'!D2</f>
        <v>Select Unit Name from Drop Down List</v>
      </c>
      <c r="D2" s="142">
        <v>2021</v>
      </c>
      <c r="E2" s="12">
        <v>2021</v>
      </c>
      <c r="F2" s="12"/>
      <c r="G2" s="68"/>
      <c r="H2" s="12"/>
      <c r="I2" s="549"/>
      <c r="J2" s="42" t="s">
        <v>43</v>
      </c>
      <c r="K2" s="8" t="s">
        <v>42</v>
      </c>
      <c r="L2" s="66" t="s">
        <v>30</v>
      </c>
      <c r="S2" s="3">
        <v>200</v>
      </c>
      <c r="T2" s="3">
        <v>2</v>
      </c>
    </row>
    <row r="3" spans="1:25" ht="31.2" x14ac:dyDescent="0.3">
      <c r="A3" s="552" t="s">
        <v>43</v>
      </c>
      <c r="B3" s="553"/>
      <c r="C3" s="45" t="s">
        <v>1</v>
      </c>
      <c r="D3" s="15" t="s">
        <v>44</v>
      </c>
      <c r="E3" s="15" t="s">
        <v>45</v>
      </c>
      <c r="F3" s="16" t="s">
        <v>49</v>
      </c>
      <c r="G3" s="73" t="s">
        <v>330</v>
      </c>
      <c r="H3" s="16" t="s">
        <v>392</v>
      </c>
      <c r="I3" s="549"/>
      <c r="J3" s="554"/>
      <c r="K3" s="143"/>
      <c r="L3" s="555"/>
      <c r="O3" s="3" t="s">
        <v>292</v>
      </c>
      <c r="Q3" s="84" t="s">
        <v>331</v>
      </c>
      <c r="S3" s="3">
        <v>300</v>
      </c>
      <c r="T3" s="3">
        <v>3</v>
      </c>
    </row>
    <row r="4" spans="1:25" ht="18" x14ac:dyDescent="0.35">
      <c r="A4" s="556"/>
      <c r="B4" s="557"/>
      <c r="C4" s="49"/>
      <c r="D4" s="7"/>
      <c r="E4" s="7"/>
      <c r="F4" s="7"/>
      <c r="G4" s="69"/>
      <c r="H4" s="7"/>
      <c r="I4" s="549"/>
      <c r="J4" s="44">
        <v>999</v>
      </c>
      <c r="K4" s="11" t="s">
        <v>289</v>
      </c>
      <c r="L4" s="131" t="e">
        <f>'Unit Data from Audit Worksheet'!D3</f>
        <v>#N/A</v>
      </c>
      <c r="S4" s="3">
        <v>400</v>
      </c>
      <c r="T4" s="3">
        <v>4</v>
      </c>
      <c r="W4" s="3" t="b">
        <f t="shared" ref="W4:W35" si="0">EXACT(A4,J4)</f>
        <v>0</v>
      </c>
      <c r="X4" s="558" t="e">
        <f>E4-L4</f>
        <v>#N/A</v>
      </c>
      <c r="Y4" s="558" t="e">
        <f>D4-L4</f>
        <v>#N/A</v>
      </c>
    </row>
    <row r="5" spans="1:25" ht="57" customHeight="1" x14ac:dyDescent="0.3">
      <c r="A5" s="559">
        <f>'Unit Data from Audit Worksheet'!A7</f>
        <v>333</v>
      </c>
      <c r="B5" s="53" t="str">
        <f>'Unit Data from Audit Worksheet'!C7</f>
        <v>Net Position-Governmental Activities</v>
      </c>
      <c r="C5" s="560" t="str">
        <f>'Unit Data from Audit Worksheet'!D7</f>
        <v xml:space="preserve"> All unrestricted Cash and investments.  
Exclude: restricted cash 
                   cash held by a third party. </v>
      </c>
      <c r="D5" s="141"/>
      <c r="E5" s="149">
        <f>'Unit Data from Audit Worksheet'!F7</f>
        <v>0</v>
      </c>
      <c r="F5" s="339">
        <f>IF(L5&lt;0,"Error: Number is normally positive.",)</f>
        <v>0</v>
      </c>
      <c r="G5" s="70"/>
      <c r="H5" s="338">
        <f>'Unit Data from Audit Worksheet'!I7</f>
        <v>0</v>
      </c>
      <c r="I5" s="37"/>
      <c r="J5" s="41">
        <v>333</v>
      </c>
      <c r="K5" s="50" t="s">
        <v>184</v>
      </c>
      <c r="L5" s="561">
        <f>IF(D5="",E5,D5)</f>
        <v>0</v>
      </c>
      <c r="P5" s="307"/>
      <c r="S5" s="3">
        <v>500</v>
      </c>
      <c r="T5" s="3">
        <v>5</v>
      </c>
      <c r="W5" s="3" t="b">
        <f t="shared" si="0"/>
        <v>1</v>
      </c>
      <c r="X5" s="558">
        <f t="shared" ref="X5:X116" si="1">E5-L5</f>
        <v>0</v>
      </c>
      <c r="Y5" s="558">
        <f t="shared" ref="Y5:Y116" si="2">D5-L5</f>
        <v>0</v>
      </c>
    </row>
    <row r="6" spans="1:25" ht="39.75" customHeight="1" x14ac:dyDescent="0.3">
      <c r="A6" s="326">
        <f>'Unit Data from Audit Worksheet'!A8</f>
        <v>500</v>
      </c>
      <c r="B6" s="340" t="str">
        <f>'Unit Data from Audit Worksheet'!C8</f>
        <v>Net Position-Governmental Activities</v>
      </c>
      <c r="C6" s="325" t="str">
        <f>'Unit Data from Audit Worksheet'!D8</f>
        <v xml:space="preserve"> All restricted Cash and investments</v>
      </c>
      <c r="D6" s="141"/>
      <c r="E6" s="346">
        <f>'Unit Data from Audit Worksheet'!F8</f>
        <v>0</v>
      </c>
      <c r="F6" s="339">
        <f>IF(L6&lt;0,"Error: Number is normally positive.",)</f>
        <v>0</v>
      </c>
      <c r="G6" s="341"/>
      <c r="H6" s="338">
        <f>'Unit Data from Audit Worksheet'!I8</f>
        <v>0</v>
      </c>
      <c r="I6" s="37"/>
      <c r="J6" s="337">
        <v>500</v>
      </c>
      <c r="K6" s="336" t="s">
        <v>183</v>
      </c>
      <c r="L6" s="561">
        <f>IF(D6="",E6,D6)</f>
        <v>0</v>
      </c>
      <c r="P6" s="308"/>
      <c r="T6" s="3">
        <v>6</v>
      </c>
      <c r="W6" s="3" t="b">
        <f t="shared" si="0"/>
        <v>1</v>
      </c>
      <c r="X6" s="558">
        <f t="shared" si="1"/>
        <v>0</v>
      </c>
      <c r="Y6" s="558">
        <f t="shared" si="2"/>
        <v>0</v>
      </c>
    </row>
    <row r="7" spans="1:25" ht="43.5" customHeight="1" x14ac:dyDescent="0.3">
      <c r="A7" s="326">
        <f>'Unit Data from Audit Worksheet'!A9</f>
        <v>385</v>
      </c>
      <c r="B7" s="340" t="str">
        <f>'Unit Data from Audit Worksheet'!C9</f>
        <v>Net Position-Governmental Activities</v>
      </c>
      <c r="C7" s="325" t="str">
        <f>'Unit Data from Audit Worksheet'!D9</f>
        <v>Total Assets and deferred outflows</v>
      </c>
      <c r="D7" s="141"/>
      <c r="E7" s="346">
        <f>'Unit Data from Audit Worksheet'!F9</f>
        <v>0</v>
      </c>
      <c r="F7" s="132">
        <f>IF((L5+L6)&gt;L7,"Error: Please review accts (333 + 500) &gt; 385",)</f>
        <v>0</v>
      </c>
      <c r="G7" s="341" t="str">
        <f>IF(Q7=1," Included in error count"," ")</f>
        <v xml:space="preserve"> </v>
      </c>
      <c r="H7" s="338">
        <f>'Unit Data from Audit Worksheet'!I9</f>
        <v>0</v>
      </c>
      <c r="I7" s="37"/>
      <c r="J7" s="74">
        <v>385</v>
      </c>
      <c r="K7" s="75" t="s">
        <v>115</v>
      </c>
      <c r="L7" s="562">
        <f>IF(D7="",E7,D7)+IF(D9="",E9,D9)</f>
        <v>0</v>
      </c>
      <c r="N7" s="76" t="s">
        <v>317</v>
      </c>
      <c r="P7" s="308"/>
      <c r="T7" s="3">
        <v>7</v>
      </c>
      <c r="W7" s="3" t="b">
        <f t="shared" si="0"/>
        <v>1</v>
      </c>
      <c r="X7" s="558">
        <f t="shared" si="1"/>
        <v>0</v>
      </c>
      <c r="Y7" s="558">
        <f t="shared" si="2"/>
        <v>0</v>
      </c>
    </row>
    <row r="8" spans="1:25" ht="90.75" customHeight="1" x14ac:dyDescent="0.3">
      <c r="A8" s="326">
        <f>'Unit Data from Audit Worksheet'!A10</f>
        <v>575</v>
      </c>
      <c r="B8" s="340" t="str">
        <f>'Unit Data from Audit Worksheet'!C10</f>
        <v>Net Position-Governmental Activities</v>
      </c>
      <c r="C8" s="325" t="str">
        <f>'Unit Data from Audit Worksheet'!D10</f>
        <v>Record any positive Internal balances on the net position statements that appear in the Asset Section of the Net Position Statement</v>
      </c>
      <c r="D8" s="141"/>
      <c r="E8" s="346">
        <f>'Unit Data from Audit Worksheet'!F10</f>
        <v>0</v>
      </c>
      <c r="F8" s="339">
        <f>IF(L8&lt;0,"Error: Number is normally positive.",)</f>
        <v>0</v>
      </c>
      <c r="G8" s="341"/>
      <c r="H8" s="338">
        <f>'Unit Data from Audit Worksheet'!I10</f>
        <v>0</v>
      </c>
      <c r="I8" s="37"/>
      <c r="J8" s="337">
        <v>575</v>
      </c>
      <c r="K8" s="343" t="s">
        <v>320</v>
      </c>
      <c r="L8" s="561">
        <f>IF(D8="",E8,D8)</f>
        <v>0</v>
      </c>
      <c r="N8" s="62"/>
      <c r="P8" s="308"/>
      <c r="W8" s="3" t="b">
        <f t="shared" si="0"/>
        <v>1</v>
      </c>
      <c r="X8" s="558">
        <f t="shared" si="1"/>
        <v>0</v>
      </c>
      <c r="Y8" s="558">
        <f t="shared" si="2"/>
        <v>0</v>
      </c>
    </row>
    <row r="9" spans="1:25" ht="103.5" customHeight="1" x14ac:dyDescent="0.3">
      <c r="A9" s="326">
        <f>'Unit Data from Audit Worksheet'!A11</f>
        <v>576</v>
      </c>
      <c r="B9" s="340" t="str">
        <f>'Unit Data from Audit Worksheet'!C11</f>
        <v>Net Position-Governmental Activities</v>
      </c>
      <c r="C9" s="563" t="str">
        <f>'Unit Data from Audit Worksheet'!D11</f>
        <v>Record any negative Internal balances on the net position statements that appear in the Asset Section of the Net Position Statement.
Enter as a positive</v>
      </c>
      <c r="D9" s="107"/>
      <c r="E9" s="152">
        <f>'Unit Data from Audit Worksheet'!F11</f>
        <v>0</v>
      </c>
      <c r="F9" s="335">
        <f>IF(E9&lt;0,"Error: Enter as positive.",)</f>
        <v>0</v>
      </c>
      <c r="G9" s="109"/>
      <c r="H9" s="110">
        <f>'Unit Data from Audit Worksheet'!I11</f>
        <v>0</v>
      </c>
      <c r="I9" s="37"/>
      <c r="J9" s="103">
        <v>576</v>
      </c>
      <c r="K9" s="343" t="s">
        <v>321</v>
      </c>
      <c r="L9" s="561">
        <f>IF(D9="",E9,D9)</f>
        <v>0</v>
      </c>
      <c r="N9" s="62"/>
      <c r="P9" s="309"/>
      <c r="W9" s="3" t="b">
        <f t="shared" si="0"/>
        <v>1</v>
      </c>
      <c r="X9" s="558">
        <f t="shared" si="1"/>
        <v>0</v>
      </c>
      <c r="Y9" s="558">
        <f t="shared" si="2"/>
        <v>0</v>
      </c>
    </row>
    <row r="10" spans="1:25" s="18" customFormat="1" ht="100.5" customHeight="1" x14ac:dyDescent="0.3">
      <c r="A10" s="326">
        <f>'Unit Data from Audit Worksheet'!A12</f>
        <v>626</v>
      </c>
      <c r="B10" s="331" t="str">
        <f>'Unit Data from Audit Worksheet'!C12</f>
        <v>Net Position-Governmental Activities</v>
      </c>
      <c r="C10" s="330" t="str">
        <f>'Unit Data from Audit Worksheet'!D12</f>
        <v xml:space="preserve">Total Current liabilities (as reported on Statement of Net Position)
Include:   Current liabilities including current portion of long-term debt.  Deferred inflows should not be included in Current Liabilities  </v>
      </c>
      <c r="D10" s="107"/>
      <c r="E10" s="352">
        <f>'Unit Data from Audit Worksheet'!F12</f>
        <v>0</v>
      </c>
      <c r="F10" s="334">
        <f>IF(L10&lt;0,"Error: Enter as a positive.",)</f>
        <v>0</v>
      </c>
      <c r="G10" s="319"/>
      <c r="H10" s="334">
        <f>'Unit Data from Audit Worksheet'!I12</f>
        <v>0</v>
      </c>
      <c r="I10" s="37"/>
      <c r="J10" s="333">
        <v>626</v>
      </c>
      <c r="K10" s="302" t="s">
        <v>427</v>
      </c>
      <c r="L10" s="564">
        <f>IF(D10="",E10,D10)+IF(D9="",E9,D9)</f>
        <v>0</v>
      </c>
      <c r="M10" s="565"/>
      <c r="N10" s="178" t="s">
        <v>317</v>
      </c>
      <c r="O10" s="565"/>
      <c r="P10" s="310"/>
      <c r="Q10" s="566"/>
      <c r="R10" s="3"/>
      <c r="W10" s="18" t="b">
        <f t="shared" si="0"/>
        <v>1</v>
      </c>
      <c r="X10" s="567">
        <f t="shared" si="1"/>
        <v>0</v>
      </c>
      <c r="Y10" s="567">
        <f t="shared" si="2"/>
        <v>0</v>
      </c>
    </row>
    <row r="11" spans="1:25" s="18" customFormat="1" ht="86.25" customHeight="1" x14ac:dyDescent="0.3">
      <c r="A11" s="326">
        <f>'Unit Data from Audit Worksheet'!A13</f>
        <v>627</v>
      </c>
      <c r="B11" s="331" t="str">
        <f>'Unit Data from Audit Worksheet'!C13</f>
        <v>Net Position-Governmental Activities</v>
      </c>
      <c r="C11" s="330" t="str">
        <f>'Unit Data from Audit Worksheet'!D13</f>
        <v>Please enter any bond anticipation notes that are classified as current liabilities and included in account 626 above (amounts entered should agree to the current amount included in the changes to long-term debt note)</v>
      </c>
      <c r="D11" s="107"/>
      <c r="E11" s="352">
        <f>'Unit Data from Audit Worksheet'!F13</f>
        <v>0</v>
      </c>
      <c r="F11" s="334"/>
      <c r="G11" s="319"/>
      <c r="H11" s="334"/>
      <c r="I11" s="37"/>
      <c r="J11" s="333">
        <v>627</v>
      </c>
      <c r="K11" s="302" t="s">
        <v>419</v>
      </c>
      <c r="L11" s="568">
        <f t="shared" ref="L11:L16" si="3">IF(D11="",E11,D11)</f>
        <v>0</v>
      </c>
      <c r="M11" s="565"/>
      <c r="N11" s="177"/>
      <c r="O11" s="565"/>
      <c r="P11" s="310"/>
      <c r="Q11" s="566"/>
      <c r="R11" s="3"/>
      <c r="W11" s="18" t="b">
        <f t="shared" si="0"/>
        <v>1</v>
      </c>
      <c r="X11" s="567">
        <f t="shared" si="1"/>
        <v>0</v>
      </c>
      <c r="Y11" s="567">
        <f t="shared" si="2"/>
        <v>0</v>
      </c>
    </row>
    <row r="12" spans="1:25" s="18" customFormat="1" ht="86.25" customHeight="1" x14ac:dyDescent="0.3">
      <c r="A12" s="326">
        <f>'Unit Data from Audit Worksheet'!A14</f>
        <v>628</v>
      </c>
      <c r="B12" s="331" t="str">
        <f>'Unit Data from Audit Worksheet'!C14</f>
        <v>Net Position-Governmental Activities</v>
      </c>
      <c r="C12" s="330" t="str">
        <f>'Unit Data from Audit Worksheet'!D14</f>
        <v>Please enter any compensated absences that are classified as current liabilities and included in account 626 above (amounts entered should agree to the current amount included in the changes to long-term debt note)</v>
      </c>
      <c r="D12" s="107"/>
      <c r="E12" s="352">
        <f>'Unit Data from Audit Worksheet'!F14</f>
        <v>0</v>
      </c>
      <c r="F12" s="334"/>
      <c r="G12" s="319"/>
      <c r="H12" s="334"/>
      <c r="I12" s="37"/>
      <c r="J12" s="333">
        <v>628</v>
      </c>
      <c r="K12" s="302" t="s">
        <v>424</v>
      </c>
      <c r="L12" s="568">
        <f t="shared" si="3"/>
        <v>0</v>
      </c>
      <c r="M12" s="565"/>
      <c r="N12" s="177"/>
      <c r="O12" s="565"/>
      <c r="P12" s="310"/>
      <c r="Q12" s="566"/>
      <c r="R12" s="3"/>
      <c r="W12" s="18" t="b">
        <f t="shared" si="0"/>
        <v>1</v>
      </c>
      <c r="X12" s="567">
        <f t="shared" si="1"/>
        <v>0</v>
      </c>
      <c r="Y12" s="567">
        <f t="shared" si="2"/>
        <v>0</v>
      </c>
    </row>
    <row r="13" spans="1:25" s="18" customFormat="1" ht="93" customHeight="1" x14ac:dyDescent="0.3">
      <c r="A13" s="326">
        <f>'Unit Data from Audit Worksheet'!A15</f>
        <v>629</v>
      </c>
      <c r="B13" s="331" t="str">
        <f>'Unit Data from Audit Worksheet'!C15</f>
        <v>Net Position-Governmental Activities</v>
      </c>
      <c r="C13" s="330" t="str">
        <f>'Unit Data from Audit Worksheet'!D15</f>
        <v>Please enter any pension liabilities that are classified as current liabilities and included in account 626 above (amounts entered should agree to the current amount included in the changes to long-term debt note)</v>
      </c>
      <c r="D13" s="107"/>
      <c r="E13" s="352">
        <f>'Unit Data from Audit Worksheet'!F15</f>
        <v>0</v>
      </c>
      <c r="F13" s="334"/>
      <c r="G13" s="319"/>
      <c r="H13" s="334"/>
      <c r="I13" s="37"/>
      <c r="J13" s="333">
        <v>629</v>
      </c>
      <c r="K13" s="302" t="s">
        <v>423</v>
      </c>
      <c r="L13" s="568">
        <f t="shared" si="3"/>
        <v>0</v>
      </c>
      <c r="M13" s="565"/>
      <c r="N13" s="177"/>
      <c r="O13" s="565"/>
      <c r="P13" s="310"/>
      <c r="Q13" s="566"/>
      <c r="R13" s="3"/>
      <c r="W13" s="18" t="b">
        <f t="shared" si="0"/>
        <v>1</v>
      </c>
      <c r="X13" s="567">
        <f t="shared" si="1"/>
        <v>0</v>
      </c>
      <c r="Y13" s="567">
        <f t="shared" si="2"/>
        <v>0</v>
      </c>
    </row>
    <row r="14" spans="1:25" s="18" customFormat="1" ht="67.5" customHeight="1" x14ac:dyDescent="0.3">
      <c r="A14" s="326">
        <f>'Unit Data from Audit Worksheet'!A16</f>
        <v>630</v>
      </c>
      <c r="B14" s="331" t="str">
        <f>'Unit Data from Audit Worksheet'!C16</f>
        <v>Net Position-Governmental Activities</v>
      </c>
      <c r="C14" s="330" t="str">
        <f>'Unit Data from Audit Worksheet'!D16</f>
        <v>Please enter any current liabilities that are payable from restricted assets and included in account 626 above</v>
      </c>
      <c r="D14" s="107"/>
      <c r="E14" s="352">
        <f>'Unit Data from Audit Worksheet'!F16</f>
        <v>0</v>
      </c>
      <c r="F14" s="334"/>
      <c r="G14" s="319"/>
      <c r="H14" s="334"/>
      <c r="I14" s="37"/>
      <c r="J14" s="333">
        <v>630</v>
      </c>
      <c r="K14" s="302" t="s">
        <v>422</v>
      </c>
      <c r="L14" s="568">
        <f t="shared" si="3"/>
        <v>0</v>
      </c>
      <c r="M14" s="565"/>
      <c r="N14" s="177"/>
      <c r="O14" s="565"/>
      <c r="P14" s="310"/>
      <c r="Q14" s="566"/>
      <c r="R14" s="3"/>
      <c r="W14" s="18" t="b">
        <f t="shared" si="0"/>
        <v>1</v>
      </c>
      <c r="X14" s="567">
        <f t="shared" si="1"/>
        <v>0</v>
      </c>
      <c r="Y14" s="567">
        <f t="shared" si="2"/>
        <v>0</v>
      </c>
    </row>
    <row r="15" spans="1:25" s="18" customFormat="1" ht="102.75" customHeight="1" x14ac:dyDescent="0.3">
      <c r="A15" s="326">
        <f>'Unit Data from Audit Worksheet'!A17</f>
        <v>631</v>
      </c>
      <c r="B15" s="340" t="str">
        <f>'Unit Data from Audit Worksheet'!C17</f>
        <v>Net Position-Governmental Activities</v>
      </c>
      <c r="C15" s="320" t="str">
        <f>'Unit Data from Audit Worksheet'!D17</f>
        <v>Please enter any OPEB liabilities that are classified as current liabilities and included in account 626 above (amounts entered should agree to the current amount included in the changes to long-term debt note)</v>
      </c>
      <c r="D15" s="107"/>
      <c r="E15" s="352">
        <f>'Unit Data from Audit Worksheet'!F17</f>
        <v>0</v>
      </c>
      <c r="F15" s="334"/>
      <c r="G15" s="319"/>
      <c r="H15" s="334"/>
      <c r="I15" s="37"/>
      <c r="J15" s="333">
        <v>631</v>
      </c>
      <c r="K15" s="302" t="s">
        <v>421</v>
      </c>
      <c r="L15" s="568">
        <f t="shared" si="3"/>
        <v>0</v>
      </c>
      <c r="M15" s="565"/>
      <c r="N15" s="177"/>
      <c r="O15" s="565"/>
      <c r="P15" s="310"/>
      <c r="Q15" s="566"/>
      <c r="R15" s="3"/>
      <c r="W15" s="18" t="b">
        <f t="shared" si="0"/>
        <v>1</v>
      </c>
      <c r="X15" s="567">
        <f t="shared" si="1"/>
        <v>0</v>
      </c>
      <c r="Y15" s="567">
        <f t="shared" si="2"/>
        <v>0</v>
      </c>
    </row>
    <row r="16" spans="1:25" s="18" customFormat="1" ht="119.25" customHeight="1" x14ac:dyDescent="0.3">
      <c r="A16" s="326">
        <f>'Unit Data from Audit Worksheet'!A18</f>
        <v>632</v>
      </c>
      <c r="B16" s="340" t="str">
        <f>'Unit Data from Audit Worksheet'!C18</f>
        <v>Net Position-Governmental Activities</v>
      </c>
      <c r="C16" s="320" t="str">
        <f>'Unit Data from Audit Worksheet'!D18</f>
        <v>Please enter any landfill closure/postclosure liabilities that are classified as current liabilities and included in account 626 above (amounts entered should agree to the current amount included in the changes to long-term debt note)</v>
      </c>
      <c r="D16" s="107"/>
      <c r="E16" s="352">
        <f>'Unit Data from Audit Worksheet'!F18</f>
        <v>0</v>
      </c>
      <c r="F16" s="334"/>
      <c r="G16" s="319"/>
      <c r="H16" s="334"/>
      <c r="I16" s="37"/>
      <c r="J16" s="333">
        <v>632</v>
      </c>
      <c r="K16" s="302" t="s">
        <v>420</v>
      </c>
      <c r="L16" s="568">
        <f t="shared" si="3"/>
        <v>0</v>
      </c>
      <c r="M16" s="565"/>
      <c r="N16" s="177"/>
      <c r="O16" s="565"/>
      <c r="P16" s="310"/>
      <c r="Q16" s="566"/>
      <c r="R16" s="3"/>
      <c r="W16" s="18" t="b">
        <f t="shared" si="0"/>
        <v>1</v>
      </c>
      <c r="X16" s="567">
        <f t="shared" si="1"/>
        <v>0</v>
      </c>
      <c r="Y16" s="567">
        <f t="shared" si="2"/>
        <v>0</v>
      </c>
    </row>
    <row r="17" spans="1:25" ht="30.6" x14ac:dyDescent="0.3">
      <c r="A17" s="326">
        <f>'Unit Data from Audit Worksheet'!A19</f>
        <v>338</v>
      </c>
      <c r="B17" s="340" t="str">
        <f>'Unit Data from Audit Worksheet'!C19</f>
        <v>Net Position-Governmental Activities</v>
      </c>
      <c r="C17" s="325" t="str">
        <f>'Unit Data from Audit Worksheet'!D19</f>
        <v>Total Liabilities and total deferred inflows</v>
      </c>
      <c r="D17" s="107"/>
      <c r="E17" s="149">
        <f>'Unit Data from Audit Worksheet'!F19</f>
        <v>0</v>
      </c>
      <c r="F17" s="132" t="str">
        <f>IF(L10&gt;L17,"Please review accounts 626 greater than 338","")</f>
        <v/>
      </c>
      <c r="G17" s="70"/>
      <c r="H17" s="338">
        <f>'Unit Data from Audit Worksheet'!I19</f>
        <v>0</v>
      </c>
      <c r="I17" s="37"/>
      <c r="J17" s="111">
        <v>338</v>
      </c>
      <c r="K17" s="112" t="s">
        <v>116</v>
      </c>
      <c r="L17" s="562">
        <f>IF(D17="",E17,D17)+IF(D9="",E9,D9)</f>
        <v>0</v>
      </c>
      <c r="N17" s="76" t="s">
        <v>317</v>
      </c>
      <c r="P17" s="307"/>
      <c r="W17" s="3" t="b">
        <f t="shared" si="0"/>
        <v>1</v>
      </c>
      <c r="X17" s="558">
        <f t="shared" si="1"/>
        <v>0</v>
      </c>
      <c r="Y17" s="558">
        <f t="shared" si="2"/>
        <v>0</v>
      </c>
    </row>
    <row r="18" spans="1:25" ht="100.5" customHeight="1" x14ac:dyDescent="0.3">
      <c r="A18" s="326">
        <f>'Unit Data from Audit Worksheet'!A20</f>
        <v>335</v>
      </c>
      <c r="B18" s="340" t="str">
        <f>'Unit Data from Audit Worksheet'!C20</f>
        <v>Net Position-Governmental Activities</v>
      </c>
      <c r="C18" s="325" t="str">
        <f>'Unit Data from Audit Worksheet'!D20</f>
        <v>Unearned revenues that were included in current liabilities in your audit report or entered in acct # 626 above. 
Exclude - unearned revenues that are listed in deferred inflows.</v>
      </c>
      <c r="D18" s="107"/>
      <c r="E18" s="346">
        <f>'Unit Data from Audit Worksheet'!F20</f>
        <v>0</v>
      </c>
      <c r="F18" s="339">
        <f>IF(L18&lt;0,"Error: Enter as a positive.",)</f>
        <v>0</v>
      </c>
      <c r="G18" s="341"/>
      <c r="H18" s="338">
        <f>'Unit Data from Audit Worksheet'!I20</f>
        <v>0</v>
      </c>
      <c r="I18" s="37"/>
      <c r="J18" s="337">
        <v>335</v>
      </c>
      <c r="K18" s="336" t="s">
        <v>117</v>
      </c>
      <c r="L18" s="561">
        <f>IF(D18="",E18,D18)</f>
        <v>0</v>
      </c>
      <c r="P18" s="308"/>
      <c r="W18" s="3" t="b">
        <f t="shared" si="0"/>
        <v>1</v>
      </c>
      <c r="X18" s="558">
        <f t="shared" si="1"/>
        <v>0</v>
      </c>
      <c r="Y18" s="558">
        <f t="shared" si="2"/>
        <v>0</v>
      </c>
    </row>
    <row r="19" spans="1:25" ht="20.399999999999999" x14ac:dyDescent="0.3">
      <c r="A19" s="326">
        <f>'Unit Data from Audit Worksheet'!A21</f>
        <v>252</v>
      </c>
      <c r="B19" s="340" t="str">
        <f>'Unit Data from Audit Worksheet'!C21</f>
        <v>Net Position-Governmental Activities</v>
      </c>
      <c r="C19" s="325" t="str">
        <f>'Unit Data from Audit Worksheet'!D21</f>
        <v xml:space="preserve"> Total Net investment in capital assets</v>
      </c>
      <c r="D19" s="107"/>
      <c r="E19" s="346">
        <f>'Unit Data from Audit Worksheet'!F21</f>
        <v>0</v>
      </c>
      <c r="F19" s="339"/>
      <c r="G19" s="341"/>
      <c r="H19" s="338">
        <f>'Unit Data from Audit Worksheet'!I21</f>
        <v>0</v>
      </c>
      <c r="I19" s="37"/>
      <c r="J19" s="337">
        <v>252</v>
      </c>
      <c r="K19" s="336" t="s">
        <v>103</v>
      </c>
      <c r="L19" s="561">
        <f t="shared" ref="L19:L51" si="4">IF(D19="",E19,D19)</f>
        <v>0</v>
      </c>
      <c r="O19" s="569" t="e">
        <f>'Unit Data from Audit Worksheet'!E21</f>
        <v>#N/A</v>
      </c>
      <c r="P19" s="308"/>
      <c r="W19" s="3" t="b">
        <f t="shared" si="0"/>
        <v>1</v>
      </c>
      <c r="X19" s="558">
        <f t="shared" si="1"/>
        <v>0</v>
      </c>
      <c r="Y19" s="558">
        <f t="shared" si="2"/>
        <v>0</v>
      </c>
    </row>
    <row r="20" spans="1:25" ht="20.399999999999999" x14ac:dyDescent="0.3">
      <c r="A20" s="326">
        <f>'Unit Data from Audit Worksheet'!A22</f>
        <v>253</v>
      </c>
      <c r="B20" s="340" t="str">
        <f>'Unit Data from Audit Worksheet'!C22</f>
        <v>Net Position-Governmental Activities</v>
      </c>
      <c r="C20" s="325" t="str">
        <f>'Unit Data from Audit Worksheet'!D22</f>
        <v xml:space="preserve"> Total Net Position, Restricted</v>
      </c>
      <c r="D20" s="107"/>
      <c r="E20" s="346">
        <f>'Unit Data from Audit Worksheet'!F22</f>
        <v>0</v>
      </c>
      <c r="F20" s="339"/>
      <c r="G20" s="341"/>
      <c r="H20" s="338">
        <f>'Unit Data from Audit Worksheet'!I22</f>
        <v>0</v>
      </c>
      <c r="I20" s="37"/>
      <c r="J20" s="337">
        <v>253</v>
      </c>
      <c r="K20" s="336" t="s">
        <v>104</v>
      </c>
      <c r="L20" s="561">
        <f t="shared" si="4"/>
        <v>0</v>
      </c>
      <c r="O20" s="569" t="e">
        <f>'Unit Data from Audit Worksheet'!E22</f>
        <v>#N/A</v>
      </c>
      <c r="P20" s="308"/>
      <c r="W20" s="3" t="b">
        <f t="shared" si="0"/>
        <v>1</v>
      </c>
      <c r="X20" s="558">
        <f t="shared" si="1"/>
        <v>0</v>
      </c>
      <c r="Y20" s="558">
        <f t="shared" si="2"/>
        <v>0</v>
      </c>
    </row>
    <row r="21" spans="1:25" ht="73.5" customHeight="1" x14ac:dyDescent="0.3">
      <c r="A21" s="326">
        <f>'Unit Data from Audit Worksheet'!A23</f>
        <v>254</v>
      </c>
      <c r="B21" s="340" t="str">
        <f>'Unit Data from Audit Worksheet'!C23</f>
        <v>Net Position-Governmental Activities</v>
      </c>
      <c r="C21" s="325" t="str">
        <f>'Unit Data from Audit Worksheet'!D23</f>
        <v>Total Net Position, Unrestricted - enter negative unrestricted net position as a negative)</v>
      </c>
      <c r="D21" s="107"/>
      <c r="E21" s="346">
        <f>'Unit Data from Audit Worksheet'!F23</f>
        <v>0</v>
      </c>
      <c r="F21" s="339">
        <f>IF((L7-L17-L19-L20-L21)=0,,"Error: Total assets and deferred outflows less total liabilities and deferred inflows do not equal total net position accts 385-338-252-253-254")</f>
        <v>0</v>
      </c>
      <c r="G21" s="88">
        <f>+L7-L17-L19-L20-L21</f>
        <v>0</v>
      </c>
      <c r="H21" s="338">
        <f>'Unit Data from Audit Worksheet'!I23</f>
        <v>0</v>
      </c>
      <c r="I21" s="37"/>
      <c r="J21" s="337">
        <v>254</v>
      </c>
      <c r="K21" s="336" t="s">
        <v>105</v>
      </c>
      <c r="L21" s="561">
        <f t="shared" si="4"/>
        <v>0</v>
      </c>
      <c r="O21" s="569" t="e">
        <f>'Unit Data from Audit Worksheet'!E23</f>
        <v>#N/A</v>
      </c>
      <c r="P21" s="308"/>
      <c r="Q21" s="551">
        <f>IF(G21&lt;&gt;0,1,0)</f>
        <v>0</v>
      </c>
      <c r="W21" s="3" t="b">
        <f t="shared" si="0"/>
        <v>1</v>
      </c>
      <c r="X21" s="558">
        <f t="shared" si="1"/>
        <v>0</v>
      </c>
      <c r="Y21" s="558">
        <f t="shared" si="2"/>
        <v>0</v>
      </c>
    </row>
    <row r="22" spans="1:25" ht="51.75" customHeight="1" x14ac:dyDescent="0.3">
      <c r="A22" s="326">
        <f>'Unit Data from Audit Worksheet'!A25</f>
        <v>502</v>
      </c>
      <c r="B22" s="340" t="str">
        <f>'Unit Data from Audit Worksheet'!C25</f>
        <v>Net Position-Business Activities</v>
      </c>
      <c r="C22" s="325" t="str">
        <f>'Unit Data from Audit Worksheet'!D25</f>
        <v xml:space="preserve">All unrestricted Cash and investments. 
Exclude restricted cash and cash held by a third party. </v>
      </c>
      <c r="D22" s="107"/>
      <c r="E22" s="346">
        <f>'Unit Data from Audit Worksheet'!F25</f>
        <v>0</v>
      </c>
      <c r="F22" s="339">
        <f>IF(L22&lt;0,"Error: Number is normally positive.",)</f>
        <v>0</v>
      </c>
      <c r="G22" s="341"/>
      <c r="H22" s="338">
        <f>'Unit Data from Audit Worksheet'!I25</f>
        <v>0</v>
      </c>
      <c r="I22" s="37"/>
      <c r="J22" s="337">
        <v>502</v>
      </c>
      <c r="K22" s="336" t="s">
        <v>186</v>
      </c>
      <c r="L22" s="561">
        <f t="shared" si="4"/>
        <v>0</v>
      </c>
      <c r="P22" s="308"/>
      <c r="W22" s="3" t="b">
        <f t="shared" si="0"/>
        <v>1</v>
      </c>
      <c r="X22" s="558">
        <f t="shared" si="1"/>
        <v>0</v>
      </c>
      <c r="Y22" s="558">
        <f t="shared" si="2"/>
        <v>0</v>
      </c>
    </row>
    <row r="23" spans="1:25" ht="40.5" customHeight="1" x14ac:dyDescent="0.3">
      <c r="A23" s="326">
        <f>'Unit Data from Audit Worksheet'!A26</f>
        <v>503</v>
      </c>
      <c r="B23" s="340" t="str">
        <f>'Unit Data from Audit Worksheet'!C26</f>
        <v>Net Position-Business Activities</v>
      </c>
      <c r="C23" s="325" t="str">
        <f>'Unit Data from Audit Worksheet'!D26</f>
        <v>All restricted Cash and investments</v>
      </c>
      <c r="D23" s="107"/>
      <c r="E23" s="346">
        <f>'Unit Data from Audit Worksheet'!F26</f>
        <v>0</v>
      </c>
      <c r="F23" s="339">
        <f>IF(L23&lt;0,"Error: Number is normally positive.",)</f>
        <v>0</v>
      </c>
      <c r="G23" s="341"/>
      <c r="H23" s="338">
        <f>'Unit Data from Audit Worksheet'!I26</f>
        <v>0</v>
      </c>
      <c r="I23" s="37"/>
      <c r="J23" s="337">
        <v>503</v>
      </c>
      <c r="K23" s="336" t="s">
        <v>187</v>
      </c>
      <c r="L23" s="561">
        <f t="shared" si="4"/>
        <v>0</v>
      </c>
      <c r="P23" s="308"/>
      <c r="W23" s="3" t="b">
        <f t="shared" si="0"/>
        <v>1</v>
      </c>
      <c r="X23" s="558">
        <f t="shared" si="1"/>
        <v>0</v>
      </c>
      <c r="Y23" s="558">
        <f t="shared" si="2"/>
        <v>0</v>
      </c>
    </row>
    <row r="24" spans="1:25" ht="39" customHeight="1" x14ac:dyDescent="0.3">
      <c r="A24" s="326">
        <f>'Unit Data from Audit Worksheet'!A28</f>
        <v>344</v>
      </c>
      <c r="B24" s="340" t="str">
        <f>'Unit Data from Audit Worksheet'!C28</f>
        <v>Statement of Activities - Governmental</v>
      </c>
      <c r="C24" s="325" t="str">
        <f>'Unit Data from Audit Worksheet'!D28</f>
        <v xml:space="preserve">Total Interest expense on Long-Term Debt </v>
      </c>
      <c r="D24" s="107"/>
      <c r="E24" s="346">
        <f>'Unit Data from Audit Worksheet'!F28</f>
        <v>0</v>
      </c>
      <c r="F24" s="339">
        <f>IF(L24&lt;0,"Error: Enter as a positive.",)</f>
        <v>0</v>
      </c>
      <c r="G24" s="341"/>
      <c r="H24" s="338">
        <f>'Unit Data from Audit Worksheet'!I28</f>
        <v>0</v>
      </c>
      <c r="I24" s="37"/>
      <c r="J24" s="337">
        <v>344</v>
      </c>
      <c r="K24" s="336" t="s">
        <v>188</v>
      </c>
      <c r="L24" s="561">
        <f t="shared" si="4"/>
        <v>0</v>
      </c>
      <c r="P24" s="308"/>
      <c r="W24" s="3" t="b">
        <f t="shared" si="0"/>
        <v>1</v>
      </c>
      <c r="X24" s="558">
        <f t="shared" si="1"/>
        <v>0</v>
      </c>
      <c r="Y24" s="558">
        <f t="shared" si="2"/>
        <v>0</v>
      </c>
    </row>
    <row r="25" spans="1:25" ht="39" customHeight="1" x14ac:dyDescent="0.3">
      <c r="A25" s="326">
        <f>'Unit Data from Audit Worksheet'!A29</f>
        <v>388</v>
      </c>
      <c r="B25" s="340" t="str">
        <f>'Unit Data from Audit Worksheet'!C29</f>
        <v>Statement of Activities - Governmental</v>
      </c>
      <c r="C25" s="325" t="str">
        <f>'Unit Data from Audit Worksheet'!D29</f>
        <v>Total Expenses</v>
      </c>
      <c r="D25" s="107"/>
      <c r="E25" s="346">
        <f>'Unit Data from Audit Worksheet'!F29</f>
        <v>0</v>
      </c>
      <c r="F25" s="339">
        <f t="shared" ref="F25:F30" si="5">IF(L25&lt;0,"Error: Number is normally positive.",)</f>
        <v>0</v>
      </c>
      <c r="G25" s="341"/>
      <c r="H25" s="338">
        <f>'Unit Data from Audit Worksheet'!I29</f>
        <v>0</v>
      </c>
      <c r="I25" s="37"/>
      <c r="J25" s="337">
        <v>388</v>
      </c>
      <c r="K25" s="336" t="s">
        <v>189</v>
      </c>
      <c r="L25" s="561">
        <f t="shared" si="4"/>
        <v>0</v>
      </c>
      <c r="P25" s="308"/>
      <c r="W25" s="3" t="b">
        <f t="shared" si="0"/>
        <v>1</v>
      </c>
      <c r="X25" s="558">
        <f t="shared" si="1"/>
        <v>0</v>
      </c>
      <c r="Y25" s="558">
        <f t="shared" si="2"/>
        <v>0</v>
      </c>
    </row>
    <row r="26" spans="1:25" ht="39" customHeight="1" x14ac:dyDescent="0.3">
      <c r="A26" s="326">
        <f>'Unit Data from Audit Worksheet'!A30</f>
        <v>339</v>
      </c>
      <c r="B26" s="340" t="str">
        <f>'Unit Data from Audit Worksheet'!C30</f>
        <v>Statement of Activities - Governmental</v>
      </c>
      <c r="C26" s="325" t="str">
        <f>'Unit Data from Audit Worksheet'!D30</f>
        <v xml:space="preserve">Charges for services </v>
      </c>
      <c r="D26" s="107"/>
      <c r="E26" s="346">
        <f>'Unit Data from Audit Worksheet'!F30</f>
        <v>0</v>
      </c>
      <c r="F26" s="339">
        <f t="shared" si="5"/>
        <v>0</v>
      </c>
      <c r="G26" s="341"/>
      <c r="H26" s="338">
        <f>'Unit Data from Audit Worksheet'!I30</f>
        <v>0</v>
      </c>
      <c r="I26" s="37"/>
      <c r="J26" s="337">
        <v>339</v>
      </c>
      <c r="K26" s="336" t="s">
        <v>190</v>
      </c>
      <c r="L26" s="561">
        <f t="shared" si="4"/>
        <v>0</v>
      </c>
      <c r="P26" s="308"/>
      <c r="W26" s="3" t="b">
        <f t="shared" si="0"/>
        <v>1</v>
      </c>
      <c r="X26" s="558">
        <f t="shared" si="1"/>
        <v>0</v>
      </c>
      <c r="Y26" s="558">
        <f t="shared" si="2"/>
        <v>0</v>
      </c>
    </row>
    <row r="27" spans="1:25" ht="39" customHeight="1" x14ac:dyDescent="0.3">
      <c r="A27" s="326">
        <f>'Unit Data from Audit Worksheet'!A31</f>
        <v>504</v>
      </c>
      <c r="B27" s="340" t="str">
        <f>'Unit Data from Audit Worksheet'!C31</f>
        <v>Statement of Activities - Governmental</v>
      </c>
      <c r="C27" s="325" t="str">
        <f>'Unit Data from Audit Worksheet'!D31</f>
        <v>Operating grants and contributions</v>
      </c>
      <c r="D27" s="107"/>
      <c r="E27" s="346">
        <f>'Unit Data from Audit Worksheet'!F31</f>
        <v>0</v>
      </c>
      <c r="F27" s="339">
        <f t="shared" si="5"/>
        <v>0</v>
      </c>
      <c r="G27" s="341"/>
      <c r="H27" s="338">
        <f>'Unit Data from Audit Worksheet'!I31</f>
        <v>0</v>
      </c>
      <c r="I27" s="37"/>
      <c r="J27" s="337">
        <v>504</v>
      </c>
      <c r="K27" s="336" t="s">
        <v>191</v>
      </c>
      <c r="L27" s="561">
        <f t="shared" si="4"/>
        <v>0</v>
      </c>
      <c r="P27" s="308"/>
      <c r="W27" s="3" t="b">
        <f t="shared" si="0"/>
        <v>1</v>
      </c>
      <c r="X27" s="558">
        <f t="shared" si="1"/>
        <v>0</v>
      </c>
      <c r="Y27" s="558">
        <f t="shared" si="2"/>
        <v>0</v>
      </c>
    </row>
    <row r="28" spans="1:25" ht="39" customHeight="1" x14ac:dyDescent="0.3">
      <c r="A28" s="326">
        <f>'Unit Data from Audit Worksheet'!A32</f>
        <v>505</v>
      </c>
      <c r="B28" s="340" t="str">
        <f>'Unit Data from Audit Worksheet'!C32</f>
        <v>Statement of Activities - Governmental</v>
      </c>
      <c r="C28" s="325" t="str">
        <f>'Unit Data from Audit Worksheet'!D32</f>
        <v>Capital grants and contributions</v>
      </c>
      <c r="D28" s="107"/>
      <c r="E28" s="346">
        <f>'Unit Data from Audit Worksheet'!F32</f>
        <v>0</v>
      </c>
      <c r="F28" s="339">
        <f t="shared" si="5"/>
        <v>0</v>
      </c>
      <c r="G28" s="341"/>
      <c r="H28" s="338">
        <f>'Unit Data from Audit Worksheet'!I32</f>
        <v>0</v>
      </c>
      <c r="I28" s="37"/>
      <c r="J28" s="337">
        <v>505</v>
      </c>
      <c r="K28" s="336" t="s">
        <v>192</v>
      </c>
      <c r="L28" s="561">
        <f t="shared" si="4"/>
        <v>0</v>
      </c>
      <c r="P28" s="308"/>
      <c r="W28" s="3" t="b">
        <f t="shared" si="0"/>
        <v>1</v>
      </c>
      <c r="X28" s="558">
        <f t="shared" si="1"/>
        <v>0</v>
      </c>
      <c r="Y28" s="558">
        <f t="shared" si="2"/>
        <v>0</v>
      </c>
    </row>
    <row r="29" spans="1:25" ht="82.5" customHeight="1" x14ac:dyDescent="0.3">
      <c r="A29" s="326">
        <f>'Unit Data from Audit Worksheet'!A33</f>
        <v>341</v>
      </c>
      <c r="B29" s="340" t="str">
        <f>'Unit Data from Audit Worksheet'!C33</f>
        <v>Statement of Activities - Governmental</v>
      </c>
      <c r="C29" s="325" t="str">
        <f>'Unit Data from Audit Worksheet'!D33</f>
        <v>Total General revenues
Exclude: transfers-in or out,
                 special items,
                 extraordinary amounts</v>
      </c>
      <c r="D29" s="107"/>
      <c r="E29" s="346">
        <f>'Unit Data from Audit Worksheet'!F33</f>
        <v>0</v>
      </c>
      <c r="F29" s="339">
        <f t="shared" si="5"/>
        <v>0</v>
      </c>
      <c r="G29" s="341"/>
      <c r="H29" s="338">
        <f>'Unit Data from Audit Worksheet'!I33</f>
        <v>0</v>
      </c>
      <c r="I29" s="37"/>
      <c r="J29" s="337">
        <v>341</v>
      </c>
      <c r="K29" s="336" t="s">
        <v>193</v>
      </c>
      <c r="L29" s="561">
        <f t="shared" si="4"/>
        <v>0</v>
      </c>
      <c r="P29" s="308"/>
      <c r="W29" s="3" t="b">
        <f t="shared" si="0"/>
        <v>1</v>
      </c>
      <c r="X29" s="558">
        <f t="shared" si="1"/>
        <v>0</v>
      </c>
      <c r="Y29" s="558">
        <f t="shared" si="2"/>
        <v>0</v>
      </c>
    </row>
    <row r="30" spans="1:25" ht="82.5" customHeight="1" x14ac:dyDescent="0.3">
      <c r="A30" s="326">
        <f>'Unit Data from Audit Worksheet'!A34</f>
        <v>386</v>
      </c>
      <c r="B30" s="340" t="str">
        <f>'Unit Data from Audit Worksheet'!C34</f>
        <v>Statement of Activities - Governmental</v>
      </c>
      <c r="C30" s="325" t="str">
        <f>'Unit Data from Audit Worksheet'!D34</f>
        <v>Total Transfers in    (Preference is that transfers-in  are not netted against transfers-out)</v>
      </c>
      <c r="D30" s="107"/>
      <c r="E30" s="346">
        <f>'Unit Data from Audit Worksheet'!F34</f>
        <v>0</v>
      </c>
      <c r="F30" s="339">
        <f t="shared" si="5"/>
        <v>0</v>
      </c>
      <c r="G30" s="341"/>
      <c r="H30" s="338">
        <f>'Unit Data from Audit Worksheet'!I34</f>
        <v>0</v>
      </c>
      <c r="I30" s="37"/>
      <c r="J30" s="337">
        <v>386</v>
      </c>
      <c r="K30" s="336" t="s">
        <v>194</v>
      </c>
      <c r="L30" s="561">
        <f t="shared" si="4"/>
        <v>0</v>
      </c>
      <c r="P30" s="308"/>
      <c r="W30" s="3" t="b">
        <f t="shared" si="0"/>
        <v>1</v>
      </c>
      <c r="X30" s="558">
        <f t="shared" si="1"/>
        <v>0</v>
      </c>
      <c r="Y30" s="558">
        <f t="shared" si="2"/>
        <v>0</v>
      </c>
    </row>
    <row r="31" spans="1:25" ht="82.5" customHeight="1" x14ac:dyDescent="0.3">
      <c r="A31" s="326">
        <f>'Unit Data from Audit Worksheet'!A35</f>
        <v>387</v>
      </c>
      <c r="B31" s="340" t="str">
        <f>'Unit Data from Audit Worksheet'!C35</f>
        <v>Statement of Activities - Governmental</v>
      </c>
      <c r="C31" s="325" t="str">
        <f>'Unit Data from Audit Worksheet'!D35</f>
        <v>Total Transfers out    (Preference is that transfers-in  are not netted against transfers-out)</v>
      </c>
      <c r="D31" s="107"/>
      <c r="E31" s="346">
        <f>'Unit Data from Audit Worksheet'!F35</f>
        <v>0</v>
      </c>
      <c r="F31" s="339">
        <f>IF(L31&lt;0,"Error: Enter as a positive.",)</f>
        <v>0</v>
      </c>
      <c r="G31" s="341"/>
      <c r="H31" s="338">
        <f>'Unit Data from Audit Worksheet'!I35</f>
        <v>0</v>
      </c>
      <c r="I31" s="37"/>
      <c r="J31" s="337">
        <v>387</v>
      </c>
      <c r="K31" s="336" t="s">
        <v>195</v>
      </c>
      <c r="L31" s="561">
        <f t="shared" si="4"/>
        <v>0</v>
      </c>
      <c r="P31" s="308"/>
      <c r="W31" s="3" t="b">
        <f t="shared" si="0"/>
        <v>1</v>
      </c>
      <c r="X31" s="558">
        <f t="shared" si="1"/>
        <v>0</v>
      </c>
      <c r="Y31" s="558">
        <f t="shared" si="2"/>
        <v>0</v>
      </c>
    </row>
    <row r="32" spans="1:25" ht="82.5" customHeight="1" x14ac:dyDescent="0.3">
      <c r="A32" s="326">
        <f>'Unit Data from Audit Worksheet'!A36</f>
        <v>389</v>
      </c>
      <c r="B32" s="340" t="str">
        <f>'Unit Data from Audit Worksheet'!C36</f>
        <v>Statement of Activities - Governmental</v>
      </c>
      <c r="C32" s="325" t="str">
        <f>'Unit Data from Audit Worksheet'!D36</f>
        <v>Total Special and Extraordinary items.    (Amounts that increase net position are recorded as positive and amounts that decrease net position are recorded as negative)</v>
      </c>
      <c r="D32" s="107"/>
      <c r="E32" s="346">
        <f>'Unit Data from Audit Worksheet'!F36</f>
        <v>0</v>
      </c>
      <c r="F32" s="339"/>
      <c r="G32" s="341"/>
      <c r="H32" s="338">
        <f>'Unit Data from Audit Worksheet'!I36</f>
        <v>0</v>
      </c>
      <c r="I32" s="37"/>
      <c r="J32" s="337">
        <v>389</v>
      </c>
      <c r="K32" s="336" t="s">
        <v>196</v>
      </c>
      <c r="L32" s="561">
        <f t="shared" si="4"/>
        <v>0</v>
      </c>
      <c r="N32" s="570"/>
      <c r="P32" s="308"/>
      <c r="W32" s="3" t="b">
        <f t="shared" si="0"/>
        <v>1</v>
      </c>
      <c r="X32" s="558">
        <f t="shared" si="1"/>
        <v>0</v>
      </c>
      <c r="Y32" s="558">
        <f t="shared" si="2"/>
        <v>0</v>
      </c>
    </row>
    <row r="33" spans="1:25" ht="79.5" customHeight="1" x14ac:dyDescent="0.3">
      <c r="A33" s="326">
        <f>'Unit Data from Audit Worksheet'!A37</f>
        <v>255</v>
      </c>
      <c r="B33" s="340" t="str">
        <f>'Unit Data from Audit Worksheet'!C37</f>
        <v>Statement of Activities - Governmental</v>
      </c>
      <c r="C33" s="325" t="str">
        <f>'Unit Data from Audit Worksheet'!D37</f>
        <v>Total Change in net position - (Increase in net position is recorded as a positive and a decrease in net position is recorded as a negative)</v>
      </c>
      <c r="D33" s="107"/>
      <c r="E33" s="346">
        <f>'Unit Data from Audit Worksheet'!F37</f>
        <v>0</v>
      </c>
      <c r="F33" s="339">
        <f>IF((L26+L27+L28+L29+L30-L31+L32-L25-L33)=0,,"Total revenues less total expenses do not equal total change in net position. Acct 339+504+505+341+386-387+389-388-255=0")</f>
        <v>0</v>
      </c>
      <c r="G33" s="89">
        <f>L26+L27+L28+L29+L30-L31+L32-L25-L33</f>
        <v>0</v>
      </c>
      <c r="H33" s="338">
        <f>'Unit Data from Audit Worksheet'!I37</f>
        <v>0</v>
      </c>
      <c r="I33" s="37"/>
      <c r="J33" s="337">
        <v>255</v>
      </c>
      <c r="K33" s="336" t="s">
        <v>197</v>
      </c>
      <c r="L33" s="561">
        <f t="shared" si="4"/>
        <v>0</v>
      </c>
      <c r="O33" s="569" t="e">
        <f>'Unit Data from Audit Worksheet'!E37</f>
        <v>#N/A</v>
      </c>
      <c r="P33" s="308"/>
      <c r="Q33" s="551">
        <f>IF(G33&lt;&gt;0,1,0)</f>
        <v>0</v>
      </c>
      <c r="W33" s="3" t="b">
        <f t="shared" si="0"/>
        <v>1</v>
      </c>
      <c r="X33" s="558">
        <f t="shared" si="1"/>
        <v>0</v>
      </c>
      <c r="Y33" s="558">
        <f t="shared" si="2"/>
        <v>0</v>
      </c>
    </row>
    <row r="34" spans="1:25" ht="89.25" customHeight="1" x14ac:dyDescent="0.3">
      <c r="A34" s="326">
        <f>'Unit Data from Audit Worksheet'!A38</f>
        <v>376</v>
      </c>
      <c r="B34" s="340" t="str">
        <f>'Unit Data from Audit Worksheet'!C38</f>
        <v>Statement of Activities - Governmental</v>
      </c>
      <c r="C34" s="325" t="str">
        <f>'Unit Data from Audit Worksheet'!D38</f>
        <v>Any adjustment to beginning net position including rounding, prior period adjustments and restatements.   (Increases to net position are positive; decreases to net position are negative)</v>
      </c>
      <c r="D34" s="107"/>
      <c r="E34" s="346">
        <f>'Unit Data from Audit Worksheet'!F38</f>
        <v>0</v>
      </c>
      <c r="F34" s="85" t="e">
        <f>IF(L19+L20+L21-L33-L34=O19+O20+O21,,"Beginning Balance does not agree with our records acct (252+253+254-255-376=PY252+PY253+PY254)")</f>
        <v>#N/A</v>
      </c>
      <c r="G34" s="90" t="e">
        <f>L19+L20+L21-L33-L34-(O19+O20+O21)</f>
        <v>#N/A</v>
      </c>
      <c r="H34" s="338" t="str">
        <f>'Unit Data from Audit Worksheet'!I38</f>
        <v>Please do not enter prior's years beginning balance as an adjustment in column F.</v>
      </c>
      <c r="I34" s="37"/>
      <c r="J34" s="337">
        <v>376</v>
      </c>
      <c r="K34" s="336" t="s">
        <v>108</v>
      </c>
      <c r="L34" s="561">
        <f t="shared" si="4"/>
        <v>0</v>
      </c>
      <c r="O34" s="569" t="e">
        <f>'Unit Data from Audit Worksheet'!E38</f>
        <v>#N/A</v>
      </c>
      <c r="P34" s="308"/>
      <c r="Q34" s="551" t="e">
        <f>IF(G34&lt;&gt;0,1,0)</f>
        <v>#N/A</v>
      </c>
      <c r="W34" s="3" t="b">
        <f t="shared" si="0"/>
        <v>1</v>
      </c>
      <c r="X34" s="558">
        <f t="shared" si="1"/>
        <v>0</v>
      </c>
      <c r="Y34" s="558">
        <f t="shared" si="2"/>
        <v>0</v>
      </c>
    </row>
    <row r="35" spans="1:25" ht="157.5" customHeight="1" x14ac:dyDescent="0.3">
      <c r="A35" s="326">
        <f>'Unit Data from Audit Worksheet'!A39</f>
        <v>597</v>
      </c>
      <c r="B35" s="340" t="str">
        <f>'Unit Data from Audit Worksheet'!C39</f>
        <v>Statement of Activities                               (all governmental and business funds)</v>
      </c>
      <c r="C35" s="325" t="str">
        <f>'Unit Data from Audit Worksheet'!D39</f>
        <v>Amount of interest income and investment income recognized as revenue in your audit report for all governmental and proprietary funds.  In the past we have asked you to adjust this number, but this year we would like the number as it appears on your Statement of Activities without adjustment.</v>
      </c>
      <c r="D35" s="107"/>
      <c r="E35" s="346">
        <f>'Unit Data from Audit Worksheet'!F39</f>
        <v>0</v>
      </c>
      <c r="F35" s="339">
        <f>IF(L35&lt;0,"Error: Number is normally positive.",)</f>
        <v>0</v>
      </c>
      <c r="G35" s="341"/>
      <c r="H35" s="338">
        <f>'Unit Data from Audit Worksheet'!I39</f>
        <v>0</v>
      </c>
      <c r="I35" s="37"/>
      <c r="J35" s="337">
        <v>597</v>
      </c>
      <c r="K35" s="336" t="s">
        <v>372</v>
      </c>
      <c r="L35" s="561">
        <f t="shared" si="4"/>
        <v>0</v>
      </c>
      <c r="O35" s="569"/>
      <c r="P35" s="308"/>
      <c r="W35" s="3" t="b">
        <f t="shared" si="0"/>
        <v>1</v>
      </c>
      <c r="X35" s="558">
        <f t="shared" si="1"/>
        <v>0</v>
      </c>
      <c r="Y35" s="558">
        <f t="shared" si="2"/>
        <v>0</v>
      </c>
    </row>
    <row r="36" spans="1:25" ht="90" customHeight="1" x14ac:dyDescent="0.3">
      <c r="A36" s="326">
        <f>'Unit Data from Audit Worksheet'!A41</f>
        <v>592</v>
      </c>
      <c r="B36" s="340" t="str">
        <f>'Unit Data from Audit Worksheet'!C41</f>
        <v>Statement of Activities - Business Activities</v>
      </c>
      <c r="C36" s="325" t="str">
        <f>'Unit Data from Audit Worksheet'!D41</f>
        <v>Total Change in net position Business Type 
(Increase in net position is recorded as a positive and a decrease in net position is recorded as a negative)</v>
      </c>
      <c r="D36" s="107"/>
      <c r="E36" s="346">
        <f>'Unit Data from Audit Worksheet'!F41</f>
        <v>0</v>
      </c>
      <c r="F36" s="339"/>
      <c r="G36" s="341"/>
      <c r="H36" s="338">
        <f>'Unit Data from Audit Worksheet'!I41</f>
        <v>0</v>
      </c>
      <c r="I36" s="37"/>
      <c r="J36" s="337">
        <v>592</v>
      </c>
      <c r="K36" s="336" t="s">
        <v>352</v>
      </c>
      <c r="L36" s="561">
        <f t="shared" si="4"/>
        <v>0</v>
      </c>
      <c r="O36" s="569"/>
      <c r="P36" s="308"/>
      <c r="W36" s="3" t="b">
        <f t="shared" ref="W36:W66" si="6">EXACT(A36,J36)</f>
        <v>1</v>
      </c>
      <c r="X36" s="558">
        <f t="shared" si="1"/>
        <v>0</v>
      </c>
      <c r="Y36" s="558">
        <f t="shared" si="2"/>
        <v>0</v>
      </c>
    </row>
    <row r="37" spans="1:25" ht="66" customHeight="1" x14ac:dyDescent="0.3">
      <c r="A37" s="326">
        <f>'Unit Data from Audit Worksheet'!A42</f>
        <v>591</v>
      </c>
      <c r="B37" s="340" t="str">
        <f>'Unit Data from Audit Worksheet'!C42</f>
        <v>Statement of Activities - Business Activities</v>
      </c>
      <c r="C37" s="325" t="str">
        <f>'Unit Data from Audit Worksheet'!D42</f>
        <v>Total Expenses - Exclude Transfers</v>
      </c>
      <c r="D37" s="107"/>
      <c r="E37" s="346">
        <f>'Unit Data from Audit Worksheet'!F42</f>
        <v>0</v>
      </c>
      <c r="F37" s="339">
        <f>IF(L37&lt;0,"Error: Enter as a positive.",)</f>
        <v>0</v>
      </c>
      <c r="G37" s="341"/>
      <c r="H37" s="338">
        <f>'Unit Data from Audit Worksheet'!I42</f>
        <v>0</v>
      </c>
      <c r="I37" s="37"/>
      <c r="J37" s="337">
        <v>591</v>
      </c>
      <c r="K37" s="336" t="s">
        <v>351</v>
      </c>
      <c r="L37" s="561">
        <f t="shared" si="4"/>
        <v>0</v>
      </c>
      <c r="O37" s="569"/>
      <c r="P37" s="308"/>
      <c r="W37" s="3" t="b">
        <f t="shared" si="6"/>
        <v>1</v>
      </c>
      <c r="X37" s="558">
        <f t="shared" si="1"/>
        <v>0</v>
      </c>
      <c r="Y37" s="558">
        <f t="shared" si="2"/>
        <v>0</v>
      </c>
    </row>
    <row r="38" spans="1:25" s="697" customFormat="1" ht="66" customHeight="1" x14ac:dyDescent="0.3">
      <c r="A38" s="326">
        <f>'Unit Data from Audit Worksheet'!A43</f>
        <v>593</v>
      </c>
      <c r="B38" s="340" t="str">
        <f>'Unit Data from Audit Worksheet'!C43</f>
        <v>Statement of Activities - Business Activities</v>
      </c>
      <c r="C38" s="325" t="str">
        <f>'Unit Data from Audit Worksheet'!D43</f>
        <v>Total Transfers in    (Preference is that transfers-in  are not netted against transfers-out)</v>
      </c>
      <c r="D38" s="107"/>
      <c r="E38" s="346">
        <f>'Unit Data from Audit Worksheet'!F43</f>
        <v>0</v>
      </c>
      <c r="F38" s="339"/>
      <c r="G38" s="341"/>
      <c r="H38" s="338"/>
      <c r="I38" s="699"/>
      <c r="J38" s="337">
        <v>593</v>
      </c>
      <c r="K38" s="702" t="s">
        <v>1072</v>
      </c>
      <c r="L38" s="561">
        <f t="shared" si="4"/>
        <v>0</v>
      </c>
      <c r="O38" s="569"/>
      <c r="P38" s="308"/>
      <c r="Q38" s="551"/>
      <c r="X38" s="558"/>
      <c r="Y38" s="558"/>
    </row>
    <row r="39" spans="1:25" s="697" customFormat="1" ht="66" customHeight="1" x14ac:dyDescent="0.3">
      <c r="A39" s="326">
        <f>'Unit Data from Audit Worksheet'!A44</f>
        <v>594</v>
      </c>
      <c r="B39" s="340" t="str">
        <f>'Unit Data from Audit Worksheet'!C44</f>
        <v>Statement of Activities - Business Activities</v>
      </c>
      <c r="C39" s="325" t="str">
        <f>'Unit Data from Audit Worksheet'!D44</f>
        <v>Total Transfers out    (Preference is that transfers-in  are not netted against transfers-out)</v>
      </c>
      <c r="D39" s="107"/>
      <c r="E39" s="346">
        <f>'Unit Data from Audit Worksheet'!F44</f>
        <v>0</v>
      </c>
      <c r="F39" s="339"/>
      <c r="G39" s="341"/>
      <c r="H39" s="338"/>
      <c r="I39" s="699"/>
      <c r="J39" s="337">
        <v>594</v>
      </c>
      <c r="K39" s="702" t="s">
        <v>1073</v>
      </c>
      <c r="L39" s="561">
        <f t="shared" si="4"/>
        <v>0</v>
      </c>
      <c r="O39" s="569"/>
      <c r="P39" s="308"/>
      <c r="Q39" s="551"/>
      <c r="X39" s="558"/>
      <c r="Y39" s="558"/>
    </row>
    <row r="40" spans="1:25" s="697" customFormat="1" ht="66" customHeight="1" x14ac:dyDescent="0.3">
      <c r="A40" s="326">
        <f>'Unit Data from Audit Worksheet'!A46</f>
        <v>558</v>
      </c>
      <c r="B40" s="340" t="str">
        <f>'Unit Data from Audit Worksheet'!C46</f>
        <v>Mental Health-Balance Sheet - Non GAAP</v>
      </c>
      <c r="C40" s="325" t="str">
        <f>'Unit Data from Audit Worksheet'!D46</f>
        <v xml:space="preserve">All unrestricted cash and investments.  
Exclude restricted cash and cash held by a third party. </v>
      </c>
      <c r="D40" s="107"/>
      <c r="E40" s="346">
        <f>'Unit Data from Audit Worksheet'!F46</f>
        <v>0</v>
      </c>
      <c r="F40" s="339"/>
      <c r="G40" s="341"/>
      <c r="H40" s="338"/>
      <c r="I40" s="699"/>
      <c r="J40" s="337">
        <v>558</v>
      </c>
      <c r="K40" s="698" t="s">
        <v>1074</v>
      </c>
      <c r="L40" s="561">
        <f t="shared" si="4"/>
        <v>0</v>
      </c>
      <c r="O40" s="569"/>
      <c r="P40" s="308"/>
      <c r="Q40" s="551"/>
      <c r="X40" s="558"/>
      <c r="Y40" s="558"/>
    </row>
    <row r="41" spans="1:25" s="697" customFormat="1" ht="66" customHeight="1" x14ac:dyDescent="0.3">
      <c r="A41" s="326">
        <f>'Unit Data from Audit Worksheet'!A47</f>
        <v>559</v>
      </c>
      <c r="B41" s="340" t="str">
        <f>'Unit Data from Audit Worksheet'!C47</f>
        <v>Mental Health-Balance Sheet - Non GAAP</v>
      </c>
      <c r="C41" s="325" t="str">
        <f>'Unit Data from Audit Worksheet'!D47</f>
        <v>All restricted cash and investments</v>
      </c>
      <c r="D41" s="107"/>
      <c r="E41" s="346">
        <f>'Unit Data from Audit Worksheet'!F47</f>
        <v>0</v>
      </c>
      <c r="F41" s="339"/>
      <c r="G41" s="341"/>
      <c r="H41" s="338"/>
      <c r="I41" s="699"/>
      <c r="J41" s="337">
        <v>559</v>
      </c>
      <c r="K41" s="698" t="s">
        <v>1075</v>
      </c>
      <c r="L41" s="561">
        <f t="shared" si="4"/>
        <v>0</v>
      </c>
      <c r="O41" s="569"/>
      <c r="P41" s="308"/>
      <c r="Q41" s="551"/>
      <c r="X41" s="558"/>
      <c r="Y41" s="558"/>
    </row>
    <row r="42" spans="1:25" s="697" customFormat="1" ht="124.5" customHeight="1" x14ac:dyDescent="0.3">
      <c r="A42" s="326">
        <f>'Unit Data from Audit Worksheet'!A48</f>
        <v>560</v>
      </c>
      <c r="B42" s="340" t="str">
        <f>'Unit Data from Audit Worksheet'!C48</f>
        <v>Mental Health-Balance Sheet - Non GAAP</v>
      </c>
      <c r="C42" s="325" t="str">
        <f>'Unit Data from Audit Worksheet'!D48</f>
        <v>Current Liabilities 
Exclude: all deferred inflows
                 current debt service payments
Include: Liabilities payable from restricted assets.</v>
      </c>
      <c r="D42" s="107"/>
      <c r="E42" s="346">
        <f>'Unit Data from Audit Worksheet'!F48</f>
        <v>0</v>
      </c>
      <c r="F42" s="339"/>
      <c r="G42" s="341"/>
      <c r="H42" s="338"/>
      <c r="I42" s="699"/>
      <c r="J42" s="337">
        <v>560</v>
      </c>
      <c r="K42" s="698" t="s">
        <v>1076</v>
      </c>
      <c r="L42" s="561">
        <f t="shared" si="4"/>
        <v>0</v>
      </c>
      <c r="O42" s="569"/>
      <c r="P42" s="308"/>
      <c r="Q42" s="551"/>
      <c r="X42" s="558"/>
      <c r="Y42" s="558"/>
    </row>
    <row r="43" spans="1:25" s="697" customFormat="1" ht="66" customHeight="1" x14ac:dyDescent="0.3">
      <c r="A43" s="326">
        <f>'Unit Data from Audit Worksheet'!A49</f>
        <v>561</v>
      </c>
      <c r="B43" s="340" t="str">
        <f>'Unit Data from Audit Worksheet'!C49</f>
        <v>Mental Health-Balance Sheet - Non GAAP</v>
      </c>
      <c r="C43" s="325" t="str">
        <f>'Unit Data from Audit Worksheet'!D49</f>
        <v xml:space="preserve">Mental Health Enterprise Fund Non GAAP deferred inflows or liabilities derived from cash receipts.   </v>
      </c>
      <c r="D43" s="107"/>
      <c r="E43" s="346">
        <f>'Unit Data from Audit Worksheet'!F49</f>
        <v>0</v>
      </c>
      <c r="F43" s="339"/>
      <c r="G43" s="341"/>
      <c r="H43" s="338"/>
      <c r="I43" s="699"/>
      <c r="J43" s="337">
        <v>561</v>
      </c>
      <c r="K43" s="698" t="s">
        <v>1077</v>
      </c>
      <c r="L43" s="561">
        <f t="shared" si="4"/>
        <v>0</v>
      </c>
      <c r="O43" s="569"/>
      <c r="P43" s="308"/>
      <c r="Q43" s="551"/>
      <c r="X43" s="558"/>
      <c r="Y43" s="558"/>
    </row>
    <row r="44" spans="1:25" s="697" customFormat="1" ht="137.25" customHeight="1" x14ac:dyDescent="0.3">
      <c r="A44" s="326">
        <f>'Unit Data from Audit Worksheet'!A50</f>
        <v>563</v>
      </c>
      <c r="B44" s="340" t="str">
        <f>'Unit Data from Audit Worksheet'!C50</f>
        <v>Mental Health-Balance Sheet - Non GAAP</v>
      </c>
      <c r="C44" s="325" t="str">
        <f>'Unit Data from Audit Worksheet'!D50</f>
        <v>Total Liabilities payable from restricted assets (only complete if this if unit has listed this account in their financial statements for the Mental Health Enterprise Fund Non GAAP and the auditor has listed the cash to be used to pay the liabilities as restricted)</v>
      </c>
      <c r="D44" s="107"/>
      <c r="E44" s="346">
        <f>'Unit Data from Audit Worksheet'!F50</f>
        <v>0</v>
      </c>
      <c r="F44" s="339"/>
      <c r="G44" s="341"/>
      <c r="H44" s="338"/>
      <c r="I44" s="699"/>
      <c r="J44" s="337">
        <v>563</v>
      </c>
      <c r="K44" s="698" t="s">
        <v>1078</v>
      </c>
      <c r="L44" s="561">
        <f t="shared" si="4"/>
        <v>0</v>
      </c>
      <c r="O44" s="569"/>
      <c r="P44" s="308"/>
      <c r="Q44" s="551"/>
      <c r="X44" s="558"/>
      <c r="Y44" s="558"/>
    </row>
    <row r="45" spans="1:25" s="697" customFormat="1" ht="66" customHeight="1" x14ac:dyDescent="0.3">
      <c r="A45" s="326">
        <f>'Unit Data from Audit Worksheet'!A51</f>
        <v>564</v>
      </c>
      <c r="B45" s="340" t="str">
        <f>'Unit Data from Audit Worksheet'!C51</f>
        <v>Mental Health Enterprise Fund Non GAAP-Rev, Exp. Change in Fund Balance</v>
      </c>
      <c r="C45" s="325" t="str">
        <f>'Unit Data from Audit Worksheet'!D51</f>
        <v>Total expenditures  
Exclude: expenditures in the ""other financing sources (uses)"" section.</v>
      </c>
      <c r="D45" s="107"/>
      <c r="E45" s="346">
        <f>'Unit Data from Audit Worksheet'!F51</f>
        <v>0</v>
      </c>
      <c r="F45" s="339"/>
      <c r="G45" s="341"/>
      <c r="H45" s="338"/>
      <c r="I45" s="699"/>
      <c r="J45" s="337">
        <v>564</v>
      </c>
      <c r="K45" s="698" t="s">
        <v>1079</v>
      </c>
      <c r="L45" s="561">
        <f t="shared" si="4"/>
        <v>0</v>
      </c>
      <c r="O45" s="569"/>
      <c r="P45" s="308"/>
      <c r="Q45" s="551"/>
      <c r="X45" s="558"/>
      <c r="Y45" s="558"/>
    </row>
    <row r="46" spans="1:25" s="697" customFormat="1" ht="66" customHeight="1" x14ac:dyDescent="0.3">
      <c r="A46" s="326">
        <f>'Unit Data from Audit Worksheet'!A52</f>
        <v>568</v>
      </c>
      <c r="B46" s="340" t="str">
        <f>'Unit Data from Audit Worksheet'!C52</f>
        <v>Mental Health Enterprise Fund Non GAAP-Rev, Exp. Change in Fund Balance</v>
      </c>
      <c r="C46" s="325" t="str">
        <f>'Unit Data from Audit Worksheet'!D52</f>
        <v>Total Proceeds from all long-term debt issuances 
Exclude: proceeds from refundings</v>
      </c>
      <c r="D46" s="107"/>
      <c r="E46" s="346">
        <f>'Unit Data from Audit Worksheet'!F52</f>
        <v>0</v>
      </c>
      <c r="F46" s="339"/>
      <c r="G46" s="341"/>
      <c r="H46" s="338"/>
      <c r="I46" s="699"/>
      <c r="J46" s="337">
        <v>568</v>
      </c>
      <c r="K46" s="698" t="s">
        <v>1080</v>
      </c>
      <c r="L46" s="561">
        <f t="shared" si="4"/>
        <v>0</v>
      </c>
      <c r="O46" s="569"/>
      <c r="P46" s="308"/>
      <c r="Q46" s="551"/>
      <c r="X46" s="558"/>
      <c r="Y46" s="558"/>
    </row>
    <row r="47" spans="1:25" s="701" customFormat="1" ht="66" customHeight="1" x14ac:dyDescent="0.3">
      <c r="A47" s="326">
        <f>'Unit Data from Audit Worksheet'!A53</f>
        <v>565</v>
      </c>
      <c r="B47" s="340" t="str">
        <f>'Unit Data from Audit Worksheet'!C53</f>
        <v>Mental Health Enterprise Fund Non GAAP-Rev, Exp. Change in Fund Balance</v>
      </c>
      <c r="C47" s="325" t="str">
        <f>'Unit Data from Audit Worksheet'!D53</f>
        <v>Debt Refunding - Net refunding proceeds against debt payoff and if negative place results on this line.</v>
      </c>
      <c r="D47" s="107"/>
      <c r="E47" s="346">
        <f>'Unit Data from Audit Worksheet'!F53</f>
        <v>0</v>
      </c>
      <c r="F47" s="339"/>
      <c r="G47" s="341"/>
      <c r="H47" s="338"/>
      <c r="I47" s="703"/>
      <c r="J47" s="337">
        <v>565</v>
      </c>
      <c r="K47" s="698" t="s">
        <v>1166</v>
      </c>
      <c r="L47" s="561">
        <f t="shared" si="4"/>
        <v>0</v>
      </c>
      <c r="O47" s="569"/>
      <c r="P47" s="308"/>
      <c r="Q47" s="551"/>
      <c r="X47" s="558"/>
      <c r="Y47" s="558"/>
    </row>
    <row r="48" spans="1:25" s="697" customFormat="1" ht="66" customHeight="1" x14ac:dyDescent="0.3">
      <c r="A48" s="326">
        <f>'Unit Data from Audit Worksheet'!A54</f>
        <v>566</v>
      </c>
      <c r="B48" s="340" t="str">
        <f>'Unit Data from Audit Worksheet'!C54</f>
        <v>Mental Health Enterprise Fund Non GAAP-Rev, Exp. Change in Fund Balance</v>
      </c>
      <c r="C48" s="325" t="str">
        <f>'Unit Data from Audit Worksheet'!D54</f>
        <v>Debt Refunding - Net refunding proceeds against debt payoff and if positive place results on this line.</v>
      </c>
      <c r="D48" s="107"/>
      <c r="E48" s="346">
        <f>'Unit Data from Audit Worksheet'!F54</f>
        <v>0</v>
      </c>
      <c r="F48" s="339"/>
      <c r="G48" s="341"/>
      <c r="H48" s="338"/>
      <c r="I48" s="699"/>
      <c r="J48" s="337">
        <v>566</v>
      </c>
      <c r="K48" s="698" t="s">
        <v>1081</v>
      </c>
      <c r="L48" s="561">
        <f t="shared" si="4"/>
        <v>0</v>
      </c>
      <c r="O48" s="569"/>
      <c r="P48" s="308"/>
      <c r="Q48" s="551"/>
      <c r="X48" s="558"/>
      <c r="Y48" s="558"/>
    </row>
    <row r="49" spans="1:25" s="697" customFormat="1" ht="66" customHeight="1" x14ac:dyDescent="0.3">
      <c r="A49" s="326">
        <f>'Unit Data from Audit Worksheet'!A55</f>
        <v>567</v>
      </c>
      <c r="B49" s="340" t="str">
        <f>'Unit Data from Audit Worksheet'!C55</f>
        <v>Mental Health Enterprise Fund Non GAAP-Rev, Exp. Change in Fund Balance</v>
      </c>
      <c r="C49" s="325" t="str">
        <f>'Unit Data from Audit Worksheet'!D55</f>
        <v>Total Transfers out    (Preference is that transfers-in  are not netted against transfers-out)</v>
      </c>
      <c r="D49" s="107"/>
      <c r="E49" s="346">
        <f>'Unit Data from Audit Worksheet'!F55</f>
        <v>0</v>
      </c>
      <c r="F49" s="339"/>
      <c r="G49" s="341"/>
      <c r="H49" s="338"/>
      <c r="I49" s="699"/>
      <c r="J49" s="337">
        <v>567</v>
      </c>
      <c r="K49" s="698" t="s">
        <v>1082</v>
      </c>
      <c r="L49" s="561">
        <f t="shared" si="4"/>
        <v>0</v>
      </c>
      <c r="O49" s="569"/>
      <c r="P49" s="308"/>
      <c r="Q49" s="551"/>
      <c r="X49" s="558"/>
      <c r="Y49" s="558"/>
    </row>
    <row r="50" spans="1:25" s="697" customFormat="1" ht="66" customHeight="1" x14ac:dyDescent="0.3">
      <c r="A50" s="326">
        <f>'Unit Data from Audit Worksheet'!A56</f>
        <v>562</v>
      </c>
      <c r="B50" s="340" t="str">
        <f>'Unit Data from Audit Worksheet'!C56</f>
        <v>Notes</v>
      </c>
      <c r="C50" s="325" t="str">
        <f>'Unit Data from Audit Worksheet'!D56</f>
        <v>Mental Health Enterprise Fund Non GAAP -  Total Encumbrances.  You will have to refer to the note disclosure where the amount of encumbrances is listed.</v>
      </c>
      <c r="D50" s="107"/>
      <c r="E50" s="346">
        <f>'Unit Data from Audit Worksheet'!F56</f>
        <v>0</v>
      </c>
      <c r="F50" s="339"/>
      <c r="G50" s="341"/>
      <c r="H50" s="338"/>
      <c r="I50" s="699"/>
      <c r="J50" s="337">
        <v>562</v>
      </c>
      <c r="K50" s="698" t="s">
        <v>1083</v>
      </c>
      <c r="L50" s="561">
        <f t="shared" si="4"/>
        <v>0</v>
      </c>
      <c r="O50" s="569"/>
      <c r="P50" s="308"/>
      <c r="Q50" s="551"/>
      <c r="X50" s="558"/>
      <c r="Y50" s="558"/>
    </row>
    <row r="51" spans="1:25" s="697" customFormat="1" ht="66" customHeight="1" x14ac:dyDescent="0.3">
      <c r="A51" s="326">
        <f>'Unit Data from Audit Worksheet'!A57</f>
        <v>569</v>
      </c>
      <c r="B51" s="340" t="str">
        <f>'Unit Data from Audit Worksheet'!C57</f>
        <v>Notes</v>
      </c>
      <c r="C51" s="325" t="str">
        <f>'Unit Data from Audit Worksheet'!D57</f>
        <v>Please enter the principal and interest due next fiscal year on existing borrowings.</v>
      </c>
      <c r="D51" s="107"/>
      <c r="E51" s="346">
        <f>'Unit Data from Audit Worksheet'!F57</f>
        <v>0</v>
      </c>
      <c r="F51" s="339"/>
      <c r="G51" s="341"/>
      <c r="H51" s="338"/>
      <c r="I51" s="699"/>
      <c r="J51" s="337">
        <v>569</v>
      </c>
      <c r="K51" s="698" t="s">
        <v>1084</v>
      </c>
      <c r="L51" s="561">
        <f t="shared" si="4"/>
        <v>0</v>
      </c>
      <c r="O51" s="569"/>
      <c r="P51" s="308"/>
      <c r="Q51" s="551"/>
      <c r="X51" s="558"/>
      <c r="Y51" s="558"/>
    </row>
    <row r="52" spans="1:25" ht="54" customHeight="1" x14ac:dyDescent="0.3">
      <c r="A52" s="326">
        <f>'Unit Data from Audit Worksheet'!A59</f>
        <v>506</v>
      </c>
      <c r="B52" s="52" t="str">
        <f>'Unit Data from Audit Worksheet'!C59</f>
        <v>General Fund-Balance Sheet</v>
      </c>
      <c r="C52" s="571" t="str">
        <f>'Unit Data from Audit Worksheet'!D59</f>
        <v xml:space="preserve">All unrestricted cash and investments.  
Exclude restricted cash and cash held by a third party. </v>
      </c>
      <c r="D52" s="107"/>
      <c r="E52" s="151">
        <f>'Unit Data from Audit Worksheet'!F59</f>
        <v>0</v>
      </c>
      <c r="F52" s="36">
        <f>IF(L52&lt;0,"Error: Number is normally positive.",)</f>
        <v>0</v>
      </c>
      <c r="G52" s="71"/>
      <c r="H52" s="338">
        <f>'Unit Data from Audit Worksheet'!I59</f>
        <v>0</v>
      </c>
      <c r="I52" s="37"/>
      <c r="J52" s="40">
        <v>506</v>
      </c>
      <c r="K52" s="336" t="s">
        <v>198</v>
      </c>
      <c r="L52" s="572">
        <f t="shared" ref="L52:L65" si="7">IF(D52="",E52,D52)</f>
        <v>0</v>
      </c>
      <c r="P52" s="308"/>
      <c r="W52" s="3" t="b">
        <f t="shared" si="6"/>
        <v>1</v>
      </c>
      <c r="X52" s="558">
        <f t="shared" si="1"/>
        <v>0</v>
      </c>
      <c r="Y52" s="558">
        <f t="shared" si="2"/>
        <v>0</v>
      </c>
    </row>
    <row r="53" spans="1:25" ht="45.75" customHeight="1" x14ac:dyDescent="0.3">
      <c r="A53" s="326">
        <f>'Unit Data from Audit Worksheet'!A60</f>
        <v>536</v>
      </c>
      <c r="B53" s="52" t="str">
        <f>'Unit Data from Audit Worksheet'!C60</f>
        <v>General Fund-Balance Sheet</v>
      </c>
      <c r="C53" s="571" t="str">
        <f>'Unit Data from Audit Worksheet'!D60</f>
        <v>All restricted cash and investments</v>
      </c>
      <c r="D53" s="107"/>
      <c r="E53" s="151">
        <f>'Unit Data from Audit Worksheet'!F60</f>
        <v>0</v>
      </c>
      <c r="F53" s="36">
        <f>IF(L53&lt;0,"Error: Number is normally positive.",)</f>
        <v>0</v>
      </c>
      <c r="G53" s="71"/>
      <c r="H53" s="338">
        <f>'Unit Data from Audit Worksheet'!I60</f>
        <v>0</v>
      </c>
      <c r="I53" s="37"/>
      <c r="J53" s="40">
        <v>536</v>
      </c>
      <c r="K53" s="336" t="s">
        <v>199</v>
      </c>
      <c r="L53" s="572">
        <f t="shared" si="7"/>
        <v>0</v>
      </c>
      <c r="P53" s="308"/>
      <c r="W53" s="3" t="b">
        <f t="shared" si="6"/>
        <v>1</v>
      </c>
      <c r="X53" s="558">
        <f t="shared" si="1"/>
        <v>0</v>
      </c>
      <c r="Y53" s="558">
        <f t="shared" si="2"/>
        <v>0</v>
      </c>
    </row>
    <row r="54" spans="1:25" ht="56.25" customHeight="1" x14ac:dyDescent="0.3">
      <c r="A54" s="326">
        <f>'Unit Data from Audit Worksheet'!A61</f>
        <v>586</v>
      </c>
      <c r="B54" s="340" t="str">
        <f>'Unit Data from Audit Worksheet'!C61</f>
        <v>General Fund-Balance Sheet</v>
      </c>
      <c r="C54" s="325" t="str">
        <f>'Unit Data from Audit Worksheet'!D61</f>
        <v>Advance To: Interfund loan receivable-portion of repayment plan longer than 12 months</v>
      </c>
      <c r="D54" s="141"/>
      <c r="E54" s="346">
        <f>'Unit Data from Audit Worksheet'!F61</f>
        <v>0</v>
      </c>
      <c r="F54" s="339"/>
      <c r="G54" s="341"/>
      <c r="H54" s="338"/>
      <c r="I54" s="37"/>
      <c r="J54" s="337">
        <v>586</v>
      </c>
      <c r="K54" s="325" t="s">
        <v>335</v>
      </c>
      <c r="L54" s="561">
        <f t="shared" si="7"/>
        <v>0</v>
      </c>
      <c r="P54" s="308"/>
      <c r="W54" s="3" t="b">
        <f t="shared" si="6"/>
        <v>1</v>
      </c>
      <c r="X54" s="558">
        <f t="shared" si="1"/>
        <v>0</v>
      </c>
      <c r="Y54" s="558">
        <f t="shared" si="2"/>
        <v>0</v>
      </c>
    </row>
    <row r="55" spans="1:25" ht="28.8" x14ac:dyDescent="0.3">
      <c r="A55" s="326">
        <f>'Unit Data from Audit Worksheet'!A62</f>
        <v>379</v>
      </c>
      <c r="B55" s="340" t="str">
        <f>'Unit Data from Audit Worksheet'!C62</f>
        <v>General Fund-Balance Sheet</v>
      </c>
      <c r="C55" s="325" t="str">
        <f>'Unit Data from Audit Worksheet'!D62</f>
        <v>Total Assets and deferred outflows</v>
      </c>
      <c r="D55" s="141"/>
      <c r="E55" s="346">
        <f>'Unit Data from Audit Worksheet'!F62</f>
        <v>0</v>
      </c>
      <c r="F55" s="82">
        <f>IF((L52+L53)&gt;L55,"Error: Please review accts (506+536)&gt;379",)</f>
        <v>0</v>
      </c>
      <c r="G55" s="341" t="str">
        <f>IF(Q55=1," Included in error count"," ")</f>
        <v xml:space="preserve"> </v>
      </c>
      <c r="H55" s="338">
        <f>'Unit Data from Audit Worksheet'!I62</f>
        <v>0</v>
      </c>
      <c r="I55" s="37"/>
      <c r="J55" s="337">
        <v>379</v>
      </c>
      <c r="K55" s="336" t="s">
        <v>118</v>
      </c>
      <c r="L55" s="561">
        <f t="shared" si="7"/>
        <v>0</v>
      </c>
      <c r="P55" s="308"/>
      <c r="Q55" s="551">
        <f>IF(L52+L53&gt;L55,1,0)</f>
        <v>0</v>
      </c>
      <c r="W55" s="3" t="b">
        <f t="shared" si="6"/>
        <v>1</v>
      </c>
      <c r="X55" s="558">
        <f t="shared" si="1"/>
        <v>0</v>
      </c>
      <c r="Y55" s="558">
        <f t="shared" si="2"/>
        <v>0</v>
      </c>
    </row>
    <row r="56" spans="1:25" ht="106.5" customHeight="1" x14ac:dyDescent="0.3">
      <c r="A56" s="326">
        <f>'Unit Data from Audit Worksheet'!A63</f>
        <v>368</v>
      </c>
      <c r="B56" s="340" t="str">
        <f>'Unit Data from Audit Worksheet'!C63</f>
        <v>General Fund-Balance Sheet</v>
      </c>
      <c r="C56" s="325" t="str">
        <f>'Unit Data from Audit Worksheet'!D63</f>
        <v>Total Liabilities payable from restricted assets (only complete if this is listed in your financial statements for the general fund and the auditor has listed the cash to be used to pay the liabilities as restricted)</v>
      </c>
      <c r="D56" s="141"/>
      <c r="E56" s="346">
        <f>'Unit Data from Audit Worksheet'!F63</f>
        <v>0</v>
      </c>
      <c r="F56" s="339">
        <f>IF(L56&lt;0,"Error: Enter as a positive.",)</f>
        <v>0</v>
      </c>
      <c r="G56" s="341"/>
      <c r="H56" s="338">
        <f>'Unit Data from Audit Worksheet'!I63</f>
        <v>0</v>
      </c>
      <c r="I56" s="37"/>
      <c r="J56" s="337">
        <v>368</v>
      </c>
      <c r="K56" s="336" t="s">
        <v>200</v>
      </c>
      <c r="L56" s="561">
        <f t="shared" si="7"/>
        <v>0</v>
      </c>
      <c r="P56" s="308"/>
      <c r="W56" s="3" t="b">
        <f t="shared" si="6"/>
        <v>1</v>
      </c>
      <c r="X56" s="558">
        <f t="shared" si="1"/>
        <v>0</v>
      </c>
      <c r="Y56" s="558">
        <f t="shared" si="2"/>
        <v>0</v>
      </c>
    </row>
    <row r="57" spans="1:25" ht="90.75" customHeight="1" x14ac:dyDescent="0.3">
      <c r="A57" s="326">
        <f>'Unit Data from Audit Worksheet'!A64</f>
        <v>4</v>
      </c>
      <c r="B57" s="52" t="str">
        <f>'Unit Data from Audit Worksheet'!C64</f>
        <v>General Fund-Balance Sheet</v>
      </c>
      <c r="C57" s="571" t="str">
        <f>'Unit Data from Audit Worksheet'!D64</f>
        <v>Current Liabilities (as reported on the Balance Sheet)
Exclude all deferred inflows. 
Include advance from(long-term portion of interfund loans)</v>
      </c>
      <c r="D57" s="141"/>
      <c r="E57" s="151">
        <f>'Unit Data from Audit Worksheet'!F64</f>
        <v>0</v>
      </c>
      <c r="F57" s="36">
        <f t="shared" ref="F57:F66" si="8">IF(L57&lt;0,"Error: Enter as a positive.",)</f>
        <v>0</v>
      </c>
      <c r="G57" s="71"/>
      <c r="H57" s="338">
        <f>'Unit Data from Audit Worksheet'!I64</f>
        <v>0</v>
      </c>
      <c r="I57" s="37"/>
      <c r="J57" s="40">
        <v>4</v>
      </c>
      <c r="K57" s="336" t="s">
        <v>119</v>
      </c>
      <c r="L57" s="572">
        <f t="shared" si="7"/>
        <v>0</v>
      </c>
      <c r="P57" s="308"/>
      <c r="W57" s="3" t="b">
        <f t="shared" si="6"/>
        <v>1</v>
      </c>
      <c r="X57" s="558">
        <f t="shared" si="1"/>
        <v>0</v>
      </c>
      <c r="Y57" s="558">
        <f t="shared" si="2"/>
        <v>0</v>
      </c>
    </row>
    <row r="58" spans="1:25" ht="131.25" customHeight="1" x14ac:dyDescent="0.3">
      <c r="A58" s="326">
        <f>'Unit Data from Audit Worksheet'!A65</f>
        <v>5</v>
      </c>
      <c r="B58" s="52" t="str">
        <f>'Unit Data from Audit Worksheet'!C65</f>
        <v>General Fund-Balance Sheet</v>
      </c>
      <c r="C58" s="571" t="str">
        <f>'Unit Data from Audit Worksheet'!D65</f>
        <v>General fund deferred inflows derived from cash receipts. 
 Prepaid taxes is a common item listed.  Deferred inflows on the face of the statements can include cash and non-cash.  You may have to refer to the note disclosure where the cash and non-cash is broken out.</v>
      </c>
      <c r="D58" s="141"/>
      <c r="E58" s="151">
        <f>'Unit Data from Audit Worksheet'!F65</f>
        <v>0</v>
      </c>
      <c r="F58" s="36">
        <f t="shared" si="8"/>
        <v>0</v>
      </c>
      <c r="G58" s="71"/>
      <c r="H58" s="338">
        <f>'Unit Data from Audit Worksheet'!I65</f>
        <v>0</v>
      </c>
      <c r="I58" s="37"/>
      <c r="J58" s="40">
        <v>5</v>
      </c>
      <c r="K58" s="336" t="s">
        <v>120</v>
      </c>
      <c r="L58" s="572">
        <f t="shared" si="7"/>
        <v>0</v>
      </c>
      <c r="P58" s="308"/>
      <c r="W58" s="3" t="b">
        <f t="shared" si="6"/>
        <v>1</v>
      </c>
      <c r="X58" s="558">
        <f t="shared" si="1"/>
        <v>0</v>
      </c>
      <c r="Y58" s="558">
        <f t="shared" si="2"/>
        <v>0</v>
      </c>
    </row>
    <row r="59" spans="1:25" ht="104.25" customHeight="1" x14ac:dyDescent="0.3">
      <c r="A59" s="326">
        <f>'Unit Data from Audit Worksheet'!A66</f>
        <v>380</v>
      </c>
      <c r="B59" s="340" t="str">
        <f>'Unit Data from Audit Worksheet'!C66</f>
        <v>General Fund-Balance Sheet</v>
      </c>
      <c r="C59" s="325" t="str">
        <f>'Unit Data from Audit Worksheet'!D66</f>
        <v>Total Deferred inflows not derived from cash receipts.  Deferred inflows on the face of the statements can include cash and non-cash.  You may have to refer to the note disclosure where the cash and non-cash is broken out.</v>
      </c>
      <c r="D59" s="141"/>
      <c r="E59" s="346">
        <f>'Unit Data from Audit Worksheet'!F66</f>
        <v>0</v>
      </c>
      <c r="F59" s="339">
        <f t="shared" si="8"/>
        <v>0</v>
      </c>
      <c r="G59" s="341"/>
      <c r="H59" s="338">
        <f>'Unit Data from Audit Worksheet'!I66</f>
        <v>0</v>
      </c>
      <c r="I59" s="37"/>
      <c r="J59" s="337">
        <v>380</v>
      </c>
      <c r="K59" s="336" t="s">
        <v>121</v>
      </c>
      <c r="L59" s="561">
        <f t="shared" si="7"/>
        <v>0</v>
      </c>
      <c r="P59" s="308"/>
      <c r="W59" s="3" t="b">
        <f t="shared" si="6"/>
        <v>1</v>
      </c>
      <c r="X59" s="558">
        <f t="shared" si="1"/>
        <v>0</v>
      </c>
      <c r="Y59" s="558">
        <f t="shared" si="2"/>
        <v>0</v>
      </c>
    </row>
    <row r="60" spans="1:25" ht="41.25" customHeight="1" x14ac:dyDescent="0.3">
      <c r="A60" s="326">
        <f>'Unit Data from Audit Worksheet'!A67</f>
        <v>391</v>
      </c>
      <c r="B60" s="340" t="str">
        <f>'Unit Data from Audit Worksheet'!C67</f>
        <v>General Fund-Balance Sheet</v>
      </c>
      <c r="C60" s="325" t="str">
        <f>'Unit Data from Audit Worksheet'!D67</f>
        <v xml:space="preserve">Fund balance, Restricted for Stabilization by State Statute </v>
      </c>
      <c r="D60" s="141"/>
      <c r="E60" s="346">
        <f>'Unit Data from Audit Worksheet'!F67</f>
        <v>0</v>
      </c>
      <c r="F60" s="339">
        <f t="shared" si="8"/>
        <v>0</v>
      </c>
      <c r="G60" s="341"/>
      <c r="H60" s="338">
        <f>'Unit Data from Audit Worksheet'!I67</f>
        <v>0</v>
      </c>
      <c r="I60" s="37"/>
      <c r="J60" s="337">
        <v>391</v>
      </c>
      <c r="K60" s="336" t="s">
        <v>201</v>
      </c>
      <c r="L60" s="561">
        <f t="shared" si="7"/>
        <v>0</v>
      </c>
      <c r="P60" s="308"/>
      <c r="W60" s="3" t="b">
        <f t="shared" si="6"/>
        <v>1</v>
      </c>
      <c r="X60" s="558">
        <f t="shared" si="1"/>
        <v>0</v>
      </c>
      <c r="Y60" s="558">
        <f t="shared" si="2"/>
        <v>0</v>
      </c>
    </row>
    <row r="61" spans="1:25" ht="28.8" x14ac:dyDescent="0.3">
      <c r="A61" s="326">
        <f>'Unit Data from Audit Worksheet'!A68</f>
        <v>7</v>
      </c>
      <c r="B61" s="52" t="str">
        <f>'Unit Data from Audit Worksheet'!C68</f>
        <v>General Fund-Balance Sheet</v>
      </c>
      <c r="C61" s="571" t="str">
        <f>'Unit Data from Audit Worksheet'!D68</f>
        <v>Fund balance, Nonspendable-  inventory/prepaids/etc.</v>
      </c>
      <c r="D61" s="141"/>
      <c r="E61" s="151">
        <f>'Unit Data from Audit Worksheet'!F68</f>
        <v>0</v>
      </c>
      <c r="F61" s="36">
        <f t="shared" si="8"/>
        <v>0</v>
      </c>
      <c r="G61" s="71"/>
      <c r="H61" s="338">
        <f>'Unit Data from Audit Worksheet'!I68</f>
        <v>0</v>
      </c>
      <c r="I61" s="37"/>
      <c r="J61" s="40">
        <v>7</v>
      </c>
      <c r="K61" s="336" t="s">
        <v>202</v>
      </c>
      <c r="L61" s="572">
        <f t="shared" si="7"/>
        <v>0</v>
      </c>
      <c r="P61" s="308"/>
      <c r="W61" s="3" t="b">
        <f t="shared" si="6"/>
        <v>1</v>
      </c>
      <c r="X61" s="558">
        <f t="shared" si="1"/>
        <v>0</v>
      </c>
      <c r="Y61" s="558">
        <f t="shared" si="2"/>
        <v>0</v>
      </c>
    </row>
    <row r="62" spans="1:25" ht="89.25" customHeight="1" x14ac:dyDescent="0.3">
      <c r="A62" s="573">
        <f>'Unit Data from Audit Worksheet'!A69</f>
        <v>11</v>
      </c>
      <c r="B62" s="114" t="str">
        <f>'Unit Data from Audit Worksheet'!C69</f>
        <v>General Fund-Balance Sheet</v>
      </c>
      <c r="C62" s="563" t="str">
        <f>'Unit Data from Audit Worksheet'!D69</f>
        <v>Fund balance, Restricted for Streets (unspent Powell Bill balance).  You may have to refer to the note disclosure where restricted fund balance is described.</v>
      </c>
      <c r="D62" s="107"/>
      <c r="E62" s="152">
        <f>'Unit Data from Audit Worksheet'!F69</f>
        <v>0</v>
      </c>
      <c r="F62" s="108">
        <f t="shared" si="8"/>
        <v>0</v>
      </c>
      <c r="G62" s="109"/>
      <c r="H62" s="110">
        <f>'Unit Data from Audit Worksheet'!I69</f>
        <v>0</v>
      </c>
      <c r="I62" s="37"/>
      <c r="J62" s="103">
        <v>11</v>
      </c>
      <c r="K62" s="43" t="s">
        <v>203</v>
      </c>
      <c r="L62" s="561">
        <f t="shared" si="7"/>
        <v>0</v>
      </c>
      <c r="P62" s="309"/>
      <c r="W62" s="3" t="b">
        <f t="shared" si="6"/>
        <v>1</v>
      </c>
      <c r="X62" s="558">
        <f t="shared" si="1"/>
        <v>0</v>
      </c>
      <c r="Y62" s="558">
        <f t="shared" si="2"/>
        <v>0</v>
      </c>
    </row>
    <row r="63" spans="1:25" s="18" customFormat="1" ht="48.75" customHeight="1" x14ac:dyDescent="0.3">
      <c r="A63" s="299">
        <f>'Unit Data from Audit Worksheet'!A70</f>
        <v>645</v>
      </c>
      <c r="B63" s="353" t="str">
        <f>'Unit Data from Audit Worksheet'!C70</f>
        <v>General Fund-Balance Sheet</v>
      </c>
      <c r="C63" s="299" t="str">
        <f>'Unit Data from Audit Worksheet'!D70</f>
        <v>Fund balance, Assigned (total of all assigned components)</v>
      </c>
      <c r="D63" s="113"/>
      <c r="E63" s="352">
        <f>'Unit Data from Audit Worksheet'!F70</f>
        <v>0</v>
      </c>
      <c r="F63" s="334">
        <f>IF(L63&lt;0,"Error: Enter as a positive.",)</f>
        <v>0</v>
      </c>
      <c r="G63" s="319"/>
      <c r="H63" s="334">
        <f>'Unit Data from Audit Worksheet'!I70</f>
        <v>0</v>
      </c>
      <c r="I63" s="574"/>
      <c r="J63" s="333">
        <v>645</v>
      </c>
      <c r="K63" s="299" t="s">
        <v>438</v>
      </c>
      <c r="L63" s="575">
        <f t="shared" si="7"/>
        <v>0</v>
      </c>
      <c r="M63" s="565"/>
      <c r="N63" s="565"/>
      <c r="O63" s="565"/>
      <c r="P63" s="310"/>
      <c r="Q63" s="566"/>
      <c r="R63" s="3"/>
      <c r="S63" s="565"/>
      <c r="T63" s="565"/>
      <c r="U63" s="565"/>
      <c r="V63" s="565"/>
      <c r="W63" s="18" t="b">
        <f t="shared" si="6"/>
        <v>1</v>
      </c>
      <c r="X63" s="567">
        <f t="shared" si="1"/>
        <v>0</v>
      </c>
      <c r="Y63" s="567">
        <f t="shared" si="2"/>
        <v>0</v>
      </c>
    </row>
    <row r="64" spans="1:25" s="18" customFormat="1" ht="45.75" customHeight="1" x14ac:dyDescent="0.3">
      <c r="A64" s="299">
        <f>'Unit Data from Audit Worksheet'!A71</f>
        <v>646</v>
      </c>
      <c r="B64" s="353" t="str">
        <f>'Unit Data from Audit Worksheet'!C71</f>
        <v>General Fund-Balance Sheet</v>
      </c>
      <c r="C64" s="299" t="str">
        <f>'Unit Data from Audit Worksheet'!D71</f>
        <v>Fund Balance, Unassigned</v>
      </c>
      <c r="D64" s="113"/>
      <c r="E64" s="352">
        <f>'Unit Data from Audit Worksheet'!F71</f>
        <v>0</v>
      </c>
      <c r="F64" s="334">
        <f>IF(L64&lt;0,"Error: Enter as a positive.",)</f>
        <v>0</v>
      </c>
      <c r="G64" s="319"/>
      <c r="H64" s="334">
        <f>'Unit Data from Audit Worksheet'!I71</f>
        <v>0</v>
      </c>
      <c r="I64" s="574"/>
      <c r="J64" s="333">
        <v>646</v>
      </c>
      <c r="K64" s="299" t="s">
        <v>439</v>
      </c>
      <c r="L64" s="575">
        <f t="shared" si="7"/>
        <v>0</v>
      </c>
      <c r="M64" s="565"/>
      <c r="N64" s="565"/>
      <c r="O64" s="565"/>
      <c r="P64" s="310"/>
      <c r="Q64" s="566"/>
      <c r="R64" s="3"/>
      <c r="S64" s="565"/>
      <c r="T64" s="565"/>
      <c r="U64" s="565"/>
      <c r="V64" s="565"/>
      <c r="W64" s="18" t="b">
        <f t="shared" si="6"/>
        <v>1</v>
      </c>
      <c r="X64" s="567">
        <f t="shared" si="1"/>
        <v>0</v>
      </c>
      <c r="Y64" s="567">
        <f t="shared" si="2"/>
        <v>0</v>
      </c>
    </row>
    <row r="65" spans="1:27" ht="55.5" customHeight="1" x14ac:dyDescent="0.3">
      <c r="A65" s="559">
        <f>'Unit Data from Audit Worksheet'!A72</f>
        <v>9</v>
      </c>
      <c r="B65" s="115" t="str">
        <f>'Unit Data from Audit Worksheet'!C72</f>
        <v>General Fund-Balance Sheet</v>
      </c>
      <c r="C65" s="576" t="str">
        <f>'Unit Data from Audit Worksheet'!D72</f>
        <v>Total Fund balance (enter fund deficits as negative)</v>
      </c>
      <c r="D65" s="141"/>
      <c r="E65" s="150">
        <f>'Unit Data from Audit Worksheet'!F72</f>
        <v>0</v>
      </c>
      <c r="F65" s="116">
        <f>IF(L55-L57-L58-L59-L65=0,,"Error: Total assets less total liabilities do not equal Acct +379-4-5-380-9=0")</f>
        <v>0</v>
      </c>
      <c r="G65" s="117">
        <f>L55-L57-L58-L59-L65</f>
        <v>0</v>
      </c>
      <c r="H65" s="338">
        <f>'Unit Data from Audit Worksheet'!I72</f>
        <v>0</v>
      </c>
      <c r="I65" s="37"/>
      <c r="J65" s="118">
        <v>9</v>
      </c>
      <c r="K65" s="50" t="s">
        <v>204</v>
      </c>
      <c r="L65" s="572">
        <f t="shared" si="7"/>
        <v>0</v>
      </c>
      <c r="O65" s="569" t="e">
        <f>'Unit Data from Audit Worksheet'!E72</f>
        <v>#N/A</v>
      </c>
      <c r="P65" s="307"/>
      <c r="Q65" s="551">
        <f>IF(G65&lt;&gt;0,1,0)</f>
        <v>0</v>
      </c>
      <c r="W65" s="3" t="b">
        <f t="shared" si="6"/>
        <v>1</v>
      </c>
      <c r="X65" s="558">
        <f t="shared" si="1"/>
        <v>0</v>
      </c>
      <c r="Y65" s="558">
        <f t="shared" si="2"/>
        <v>0</v>
      </c>
    </row>
    <row r="66" spans="1:27" s="18" customFormat="1" ht="73.5" customHeight="1" x14ac:dyDescent="0.3">
      <c r="A66" s="326">
        <f>'Unit Data from Audit Worksheet'!A73</f>
        <v>540</v>
      </c>
      <c r="B66" s="340" t="str">
        <f>'Unit Data from Audit Worksheet'!C73</f>
        <v>General Fund - Budget Actual Statement</v>
      </c>
      <c r="C66" s="325" t="str">
        <f>'Unit Data from Audit Worksheet'!D73</f>
        <v>Amount of the General Fund Balance appropriated in next year's budget. As reported on the General Fund Balance Sheet.</v>
      </c>
      <c r="D66" s="141"/>
      <c r="E66" s="346">
        <f>'Unit Data from Audit Worksheet'!F73</f>
        <v>0</v>
      </c>
      <c r="F66" s="339">
        <f t="shared" si="8"/>
        <v>0</v>
      </c>
      <c r="G66" s="341"/>
      <c r="H66" s="338">
        <f>'Unit Data from Audit Worksheet'!I73</f>
        <v>0</v>
      </c>
      <c r="I66" s="37"/>
      <c r="J66" s="337">
        <v>540</v>
      </c>
      <c r="K66" s="336" t="s">
        <v>263</v>
      </c>
      <c r="L66" s="561">
        <f t="shared" ref="L66:L123" si="9">IF(D66="",E66,D66)</f>
        <v>0</v>
      </c>
      <c r="P66" s="308"/>
      <c r="Q66" s="551"/>
      <c r="R66" s="3"/>
      <c r="W66" s="3" t="b">
        <f t="shared" si="6"/>
        <v>1</v>
      </c>
      <c r="X66" s="558">
        <f t="shared" si="1"/>
        <v>0</v>
      </c>
      <c r="Y66" s="558">
        <f t="shared" si="2"/>
        <v>0</v>
      </c>
      <c r="AA66" s="3"/>
    </row>
    <row r="67" spans="1:27" s="18" customFormat="1" ht="73.5" customHeight="1" x14ac:dyDescent="0.3">
      <c r="A67" s="577">
        <f>'Unit Data from Audit Worksheet'!A75</f>
        <v>984</v>
      </c>
      <c r="B67" s="344" t="str">
        <f>'Unit Data from Audit Worksheet'!C75</f>
        <v>General Fund - Budget Actual Statement</v>
      </c>
      <c r="C67" s="578" t="str">
        <f>'Unit Data from Audit Worksheet'!D75</f>
        <v>Amount of Ad valorem tax collected (including motor vehicle and prior years) reported on budget actual statement</v>
      </c>
      <c r="D67" s="141"/>
      <c r="E67" s="347">
        <f>'Unit Data from Audit Worksheet'!F75</f>
        <v>0</v>
      </c>
      <c r="F67" s="339"/>
      <c r="G67" s="341"/>
      <c r="H67" s="338"/>
      <c r="I67" s="37"/>
      <c r="J67" s="355">
        <v>984</v>
      </c>
      <c r="K67" s="123" t="s">
        <v>790</v>
      </c>
      <c r="L67" s="579">
        <f t="shared" si="9"/>
        <v>0</v>
      </c>
      <c r="P67" s="308"/>
      <c r="Q67" s="551"/>
      <c r="R67" s="3"/>
      <c r="W67" s="3"/>
      <c r="X67" s="558"/>
      <c r="Y67" s="558"/>
      <c r="AA67" s="3"/>
    </row>
    <row r="68" spans="1:27" s="18" customFormat="1" ht="73.5" customHeight="1" x14ac:dyDescent="0.3">
      <c r="A68" s="577">
        <f>'Unit Data from Audit Worksheet'!A76</f>
        <v>985</v>
      </c>
      <c r="B68" s="344" t="str">
        <f>'Unit Data from Audit Worksheet'!C76</f>
        <v>General Fund - Budget Actual Statement</v>
      </c>
      <c r="C68" s="578" t="str">
        <f>'Unit Data from Audit Worksheet'!D76</f>
        <v>Amount of Ad valorem tax budgeted (including motor vehicle and prior years) reported on budget actual statement</v>
      </c>
      <c r="D68" s="141"/>
      <c r="E68" s="347">
        <f>'Unit Data from Audit Worksheet'!F76</f>
        <v>0</v>
      </c>
      <c r="F68" s="339"/>
      <c r="G68" s="341"/>
      <c r="H68" s="338"/>
      <c r="I68" s="37"/>
      <c r="J68" s="355">
        <v>985</v>
      </c>
      <c r="K68" s="123" t="s">
        <v>791</v>
      </c>
      <c r="L68" s="579">
        <f t="shared" si="9"/>
        <v>0</v>
      </c>
      <c r="P68" s="308"/>
      <c r="Q68" s="551"/>
      <c r="R68" s="3"/>
      <c r="W68" s="3"/>
      <c r="X68" s="558"/>
      <c r="Y68" s="558"/>
      <c r="AA68" s="3"/>
    </row>
    <row r="69" spans="1:27" ht="73.5" customHeight="1" x14ac:dyDescent="0.3">
      <c r="A69" s="326">
        <f>'Unit Data from Audit Worksheet'!A77</f>
        <v>369</v>
      </c>
      <c r="B69" s="340" t="str">
        <f>'Unit Data from Audit Worksheet'!C77</f>
        <v>General Fund-Rev, Exp. Change in Fund Balance</v>
      </c>
      <c r="C69" s="325" t="str">
        <f>'Unit Data from Audit Worksheet'!D77</f>
        <v>Total Intergovernmental revenue 
Include restricted and unrestricted revenues</v>
      </c>
      <c r="D69" s="141"/>
      <c r="E69" s="346">
        <f>'Unit Data from Audit Worksheet'!F77</f>
        <v>0</v>
      </c>
      <c r="F69" s="339"/>
      <c r="G69" s="341"/>
      <c r="H69" s="338">
        <f>'Unit Data from Audit Worksheet'!I77</f>
        <v>0</v>
      </c>
      <c r="I69" s="37"/>
      <c r="J69" s="337">
        <v>369</v>
      </c>
      <c r="K69" s="336" t="s">
        <v>205</v>
      </c>
      <c r="L69" s="561">
        <f t="shared" si="9"/>
        <v>0</v>
      </c>
      <c r="P69" s="308"/>
      <c r="W69" s="3" t="b">
        <f t="shared" ref="W69:W132" si="10">EXACT(A69,J69)</f>
        <v>1</v>
      </c>
      <c r="X69" s="558">
        <f t="shared" si="1"/>
        <v>0</v>
      </c>
      <c r="Y69" s="558">
        <f t="shared" si="2"/>
        <v>0</v>
      </c>
    </row>
    <row r="70" spans="1:27" ht="73.5" customHeight="1" x14ac:dyDescent="0.3">
      <c r="A70" s="326">
        <f>'Unit Data from Audit Worksheet'!A78</f>
        <v>16</v>
      </c>
      <c r="B70" s="340" t="str">
        <f>'Unit Data from Audit Worksheet'!C78</f>
        <v>General Fund-Rev, Exp. Change in Fund Balance</v>
      </c>
      <c r="C70" s="325" t="str">
        <f>'Unit Data from Audit Worksheet'!D78</f>
        <v>Total revenues</v>
      </c>
      <c r="D70" s="141"/>
      <c r="E70" s="346">
        <f>'Unit Data from Audit Worksheet'!F78</f>
        <v>0</v>
      </c>
      <c r="F70" s="339"/>
      <c r="G70" s="341"/>
      <c r="H70" s="338">
        <f>'Unit Data from Audit Worksheet'!I78</f>
        <v>0</v>
      </c>
      <c r="I70" s="37"/>
      <c r="J70" s="337">
        <v>16</v>
      </c>
      <c r="K70" s="336" t="s">
        <v>206</v>
      </c>
      <c r="L70" s="561">
        <f t="shared" si="9"/>
        <v>0</v>
      </c>
      <c r="P70" s="308"/>
      <c r="W70" s="3" t="b">
        <f t="shared" si="10"/>
        <v>1</v>
      </c>
      <c r="X70" s="558">
        <f t="shared" si="1"/>
        <v>0</v>
      </c>
      <c r="Y70" s="558">
        <f t="shared" si="2"/>
        <v>0</v>
      </c>
    </row>
    <row r="71" spans="1:27" ht="73.5" customHeight="1" x14ac:dyDescent="0.3">
      <c r="A71" s="326">
        <f>'Unit Data from Audit Worksheet'!A79</f>
        <v>370</v>
      </c>
      <c r="B71" s="340" t="str">
        <f>'Unit Data from Audit Worksheet'!C79</f>
        <v>General Fund-Rev, Exp. Change in Fund Balance</v>
      </c>
      <c r="C71" s="325" t="str">
        <f>'Unit Data from Audit Worksheet'!D79</f>
        <v>Debt service expenditures. 
Include principal, interest paid, and bond/debt issuance costs on long-term debt</v>
      </c>
      <c r="D71" s="141"/>
      <c r="E71" s="346">
        <f>'Unit Data from Audit Worksheet'!F79</f>
        <v>0</v>
      </c>
      <c r="F71" s="339">
        <f t="shared" ref="F71:F77" si="11">IF(L71&lt;0,"Error: Enter as a positive.",)</f>
        <v>0</v>
      </c>
      <c r="G71" s="341"/>
      <c r="H71" s="338">
        <f>'Unit Data from Audit Worksheet'!I79</f>
        <v>0</v>
      </c>
      <c r="I71" s="37"/>
      <c r="J71" s="337">
        <v>370</v>
      </c>
      <c r="K71" s="336" t="s">
        <v>207</v>
      </c>
      <c r="L71" s="561">
        <f t="shared" si="9"/>
        <v>0</v>
      </c>
      <c r="P71" s="308"/>
      <c r="W71" s="3" t="b">
        <f t="shared" si="10"/>
        <v>1</v>
      </c>
      <c r="X71" s="558">
        <f t="shared" si="1"/>
        <v>0</v>
      </c>
      <c r="Y71" s="558">
        <f t="shared" si="2"/>
        <v>0</v>
      </c>
    </row>
    <row r="72" spans="1:27" ht="73.5" customHeight="1" x14ac:dyDescent="0.3">
      <c r="A72" s="326">
        <f>'Unit Data from Audit Worksheet'!A80</f>
        <v>532</v>
      </c>
      <c r="B72" s="340" t="str">
        <f>'Unit Data from Audit Worksheet'!C80</f>
        <v>General Fund-Rev, Exp. Change in Fund Balance</v>
      </c>
      <c r="C72" s="325" t="str">
        <f>'Unit Data from Audit Worksheet'!D80</f>
        <v xml:space="preserve">Total expenditures  
Exclude expenditures in the "other financing sources (uses)" section.
</v>
      </c>
      <c r="D72" s="141"/>
      <c r="E72" s="346">
        <f>'Unit Data from Audit Worksheet'!F80</f>
        <v>0</v>
      </c>
      <c r="F72" s="339">
        <f t="shared" si="11"/>
        <v>0</v>
      </c>
      <c r="G72" s="341"/>
      <c r="H72" s="338">
        <f>'Unit Data from Audit Worksheet'!I80</f>
        <v>0</v>
      </c>
      <c r="I72" s="37"/>
      <c r="J72" s="337">
        <v>532</v>
      </c>
      <c r="K72" s="580" t="s">
        <v>208</v>
      </c>
      <c r="L72" s="561">
        <f t="shared" si="9"/>
        <v>0</v>
      </c>
      <c r="P72" s="308"/>
      <c r="W72" s="3" t="b">
        <f t="shared" si="10"/>
        <v>1</v>
      </c>
      <c r="X72" s="558">
        <f t="shared" si="1"/>
        <v>0</v>
      </c>
      <c r="Y72" s="558">
        <f t="shared" si="2"/>
        <v>0</v>
      </c>
    </row>
    <row r="73" spans="1:27" ht="73.5" customHeight="1" x14ac:dyDescent="0.3">
      <c r="A73" s="326">
        <f>'Unit Data from Audit Worksheet'!A81</f>
        <v>17</v>
      </c>
      <c r="B73" s="340" t="str">
        <f>'Unit Data from Audit Worksheet'!C81</f>
        <v>General Fund-Rev, Exp. Change in Fund Balance</v>
      </c>
      <c r="C73" s="325" t="str">
        <f>'Unit Data from Audit Worksheet'!D81</f>
        <v>Total Transfers in    (Preference is that transfers-in  are not netted against transfers-out)</v>
      </c>
      <c r="D73" s="141"/>
      <c r="E73" s="346">
        <f>'Unit Data from Audit Worksheet'!F81</f>
        <v>0</v>
      </c>
      <c r="F73" s="339">
        <f t="shared" si="11"/>
        <v>0</v>
      </c>
      <c r="G73" s="341"/>
      <c r="H73" s="338">
        <f>'Unit Data from Audit Worksheet'!I81</f>
        <v>0</v>
      </c>
      <c r="I73" s="37"/>
      <c r="J73" s="337">
        <v>17</v>
      </c>
      <c r="K73" s="336" t="s">
        <v>209</v>
      </c>
      <c r="L73" s="561">
        <f t="shared" si="9"/>
        <v>0</v>
      </c>
      <c r="P73" s="308"/>
      <c r="W73" s="3" t="b">
        <f t="shared" si="10"/>
        <v>1</v>
      </c>
      <c r="X73" s="558">
        <f t="shared" si="1"/>
        <v>0</v>
      </c>
      <c r="Y73" s="558">
        <f t="shared" si="2"/>
        <v>0</v>
      </c>
    </row>
    <row r="74" spans="1:27" ht="54.75" customHeight="1" x14ac:dyDescent="0.3">
      <c r="A74" s="326">
        <f>'Unit Data from Audit Worksheet'!A82</f>
        <v>20</v>
      </c>
      <c r="B74" s="340" t="str">
        <f>'Unit Data from Audit Worksheet'!C82</f>
        <v>General Fund-Rev, Exp. Change in Fund Balance</v>
      </c>
      <c r="C74" s="325" t="str">
        <f>'Unit Data from Audit Worksheet'!D82</f>
        <v>Total Transfers out    (Preference is that transfers-in  are not netted against transfers-out)</v>
      </c>
      <c r="D74" s="141"/>
      <c r="E74" s="346">
        <f>'Unit Data from Audit Worksheet'!F82</f>
        <v>0</v>
      </c>
      <c r="F74" s="339">
        <f t="shared" si="11"/>
        <v>0</v>
      </c>
      <c r="G74" s="341"/>
      <c r="H74" s="338">
        <f>'Unit Data from Audit Worksheet'!I82</f>
        <v>0</v>
      </c>
      <c r="I74" s="37"/>
      <c r="J74" s="337">
        <v>20</v>
      </c>
      <c r="K74" s="336" t="s">
        <v>210</v>
      </c>
      <c r="L74" s="561">
        <f t="shared" si="9"/>
        <v>0</v>
      </c>
      <c r="P74" s="308"/>
      <c r="W74" s="3" t="b">
        <f t="shared" si="10"/>
        <v>1</v>
      </c>
      <c r="X74" s="558">
        <f t="shared" si="1"/>
        <v>0</v>
      </c>
      <c r="Y74" s="558">
        <f t="shared" si="2"/>
        <v>0</v>
      </c>
    </row>
    <row r="75" spans="1:27" ht="54.75" customHeight="1" x14ac:dyDescent="0.3">
      <c r="A75" s="326">
        <f>'Unit Data from Audit Worksheet'!A83</f>
        <v>533</v>
      </c>
      <c r="B75" s="340" t="str">
        <f>'Unit Data from Audit Worksheet'!C83</f>
        <v>General Fund-Rev, Exp. Change in Fund Balance</v>
      </c>
      <c r="C75" s="325" t="str">
        <f>'Unit Data from Audit Worksheet'!D83</f>
        <v>Total Proceeds from all long-term debt issuances 
Exclude proceeds from refundings</v>
      </c>
      <c r="D75" s="141"/>
      <c r="E75" s="346">
        <f>'Unit Data from Audit Worksheet'!F83</f>
        <v>0</v>
      </c>
      <c r="F75" s="339">
        <f t="shared" si="11"/>
        <v>0</v>
      </c>
      <c r="G75" s="341"/>
      <c r="H75" s="338">
        <f>'Unit Data from Audit Worksheet'!I83</f>
        <v>0</v>
      </c>
      <c r="I75" s="37"/>
      <c r="J75" s="337">
        <v>533</v>
      </c>
      <c r="K75" s="580" t="s">
        <v>211</v>
      </c>
      <c r="L75" s="561">
        <f t="shared" si="9"/>
        <v>0</v>
      </c>
      <c r="P75" s="308"/>
      <c r="W75" s="3" t="b">
        <f t="shared" si="10"/>
        <v>1</v>
      </c>
      <c r="X75" s="558">
        <f t="shared" si="1"/>
        <v>0</v>
      </c>
      <c r="Y75" s="558">
        <f t="shared" si="2"/>
        <v>0</v>
      </c>
    </row>
    <row r="76" spans="1:27" ht="54.75" customHeight="1" x14ac:dyDescent="0.3">
      <c r="A76" s="326">
        <f>'Unit Data from Audit Worksheet'!A84</f>
        <v>508</v>
      </c>
      <c r="B76" s="340" t="str">
        <f>'Unit Data from Audit Worksheet'!C84</f>
        <v>General Fund-Rev, Exp. Change in Fund Balance</v>
      </c>
      <c r="C76" s="325" t="str">
        <f>'Unit Data from Audit Worksheet'!D84</f>
        <v>Debt Refunding - Net refunding proceeds against debt payoff and if positive place results on this line.</v>
      </c>
      <c r="D76" s="141"/>
      <c r="E76" s="346">
        <f>'Unit Data from Audit Worksheet'!F84</f>
        <v>0</v>
      </c>
      <c r="F76" s="339">
        <f t="shared" si="11"/>
        <v>0</v>
      </c>
      <c r="G76" s="341"/>
      <c r="H76" s="338">
        <f>'Unit Data from Audit Worksheet'!I84</f>
        <v>0</v>
      </c>
      <c r="I76" s="37"/>
      <c r="J76" s="337">
        <v>508</v>
      </c>
      <c r="K76" s="336" t="s">
        <v>213</v>
      </c>
      <c r="L76" s="561">
        <f t="shared" si="9"/>
        <v>0</v>
      </c>
      <c r="P76" s="308"/>
      <c r="W76" s="3" t="b">
        <f t="shared" si="10"/>
        <v>1</v>
      </c>
      <c r="X76" s="558">
        <f t="shared" si="1"/>
        <v>0</v>
      </c>
      <c r="Y76" s="558">
        <f t="shared" si="2"/>
        <v>0</v>
      </c>
    </row>
    <row r="77" spans="1:27" ht="54.75" customHeight="1" x14ac:dyDescent="0.3">
      <c r="A77" s="326">
        <f>'Unit Data from Audit Worksheet'!A85</f>
        <v>509</v>
      </c>
      <c r="B77" s="340" t="str">
        <f>'Unit Data from Audit Worksheet'!C85</f>
        <v>General Fund-Rev, Exp. Change in Fund Balance</v>
      </c>
      <c r="C77" s="325" t="str">
        <f>'Unit Data from Audit Worksheet'!D85</f>
        <v>Debt Refunding - Net refunding proceeds against debt payoff and if negative place results on this line.</v>
      </c>
      <c r="D77" s="141"/>
      <c r="E77" s="346">
        <f>'Unit Data from Audit Worksheet'!F85</f>
        <v>0</v>
      </c>
      <c r="F77" s="339">
        <f t="shared" si="11"/>
        <v>0</v>
      </c>
      <c r="G77" s="341"/>
      <c r="H77" s="338">
        <f>'Unit Data from Audit Worksheet'!I85</f>
        <v>0</v>
      </c>
      <c r="I77" s="37"/>
      <c r="J77" s="337">
        <v>509</v>
      </c>
      <c r="K77" s="336" t="s">
        <v>214</v>
      </c>
      <c r="L77" s="561">
        <f t="shared" si="9"/>
        <v>0</v>
      </c>
      <c r="P77" s="308"/>
      <c r="W77" s="3" t="b">
        <f t="shared" si="10"/>
        <v>1</v>
      </c>
      <c r="X77" s="558">
        <f t="shared" si="1"/>
        <v>0</v>
      </c>
      <c r="Y77" s="558">
        <f t="shared" si="2"/>
        <v>0</v>
      </c>
    </row>
    <row r="78" spans="1:27" ht="84.75" customHeight="1" x14ac:dyDescent="0.3">
      <c r="A78" s="326">
        <f>'Unit Data from Audit Worksheet'!A86</f>
        <v>22</v>
      </c>
      <c r="B78" s="340" t="str">
        <f>'Unit Data from Audit Worksheet'!C86</f>
        <v>General Fund-Rev, Exp. Change in Fund Balance</v>
      </c>
      <c r="C78" s="325" t="str">
        <f>'Unit Data from Audit Worksheet'!D86</f>
        <v xml:space="preserve">All other items on this statement that were not included in total revenues, total expenditures, transfers in or out, or proceeds from long-term debt above.  </v>
      </c>
      <c r="D78" s="141"/>
      <c r="E78" s="346">
        <f>'Unit Data from Audit Worksheet'!F86</f>
        <v>0</v>
      </c>
      <c r="F78" s="339"/>
      <c r="G78" s="341"/>
      <c r="H78" s="338">
        <f>'Unit Data from Audit Worksheet'!I86</f>
        <v>0</v>
      </c>
      <c r="I78" s="37"/>
      <c r="J78" s="337">
        <v>22</v>
      </c>
      <c r="K78" s="336" t="s">
        <v>212</v>
      </c>
      <c r="L78" s="561">
        <f t="shared" si="9"/>
        <v>0</v>
      </c>
      <c r="P78" s="308"/>
      <c r="W78" s="3" t="b">
        <f t="shared" si="10"/>
        <v>1</v>
      </c>
      <c r="X78" s="558">
        <f t="shared" si="1"/>
        <v>0</v>
      </c>
      <c r="Y78" s="558">
        <f t="shared" si="2"/>
        <v>0</v>
      </c>
    </row>
    <row r="79" spans="1:27" ht="74.25" customHeight="1" x14ac:dyDescent="0.3">
      <c r="A79" s="326">
        <f>'Unit Data from Audit Worksheet'!A87</f>
        <v>23</v>
      </c>
      <c r="B79" s="340" t="str">
        <f>'Unit Data from Audit Worksheet'!C87</f>
        <v>General Fund-Rev, Exp. Change in Fund Balance</v>
      </c>
      <c r="C79" s="325" t="str">
        <f>'Unit Data from Audit Worksheet'!D87</f>
        <v>Change in fund balance - (Increase in Fund balance is recorded as a positive and a decrease in fund balance is recorded as a negative)</v>
      </c>
      <c r="D79" s="141"/>
      <c r="E79" s="346">
        <f>'Unit Data from Audit Worksheet'!F87</f>
        <v>0</v>
      </c>
      <c r="F79" s="339">
        <f>IF(+L70-L72+L73-L74+L75+L76-L77+L78-L79=0,,"Error:Total revenues less toal Expenditures do not equal change in fund balance")</f>
        <v>0</v>
      </c>
      <c r="G79" s="89">
        <f>+L70-L72+L73-L74+L75+L78+L76-L77-L79</f>
        <v>0</v>
      </c>
      <c r="H79" s="338">
        <f>'Unit Data from Audit Worksheet'!I87</f>
        <v>0</v>
      </c>
      <c r="I79" s="37"/>
      <c r="J79" s="337">
        <v>23</v>
      </c>
      <c r="K79" s="336" t="s">
        <v>215</v>
      </c>
      <c r="L79" s="561">
        <f t="shared" si="9"/>
        <v>0</v>
      </c>
      <c r="P79" s="308"/>
      <c r="Q79" s="551">
        <f>IF(G79&lt;&gt;0,1,0)</f>
        <v>0</v>
      </c>
      <c r="W79" s="3" t="b">
        <f t="shared" si="10"/>
        <v>1</v>
      </c>
      <c r="X79" s="558">
        <f t="shared" si="1"/>
        <v>0</v>
      </c>
      <c r="Y79" s="558">
        <f t="shared" si="2"/>
        <v>0</v>
      </c>
    </row>
    <row r="80" spans="1:27" ht="123" customHeight="1" x14ac:dyDescent="0.3">
      <c r="A80" s="573">
        <f>'Unit Data from Audit Worksheet'!A89</f>
        <v>507</v>
      </c>
      <c r="B80" s="114" t="str">
        <f>'Unit Data from Audit Worksheet'!C89</f>
        <v>General Fund-Rev, Exp. Change in Fund Balance</v>
      </c>
      <c r="C80" s="318" t="str">
        <f>'Unit Data from Audit Worksheet'!D89</f>
        <v>Any adjustment to beginning fund balance including rounding, prior period adjustments and restatements.   (Amounts that increase fund balance are recorded as positive and amounts that decrease fund balance are recorded as negative)</v>
      </c>
      <c r="D80" s="107"/>
      <c r="E80" s="152">
        <f>'Unit Data from Audit Worksheet'!F89</f>
        <v>0</v>
      </c>
      <c r="F80" s="108" t="e">
        <f>IF(+L65-L79-L80=O65,,"Error: Beginning Fund Bal does not equal our records Accts 9-23-507= PY9")</f>
        <v>#N/A</v>
      </c>
      <c r="G80" s="119" t="e">
        <f>L65-L79-L80-O65</f>
        <v>#N/A</v>
      </c>
      <c r="H80" s="110" t="str">
        <f>'Unit Data from Audit Worksheet'!I89</f>
        <v>Please do not enter prior's years beginning balance as an adjustment in column F.</v>
      </c>
      <c r="I80" s="37"/>
      <c r="J80" s="103">
        <v>507</v>
      </c>
      <c r="K80" s="43" t="s">
        <v>216</v>
      </c>
      <c r="L80" s="561">
        <f t="shared" si="9"/>
        <v>0</v>
      </c>
      <c r="N80" s="570"/>
      <c r="O80" s="569"/>
      <c r="P80" s="309"/>
      <c r="Q80" s="551" t="e">
        <f>IF(G80&lt;&gt;0,1,0)</f>
        <v>#N/A</v>
      </c>
      <c r="W80" s="3" t="b">
        <f t="shared" si="10"/>
        <v>1</v>
      </c>
      <c r="X80" s="558">
        <f t="shared" si="1"/>
        <v>0</v>
      </c>
      <c r="Y80" s="558">
        <f t="shared" si="2"/>
        <v>0</v>
      </c>
    </row>
    <row r="81" spans="1:26" ht="123" customHeight="1" x14ac:dyDescent="0.3">
      <c r="A81" s="573">
        <f>'Unit Data from Audit Worksheet'!A90</f>
        <v>147</v>
      </c>
      <c r="B81" s="114" t="str">
        <f>'Unit Data from Audit Worksheet'!C90</f>
        <v>General Fund-Rev, Exp. Change in Fund Balance or General Fund Budget Actual</v>
      </c>
      <c r="C81" s="318" t="str">
        <f>'Unit Data from Audit Worksheet'!D90</f>
        <v>Local Current Expense sent to Boards of Education (some units present this information in the detailed general fund statements after the notes)
Exclude: amounts for community colleges and 
                  supplemental taxes
Include: amounts spent on resource officers, 
                  nurses and Timber receipts</v>
      </c>
      <c r="D81" s="349"/>
      <c r="E81" s="152">
        <f>'Unit Data from Audit Worksheet'!F90</f>
        <v>0</v>
      </c>
      <c r="F81" s="342"/>
      <c r="G81" s="350"/>
      <c r="H81" s="342"/>
      <c r="I81" s="37"/>
      <c r="J81" s="351">
        <v>147</v>
      </c>
      <c r="K81" s="343" t="s">
        <v>294</v>
      </c>
      <c r="L81" s="561">
        <f t="shared" si="9"/>
        <v>0</v>
      </c>
      <c r="N81" s="570"/>
      <c r="O81" s="569"/>
      <c r="P81" s="317"/>
      <c r="W81" s="3" t="b">
        <f t="shared" si="10"/>
        <v>1</v>
      </c>
      <c r="X81" s="558"/>
      <c r="Y81" s="558"/>
    </row>
    <row r="82" spans="1:26" ht="123" customHeight="1" x14ac:dyDescent="0.3">
      <c r="A82" s="573">
        <f>'Unit Data from Audit Worksheet'!A91</f>
        <v>585</v>
      </c>
      <c r="B82" s="114" t="str">
        <f>'Unit Data from Audit Worksheet'!C91</f>
        <v>General Fund-Rev, Exp. Change in Fund Balance or General Fund Budget Actual</v>
      </c>
      <c r="C82" s="563" t="str">
        <f>'Unit Data from Audit Worksheet'!D91</f>
        <v xml:space="preserve">How much of the above number in account 147 is from Timber Receipts sent to the schools </v>
      </c>
      <c r="D82" s="349"/>
      <c r="E82" s="152">
        <f>'Unit Data from Audit Worksheet'!F91</f>
        <v>0</v>
      </c>
      <c r="F82" s="342"/>
      <c r="G82" s="350"/>
      <c r="H82" s="342"/>
      <c r="I82" s="37"/>
      <c r="J82" s="351">
        <v>585</v>
      </c>
      <c r="K82" s="354" t="s">
        <v>365</v>
      </c>
      <c r="L82" s="561">
        <f t="shared" si="9"/>
        <v>0</v>
      </c>
      <c r="N82" s="570"/>
      <c r="O82" s="569"/>
      <c r="P82" s="317"/>
      <c r="W82" s="3" t="b">
        <f t="shared" si="10"/>
        <v>1</v>
      </c>
      <c r="X82" s="558"/>
      <c r="Y82" s="558"/>
    </row>
    <row r="83" spans="1:26" ht="123" customHeight="1" x14ac:dyDescent="0.3">
      <c r="A83" s="573">
        <f>'Unit Data from Audit Worksheet'!A92</f>
        <v>546</v>
      </c>
      <c r="B83" s="114" t="str">
        <f>'Unit Data from Audit Worksheet'!C92</f>
        <v>General Fund-Rev, Exp. Change in Fund Balance or General Fund Budget Actual</v>
      </c>
      <c r="C83" s="563" t="str">
        <f>'Unit Data from Audit Worksheet'!D92</f>
        <v>Amount of Supplemental School Tax revenue recorded in the governmental funds.</v>
      </c>
      <c r="D83" s="349"/>
      <c r="E83" s="152">
        <f>'Unit Data from Audit Worksheet'!F92</f>
        <v>0</v>
      </c>
      <c r="F83" s="342"/>
      <c r="G83" s="350"/>
      <c r="H83" s="342"/>
      <c r="I83" s="37"/>
      <c r="J83" s="351">
        <v>546</v>
      </c>
      <c r="K83" s="354" t="s">
        <v>529</v>
      </c>
      <c r="L83" s="561">
        <f t="shared" si="9"/>
        <v>0</v>
      </c>
      <c r="N83" s="570"/>
      <c r="O83" s="569"/>
      <c r="P83" s="317"/>
      <c r="W83" s="3" t="b">
        <f t="shared" si="10"/>
        <v>1</v>
      </c>
      <c r="X83" s="558"/>
      <c r="Y83" s="558"/>
    </row>
    <row r="84" spans="1:26" ht="123" customHeight="1" x14ac:dyDescent="0.3">
      <c r="A84" s="573">
        <f>'Unit Data from Audit Worksheet'!A93</f>
        <v>589</v>
      </c>
      <c r="B84" s="114" t="str">
        <f>'Unit Data from Audit Worksheet'!C93</f>
        <v>General Fund-Rev, Exp. Change in Fund Balance or General Fund Budget Actual</v>
      </c>
      <c r="C84" s="563" t="str">
        <f>'Unit Data from Audit Worksheet'!D93</f>
        <v>Amount of Supplemental School Tax revenue recorded in agency funds.</v>
      </c>
      <c r="D84" s="349"/>
      <c r="E84" s="152">
        <f>'Unit Data from Audit Worksheet'!F93</f>
        <v>0</v>
      </c>
      <c r="F84" s="342"/>
      <c r="G84" s="350"/>
      <c r="H84" s="342"/>
      <c r="I84" s="37"/>
      <c r="J84" s="351">
        <v>589</v>
      </c>
      <c r="K84" s="121" t="s">
        <v>951</v>
      </c>
      <c r="L84" s="561">
        <f t="shared" si="9"/>
        <v>0</v>
      </c>
      <c r="N84" s="570"/>
      <c r="O84" s="569"/>
      <c r="P84" s="317"/>
      <c r="W84" s="3" t="b">
        <f t="shared" si="10"/>
        <v>1</v>
      </c>
      <c r="X84" s="558"/>
      <c r="Y84" s="558"/>
    </row>
    <row r="85" spans="1:26" ht="123" customHeight="1" x14ac:dyDescent="0.3">
      <c r="A85" s="573">
        <f>'Unit Data from Audit Worksheet'!A94</f>
        <v>149</v>
      </c>
      <c r="B85" s="114" t="str">
        <f>'Unit Data from Audit Worksheet'!C94</f>
        <v>General Fund-Rev, Exp. Change in Fund Balance or General Fund Budget Actual</v>
      </c>
      <c r="C85" s="563" t="str">
        <f>'Unit Data from Audit Worksheet'!D94</f>
        <v>Local Current Expense Revenue from the County (Enter as a positive) 
Exclude: supplemental taxes
Include: Timber Receipts, amounts spent on 
                  resource officers and nurses, etc.  
                  Amount must agree with the amount
                  reported in the County Audit Report</v>
      </c>
      <c r="D85" s="349"/>
      <c r="E85" s="152">
        <f>'Unit Data from Audit Worksheet'!F94</f>
        <v>0</v>
      </c>
      <c r="F85" s="342"/>
      <c r="G85" s="350"/>
      <c r="H85" s="342"/>
      <c r="I85" s="37"/>
      <c r="J85" s="351">
        <v>149</v>
      </c>
      <c r="K85" s="247" t="s">
        <v>296</v>
      </c>
      <c r="L85" s="561">
        <f t="shared" si="9"/>
        <v>0</v>
      </c>
      <c r="N85" s="570"/>
      <c r="O85" s="569"/>
      <c r="P85" s="317"/>
      <c r="W85" s="3" t="b">
        <f t="shared" si="10"/>
        <v>1</v>
      </c>
      <c r="X85" s="558"/>
      <c r="Y85" s="558"/>
      <c r="Z85" s="3" t="s">
        <v>1028</v>
      </c>
    </row>
    <row r="86" spans="1:26" ht="123" customHeight="1" x14ac:dyDescent="0.3">
      <c r="A86" s="573">
        <f>'Unit Data from Audit Worksheet'!A95</f>
        <v>150</v>
      </c>
      <c r="B86" s="114" t="str">
        <f>'Unit Data from Audit Worksheet'!C95</f>
        <v>General Fund-Rev, Exp. Change in Fund Balance or General Fund Budget Actual</v>
      </c>
      <c r="C86" s="563" t="str">
        <f>'Unit Data from Audit Worksheet'!D95</f>
        <v xml:space="preserve">Capital Outlay revenue from the County and budgeted by the County as Capital Outlay reported in the School Capital Outlay fund or the local current expense fund.  (capitalization policies might be different between the Schools and County)
</v>
      </c>
      <c r="D86" s="349"/>
      <c r="E86" s="152">
        <f>'Unit Data from Audit Worksheet'!F95</f>
        <v>0</v>
      </c>
      <c r="F86" s="342"/>
      <c r="G86" s="350"/>
      <c r="H86" s="342"/>
      <c r="I86" s="37"/>
      <c r="J86" s="351">
        <v>150</v>
      </c>
      <c r="K86" s="247" t="s">
        <v>529</v>
      </c>
      <c r="L86" s="561">
        <f t="shared" si="9"/>
        <v>0</v>
      </c>
      <c r="N86" s="570"/>
      <c r="O86" s="569"/>
      <c r="P86" s="317"/>
      <c r="W86" s="3" t="b">
        <f t="shared" si="10"/>
        <v>1</v>
      </c>
      <c r="X86" s="558"/>
      <c r="Y86" s="558"/>
      <c r="Z86" s="3" t="s">
        <v>1028</v>
      </c>
    </row>
    <row r="87" spans="1:26" ht="123" customHeight="1" x14ac:dyDescent="0.3">
      <c r="A87" s="573">
        <f>'Unit Data from Audit Worksheet'!A96</f>
        <v>587</v>
      </c>
      <c r="B87" s="114" t="str">
        <f>'Unit Data from Audit Worksheet'!C96</f>
        <v xml:space="preserve">Fund 8 Rev, Exp. Change in Fund Balance Rpt. </v>
      </c>
      <c r="C87" s="563" t="str">
        <f>'Unit Data from Audit Worksheet'!D96</f>
        <v>Amount of Local Current Expense Funds received from the County transferred to Fund 8 this year.</v>
      </c>
      <c r="D87" s="349"/>
      <c r="E87" s="152">
        <f>'Unit Data from Audit Worksheet'!F96</f>
        <v>0</v>
      </c>
      <c r="F87" s="342"/>
      <c r="G87" s="350"/>
      <c r="H87" s="342"/>
      <c r="I87" s="37"/>
      <c r="J87" s="351">
        <v>587</v>
      </c>
      <c r="K87" s="247" t="s">
        <v>367</v>
      </c>
      <c r="L87" s="561">
        <f t="shared" si="9"/>
        <v>0</v>
      </c>
      <c r="N87" s="570"/>
      <c r="O87" s="569"/>
      <c r="P87" s="317"/>
      <c r="W87" s="3" t="b">
        <f t="shared" si="10"/>
        <v>1</v>
      </c>
      <c r="X87" s="558"/>
      <c r="Y87" s="558"/>
      <c r="Z87" s="3" t="s">
        <v>1028</v>
      </c>
    </row>
    <row r="88" spans="1:26" ht="123" customHeight="1" x14ac:dyDescent="0.3">
      <c r="A88" s="573">
        <f>'Unit Data from Audit Worksheet'!A97</f>
        <v>588</v>
      </c>
      <c r="B88" s="114" t="str">
        <f>'Unit Data from Audit Worksheet'!C97</f>
        <v xml:space="preserve">Fund 8 Rev, Exp. Change in Fund Balance Rpt. </v>
      </c>
      <c r="C88" s="563" t="str">
        <f>'Unit Data from Audit Worksheet'!D97</f>
        <v>Amount of Capital Outlay Funds received from the County transferred to Fund 8 this year.</v>
      </c>
      <c r="D88" s="349"/>
      <c r="E88" s="152">
        <f>'Unit Data from Audit Worksheet'!F97</f>
        <v>0</v>
      </c>
      <c r="F88" s="342"/>
      <c r="G88" s="350"/>
      <c r="H88" s="342"/>
      <c r="I88" s="37"/>
      <c r="J88" s="351">
        <v>588</v>
      </c>
      <c r="K88" s="247" t="s">
        <v>368</v>
      </c>
      <c r="L88" s="561">
        <f t="shared" si="9"/>
        <v>0</v>
      </c>
      <c r="N88" s="570"/>
      <c r="O88" s="569"/>
      <c r="P88" s="317"/>
      <c r="W88" s="3" t="b">
        <f t="shared" si="10"/>
        <v>1</v>
      </c>
      <c r="X88" s="558"/>
      <c r="Y88" s="558"/>
      <c r="Z88" s="3" t="s">
        <v>1028</v>
      </c>
    </row>
    <row r="89" spans="1:26" s="18" customFormat="1" ht="40.5" customHeight="1" x14ac:dyDescent="0.3">
      <c r="A89" s="299">
        <f>'Unit Data from Audit Worksheet'!A98</f>
        <v>647</v>
      </c>
      <c r="B89" s="353" t="str">
        <f>'Unit Data from Audit Worksheet'!C98</f>
        <v>Debt Service Fund</v>
      </c>
      <c r="C89" s="299" t="str">
        <f>'Unit Data from Audit Worksheet'!D98</f>
        <v>Please enter the Total Fund Balance for any Debt Service Funds</v>
      </c>
      <c r="D89" s="113"/>
      <c r="E89" s="352">
        <f>'Unit Data from Audit Worksheet'!F98</f>
        <v>0</v>
      </c>
      <c r="F89" s="334"/>
      <c r="G89" s="329"/>
      <c r="H89" s="334">
        <f>'Unit Data from Audit Worksheet'!I98</f>
        <v>0</v>
      </c>
      <c r="I89" s="574"/>
      <c r="J89" s="333">
        <v>647</v>
      </c>
      <c r="K89" s="302" t="s">
        <v>1182</v>
      </c>
      <c r="L89" s="575">
        <f>IF(D89="",E89,D89)</f>
        <v>0</v>
      </c>
      <c r="M89" s="565"/>
      <c r="N89" s="565"/>
      <c r="O89" s="581"/>
      <c r="P89" s="310"/>
      <c r="Q89" s="566"/>
      <c r="R89" s="3"/>
      <c r="S89" s="565"/>
      <c r="T89" s="565"/>
      <c r="U89" s="565"/>
      <c r="V89" s="565"/>
      <c r="W89" s="18" t="b">
        <f t="shared" si="10"/>
        <v>1</v>
      </c>
      <c r="X89" s="567">
        <f t="shared" si="1"/>
        <v>0</v>
      </c>
      <c r="Y89" s="567">
        <f t="shared" si="2"/>
        <v>0</v>
      </c>
    </row>
    <row r="90" spans="1:26" s="18" customFormat="1" ht="66" customHeight="1" x14ac:dyDescent="0.3">
      <c r="A90" s="299">
        <f>'Unit Data from Audit Worksheet'!A100</f>
        <v>148</v>
      </c>
      <c r="B90" s="353" t="str">
        <f>'Unit Data from Audit Worksheet'!C100</f>
        <v>All Gov. Funds Rev, Exp. Change in Fund Balance</v>
      </c>
      <c r="C90" s="332" t="str">
        <f>'Unit Data from Audit Worksheet'!D100</f>
        <v>Capital Outlay contributions to the BOEs (include amounts from general fund, capital project funds and any other fund sent to the BOE as part of capital outlay)</v>
      </c>
      <c r="D90" s="349"/>
      <c r="E90" s="352">
        <f>'Unit Data from Audit Worksheet'!F100</f>
        <v>0</v>
      </c>
      <c r="F90" s="342"/>
      <c r="G90" s="350"/>
      <c r="H90" s="342"/>
      <c r="I90" s="37"/>
      <c r="J90" s="351">
        <v>148</v>
      </c>
      <c r="K90" s="343" t="s">
        <v>295</v>
      </c>
      <c r="L90" s="561">
        <f t="shared" si="9"/>
        <v>0</v>
      </c>
      <c r="M90" s="582"/>
      <c r="N90" s="582"/>
      <c r="O90" s="583"/>
      <c r="P90" s="317"/>
      <c r="Q90" s="584"/>
      <c r="R90" s="3"/>
      <c r="S90" s="582"/>
      <c r="T90" s="582"/>
      <c r="U90" s="582"/>
      <c r="V90" s="582"/>
      <c r="W90" s="582" t="b">
        <f t="shared" si="10"/>
        <v>1</v>
      </c>
      <c r="X90" s="567"/>
      <c r="Y90" s="567"/>
    </row>
    <row r="91" spans="1:26" ht="60" customHeight="1" x14ac:dyDescent="0.3">
      <c r="A91" s="559">
        <f>'Unit Data from Audit Worksheet'!A101</f>
        <v>171</v>
      </c>
      <c r="B91" s="53" t="str">
        <f>'Unit Data from Audit Worksheet'!C101</f>
        <v>Fund Statements - all Governmental Funds</v>
      </c>
      <c r="C91" s="560" t="str">
        <f>'Unit Data from Audit Worksheet'!D101</f>
        <v>Debt service expenditures from all governmental funds.  Include principal, interest paid, and debt issuance costs on long-term debt.</v>
      </c>
      <c r="D91" s="345"/>
      <c r="E91" s="149">
        <f>'Unit Data from Audit Worksheet'!F101</f>
        <v>0</v>
      </c>
      <c r="F91" s="46">
        <f>IF(L91&lt;0,"Error: Enter as a positive.",)</f>
        <v>0</v>
      </c>
      <c r="G91" s="70"/>
      <c r="H91" s="338">
        <f>'Unit Data from Audit Worksheet'!I101</f>
        <v>0</v>
      </c>
      <c r="I91" s="37"/>
      <c r="J91" s="41">
        <v>171</v>
      </c>
      <c r="K91" s="50" t="s">
        <v>217</v>
      </c>
      <c r="L91" s="561">
        <f t="shared" si="9"/>
        <v>0</v>
      </c>
      <c r="P91" s="307"/>
      <c r="W91" s="3" t="b">
        <f t="shared" si="10"/>
        <v>1</v>
      </c>
      <c r="X91" s="558">
        <f t="shared" si="1"/>
        <v>0</v>
      </c>
      <c r="Y91" s="558">
        <f t="shared" si="2"/>
        <v>0</v>
      </c>
    </row>
    <row r="92" spans="1:26" s="701" customFormat="1" ht="60" customHeight="1" x14ac:dyDescent="0.3">
      <c r="A92" s="559">
        <f>'Unit Data from Audit Worksheet'!A103</f>
        <v>36</v>
      </c>
      <c r="B92" s="53" t="str">
        <f>'Unit Data from Audit Worksheet'!C103</f>
        <v>Net Position</v>
      </c>
      <c r="C92" s="560" t="str">
        <f>'Unit Data from Audit Worksheet'!D103</f>
        <v>Total Gross Capital Assets - without accumulated depreciation</v>
      </c>
      <c r="D92" s="345"/>
      <c r="E92" s="149">
        <f>'Unit Data from Audit Worksheet'!F103</f>
        <v>0</v>
      </c>
      <c r="F92" s="46"/>
      <c r="G92" s="70"/>
      <c r="H92" s="338"/>
      <c r="I92" s="703"/>
      <c r="J92" s="41">
        <v>36</v>
      </c>
      <c r="K92" s="50" t="s">
        <v>1085</v>
      </c>
      <c r="L92" s="561">
        <f t="shared" si="9"/>
        <v>0</v>
      </c>
      <c r="P92" s="307"/>
      <c r="Q92" s="551"/>
      <c r="W92" s="582" t="b">
        <f t="shared" si="10"/>
        <v>1</v>
      </c>
      <c r="X92" s="558"/>
      <c r="Y92" s="558"/>
    </row>
    <row r="93" spans="1:26" s="701" customFormat="1" ht="60" customHeight="1" x14ac:dyDescent="0.3">
      <c r="A93" s="559">
        <f>'Unit Data from Audit Worksheet'!A104</f>
        <v>534</v>
      </c>
      <c r="B93" s="53" t="str">
        <f>'Unit Data from Audit Worksheet'!C104</f>
        <v>Net Position</v>
      </c>
      <c r="C93" s="560" t="str">
        <f>'Unit Data from Audit Worksheet'!D104</f>
        <v>Combined Totals of all Proprietary Funds - Amount of Inventories and Prepaids in current assets</v>
      </c>
      <c r="D93" s="345"/>
      <c r="E93" s="149">
        <f>'Unit Data from Audit Worksheet'!F104</f>
        <v>0</v>
      </c>
      <c r="F93" s="46"/>
      <c r="G93" s="70"/>
      <c r="H93" s="338"/>
      <c r="I93" s="703"/>
      <c r="J93" s="41">
        <v>534</v>
      </c>
      <c r="K93" s="50" t="s">
        <v>271</v>
      </c>
      <c r="L93" s="561">
        <f t="shared" si="9"/>
        <v>0</v>
      </c>
      <c r="P93" s="307"/>
      <c r="Q93" s="551"/>
      <c r="W93" s="582" t="b">
        <f t="shared" si="10"/>
        <v>1</v>
      </c>
      <c r="X93" s="558"/>
      <c r="Y93" s="558"/>
    </row>
    <row r="94" spans="1:26" ht="60" customHeight="1" x14ac:dyDescent="0.3">
      <c r="A94" s="559">
        <f>'Unit Data from Audit Worksheet'!A105</f>
        <v>13</v>
      </c>
      <c r="B94" s="53" t="str">
        <f>'Unit Data from Audit Worksheet'!C105</f>
        <v>Combined Proprietary Funds - Net Position</v>
      </c>
      <c r="C94" s="560" t="str">
        <f>'Unit Data from Audit Worksheet'!D105</f>
        <v>Comb-Proprietary Funds-Current Assets 
Exclude: any restricted assets
                  deferred outflows</v>
      </c>
      <c r="D94" s="345"/>
      <c r="E94" s="149">
        <f>'Unit Data from Audit Worksheet'!F105</f>
        <v>0</v>
      </c>
      <c r="F94" s="46"/>
      <c r="G94" s="70"/>
      <c r="H94" s="338"/>
      <c r="I94" s="37"/>
      <c r="J94" s="41">
        <v>13</v>
      </c>
      <c r="K94" s="50" t="s">
        <v>1016</v>
      </c>
      <c r="L94" s="561">
        <f t="shared" si="9"/>
        <v>0</v>
      </c>
      <c r="P94" s="307"/>
      <c r="X94" s="558"/>
      <c r="Y94" s="558"/>
    </row>
    <row r="95" spans="1:26" ht="60" customHeight="1" x14ac:dyDescent="0.3">
      <c r="A95" s="559">
        <f>'Unit Data from Audit Worksheet'!A106</f>
        <v>14</v>
      </c>
      <c r="B95" s="53" t="str">
        <f>'Unit Data from Audit Worksheet'!C106</f>
        <v>Combined Proprietary Funds - Net Position</v>
      </c>
      <c r="C95" s="560" t="str">
        <f>'Unit Data from Audit Worksheet'!D106</f>
        <v>Combined Totals of all Proprietary Funds - Total Current Liabilities  
Include:  Current liabilities and current portion of long-term debt 
Exclude:   Bond anticipation notes
                   Compensated Absences
                   Pension liabilities
                   Liabilities payable from restricted assets
                   Other post employment liabilities (OPEB)
                   Deferred inflows</v>
      </c>
      <c r="D95" s="345"/>
      <c r="E95" s="149">
        <f>'Unit Data from Audit Worksheet'!F106</f>
        <v>0</v>
      </c>
      <c r="F95" s="46"/>
      <c r="G95" s="70"/>
      <c r="H95" s="338"/>
      <c r="I95" s="37"/>
      <c r="J95" s="41">
        <v>14</v>
      </c>
      <c r="K95" s="50" t="s">
        <v>1017</v>
      </c>
      <c r="L95" s="561">
        <f t="shared" si="9"/>
        <v>0</v>
      </c>
      <c r="P95" s="307"/>
      <c r="X95" s="558"/>
      <c r="Y95" s="558"/>
    </row>
    <row r="96" spans="1:26" s="701" customFormat="1" ht="60" customHeight="1" x14ac:dyDescent="0.3">
      <c r="A96" s="559">
        <f>'Unit Data from Audit Worksheet'!A107</f>
        <v>571</v>
      </c>
      <c r="B96" s="53" t="str">
        <f>'Unit Data from Audit Worksheet'!C107</f>
        <v>Statement of Net Position - combined totals from all Proprietary Funds</v>
      </c>
      <c r="C96" s="560" t="str">
        <f>'Unit Data from Audit Worksheet'!D107</f>
        <v>Mental Health Net Position - Net Investment in Capital Assets</v>
      </c>
      <c r="D96" s="345"/>
      <c r="E96" s="149">
        <f>'Unit Data from Audit Worksheet'!F107</f>
        <v>0</v>
      </c>
      <c r="F96" s="46"/>
      <c r="G96" s="70"/>
      <c r="H96" s="338"/>
      <c r="I96" s="703"/>
      <c r="J96" s="41">
        <v>571</v>
      </c>
      <c r="K96" s="50" t="s">
        <v>1056</v>
      </c>
      <c r="L96" s="561">
        <f t="shared" si="9"/>
        <v>0</v>
      </c>
      <c r="P96" s="307"/>
      <c r="Q96" s="551"/>
      <c r="X96" s="558"/>
      <c r="Y96" s="558"/>
    </row>
    <row r="97" spans="1:26" s="701" customFormat="1" ht="60" customHeight="1" x14ac:dyDescent="0.3">
      <c r="A97" s="559">
        <f>'Unit Data from Audit Worksheet'!A108</f>
        <v>572</v>
      </c>
      <c r="B97" s="53" t="str">
        <f>'Unit Data from Audit Worksheet'!C108</f>
        <v>Statement of Net Position - combined totals from all Proprietary Funds</v>
      </c>
      <c r="C97" s="560" t="str">
        <f>'Unit Data from Audit Worksheet'!D108</f>
        <v>Mental Health Net Position - Restricted Net Position</v>
      </c>
      <c r="D97" s="345"/>
      <c r="E97" s="149">
        <f>'Unit Data from Audit Worksheet'!F108</f>
        <v>0</v>
      </c>
      <c r="F97" s="46"/>
      <c r="G97" s="70"/>
      <c r="H97" s="338"/>
      <c r="I97" s="703"/>
      <c r="J97" s="41">
        <v>572</v>
      </c>
      <c r="K97" s="50" t="s">
        <v>1057</v>
      </c>
      <c r="L97" s="561">
        <f t="shared" si="9"/>
        <v>0</v>
      </c>
      <c r="P97" s="307"/>
      <c r="Q97" s="551"/>
      <c r="X97" s="558"/>
      <c r="Y97" s="558"/>
    </row>
    <row r="98" spans="1:26" s="701" customFormat="1" ht="60" customHeight="1" x14ac:dyDescent="0.3">
      <c r="A98" s="559">
        <f>'Unit Data from Audit Worksheet'!A109</f>
        <v>573</v>
      </c>
      <c r="B98" s="53" t="str">
        <f>'Unit Data from Audit Worksheet'!C109</f>
        <v>Statement of Net Position - combined totals from all Proprietary Funds</v>
      </c>
      <c r="C98" s="560" t="str">
        <f>'Unit Data from Audit Worksheet'!D109</f>
        <v>Mental Health Net Position - Unrestricted Net Position</v>
      </c>
      <c r="D98" s="345"/>
      <c r="E98" s="149">
        <f>'Unit Data from Audit Worksheet'!F109</f>
        <v>0</v>
      </c>
      <c r="F98" s="46"/>
      <c r="G98" s="70"/>
      <c r="H98" s="338"/>
      <c r="I98" s="703"/>
      <c r="J98" s="41">
        <v>573</v>
      </c>
      <c r="K98" s="50" t="s">
        <v>1167</v>
      </c>
      <c r="L98" s="561">
        <f t="shared" si="9"/>
        <v>0</v>
      </c>
      <c r="P98" s="307"/>
      <c r="Q98" s="551"/>
      <c r="X98" s="558"/>
      <c r="Y98" s="558"/>
    </row>
    <row r="99" spans="1:26" ht="60" customHeight="1" x14ac:dyDescent="0.3">
      <c r="A99" s="559">
        <f>'Unit Data from Audit Worksheet'!A110</f>
        <v>34</v>
      </c>
      <c r="B99" s="53" t="str">
        <f>'Unit Data from Audit Worksheet'!C110</f>
        <v>Net Position</v>
      </c>
      <c r="C99" s="560" t="str">
        <f>'Unit Data from Audit Worksheet'!D110</f>
        <v>Hospital-EF- Unrestricted Cash &amp; Invest. [Incl.all but Held by Trustee or 3rd party restricted](BS)</v>
      </c>
      <c r="D99" s="345"/>
      <c r="E99" s="149">
        <f>'Unit Data from Audit Worksheet'!F110</f>
        <v>0</v>
      </c>
      <c r="F99" s="46"/>
      <c r="G99" s="70"/>
      <c r="H99" s="338"/>
      <c r="I99" s="37"/>
      <c r="J99" s="41">
        <v>34</v>
      </c>
      <c r="K99" s="50" t="s">
        <v>1031</v>
      </c>
      <c r="L99" s="561">
        <f t="shared" si="9"/>
        <v>0</v>
      </c>
      <c r="P99" s="307"/>
      <c r="X99" s="558"/>
      <c r="Y99" s="558"/>
      <c r="Z99" s="3" t="s">
        <v>1029</v>
      </c>
    </row>
    <row r="100" spans="1:26" ht="60" customHeight="1" x14ac:dyDescent="0.3">
      <c r="A100" s="559">
        <f>'Unit Data from Audit Worksheet'!A111</f>
        <v>35</v>
      </c>
      <c r="B100" s="53" t="str">
        <f>'Unit Data from Audit Worksheet'!C111</f>
        <v>Net Position</v>
      </c>
      <c r="C100" s="560" t="str">
        <f>'Unit Data from Audit Worksheet'!D111</f>
        <v>Mental Health or Hospital-EF- Patient Accounts Receivable, Net of Allowance for Bad Debt</v>
      </c>
      <c r="D100" s="345"/>
      <c r="E100" s="149">
        <f>'Unit Data from Audit Worksheet'!F111</f>
        <v>0</v>
      </c>
      <c r="F100" s="46"/>
      <c r="G100" s="70"/>
      <c r="H100" s="338"/>
      <c r="I100" s="37"/>
      <c r="J100" s="41">
        <v>35</v>
      </c>
      <c r="K100" s="50" t="s">
        <v>1032</v>
      </c>
      <c r="L100" s="561">
        <f t="shared" si="9"/>
        <v>0</v>
      </c>
      <c r="P100" s="307"/>
      <c r="X100" s="558"/>
      <c r="Y100" s="558"/>
      <c r="Z100" s="3" t="s">
        <v>1029</v>
      </c>
    </row>
    <row r="101" spans="1:26" ht="60" customHeight="1" x14ac:dyDescent="0.3">
      <c r="A101" s="559">
        <f>'Unit Data from Audit Worksheet'!A112</f>
        <v>37</v>
      </c>
      <c r="B101" s="53" t="str">
        <f>'Unit Data from Audit Worksheet'!C112</f>
        <v>Net Position</v>
      </c>
      <c r="C101" s="560" t="str">
        <f>'Unit Data from Audit Worksheet'!D112</f>
        <v>Total Long-term debt (non current portion only) - enter as a positive</v>
      </c>
      <c r="D101" s="345"/>
      <c r="E101" s="149">
        <f>'Unit Data from Audit Worksheet'!F112</f>
        <v>0</v>
      </c>
      <c r="F101" s="46"/>
      <c r="G101" s="70"/>
      <c r="H101" s="338"/>
      <c r="I101" s="37"/>
      <c r="J101" s="41">
        <v>37</v>
      </c>
      <c r="K101" s="50" t="s">
        <v>1042</v>
      </c>
      <c r="L101" s="561">
        <f t="shared" si="9"/>
        <v>0</v>
      </c>
      <c r="P101" s="307"/>
      <c r="X101" s="558"/>
      <c r="Y101" s="558"/>
      <c r="Z101" s="3" t="s">
        <v>1029</v>
      </c>
    </row>
    <row r="102" spans="1:26" ht="60" customHeight="1" x14ac:dyDescent="0.3">
      <c r="A102" s="559">
        <f>'Unit Data from Audit Worksheet'!A113</f>
        <v>38</v>
      </c>
      <c r="B102" s="53" t="str">
        <f>'Unit Data from Audit Worksheet'!C113</f>
        <v>Net Position</v>
      </c>
      <c r="C102" s="560" t="str">
        <f>'Unit Data from Audit Worksheet'!D113</f>
        <v>Unrestricted fund equity or net position</v>
      </c>
      <c r="D102" s="345"/>
      <c r="E102" s="149">
        <f>'Unit Data from Audit Worksheet'!F113</f>
        <v>0</v>
      </c>
      <c r="F102" s="46"/>
      <c r="G102" s="70"/>
      <c r="H102" s="338"/>
      <c r="I102" s="37"/>
      <c r="J102" s="41">
        <v>38</v>
      </c>
      <c r="K102" s="50" t="s">
        <v>1033</v>
      </c>
      <c r="L102" s="561">
        <f t="shared" si="9"/>
        <v>0</v>
      </c>
      <c r="P102" s="307"/>
      <c r="X102" s="558"/>
      <c r="Y102" s="558"/>
      <c r="Z102" s="3" t="s">
        <v>1029</v>
      </c>
    </row>
    <row r="103" spans="1:26" ht="60" customHeight="1" x14ac:dyDescent="0.3">
      <c r="A103" s="559">
        <f>'Unit Data from Audit Worksheet'!A114</f>
        <v>32</v>
      </c>
      <c r="B103" s="53" t="str">
        <f>'Unit Data from Audit Worksheet'!C114</f>
        <v>Combined Totals of all Proprietary Funds - Revenue, Expenses, Changes in Net Position</v>
      </c>
      <c r="C103" s="560" t="str">
        <f>'Unit Data from Audit Worksheet'!D114</f>
        <v>Combined Totals of all proprietary Funds - Depreciation &amp; Amortization Expense</v>
      </c>
      <c r="D103" s="345"/>
      <c r="E103" s="149">
        <f>'Unit Data from Audit Worksheet'!F114</f>
        <v>0</v>
      </c>
      <c r="F103" s="46"/>
      <c r="G103" s="70"/>
      <c r="H103" s="338"/>
      <c r="I103" s="37"/>
      <c r="J103" s="41">
        <v>32</v>
      </c>
      <c r="K103" s="50" t="s">
        <v>1019</v>
      </c>
      <c r="L103" s="561">
        <f t="shared" si="9"/>
        <v>0</v>
      </c>
      <c r="P103" s="307"/>
      <c r="X103" s="558"/>
      <c r="Y103" s="558"/>
      <c r="Z103" s="3" t="s">
        <v>1029</v>
      </c>
    </row>
    <row r="104" spans="1:26" ht="60" customHeight="1" x14ac:dyDescent="0.3">
      <c r="A104" s="559">
        <f>'Unit Data from Audit Worksheet'!A115</f>
        <v>40</v>
      </c>
      <c r="B104" s="53" t="str">
        <f>'Unit Data from Audit Worksheet'!C115</f>
        <v>Revenue, Expenses, Changes in Net Position</v>
      </c>
      <c r="C104" s="560" t="str">
        <f>'Unit Data from Audit Worksheet'!D115</f>
        <v>Net Patient Revenues</v>
      </c>
      <c r="D104" s="345"/>
      <c r="E104" s="149">
        <f>'Unit Data from Audit Worksheet'!F115</f>
        <v>0</v>
      </c>
      <c r="F104" s="46"/>
      <c r="G104" s="70"/>
      <c r="H104" s="338"/>
      <c r="I104" s="37"/>
      <c r="J104" s="41">
        <v>40</v>
      </c>
      <c r="K104" s="50" t="s">
        <v>1035</v>
      </c>
      <c r="L104" s="561">
        <f t="shared" si="9"/>
        <v>0</v>
      </c>
      <c r="P104" s="307"/>
      <c r="X104" s="558"/>
      <c r="Y104" s="558"/>
      <c r="Z104" s="3" t="s">
        <v>1029</v>
      </c>
    </row>
    <row r="105" spans="1:26" ht="60" customHeight="1" x14ac:dyDescent="0.3">
      <c r="A105" s="559">
        <f>'Unit Data from Audit Worksheet'!A116</f>
        <v>107</v>
      </c>
      <c r="B105" s="53" t="str">
        <f>'Unit Data from Audit Worksheet'!C116</f>
        <v>Revenue, Expenses, Changes in Net Position</v>
      </c>
      <c r="C105" s="560" t="str">
        <f>'Unit Data from Audit Worksheet'!D116</f>
        <v>Total Operating Revenues</v>
      </c>
      <c r="D105" s="345"/>
      <c r="E105" s="149">
        <f>'Unit Data from Audit Worksheet'!F116</f>
        <v>0</v>
      </c>
      <c r="F105" s="46"/>
      <c r="G105" s="70"/>
      <c r="H105" s="338"/>
      <c r="I105" s="37"/>
      <c r="J105" s="41">
        <v>107</v>
      </c>
      <c r="K105" s="50" t="s">
        <v>1036</v>
      </c>
      <c r="L105" s="561">
        <f t="shared" si="9"/>
        <v>0</v>
      </c>
      <c r="P105" s="307"/>
      <c r="X105" s="558"/>
      <c r="Y105" s="558"/>
      <c r="Z105" s="3" t="s">
        <v>1029</v>
      </c>
    </row>
    <row r="106" spans="1:26" ht="60" customHeight="1" x14ac:dyDescent="0.3">
      <c r="A106" s="559">
        <f>'Unit Data from Audit Worksheet'!A117</f>
        <v>108</v>
      </c>
      <c r="B106" s="53" t="str">
        <f>'Unit Data from Audit Worksheet'!C117</f>
        <v>Revenue, Expenses, Changes in Net Position</v>
      </c>
      <c r="C106" s="560" t="str">
        <f>'Unit Data from Audit Worksheet'!D117</f>
        <v>Total Operating Expenses. May include Interest Expense - Enter as a positive</v>
      </c>
      <c r="D106" s="345"/>
      <c r="E106" s="149">
        <f>'Unit Data from Audit Worksheet'!F117</f>
        <v>0</v>
      </c>
      <c r="F106" s="46"/>
      <c r="G106" s="70"/>
      <c r="H106" s="338"/>
      <c r="I106" s="37"/>
      <c r="J106" s="41">
        <v>108</v>
      </c>
      <c r="K106" s="50" t="s">
        <v>1043</v>
      </c>
      <c r="L106" s="561">
        <f t="shared" si="9"/>
        <v>0</v>
      </c>
      <c r="P106" s="307"/>
      <c r="X106" s="558"/>
      <c r="Y106" s="558"/>
      <c r="Z106" s="3" t="s">
        <v>1029</v>
      </c>
    </row>
    <row r="107" spans="1:26" ht="60" customHeight="1" x14ac:dyDescent="0.3">
      <c r="A107" s="559">
        <f>'Unit Data from Audit Worksheet'!A118</f>
        <v>41</v>
      </c>
      <c r="B107" s="53" t="str">
        <f>'Unit Data from Audit Worksheet'!C118</f>
        <v>Revenue, Expenses, Changes in Net Position</v>
      </c>
      <c r="C107" s="560" t="str">
        <f>'Unit Data from Audit Worksheet'!D118</f>
        <v xml:space="preserve">Interest Expense - Enter as a positive </v>
      </c>
      <c r="D107" s="345"/>
      <c r="E107" s="149">
        <f>'Unit Data from Audit Worksheet'!F118</f>
        <v>0</v>
      </c>
      <c r="F107" s="46"/>
      <c r="G107" s="70"/>
      <c r="H107" s="338"/>
      <c r="I107" s="37"/>
      <c r="J107" s="41">
        <v>41</v>
      </c>
      <c r="K107" s="50" t="s">
        <v>1044</v>
      </c>
      <c r="L107" s="561">
        <f t="shared" si="9"/>
        <v>0</v>
      </c>
      <c r="P107" s="307"/>
      <c r="X107" s="558"/>
      <c r="Y107" s="558"/>
      <c r="Z107" s="3" t="s">
        <v>1029</v>
      </c>
    </row>
    <row r="108" spans="1:26" ht="60" customHeight="1" x14ac:dyDescent="0.3">
      <c r="A108" s="559">
        <f>'Unit Data from Audit Worksheet'!A119</f>
        <v>194</v>
      </c>
      <c r="B108" s="53" t="str">
        <f>'Unit Data from Audit Worksheet'!C119</f>
        <v>Revenue, Expenses, Changes in Net Position</v>
      </c>
      <c r="C108" s="560" t="str">
        <f>'Unit Data from Audit Worksheet'!D119</f>
        <v xml:space="preserve">Capital Contributions </v>
      </c>
      <c r="D108" s="345"/>
      <c r="E108" s="149">
        <f>'Unit Data from Audit Worksheet'!F119</f>
        <v>0</v>
      </c>
      <c r="F108" s="46"/>
      <c r="G108" s="70"/>
      <c r="H108" s="338"/>
      <c r="I108" s="37"/>
      <c r="J108" s="41">
        <v>194</v>
      </c>
      <c r="K108" s="50" t="s">
        <v>1037</v>
      </c>
      <c r="L108" s="561">
        <f t="shared" si="9"/>
        <v>0</v>
      </c>
      <c r="P108" s="307"/>
      <c r="X108" s="558"/>
      <c r="Y108" s="558"/>
      <c r="Z108" s="3" t="s">
        <v>1029</v>
      </c>
    </row>
    <row r="109" spans="1:26" ht="60" customHeight="1" x14ac:dyDescent="0.3">
      <c r="A109" s="559">
        <f>'Unit Data from Audit Worksheet'!A120</f>
        <v>294</v>
      </c>
      <c r="B109" s="53" t="str">
        <f>'Unit Data from Audit Worksheet'!C120</f>
        <v>Revenue, Expenses, Changes in Net Position</v>
      </c>
      <c r="C109" s="560" t="str">
        <f>'Unit Data from Audit Worksheet'!D120</f>
        <v>Change in Net Position</v>
      </c>
      <c r="D109" s="345"/>
      <c r="E109" s="149">
        <f>'Unit Data from Audit Worksheet'!F120</f>
        <v>0</v>
      </c>
      <c r="F109" s="46"/>
      <c r="G109" s="70"/>
      <c r="H109" s="338"/>
      <c r="I109" s="37"/>
      <c r="J109" s="41">
        <v>294</v>
      </c>
      <c r="K109" s="50" t="s">
        <v>1038</v>
      </c>
      <c r="L109" s="561">
        <f t="shared" si="9"/>
        <v>0</v>
      </c>
      <c r="P109" s="307"/>
      <c r="X109" s="558"/>
      <c r="Y109" s="558"/>
      <c r="Z109" s="3" t="s">
        <v>1029</v>
      </c>
    </row>
    <row r="110" spans="1:26" ht="60" customHeight="1" x14ac:dyDescent="0.3">
      <c r="A110" s="559">
        <f>'Unit Data from Audit Worksheet'!A123</f>
        <v>31</v>
      </c>
      <c r="B110" s="53" t="str">
        <f>'Unit Data from Audit Worksheet'!C123</f>
        <v>Combined Totals of all Proprietary Funds - Revenue, Expenses, Changes in Net Position</v>
      </c>
      <c r="C110" s="560" t="str">
        <f>'Unit Data from Audit Worksheet'!D123</f>
        <v>Combined Totals of all Proprietary Funds - Change in net position - (increase in net position is recorded as a positive and a decrease in net position is recorded as a negative)</v>
      </c>
      <c r="D110" s="345"/>
      <c r="E110" s="149">
        <f>'Unit Data from Audit Worksheet'!F123</f>
        <v>0</v>
      </c>
      <c r="F110" s="46"/>
      <c r="G110" s="70"/>
      <c r="H110" s="338"/>
      <c r="I110" s="37"/>
      <c r="J110" s="41">
        <v>31</v>
      </c>
      <c r="K110" s="50" t="s">
        <v>1020</v>
      </c>
      <c r="L110" s="561">
        <f t="shared" si="9"/>
        <v>0</v>
      </c>
      <c r="P110" s="307"/>
      <c r="X110" s="558"/>
      <c r="Y110" s="558"/>
    </row>
    <row r="111" spans="1:26" ht="60" customHeight="1" x14ac:dyDescent="0.3">
      <c r="A111" s="559" t="str">
        <f>'Unit Data from Audit Worksheet'!A124</f>
        <v>193</v>
      </c>
      <c r="B111" s="53" t="str">
        <f>'Unit Data from Audit Worksheet'!C124</f>
        <v>Combined Proprietary Funds - Change in Cash Flow Statement</v>
      </c>
      <c r="C111" s="560" t="str">
        <f>'Unit Data from Audit Worksheet'!D124</f>
        <v>Combined Totals of all Proprietary Funds - Capital Contributions</v>
      </c>
      <c r="D111" s="345"/>
      <c r="E111" s="149">
        <f>'Unit Data from Audit Worksheet'!F124</f>
        <v>0</v>
      </c>
      <c r="F111" s="46"/>
      <c r="G111" s="70"/>
      <c r="H111" s="338"/>
      <c r="I111" s="37"/>
      <c r="J111" s="41">
        <v>193</v>
      </c>
      <c r="K111" s="50" t="s">
        <v>297</v>
      </c>
      <c r="L111" s="561">
        <f t="shared" si="9"/>
        <v>0</v>
      </c>
      <c r="P111" s="307"/>
      <c r="X111" s="558"/>
      <c r="Y111" s="558"/>
    </row>
    <row r="112" spans="1:26" ht="60" customHeight="1" x14ac:dyDescent="0.3">
      <c r="A112" s="559" t="str">
        <f>'Unit Data from Audit Worksheet'!A125</f>
        <v>33</v>
      </c>
      <c r="B112" s="53" t="str">
        <f>'Unit Data from Audit Worksheet'!C125</f>
        <v>Combined Proprietary Funds - Change in Cash Flow Statement</v>
      </c>
      <c r="C112" s="560" t="str">
        <f>'Unit Data from Audit Worksheet'!D125</f>
        <v>Combined Totals of all Proprietary Funds - Cash Flow from Operating</v>
      </c>
      <c r="D112" s="345"/>
      <c r="E112" s="149">
        <f>'Unit Data from Audit Worksheet'!F125</f>
        <v>0</v>
      </c>
      <c r="F112" s="46"/>
      <c r="G112" s="70"/>
      <c r="H112" s="338"/>
      <c r="I112" s="37"/>
      <c r="J112" s="41">
        <v>33</v>
      </c>
      <c r="K112" s="50" t="s">
        <v>293</v>
      </c>
      <c r="L112" s="561">
        <f t="shared" si="9"/>
        <v>0</v>
      </c>
      <c r="P112" s="307"/>
      <c r="X112" s="558"/>
      <c r="Y112" s="558"/>
    </row>
    <row r="113" spans="1:26" ht="60" customHeight="1" x14ac:dyDescent="0.3">
      <c r="A113" s="559">
        <f>'Unit Data from Audit Worksheet'!A126</f>
        <v>104</v>
      </c>
      <c r="B113" s="53" t="str">
        <f>'Unit Data from Audit Worksheet'!C126</f>
        <v>Cash Flows</v>
      </c>
      <c r="C113" s="560" t="str">
        <f>'Unit Data from Audit Worksheet'!D126</f>
        <v>Capital Outlays</v>
      </c>
      <c r="D113" s="141"/>
      <c r="E113" s="149">
        <f>'Unit Data from Audit Worksheet'!F126</f>
        <v>0</v>
      </c>
      <c r="F113" s="46"/>
      <c r="G113" s="70"/>
      <c r="H113" s="338"/>
      <c r="I113" s="37"/>
      <c r="J113" s="41">
        <v>104</v>
      </c>
      <c r="K113" s="50" t="s">
        <v>1040</v>
      </c>
      <c r="L113" s="561">
        <f t="shared" si="9"/>
        <v>0</v>
      </c>
      <c r="P113" s="307"/>
      <c r="X113" s="558"/>
      <c r="Y113" s="558"/>
      <c r="Z113" s="3" t="s">
        <v>1029</v>
      </c>
    </row>
    <row r="114" spans="1:26" ht="60" customHeight="1" x14ac:dyDescent="0.3">
      <c r="A114" s="559">
        <f>'Unit Data from Audit Worksheet'!A127</f>
        <v>39</v>
      </c>
      <c r="B114" s="53" t="str">
        <f>'Unit Data from Audit Worksheet'!C127</f>
        <v>Cash Flows</v>
      </c>
      <c r="C114" s="560" t="str">
        <f>'Unit Data from Audit Worksheet'!D127</f>
        <v>Principal Paid - Long-term Debt</v>
      </c>
      <c r="D114" s="141"/>
      <c r="E114" s="149">
        <f>'Unit Data from Audit Worksheet'!F127</f>
        <v>0</v>
      </c>
      <c r="F114" s="46"/>
      <c r="G114" s="70"/>
      <c r="H114" s="338"/>
      <c r="I114" s="37"/>
      <c r="J114" s="41">
        <v>39</v>
      </c>
      <c r="K114" s="50" t="s">
        <v>1041</v>
      </c>
      <c r="L114" s="561">
        <f t="shared" si="9"/>
        <v>0</v>
      </c>
      <c r="P114" s="307"/>
      <c r="X114" s="558"/>
      <c r="Y114" s="558"/>
      <c r="Z114" s="3" t="s">
        <v>1029</v>
      </c>
    </row>
    <row r="115" spans="1:26" ht="60" customHeight="1" x14ac:dyDescent="0.3">
      <c r="A115" s="326">
        <f>'Unit Data from Audit Worksheet'!A131</f>
        <v>596</v>
      </c>
      <c r="B115" s="340"/>
      <c r="C115" s="325" t="str">
        <f>'Unit Data from Audit Worksheet'!D131</f>
        <v>Indicate if your water/sewer system:
50 - Became Operational
51 - Ceased Operations
52 - No Change</v>
      </c>
      <c r="D115" s="141"/>
      <c r="E115" s="346">
        <f>'Unit Data from Audit Worksheet'!F131</f>
        <v>0</v>
      </c>
      <c r="F115" s="339"/>
      <c r="G115" s="339"/>
      <c r="H115" s="338">
        <f>'Unit Data from Audit Worksheet'!I131</f>
        <v>0</v>
      </c>
      <c r="I115" s="37"/>
      <c r="J115" s="337">
        <v>596</v>
      </c>
      <c r="K115" s="336" t="s">
        <v>358</v>
      </c>
      <c r="L115" s="561">
        <f t="shared" si="9"/>
        <v>0</v>
      </c>
      <c r="P115" s="308"/>
      <c r="W115" s="3" t="b">
        <f t="shared" si="10"/>
        <v>1</v>
      </c>
      <c r="X115" s="558">
        <f t="shared" si="1"/>
        <v>0</v>
      </c>
      <c r="Y115" s="558">
        <f t="shared" si="2"/>
        <v>0</v>
      </c>
    </row>
    <row r="116" spans="1:26" ht="43.2" x14ac:dyDescent="0.3">
      <c r="A116" s="326">
        <f>'Unit Data from Audit Worksheet'!A132</f>
        <v>80</v>
      </c>
      <c r="B116" s="340" t="str">
        <f>'Unit Data from Audit Worksheet'!C132</f>
        <v>Water Sewer Net Position Statement</v>
      </c>
      <c r="C116" s="325" t="str">
        <f>'Unit Data from Audit Worksheet'!D132</f>
        <v>Unrestricted Cash and investments 
Exclude restricted cash and/or restricted investments.</v>
      </c>
      <c r="D116" s="141"/>
      <c r="E116" s="346">
        <f>'Unit Data from Audit Worksheet'!F132</f>
        <v>0</v>
      </c>
      <c r="F116" s="339">
        <f>IF(L116&lt;0,"Error: Number is normally positive.",)</f>
        <v>0</v>
      </c>
      <c r="G116" s="339" t="e">
        <f>'Unit Data from Audit Worksheet'!G132</f>
        <v>#N/A</v>
      </c>
      <c r="H116" s="338">
        <f>'Unit Data from Audit Worksheet'!I132</f>
        <v>0</v>
      </c>
      <c r="I116" s="37"/>
      <c r="J116" s="337">
        <v>80</v>
      </c>
      <c r="K116" s="336" t="s">
        <v>218</v>
      </c>
      <c r="L116" s="561">
        <f t="shared" si="9"/>
        <v>0</v>
      </c>
      <c r="P116" s="308"/>
      <c r="W116" s="3" t="b">
        <f t="shared" si="10"/>
        <v>1</v>
      </c>
      <c r="X116" s="558">
        <f t="shared" si="1"/>
        <v>0</v>
      </c>
      <c r="Y116" s="558">
        <f t="shared" si="2"/>
        <v>0</v>
      </c>
    </row>
    <row r="117" spans="1:26" ht="43.2" x14ac:dyDescent="0.3">
      <c r="A117" s="326">
        <f>'Unit Data from Audit Worksheet'!A133</f>
        <v>81</v>
      </c>
      <c r="B117" s="340" t="str">
        <f>'Unit Data from Audit Worksheet'!C133</f>
        <v>Water Sewer Net Position Statement</v>
      </c>
      <c r="C117" s="325" t="str">
        <f>'Unit Data from Audit Worksheet'!D133</f>
        <v>Customer accounts receivable (net of allowance accounts). 
Include both billed and unbilled amounts.</v>
      </c>
      <c r="D117" s="141"/>
      <c r="E117" s="346">
        <f>'Unit Data from Audit Worksheet'!F133</f>
        <v>0</v>
      </c>
      <c r="F117" s="339">
        <f>IF(L117&lt;0,"Error: Number is normally positive.",)</f>
        <v>0</v>
      </c>
      <c r="G117" s="341"/>
      <c r="H117" s="338">
        <f>'Unit Data from Audit Worksheet'!I133</f>
        <v>0</v>
      </c>
      <c r="I117" s="37"/>
      <c r="J117" s="337">
        <v>81</v>
      </c>
      <c r="K117" s="336" t="s">
        <v>219</v>
      </c>
      <c r="L117" s="561">
        <f t="shared" si="9"/>
        <v>0</v>
      </c>
      <c r="P117" s="308"/>
      <c r="W117" s="3" t="b">
        <f t="shared" si="10"/>
        <v>1</v>
      </c>
      <c r="X117" s="558">
        <f t="shared" ref="X117:X181" si="12">E117-L117</f>
        <v>0</v>
      </c>
      <c r="Y117" s="558">
        <f t="shared" ref="Y117:Y181" si="13">D117-L117</f>
        <v>0</v>
      </c>
    </row>
    <row r="118" spans="1:26" ht="68.25" customHeight="1" x14ac:dyDescent="0.3">
      <c r="A118" s="326">
        <f>'Unit Data from Audit Worksheet'!A134</f>
        <v>579</v>
      </c>
      <c r="B118" s="340" t="str">
        <f>'Unit Data from Audit Worksheet'!C134</f>
        <v>Water Sewer Net Position Statement</v>
      </c>
      <c r="C118" s="325" t="str">
        <f>'Unit Data from Audit Worksheet'!D134</f>
        <v>Water Sewer - Advance To:
Interfund loan receivable-portion of repayment plan longer than 12 months</v>
      </c>
      <c r="D118" s="141"/>
      <c r="E118" s="346">
        <f>'Unit Data from Audit Worksheet'!F134</f>
        <v>0</v>
      </c>
      <c r="F118" s="339"/>
      <c r="G118" s="341"/>
      <c r="H118" s="338"/>
      <c r="I118" s="37"/>
      <c r="J118" s="337">
        <v>579</v>
      </c>
      <c r="K118" s="336" t="s">
        <v>336</v>
      </c>
      <c r="L118" s="561">
        <f t="shared" si="9"/>
        <v>0</v>
      </c>
      <c r="N118" s="585"/>
      <c r="P118" s="308"/>
      <c r="W118" s="3" t="b">
        <f t="shared" si="10"/>
        <v>1</v>
      </c>
      <c r="X118" s="558">
        <f t="shared" si="12"/>
        <v>0</v>
      </c>
      <c r="Y118" s="558">
        <f t="shared" si="13"/>
        <v>0</v>
      </c>
    </row>
    <row r="119" spans="1:26" ht="47.25" customHeight="1" x14ac:dyDescent="0.3">
      <c r="A119" s="326">
        <f>'Unit Data from Audit Worksheet'!A135</f>
        <v>510</v>
      </c>
      <c r="B119" s="340" t="str">
        <f>'Unit Data from Audit Worksheet'!C135</f>
        <v>Water Sewer Net Position Statement</v>
      </c>
      <c r="C119" s="325" t="str">
        <f>'Unit Data from Audit Worksheet'!D135</f>
        <v>Amount of Inventories and Prepaid expenses in current assets</v>
      </c>
      <c r="D119" s="141"/>
      <c r="E119" s="346">
        <f>'Unit Data from Audit Worksheet'!F135</f>
        <v>0</v>
      </c>
      <c r="F119" s="339"/>
      <c r="G119" s="341"/>
      <c r="H119" s="338">
        <f>'Unit Data from Audit Worksheet'!I135</f>
        <v>0</v>
      </c>
      <c r="I119" s="37"/>
      <c r="J119" s="337">
        <v>510</v>
      </c>
      <c r="K119" s="336" t="s">
        <v>220</v>
      </c>
      <c r="L119" s="561">
        <f t="shared" si="9"/>
        <v>0</v>
      </c>
      <c r="P119" s="308"/>
      <c r="W119" s="3" t="b">
        <f t="shared" si="10"/>
        <v>1</v>
      </c>
      <c r="X119" s="558">
        <f t="shared" si="12"/>
        <v>0</v>
      </c>
      <c r="Y119" s="558">
        <f t="shared" si="13"/>
        <v>0</v>
      </c>
    </row>
    <row r="120" spans="1:26" ht="43.2" x14ac:dyDescent="0.3">
      <c r="A120" s="326">
        <f>'Unit Data from Audit Worksheet'!A136</f>
        <v>654</v>
      </c>
      <c r="B120" s="340" t="str">
        <f>'Unit Data from Audit Worksheet'!C136</f>
        <v>Water Sewer Net Position Statement</v>
      </c>
      <c r="C120" s="325" t="str">
        <f>'Unit Data from Audit Worksheet'!D136</f>
        <v xml:space="preserve">Total Current assets as listed on the WS Net Position Statement.  
</v>
      </c>
      <c r="D120" s="141"/>
      <c r="E120" s="346">
        <f>'Unit Data from Audit Worksheet'!F136</f>
        <v>0</v>
      </c>
      <c r="F120" s="339">
        <f>IF((+L116+L117+L119)&gt;L120,"Please review components of current assets above Acct. (80+81+510&gt;654",)</f>
        <v>0</v>
      </c>
      <c r="G120" s="341" t="str">
        <f>IF(Q120=1," Included in error count"," ")</f>
        <v xml:space="preserve"> </v>
      </c>
      <c r="H120" s="338">
        <f>'Unit Data from Audit Worksheet'!I136</f>
        <v>0</v>
      </c>
      <c r="I120" s="37"/>
      <c r="J120" s="337">
        <v>654</v>
      </c>
      <c r="K120" s="343" t="s">
        <v>493</v>
      </c>
      <c r="L120" s="561">
        <f t="shared" si="9"/>
        <v>0</v>
      </c>
      <c r="P120" s="308"/>
      <c r="Q120" s="551">
        <f>IF((+L116+L117+L119)&gt;L120,1,0)</f>
        <v>0</v>
      </c>
      <c r="W120" s="3" t="b">
        <f t="shared" si="10"/>
        <v>1</v>
      </c>
      <c r="X120" s="558">
        <f t="shared" si="12"/>
        <v>0</v>
      </c>
      <c r="Y120" s="558">
        <f t="shared" si="13"/>
        <v>0</v>
      </c>
    </row>
    <row r="121" spans="1:26" ht="43.2" x14ac:dyDescent="0.3">
      <c r="A121" s="326">
        <f>'Unit Data from Audit Worksheet'!A137</f>
        <v>655</v>
      </c>
      <c r="B121" s="340" t="str">
        <f>'Unit Data from Audit Worksheet'!C137</f>
        <v>Water Sewer Net Position Statement</v>
      </c>
      <c r="C121" s="325" t="str">
        <f>'Unit Data from Audit Worksheet'!D137</f>
        <v>WS-Any current assets that are restricted (Cash, Accounts Rec., etc..) and included in account 654 above</v>
      </c>
      <c r="D121" s="141"/>
      <c r="E121" s="346">
        <f>'Unit Data from Audit Worksheet'!F137</f>
        <v>0</v>
      </c>
      <c r="F121" s="339"/>
      <c r="G121" s="341"/>
      <c r="H121" s="338"/>
      <c r="I121" s="37"/>
      <c r="J121" s="337">
        <v>655</v>
      </c>
      <c r="K121" s="343" t="s">
        <v>536</v>
      </c>
      <c r="L121" s="561">
        <f t="shared" si="9"/>
        <v>0</v>
      </c>
      <c r="P121" s="308"/>
      <c r="W121" s="3" t="b">
        <f t="shared" si="10"/>
        <v>1</v>
      </c>
      <c r="X121" s="558">
        <f t="shared" si="12"/>
        <v>0</v>
      </c>
      <c r="Y121" s="558">
        <f t="shared" si="13"/>
        <v>0</v>
      </c>
    </row>
    <row r="122" spans="1:26" ht="42.75" customHeight="1" x14ac:dyDescent="0.3">
      <c r="A122" s="326">
        <f>'Unit Data from Audit Worksheet'!A138</f>
        <v>381</v>
      </c>
      <c r="B122" s="340" t="str">
        <f>'Unit Data from Audit Worksheet'!C138</f>
        <v>Water Sewer Net Position Statement</v>
      </c>
      <c r="C122" s="325" t="str">
        <f>'Unit Data from Audit Worksheet'!D138</f>
        <v>Total Assets and deferred outflows</v>
      </c>
      <c r="D122" s="141"/>
      <c r="E122" s="346">
        <f>'Unit Data from Audit Worksheet'!F138</f>
        <v>0</v>
      </c>
      <c r="F122" s="339" t="str">
        <f>IF(L122&lt;L120,"Please review components of current assets above acct. 381&lt;654"," ")</f>
        <v xml:space="preserve"> </v>
      </c>
      <c r="G122" s="341" t="str">
        <f>IF(Q122=1," Included in error count"," ")</f>
        <v xml:space="preserve"> </v>
      </c>
      <c r="H122" s="338">
        <f>'Unit Data from Audit Worksheet'!I138</f>
        <v>0</v>
      </c>
      <c r="I122" s="37"/>
      <c r="J122" s="337">
        <v>381</v>
      </c>
      <c r="K122" s="336" t="s">
        <v>113</v>
      </c>
      <c r="L122" s="561">
        <f t="shared" si="9"/>
        <v>0</v>
      </c>
      <c r="P122" s="308"/>
      <c r="Q122" s="551">
        <f>IF(L122&lt;L120,1,0)</f>
        <v>0</v>
      </c>
      <c r="W122" s="3" t="b">
        <f t="shared" si="10"/>
        <v>1</v>
      </c>
      <c r="X122" s="558">
        <f t="shared" si="12"/>
        <v>0</v>
      </c>
      <c r="Y122" s="558">
        <f t="shared" si="13"/>
        <v>0</v>
      </c>
    </row>
    <row r="123" spans="1:26" ht="60.75" customHeight="1" x14ac:dyDescent="0.3">
      <c r="A123" s="573">
        <f>'Unit Data from Audit Worksheet'!A139</f>
        <v>578</v>
      </c>
      <c r="B123" s="114" t="str">
        <f>'Unit Data from Audit Worksheet'!C139</f>
        <v>Water Sewer Net Position Statement</v>
      </c>
      <c r="C123" s="563" t="str">
        <f>'Unit Data from Audit Worksheet'!D139</f>
        <v>Water Sewer - Advance From: 
Interfund loan Payable-portion of repayment plan longer than 12 months</v>
      </c>
      <c r="D123" s="107"/>
      <c r="E123" s="152">
        <f>'Unit Data from Audit Worksheet'!F139</f>
        <v>0</v>
      </c>
      <c r="F123" s="108"/>
      <c r="G123" s="109"/>
      <c r="H123" s="110"/>
      <c r="I123" s="37"/>
      <c r="J123" s="103">
        <v>578</v>
      </c>
      <c r="K123" s="43" t="s">
        <v>337</v>
      </c>
      <c r="L123" s="561">
        <f t="shared" si="9"/>
        <v>0</v>
      </c>
      <c r="P123" s="309"/>
      <c r="Q123" s="342"/>
      <c r="W123" s="3" t="b">
        <f t="shared" si="10"/>
        <v>1</v>
      </c>
      <c r="X123" s="558">
        <f t="shared" si="12"/>
        <v>0</v>
      </c>
      <c r="Y123" s="558">
        <f t="shared" si="13"/>
        <v>0</v>
      </c>
    </row>
    <row r="124" spans="1:26" s="18" customFormat="1" ht="104.25" customHeight="1" x14ac:dyDescent="0.3">
      <c r="A124" s="299">
        <v>633</v>
      </c>
      <c r="B124" s="353" t="str">
        <f>'Unit Data from Audit Worksheet'!C140</f>
        <v>Water Sewer Net Position Statement</v>
      </c>
      <c r="C124" s="299" t="str">
        <f>'Unit Data from Audit Worksheet'!D140</f>
        <v>Current liabilities (as reported on the Statement of Fund Net Position)
Include:   Current liabilities including current portion of long-term debt.  Deferred inflows should not be included in Current Liabilities  
Enter as positive</v>
      </c>
      <c r="D124" s="107"/>
      <c r="E124" s="352">
        <f>'Unit Data from Audit Worksheet'!F140</f>
        <v>0</v>
      </c>
      <c r="F124" s="334" t="str">
        <f>IF(L124&gt;=(L125+L126+L127+L128+L129+L130),"","Account 633 is less than the total sum of accounts 634 through 638 + 383")</f>
        <v/>
      </c>
      <c r="G124" s="319">
        <f>L124-(L125+L126+L127+L128+L129+L130)</f>
        <v>0</v>
      </c>
      <c r="H124" s="334"/>
      <c r="I124" s="574"/>
      <c r="J124" s="333">
        <v>633</v>
      </c>
      <c r="K124" s="302" t="s">
        <v>428</v>
      </c>
      <c r="L124" s="575">
        <f>IF(D124="",E124,D124)</f>
        <v>0</v>
      </c>
      <c r="M124" s="565"/>
      <c r="N124" s="565"/>
      <c r="O124" s="565"/>
      <c r="P124" s="310"/>
      <c r="Q124" s="566"/>
      <c r="R124" s="3"/>
      <c r="S124" s="565"/>
      <c r="T124" s="565"/>
      <c r="U124" s="565"/>
      <c r="V124" s="565"/>
      <c r="W124" s="18" t="b">
        <f t="shared" si="10"/>
        <v>1</v>
      </c>
      <c r="X124" s="567">
        <f t="shared" si="12"/>
        <v>0</v>
      </c>
      <c r="Y124" s="567">
        <f t="shared" si="13"/>
        <v>0</v>
      </c>
    </row>
    <row r="125" spans="1:26" s="18" customFormat="1" ht="130.5" customHeight="1" x14ac:dyDescent="0.3">
      <c r="A125" s="299">
        <v>634</v>
      </c>
      <c r="B125" s="353" t="str">
        <f>'Unit Data from Audit Worksheet'!C141</f>
        <v>Water Sewer Net Position Statement</v>
      </c>
      <c r="C125" s="299" t="str">
        <f>'Unit Data from Audit Worksheet'!D141</f>
        <v>Please enter any bond anticipation notes that are classified as current liabilities and included in account 633 above (amounts entered should agree to the current amount included in the changes to long-term debt note)
Enter as positive</v>
      </c>
      <c r="D125" s="107"/>
      <c r="E125" s="352">
        <f>'Unit Data from Audit Worksheet'!F141</f>
        <v>0</v>
      </c>
      <c r="F125" s="334"/>
      <c r="G125" s="319"/>
      <c r="H125" s="334"/>
      <c r="I125" s="574"/>
      <c r="J125" s="333">
        <v>634</v>
      </c>
      <c r="K125" s="302" t="s">
        <v>429</v>
      </c>
      <c r="L125" s="575">
        <f>IF(D125="",E125,D125)</f>
        <v>0</v>
      </c>
      <c r="M125" s="565"/>
      <c r="N125" s="565"/>
      <c r="O125" s="565"/>
      <c r="P125" s="310"/>
      <c r="Q125" s="566"/>
      <c r="R125" s="3"/>
      <c r="S125" s="565"/>
      <c r="T125" s="565"/>
      <c r="U125" s="565"/>
      <c r="V125" s="565"/>
      <c r="W125" s="18" t="b">
        <f t="shared" si="10"/>
        <v>1</v>
      </c>
      <c r="X125" s="567">
        <f t="shared" si="12"/>
        <v>0</v>
      </c>
      <c r="Y125" s="567">
        <f t="shared" si="13"/>
        <v>0</v>
      </c>
    </row>
    <row r="126" spans="1:26" s="18" customFormat="1" ht="105.75" customHeight="1" x14ac:dyDescent="0.3">
      <c r="A126" s="299">
        <v>635</v>
      </c>
      <c r="B126" s="353" t="str">
        <f>'Unit Data from Audit Worksheet'!C142</f>
        <v>Water Sewer Net Position Statement</v>
      </c>
      <c r="C126" s="299" t="str">
        <f>'Unit Data from Audit Worksheet'!D142</f>
        <v>Please enter any compensated absences that are classified as current liabilities and included in account 633 above (amounts entered should agree to the current amount included in the changes to long-term debt note)
Enter as positive</v>
      </c>
      <c r="D126" s="107"/>
      <c r="E126" s="352">
        <f>'Unit Data from Audit Worksheet'!F142</f>
        <v>0</v>
      </c>
      <c r="F126" s="334"/>
      <c r="G126" s="319"/>
      <c r="H126" s="334"/>
      <c r="I126" s="574"/>
      <c r="J126" s="333">
        <v>635</v>
      </c>
      <c r="K126" s="302" t="s">
        <v>430</v>
      </c>
      <c r="L126" s="575">
        <f>IF(D126="",E126,D126)</f>
        <v>0</v>
      </c>
      <c r="M126" s="565"/>
      <c r="N126" s="565"/>
      <c r="O126" s="565"/>
      <c r="P126" s="310"/>
      <c r="Q126" s="566"/>
      <c r="R126" s="3"/>
      <c r="S126" s="565"/>
      <c r="T126" s="565"/>
      <c r="U126" s="565"/>
      <c r="V126" s="565"/>
      <c r="W126" s="18" t="b">
        <f t="shared" si="10"/>
        <v>1</v>
      </c>
      <c r="X126" s="567">
        <f t="shared" si="12"/>
        <v>0</v>
      </c>
      <c r="Y126" s="567">
        <f t="shared" si="13"/>
        <v>0</v>
      </c>
    </row>
    <row r="127" spans="1:26" s="18" customFormat="1" ht="105.75" customHeight="1" x14ac:dyDescent="0.3">
      <c r="A127" s="299">
        <v>636</v>
      </c>
      <c r="B127" s="353" t="str">
        <f>'Unit Data from Audit Worksheet'!C143</f>
        <v>Water Sewer Net Position Statement</v>
      </c>
      <c r="C127" s="299" t="str">
        <f>'Unit Data from Audit Worksheet'!D143</f>
        <v>Please enter any pension liabilities that are classified as current liabilities and included in account 633 above (amounts entered should agree to the current amount included in the changes to long-term debt note)
Enter as positive</v>
      </c>
      <c r="D127" s="107"/>
      <c r="E127" s="352">
        <f>'Unit Data from Audit Worksheet'!F143</f>
        <v>0</v>
      </c>
      <c r="F127" s="334"/>
      <c r="G127" s="319"/>
      <c r="H127" s="334"/>
      <c r="I127" s="574"/>
      <c r="J127" s="333">
        <v>636</v>
      </c>
      <c r="K127" s="302" t="s">
        <v>425</v>
      </c>
      <c r="L127" s="575">
        <f t="shared" ref="L127:L137" si="14">IF(D127="",E127,D127)</f>
        <v>0</v>
      </c>
      <c r="M127" s="565"/>
      <c r="N127" s="565"/>
      <c r="O127" s="565"/>
      <c r="P127" s="310"/>
      <c r="Q127" s="566"/>
      <c r="R127" s="3"/>
      <c r="S127" s="565"/>
      <c r="T127" s="565"/>
      <c r="U127" s="565"/>
      <c r="V127" s="565"/>
      <c r="W127" s="18" t="b">
        <f t="shared" si="10"/>
        <v>1</v>
      </c>
      <c r="X127" s="567">
        <f t="shared" si="12"/>
        <v>0</v>
      </c>
      <c r="Y127" s="567">
        <f t="shared" si="13"/>
        <v>0</v>
      </c>
    </row>
    <row r="128" spans="1:26" s="18" customFormat="1" ht="59.25" customHeight="1" x14ac:dyDescent="0.3">
      <c r="A128" s="299">
        <v>637</v>
      </c>
      <c r="B128" s="353" t="str">
        <f>'Unit Data from Audit Worksheet'!C144</f>
        <v>Water Sewer Net Position Statement</v>
      </c>
      <c r="C128" s="299" t="str">
        <f>'Unit Data from Audit Worksheet'!D144</f>
        <v>Please enter any current liabilities that are payable from restricted assets and included in account 633 above.
Enter as positive</v>
      </c>
      <c r="D128" s="107"/>
      <c r="E128" s="352">
        <f>'Unit Data from Audit Worksheet'!F144</f>
        <v>0</v>
      </c>
      <c r="F128" s="334"/>
      <c r="G128" s="319"/>
      <c r="H128" s="334"/>
      <c r="I128" s="574"/>
      <c r="J128" s="333">
        <v>637</v>
      </c>
      <c r="K128" s="302" t="s">
        <v>426</v>
      </c>
      <c r="L128" s="575">
        <f t="shared" si="14"/>
        <v>0</v>
      </c>
      <c r="M128" s="565"/>
      <c r="N128" s="565"/>
      <c r="O128" s="565"/>
      <c r="P128" s="310"/>
      <c r="Q128" s="566"/>
      <c r="R128" s="3"/>
      <c r="S128" s="565"/>
      <c r="T128" s="565"/>
      <c r="U128" s="565"/>
      <c r="V128" s="565"/>
      <c r="W128" s="18" t="b">
        <f t="shared" si="10"/>
        <v>1</v>
      </c>
      <c r="X128" s="567">
        <f t="shared" si="12"/>
        <v>0</v>
      </c>
      <c r="Y128" s="567">
        <f t="shared" si="13"/>
        <v>0</v>
      </c>
    </row>
    <row r="129" spans="1:25" s="18" customFormat="1" ht="103.5" customHeight="1" x14ac:dyDescent="0.3">
      <c r="A129" s="299">
        <v>638</v>
      </c>
      <c r="B129" s="353" t="str">
        <f>'Unit Data from Audit Worksheet'!C145</f>
        <v>Water Sewer Net Position Statement</v>
      </c>
      <c r="C129" s="299" t="str">
        <f>'Unit Data from Audit Worksheet'!D145</f>
        <v>Please enter any OPEB liabilities that are classified as current liabilities and included in account 633 above (amounts entered should agree to the current amount included in the changes to long-term debt note)
Enter as positive</v>
      </c>
      <c r="D129" s="107"/>
      <c r="E129" s="352">
        <f>'Unit Data from Audit Worksheet'!F145</f>
        <v>0</v>
      </c>
      <c r="F129" s="334"/>
      <c r="G129" s="319"/>
      <c r="H129" s="334"/>
      <c r="I129" s="574"/>
      <c r="J129" s="333">
        <v>638</v>
      </c>
      <c r="K129" s="302" t="s">
        <v>431</v>
      </c>
      <c r="L129" s="575">
        <f t="shared" si="14"/>
        <v>0</v>
      </c>
      <c r="M129" s="565"/>
      <c r="N129" s="565"/>
      <c r="O129" s="565"/>
      <c r="P129" s="310"/>
      <c r="Q129" s="566"/>
      <c r="R129" s="3"/>
      <c r="S129" s="565"/>
      <c r="T129" s="565"/>
      <c r="U129" s="565"/>
      <c r="V129" s="565"/>
      <c r="W129" s="18" t="b">
        <f t="shared" si="10"/>
        <v>1</v>
      </c>
      <c r="X129" s="567">
        <f t="shared" si="12"/>
        <v>0</v>
      </c>
      <c r="Y129" s="567">
        <f t="shared" si="13"/>
        <v>0</v>
      </c>
    </row>
    <row r="130" spans="1:25" ht="76.5" customHeight="1" x14ac:dyDescent="0.3">
      <c r="A130" s="559">
        <f>'Unit Data from Audit Worksheet'!A146</f>
        <v>383</v>
      </c>
      <c r="B130" s="53" t="str">
        <f>'Unit Data from Audit Worksheet'!C146</f>
        <v>Water Sewer Net Position Statement</v>
      </c>
      <c r="C130" s="560" t="str">
        <f>'Unit Data from Audit Worksheet'!D146</f>
        <v>Unearned revenue (arising from cash receipts) that were included in Current Liabilities in the question in account 633 above.
Enter as positive</v>
      </c>
      <c r="D130" s="141"/>
      <c r="E130" s="149">
        <f>'Unit Data from Audit Worksheet'!F146</f>
        <v>0</v>
      </c>
      <c r="F130" s="46">
        <f>IF(L130&lt;0,"Error: Enter as a positive.",)</f>
        <v>0</v>
      </c>
      <c r="G130" s="70"/>
      <c r="H130" s="338">
        <f>'Unit Data from Audit Worksheet'!I146</f>
        <v>0</v>
      </c>
      <c r="I130" s="37"/>
      <c r="J130" s="41">
        <v>383</v>
      </c>
      <c r="K130" s="50" t="s">
        <v>221</v>
      </c>
      <c r="L130" s="561">
        <f t="shared" si="14"/>
        <v>0</v>
      </c>
      <c r="P130" s="307"/>
      <c r="W130" s="3" t="b">
        <f t="shared" si="10"/>
        <v>1</v>
      </c>
      <c r="X130" s="558">
        <f t="shared" si="12"/>
        <v>0</v>
      </c>
      <c r="Y130" s="558">
        <f t="shared" si="13"/>
        <v>0</v>
      </c>
    </row>
    <row r="131" spans="1:25" ht="54" customHeight="1" x14ac:dyDescent="0.3">
      <c r="A131" s="326">
        <f>'Unit Data from Audit Worksheet'!A147</f>
        <v>349</v>
      </c>
      <c r="B131" s="340" t="str">
        <f>'Unit Data from Audit Worksheet'!C147</f>
        <v>Water Sewer Net Position Statement</v>
      </c>
      <c r="C131" s="325" t="str">
        <f>'Unit Data from Audit Worksheet'!D147</f>
        <v>Total Liabilities and deferred inflows</v>
      </c>
      <c r="D131" s="141"/>
      <c r="E131" s="346">
        <f>'Unit Data from Audit Worksheet'!F147</f>
        <v>0</v>
      </c>
      <c r="F131" s="339">
        <f>IF(L124&gt;L131,"Error: Please review accts 633&gt;349",)</f>
        <v>0</v>
      </c>
      <c r="G131" s="341" t="str">
        <f>IF(Q131=1," Included in error count"," ")</f>
        <v xml:space="preserve"> </v>
      </c>
      <c r="H131" s="338">
        <f>'Unit Data from Audit Worksheet'!I147</f>
        <v>0</v>
      </c>
      <c r="I131" s="37"/>
      <c r="J131" s="337">
        <v>349</v>
      </c>
      <c r="K131" s="336" t="s">
        <v>122</v>
      </c>
      <c r="L131" s="561">
        <f t="shared" si="14"/>
        <v>0</v>
      </c>
      <c r="P131" s="308"/>
      <c r="Q131" s="551">
        <f>IF(L124&gt;L131,1,0)</f>
        <v>0</v>
      </c>
      <c r="W131" s="3" t="b">
        <f t="shared" si="10"/>
        <v>1</v>
      </c>
      <c r="X131" s="558">
        <f t="shared" si="12"/>
        <v>0</v>
      </c>
      <c r="Y131" s="558">
        <f t="shared" si="13"/>
        <v>0</v>
      </c>
    </row>
    <row r="132" spans="1:25" ht="56.25" customHeight="1" x14ac:dyDescent="0.3">
      <c r="A132" s="326">
        <f>'Unit Data from Audit Worksheet'!A148</f>
        <v>375</v>
      </c>
      <c r="B132" s="340" t="str">
        <f>'Unit Data from Audit Worksheet'!C148</f>
        <v>Water Sewer Net Position Statement</v>
      </c>
      <c r="C132" s="325" t="str">
        <f>'Unit Data from Audit Worksheet'!D148</f>
        <v>Total Net position, Unrestricted - enter negative unrestricted net position as a negative</v>
      </c>
      <c r="D132" s="141"/>
      <c r="E132" s="346">
        <f>'Unit Data from Audit Worksheet'!F148</f>
        <v>0</v>
      </c>
      <c r="F132" s="339"/>
      <c r="G132" s="341"/>
      <c r="H132" s="338">
        <f>'Unit Data from Audit Worksheet'!I148</f>
        <v>0</v>
      </c>
      <c r="I132" s="37"/>
      <c r="J132" s="337">
        <v>375</v>
      </c>
      <c r="K132" s="336" t="s">
        <v>222</v>
      </c>
      <c r="L132" s="561">
        <f t="shared" si="14"/>
        <v>0</v>
      </c>
      <c r="P132" s="308"/>
      <c r="W132" s="3" t="b">
        <f t="shared" si="10"/>
        <v>1</v>
      </c>
      <c r="X132" s="558">
        <f t="shared" si="12"/>
        <v>0</v>
      </c>
      <c r="Y132" s="558">
        <f t="shared" si="13"/>
        <v>0</v>
      </c>
    </row>
    <row r="133" spans="1:25" ht="56.25" customHeight="1" x14ac:dyDescent="0.3">
      <c r="A133" s="326">
        <f>'Unit Data from Audit Worksheet'!A149</f>
        <v>83</v>
      </c>
      <c r="B133" s="340" t="str">
        <f>'Unit Data from Audit Worksheet'!C149</f>
        <v>Water Sewer Net Position Statement</v>
      </c>
      <c r="C133" s="325" t="str">
        <f>'Unit Data from Audit Worksheet'!D149</f>
        <v>Total Net position</v>
      </c>
      <c r="D133" s="141"/>
      <c r="E133" s="346">
        <f>'Unit Data from Audit Worksheet'!F149</f>
        <v>0</v>
      </c>
      <c r="F133" s="339">
        <f>IF(+L122-L131-L133=0,,"Error: Total assets less total liabilities do not equal net position acct 381-349-83=0")</f>
        <v>0</v>
      </c>
      <c r="G133" s="89">
        <f>L122-L131-L133</f>
        <v>0</v>
      </c>
      <c r="H133" s="338">
        <f>'Unit Data from Audit Worksheet'!I149</f>
        <v>0</v>
      </c>
      <c r="I133" s="37"/>
      <c r="J133" s="337">
        <v>83</v>
      </c>
      <c r="K133" s="336" t="s">
        <v>102</v>
      </c>
      <c r="L133" s="561">
        <f t="shared" si="14"/>
        <v>0</v>
      </c>
      <c r="O133" s="569" t="e">
        <f>'Unit Data from Audit Worksheet'!E149</f>
        <v>#N/A</v>
      </c>
      <c r="P133" s="308"/>
      <c r="Q133" s="551">
        <f>IF(G133&lt;&gt;0,1,0)</f>
        <v>0</v>
      </c>
      <c r="W133" s="3" t="b">
        <f t="shared" ref="W133:W164" si="15">EXACT(A133,J133)</f>
        <v>1</v>
      </c>
      <c r="X133" s="558">
        <f t="shared" si="12"/>
        <v>0</v>
      </c>
      <c r="Y133" s="558">
        <f t="shared" si="13"/>
        <v>0</v>
      </c>
    </row>
    <row r="134" spans="1:25" ht="56.25" customHeight="1" x14ac:dyDescent="0.3">
      <c r="A134" s="326">
        <f>'Unit Data from Audit Worksheet'!A151</f>
        <v>90</v>
      </c>
      <c r="B134" s="340" t="str">
        <f>'Unit Data from Audit Worksheet'!C151</f>
        <v>Electric Fund Net Position Statement</v>
      </c>
      <c r="C134" s="325" t="str">
        <f>'Unit Data from Audit Worksheet'!D151</f>
        <v>All Unrestricted Cash and Investments.  
Exclude any restricted cash and investments.</v>
      </c>
      <c r="D134" s="141"/>
      <c r="E134" s="346">
        <f>'Unit Data from Audit Worksheet'!F151</f>
        <v>0</v>
      </c>
      <c r="F134" s="339">
        <f>IF(L134&lt;0,"Error: Number is normally positive.",)</f>
        <v>0</v>
      </c>
      <c r="G134" s="341"/>
      <c r="H134" s="338">
        <f>'Unit Data from Audit Worksheet'!I151</f>
        <v>0</v>
      </c>
      <c r="I134" s="37"/>
      <c r="J134" s="337">
        <v>90</v>
      </c>
      <c r="K134" s="336" t="s">
        <v>223</v>
      </c>
      <c r="L134" s="561">
        <f t="shared" si="14"/>
        <v>0</v>
      </c>
      <c r="P134" s="308"/>
      <c r="W134" s="3" t="b">
        <f t="shared" si="15"/>
        <v>1</v>
      </c>
      <c r="X134" s="558">
        <f t="shared" si="12"/>
        <v>0</v>
      </c>
      <c r="Y134" s="558">
        <f t="shared" si="13"/>
        <v>0</v>
      </c>
    </row>
    <row r="135" spans="1:25" ht="56.25" customHeight="1" x14ac:dyDescent="0.3">
      <c r="A135" s="326">
        <f>'Unit Data from Audit Worksheet'!A152</f>
        <v>91</v>
      </c>
      <c r="B135" s="340" t="str">
        <f>'Unit Data from Audit Worksheet'!C152</f>
        <v>Electric Fund Net Position Statement</v>
      </c>
      <c r="C135" s="325" t="str">
        <f>'Unit Data from Audit Worksheet'!D152</f>
        <v xml:space="preserve">Customer accounts receivable (net of allowance accounts)
Include billed and unbilled amounts </v>
      </c>
      <c r="D135" s="141"/>
      <c r="E135" s="346">
        <f>'Unit Data from Audit Worksheet'!F152</f>
        <v>0</v>
      </c>
      <c r="F135" s="339">
        <f>IF(L135&lt;0,"Error: Number is normally positive.",)</f>
        <v>0</v>
      </c>
      <c r="G135" s="341"/>
      <c r="H135" s="338">
        <f>'Unit Data from Audit Worksheet'!I152</f>
        <v>0</v>
      </c>
      <c r="I135" s="37"/>
      <c r="J135" s="337">
        <v>91</v>
      </c>
      <c r="K135" s="336" t="s">
        <v>224</v>
      </c>
      <c r="L135" s="561">
        <f t="shared" si="14"/>
        <v>0</v>
      </c>
      <c r="P135" s="308"/>
      <c r="W135" s="3" t="b">
        <f t="shared" si="15"/>
        <v>1</v>
      </c>
      <c r="X135" s="558">
        <f t="shared" si="12"/>
        <v>0</v>
      </c>
      <c r="Y135" s="558">
        <f t="shared" si="13"/>
        <v>0</v>
      </c>
    </row>
    <row r="136" spans="1:25" ht="56.25" customHeight="1" x14ac:dyDescent="0.3">
      <c r="A136" s="326">
        <f>'Unit Data from Audit Worksheet'!A153</f>
        <v>581</v>
      </c>
      <c r="B136" s="340" t="str">
        <f>'Unit Data from Audit Worksheet'!C153</f>
        <v>Electric Fund Net Position Statement</v>
      </c>
      <c r="C136" s="325" t="str">
        <f>'Unit Data from Audit Worksheet'!D153</f>
        <v>Electric Fund - Advance To:
Interfund loan receivable-portion of repayment plan longer than 12 months</v>
      </c>
      <c r="D136" s="141"/>
      <c r="E136" s="346">
        <f>'Unit Data from Audit Worksheet'!F153</f>
        <v>0</v>
      </c>
      <c r="F136" s="339"/>
      <c r="G136" s="341"/>
      <c r="H136" s="338"/>
      <c r="I136" s="37"/>
      <c r="J136" s="337">
        <v>581</v>
      </c>
      <c r="K136" s="336" t="s">
        <v>338</v>
      </c>
      <c r="L136" s="561">
        <f t="shared" si="14"/>
        <v>0</v>
      </c>
      <c r="P136" s="308"/>
      <c r="W136" s="3" t="b">
        <f t="shared" si="15"/>
        <v>1</v>
      </c>
      <c r="X136" s="558">
        <f t="shared" si="12"/>
        <v>0</v>
      </c>
      <c r="Y136" s="558">
        <f t="shared" si="13"/>
        <v>0</v>
      </c>
    </row>
    <row r="137" spans="1:25" ht="56.25" customHeight="1" x14ac:dyDescent="0.3">
      <c r="A137" s="326">
        <f>'Unit Data from Audit Worksheet'!A154</f>
        <v>511</v>
      </c>
      <c r="B137" s="340" t="str">
        <f>'Unit Data from Audit Worksheet'!C154</f>
        <v>Electric Fund Net Position Statement</v>
      </c>
      <c r="C137" s="325" t="str">
        <f>'Unit Data from Audit Worksheet'!D154</f>
        <v>Amount of inventories and prepaids</v>
      </c>
      <c r="D137" s="141"/>
      <c r="E137" s="346">
        <f>'Unit Data from Audit Worksheet'!F154</f>
        <v>0</v>
      </c>
      <c r="F137" s="339">
        <f t="shared" ref="F137:F142" si="16">IF(L137&lt;0,"Error: Number is normally positive.",)</f>
        <v>0</v>
      </c>
      <c r="G137" s="341"/>
      <c r="H137" s="338">
        <f>'Unit Data from Audit Worksheet'!I154</f>
        <v>0</v>
      </c>
      <c r="I137" s="37"/>
      <c r="J137" s="337">
        <v>511</v>
      </c>
      <c r="K137" s="336" t="s">
        <v>225</v>
      </c>
      <c r="L137" s="561">
        <f t="shared" si="14"/>
        <v>0</v>
      </c>
      <c r="P137" s="308"/>
      <c r="W137" s="3" t="b">
        <f t="shared" si="15"/>
        <v>1</v>
      </c>
      <c r="X137" s="558">
        <f t="shared" si="12"/>
        <v>0</v>
      </c>
      <c r="Y137" s="558">
        <f t="shared" si="13"/>
        <v>0</v>
      </c>
    </row>
    <row r="138" spans="1:25" ht="62.25" customHeight="1" x14ac:dyDescent="0.3">
      <c r="A138" s="326">
        <f>'Unit Data from Audit Worksheet'!A155</f>
        <v>657</v>
      </c>
      <c r="B138" s="340" t="str">
        <f>'Unit Data from Audit Worksheet'!C155</f>
        <v>Electric Fund Net Position Statement</v>
      </c>
      <c r="C138" s="325" t="str">
        <f>'Unit Data from Audit Worksheet'!D155</f>
        <v xml:space="preserve">Total Current assets as listed on the Electric Net Position Statement.  
</v>
      </c>
      <c r="D138" s="141"/>
      <c r="E138" s="346">
        <f>'Unit Data from Audit Worksheet'!F155</f>
        <v>0</v>
      </c>
      <c r="F138" s="339">
        <f t="shared" si="16"/>
        <v>0</v>
      </c>
      <c r="G138" s="341"/>
      <c r="H138" s="338">
        <f>'Unit Data from Audit Worksheet'!I155</f>
        <v>0</v>
      </c>
      <c r="I138" s="37"/>
      <c r="J138" s="337">
        <v>657</v>
      </c>
      <c r="K138" s="336" t="s">
        <v>498</v>
      </c>
      <c r="L138" s="575">
        <f>IF(D138="",E138,D138)</f>
        <v>0</v>
      </c>
      <c r="P138" s="308"/>
      <c r="Q138" s="551">
        <f>IF((L134+L135+L137)&gt;L140,1,0)</f>
        <v>0</v>
      </c>
      <c r="W138" s="3" t="b">
        <f t="shared" si="15"/>
        <v>1</v>
      </c>
      <c r="X138" s="558">
        <f t="shared" si="12"/>
        <v>0</v>
      </c>
      <c r="Y138" s="558">
        <f t="shared" si="13"/>
        <v>0</v>
      </c>
    </row>
    <row r="139" spans="1:25" ht="62.25" customHeight="1" x14ac:dyDescent="0.3">
      <c r="A139" s="326">
        <f>'Unit Data from Audit Worksheet'!A156</f>
        <v>658</v>
      </c>
      <c r="B139" s="340" t="str">
        <f>'Unit Data from Audit Worksheet'!C156</f>
        <v>Electric Fund Net Position Statement</v>
      </c>
      <c r="C139" s="325" t="str">
        <f>'Unit Data from Audit Worksheet'!D156</f>
        <v>Electric-Any current assets that are restricted (Cash, Accounts Rec., etc..) and included in account 657 above</v>
      </c>
      <c r="D139" s="141"/>
      <c r="E139" s="346">
        <f>'Unit Data from Audit Worksheet'!F156</f>
        <v>0</v>
      </c>
      <c r="F139" s="339">
        <f t="shared" si="16"/>
        <v>0</v>
      </c>
      <c r="G139" s="341"/>
      <c r="H139" s="338"/>
      <c r="I139" s="37"/>
      <c r="J139" s="337">
        <v>658</v>
      </c>
      <c r="K139" s="336" t="s">
        <v>535</v>
      </c>
      <c r="L139" s="575">
        <f>IF(D139="",E139,D139)</f>
        <v>0</v>
      </c>
      <c r="P139" s="308"/>
      <c r="W139" s="3" t="b">
        <f t="shared" si="15"/>
        <v>1</v>
      </c>
      <c r="X139" s="558">
        <f t="shared" si="12"/>
        <v>0</v>
      </c>
      <c r="Y139" s="558">
        <f t="shared" si="13"/>
        <v>0</v>
      </c>
    </row>
    <row r="140" spans="1:25" ht="39.75" customHeight="1" x14ac:dyDescent="0.3">
      <c r="A140" s="326">
        <f>'Unit Data from Audit Worksheet'!A157</f>
        <v>382</v>
      </c>
      <c r="B140" s="340" t="str">
        <f>'Unit Data from Audit Worksheet'!C157</f>
        <v>Electric Fund Net Position Statement</v>
      </c>
      <c r="C140" s="325" t="str">
        <f>'Unit Data from Audit Worksheet'!D157</f>
        <v>Total Assets and deferred outflows</v>
      </c>
      <c r="D140" s="141"/>
      <c r="E140" s="346">
        <f>'Unit Data from Audit Worksheet'!F157</f>
        <v>0</v>
      </c>
      <c r="F140" s="339">
        <f t="shared" si="16"/>
        <v>0</v>
      </c>
      <c r="G140" s="341"/>
      <c r="H140" s="338">
        <f>'Unit Data from Audit Worksheet'!I157</f>
        <v>0</v>
      </c>
      <c r="I140" s="37"/>
      <c r="J140" s="337">
        <v>382</v>
      </c>
      <c r="K140" s="336" t="s">
        <v>114</v>
      </c>
      <c r="L140" s="561">
        <f>IF(D140="",E140,D140)</f>
        <v>0</v>
      </c>
      <c r="P140" s="308"/>
      <c r="W140" s="3" t="b">
        <f t="shared" si="15"/>
        <v>1</v>
      </c>
      <c r="X140" s="558">
        <f t="shared" si="12"/>
        <v>0</v>
      </c>
      <c r="Y140" s="558">
        <f t="shared" si="13"/>
        <v>0</v>
      </c>
    </row>
    <row r="141" spans="1:25" ht="39.75" customHeight="1" x14ac:dyDescent="0.3">
      <c r="A141" s="326">
        <f>'Unit Data from Audit Worksheet'!A158</f>
        <v>360</v>
      </c>
      <c r="B141" s="340" t="str">
        <f>'Unit Data from Audit Worksheet'!C158</f>
        <v>Electric Fund Net Position Statement</v>
      </c>
      <c r="C141" s="325" t="str">
        <f>'Unit Data from Audit Worksheet'!D158</f>
        <v>Total liabilities and total deferred inflows</v>
      </c>
      <c r="D141" s="141"/>
      <c r="E141" s="346">
        <f>'Unit Data from Audit Worksheet'!F158</f>
        <v>0</v>
      </c>
      <c r="F141" s="339">
        <f t="shared" si="16"/>
        <v>0</v>
      </c>
      <c r="G141" s="341"/>
      <c r="H141" s="338">
        <f>'Unit Data from Audit Worksheet'!I158</f>
        <v>0</v>
      </c>
      <c r="I141" s="37"/>
      <c r="J141" s="337">
        <v>360</v>
      </c>
      <c r="K141" s="106" t="s">
        <v>125</v>
      </c>
      <c r="L141" s="561">
        <f>IF(D141="",E141,D141)</f>
        <v>0</v>
      </c>
      <c r="P141" s="308"/>
      <c r="W141" s="3" t="b">
        <f t="shared" si="15"/>
        <v>1</v>
      </c>
      <c r="X141" s="558">
        <f t="shared" si="12"/>
        <v>0</v>
      </c>
      <c r="Y141" s="558">
        <f t="shared" si="13"/>
        <v>0</v>
      </c>
    </row>
    <row r="142" spans="1:25" ht="58.5" customHeight="1" x14ac:dyDescent="0.3">
      <c r="A142" s="326">
        <f>'Unit Data from Audit Worksheet'!A159</f>
        <v>580</v>
      </c>
      <c r="B142" s="340" t="str">
        <f>'Unit Data from Audit Worksheet'!C159</f>
        <v>Electric Fund Net Position Statement</v>
      </c>
      <c r="C142" s="325" t="str">
        <f>'Unit Data from Audit Worksheet'!D159</f>
        <v>Electric Fund - Advance From:
Interfund loans payable-portion of repayment plan longer than 12 months</v>
      </c>
      <c r="D142" s="141"/>
      <c r="E142" s="346">
        <f>'Unit Data from Audit Worksheet'!F159</f>
        <v>0</v>
      </c>
      <c r="F142" s="339">
        <f t="shared" si="16"/>
        <v>0</v>
      </c>
      <c r="G142" s="341"/>
      <c r="H142" s="338">
        <f>'Unit Data from Audit Worksheet'!I159</f>
        <v>0</v>
      </c>
      <c r="I142" s="37"/>
      <c r="J142" s="337">
        <v>580</v>
      </c>
      <c r="K142" s="106" t="s">
        <v>339</v>
      </c>
      <c r="L142" s="561">
        <f>IF(D142="",E142,D142)</f>
        <v>0</v>
      </c>
      <c r="N142" s="570"/>
      <c r="P142" s="308"/>
      <c r="W142" s="3" t="b">
        <f t="shared" si="15"/>
        <v>1</v>
      </c>
      <c r="X142" s="558">
        <f t="shared" si="12"/>
        <v>0</v>
      </c>
      <c r="Y142" s="558">
        <f t="shared" si="13"/>
        <v>0</v>
      </c>
    </row>
    <row r="143" spans="1:25" s="18" customFormat="1" ht="104.25" customHeight="1" x14ac:dyDescent="0.3">
      <c r="A143" s="326">
        <f>'Unit Data from Audit Worksheet'!A160</f>
        <v>639</v>
      </c>
      <c r="B143" s="340" t="str">
        <f>'Unit Data from Audit Worksheet'!C160</f>
        <v>Electric Fund Net Position Statement</v>
      </c>
      <c r="C143" s="325" t="str">
        <f>'Unit Data from Audit Worksheet'!D160</f>
        <v>Current liabilities (as reported on the Statement of Fund Net Position)
Include:   Current liabilities including current portion of long-term debt.  Deferred inflows should not be included in Current Liabilities   
Enter as a positive</v>
      </c>
      <c r="D143" s="141"/>
      <c r="E143" s="346">
        <f>'Unit Data from Audit Worksheet'!F160</f>
        <v>0</v>
      </c>
      <c r="F143" s="339" t="str">
        <f>IF(L143&gt;=(L144+L145+L146+L147+L148+L149),"","Account 639 is less than the total sum of accounts 640 through 644 + 384")</f>
        <v/>
      </c>
      <c r="G143" s="341">
        <f>L143-(L144+L145+L146+L147+L148+L149)</f>
        <v>0</v>
      </c>
      <c r="H143" s="338">
        <f>'Unit Data from Audit Worksheet'!I160</f>
        <v>0</v>
      </c>
      <c r="I143" s="37"/>
      <c r="J143" s="337">
        <v>639</v>
      </c>
      <c r="K143" s="336" t="s">
        <v>432</v>
      </c>
      <c r="L143" s="575">
        <f t="shared" ref="L143:L164" si="17">IF(D143="",E143,D143)</f>
        <v>0</v>
      </c>
      <c r="P143" s="308"/>
      <c r="Q143" s="551"/>
      <c r="R143" s="3"/>
      <c r="W143" s="18" t="b">
        <f t="shared" si="15"/>
        <v>1</v>
      </c>
      <c r="X143" s="567">
        <f t="shared" si="12"/>
        <v>0</v>
      </c>
      <c r="Y143" s="567">
        <f t="shared" si="13"/>
        <v>0</v>
      </c>
    </row>
    <row r="144" spans="1:25" s="18" customFormat="1" ht="104.25" customHeight="1" x14ac:dyDescent="0.3">
      <c r="A144" s="326">
        <f>'Unit Data from Audit Worksheet'!A161</f>
        <v>640</v>
      </c>
      <c r="B144" s="340" t="str">
        <f>'Unit Data from Audit Worksheet'!C161</f>
        <v>Electric Fund Net Position Statement</v>
      </c>
      <c r="C144" s="325" t="str">
        <f>'Unit Data from Audit Worksheet'!D161</f>
        <v>Please enter any bond anticipation notes that are classified as current liabilities and included in account 639 above (amounts entered should agree to the current amount included in the changes to long-term debt note)
Enter as a positive</v>
      </c>
      <c r="D144" s="141"/>
      <c r="E144" s="346">
        <f>'Unit Data from Audit Worksheet'!F161</f>
        <v>0</v>
      </c>
      <c r="F144" s="339">
        <f t="shared" ref="F144:F149" si="18">IF(L144&lt;0,"Error: Number is normally positive.",)</f>
        <v>0</v>
      </c>
      <c r="G144" s="341"/>
      <c r="H144" s="338">
        <f>'Unit Data from Audit Worksheet'!I161</f>
        <v>0</v>
      </c>
      <c r="I144" s="37"/>
      <c r="J144" s="337">
        <v>640</v>
      </c>
      <c r="K144" s="336" t="s">
        <v>433</v>
      </c>
      <c r="L144" s="575">
        <f t="shared" si="17"/>
        <v>0</v>
      </c>
      <c r="P144" s="308"/>
      <c r="Q144" s="551"/>
      <c r="R144" s="3"/>
      <c r="W144" s="18" t="b">
        <f t="shared" si="15"/>
        <v>1</v>
      </c>
      <c r="X144" s="567">
        <f t="shared" si="12"/>
        <v>0</v>
      </c>
      <c r="Y144" s="567">
        <f t="shared" si="13"/>
        <v>0</v>
      </c>
    </row>
    <row r="145" spans="1:25" s="18" customFormat="1" ht="104.25" customHeight="1" x14ac:dyDescent="0.3">
      <c r="A145" s="326">
        <f>'Unit Data from Audit Worksheet'!A162</f>
        <v>641</v>
      </c>
      <c r="B145" s="340" t="str">
        <f>'Unit Data from Audit Worksheet'!C162</f>
        <v>Electric Fund Net Position Statement</v>
      </c>
      <c r="C145" s="325" t="str">
        <f>'Unit Data from Audit Worksheet'!D162</f>
        <v>Please enter any compensated absences that are classified as current liabilities and included in account 639 above (amounts entered should agree to the current amount included in the changes to long-term debt note)
Enter as a positive</v>
      </c>
      <c r="D145" s="141"/>
      <c r="E145" s="346">
        <f>'Unit Data from Audit Worksheet'!F162</f>
        <v>0</v>
      </c>
      <c r="F145" s="339">
        <f t="shared" si="18"/>
        <v>0</v>
      </c>
      <c r="G145" s="341"/>
      <c r="H145" s="338">
        <f>'Unit Data from Audit Worksheet'!I162</f>
        <v>0</v>
      </c>
      <c r="I145" s="37"/>
      <c r="J145" s="337">
        <v>641</v>
      </c>
      <c r="K145" s="336" t="s">
        <v>434</v>
      </c>
      <c r="L145" s="575">
        <f t="shared" si="17"/>
        <v>0</v>
      </c>
      <c r="P145" s="308"/>
      <c r="Q145" s="551"/>
      <c r="R145" s="3"/>
      <c r="W145" s="18" t="b">
        <f t="shared" si="15"/>
        <v>1</v>
      </c>
      <c r="X145" s="567">
        <f t="shared" si="12"/>
        <v>0</v>
      </c>
      <c r="Y145" s="567">
        <f t="shared" si="13"/>
        <v>0</v>
      </c>
    </row>
    <row r="146" spans="1:25" s="18" customFormat="1" ht="104.25" customHeight="1" x14ac:dyDescent="0.3">
      <c r="A146" s="326">
        <f>'Unit Data from Audit Worksheet'!A163</f>
        <v>642</v>
      </c>
      <c r="B146" s="340" t="str">
        <f>'Unit Data from Audit Worksheet'!C163</f>
        <v>Electric Fund Net Position Statement</v>
      </c>
      <c r="C146" s="325" t="str">
        <f>'Unit Data from Audit Worksheet'!D163</f>
        <v>Please enter any pension liabilities that are classified as current liabilities and included account in 639 above (amounts entered should agree to the current amount included in the changes to long-term debt note)
Enter as a positive</v>
      </c>
      <c r="D146" s="141"/>
      <c r="E146" s="346">
        <f>'Unit Data from Audit Worksheet'!F163</f>
        <v>0</v>
      </c>
      <c r="F146" s="339">
        <f t="shared" si="18"/>
        <v>0</v>
      </c>
      <c r="G146" s="341"/>
      <c r="H146" s="338">
        <f>'Unit Data from Audit Worksheet'!I163</f>
        <v>0</v>
      </c>
      <c r="I146" s="37"/>
      <c r="J146" s="337">
        <v>642</v>
      </c>
      <c r="K146" s="336" t="s">
        <v>435</v>
      </c>
      <c r="L146" s="575">
        <f t="shared" si="17"/>
        <v>0</v>
      </c>
      <c r="P146" s="308"/>
      <c r="Q146" s="551"/>
      <c r="R146" s="3"/>
      <c r="W146" s="18" t="b">
        <f t="shared" si="15"/>
        <v>1</v>
      </c>
      <c r="X146" s="567">
        <f t="shared" si="12"/>
        <v>0</v>
      </c>
      <c r="Y146" s="567">
        <f t="shared" si="13"/>
        <v>0</v>
      </c>
    </row>
    <row r="147" spans="1:25" s="18" customFormat="1" ht="60.75" customHeight="1" x14ac:dyDescent="0.3">
      <c r="A147" s="326">
        <f>'Unit Data from Audit Worksheet'!A164</f>
        <v>643</v>
      </c>
      <c r="B147" s="340" t="str">
        <f>'Unit Data from Audit Worksheet'!C164</f>
        <v>Electric Fund Net Position Statement</v>
      </c>
      <c r="C147" s="325" t="str">
        <f>'Unit Data from Audit Worksheet'!D164</f>
        <v>Please enter any current liabilities that are payable from restricted assets and included in account 639 above. 
Enter as a positive</v>
      </c>
      <c r="D147" s="141"/>
      <c r="E147" s="346">
        <f>'Unit Data from Audit Worksheet'!F164</f>
        <v>0</v>
      </c>
      <c r="F147" s="339">
        <f t="shared" si="18"/>
        <v>0</v>
      </c>
      <c r="G147" s="341"/>
      <c r="H147" s="338">
        <f>'Unit Data from Audit Worksheet'!I164</f>
        <v>0</v>
      </c>
      <c r="I147" s="37"/>
      <c r="J147" s="337">
        <v>643</v>
      </c>
      <c r="K147" s="336" t="s">
        <v>436</v>
      </c>
      <c r="L147" s="575">
        <f t="shared" si="17"/>
        <v>0</v>
      </c>
      <c r="P147" s="308"/>
      <c r="Q147" s="551"/>
      <c r="R147" s="3"/>
      <c r="W147" s="18" t="b">
        <f t="shared" si="15"/>
        <v>1</v>
      </c>
      <c r="X147" s="567">
        <f t="shared" si="12"/>
        <v>0</v>
      </c>
      <c r="Y147" s="567">
        <f t="shared" si="13"/>
        <v>0</v>
      </c>
    </row>
    <row r="148" spans="1:25" s="18" customFormat="1" ht="102" customHeight="1" x14ac:dyDescent="0.3">
      <c r="A148" s="326">
        <f>'Unit Data from Audit Worksheet'!A165</f>
        <v>644</v>
      </c>
      <c r="B148" s="340" t="str">
        <f>'Unit Data from Audit Worksheet'!C165</f>
        <v>Electric Fund Net Position Statement</v>
      </c>
      <c r="C148" s="325" t="str">
        <f>'Unit Data from Audit Worksheet'!D165</f>
        <v>Please enter any OPEB liabilities that are classified as current liabilities and included in account 639 above (amounts entered should agree to the current amount included in the changes to long-term debt note)
Enter as a positive</v>
      </c>
      <c r="D148" s="141"/>
      <c r="E148" s="346">
        <f>'Unit Data from Audit Worksheet'!F165</f>
        <v>0</v>
      </c>
      <c r="F148" s="339">
        <f t="shared" si="18"/>
        <v>0</v>
      </c>
      <c r="G148" s="341"/>
      <c r="H148" s="338">
        <f>'Unit Data from Audit Worksheet'!I165</f>
        <v>0</v>
      </c>
      <c r="I148" s="37"/>
      <c r="J148" s="269">
        <v>644</v>
      </c>
      <c r="K148" s="336" t="s">
        <v>437</v>
      </c>
      <c r="L148" s="575">
        <f t="shared" si="17"/>
        <v>0</v>
      </c>
      <c r="P148" s="311"/>
      <c r="Q148" s="551"/>
      <c r="R148" s="3"/>
      <c r="W148" s="18" t="b">
        <f t="shared" si="15"/>
        <v>1</v>
      </c>
      <c r="X148" s="567">
        <f t="shared" si="12"/>
        <v>0</v>
      </c>
      <c r="Y148" s="567">
        <f t="shared" si="13"/>
        <v>0</v>
      </c>
    </row>
    <row r="149" spans="1:25" ht="63.75" customHeight="1" x14ac:dyDescent="0.3">
      <c r="A149" s="326">
        <f>+'Unit Data from Audit Worksheet'!A166</f>
        <v>384</v>
      </c>
      <c r="B149" s="326" t="str">
        <f>+'Unit Data from Audit Worksheet'!C166</f>
        <v>Electric Fund Net Position Statement</v>
      </c>
      <c r="C149" s="326" t="str">
        <f>+'Unit Data from Audit Worksheet'!D166</f>
        <v>Unearned revenue (arising from cash receipts) that were included in Current Liabilities in account 639 above.
Enter as a positive</v>
      </c>
      <c r="D149" s="141"/>
      <c r="E149" s="346">
        <f>+'Unit Data from Audit Worksheet'!F166</f>
        <v>0</v>
      </c>
      <c r="F149" s="339">
        <f t="shared" si="18"/>
        <v>0</v>
      </c>
      <c r="G149" s="341"/>
      <c r="H149" s="338">
        <f>'Unit Data from Audit Worksheet'!I166</f>
        <v>0</v>
      </c>
      <c r="I149" s="37"/>
      <c r="J149" s="337">
        <v>384</v>
      </c>
      <c r="K149" s="57" t="s">
        <v>124</v>
      </c>
      <c r="L149" s="561">
        <f t="shared" si="17"/>
        <v>0</v>
      </c>
      <c r="P149" s="308"/>
      <c r="W149" s="3" t="b">
        <f t="shared" si="15"/>
        <v>1</v>
      </c>
      <c r="X149" s="558">
        <f t="shared" si="12"/>
        <v>0</v>
      </c>
      <c r="Y149" s="558">
        <f t="shared" si="13"/>
        <v>0</v>
      </c>
    </row>
    <row r="150" spans="1:25" ht="86.4" x14ac:dyDescent="0.3">
      <c r="A150" s="326">
        <f>+'Unit Data from Audit Worksheet'!A167</f>
        <v>361</v>
      </c>
      <c r="B150" s="326" t="str">
        <f>+'Unit Data from Audit Worksheet'!C167</f>
        <v>Electric Fund Net Position Statement</v>
      </c>
      <c r="C150" s="326" t="str">
        <f>+'Unit Data from Audit Worksheet'!D167</f>
        <v>Total net position, unrestricted - Amount of negative unrestricted net position should be entered as a negative amount and the amount of positive unrestricted net position should be entered as a positive amount.</v>
      </c>
      <c r="D150" s="141"/>
      <c r="E150" s="346">
        <f>+'Unit Data from Audit Worksheet'!F167</f>
        <v>0</v>
      </c>
      <c r="F150" s="339"/>
      <c r="G150" s="341"/>
      <c r="H150" s="338">
        <f>'Unit Data from Audit Worksheet'!I167</f>
        <v>0</v>
      </c>
      <c r="I150" s="37"/>
      <c r="J150" s="337">
        <v>361</v>
      </c>
      <c r="K150" s="336" t="s">
        <v>106</v>
      </c>
      <c r="L150" s="561">
        <f t="shared" si="17"/>
        <v>0</v>
      </c>
      <c r="P150" s="308"/>
      <c r="W150" s="3" t="b">
        <f t="shared" si="15"/>
        <v>1</v>
      </c>
      <c r="X150" s="558">
        <f t="shared" si="12"/>
        <v>0</v>
      </c>
      <c r="Y150" s="558">
        <f t="shared" si="13"/>
        <v>0</v>
      </c>
    </row>
    <row r="151" spans="1:25" ht="46.5" customHeight="1" x14ac:dyDescent="0.3">
      <c r="A151" s="326">
        <f>'Unit Data from Audit Worksheet'!A168</f>
        <v>362</v>
      </c>
      <c r="B151" s="340" t="str">
        <f>'Unit Data from Audit Worksheet'!C168</f>
        <v>Electric Fund Net Position Statement</v>
      </c>
      <c r="C151" s="325" t="str">
        <f>'Unit Data from Audit Worksheet'!D168</f>
        <v>Total net position</v>
      </c>
      <c r="D151" s="141"/>
      <c r="E151" s="346">
        <f>'Unit Data from Audit Worksheet'!F168</f>
        <v>0</v>
      </c>
      <c r="F151" s="339">
        <f>IF(L140-L141-L151=0,,"Error: Total assets less total liabilities do not equal net position acct 382-360-362=0")</f>
        <v>0</v>
      </c>
      <c r="G151" s="89">
        <f>+L140-L141-L151</f>
        <v>0</v>
      </c>
      <c r="H151" s="338">
        <f>'Unit Data from Audit Worksheet'!I168</f>
        <v>0</v>
      </c>
      <c r="I151" s="37"/>
      <c r="J151" s="337">
        <v>362</v>
      </c>
      <c r="K151" s="336" t="s">
        <v>107</v>
      </c>
      <c r="L151" s="561">
        <f t="shared" si="17"/>
        <v>0</v>
      </c>
      <c r="O151" s="569" t="e">
        <f>'Unit Data from Audit Worksheet'!E168</f>
        <v>#N/A</v>
      </c>
      <c r="P151" s="308"/>
      <c r="Q151" s="551">
        <f>IF(+L140-L141-L151=0,0,1)</f>
        <v>0</v>
      </c>
      <c r="W151" s="3" t="b">
        <f t="shared" si="15"/>
        <v>1</v>
      </c>
      <c r="X151" s="558">
        <f t="shared" si="12"/>
        <v>0</v>
      </c>
      <c r="Y151" s="558">
        <f t="shared" si="13"/>
        <v>0</v>
      </c>
    </row>
    <row r="152" spans="1:25" ht="61.5" customHeight="1" x14ac:dyDescent="0.3">
      <c r="A152" s="326">
        <f>'Unit Data from Audit Worksheet'!A171</f>
        <v>88</v>
      </c>
      <c r="B152" s="340" t="str">
        <f>'Unit Data from Audit Worksheet'!C171</f>
        <v>Water Sewer Revenue, Expenses &amp; Changes in Fund Net Position</v>
      </c>
      <c r="C152" s="325" t="str">
        <f>'Unit Data from Audit Worksheet'!D171</f>
        <v>Charges for services. 
Exclude tap, capacity fees and other misc. income .</v>
      </c>
      <c r="D152" s="141"/>
      <c r="E152" s="346">
        <f>'Unit Data from Audit Worksheet'!F171</f>
        <v>0</v>
      </c>
      <c r="F152" s="339"/>
      <c r="G152" s="341"/>
      <c r="H152" s="338">
        <f>'Unit Data from Audit Worksheet'!I171</f>
        <v>0</v>
      </c>
      <c r="I152" s="37"/>
      <c r="J152" s="337">
        <v>88</v>
      </c>
      <c r="K152" s="336" t="s">
        <v>226</v>
      </c>
      <c r="L152" s="561">
        <f t="shared" si="17"/>
        <v>0</v>
      </c>
      <c r="P152" s="308"/>
      <c r="Q152" s="342"/>
      <c r="W152" s="3" t="b">
        <f t="shared" si="15"/>
        <v>1</v>
      </c>
      <c r="X152" s="558">
        <f t="shared" si="12"/>
        <v>0</v>
      </c>
      <c r="Y152" s="558">
        <f t="shared" si="13"/>
        <v>0</v>
      </c>
    </row>
    <row r="153" spans="1:25" ht="72" customHeight="1" x14ac:dyDescent="0.3">
      <c r="A153" s="326">
        <f>'Unit Data from Audit Worksheet'!A172</f>
        <v>84</v>
      </c>
      <c r="B153" s="340" t="str">
        <f>'Unit Data from Audit Worksheet'!C172</f>
        <v>Water Sewer Revenue, Expenses &amp; Changes in Fund Net Position</v>
      </c>
      <c r="C153" s="325" t="str">
        <f>'Unit Data from Audit Worksheet'!D172</f>
        <v>Total Operating revenues</v>
      </c>
      <c r="D153" s="141"/>
      <c r="E153" s="346">
        <f>'Unit Data from Audit Worksheet'!F172</f>
        <v>0</v>
      </c>
      <c r="F153" s="339" t="str">
        <f>IF(L152&gt;L153,"Error: Charges for services exceed total operating revenues. Acct # 88&gt;84"," ")</f>
        <v xml:space="preserve"> </v>
      </c>
      <c r="G153" s="341" t="str">
        <f>IF(Q153=1," Included in error count"," ")</f>
        <v xml:space="preserve"> </v>
      </c>
      <c r="H153" s="338">
        <f>'Unit Data from Audit Worksheet'!I172</f>
        <v>0</v>
      </c>
      <c r="I153" s="37"/>
      <c r="J153" s="337">
        <v>84</v>
      </c>
      <c r="K153" s="336" t="s">
        <v>227</v>
      </c>
      <c r="L153" s="561">
        <f t="shared" si="17"/>
        <v>0</v>
      </c>
      <c r="P153" s="308"/>
      <c r="Q153" s="551">
        <f>IF(L152&gt;L153,1,0)</f>
        <v>0</v>
      </c>
      <c r="W153" s="3" t="b">
        <f t="shared" si="15"/>
        <v>1</v>
      </c>
      <c r="X153" s="558">
        <f t="shared" si="12"/>
        <v>0</v>
      </c>
      <c r="Y153" s="558">
        <f t="shared" si="13"/>
        <v>0</v>
      </c>
    </row>
    <row r="154" spans="1:25" ht="72" customHeight="1" x14ac:dyDescent="0.3">
      <c r="A154" s="326">
        <f>'Unit Data from Audit Worksheet'!A173</f>
        <v>49</v>
      </c>
      <c r="B154" s="340" t="str">
        <f>'Unit Data from Audit Worksheet'!C173</f>
        <v>Water Sewer Revenue, Expenses &amp; Changes in Fund Net Position</v>
      </c>
      <c r="C154" s="325" t="str">
        <f>'Unit Data from Audit Worksheet'!D173</f>
        <v>Depreciation and amortization expense</v>
      </c>
      <c r="D154" s="141"/>
      <c r="E154" s="346">
        <f>'Unit Data from Audit Worksheet'!F173</f>
        <v>0</v>
      </c>
      <c r="F154" s="339">
        <f>IF(L154&lt;0,"Error: Number is normally positive.",)</f>
        <v>0</v>
      </c>
      <c r="G154" s="341"/>
      <c r="H154" s="338">
        <f>'Unit Data from Audit Worksheet'!I173</f>
        <v>0</v>
      </c>
      <c r="I154" s="37"/>
      <c r="J154" s="337">
        <v>49</v>
      </c>
      <c r="K154" s="336" t="s">
        <v>228</v>
      </c>
      <c r="L154" s="561">
        <f t="shared" si="17"/>
        <v>0</v>
      </c>
      <c r="O154" s="569"/>
      <c r="P154" s="308"/>
      <c r="W154" s="3" t="b">
        <f t="shared" si="15"/>
        <v>1</v>
      </c>
      <c r="X154" s="558">
        <f t="shared" si="12"/>
        <v>0</v>
      </c>
      <c r="Y154" s="558">
        <f t="shared" si="13"/>
        <v>0</v>
      </c>
    </row>
    <row r="155" spans="1:25" ht="48" customHeight="1" x14ac:dyDescent="0.3">
      <c r="A155" s="326">
        <f>'Unit Data from Audit Worksheet'!A174</f>
        <v>85</v>
      </c>
      <c r="B155" s="340" t="str">
        <f>'Unit Data from Audit Worksheet'!C174</f>
        <v>Water Sewer Revenue, Expenses &amp; Changes in Fund Net Position</v>
      </c>
      <c r="C155" s="325" t="str">
        <f>'Unit Data from Audit Worksheet'!D174</f>
        <v>Total Operating expenses</v>
      </c>
      <c r="D155" s="141"/>
      <c r="E155" s="346">
        <f>'Unit Data from Audit Worksheet'!F174</f>
        <v>0</v>
      </c>
      <c r="F155" s="339"/>
      <c r="G155" s="341"/>
      <c r="H155" s="338">
        <f>'Unit Data from Audit Worksheet'!I174</f>
        <v>0</v>
      </c>
      <c r="I155" s="37"/>
      <c r="J155" s="337">
        <v>85</v>
      </c>
      <c r="K155" s="336" t="s">
        <v>229</v>
      </c>
      <c r="L155" s="561">
        <f t="shared" si="17"/>
        <v>0</v>
      </c>
      <c r="P155" s="308"/>
      <c r="W155" s="3" t="b">
        <f t="shared" si="15"/>
        <v>1</v>
      </c>
      <c r="X155" s="558">
        <f t="shared" si="12"/>
        <v>0</v>
      </c>
      <c r="Y155" s="558">
        <f t="shared" si="13"/>
        <v>0</v>
      </c>
    </row>
    <row r="156" spans="1:25" ht="48" customHeight="1" x14ac:dyDescent="0.3">
      <c r="A156" s="326">
        <f>'Unit Data from Audit Worksheet'!A175</f>
        <v>89</v>
      </c>
      <c r="B156" s="340" t="str">
        <f>'Unit Data from Audit Worksheet'!C175</f>
        <v>Water Sewer Revenue, Expenses &amp; Changes in Fund Net Position</v>
      </c>
      <c r="C156" s="325" t="str">
        <f>'Unit Data from Audit Worksheet'!D175</f>
        <v>Interest expense</v>
      </c>
      <c r="D156" s="141"/>
      <c r="E156" s="346">
        <f>'Unit Data from Audit Worksheet'!F175</f>
        <v>0</v>
      </c>
      <c r="F156" s="339"/>
      <c r="G156" s="341"/>
      <c r="H156" s="338">
        <f>'Unit Data from Audit Worksheet'!I175</f>
        <v>0</v>
      </c>
      <c r="I156" s="37"/>
      <c r="J156" s="337">
        <v>89</v>
      </c>
      <c r="K156" s="336" t="s">
        <v>230</v>
      </c>
      <c r="L156" s="561">
        <f t="shared" si="17"/>
        <v>0</v>
      </c>
      <c r="P156" s="308"/>
      <c r="W156" s="3" t="b">
        <f t="shared" si="15"/>
        <v>1</v>
      </c>
      <c r="X156" s="558">
        <f t="shared" si="12"/>
        <v>0</v>
      </c>
      <c r="Y156" s="558">
        <f t="shared" si="13"/>
        <v>0</v>
      </c>
    </row>
    <row r="157" spans="1:25" ht="48" customHeight="1" x14ac:dyDescent="0.3">
      <c r="A157" s="326">
        <f>'Unit Data from Audit Worksheet'!A176</f>
        <v>350</v>
      </c>
      <c r="B157" s="340" t="str">
        <f>'Unit Data from Audit Worksheet'!C176</f>
        <v>Water Sewer Revenue, Expenses &amp; Changes in Fund Net Position</v>
      </c>
      <c r="C157" s="325" t="str">
        <f>'Unit Data from Audit Worksheet'!D176</f>
        <v>Total all non-operating revenues  
Exclude Capital contributions.</v>
      </c>
      <c r="D157" s="141"/>
      <c r="E157" s="346">
        <f>'Unit Data from Audit Worksheet'!F176</f>
        <v>0</v>
      </c>
      <c r="F157" s="339"/>
      <c r="G157" s="341"/>
      <c r="H157" s="338">
        <f>'Unit Data from Audit Worksheet'!I176</f>
        <v>0</v>
      </c>
      <c r="I157" s="37"/>
      <c r="J157" s="337">
        <v>350</v>
      </c>
      <c r="K157" s="336" t="s">
        <v>231</v>
      </c>
      <c r="L157" s="561">
        <f t="shared" si="17"/>
        <v>0</v>
      </c>
      <c r="P157" s="308"/>
      <c r="W157" s="3" t="b">
        <f t="shared" si="15"/>
        <v>1</v>
      </c>
      <c r="X157" s="558">
        <f t="shared" si="12"/>
        <v>0</v>
      </c>
      <c r="Y157" s="558">
        <f t="shared" si="13"/>
        <v>0</v>
      </c>
    </row>
    <row r="158" spans="1:25" ht="48" customHeight="1" x14ac:dyDescent="0.3">
      <c r="A158" s="326">
        <f>'Unit Data from Audit Worksheet'!A177</f>
        <v>351</v>
      </c>
      <c r="B158" s="340" t="str">
        <f>'Unit Data from Audit Worksheet'!C177</f>
        <v>Water Sewer Revenue, Expenses &amp; Changes in Fund Net Position</v>
      </c>
      <c r="C158" s="325" t="str">
        <f>'Unit Data from Audit Worksheet'!D177</f>
        <v>Total all non-operating expenses.  
Include any negative special, extraordinary, or capital contribution.</v>
      </c>
      <c r="D158" s="141"/>
      <c r="E158" s="346">
        <f>'Unit Data from Audit Worksheet'!F177</f>
        <v>0</v>
      </c>
      <c r="F158" s="339"/>
      <c r="G158" s="341"/>
      <c r="H158" s="338">
        <f>'Unit Data from Audit Worksheet'!I177</f>
        <v>0</v>
      </c>
      <c r="I158" s="37"/>
      <c r="J158" s="337">
        <v>351</v>
      </c>
      <c r="K158" s="336" t="s">
        <v>232</v>
      </c>
      <c r="L158" s="561">
        <f t="shared" si="17"/>
        <v>0</v>
      </c>
      <c r="P158" s="308"/>
      <c r="W158" s="3" t="b">
        <f t="shared" si="15"/>
        <v>1</v>
      </c>
      <c r="X158" s="558">
        <f t="shared" si="12"/>
        <v>0</v>
      </c>
      <c r="Y158" s="558">
        <f t="shared" si="13"/>
        <v>0</v>
      </c>
    </row>
    <row r="159" spans="1:25" ht="57.6" x14ac:dyDescent="0.3">
      <c r="A159" s="326">
        <f>'Unit Data from Audit Worksheet'!A178</f>
        <v>191</v>
      </c>
      <c r="B159" s="340" t="str">
        <f>'Unit Data from Audit Worksheet'!C178</f>
        <v>Water Sewer Revenue, Expenses &amp; Changes in Fund Net Position</v>
      </c>
      <c r="C159" s="325" t="str">
        <f>'Unit Data from Audit Worksheet'!D178</f>
        <v>Capital contributions. Only include positive capital contributions.  Negative capital contributions should be included with 'Total all non-operating expenses.'</v>
      </c>
      <c r="D159" s="141"/>
      <c r="E159" s="346">
        <f>'Unit Data from Audit Worksheet'!F178</f>
        <v>0</v>
      </c>
      <c r="F159" s="339">
        <f>IF(L159&lt;0,"Error: Enter as a positive.",)</f>
        <v>0</v>
      </c>
      <c r="G159" s="341"/>
      <c r="H159" s="338">
        <f>'Unit Data from Audit Worksheet'!I178</f>
        <v>0</v>
      </c>
      <c r="I159" s="37"/>
      <c r="J159" s="337">
        <v>191</v>
      </c>
      <c r="K159" s="336" t="s">
        <v>233</v>
      </c>
      <c r="L159" s="561">
        <f t="shared" si="17"/>
        <v>0</v>
      </c>
      <c r="P159" s="308"/>
      <c r="W159" s="3" t="b">
        <f t="shared" si="15"/>
        <v>1</v>
      </c>
      <c r="X159" s="558">
        <f t="shared" si="12"/>
        <v>0</v>
      </c>
      <c r="Y159" s="558">
        <f t="shared" si="13"/>
        <v>0</v>
      </c>
    </row>
    <row r="160" spans="1:25" ht="47.25" customHeight="1" x14ac:dyDescent="0.3">
      <c r="A160" s="326">
        <f>'Unit Data from Audit Worksheet'!A179</f>
        <v>352</v>
      </c>
      <c r="B160" s="340" t="str">
        <f>'Unit Data from Audit Worksheet'!C179</f>
        <v>Water Sewer Revenue, Expenses &amp; Changes in Fund Net Position</v>
      </c>
      <c r="C160" s="325" t="str">
        <f>'Unit Data from Audit Worksheet'!D179</f>
        <v>Total Transfers in - all funds (operating and capital)</v>
      </c>
      <c r="D160" s="141"/>
      <c r="E160" s="346">
        <f>'Unit Data from Audit Worksheet'!F179</f>
        <v>0</v>
      </c>
      <c r="F160" s="339"/>
      <c r="G160" s="341"/>
      <c r="H160" s="338">
        <f>'Unit Data from Audit Worksheet'!I179</f>
        <v>0</v>
      </c>
      <c r="I160" s="37"/>
      <c r="J160" s="337">
        <v>352</v>
      </c>
      <c r="K160" s="336" t="s">
        <v>234</v>
      </c>
      <c r="L160" s="561">
        <f t="shared" si="17"/>
        <v>0</v>
      </c>
      <c r="P160" s="308"/>
      <c r="W160" s="3" t="b">
        <f t="shared" si="15"/>
        <v>1</v>
      </c>
      <c r="X160" s="558">
        <f t="shared" si="12"/>
        <v>0</v>
      </c>
      <c r="Y160" s="558">
        <f t="shared" si="13"/>
        <v>0</v>
      </c>
    </row>
    <row r="161" spans="1:25" ht="70.5" customHeight="1" x14ac:dyDescent="0.3">
      <c r="A161" s="577">
        <f>'Unit Data from Audit Worksheet'!A180</f>
        <v>986</v>
      </c>
      <c r="B161" s="344" t="str">
        <f>'Unit Data from Audit Worksheet'!C180</f>
        <v>Water Sewer Revenue, Expenses &amp; Changes in Fund Net Position</v>
      </c>
      <c r="C161" s="578" t="str">
        <f>'Unit Data from Audit Worksheet'!D180</f>
        <v>Of the transfers-in above in acct # 352, list amount of transfers-in that were used to support Water Sewer operations  (exclude capital transfers)</v>
      </c>
      <c r="D161" s="141"/>
      <c r="E161" s="346">
        <f>'Unit Data from Audit Worksheet'!F180</f>
        <v>0</v>
      </c>
      <c r="F161" s="339"/>
      <c r="G161" s="341"/>
      <c r="H161" s="338"/>
      <c r="I161" s="37"/>
      <c r="J161" s="355">
        <v>986</v>
      </c>
      <c r="K161" s="578" t="s">
        <v>757</v>
      </c>
      <c r="L161" s="579">
        <f t="shared" si="17"/>
        <v>0</v>
      </c>
      <c r="P161" s="308"/>
      <c r="W161" s="3" t="b">
        <f t="shared" si="15"/>
        <v>1</v>
      </c>
      <c r="X161" s="558"/>
      <c r="Y161" s="558"/>
    </row>
    <row r="162" spans="1:25" ht="47.25" customHeight="1" x14ac:dyDescent="0.3">
      <c r="A162" s="326">
        <f>'Unit Data from Audit Worksheet'!A181</f>
        <v>353</v>
      </c>
      <c r="B162" s="340" t="str">
        <f>'Unit Data from Audit Worksheet'!C181</f>
        <v>Water Sewer Revenue, Expenses &amp; Changes in Fund Net Position</v>
      </c>
      <c r="C162" s="325" t="str">
        <f>'Unit Data from Audit Worksheet'!D181</f>
        <v>Total Transfers out</v>
      </c>
      <c r="D162" s="141"/>
      <c r="E162" s="346">
        <f>'Unit Data from Audit Worksheet'!F181</f>
        <v>0</v>
      </c>
      <c r="F162" s="339">
        <f>IF(L162&lt;0,"Error: Enter as a positive.",)</f>
        <v>0</v>
      </c>
      <c r="G162" s="341"/>
      <c r="H162" s="338">
        <f>'Unit Data from Audit Worksheet'!I181</f>
        <v>0</v>
      </c>
      <c r="I162" s="37"/>
      <c r="J162" s="39">
        <v>353</v>
      </c>
      <c r="K162" s="336" t="s">
        <v>235</v>
      </c>
      <c r="L162" s="561">
        <f t="shared" si="17"/>
        <v>0</v>
      </c>
      <c r="P162" s="312"/>
      <c r="W162" s="3" t="b">
        <f t="shared" si="15"/>
        <v>1</v>
      </c>
      <c r="X162" s="558">
        <f t="shared" si="12"/>
        <v>0</v>
      </c>
      <c r="Y162" s="558">
        <f t="shared" si="13"/>
        <v>0</v>
      </c>
    </row>
    <row r="163" spans="1:25" ht="72.75" customHeight="1" x14ac:dyDescent="0.3">
      <c r="A163" s="326">
        <f>'Unit Data from Audit Worksheet'!A182</f>
        <v>50</v>
      </c>
      <c r="B163" s="340" t="str">
        <f>'Unit Data from Audit Worksheet'!C182</f>
        <v>Water Sewer Revenue, Expenses &amp; Changes in Fund Net Position</v>
      </c>
      <c r="C163" s="325" t="str">
        <f>'Unit Data from Audit Worksheet'!D182</f>
        <v>Change in net position - Increase in net position is recorded as a positive and a (Decrease) in net position is recorded as a negative.</v>
      </c>
      <c r="D163" s="141"/>
      <c r="E163" s="146">
        <f>'Unit Data from Audit Worksheet'!F182</f>
        <v>0</v>
      </c>
      <c r="F163" s="339">
        <f>IF(L153-L155+L157-L158+L160+L159-L162-L163=0,,"Error:Total revenues less total expenses do not equal total change in net position. Acct # 84-85+350-351+191+352-353-50")</f>
        <v>0</v>
      </c>
      <c r="G163" s="89">
        <f>+L153-L155+L157-L158+L160+L159-L162-L163</f>
        <v>0</v>
      </c>
      <c r="H163" s="338">
        <f>'Unit Data from Audit Worksheet'!I182</f>
        <v>0</v>
      </c>
      <c r="I163" s="37"/>
      <c r="J163" s="337">
        <v>50</v>
      </c>
      <c r="K163" s="336" t="s">
        <v>100</v>
      </c>
      <c r="L163" s="561">
        <f t="shared" si="17"/>
        <v>0</v>
      </c>
      <c r="P163" s="308"/>
      <c r="Q163" s="551">
        <f>IF(G163&lt;&gt;0,1,0)</f>
        <v>0</v>
      </c>
      <c r="W163" s="3" t="b">
        <f t="shared" si="15"/>
        <v>1</v>
      </c>
      <c r="X163" s="558">
        <f t="shared" si="12"/>
        <v>0</v>
      </c>
      <c r="Y163" s="558">
        <f t="shared" si="13"/>
        <v>0</v>
      </c>
    </row>
    <row r="164" spans="1:25" ht="144" customHeight="1" x14ac:dyDescent="0.3">
      <c r="A164" s="326">
        <f>'Unit Data from Audit Worksheet'!A183</f>
        <v>377</v>
      </c>
      <c r="B164" s="340" t="str">
        <f>'Unit Data from Audit Worksheet'!C183</f>
        <v>Water Sewer Revenue, Expenses &amp; Changes in Fund Net Position</v>
      </c>
      <c r="C164" s="325" t="str">
        <f>'Unit Data from Audit Worksheet'!D183</f>
        <v>Increases or (decreases) to beginning water sewer net position due to rounding, prior period adjustments and restatements.  Increase amounts to beginning net position should be entered as a positive amount and (decreases) should be entered as a negative amount.</v>
      </c>
      <c r="D164" s="141"/>
      <c r="E164" s="146">
        <f>'Unit Data from Audit Worksheet'!F183</f>
        <v>0</v>
      </c>
      <c r="F164" s="85" t="e">
        <f>IF(L133-L163-L164=O133,,"Error:Beginning Balance does not agree with out records.Acct # 83-50-377 = PY83")</f>
        <v>#N/A</v>
      </c>
      <c r="G164" s="89" t="e">
        <f>+L133-L163-L164-O133</f>
        <v>#N/A</v>
      </c>
      <c r="H164" s="338">
        <f>'Unit Data from Audit Worksheet'!I183</f>
        <v>0</v>
      </c>
      <c r="I164" s="37"/>
      <c r="J164" s="337">
        <v>377</v>
      </c>
      <c r="K164" s="336" t="s">
        <v>109</v>
      </c>
      <c r="L164" s="561">
        <f t="shared" si="17"/>
        <v>0</v>
      </c>
      <c r="P164" s="308"/>
      <c r="Q164" s="551" t="e">
        <f>IF(G164&lt;&gt;0,1,0)</f>
        <v>#N/A</v>
      </c>
      <c r="W164" s="3" t="b">
        <f t="shared" si="15"/>
        <v>1</v>
      </c>
      <c r="X164" s="558">
        <f t="shared" si="12"/>
        <v>0</v>
      </c>
      <c r="Y164" s="558">
        <f t="shared" si="13"/>
        <v>0</v>
      </c>
    </row>
    <row r="165" spans="1:25" ht="63" customHeight="1" x14ac:dyDescent="0.3">
      <c r="A165" s="586">
        <f>'Unit Data from Audit Worksheet'!A184</f>
        <v>537</v>
      </c>
      <c r="B165" s="340" t="str">
        <f>'Unit Data from Audit Worksheet'!C184</f>
        <v>Water Sewer Revenue, Expenses &amp; Changes in Fund Net Position</v>
      </c>
      <c r="C165" s="325" t="str">
        <f>'Unit Data from Audit Worksheet'!D184</f>
        <v>Did unit raise Water Sewer rates during the audited fiscal period? - answer Yes or No</v>
      </c>
      <c r="D165" s="136"/>
      <c r="E165" s="346">
        <f>'Unit Data from Audit Worksheet'!F184</f>
        <v>0</v>
      </c>
      <c r="F165" s="339" t="s">
        <v>329</v>
      </c>
      <c r="G165" s="341"/>
      <c r="H165" s="338">
        <f>'Unit Data from Audit Worksheet'!I184</f>
        <v>0</v>
      </c>
      <c r="I165" s="37"/>
      <c r="J165" s="65">
        <v>537</v>
      </c>
      <c r="K165" s="63" t="s">
        <v>291</v>
      </c>
      <c r="L165" s="587">
        <f>IF(E165="Yes",1,IF(E165="No",2,0))</f>
        <v>0</v>
      </c>
      <c r="N165" s="59" t="s">
        <v>319</v>
      </c>
      <c r="P165" s="313"/>
      <c r="W165" s="3" t="b">
        <f t="shared" ref="W165:W196" si="19">EXACT(A165,J165)</f>
        <v>1</v>
      </c>
      <c r="X165" s="558">
        <f t="shared" si="12"/>
        <v>0</v>
      </c>
      <c r="Y165" s="558">
        <f t="shared" si="13"/>
        <v>0</v>
      </c>
    </row>
    <row r="166" spans="1:25" ht="63.75" customHeight="1" x14ac:dyDescent="0.3">
      <c r="A166" s="586">
        <f>'Unit Data from Audit Worksheet'!A185</f>
        <v>538</v>
      </c>
      <c r="B166" s="340" t="str">
        <f>'Unit Data from Audit Worksheet'!C185</f>
        <v>Water Sewer Revenue, Expenses &amp; Changes in Fund Net Position</v>
      </c>
      <c r="C166" s="325" t="str">
        <f>'Unit Data from Audit Worksheet'!D185</f>
        <v>Did unit raise Water Sewer rates during the budget year following the audited fiscal year? - answer Yes or No</v>
      </c>
      <c r="D166" s="136"/>
      <c r="E166" s="346">
        <f>'Unit Data from Audit Worksheet'!F185</f>
        <v>0</v>
      </c>
      <c r="F166" s="339" t="s">
        <v>329</v>
      </c>
      <c r="G166" s="341"/>
      <c r="H166" s="338">
        <f>'Unit Data from Audit Worksheet'!I185</f>
        <v>0</v>
      </c>
      <c r="I166" s="37"/>
      <c r="J166" s="65">
        <v>538</v>
      </c>
      <c r="K166" s="63" t="s">
        <v>290</v>
      </c>
      <c r="L166" s="587">
        <f>IF(E166="Yes",1,IF(E166="No",2,0))</f>
        <v>0</v>
      </c>
      <c r="N166" s="59" t="s">
        <v>319</v>
      </c>
      <c r="P166" s="313"/>
      <c r="W166" s="3" t="b">
        <f t="shared" si="19"/>
        <v>1</v>
      </c>
      <c r="X166" s="558">
        <f t="shared" si="12"/>
        <v>0</v>
      </c>
      <c r="Y166" s="558">
        <f t="shared" si="13"/>
        <v>0</v>
      </c>
    </row>
    <row r="167" spans="1:25" ht="47.25" customHeight="1" x14ac:dyDescent="0.3">
      <c r="A167" s="326">
        <f>'Unit Data from Audit Worksheet'!A187</f>
        <v>97</v>
      </c>
      <c r="B167" s="340" t="str">
        <f>'Unit Data from Audit Worksheet'!C187</f>
        <v>Electric Fund Revenue, Expenses &amp; Changes in Fund Net Position</v>
      </c>
      <c r="C167" s="325" t="str">
        <f>'Unit Data from Audit Worksheet'!D187</f>
        <v>Charges for services</v>
      </c>
      <c r="D167" s="345"/>
      <c r="E167" s="346">
        <f>'Unit Data from Audit Worksheet'!F187</f>
        <v>0</v>
      </c>
      <c r="F167" s="339">
        <f>IF(L167&lt;0,"Error: Enter as a positive.",)</f>
        <v>0</v>
      </c>
      <c r="G167" s="341"/>
      <c r="H167" s="338">
        <f>'Unit Data from Audit Worksheet'!I187</f>
        <v>0</v>
      </c>
      <c r="I167" s="37"/>
      <c r="J167" s="337">
        <v>97</v>
      </c>
      <c r="K167" s="336" t="s">
        <v>236</v>
      </c>
      <c r="L167" s="561">
        <f t="shared" ref="L167:L234" si="20">IF(D167="",E167,D167)</f>
        <v>0</v>
      </c>
      <c r="P167" s="308"/>
      <c r="W167" s="3" t="b">
        <f t="shared" si="19"/>
        <v>1</v>
      </c>
      <c r="X167" s="558">
        <f t="shared" si="12"/>
        <v>0</v>
      </c>
      <c r="Y167" s="558">
        <f t="shared" si="13"/>
        <v>0</v>
      </c>
    </row>
    <row r="168" spans="1:25" ht="45.75" customHeight="1" x14ac:dyDescent="0.3">
      <c r="A168" s="326">
        <f>'Unit Data from Audit Worksheet'!A188</f>
        <v>93</v>
      </c>
      <c r="B168" s="340" t="str">
        <f>'Unit Data from Audit Worksheet'!C188</f>
        <v>Electric Fund Revenue, Expenses &amp; Changes in Fund Net Position</v>
      </c>
      <c r="C168" s="325" t="str">
        <f>'Unit Data from Audit Worksheet'!D188</f>
        <v>Total Operating revenues</v>
      </c>
      <c r="D168" s="345"/>
      <c r="E168" s="346">
        <f>'Unit Data from Audit Worksheet'!F188</f>
        <v>0</v>
      </c>
      <c r="F168" s="339" t="str">
        <f>IF(L167&gt;L168,"Error: Charges for services exceeds total operating revenues Acct 97&gt;=93"," ")</f>
        <v xml:space="preserve"> </v>
      </c>
      <c r="G168" s="341" t="str">
        <f>IF(Q168=1," Included in error count"," ")</f>
        <v xml:space="preserve"> </v>
      </c>
      <c r="H168" s="338">
        <f>'Unit Data from Audit Worksheet'!I188</f>
        <v>0</v>
      </c>
      <c r="I168" s="37"/>
      <c r="J168" s="337">
        <v>93</v>
      </c>
      <c r="K168" s="336" t="s">
        <v>237</v>
      </c>
      <c r="L168" s="561">
        <f t="shared" si="20"/>
        <v>0</v>
      </c>
      <c r="P168" s="308"/>
      <c r="Q168" s="551">
        <f>IF(L167&gt;L168,1,0)</f>
        <v>0</v>
      </c>
      <c r="W168" s="3" t="b">
        <f t="shared" si="19"/>
        <v>1</v>
      </c>
      <c r="X168" s="558">
        <f t="shared" si="12"/>
        <v>0</v>
      </c>
      <c r="Y168" s="558">
        <f t="shared" si="13"/>
        <v>0</v>
      </c>
    </row>
    <row r="169" spans="1:25" ht="45.75" customHeight="1" x14ac:dyDescent="0.3">
      <c r="A169" s="326">
        <f>'Unit Data from Audit Worksheet'!A189</f>
        <v>99</v>
      </c>
      <c r="B169" s="340" t="str">
        <f>'Unit Data from Audit Worksheet'!C189</f>
        <v>Electric Fund Revenue, Expenses &amp; Changes in Fund Net Position</v>
      </c>
      <c r="C169" s="325" t="str">
        <f>'Unit Data from Audit Worksheet'!D189</f>
        <v>Electrical power purchases</v>
      </c>
      <c r="D169" s="345"/>
      <c r="E169" s="346">
        <f>'Unit Data from Audit Worksheet'!F189</f>
        <v>0</v>
      </c>
      <c r="F169" s="339">
        <f>IF(L169&lt;0,"Error: Enter as a positive.",)</f>
        <v>0</v>
      </c>
      <c r="G169" s="341"/>
      <c r="H169" s="338">
        <f>'Unit Data from Audit Worksheet'!I189</f>
        <v>0</v>
      </c>
      <c r="I169" s="37"/>
      <c r="J169" s="337">
        <v>99</v>
      </c>
      <c r="K169" s="336" t="s">
        <v>238</v>
      </c>
      <c r="L169" s="561">
        <f t="shared" si="20"/>
        <v>0</v>
      </c>
      <c r="P169" s="308"/>
      <c r="W169" s="3" t="b">
        <f t="shared" si="19"/>
        <v>1</v>
      </c>
      <c r="X169" s="558">
        <f t="shared" si="12"/>
        <v>0</v>
      </c>
      <c r="Y169" s="558">
        <f t="shared" si="13"/>
        <v>0</v>
      </c>
    </row>
    <row r="170" spans="1:25" ht="45.75" customHeight="1" x14ac:dyDescent="0.3">
      <c r="A170" s="326">
        <f>'Unit Data from Audit Worksheet'!A190</f>
        <v>52</v>
      </c>
      <c r="B170" s="340" t="str">
        <f>'Unit Data from Audit Worksheet'!C190</f>
        <v>Electric Fund Revenue, Expenses &amp; Changes in Fund Net Position</v>
      </c>
      <c r="C170" s="325" t="str">
        <f>'Unit Data from Audit Worksheet'!D190</f>
        <v>Depreciation and amortization expense</v>
      </c>
      <c r="D170" s="345"/>
      <c r="E170" s="346">
        <f>'Unit Data from Audit Worksheet'!F190</f>
        <v>0</v>
      </c>
      <c r="F170" s="339">
        <f>IF(L170&lt;0,"Error: Enter as a positive.",)</f>
        <v>0</v>
      </c>
      <c r="G170" s="341"/>
      <c r="H170" s="338">
        <f>'Unit Data from Audit Worksheet'!I190</f>
        <v>0</v>
      </c>
      <c r="I170" s="37"/>
      <c r="J170" s="337">
        <v>52</v>
      </c>
      <c r="K170" s="336" t="s">
        <v>239</v>
      </c>
      <c r="L170" s="561">
        <f t="shared" si="20"/>
        <v>0</v>
      </c>
      <c r="P170" s="308"/>
      <c r="W170" s="3" t="b">
        <f t="shared" si="19"/>
        <v>1</v>
      </c>
      <c r="X170" s="558">
        <f t="shared" si="12"/>
        <v>0</v>
      </c>
      <c r="Y170" s="558">
        <f t="shared" si="13"/>
        <v>0</v>
      </c>
    </row>
    <row r="171" spans="1:25" ht="45.75" customHeight="1" x14ac:dyDescent="0.3">
      <c r="A171" s="326">
        <f>'Unit Data from Audit Worksheet'!A191</f>
        <v>94</v>
      </c>
      <c r="B171" s="340" t="str">
        <f>'Unit Data from Audit Worksheet'!C191</f>
        <v>Electric Fund Revenue, Expenses &amp; Changes in Fund Net Position</v>
      </c>
      <c r="C171" s="325" t="str">
        <f>'Unit Data from Audit Worksheet'!D191</f>
        <v>Total Operating expenses</v>
      </c>
      <c r="D171" s="345"/>
      <c r="E171" s="346">
        <f>'Unit Data from Audit Worksheet'!F191</f>
        <v>0</v>
      </c>
      <c r="F171" s="339">
        <f>IF(L171&lt;0,"Error: Enter as a positive.",)</f>
        <v>0</v>
      </c>
      <c r="G171" s="341"/>
      <c r="H171" s="338">
        <f>'Unit Data from Audit Worksheet'!I191</f>
        <v>0</v>
      </c>
      <c r="I171" s="37"/>
      <c r="J171" s="337">
        <v>94</v>
      </c>
      <c r="K171" s="336" t="s">
        <v>240</v>
      </c>
      <c r="L171" s="561">
        <f t="shared" si="20"/>
        <v>0</v>
      </c>
      <c r="P171" s="308"/>
      <c r="W171" s="3" t="b">
        <f t="shared" si="19"/>
        <v>1</v>
      </c>
      <c r="X171" s="558">
        <f t="shared" si="12"/>
        <v>0</v>
      </c>
      <c r="Y171" s="558">
        <f t="shared" si="13"/>
        <v>0</v>
      </c>
    </row>
    <row r="172" spans="1:25" ht="46.5" customHeight="1" x14ac:dyDescent="0.3">
      <c r="A172" s="326">
        <f>'Unit Data from Audit Worksheet'!A192</f>
        <v>98</v>
      </c>
      <c r="B172" s="340" t="str">
        <f>'Unit Data from Audit Worksheet'!C192</f>
        <v>Electric Fund Revenue, Expenses &amp; Changes in Fund Net Position</v>
      </c>
      <c r="C172" s="325" t="str">
        <f>'Unit Data from Audit Worksheet'!D192</f>
        <v>Interest expense</v>
      </c>
      <c r="D172" s="345"/>
      <c r="E172" s="346">
        <f>'Unit Data from Audit Worksheet'!F192</f>
        <v>0</v>
      </c>
      <c r="F172" s="339">
        <f>IF(L172&lt;0,"Error: Enter as a positive.",)</f>
        <v>0</v>
      </c>
      <c r="G172" s="341"/>
      <c r="H172" s="338">
        <f>'Unit Data from Audit Worksheet'!I192</f>
        <v>0</v>
      </c>
      <c r="I172" s="37"/>
      <c r="J172" s="337">
        <v>98</v>
      </c>
      <c r="K172" s="336" t="s">
        <v>241</v>
      </c>
      <c r="L172" s="561">
        <f t="shared" si="20"/>
        <v>0</v>
      </c>
      <c r="P172" s="308"/>
      <c r="W172" s="3" t="b">
        <f t="shared" si="19"/>
        <v>1</v>
      </c>
      <c r="X172" s="558">
        <f t="shared" si="12"/>
        <v>0</v>
      </c>
      <c r="Y172" s="558">
        <f t="shared" si="13"/>
        <v>0</v>
      </c>
    </row>
    <row r="173" spans="1:25" ht="51" customHeight="1" x14ac:dyDescent="0.3">
      <c r="A173" s="326">
        <f>'Unit Data from Audit Worksheet'!A193</f>
        <v>363</v>
      </c>
      <c r="B173" s="340" t="str">
        <f>'Unit Data from Audit Worksheet'!C193</f>
        <v>Electric Fund Revenue, Expenses &amp; Changes in Fund Net Position</v>
      </c>
      <c r="C173" s="325" t="str">
        <f>'Unit Data from Audit Worksheet'!D193</f>
        <v>Total all the non-operating revenues  
Exclude Capital Contributions.</v>
      </c>
      <c r="D173" s="345"/>
      <c r="E173" s="346">
        <f>'Unit Data from Audit Worksheet'!F193</f>
        <v>0</v>
      </c>
      <c r="F173" s="339"/>
      <c r="G173" s="341"/>
      <c r="H173" s="338">
        <f>'Unit Data from Audit Worksheet'!I193</f>
        <v>0</v>
      </c>
      <c r="I173" s="37"/>
      <c r="J173" s="337">
        <v>363</v>
      </c>
      <c r="K173" s="336" t="s">
        <v>242</v>
      </c>
      <c r="L173" s="561">
        <f t="shared" si="20"/>
        <v>0</v>
      </c>
      <c r="P173" s="308"/>
      <c r="W173" s="3" t="b">
        <f t="shared" si="19"/>
        <v>1</v>
      </c>
      <c r="X173" s="558">
        <f t="shared" si="12"/>
        <v>0</v>
      </c>
      <c r="Y173" s="558">
        <f t="shared" si="13"/>
        <v>0</v>
      </c>
    </row>
    <row r="174" spans="1:25" ht="60" customHeight="1" x14ac:dyDescent="0.3">
      <c r="A174" s="326">
        <f>'Unit Data from Audit Worksheet'!A194</f>
        <v>364</v>
      </c>
      <c r="B174" s="340" t="str">
        <f>'Unit Data from Audit Worksheet'!C194</f>
        <v>Electric Fund Revenue, Expenses &amp; Changes in Fund Net Position</v>
      </c>
      <c r="C174" s="325" t="str">
        <f>'Unit Data from Audit Worksheet'!D194</f>
        <v>Total all non-operating expenses.  
Include negative special, extraordinary, or capital contribution.</v>
      </c>
      <c r="D174" s="345"/>
      <c r="E174" s="346">
        <f>'Unit Data from Audit Worksheet'!F194</f>
        <v>0</v>
      </c>
      <c r="F174" s="339">
        <f>IF(L174&lt;0,"Error: Enter as a positive.",)</f>
        <v>0</v>
      </c>
      <c r="G174" s="341"/>
      <c r="H174" s="338">
        <f>'Unit Data from Audit Worksheet'!I194</f>
        <v>0</v>
      </c>
      <c r="I174" s="37"/>
      <c r="J174" s="337">
        <v>364</v>
      </c>
      <c r="K174" s="336" t="s">
        <v>243</v>
      </c>
      <c r="L174" s="561">
        <f t="shared" si="20"/>
        <v>0</v>
      </c>
      <c r="P174" s="308"/>
      <c r="W174" s="3" t="b">
        <f t="shared" si="19"/>
        <v>1</v>
      </c>
      <c r="X174" s="558">
        <f t="shared" si="12"/>
        <v>0</v>
      </c>
      <c r="Y174" s="558">
        <f t="shared" si="13"/>
        <v>0</v>
      </c>
    </row>
    <row r="175" spans="1:25" ht="89.25" customHeight="1" x14ac:dyDescent="0.3">
      <c r="A175" s="326">
        <f>'Unit Data from Audit Worksheet'!A195</f>
        <v>192</v>
      </c>
      <c r="B175" s="340" t="str">
        <f>'Unit Data from Audit Worksheet'!C195</f>
        <v>Electric Fund Revenue, Expenses &amp; Changes in Fund Net Position</v>
      </c>
      <c r="C175" s="325" t="str">
        <f>'Unit Data from Audit Worksheet'!D195</f>
        <v>Capital Contributions.  
Include only positive capital Contributions.  Negative capital contributions should be included with 'Total all non-operating expenses.'</v>
      </c>
      <c r="D175" s="345"/>
      <c r="E175" s="346">
        <f>'Unit Data from Audit Worksheet'!F195</f>
        <v>0</v>
      </c>
      <c r="F175" s="339">
        <f>IF(L175&lt;0,"Error: Enter as a positive.",)</f>
        <v>0</v>
      </c>
      <c r="G175" s="341"/>
      <c r="H175" s="338">
        <f>'Unit Data from Audit Worksheet'!I195</f>
        <v>0</v>
      </c>
      <c r="I175" s="37"/>
      <c r="J175" s="337">
        <v>192</v>
      </c>
      <c r="K175" s="336" t="s">
        <v>244</v>
      </c>
      <c r="L175" s="561">
        <f t="shared" si="20"/>
        <v>0</v>
      </c>
      <c r="P175" s="308"/>
      <c r="W175" s="3" t="b">
        <f t="shared" si="19"/>
        <v>1</v>
      </c>
      <c r="X175" s="558">
        <f t="shared" si="12"/>
        <v>0</v>
      </c>
      <c r="Y175" s="558">
        <f t="shared" si="13"/>
        <v>0</v>
      </c>
    </row>
    <row r="176" spans="1:25" ht="42.75" customHeight="1" x14ac:dyDescent="0.3">
      <c r="A176" s="326">
        <f>'Unit Data from Audit Worksheet'!A196</f>
        <v>365</v>
      </c>
      <c r="B176" s="340" t="str">
        <f>'Unit Data from Audit Worksheet'!C196</f>
        <v>Electric Fund Revenue, Expenses &amp; Changes in Fund Net Position</v>
      </c>
      <c r="C176" s="325" t="str">
        <f>'Unit Data from Audit Worksheet'!D196</f>
        <v>Total Transfers In (From all Funds)</v>
      </c>
      <c r="D176" s="345"/>
      <c r="E176" s="346">
        <f>'Unit Data from Audit Worksheet'!F196</f>
        <v>0</v>
      </c>
      <c r="F176" s="339"/>
      <c r="G176" s="341"/>
      <c r="H176" s="338">
        <f>'Unit Data from Audit Worksheet'!I196</f>
        <v>0</v>
      </c>
      <c r="I176" s="37"/>
      <c r="J176" s="337">
        <v>365</v>
      </c>
      <c r="K176" s="336" t="s">
        <v>245</v>
      </c>
      <c r="L176" s="561">
        <f t="shared" si="20"/>
        <v>0</v>
      </c>
      <c r="P176" s="308"/>
      <c r="W176" s="3" t="b">
        <f t="shared" si="19"/>
        <v>1</v>
      </c>
      <c r="X176" s="558">
        <f t="shared" si="12"/>
        <v>0</v>
      </c>
      <c r="Y176" s="558">
        <f t="shared" si="13"/>
        <v>0</v>
      </c>
    </row>
    <row r="177" spans="1:25" ht="42.75" customHeight="1" x14ac:dyDescent="0.3">
      <c r="A177" s="326">
        <f>'Unit Data from Audit Worksheet'!A197</f>
        <v>366</v>
      </c>
      <c r="B177" s="340" t="str">
        <f>'Unit Data from Audit Worksheet'!C197</f>
        <v>Electric Fund Revenue, Expenses &amp; Changes in Fund Net Position</v>
      </c>
      <c r="C177" s="325" t="str">
        <f>'Unit Data from Audit Worksheet'!D197</f>
        <v>Total Transfers Out (To all funds)</v>
      </c>
      <c r="D177" s="345"/>
      <c r="E177" s="346">
        <f>'Unit Data from Audit Worksheet'!F197</f>
        <v>0</v>
      </c>
      <c r="F177" s="339">
        <f>IF(L177&lt;0,"Error: Enter as a positive.",)</f>
        <v>0</v>
      </c>
      <c r="G177" s="341"/>
      <c r="H177" s="338">
        <f>'Unit Data from Audit Worksheet'!I197</f>
        <v>0</v>
      </c>
      <c r="I177" s="37"/>
      <c r="J177" s="337">
        <v>366</v>
      </c>
      <c r="K177" s="336" t="s">
        <v>311</v>
      </c>
      <c r="L177" s="561">
        <f t="shared" si="20"/>
        <v>0</v>
      </c>
      <c r="P177" s="308"/>
      <c r="W177" s="3" t="b">
        <f t="shared" si="19"/>
        <v>1</v>
      </c>
      <c r="X177" s="558">
        <f t="shared" si="12"/>
        <v>0</v>
      </c>
      <c r="Y177" s="558">
        <f t="shared" si="13"/>
        <v>0</v>
      </c>
    </row>
    <row r="178" spans="1:25" s="18" customFormat="1" ht="76.5" customHeight="1" x14ac:dyDescent="0.3">
      <c r="A178" s="326">
        <f>'Unit Data from Audit Worksheet'!A198</f>
        <v>53</v>
      </c>
      <c r="B178" s="340" t="str">
        <f>'Unit Data from Audit Worksheet'!C198</f>
        <v>Electric Fund Revenue, Expenses &amp; Changes in Fund Net Position</v>
      </c>
      <c r="C178" s="325" t="str">
        <f>'Unit Data from Audit Worksheet'!D198</f>
        <v>Change in net position - Increase in net position is recorded as a positive and a (decrease) in net position is recorded as a negative.</v>
      </c>
      <c r="D178" s="345"/>
      <c r="E178" s="346">
        <f>'Unit Data from Audit Worksheet'!F198</f>
        <v>0</v>
      </c>
      <c r="F178" s="339">
        <f>IF(L168-L171+L173-L174+L175+L176-L177-L178=0,,"Error: Total revenues less total exp. does not equal change in net position Acct 93-94+363-364+192+365-366-53=0")</f>
        <v>0</v>
      </c>
      <c r="G178" s="89">
        <f>+L168-L171+L173-L174+L175+L176-L177-L178</f>
        <v>0</v>
      </c>
      <c r="H178" s="338">
        <f>'Unit Data from Audit Worksheet'!I198</f>
        <v>0</v>
      </c>
      <c r="I178" s="37"/>
      <c r="J178" s="337">
        <v>53</v>
      </c>
      <c r="K178" s="336" t="s">
        <v>101</v>
      </c>
      <c r="L178" s="561">
        <f t="shared" si="20"/>
        <v>0</v>
      </c>
      <c r="P178" s="308"/>
      <c r="Q178" s="551">
        <f>IF(G178&lt;&gt;0,1,0)</f>
        <v>0</v>
      </c>
      <c r="R178" s="3"/>
      <c r="W178" s="3" t="b">
        <f t="shared" si="19"/>
        <v>1</v>
      </c>
      <c r="X178" s="558">
        <f t="shared" si="12"/>
        <v>0</v>
      </c>
      <c r="Y178" s="558">
        <f t="shared" si="13"/>
        <v>0</v>
      </c>
    </row>
    <row r="179" spans="1:25" ht="140.25" customHeight="1" x14ac:dyDescent="0.3">
      <c r="A179" s="326">
        <f>'Unit Data from Audit Worksheet'!A199</f>
        <v>378</v>
      </c>
      <c r="B179" s="340" t="str">
        <f>'Unit Data from Audit Worksheet'!C199</f>
        <v>Electric Fund Revenue, Expenses &amp; Changes in Fund Net Position</v>
      </c>
      <c r="C179" s="325" t="str">
        <f>'Unit Data from Audit Worksheet'!D199</f>
        <v>Increases or (decreases) to beginning electric net position due to rounding, prior period adjustments and restatements.  Increase amounts to beginning net position should be entered as a positive amount and (decreases) should be entered as a negative amount.</v>
      </c>
      <c r="D179" s="345"/>
      <c r="E179" s="346">
        <f>+'Unit Data from Audit Worksheet'!F199</f>
        <v>0</v>
      </c>
      <c r="F179" s="339" t="e">
        <f>IF(L151-L178-L179=O151,,"Error: Beg. Bal does not agree with our records Acct 362-53-378= pr yr 362")</f>
        <v>#N/A</v>
      </c>
      <c r="G179" s="89" t="e">
        <f>L151-L178-L179-O151</f>
        <v>#N/A</v>
      </c>
      <c r="H179" s="338">
        <f>'Unit Data from Audit Worksheet'!I199</f>
        <v>0</v>
      </c>
      <c r="I179" s="37"/>
      <c r="J179" s="337">
        <v>378</v>
      </c>
      <c r="K179" s="336" t="s">
        <v>110</v>
      </c>
      <c r="L179" s="561">
        <f t="shared" si="20"/>
        <v>0</v>
      </c>
      <c r="P179" s="308"/>
      <c r="Q179" s="551" t="e">
        <f>IF(G179&lt;&gt;0,1,0)</f>
        <v>#N/A</v>
      </c>
      <c r="W179" s="3" t="b">
        <f t="shared" si="19"/>
        <v>1</v>
      </c>
      <c r="X179" s="558">
        <f t="shared" si="12"/>
        <v>0</v>
      </c>
      <c r="Y179" s="558">
        <f t="shared" si="13"/>
        <v>0</v>
      </c>
    </row>
    <row r="180" spans="1:25" ht="28.8" x14ac:dyDescent="0.3">
      <c r="A180" s="326">
        <f>'Unit Data from Audit Worksheet'!A204</f>
        <v>51</v>
      </c>
      <c r="B180" s="340" t="str">
        <f>'Unit Data from Audit Worksheet'!C204</f>
        <v>Water Sewer Cash Flow Statement</v>
      </c>
      <c r="C180" s="325" t="str">
        <f>'Unit Data from Audit Worksheet'!D204</f>
        <v>Total Cash flow from operating activities  - (Enter negative cash flows as negative)</v>
      </c>
      <c r="D180" s="345"/>
      <c r="E180" s="346">
        <f>'Unit Data from Audit Worksheet'!F204</f>
        <v>0</v>
      </c>
      <c r="F180" s="339"/>
      <c r="G180" s="341"/>
      <c r="H180" s="338">
        <f>'Unit Data from Audit Worksheet'!I204</f>
        <v>0</v>
      </c>
      <c r="I180" s="37"/>
      <c r="J180" s="337">
        <v>51</v>
      </c>
      <c r="K180" s="336" t="s">
        <v>246</v>
      </c>
      <c r="L180" s="561">
        <f t="shared" si="20"/>
        <v>0</v>
      </c>
      <c r="P180" s="308"/>
      <c r="W180" s="3" t="b">
        <f t="shared" si="19"/>
        <v>1</v>
      </c>
      <c r="X180" s="558">
        <f t="shared" si="12"/>
        <v>0</v>
      </c>
      <c r="Y180" s="558">
        <f t="shared" si="13"/>
        <v>0</v>
      </c>
    </row>
    <row r="181" spans="1:25" ht="64.5" customHeight="1" x14ac:dyDescent="0.3">
      <c r="A181" s="326">
        <f>'Unit Data from Audit Worksheet'!A205</f>
        <v>332</v>
      </c>
      <c r="B181" s="340" t="str">
        <f>'Unit Data from Audit Worksheet'!C205</f>
        <v>Water Sewer Cash Flow Statement</v>
      </c>
      <c r="C181" s="325" t="str">
        <f>'Unit Data from Audit Worksheet'!D205</f>
        <v>Total Capital outlay. 
Include acquisition and construction of capital assets.</v>
      </c>
      <c r="D181" s="345"/>
      <c r="E181" s="346">
        <f>'Unit Data from Audit Worksheet'!F205</f>
        <v>0</v>
      </c>
      <c r="F181" s="339">
        <f>IF(L181&lt;0,"Error: Enter as a positive.",)</f>
        <v>0</v>
      </c>
      <c r="G181" s="341"/>
      <c r="H181" s="338">
        <f>'Unit Data from Audit Worksheet'!I205</f>
        <v>0</v>
      </c>
      <c r="I181" s="37"/>
      <c r="J181" s="337">
        <v>332</v>
      </c>
      <c r="K181" s="336" t="s">
        <v>248</v>
      </c>
      <c r="L181" s="561">
        <f t="shared" si="20"/>
        <v>0</v>
      </c>
      <c r="O181" s="569"/>
      <c r="P181" s="308"/>
      <c r="W181" s="3" t="b">
        <f t="shared" si="19"/>
        <v>1</v>
      </c>
      <c r="X181" s="558">
        <f t="shared" si="12"/>
        <v>0</v>
      </c>
      <c r="Y181" s="558">
        <f t="shared" si="13"/>
        <v>0</v>
      </c>
    </row>
    <row r="182" spans="1:25" ht="58.5" customHeight="1" x14ac:dyDescent="0.3">
      <c r="A182" s="326">
        <f>'Unit Data from Audit Worksheet'!A206</f>
        <v>331</v>
      </c>
      <c r="B182" s="340" t="str">
        <f>'Unit Data from Audit Worksheet'!C206</f>
        <v>Water Sewer Cash Flow Statement</v>
      </c>
      <c r="C182" s="325" t="str">
        <f>'Unit Data from Audit Worksheet'!D206</f>
        <v>Principal paid on long-term debt.  Amount should be reduced by principal payments for debt refunding.</v>
      </c>
      <c r="D182" s="345"/>
      <c r="E182" s="346">
        <f>'Unit Data from Audit Worksheet'!F206</f>
        <v>0</v>
      </c>
      <c r="F182" s="339">
        <f>IF(L182&lt;0,"Error: Enter as a positive.",)</f>
        <v>0</v>
      </c>
      <c r="G182" s="341"/>
      <c r="H182" s="338">
        <f>'Unit Data from Audit Worksheet'!I206</f>
        <v>0</v>
      </c>
      <c r="I182" s="37"/>
      <c r="J182" s="337">
        <v>331</v>
      </c>
      <c r="K182" s="336" t="s">
        <v>247</v>
      </c>
      <c r="L182" s="561">
        <f t="shared" si="20"/>
        <v>0</v>
      </c>
      <c r="O182" s="569"/>
      <c r="P182" s="308"/>
      <c r="W182" s="3" t="b">
        <f t="shared" si="19"/>
        <v>1</v>
      </c>
      <c r="X182" s="558">
        <f t="shared" ref="X182:X276" si="21">E182-L182</f>
        <v>0</v>
      </c>
      <c r="Y182" s="558">
        <f t="shared" ref="Y182:Y276" si="22">D182-L182</f>
        <v>0</v>
      </c>
    </row>
    <row r="183" spans="1:25" ht="51.75" customHeight="1" x14ac:dyDescent="0.3">
      <c r="A183" s="326">
        <f>'Unit Data from Audit Worksheet'!A208</f>
        <v>55</v>
      </c>
      <c r="B183" s="340" t="str">
        <f>'Unit Data from Audit Worksheet'!C208</f>
        <v>Electric Fund Cash Flow Statement</v>
      </c>
      <c r="C183" s="325" t="str">
        <f>'Unit Data from Audit Worksheet'!D208</f>
        <v>Cash flow from operating activities - (enter negative cash flows as negative)</v>
      </c>
      <c r="D183" s="345"/>
      <c r="E183" s="346">
        <f>'Unit Data from Audit Worksheet'!F208</f>
        <v>0</v>
      </c>
      <c r="F183" s="339"/>
      <c r="G183" s="341"/>
      <c r="H183" s="338">
        <f>'Unit Data from Audit Worksheet'!I208</f>
        <v>0</v>
      </c>
      <c r="I183" s="37"/>
      <c r="J183" s="337">
        <v>55</v>
      </c>
      <c r="K183" s="336" t="s">
        <v>249</v>
      </c>
      <c r="L183" s="561">
        <f t="shared" si="20"/>
        <v>0</v>
      </c>
      <c r="P183" s="308"/>
      <c r="W183" s="3" t="b">
        <f t="shared" si="19"/>
        <v>1</v>
      </c>
      <c r="X183" s="558">
        <f t="shared" si="21"/>
        <v>0</v>
      </c>
      <c r="Y183" s="558">
        <f t="shared" si="22"/>
        <v>0</v>
      </c>
    </row>
    <row r="184" spans="1:25" ht="58.5" customHeight="1" x14ac:dyDescent="0.3">
      <c r="A184" s="326">
        <f>'Unit Data from Audit Worksheet'!A209</f>
        <v>101</v>
      </c>
      <c r="B184" s="340" t="str">
        <f>'Unit Data from Audit Worksheet'!C209</f>
        <v>Electric Fund Cash Flow Statement</v>
      </c>
      <c r="C184" s="325" t="str">
        <f>'Unit Data from Audit Worksheet'!D209</f>
        <v>Total Capital outlay.  
Include acquisition and construction of capital assets.</v>
      </c>
      <c r="D184" s="345"/>
      <c r="E184" s="346">
        <f>'Unit Data from Audit Worksheet'!F209</f>
        <v>0</v>
      </c>
      <c r="F184" s="339">
        <f>IF(L184&lt;0,"Error: Enter as a positive.",)</f>
        <v>0</v>
      </c>
      <c r="G184" s="341"/>
      <c r="H184" s="338">
        <f>'Unit Data from Audit Worksheet'!I209</f>
        <v>0</v>
      </c>
      <c r="I184" s="37"/>
      <c r="J184" s="337">
        <v>101</v>
      </c>
      <c r="K184" s="336" t="s">
        <v>250</v>
      </c>
      <c r="L184" s="561">
        <f t="shared" si="20"/>
        <v>0</v>
      </c>
      <c r="P184" s="308"/>
      <c r="W184" s="3" t="b">
        <f t="shared" si="19"/>
        <v>1</v>
      </c>
      <c r="X184" s="558">
        <f t="shared" si="21"/>
        <v>0</v>
      </c>
      <c r="Y184" s="558">
        <f t="shared" si="22"/>
        <v>0</v>
      </c>
    </row>
    <row r="185" spans="1:25" ht="60.75" customHeight="1" x14ac:dyDescent="0.3">
      <c r="A185" s="326">
        <f>'Unit Data from Audit Worksheet'!A210</f>
        <v>100</v>
      </c>
      <c r="B185" s="340" t="str">
        <f>'Unit Data from Audit Worksheet'!C210</f>
        <v>Electric Fund Cash Flow Statement</v>
      </c>
      <c r="C185" s="325" t="str">
        <f>'Unit Data from Audit Worksheet'!D210</f>
        <v>Principal paid on long-term debt.  Amount should be reduced by principal payments for debt refunding.</v>
      </c>
      <c r="D185" s="345"/>
      <c r="E185" s="346">
        <f>'Unit Data from Audit Worksheet'!F210</f>
        <v>0</v>
      </c>
      <c r="F185" s="339">
        <f>IF(L185&lt;0,"Error: Enter as a positive.",)</f>
        <v>0</v>
      </c>
      <c r="G185" s="341"/>
      <c r="H185" s="338">
        <f>'Unit Data from Audit Worksheet'!I210</f>
        <v>0</v>
      </c>
      <c r="I185" s="37"/>
      <c r="J185" s="337">
        <v>100</v>
      </c>
      <c r="K185" s="336" t="s">
        <v>251</v>
      </c>
      <c r="L185" s="561">
        <f t="shared" si="20"/>
        <v>0</v>
      </c>
      <c r="P185" s="308"/>
      <c r="W185" s="3" t="b">
        <f t="shared" si="19"/>
        <v>1</v>
      </c>
      <c r="X185" s="558">
        <f t="shared" si="21"/>
        <v>0</v>
      </c>
      <c r="Y185" s="558">
        <f t="shared" si="22"/>
        <v>0</v>
      </c>
    </row>
    <row r="186" spans="1:25" ht="71.25" customHeight="1" x14ac:dyDescent="0.3">
      <c r="A186" s="326">
        <f>'Unit Data from Audit Worksheet'!A212</f>
        <v>512</v>
      </c>
      <c r="B186" s="340" t="str">
        <f>'Unit Data from Audit Worksheet'!C212</f>
        <v>Fiduciary Statements</v>
      </c>
      <c r="C186" s="325" t="str">
        <f>'Unit Data from Audit Worksheet'!D212</f>
        <v>Cash and investments.  
Include:  unrestricted and restricted.  
                   cash and investments held 
                   by a third party</v>
      </c>
      <c r="D186" s="345"/>
      <c r="E186" s="346">
        <f>'Unit Data from Audit Worksheet'!F212</f>
        <v>0</v>
      </c>
      <c r="F186" s="339">
        <f>IF(L186&lt;0,"Error: Number is normally positive.",)</f>
        <v>0</v>
      </c>
      <c r="G186" s="341"/>
      <c r="H186" s="338">
        <f>'Unit Data from Audit Worksheet'!I212</f>
        <v>0</v>
      </c>
      <c r="I186" s="37"/>
      <c r="J186" s="337">
        <v>512</v>
      </c>
      <c r="K186" s="336" t="s">
        <v>252</v>
      </c>
      <c r="L186" s="561">
        <f t="shared" si="20"/>
        <v>0</v>
      </c>
      <c r="P186" s="308"/>
      <c r="W186" s="3" t="b">
        <f t="shared" si="19"/>
        <v>1</v>
      </c>
      <c r="X186" s="558">
        <f t="shared" si="21"/>
        <v>0</v>
      </c>
      <c r="Y186" s="558">
        <f t="shared" si="22"/>
        <v>0</v>
      </c>
    </row>
    <row r="187" spans="1:25" ht="62.25" customHeight="1" x14ac:dyDescent="0.3">
      <c r="A187" s="326">
        <f>'Unit Data from Audit Worksheet'!A214</f>
        <v>656</v>
      </c>
      <c r="B187" s="340">
        <f>'Unit Data from Audit Worksheet'!C214</f>
        <v>0</v>
      </c>
      <c r="C187" s="325" t="str">
        <f>'Unit Data from Audit Worksheet'!D214</f>
        <v>Do you use prepared food/occupancy tax revenue stream to support debt?  Select "1" for Yes and "2" for No</v>
      </c>
      <c r="D187" s="136"/>
      <c r="E187" s="346">
        <f>'Unit Data from Audit Worksheet'!F214</f>
        <v>0</v>
      </c>
      <c r="F187" s="339"/>
      <c r="G187" s="341"/>
      <c r="H187" s="338"/>
      <c r="I187" s="37"/>
      <c r="J187" s="337">
        <v>656</v>
      </c>
      <c r="K187" s="343" t="s">
        <v>501</v>
      </c>
      <c r="L187" s="587">
        <f>E187</f>
        <v>0</v>
      </c>
      <c r="M187" s="18"/>
      <c r="N187" s="18"/>
      <c r="O187" s="18"/>
      <c r="P187" s="308"/>
      <c r="W187" s="3" t="b">
        <f t="shared" si="19"/>
        <v>1</v>
      </c>
      <c r="X187" s="558">
        <f t="shared" si="21"/>
        <v>0</v>
      </c>
      <c r="Y187" s="558">
        <f t="shared" si="22"/>
        <v>0</v>
      </c>
    </row>
    <row r="188" spans="1:25" s="18" customFormat="1" ht="102.75" customHeight="1" x14ac:dyDescent="0.3">
      <c r="A188" s="326">
        <f>'Unit Data from Audit Worksheet'!A216</f>
        <v>535</v>
      </c>
      <c r="B188" s="340" t="str">
        <f>'Unit Data from Audit Worksheet'!C216</f>
        <v>Cash and Investment Note</v>
      </c>
      <c r="C188" s="325" t="str">
        <f>'Unit Data from Audit Worksheet'!D216</f>
        <v>Cash and Investment - Please list the book value of any unspent debt proceeds (bonds, installment, etc.) in any funds as of June 30.  This information may be on the face of your statements or in the notes</v>
      </c>
      <c r="D188" s="345"/>
      <c r="E188" s="346">
        <f>'Unit Data from Audit Worksheet'!F216</f>
        <v>0</v>
      </c>
      <c r="F188" s="85" t="str">
        <f>IF(L188&gt;1,,"Reminder: Please make sure you have entered all cash and investments from bond proceeds, if applicable")</f>
        <v>Reminder: Please make sure you have entered all cash and investments from bond proceeds, if applicable</v>
      </c>
      <c r="G188" s="341"/>
      <c r="H188" s="338">
        <f>'Unit Data from Audit Worksheet'!I216</f>
        <v>0</v>
      </c>
      <c r="I188" s="37"/>
      <c r="J188" s="337">
        <v>535</v>
      </c>
      <c r="K188" s="60" t="s">
        <v>253</v>
      </c>
      <c r="L188" s="561">
        <f t="shared" si="20"/>
        <v>0</v>
      </c>
      <c r="P188" s="308"/>
      <c r="Q188" s="551"/>
      <c r="R188" s="3"/>
      <c r="W188" s="3" t="b">
        <f t="shared" si="19"/>
        <v>1</v>
      </c>
      <c r="X188" s="558">
        <f t="shared" si="21"/>
        <v>0</v>
      </c>
      <c r="Y188" s="558">
        <f t="shared" si="22"/>
        <v>0</v>
      </c>
    </row>
    <row r="189" spans="1:25" ht="45.75" customHeight="1" x14ac:dyDescent="0.3">
      <c r="A189" s="326">
        <f>'Unit Data from Audit Worksheet'!A220</f>
        <v>334</v>
      </c>
      <c r="B189" s="340" t="str">
        <f>'Unit Data from Audit Worksheet'!C220</f>
        <v>Gov.-Capital Assets Schedule in the Notes</v>
      </c>
      <c r="C189" s="325" t="str">
        <f>'Unit Data from Audit Worksheet'!D220</f>
        <v>Gross value.  
Exclude non-depreciable.</v>
      </c>
      <c r="D189" s="345"/>
      <c r="E189" s="346">
        <f>'Unit Data from Audit Worksheet'!F220</f>
        <v>0</v>
      </c>
      <c r="F189" s="85"/>
      <c r="G189" s="341"/>
      <c r="H189" s="338">
        <f>'Unit Data from Audit Worksheet'!I220</f>
        <v>0</v>
      </c>
      <c r="I189" s="37"/>
      <c r="J189" s="337">
        <v>334</v>
      </c>
      <c r="K189" s="60" t="s">
        <v>272</v>
      </c>
      <c r="L189" s="561">
        <f t="shared" si="20"/>
        <v>0</v>
      </c>
      <c r="P189" s="308"/>
      <c r="W189" s="3" t="b">
        <f t="shared" si="19"/>
        <v>1</v>
      </c>
      <c r="X189" s="558">
        <f t="shared" si="21"/>
        <v>0</v>
      </c>
      <c r="Y189" s="558">
        <f t="shared" si="22"/>
        <v>0</v>
      </c>
    </row>
    <row r="190" spans="1:25" ht="57" customHeight="1" x14ac:dyDescent="0.3">
      <c r="A190" s="326">
        <f>'Unit Data from Audit Worksheet'!A221</f>
        <v>373</v>
      </c>
      <c r="B190" s="340" t="str">
        <f>'Unit Data from Audit Worksheet'!C221</f>
        <v>Gov.-Capital Assets Schedule in the Notes</v>
      </c>
      <c r="C190" s="325" t="str">
        <f>'Unit Data from Audit Worksheet'!D221</f>
        <v>Accumulated depreciation</v>
      </c>
      <c r="D190" s="345"/>
      <c r="E190" s="346">
        <f>'Unit Data from Audit Worksheet'!F221</f>
        <v>0</v>
      </c>
      <c r="F190" s="85"/>
      <c r="G190" s="341"/>
      <c r="H190" s="338">
        <f>'Unit Data from Audit Worksheet'!I221</f>
        <v>0</v>
      </c>
      <c r="I190" s="37"/>
      <c r="J190" s="337">
        <v>373</v>
      </c>
      <c r="K190" s="57" t="s">
        <v>322</v>
      </c>
      <c r="L190" s="561">
        <f t="shared" si="20"/>
        <v>0</v>
      </c>
      <c r="P190" s="308"/>
      <c r="W190" s="3" t="b">
        <f t="shared" si="19"/>
        <v>1</v>
      </c>
      <c r="X190" s="558">
        <f t="shared" si="21"/>
        <v>0</v>
      </c>
      <c r="Y190" s="558">
        <f t="shared" si="22"/>
        <v>0</v>
      </c>
    </row>
    <row r="191" spans="1:25" ht="102.75" customHeight="1" x14ac:dyDescent="0.3">
      <c r="A191" s="577">
        <f>'Unit Data from Audit Worksheet'!A222</f>
        <v>987</v>
      </c>
      <c r="B191" s="344">
        <f>'Unit Data from Audit Worksheet'!C222</f>
        <v>0</v>
      </c>
      <c r="C191" s="578" t="str">
        <f>'Unit Data from Audit Worksheet'!D222</f>
        <v xml:space="preserve">Estimated cost not yet budgeted of any mandate placed on unit by DEQ, a court order or some similar requirement (that has no realistic appeal path). </v>
      </c>
      <c r="D191" s="345"/>
      <c r="E191" s="346">
        <f>'Unit Data from Audit Worksheet'!F222</f>
        <v>0</v>
      </c>
      <c r="F191" s="85"/>
      <c r="G191" s="341"/>
      <c r="H191" s="338">
        <f>'Unit Data from Audit Worksheet'!I222</f>
        <v>0</v>
      </c>
      <c r="I191" s="37"/>
      <c r="J191" s="355">
        <v>987</v>
      </c>
      <c r="K191" s="588" t="s">
        <v>983</v>
      </c>
      <c r="L191" s="579">
        <f t="shared" si="20"/>
        <v>0</v>
      </c>
      <c r="P191" s="308"/>
      <c r="W191" s="3" t="b">
        <f t="shared" si="19"/>
        <v>1</v>
      </c>
      <c r="X191" s="558"/>
      <c r="Y191" s="558"/>
    </row>
    <row r="192" spans="1:25" ht="69" customHeight="1" x14ac:dyDescent="0.3">
      <c r="A192" s="577">
        <f>'Unit Data from Audit Worksheet'!A223</f>
        <v>988</v>
      </c>
      <c r="B192" s="344">
        <f>'Unit Data from Audit Worksheet'!C223</f>
        <v>0</v>
      </c>
      <c r="C192" s="578" t="str">
        <f>'Unit Data from Audit Worksheet'!D223</f>
        <v>Do you operate a landfill that will be closing  or have a significant portion closing within the next 5 years?  Select "1" for Yes and "2" for No</v>
      </c>
      <c r="D192" s="345"/>
      <c r="E192" s="346">
        <f>'Unit Data from Audit Worksheet'!F223</f>
        <v>0</v>
      </c>
      <c r="F192" s="85"/>
      <c r="G192" s="341"/>
      <c r="H192" s="338">
        <f>'Unit Data from Audit Worksheet'!I223</f>
        <v>0</v>
      </c>
      <c r="I192" s="37"/>
      <c r="J192" s="355">
        <v>988</v>
      </c>
      <c r="K192" s="588" t="s">
        <v>1442</v>
      </c>
      <c r="L192" s="579">
        <f t="shared" si="20"/>
        <v>0</v>
      </c>
      <c r="P192" s="308"/>
      <c r="W192" s="3" t="b">
        <f t="shared" si="19"/>
        <v>1</v>
      </c>
      <c r="X192" s="558"/>
      <c r="Y192" s="558"/>
    </row>
    <row r="193" spans="1:25" ht="95.25" customHeight="1" x14ac:dyDescent="0.3">
      <c r="A193" s="577">
        <f>'Unit Data from Audit Worksheet'!A224</f>
        <v>989</v>
      </c>
      <c r="B193" s="344">
        <f>'Unit Data from Audit Worksheet'!C224</f>
        <v>0</v>
      </c>
      <c r="C193" s="578" t="str">
        <f>'Unit Data from Audit Worksheet'!D224</f>
        <v>If you answered "yes" to question #988 above, will you have the closure/postclosure cost fully funded by the date of closure?  Select "1" for Yes,  "2" for No, or "3" for N/A.</v>
      </c>
      <c r="D193" s="345"/>
      <c r="E193" s="346">
        <f>'Unit Data from Audit Worksheet'!F224</f>
        <v>0</v>
      </c>
      <c r="F193" s="85"/>
      <c r="G193" s="341"/>
      <c r="H193" s="338">
        <f>'Unit Data from Audit Worksheet'!I224</f>
        <v>0</v>
      </c>
      <c r="I193" s="37"/>
      <c r="J193" s="355">
        <v>989</v>
      </c>
      <c r="K193" s="588" t="s">
        <v>1187</v>
      </c>
      <c r="L193" s="579">
        <f t="shared" si="20"/>
        <v>0</v>
      </c>
      <c r="P193" s="308"/>
      <c r="W193" s="3" t="b">
        <f t="shared" si="19"/>
        <v>1</v>
      </c>
      <c r="X193" s="558"/>
      <c r="Y193" s="558"/>
    </row>
    <row r="194" spans="1:25" ht="57" customHeight="1" x14ac:dyDescent="0.3">
      <c r="A194" s="326">
        <f>'Unit Data from Audit Worksheet'!A228</f>
        <v>327</v>
      </c>
      <c r="B194" s="340" t="str">
        <f>'Unit Data from Audit Worksheet'!C228</f>
        <v>WS-Capital Assets Schedule in the Notes</v>
      </c>
      <c r="C194" s="325" t="str">
        <f>'Unit Data from Audit Worksheet'!D228</f>
        <v>Land and all other non depreciable capital assets 
Exclude construction in progress</v>
      </c>
      <c r="D194" s="345"/>
      <c r="E194" s="346">
        <f>'Unit Data from Audit Worksheet'!F228</f>
        <v>0</v>
      </c>
      <c r="F194" s="85"/>
      <c r="G194" s="341"/>
      <c r="H194" s="338">
        <f>'Unit Data from Audit Worksheet'!I228</f>
        <v>0</v>
      </c>
      <c r="I194" s="37"/>
      <c r="J194" s="337">
        <v>327</v>
      </c>
      <c r="K194" s="57" t="s">
        <v>323</v>
      </c>
      <c r="L194" s="561">
        <f t="shared" si="20"/>
        <v>0</v>
      </c>
      <c r="P194" s="308"/>
      <c r="W194" s="3" t="b">
        <f t="shared" si="19"/>
        <v>1</v>
      </c>
      <c r="X194" s="558">
        <f t="shared" si="21"/>
        <v>0</v>
      </c>
      <c r="Y194" s="558">
        <f t="shared" si="22"/>
        <v>0</v>
      </c>
    </row>
    <row r="195" spans="1:25" ht="57" customHeight="1" x14ac:dyDescent="0.3">
      <c r="A195" s="326">
        <f>'Unit Data from Audit Worksheet'!A229</f>
        <v>328</v>
      </c>
      <c r="B195" s="340" t="str">
        <f>'Unit Data from Audit Worksheet'!C229</f>
        <v>WS-Capital Assets Schedule in the Notes</v>
      </c>
      <c r="C195" s="325" t="str">
        <f>'Unit Data from Audit Worksheet'!D229</f>
        <v>Construction in progress</v>
      </c>
      <c r="D195" s="345"/>
      <c r="E195" s="346">
        <f>'Unit Data from Audit Worksheet'!F229</f>
        <v>0</v>
      </c>
      <c r="F195" s="85"/>
      <c r="G195" s="341"/>
      <c r="H195" s="338">
        <f>'Unit Data from Audit Worksheet'!I229</f>
        <v>0</v>
      </c>
      <c r="I195" s="37"/>
      <c r="J195" s="337">
        <v>328</v>
      </c>
      <c r="K195" s="57" t="s">
        <v>324</v>
      </c>
      <c r="L195" s="561">
        <f t="shared" si="20"/>
        <v>0</v>
      </c>
      <c r="P195" s="308"/>
      <c r="W195" s="3" t="b">
        <f t="shared" si="19"/>
        <v>1</v>
      </c>
      <c r="X195" s="558">
        <f t="shared" si="21"/>
        <v>0</v>
      </c>
      <c r="Y195" s="558">
        <f t="shared" si="22"/>
        <v>0</v>
      </c>
    </row>
    <row r="196" spans="1:25" ht="46.5" customHeight="1" x14ac:dyDescent="0.3">
      <c r="A196" s="326">
        <f>'Unit Data from Audit Worksheet'!A233</f>
        <v>515</v>
      </c>
      <c r="B196" s="340" t="str">
        <f>'Unit Data from Audit Worksheet'!C233</f>
        <v>WS Capital Assets Schedule-Gross Value</v>
      </c>
      <c r="C196" s="325" t="str">
        <f>'Unit Data from Audit Worksheet'!D233</f>
        <v>Buildings</v>
      </c>
      <c r="D196" s="345"/>
      <c r="E196" s="346">
        <f>'Unit Data from Audit Worksheet'!F233</f>
        <v>0</v>
      </c>
      <c r="F196" s="85"/>
      <c r="G196" s="341"/>
      <c r="H196" s="338">
        <f>'Unit Data from Audit Worksheet'!I233</f>
        <v>0</v>
      </c>
      <c r="I196" s="37"/>
      <c r="J196" s="337">
        <v>515</v>
      </c>
      <c r="K196" s="57" t="s">
        <v>273</v>
      </c>
      <c r="L196" s="561">
        <f t="shared" si="20"/>
        <v>0</v>
      </c>
      <c r="P196" s="308"/>
      <c r="W196" s="3" t="b">
        <f t="shared" si="19"/>
        <v>1</v>
      </c>
      <c r="X196" s="558">
        <f t="shared" si="21"/>
        <v>0</v>
      </c>
      <c r="Y196" s="558">
        <f t="shared" si="22"/>
        <v>0</v>
      </c>
    </row>
    <row r="197" spans="1:25" ht="46.5" customHeight="1" x14ac:dyDescent="0.3">
      <c r="A197" s="326">
        <f>'Unit Data from Audit Worksheet'!A234</f>
        <v>516</v>
      </c>
      <c r="B197" s="340" t="str">
        <f>'Unit Data from Audit Worksheet'!C234</f>
        <v>WS Capital Assets Schedule-Gross Value</v>
      </c>
      <c r="C197" s="325" t="str">
        <f>'Unit Data from Audit Worksheet'!D234</f>
        <v>Plant / distributions systems / water lines</v>
      </c>
      <c r="D197" s="345"/>
      <c r="E197" s="346">
        <f>'Unit Data from Audit Worksheet'!F234</f>
        <v>0</v>
      </c>
      <c r="F197" s="85"/>
      <c r="G197" s="341"/>
      <c r="H197" s="338">
        <f>'Unit Data from Audit Worksheet'!I234</f>
        <v>0</v>
      </c>
      <c r="I197" s="37"/>
      <c r="J197" s="337">
        <v>516</v>
      </c>
      <c r="K197" s="57" t="s">
        <v>274</v>
      </c>
      <c r="L197" s="561">
        <f t="shared" si="20"/>
        <v>0</v>
      </c>
      <c r="P197" s="308"/>
      <c r="W197" s="3" t="b">
        <f t="shared" ref="W197:W228" si="23">EXACT(A197,J197)</f>
        <v>1</v>
      </c>
      <c r="X197" s="558">
        <f t="shared" si="21"/>
        <v>0</v>
      </c>
      <c r="Y197" s="558">
        <f t="shared" si="22"/>
        <v>0</v>
      </c>
    </row>
    <row r="198" spans="1:25" ht="46.5" customHeight="1" x14ac:dyDescent="0.3">
      <c r="A198" s="326">
        <f>'Unit Data from Audit Worksheet'!A235</f>
        <v>517</v>
      </c>
      <c r="B198" s="340" t="str">
        <f>'Unit Data from Audit Worksheet'!C235</f>
        <v>WS Capital Assets Schedule-Gross Value</v>
      </c>
      <c r="C198" s="325" t="str">
        <f>'Unit Data from Audit Worksheet'!D235</f>
        <v>Infrastructure(other infrastructure)</v>
      </c>
      <c r="D198" s="345"/>
      <c r="E198" s="346">
        <f>'Unit Data from Audit Worksheet'!F235</f>
        <v>0</v>
      </c>
      <c r="F198" s="85"/>
      <c r="G198" s="341"/>
      <c r="H198" s="338">
        <f>'Unit Data from Audit Worksheet'!I235</f>
        <v>0</v>
      </c>
      <c r="I198" s="37"/>
      <c r="J198" s="337">
        <v>517</v>
      </c>
      <c r="K198" s="589" t="s">
        <v>275</v>
      </c>
      <c r="L198" s="561">
        <f t="shared" si="20"/>
        <v>0</v>
      </c>
      <c r="P198" s="308"/>
      <c r="W198" s="3" t="b">
        <f t="shared" si="23"/>
        <v>1</v>
      </c>
      <c r="X198" s="558">
        <f t="shared" si="21"/>
        <v>0</v>
      </c>
      <c r="Y198" s="558">
        <f t="shared" si="22"/>
        <v>0</v>
      </c>
    </row>
    <row r="199" spans="1:25" ht="46.5" customHeight="1" x14ac:dyDescent="0.3">
      <c r="A199" s="326">
        <f>'Unit Data from Audit Worksheet'!A236</f>
        <v>518</v>
      </c>
      <c r="B199" s="340" t="str">
        <f>'Unit Data from Audit Worksheet'!C236</f>
        <v>WS Capital Assets Schedule-Gross Value</v>
      </c>
      <c r="C199" s="325" t="str">
        <f>'Unit Data from Audit Worksheet'!D236</f>
        <v>All other depreciable capital assets</v>
      </c>
      <c r="D199" s="345"/>
      <c r="E199" s="346">
        <f>'Unit Data from Audit Worksheet'!F236</f>
        <v>0</v>
      </c>
      <c r="F199" s="85"/>
      <c r="G199" s="341"/>
      <c r="H199" s="338">
        <f>'Unit Data from Audit Worksheet'!I236</f>
        <v>0</v>
      </c>
      <c r="I199" s="37"/>
      <c r="J199" s="337">
        <v>518</v>
      </c>
      <c r="K199" s="589" t="s">
        <v>276</v>
      </c>
      <c r="L199" s="561">
        <f t="shared" si="20"/>
        <v>0</v>
      </c>
      <c r="P199" s="308"/>
      <c r="W199" s="3" t="b">
        <f t="shared" si="23"/>
        <v>1</v>
      </c>
      <c r="X199" s="558">
        <f t="shared" si="21"/>
        <v>0</v>
      </c>
      <c r="Y199" s="558">
        <f t="shared" si="22"/>
        <v>0</v>
      </c>
    </row>
    <row r="200" spans="1:25" ht="52.5" customHeight="1" x14ac:dyDescent="0.3">
      <c r="A200" s="326">
        <f>'Unit Data from Audit Worksheet'!A239</f>
        <v>519</v>
      </c>
      <c r="B200" s="340" t="str">
        <f>'Unit Data from Audit Worksheet'!C239</f>
        <v>WS Capital Assets Schedule-Annual Depreciation</v>
      </c>
      <c r="C200" s="325" t="str">
        <f>'Unit Data from Audit Worksheet'!D239</f>
        <v>Buildings annual depreciation</v>
      </c>
      <c r="D200" s="345"/>
      <c r="E200" s="346">
        <f>'Unit Data from Audit Worksheet'!F239</f>
        <v>0</v>
      </c>
      <c r="F200" s="85"/>
      <c r="G200" s="341"/>
      <c r="H200" s="338">
        <f>'Unit Data from Audit Worksheet'!I239</f>
        <v>0</v>
      </c>
      <c r="I200" s="37"/>
      <c r="J200" s="337">
        <v>519</v>
      </c>
      <c r="K200" s="589" t="s">
        <v>277</v>
      </c>
      <c r="L200" s="561">
        <f t="shared" si="20"/>
        <v>0</v>
      </c>
      <c r="P200" s="308"/>
      <c r="W200" s="3" t="b">
        <f t="shared" si="23"/>
        <v>1</v>
      </c>
      <c r="X200" s="558">
        <f t="shared" si="21"/>
        <v>0</v>
      </c>
      <c r="Y200" s="558">
        <f t="shared" si="22"/>
        <v>0</v>
      </c>
    </row>
    <row r="201" spans="1:25" ht="52.5" customHeight="1" x14ac:dyDescent="0.3">
      <c r="A201" s="326">
        <f>'Unit Data from Audit Worksheet'!A240</f>
        <v>520</v>
      </c>
      <c r="B201" s="340" t="str">
        <f>'Unit Data from Audit Worksheet'!C240</f>
        <v>WS Capital Assets Schedule-Annual Depreciation</v>
      </c>
      <c r="C201" s="325" t="str">
        <f>'Unit Data from Audit Worksheet'!D240</f>
        <v>Plant / distributions systems / water lines annual depreciation</v>
      </c>
      <c r="D201" s="345"/>
      <c r="E201" s="346">
        <f>'Unit Data from Audit Worksheet'!F240</f>
        <v>0</v>
      </c>
      <c r="F201" s="85"/>
      <c r="G201" s="341"/>
      <c r="H201" s="338">
        <f>'Unit Data from Audit Worksheet'!I240</f>
        <v>0</v>
      </c>
      <c r="I201" s="37"/>
      <c r="J201" s="337">
        <v>520</v>
      </c>
      <c r="K201" s="589" t="s">
        <v>278</v>
      </c>
      <c r="L201" s="561">
        <f t="shared" si="20"/>
        <v>0</v>
      </c>
      <c r="P201" s="308"/>
      <c r="W201" s="3" t="b">
        <f t="shared" si="23"/>
        <v>1</v>
      </c>
      <c r="X201" s="558">
        <f t="shared" si="21"/>
        <v>0</v>
      </c>
      <c r="Y201" s="558">
        <f t="shared" si="22"/>
        <v>0</v>
      </c>
    </row>
    <row r="202" spans="1:25" ht="52.5" customHeight="1" x14ac:dyDescent="0.3">
      <c r="A202" s="326">
        <f>'Unit Data from Audit Worksheet'!A241</f>
        <v>521</v>
      </c>
      <c r="B202" s="340" t="str">
        <f>'Unit Data from Audit Worksheet'!C241</f>
        <v>WS Capital Assets Schedule-Annual Depreciation</v>
      </c>
      <c r="C202" s="325" t="str">
        <f>'Unit Data from Audit Worksheet'!D241</f>
        <v>Infrastructure(other infrastructure) annual depreciation</v>
      </c>
      <c r="D202" s="345"/>
      <c r="E202" s="346">
        <f>'Unit Data from Audit Worksheet'!F241</f>
        <v>0</v>
      </c>
      <c r="F202" s="85"/>
      <c r="G202" s="341"/>
      <c r="H202" s="338">
        <f>'Unit Data from Audit Worksheet'!I241</f>
        <v>0</v>
      </c>
      <c r="I202" s="37"/>
      <c r="J202" s="337">
        <v>521</v>
      </c>
      <c r="K202" s="57" t="s">
        <v>279</v>
      </c>
      <c r="L202" s="561">
        <f t="shared" si="20"/>
        <v>0</v>
      </c>
      <c r="P202" s="308"/>
      <c r="W202" s="3" t="b">
        <f t="shared" si="23"/>
        <v>1</v>
      </c>
      <c r="X202" s="558">
        <f t="shared" si="21"/>
        <v>0</v>
      </c>
      <c r="Y202" s="558">
        <f t="shared" si="22"/>
        <v>0</v>
      </c>
    </row>
    <row r="203" spans="1:25" ht="42.75" customHeight="1" x14ac:dyDescent="0.3">
      <c r="A203" s="326">
        <f>'Unit Data from Audit Worksheet'!A242</f>
        <v>522</v>
      </c>
      <c r="B203" s="340" t="str">
        <f>'Unit Data from Audit Worksheet'!C242</f>
        <v>WS Capital Assets Schedule-Annual Depreciation</v>
      </c>
      <c r="C203" s="325" t="str">
        <f>'Unit Data from Audit Worksheet'!D242</f>
        <v>All other depreciable capital assets annual depreciation</v>
      </c>
      <c r="D203" s="345"/>
      <c r="E203" s="346">
        <f>'Unit Data from Audit Worksheet'!F242</f>
        <v>0</v>
      </c>
      <c r="F203" s="85"/>
      <c r="G203" s="341"/>
      <c r="H203" s="338">
        <f>'Unit Data from Audit Worksheet'!I242</f>
        <v>0</v>
      </c>
      <c r="I203" s="37"/>
      <c r="J203" s="337">
        <v>522</v>
      </c>
      <c r="K203" s="57" t="s">
        <v>280</v>
      </c>
      <c r="L203" s="561">
        <f t="shared" si="20"/>
        <v>0</v>
      </c>
      <c r="P203" s="308"/>
      <c r="W203" s="3" t="b">
        <f t="shared" si="23"/>
        <v>1</v>
      </c>
      <c r="X203" s="558">
        <f t="shared" si="21"/>
        <v>0</v>
      </c>
      <c r="Y203" s="558">
        <f t="shared" si="22"/>
        <v>0</v>
      </c>
    </row>
    <row r="204" spans="1:25" ht="42.75" customHeight="1" x14ac:dyDescent="0.3">
      <c r="A204" s="326">
        <f>'Unit Data from Audit Worksheet'!A245</f>
        <v>523</v>
      </c>
      <c r="B204" s="340" t="str">
        <f>'Unit Data from Audit Worksheet'!C245</f>
        <v>WS Capital Assets Schedule-Accumulated Depreciation</v>
      </c>
      <c r="C204" s="325" t="str">
        <f>'Unit Data from Audit Worksheet'!D245</f>
        <v>Building accumulated depreciation</v>
      </c>
      <c r="D204" s="345"/>
      <c r="E204" s="346">
        <f>'Unit Data from Audit Worksheet'!F245</f>
        <v>0</v>
      </c>
      <c r="F204" s="85"/>
      <c r="G204" s="341"/>
      <c r="H204" s="338">
        <f>'Unit Data from Audit Worksheet'!I245</f>
        <v>0</v>
      </c>
      <c r="I204" s="37"/>
      <c r="J204" s="337">
        <v>523</v>
      </c>
      <c r="K204" s="57" t="s">
        <v>281</v>
      </c>
      <c r="L204" s="561">
        <f t="shared" si="20"/>
        <v>0</v>
      </c>
      <c r="P204" s="308"/>
      <c r="W204" s="3" t="b">
        <f t="shared" si="23"/>
        <v>1</v>
      </c>
      <c r="X204" s="558">
        <f t="shared" si="21"/>
        <v>0</v>
      </c>
      <c r="Y204" s="558">
        <f t="shared" si="22"/>
        <v>0</v>
      </c>
    </row>
    <row r="205" spans="1:25" ht="51" customHeight="1" x14ac:dyDescent="0.3">
      <c r="A205" s="326">
        <f>'Unit Data from Audit Worksheet'!A246</f>
        <v>524</v>
      </c>
      <c r="B205" s="340" t="str">
        <f>'Unit Data from Audit Worksheet'!C246</f>
        <v>WS Capital Assets Schedule-Accumulated Depreciation</v>
      </c>
      <c r="C205" s="325" t="str">
        <f>'Unit Data from Audit Worksheet'!D246</f>
        <v>Plant / distributions systems / water lines accumulated depreciation</v>
      </c>
      <c r="D205" s="345"/>
      <c r="E205" s="346">
        <f>'Unit Data from Audit Worksheet'!F246</f>
        <v>0</v>
      </c>
      <c r="F205" s="85"/>
      <c r="G205" s="341"/>
      <c r="H205" s="338">
        <f>'Unit Data from Audit Worksheet'!I246</f>
        <v>0</v>
      </c>
      <c r="I205" s="37"/>
      <c r="J205" s="337">
        <v>524</v>
      </c>
      <c r="K205" s="57" t="s">
        <v>282</v>
      </c>
      <c r="L205" s="561">
        <f t="shared" si="20"/>
        <v>0</v>
      </c>
      <c r="P205" s="308"/>
      <c r="W205" s="3" t="b">
        <f t="shared" si="23"/>
        <v>1</v>
      </c>
      <c r="X205" s="558">
        <f t="shared" si="21"/>
        <v>0</v>
      </c>
      <c r="Y205" s="558">
        <f t="shared" si="22"/>
        <v>0</v>
      </c>
    </row>
    <row r="206" spans="1:25" ht="57.75" customHeight="1" x14ac:dyDescent="0.3">
      <c r="A206" s="326">
        <f>'Unit Data from Audit Worksheet'!A247</f>
        <v>525</v>
      </c>
      <c r="B206" s="340" t="str">
        <f>'Unit Data from Audit Worksheet'!C247</f>
        <v>WS Capital Assets Schedule-Accumulated Depreciation</v>
      </c>
      <c r="C206" s="325" t="str">
        <f>'Unit Data from Audit Worksheet'!D247</f>
        <v>Infrastructure(other infrastructure) accumulated depreciation</v>
      </c>
      <c r="D206" s="345"/>
      <c r="E206" s="346">
        <f>'Unit Data from Audit Worksheet'!F247</f>
        <v>0</v>
      </c>
      <c r="F206" s="85"/>
      <c r="G206" s="341"/>
      <c r="H206" s="338">
        <f>'Unit Data from Audit Worksheet'!I247</f>
        <v>0</v>
      </c>
      <c r="I206" s="37"/>
      <c r="J206" s="337">
        <v>525</v>
      </c>
      <c r="K206" s="57" t="s">
        <v>283</v>
      </c>
      <c r="L206" s="561">
        <f t="shared" si="20"/>
        <v>0</v>
      </c>
      <c r="P206" s="308"/>
      <c r="W206" s="3" t="b">
        <f t="shared" si="23"/>
        <v>1</v>
      </c>
      <c r="X206" s="558">
        <f t="shared" si="21"/>
        <v>0</v>
      </c>
      <c r="Y206" s="558">
        <f t="shared" si="22"/>
        <v>0</v>
      </c>
    </row>
    <row r="207" spans="1:25" ht="48" customHeight="1" x14ac:dyDescent="0.3">
      <c r="A207" s="326">
        <f>'Unit Data from Audit Worksheet'!A248</f>
        <v>526</v>
      </c>
      <c r="B207" s="340" t="str">
        <f>'Unit Data from Audit Worksheet'!C248</f>
        <v>WS Capital Assets Schedule-Accumulated Depreciation</v>
      </c>
      <c r="C207" s="325" t="str">
        <f>'Unit Data from Audit Worksheet'!D248</f>
        <v>All other depreciable capital assets accumulated depreciation</v>
      </c>
      <c r="D207" s="345"/>
      <c r="E207" s="346">
        <f>'Unit Data from Audit Worksheet'!F248</f>
        <v>0</v>
      </c>
      <c r="F207" s="85"/>
      <c r="G207" s="341"/>
      <c r="H207" s="338">
        <f>'Unit Data from Audit Worksheet'!I248</f>
        <v>0</v>
      </c>
      <c r="I207" s="37"/>
      <c r="J207" s="337">
        <v>526</v>
      </c>
      <c r="K207" s="57" t="s">
        <v>284</v>
      </c>
      <c r="L207" s="561">
        <f t="shared" si="20"/>
        <v>0</v>
      </c>
      <c r="P207" s="308"/>
      <c r="W207" s="3" t="b">
        <f t="shared" si="23"/>
        <v>1</v>
      </c>
      <c r="X207" s="558">
        <f t="shared" si="21"/>
        <v>0</v>
      </c>
      <c r="Y207" s="558">
        <f t="shared" si="22"/>
        <v>0</v>
      </c>
    </row>
    <row r="208" spans="1:25" ht="50.25" customHeight="1" x14ac:dyDescent="0.3">
      <c r="A208" s="326">
        <f>'Unit Data from Audit Worksheet'!A253</f>
        <v>527</v>
      </c>
      <c r="B208" s="340" t="str">
        <f>'Unit Data from Audit Worksheet'!C253</f>
        <v>Electric Assets</v>
      </c>
      <c r="C208" s="325" t="str">
        <f>'Unit Data from Audit Worksheet'!D253</f>
        <v>Total Assets Gross value not being depreciated for Electric Fund</v>
      </c>
      <c r="D208" s="345"/>
      <c r="E208" s="346">
        <f>'Unit Data from Audit Worksheet'!F253</f>
        <v>0</v>
      </c>
      <c r="F208" s="85"/>
      <c r="G208" s="341"/>
      <c r="H208" s="338">
        <f>'Unit Data from Audit Worksheet'!I253</f>
        <v>0</v>
      </c>
      <c r="I208" s="37"/>
      <c r="J208" s="337">
        <v>527</v>
      </c>
      <c r="K208" s="57" t="s">
        <v>285</v>
      </c>
      <c r="L208" s="561">
        <f t="shared" si="20"/>
        <v>0</v>
      </c>
      <c r="P208" s="308"/>
      <c r="W208" s="3" t="b">
        <f t="shared" si="23"/>
        <v>1</v>
      </c>
      <c r="X208" s="558">
        <f t="shared" si="21"/>
        <v>0</v>
      </c>
      <c r="Y208" s="558">
        <f t="shared" si="22"/>
        <v>0</v>
      </c>
    </row>
    <row r="209" spans="1:27" ht="54.75" customHeight="1" x14ac:dyDescent="0.3">
      <c r="A209" s="326">
        <f>'Unit Data from Audit Worksheet'!A254</f>
        <v>356</v>
      </c>
      <c r="B209" s="340" t="str">
        <f>'Unit Data from Audit Worksheet'!C254</f>
        <v>Electric Assets</v>
      </c>
      <c r="C209" s="325" t="str">
        <f>'Unit Data from Audit Worksheet'!D254</f>
        <v>Total Assets Gross value of assets being depreciated for Electric Fund</v>
      </c>
      <c r="D209" s="345"/>
      <c r="E209" s="346">
        <f>'Unit Data from Audit Worksheet'!F254</f>
        <v>0</v>
      </c>
      <c r="F209" s="85"/>
      <c r="G209" s="341"/>
      <c r="H209" s="338">
        <f>'Unit Data from Audit Worksheet'!I254</f>
        <v>0</v>
      </c>
      <c r="I209" s="37"/>
      <c r="J209" s="337">
        <v>356</v>
      </c>
      <c r="K209" s="57" t="s">
        <v>325</v>
      </c>
      <c r="L209" s="561">
        <f t="shared" si="20"/>
        <v>0</v>
      </c>
      <c r="P209" s="308"/>
      <c r="W209" s="3" t="b">
        <f t="shared" si="23"/>
        <v>1</v>
      </c>
      <c r="X209" s="558">
        <f t="shared" si="21"/>
        <v>0</v>
      </c>
      <c r="Y209" s="558">
        <f t="shared" si="22"/>
        <v>0</v>
      </c>
    </row>
    <row r="210" spans="1:27" ht="54.75" customHeight="1" x14ac:dyDescent="0.3">
      <c r="A210" s="326">
        <f>'Unit Data from Audit Worksheet'!A255</f>
        <v>357</v>
      </c>
      <c r="B210" s="340" t="str">
        <f>'Unit Data from Audit Worksheet'!C255</f>
        <v>Electric Accumulated Depreciation</v>
      </c>
      <c r="C210" s="325" t="str">
        <f>'Unit Data from Audit Worksheet'!D255</f>
        <v>Total accumulated depreciation for Electric Fund assets</v>
      </c>
      <c r="D210" s="345"/>
      <c r="E210" s="346">
        <f>'Unit Data from Audit Worksheet'!F255</f>
        <v>0</v>
      </c>
      <c r="F210" s="85"/>
      <c r="G210" s="341"/>
      <c r="H210" s="338">
        <f>'Unit Data from Audit Worksheet'!I255</f>
        <v>0</v>
      </c>
      <c r="I210" s="37"/>
      <c r="J210" s="337">
        <v>357</v>
      </c>
      <c r="K210" s="57" t="s">
        <v>326</v>
      </c>
      <c r="L210" s="561">
        <f t="shared" si="20"/>
        <v>0</v>
      </c>
      <c r="P210" s="308"/>
      <c r="W210" s="3" t="b">
        <f t="shared" si="23"/>
        <v>1</v>
      </c>
      <c r="X210" s="558">
        <f t="shared" si="21"/>
        <v>0</v>
      </c>
      <c r="Y210" s="558">
        <f t="shared" si="22"/>
        <v>0</v>
      </c>
    </row>
    <row r="211" spans="1:27" ht="191.25" customHeight="1" x14ac:dyDescent="0.3">
      <c r="A211" s="326">
        <f>'Unit Data from Audit Worksheet'!A257</f>
        <v>337</v>
      </c>
      <c r="B211" s="340" t="str">
        <f>'Unit Data from Audit Worksheet'!C257</f>
        <v>Long-Term Liability Note - Governmental Activities</v>
      </c>
      <c r="C211" s="340" t="str">
        <f>'Unit Data from Audit Worksheet'!D257</f>
        <v>Total current and non-current portion of Debt. 
Include:  Bonds, bond anticipation notes, 
                 Capital leases,
                 Premiums and discounts,
                 Installment purchases. 
Exclude: Compensated absences, 
                 Pensions, 
                 Other post-employment benefits 
                 (OPEB), 
                 Debt within the primary government, 
                 Amounts due to participants from
                 internal service funds, 
                 Landfill closure/postclosure liability, 
                 Any other debt not directly related to 
                        long-term contracts.</v>
      </c>
      <c r="D211" s="345"/>
      <c r="E211" s="346">
        <f>'Unit Data from Audit Worksheet'!F257</f>
        <v>0</v>
      </c>
      <c r="F211" s="339">
        <f>IF(L211&lt;0,"Error: Enter as a positive.",)</f>
        <v>0</v>
      </c>
      <c r="G211" s="341"/>
      <c r="H211" s="338">
        <f>'Unit Data from Audit Worksheet'!I257</f>
        <v>0</v>
      </c>
      <c r="I211" s="37"/>
      <c r="J211" s="337">
        <v>337</v>
      </c>
      <c r="K211" s="336" t="s">
        <v>254</v>
      </c>
      <c r="L211" s="561">
        <f t="shared" si="20"/>
        <v>0</v>
      </c>
      <c r="P211" s="308"/>
      <c r="W211" s="3" t="b">
        <f t="shared" si="23"/>
        <v>1</v>
      </c>
      <c r="X211" s="558">
        <f t="shared" si="21"/>
        <v>0</v>
      </c>
      <c r="Y211" s="558">
        <f t="shared" si="22"/>
        <v>0</v>
      </c>
    </row>
    <row r="212" spans="1:27" ht="76.5" customHeight="1" x14ac:dyDescent="0.3">
      <c r="A212" s="326">
        <f>'Unit Data from Audit Worksheet'!A258</f>
        <v>343</v>
      </c>
      <c r="B212" s="340" t="str">
        <f>'Unit Data from Audit Worksheet'!C258</f>
        <v>Long-Term Liability Note - Governmental Activities</v>
      </c>
      <c r="C212" s="325" t="str">
        <f>'Unit Data from Audit Worksheet'!D258</f>
        <v>Decreases made (principal paid) on Long-Term Debt in current fiscal year.  Reduce for debt refunding.</v>
      </c>
      <c r="D212" s="345"/>
      <c r="E212" s="346">
        <f>'Unit Data from Audit Worksheet'!F258</f>
        <v>0</v>
      </c>
      <c r="F212" s="339">
        <f>IF(L212&lt;0,"Error: Enter as a positive.",)</f>
        <v>0</v>
      </c>
      <c r="G212" s="341"/>
      <c r="H212" s="338">
        <f>'Unit Data from Audit Worksheet'!I258</f>
        <v>0</v>
      </c>
      <c r="I212" s="37"/>
      <c r="J212" s="337">
        <v>343</v>
      </c>
      <c r="K212" s="336" t="s">
        <v>255</v>
      </c>
      <c r="L212" s="561">
        <f t="shared" si="20"/>
        <v>0</v>
      </c>
      <c r="P212" s="308"/>
      <c r="W212" s="3" t="b">
        <f t="shared" si="23"/>
        <v>1</v>
      </c>
      <c r="X212" s="558">
        <f t="shared" si="21"/>
        <v>0</v>
      </c>
      <c r="Y212" s="558">
        <f t="shared" si="22"/>
        <v>0</v>
      </c>
    </row>
    <row r="213" spans="1:27" ht="193.5" customHeight="1" x14ac:dyDescent="0.3">
      <c r="A213" s="326">
        <f>'Unit Data from Audit Worksheet'!A259</f>
        <v>82</v>
      </c>
      <c r="B213" s="340" t="str">
        <f>'Unit Data from Audit Worksheet'!C259</f>
        <v>Long-Term Liability Note - Water Sewer Activities</v>
      </c>
      <c r="C213" s="340" t="str">
        <f>'Unit Data from Audit Worksheet'!D259</f>
        <v>Total current and non-current portion of Debt. 
Include:  Bonds, bond anticipation notes, 
                 Capital leases,
                 Premiums and discounts,
                 Installment purchases. 
Exclude: Compensated absences, 
                 Pensions, 
                 Other post-employment benefits (OPEB), 
                 Debt within the primary government, 
                 Amounts due to participants from
                        internal service funds, 
                 Landfill closure/postclosure liability, 
                 Any other debt not directly related to 
                        long-term contracts.</v>
      </c>
      <c r="D213" s="345"/>
      <c r="E213" s="346">
        <f>'Unit Data from Audit Worksheet'!F259</f>
        <v>0</v>
      </c>
      <c r="F213" s="339">
        <f>IF(L213&lt;0,"Error: Enter as a positive.",)</f>
        <v>0</v>
      </c>
      <c r="G213" s="341"/>
      <c r="H213" s="338">
        <f>'Unit Data from Audit Worksheet'!I259</f>
        <v>0</v>
      </c>
      <c r="I213" s="37"/>
      <c r="J213" s="337">
        <v>82</v>
      </c>
      <c r="K213" s="67" t="s">
        <v>327</v>
      </c>
      <c r="L213" s="561">
        <f t="shared" si="20"/>
        <v>0</v>
      </c>
      <c r="P213" s="308"/>
      <c r="W213" s="3" t="b">
        <f t="shared" si="23"/>
        <v>1</v>
      </c>
      <c r="X213" s="558">
        <f t="shared" si="21"/>
        <v>0</v>
      </c>
      <c r="Y213" s="558">
        <f t="shared" si="22"/>
        <v>0</v>
      </c>
    </row>
    <row r="214" spans="1:27" ht="206.25" customHeight="1" x14ac:dyDescent="0.3">
      <c r="A214" s="326">
        <f>'Unit Data from Audit Worksheet'!A260</f>
        <v>359</v>
      </c>
      <c r="B214" s="340" t="str">
        <f>'Unit Data from Audit Worksheet'!C260</f>
        <v>Long-Term Liability Note - Electric Activities</v>
      </c>
      <c r="C214" s="340" t="str">
        <f>'Unit Data from Audit Worksheet'!D260</f>
        <v>Total current and non-current portion of Debt. 
Include:  Bonds, bond anticipation notes, 
                 Capital leases,
                 Premiums and discounts,
                 Installment purchases. 
Exclude: Compensated absences, 
                 Pensions, 
                 Other post-employment benefits (OPEB), 
                 Debt within the primary government, 
                 Amounts due to participants from
                        internal service funds, 
                 Landfill closure/postclosure liability, 
                 Any other debt not directly related to 
                        long-term contracts.</v>
      </c>
      <c r="D214" s="345"/>
      <c r="E214" s="346">
        <f>'Unit Data from Audit Worksheet'!F260</f>
        <v>0</v>
      </c>
      <c r="F214" s="339">
        <f>IF(L214&lt;0,"Error: Enter as a positive.",)</f>
        <v>0</v>
      </c>
      <c r="G214" s="341"/>
      <c r="H214" s="338">
        <f>'Unit Data from Audit Worksheet'!I260</f>
        <v>0</v>
      </c>
      <c r="I214" s="37"/>
      <c r="J214" s="337">
        <v>359</v>
      </c>
      <c r="K214" s="336" t="s">
        <v>256</v>
      </c>
      <c r="L214" s="561">
        <f t="shared" si="20"/>
        <v>0</v>
      </c>
      <c r="P214" s="308"/>
      <c r="W214" s="3" t="b">
        <f t="shared" si="23"/>
        <v>1</v>
      </c>
      <c r="X214" s="558">
        <f t="shared" si="21"/>
        <v>0</v>
      </c>
      <c r="Y214" s="558">
        <f t="shared" si="22"/>
        <v>0</v>
      </c>
    </row>
    <row r="215" spans="1:27" ht="76.5" customHeight="1" x14ac:dyDescent="0.3">
      <c r="A215" s="326">
        <f>'Unit Data from Audit Worksheet'!A262</f>
        <v>622</v>
      </c>
      <c r="B215" s="340" t="str">
        <f>'Unit Data from Audit Worksheet'!C262</f>
        <v>FS., Pension note or RSI</v>
      </c>
      <c r="C215" s="340" t="str">
        <f>'Unit Data from Audit Worksheet'!D262</f>
        <v xml:space="preserve">Unit's Share of Net Pension Liability ($s)
- unit of government is a participating employer in the State's TSERS (Teachers' and State Employees' Retirement System) or the LGERS (Local Governmental Employees' Retirement System).  </v>
      </c>
      <c r="D215" s="345"/>
      <c r="E215" s="346">
        <f>'Unit Data from Audit Worksheet'!F262</f>
        <v>0</v>
      </c>
      <c r="F215" s="339"/>
      <c r="G215" s="341"/>
      <c r="H215" s="338"/>
      <c r="I215" s="37"/>
      <c r="J215" s="337">
        <v>622</v>
      </c>
      <c r="K215" s="343" t="s">
        <v>408</v>
      </c>
      <c r="L215" s="561">
        <f t="shared" si="20"/>
        <v>0</v>
      </c>
      <c r="P215" s="308"/>
      <c r="W215" s="3" t="b">
        <f t="shared" si="23"/>
        <v>1</v>
      </c>
      <c r="X215" s="558">
        <f t="shared" si="21"/>
        <v>0</v>
      </c>
      <c r="Y215" s="558">
        <f t="shared" si="22"/>
        <v>0</v>
      </c>
    </row>
    <row r="216" spans="1:27" ht="138.75" customHeight="1" x14ac:dyDescent="0.3">
      <c r="A216" s="326">
        <f>'Unit Data from Audit Worksheet'!A263</f>
        <v>577</v>
      </c>
      <c r="B216" s="340" t="str">
        <f>'Unit Data from Audit Worksheet'!C263</f>
        <v>Pension Notes</v>
      </c>
      <c r="C216" s="340" t="str">
        <f>'Unit Data from Audit Worksheet'!D263</f>
        <v xml:space="preserve">Does your unit sponsor a defined benefit retirement plan other than the four State or Local Government Retirement Plans administered by the State of North Carolina: LGERS, TSERS, Firefighters' and Rescue Squad Workers' and the Registers of Deeds' Supplemental Pension?  Answer Yes if you do have a defined benefit retirement plan other than those mentioned above and provide the name of the plan , a brief description of the benefit and the population group that received the benefit in column G.
</v>
      </c>
      <c r="D216" s="345"/>
      <c r="E216" s="346" t="str">
        <f>IF('Unit Data from Audit Worksheet'!F263="Yes",1,IF('Unit Data from Audit Worksheet'!F263="No",2,IF('Unit Data from Audit Worksheet'!F263&lt;1,"",IF('Unit Data from Audit Worksheet'!F263=0&gt;2,""))))</f>
        <v/>
      </c>
      <c r="F216" s="339"/>
      <c r="G216" s="341"/>
      <c r="H216" s="338"/>
      <c r="I216" s="37"/>
      <c r="J216" s="337">
        <v>577</v>
      </c>
      <c r="K216" s="343" t="s">
        <v>353</v>
      </c>
      <c r="L216" s="561" t="str">
        <f t="shared" si="20"/>
        <v/>
      </c>
      <c r="P216" s="308"/>
      <c r="W216" s="3" t="b">
        <f t="shared" si="23"/>
        <v>1</v>
      </c>
      <c r="X216" s="558" t="e">
        <f t="shared" si="21"/>
        <v>#VALUE!</v>
      </c>
      <c r="Y216" s="558" t="e">
        <f t="shared" si="22"/>
        <v>#VALUE!</v>
      </c>
    </row>
    <row r="217" spans="1:27" ht="115.5" customHeight="1" x14ac:dyDescent="0.3">
      <c r="A217" s="590">
        <f>'Unit Data from Audit Worksheet'!A265</f>
        <v>598</v>
      </c>
      <c r="B217" s="340" t="str">
        <f>'Unit Data from Audit Worksheet'!C265</f>
        <v>LEO Note</v>
      </c>
      <c r="C217" s="325" t="str">
        <f>'Unit Data from Audit Worksheet'!D265</f>
        <v>Amount the unit paid out in benefits under LEO special separation allowance to retired law enforcement officers this fiscal year if you report under GASB 68 or GASB 73.</v>
      </c>
      <c r="D217" s="345"/>
      <c r="E217" s="346">
        <f>'Unit Data from Audit Worksheet'!F265</f>
        <v>0</v>
      </c>
      <c r="F217" s="339">
        <f>IF(L217&lt;0,"Error: Enter as a positive.",)</f>
        <v>0</v>
      </c>
      <c r="G217" s="341"/>
      <c r="H217" s="338">
        <f>'Unit Data from Audit Worksheet'!I265</f>
        <v>0</v>
      </c>
      <c r="I217" s="37"/>
      <c r="J217" s="337">
        <v>598</v>
      </c>
      <c r="K217" s="92" t="s">
        <v>377</v>
      </c>
      <c r="L217" s="561">
        <f t="shared" si="20"/>
        <v>0</v>
      </c>
      <c r="P217" s="308"/>
      <c r="W217" s="3" t="b">
        <f t="shared" si="23"/>
        <v>1</v>
      </c>
      <c r="X217" s="558">
        <f t="shared" si="21"/>
        <v>0</v>
      </c>
      <c r="Y217" s="558">
        <f t="shared" si="22"/>
        <v>0</v>
      </c>
    </row>
    <row r="218" spans="1:27" ht="84" customHeight="1" x14ac:dyDescent="0.3">
      <c r="A218" s="326">
        <f>'Unit Data from Audit Worksheet'!A266</f>
        <v>599</v>
      </c>
      <c r="B218" s="340" t="str">
        <f>'Unit Data from Audit Worksheet'!C266</f>
        <v>LEO Note</v>
      </c>
      <c r="C218" s="325" t="str">
        <f>'Unit Data from Audit Worksheet'!D266</f>
        <v>The total LEO pension liability if you report under GASB 68 or GASB 73.</v>
      </c>
      <c r="D218" s="345"/>
      <c r="E218" s="346">
        <f>'Unit Data from Audit Worksheet'!F266</f>
        <v>0</v>
      </c>
      <c r="F218" s="339">
        <f>IF(L218&lt;0,"Error: Enter as a positive.",)</f>
        <v>0</v>
      </c>
      <c r="G218" s="341"/>
      <c r="H218" s="338">
        <f>'Unit Data from Audit Worksheet'!I266</f>
        <v>0</v>
      </c>
      <c r="I218" s="37"/>
      <c r="J218" s="337">
        <v>599</v>
      </c>
      <c r="K218" s="91" t="s">
        <v>376</v>
      </c>
      <c r="L218" s="561">
        <f t="shared" si="20"/>
        <v>0</v>
      </c>
      <c r="M218" s="591"/>
      <c r="P218" s="308"/>
      <c r="W218" s="3" t="b">
        <f t="shared" si="23"/>
        <v>1</v>
      </c>
      <c r="X218" s="558">
        <f t="shared" si="21"/>
        <v>0</v>
      </c>
      <c r="Y218" s="558">
        <f t="shared" si="22"/>
        <v>0</v>
      </c>
    </row>
    <row r="219" spans="1:27" ht="102.75" customHeight="1" x14ac:dyDescent="0.3">
      <c r="A219" s="326">
        <f>'Unit Data from Audit Worksheet'!A267</f>
        <v>602</v>
      </c>
      <c r="B219" s="340" t="str">
        <f>'Unit Data from Audit Worksheet'!C267</f>
        <v>LEO Note</v>
      </c>
      <c r="C219" s="325" t="str">
        <f>'Unit Data from Audit Worksheet'!D267</f>
        <v>If you have LEO pension assets and are reporting under GASB 68 please enter "Plan Fiduciary Net Position" which can be found on your RSI schedules and the Notes.</v>
      </c>
      <c r="D219" s="345"/>
      <c r="E219" s="346">
        <f>'Unit Data from Audit Worksheet'!F267</f>
        <v>0</v>
      </c>
      <c r="F219" s="339">
        <f>IF(L219&lt;0,"Error: Enter as a positive.",)</f>
        <v>0</v>
      </c>
      <c r="G219" s="341"/>
      <c r="H219" s="338">
        <f>'Unit Data from Audit Worksheet'!I267</f>
        <v>0</v>
      </c>
      <c r="I219" s="37"/>
      <c r="J219" s="337">
        <v>602</v>
      </c>
      <c r="K219" s="25" t="s">
        <v>378</v>
      </c>
      <c r="L219" s="561">
        <f t="shared" si="20"/>
        <v>0</v>
      </c>
      <c r="M219" s="591"/>
      <c r="P219" s="308"/>
      <c r="W219" s="3" t="b">
        <f t="shared" si="23"/>
        <v>1</v>
      </c>
      <c r="X219" s="558">
        <f t="shared" si="21"/>
        <v>0</v>
      </c>
      <c r="Y219" s="558">
        <f t="shared" si="22"/>
        <v>0</v>
      </c>
    </row>
    <row r="220" spans="1:27" ht="123" customHeight="1" x14ac:dyDescent="0.3">
      <c r="A220" s="326">
        <f>'Unit Data from Audit Worksheet'!A268</f>
        <v>619</v>
      </c>
      <c r="B220" s="340" t="str">
        <f>'Unit Data from Audit Worksheet'!C268</f>
        <v>LEO
RSI</v>
      </c>
      <c r="C220" s="92" t="str">
        <f>'Unit Data from Audit Worksheet'!D268</f>
        <v>LEOSSA – What is the plan’s fiduciary net position as a percentage of the total pension liability?  Please enter as percentage value; for example, 83.5% should be entered as 83.5.  If assets have not been set aside in a trust, please enter 0.0</v>
      </c>
      <c r="D220" s="93"/>
      <c r="E220" s="147">
        <f>'Unit Data from Audit Worksheet'!F268</f>
        <v>0</v>
      </c>
      <c r="F220" s="339" t="str">
        <f>IF(H220=L220,"","Column L does not equal Column H")</f>
        <v/>
      </c>
      <c r="G220" s="341"/>
      <c r="H220" s="101">
        <f>ROUND(IFERROR((L219/L218)*100,0),1)</f>
        <v>0</v>
      </c>
      <c r="I220" s="37"/>
      <c r="J220" s="328">
        <v>619</v>
      </c>
      <c r="K220" s="100" t="s">
        <v>537</v>
      </c>
      <c r="L220" s="883">
        <f t="shared" si="20"/>
        <v>0</v>
      </c>
      <c r="M220" s="591"/>
      <c r="P220" s="592"/>
      <c r="Q220" s="593">
        <f>IF(H220=L220,0,1)</f>
        <v>0</v>
      </c>
      <c r="W220" s="3" t="b">
        <f t="shared" si="23"/>
        <v>1</v>
      </c>
      <c r="X220" s="558">
        <f t="shared" si="21"/>
        <v>0</v>
      </c>
      <c r="Y220" s="558">
        <f t="shared" si="22"/>
        <v>0</v>
      </c>
    </row>
    <row r="221" spans="1:27" ht="113.25" customHeight="1" x14ac:dyDescent="0.3">
      <c r="A221" s="326">
        <v>621</v>
      </c>
      <c r="B221" s="56" t="s">
        <v>400</v>
      </c>
      <c r="C221" s="594" t="str">
        <f>'Unit Data from Audit Worksheet'!D270</f>
        <v xml:space="preserve">Unit's share of Retirement Health Benefit Fund Net OPEB Liability ($s)
- unit of government is a participating employer in the State's RHBF </v>
      </c>
      <c r="D221" s="93"/>
      <c r="E221" s="346">
        <f>'Unit Data from Audit Worksheet'!F270</f>
        <v>0</v>
      </c>
      <c r="F221" s="339">
        <f>IF(L221&lt;0,"Error: Enter as a positive.",)</f>
        <v>0</v>
      </c>
      <c r="G221" s="125"/>
      <c r="H221" s="338"/>
      <c r="I221" s="37"/>
      <c r="J221" s="595">
        <v>621</v>
      </c>
      <c r="K221" s="126" t="s">
        <v>542</v>
      </c>
      <c r="L221" s="561">
        <f t="shared" si="20"/>
        <v>0</v>
      </c>
      <c r="M221" s="591"/>
      <c r="P221" s="595"/>
      <c r="Q221" s="288"/>
      <c r="W221" s="3" t="b">
        <f t="shared" si="23"/>
        <v>1</v>
      </c>
      <c r="X221" s="558">
        <f t="shared" si="21"/>
        <v>0</v>
      </c>
      <c r="Y221" s="558">
        <f t="shared" si="22"/>
        <v>0</v>
      </c>
    </row>
    <row r="222" spans="1:27" s="18" customFormat="1" ht="127.5" customHeight="1" x14ac:dyDescent="0.3">
      <c r="A222" s="590">
        <f>'Unit Data from Audit Worksheet'!A271</f>
        <v>547</v>
      </c>
      <c r="B222" s="340" t="str">
        <f>'Unit Data from Audit Worksheet'!C271</f>
        <v>OPEB Note</v>
      </c>
      <c r="C222" s="340" t="str">
        <f>'Unit Data from Audit Worksheet'!D271</f>
        <v>Select 1,2,3 or 4:
1-Unit has an OPEB benefit that allows qualified retirees to received health care if the retiree pays the same premium rate as an active employee
2-The unit has no OPEB benefits
3- The unit pays some portion of the qualified retiree's health care premium
4-The unit's qualified retiree's receive health care under the state health care plan</v>
      </c>
      <c r="D222" s="345"/>
      <c r="E222" s="346">
        <f>'Unit Data from Audit Worksheet'!F271</f>
        <v>0</v>
      </c>
      <c r="F222" s="339" t="str">
        <f>IF(L225&lt;1,"Please answer this question","")</f>
        <v>Please answer this question</v>
      </c>
      <c r="G222" s="341"/>
      <c r="H222" s="338">
        <f>'Unit Data from Audit Worksheet'!I271</f>
        <v>0</v>
      </c>
      <c r="I222" s="37"/>
      <c r="J222" s="337">
        <v>547</v>
      </c>
      <c r="K222" s="596" t="s">
        <v>315</v>
      </c>
      <c r="L222" s="561">
        <f t="shared" si="20"/>
        <v>0</v>
      </c>
      <c r="M222" s="582"/>
      <c r="P222" s="308"/>
      <c r="Q222" s="551"/>
      <c r="R222" s="3"/>
      <c r="W222" s="3" t="b">
        <f t="shared" si="23"/>
        <v>1</v>
      </c>
      <c r="X222" s="558">
        <f t="shared" si="21"/>
        <v>0</v>
      </c>
      <c r="Y222" s="558">
        <f t="shared" si="22"/>
        <v>0</v>
      </c>
      <c r="AA222" s="3"/>
    </row>
    <row r="223" spans="1:27" s="18" customFormat="1" ht="99" customHeight="1" x14ac:dyDescent="0.3">
      <c r="A223" s="326">
        <f>'Unit Data from Audit Worksheet'!A272</f>
        <v>659</v>
      </c>
      <c r="B223" s="340" t="str">
        <f>'Unit Data from Audit Worksheet'!C272</f>
        <v>OPEB
 Note or RSI</v>
      </c>
      <c r="C223" s="325" t="str">
        <f>'Unit Data from Audit Worksheet'!D272</f>
        <v>Total OPEB benefits - total OPEB liability
If you do not provide benefit, please enter 0</v>
      </c>
      <c r="D223" s="345"/>
      <c r="E223" s="346">
        <f>'Unit Data from Audit Worksheet'!F272</f>
        <v>0</v>
      </c>
      <c r="F223" s="339">
        <f>IF(L223&lt;0,"Error: Enter as a positive.",)</f>
        <v>0</v>
      </c>
      <c r="G223" s="597" t="s">
        <v>994</v>
      </c>
      <c r="H223" s="338">
        <f>'Unit Data from Audit Worksheet'!I272</f>
        <v>0</v>
      </c>
      <c r="I223" s="37"/>
      <c r="J223" s="328">
        <v>659</v>
      </c>
      <c r="K223" s="327" t="s">
        <v>496</v>
      </c>
      <c r="L223" s="575">
        <f t="shared" si="20"/>
        <v>0</v>
      </c>
      <c r="M223" s="582"/>
      <c r="P223" s="592"/>
      <c r="Q223" s="551"/>
      <c r="R223" s="3"/>
      <c r="W223" s="3" t="b">
        <f t="shared" si="23"/>
        <v>1</v>
      </c>
      <c r="X223" s="558">
        <f t="shared" si="21"/>
        <v>0</v>
      </c>
      <c r="Y223" s="558">
        <f t="shared" si="22"/>
        <v>0</v>
      </c>
      <c r="AA223" s="3"/>
    </row>
    <row r="224" spans="1:27" s="18" customFormat="1" ht="131.25" customHeight="1" x14ac:dyDescent="0.3">
      <c r="A224" s="326">
        <f>'Unit Data from Audit Worksheet'!A273</f>
        <v>660</v>
      </c>
      <c r="B224" s="340" t="str">
        <f>'Unit Data from Audit Worksheet'!C273</f>
        <v>OPEB
 Note or RSI</v>
      </c>
      <c r="C224" s="325" t="str">
        <f>'Unit Data from Audit Worksheet'!D273</f>
        <v>Total OPEB benefits- OPEB plan fiduciary net position
If no fiduciary net position, enter 0</v>
      </c>
      <c r="D224" s="345"/>
      <c r="E224" s="346">
        <f>'Unit Data from Audit Worksheet'!F273</f>
        <v>0</v>
      </c>
      <c r="F224" s="335">
        <f>IF(L224&lt;0,"Note: Number is normally positive.",)</f>
        <v>0</v>
      </c>
      <c r="G224" s="597" t="s">
        <v>994</v>
      </c>
      <c r="H224" s="338">
        <f>'Unit Data from Audit Worksheet'!I273</f>
        <v>0</v>
      </c>
      <c r="I224" s="37"/>
      <c r="J224" s="328">
        <v>660</v>
      </c>
      <c r="K224" s="327" t="s">
        <v>497</v>
      </c>
      <c r="L224" s="575">
        <f t="shared" si="20"/>
        <v>0</v>
      </c>
      <c r="M224" s="582"/>
      <c r="P224" s="592"/>
      <c r="Q224" s="551"/>
      <c r="R224" s="3"/>
      <c r="W224" s="3" t="b">
        <f t="shared" si="23"/>
        <v>1</v>
      </c>
      <c r="X224" s="558">
        <f t="shared" si="21"/>
        <v>0</v>
      </c>
      <c r="Y224" s="558">
        <f t="shared" si="22"/>
        <v>0</v>
      </c>
      <c r="AA224" s="3"/>
    </row>
    <row r="225" spans="1:27" ht="134.25" customHeight="1" x14ac:dyDescent="0.3">
      <c r="A225" s="326">
        <f>'Unit Data from Audit Worksheet'!A274</f>
        <v>661</v>
      </c>
      <c r="B225" s="340" t="str">
        <f>'Unit Data from Audit Worksheet'!C274</f>
        <v>OPEB
RSI</v>
      </c>
      <c r="C225" s="325" t="str">
        <f>'Unit Data from Audit Worksheet'!D274</f>
        <v>Total OPEB benefits - What is the plan’s fiduciary net position as a percentage of the total OPEB liability?  Please enter as percentage value; for example, 83.5% should be entered as 83.5.  If assets have not been set aside in a trust, please enter 0.0</v>
      </c>
      <c r="D225" s="93"/>
      <c r="E225" s="324">
        <f>'Unit Data from Audit Worksheet'!F274</f>
        <v>0</v>
      </c>
      <c r="F225" s="339" t="str">
        <f>IF(H225=L225,"","Column L does not equal Column H")</f>
        <v/>
      </c>
      <c r="G225" s="597" t="s">
        <v>994</v>
      </c>
      <c r="H225" s="172">
        <f>ROUND(IFERROR((L224/L223)*100,0),1)</f>
        <v>0</v>
      </c>
      <c r="I225" s="37"/>
      <c r="J225" s="328">
        <v>661</v>
      </c>
      <c r="K225" s="343" t="s">
        <v>500</v>
      </c>
      <c r="L225" s="598">
        <f>IF(D225="",E225,D225)</f>
        <v>0</v>
      </c>
      <c r="P225" s="592"/>
      <c r="Q225" s="593">
        <f>IF(H225=L225,0,1)</f>
        <v>0</v>
      </c>
      <c r="W225" s="3" t="b">
        <f t="shared" si="23"/>
        <v>1</v>
      </c>
      <c r="X225" s="558">
        <f t="shared" si="21"/>
        <v>0</v>
      </c>
      <c r="Y225" s="558">
        <f t="shared" si="22"/>
        <v>0</v>
      </c>
    </row>
    <row r="226" spans="1:27" ht="65.25" customHeight="1" x14ac:dyDescent="0.3">
      <c r="A226" s="326">
        <f>'Unit Data from Audit Worksheet'!A277</f>
        <v>371</v>
      </c>
      <c r="B226" s="340" t="str">
        <f>'Unit Data from Audit Worksheet'!C277</f>
        <v>Transfer Note</v>
      </c>
      <c r="C226" s="325" t="str">
        <f>'Unit Data from Audit Worksheet'!D277</f>
        <v>Amount of Transfers from the General Fund to the Debt Service Fund (Enter as positive)</v>
      </c>
      <c r="D226" s="345"/>
      <c r="E226" s="346">
        <f>'Unit Data from Audit Worksheet'!F277</f>
        <v>0</v>
      </c>
      <c r="F226" s="339">
        <f>IF(L226&lt;0,"Error: Enter as a positive.",)</f>
        <v>0</v>
      </c>
      <c r="G226" s="341"/>
      <c r="H226" s="338">
        <f>'Unit Data from Audit Worksheet'!I277</f>
        <v>0</v>
      </c>
      <c r="I226" s="37"/>
      <c r="J226" s="38">
        <v>371</v>
      </c>
      <c r="K226" s="336" t="s">
        <v>258</v>
      </c>
      <c r="L226" s="561">
        <f t="shared" si="20"/>
        <v>0</v>
      </c>
      <c r="P226" s="314"/>
      <c r="Q226" s="3"/>
      <c r="W226" s="3" t="b">
        <f t="shared" si="23"/>
        <v>1</v>
      </c>
      <c r="X226" s="558">
        <f t="shared" si="21"/>
        <v>0</v>
      </c>
      <c r="Y226" s="558">
        <f t="shared" si="22"/>
        <v>0</v>
      </c>
    </row>
    <row r="227" spans="1:27" ht="63" customHeight="1" x14ac:dyDescent="0.3">
      <c r="A227" s="326">
        <f>'Unit Data from Audit Worksheet'!A278</f>
        <v>513</v>
      </c>
      <c r="B227" s="340" t="str">
        <f>'Unit Data from Audit Worksheet'!C278</f>
        <v>Transfer Note</v>
      </c>
      <c r="C227" s="325" t="str">
        <f>'Unit Data from Audit Worksheet'!D278</f>
        <v>Amount of Transfers from the General Fund to the Electric Fund  (Enter as positive)</v>
      </c>
      <c r="D227" s="345"/>
      <c r="E227" s="346">
        <f>'Unit Data from Audit Worksheet'!F278</f>
        <v>0</v>
      </c>
      <c r="F227" s="339">
        <f>IF(L227&lt;0,"Error: Enter as a positive.",)</f>
        <v>0</v>
      </c>
      <c r="G227" s="341"/>
      <c r="H227" s="338">
        <f>'Unit Data from Audit Worksheet'!I278</f>
        <v>0</v>
      </c>
      <c r="I227" s="37"/>
      <c r="J227" s="337">
        <v>513</v>
      </c>
      <c r="K227" s="336" t="s">
        <v>259</v>
      </c>
      <c r="L227" s="561">
        <f t="shared" si="20"/>
        <v>0</v>
      </c>
      <c r="P227" s="308"/>
      <c r="W227" s="3" t="b">
        <f t="shared" si="23"/>
        <v>1</v>
      </c>
      <c r="X227" s="558">
        <f t="shared" si="21"/>
        <v>0</v>
      </c>
      <c r="Y227" s="558">
        <f t="shared" si="22"/>
        <v>0</v>
      </c>
    </row>
    <row r="228" spans="1:27" ht="89.25" customHeight="1" x14ac:dyDescent="0.3">
      <c r="A228" s="326">
        <f>'Unit Data from Audit Worksheet'!A279</f>
        <v>514</v>
      </c>
      <c r="B228" s="340" t="str">
        <f>'Unit Data from Audit Worksheet'!C279</f>
        <v>Transfer Note</v>
      </c>
      <c r="C228" s="325" t="str">
        <f>'Unit Data from Audit Worksheet'!D279</f>
        <v>Amount of Transfers from the Electric Fund to the General Fund  (Enter as positive)
Include:  Payment in Lieu of Taxes (PILOT)</v>
      </c>
      <c r="D228" s="345"/>
      <c r="E228" s="346">
        <f>'Unit Data from Audit Worksheet'!F279</f>
        <v>0</v>
      </c>
      <c r="F228" s="339">
        <f>IF(L228&lt;0,"Error: Enter as a positive.",)</f>
        <v>0</v>
      </c>
      <c r="G228" s="341"/>
      <c r="H228" s="338">
        <f>'Unit Data from Audit Worksheet'!I279</f>
        <v>0</v>
      </c>
      <c r="I228" s="37"/>
      <c r="J228" s="337">
        <v>514</v>
      </c>
      <c r="K228" s="336" t="s">
        <v>260</v>
      </c>
      <c r="L228" s="561">
        <f t="shared" si="20"/>
        <v>0</v>
      </c>
      <c r="P228" s="308"/>
      <c r="W228" s="3" t="b">
        <f t="shared" si="23"/>
        <v>1</v>
      </c>
      <c r="X228" s="558">
        <f t="shared" si="21"/>
        <v>0</v>
      </c>
      <c r="Y228" s="558">
        <f t="shared" si="22"/>
        <v>0</v>
      </c>
    </row>
    <row r="229" spans="1:27" ht="89.25" customHeight="1" x14ac:dyDescent="0.3">
      <c r="A229" s="577">
        <f>'Unit Data from Audit Worksheet'!A280</f>
        <v>990</v>
      </c>
      <c r="B229" s="344" t="str">
        <f>'Unit Data from Audit Worksheet'!C280</f>
        <v>Transfer Note</v>
      </c>
      <c r="C229" s="578" t="str">
        <f>'Unit Data from Audit Worksheet'!D280</f>
        <v>Amount of transfer out to the General Fund that is for Payment in Lieu of Taxes (PILOT)</v>
      </c>
      <c r="D229" s="345"/>
      <c r="E229" s="346">
        <f>'Unit Data from Audit Worksheet'!F280</f>
        <v>0</v>
      </c>
      <c r="F229" s="339"/>
      <c r="G229" s="341"/>
      <c r="H229" s="338">
        <f>'Unit Data from Audit Worksheet'!I280</f>
        <v>0</v>
      </c>
      <c r="I229" s="37"/>
      <c r="J229" s="355">
        <v>990</v>
      </c>
      <c r="K229" s="123" t="s">
        <v>722</v>
      </c>
      <c r="L229" s="561">
        <f t="shared" si="20"/>
        <v>0</v>
      </c>
      <c r="P229" s="308"/>
      <c r="X229" s="558"/>
      <c r="Y229" s="558"/>
    </row>
    <row r="230" spans="1:27" ht="84.75" customHeight="1" x14ac:dyDescent="0.3">
      <c r="A230" s="599">
        <f>'Unit Data from Audit Worksheet'!A282</f>
        <v>6</v>
      </c>
      <c r="B230" s="52" t="str">
        <f>'Unit Data from Audit Worksheet'!C282</f>
        <v>Fund Balance Note</v>
      </c>
      <c r="C230" s="571" t="str">
        <f>'Unit Data from Audit Worksheet'!D282</f>
        <v>General Fund -  Total Encumbrances.  You will probably have to refer to the note disclosure where the amount of encumbrances is listed.</v>
      </c>
      <c r="D230" s="345"/>
      <c r="E230" s="151">
        <f>'Unit Data from Audit Worksheet'!F282</f>
        <v>0</v>
      </c>
      <c r="F230" s="36">
        <f>IF(L230&lt;0,"Error: Enter as a positive.",)</f>
        <v>0</v>
      </c>
      <c r="G230" s="71"/>
      <c r="H230" s="338">
        <f>'Unit Data from Audit Worksheet'!I282</f>
        <v>0</v>
      </c>
      <c r="I230" s="37"/>
      <c r="J230" s="40">
        <v>6</v>
      </c>
      <c r="K230" s="130" t="s">
        <v>261</v>
      </c>
      <c r="L230" s="561">
        <f t="shared" si="20"/>
        <v>0</v>
      </c>
      <c r="P230" s="308"/>
      <c r="W230" s="3" t="b">
        <f t="shared" ref="W230:W258" si="24">EXACT(A230,J230)</f>
        <v>1</v>
      </c>
      <c r="X230" s="558">
        <f t="shared" si="21"/>
        <v>0</v>
      </c>
      <c r="Y230" s="558">
        <f t="shared" si="22"/>
        <v>0</v>
      </c>
    </row>
    <row r="231" spans="1:27" ht="117.75" customHeight="1" x14ac:dyDescent="0.3">
      <c r="A231" s="326">
        <f>'Unit Data from Audit Worksheet'!A284</f>
        <v>541</v>
      </c>
      <c r="B231" s="340" t="str">
        <f>'Unit Data from Audit Worksheet'!C284</f>
        <v>Water Sewer - Budget Actual Statement</v>
      </c>
      <c r="C231" s="340" t="str">
        <f>'Unit Data from Audit Worksheet'!D284</f>
        <v>Amount of Water Sewer revenues and other financing sources over expenditures and other uses
Exclude:  All transfers and capital contributions
Exclude:  Capital Project funds
This schedule is usually found behind the notes and should be entered as a positive or negative as indicated on your audit report</v>
      </c>
      <c r="D231" s="345"/>
      <c r="E231" s="346">
        <f>'Unit Data from Audit Worksheet'!F284</f>
        <v>0</v>
      </c>
      <c r="F231" s="339"/>
      <c r="G231" s="341"/>
      <c r="H231" s="338">
        <f>'Unit Data from Audit Worksheet'!I284</f>
        <v>0</v>
      </c>
      <c r="I231" s="37"/>
      <c r="J231" s="337">
        <v>541</v>
      </c>
      <c r="K231" s="86" t="s">
        <v>328</v>
      </c>
      <c r="L231" s="561">
        <f t="shared" si="20"/>
        <v>0</v>
      </c>
      <c r="P231" s="308"/>
      <c r="W231" s="3" t="b">
        <f t="shared" si="24"/>
        <v>1</v>
      </c>
      <c r="X231" s="558">
        <f t="shared" si="21"/>
        <v>0</v>
      </c>
      <c r="Y231" s="558">
        <f t="shared" si="22"/>
        <v>0</v>
      </c>
    </row>
    <row r="232" spans="1:27" ht="94.5" customHeight="1" x14ac:dyDescent="0.3">
      <c r="A232" s="326">
        <f>'Unit Data from Audit Worksheet'!A286</f>
        <v>542</v>
      </c>
      <c r="B232" s="340" t="str">
        <f>'Unit Data from Audit Worksheet'!C286</f>
        <v>Water Sewer - Disclosed in the Notes or in the recently approved Budget for next year.</v>
      </c>
      <c r="C232" s="325" t="str">
        <f>'Unit Data from Audit Worksheet'!D286</f>
        <v>Amount of the Water Sewer Fund Balance appropriated in next year's budget?</v>
      </c>
      <c r="D232" s="345"/>
      <c r="E232" s="346">
        <f>'Unit Data from Audit Worksheet'!F286</f>
        <v>0</v>
      </c>
      <c r="F232" s="339"/>
      <c r="G232" s="341"/>
      <c r="H232" s="338">
        <f>'Unit Data from Audit Worksheet'!I286</f>
        <v>0</v>
      </c>
      <c r="I232" s="37"/>
      <c r="J232" s="337">
        <v>542</v>
      </c>
      <c r="K232" s="336" t="s">
        <v>262</v>
      </c>
      <c r="L232" s="561">
        <f t="shared" si="20"/>
        <v>0</v>
      </c>
      <c r="N232" s="59" t="s">
        <v>319</v>
      </c>
      <c r="P232" s="308"/>
      <c r="W232" s="3" t="b">
        <f t="shared" si="24"/>
        <v>1</v>
      </c>
      <c r="X232" s="558">
        <f t="shared" si="21"/>
        <v>0</v>
      </c>
      <c r="Y232" s="558">
        <f t="shared" si="22"/>
        <v>0</v>
      </c>
    </row>
    <row r="233" spans="1:27" ht="93.75" customHeight="1" x14ac:dyDescent="0.3">
      <c r="A233" s="326">
        <f>'Unit Data from Audit Worksheet'!A289</f>
        <v>528</v>
      </c>
      <c r="B233" s="340" t="str">
        <f>'Unit Data from Audit Worksheet'!C289</f>
        <v>Analysis of Current Tax Levy Schedule</v>
      </c>
      <c r="C233" s="325" t="str">
        <f>'Unit Data from Audit Worksheet'!D289</f>
        <v>Please enter the Net Current year's levy for property excluding registered motor vehicles-- (after adjusting for discoveries and abatements)
Exclude Supplemental Taxes</v>
      </c>
      <c r="D233" s="345"/>
      <c r="E233" s="346">
        <f>'Unit Data from Audit Worksheet'!F289</f>
        <v>0</v>
      </c>
      <c r="F233" s="80" t="str">
        <f>IF(L233=0,"Must be completed if unit levys taxes","")</f>
        <v>Must be completed if unit levys taxes</v>
      </c>
      <c r="G233" s="341"/>
      <c r="H233" s="338"/>
      <c r="I233" s="37"/>
      <c r="J233" s="337">
        <v>528</v>
      </c>
      <c r="K233" s="600" t="s">
        <v>267</v>
      </c>
      <c r="L233" s="561">
        <f t="shared" si="20"/>
        <v>0</v>
      </c>
      <c r="N233" s="81"/>
      <c r="P233" s="308"/>
      <c r="W233" s="3" t="b">
        <f t="shared" si="24"/>
        <v>1</v>
      </c>
      <c r="X233" s="558">
        <f t="shared" si="21"/>
        <v>0</v>
      </c>
      <c r="Y233" s="558">
        <f t="shared" si="22"/>
        <v>0</v>
      </c>
    </row>
    <row r="234" spans="1:27" s="18" customFormat="1" ht="79.5" customHeight="1" x14ac:dyDescent="0.3">
      <c r="A234" s="326">
        <f>'Unit Data from Audit Worksheet'!A290</f>
        <v>529</v>
      </c>
      <c r="B234" s="340" t="str">
        <f>'Unit Data from Audit Worksheet'!C290</f>
        <v>Analysis of Current Tax Levy Schedule</v>
      </c>
      <c r="C234" s="325" t="str">
        <f>'Unit Data from Audit Worksheet'!D290</f>
        <v>Please enter the Net Current year's levy -- Motor vehicles (only) (after adjusting for discoveries and abatements)
Exclude supplemental taxes</v>
      </c>
      <c r="D234" s="345"/>
      <c r="E234" s="346">
        <f>'Unit Data from Audit Worksheet'!F290</f>
        <v>0</v>
      </c>
      <c r="F234" s="80" t="str">
        <f>IF(L234=0,"Must be completed if unit levys taxes","")</f>
        <v>Must be completed if unit levys taxes</v>
      </c>
      <c r="G234" s="341"/>
      <c r="H234" s="338"/>
      <c r="I234" s="37"/>
      <c r="J234" s="337">
        <v>529</v>
      </c>
      <c r="K234" s="600" t="s">
        <v>268</v>
      </c>
      <c r="L234" s="561">
        <f t="shared" si="20"/>
        <v>0</v>
      </c>
      <c r="N234" s="81"/>
      <c r="P234" s="308"/>
      <c r="Q234" s="551"/>
      <c r="R234" s="3"/>
      <c r="W234" s="3" t="b">
        <f t="shared" si="24"/>
        <v>1</v>
      </c>
      <c r="X234" s="558">
        <f t="shared" si="21"/>
        <v>0</v>
      </c>
      <c r="Y234" s="558">
        <f t="shared" si="22"/>
        <v>0</v>
      </c>
      <c r="AA234" s="3"/>
    </row>
    <row r="235" spans="1:27" s="18" customFormat="1" ht="75" customHeight="1" x14ac:dyDescent="0.3">
      <c r="A235" s="326">
        <f>'Unit Data from Audit Worksheet'!A291</f>
        <v>530</v>
      </c>
      <c r="B235" s="340" t="str">
        <f>'Unit Data from Audit Worksheet'!C291</f>
        <v>Analysis of Current Tax Levy Schedule</v>
      </c>
      <c r="C235" s="325" t="str">
        <f>'Unit Data from Audit Worksheet'!D291</f>
        <v>Uncollected Taxes - Curr Year's Levy Exclude Motor Vehicles
Exclude supplemental taxes</v>
      </c>
      <c r="D235" s="345"/>
      <c r="E235" s="346">
        <f>'Unit Data from Audit Worksheet'!F291</f>
        <v>0</v>
      </c>
      <c r="F235" s="80" t="str">
        <f>IF(L235=0,"Must be completed if unit levys taxes","")</f>
        <v>Must be completed if unit levys taxes</v>
      </c>
      <c r="G235" s="341"/>
      <c r="H235" s="338"/>
      <c r="I235" s="37"/>
      <c r="J235" s="337">
        <v>530</v>
      </c>
      <c r="K235" s="600" t="s">
        <v>269</v>
      </c>
      <c r="L235" s="561">
        <f t="shared" ref="L235:L241" si="25">IF(D235="",E235,D235)</f>
        <v>0</v>
      </c>
      <c r="N235" s="81"/>
      <c r="P235" s="308"/>
      <c r="Q235" s="551"/>
      <c r="R235" s="3"/>
      <c r="W235" s="3" t="b">
        <f t="shared" si="24"/>
        <v>1</v>
      </c>
      <c r="X235" s="558">
        <f t="shared" si="21"/>
        <v>0</v>
      </c>
      <c r="Y235" s="558">
        <f t="shared" si="22"/>
        <v>0</v>
      </c>
      <c r="AA235" s="3"/>
    </row>
    <row r="236" spans="1:27" s="18" customFormat="1" ht="68.25" customHeight="1" x14ac:dyDescent="0.3">
      <c r="A236" s="326">
        <f>'Unit Data from Audit Worksheet'!A292</f>
        <v>531</v>
      </c>
      <c r="B236" s="340" t="str">
        <f>'Unit Data from Audit Worksheet'!C292</f>
        <v>Analysis of Current Tax Levy Schedule</v>
      </c>
      <c r="C236" s="325" t="str">
        <f>'Unit Data from Audit Worksheet'!D292</f>
        <v>Uncollected Taxes - Curr Year's Levy Motor Vehicles
Exclude supplemental taxes</v>
      </c>
      <c r="D236" s="345"/>
      <c r="E236" s="346">
        <f>'Unit Data from Audit Worksheet'!F292</f>
        <v>0</v>
      </c>
      <c r="F236" s="80" t="str">
        <f>IF(L236=0,"Must be completed if unit levys taxes","")</f>
        <v>Must be completed if unit levys taxes</v>
      </c>
      <c r="G236" s="341"/>
      <c r="H236" s="338"/>
      <c r="I236" s="37"/>
      <c r="J236" s="337">
        <v>531</v>
      </c>
      <c r="K236" s="600" t="s">
        <v>270</v>
      </c>
      <c r="L236" s="561">
        <f t="shared" si="25"/>
        <v>0</v>
      </c>
      <c r="N236" s="81" t="str">
        <f>IF(T240=0,"Must be completed if unit levys taxes, zero acceptable if Motor Vehicle collection rate is 100%","")</f>
        <v>Must be completed if unit levys taxes, zero acceptable if Motor Vehicle collection rate is 100%</v>
      </c>
      <c r="P236" s="308"/>
      <c r="Q236" s="551"/>
      <c r="R236" s="3"/>
      <c r="W236" s="3" t="b">
        <f t="shared" si="24"/>
        <v>1</v>
      </c>
      <c r="X236" s="558">
        <f t="shared" si="21"/>
        <v>0</v>
      </c>
      <c r="Y236" s="558">
        <f t="shared" si="22"/>
        <v>0</v>
      </c>
      <c r="AA236" s="3"/>
    </row>
    <row r="237" spans="1:27" ht="90.75" customHeight="1" x14ac:dyDescent="0.3">
      <c r="A237" s="326">
        <f>'Unit Data from Audit Worksheet'!A293</f>
        <v>61</v>
      </c>
      <c r="B237" s="340" t="str">
        <f>'Unit Data from Audit Worksheet'!C293</f>
        <v>Analysis of Current Tax Levy Schedule</v>
      </c>
      <c r="C237" s="325" t="str">
        <f>'Unit Data from Audit Worksheet'!D293</f>
        <v>Tax collection rate- Total Levy UNIT-WIDE
Exclude supplemental taxes
(Enter as a percentage with two decimal places)</v>
      </c>
      <c r="D237" s="87"/>
      <c r="E237" s="148">
        <f>'Unit Data from Audit Worksheet'!F293</f>
        <v>0</v>
      </c>
      <c r="F237" s="85" t="str">
        <f>IF(L237=H237,"","Column H calculates the percentage using accounts 528, 529, 530, 531, please enter the correct amounts from the audit schedule for these cells")</f>
        <v/>
      </c>
      <c r="G237" s="341" t="str">
        <f>IF(Q237=1," Included in error count"," ")</f>
        <v xml:space="preserve"> </v>
      </c>
      <c r="H237" s="341">
        <f>ROUND(IFERROR(((L233+L234)-(L235+L236))/(L233+L234)*100,0),2)</f>
        <v>0</v>
      </c>
      <c r="I237" s="37"/>
      <c r="J237" s="337">
        <v>61</v>
      </c>
      <c r="K237" s="57" t="s">
        <v>264</v>
      </c>
      <c r="L237" s="601">
        <f t="shared" si="25"/>
        <v>0</v>
      </c>
      <c r="N237" s="81"/>
      <c r="P237" s="308"/>
      <c r="Q237" s="551">
        <f>IF(L237-H237&lt;&gt;0,1,0)</f>
        <v>0</v>
      </c>
      <c r="W237" s="3" t="b">
        <f t="shared" si="24"/>
        <v>1</v>
      </c>
      <c r="X237" s="558">
        <f t="shared" si="21"/>
        <v>0</v>
      </c>
      <c r="Y237" s="558">
        <f t="shared" si="22"/>
        <v>0</v>
      </c>
    </row>
    <row r="238" spans="1:27" ht="89.25" customHeight="1" x14ac:dyDescent="0.3">
      <c r="A238" s="326">
        <f>'Unit Data from Audit Worksheet'!A294</f>
        <v>102</v>
      </c>
      <c r="B238" s="340" t="str">
        <f>'Unit Data from Audit Worksheet'!C294</f>
        <v>Analysis of Current Tax Levy Schedule</v>
      </c>
      <c r="C238" s="325" t="str">
        <f>'Unit Data from Audit Worksheet'!D294</f>
        <v>Tax collection rate - Excluding Registered motor vehicles
Exclude supplemental taxes
(Enter as a percentage with two decimal places)</v>
      </c>
      <c r="D238" s="87"/>
      <c r="E238" s="148">
        <f>'Unit Data from Audit Worksheet'!F294</f>
        <v>0</v>
      </c>
      <c r="F238" s="85" t="str">
        <f>IF(L238=H238,"","Column H calculates the percentage using accounts 528 and 530,  please enter the correct amounts from the audit schedule for these cells")</f>
        <v/>
      </c>
      <c r="G238" s="341" t="str">
        <f>IF(Q238=1," Included in error count"," ")</f>
        <v xml:space="preserve"> </v>
      </c>
      <c r="H238" s="341">
        <f>ROUND(IFERROR(((L233)-(L235))/(L233)*100,0),2)</f>
        <v>0</v>
      </c>
      <c r="I238" s="37"/>
      <c r="J238" s="337">
        <v>102</v>
      </c>
      <c r="K238" s="57" t="s">
        <v>265</v>
      </c>
      <c r="L238" s="601">
        <f t="shared" si="25"/>
        <v>0</v>
      </c>
      <c r="N238" s="81"/>
      <c r="P238" s="308"/>
      <c r="Q238" s="551">
        <f>IF(L238-H238&lt;&gt;0,1,0)</f>
        <v>0</v>
      </c>
      <c r="W238" s="3" t="b">
        <f t="shared" si="24"/>
        <v>1</v>
      </c>
      <c r="X238" s="558">
        <f t="shared" si="21"/>
        <v>0</v>
      </c>
      <c r="Y238" s="558">
        <f t="shared" si="22"/>
        <v>0</v>
      </c>
    </row>
    <row r="239" spans="1:27" ht="87.75" customHeight="1" x14ac:dyDescent="0.3">
      <c r="A239" s="326">
        <f>'Unit Data from Audit Worksheet'!A295</f>
        <v>103</v>
      </c>
      <c r="B239" s="340" t="str">
        <f>'Unit Data from Audit Worksheet'!C295</f>
        <v>Analysis of Current Tax Levy Schedule</v>
      </c>
      <c r="C239" s="325" t="str">
        <f>'Unit Data from Audit Worksheet'!D295</f>
        <v>Tax collection rate - Registered motor vehicles
Exclude supplemental taxes
(Enter as a percentage with two decimal places)</v>
      </c>
      <c r="D239" s="87"/>
      <c r="E239" s="148">
        <f>'Unit Data from Audit Worksheet'!F295</f>
        <v>0</v>
      </c>
      <c r="F239" s="85" t="str">
        <f>IF(L239=H239,"","Column H calculates the percentage using accounts 529 and 531, please enter the correct amounts from the audit schedule for these cells")</f>
        <v/>
      </c>
      <c r="G239" s="341" t="str">
        <f>IF(Q239=1," Included in error count"," ")</f>
        <v xml:space="preserve"> </v>
      </c>
      <c r="H239" s="341">
        <f>ROUND(IFERROR(((L234)-(L236))/(L234)*100,0),2)</f>
        <v>0</v>
      </c>
      <c r="I239" s="37"/>
      <c r="J239" s="337">
        <v>103</v>
      </c>
      <c r="K239" s="57" t="s">
        <v>266</v>
      </c>
      <c r="L239" s="601">
        <f t="shared" si="25"/>
        <v>0</v>
      </c>
      <c r="N239" s="81"/>
      <c r="P239" s="308"/>
      <c r="Q239" s="551">
        <f>IF(L239-H239&lt;&gt;0,1,0)</f>
        <v>0</v>
      </c>
      <c r="W239" s="3" t="b">
        <f t="shared" si="24"/>
        <v>1</v>
      </c>
      <c r="X239" s="558">
        <f t="shared" si="21"/>
        <v>0</v>
      </c>
      <c r="Y239" s="558">
        <f t="shared" si="22"/>
        <v>0</v>
      </c>
    </row>
    <row r="240" spans="1:27" ht="86.25" customHeight="1" x14ac:dyDescent="0.3">
      <c r="A240" s="326">
        <f>'Unit Data from Audit Worksheet'!A296</f>
        <v>544</v>
      </c>
      <c r="B240" s="340" t="str">
        <f>'Unit Data from Audit Worksheet'!C296</f>
        <v>Analysis of Current Tax Levy Schedule</v>
      </c>
      <c r="C240" s="325" t="str">
        <f>'Unit Data from Audit Worksheet'!D296</f>
        <v>Property Tax Increase for Year Audited- enter amount of  increase in cents per $100 - leave blank if no increase 
Exclude supplemental taxes</v>
      </c>
      <c r="D240" s="345"/>
      <c r="E240" s="145">
        <f>'Unit Data from Audit Worksheet'!F296</f>
        <v>0</v>
      </c>
      <c r="F240" s="102"/>
      <c r="G240" s="341"/>
      <c r="H240" s="338">
        <f>'Unit Data from Audit Worksheet'!I296</f>
        <v>0</v>
      </c>
      <c r="I240" s="37"/>
      <c r="J240" s="337">
        <v>544</v>
      </c>
      <c r="K240" s="57" t="s">
        <v>53</v>
      </c>
      <c r="L240" s="602">
        <f t="shared" si="25"/>
        <v>0</v>
      </c>
      <c r="N240" s="59" t="s">
        <v>319</v>
      </c>
      <c r="P240" s="308"/>
      <c r="W240" s="3" t="b">
        <f t="shared" si="24"/>
        <v>1</v>
      </c>
      <c r="X240" s="558">
        <f t="shared" si="21"/>
        <v>0</v>
      </c>
      <c r="Y240" s="558">
        <f t="shared" si="22"/>
        <v>0</v>
      </c>
    </row>
    <row r="241" spans="1:25" ht="93.75" customHeight="1" x14ac:dyDescent="0.3">
      <c r="A241" s="326">
        <f>'Unit Data from Audit Worksheet'!A297</f>
        <v>545</v>
      </c>
      <c r="B241" s="340" t="str">
        <f>'Unit Data from Audit Worksheet'!C297</f>
        <v>Analysis of Current Tax Levy Schedule</v>
      </c>
      <c r="C241" s="325" t="str">
        <f>'Unit Data from Audit Worksheet'!D297</f>
        <v>Property Tax Increase for budget year after fiscal year being reported - enter amount of increase in cents per $100- leave blank if no increase
Exclude supplemental taxes</v>
      </c>
      <c r="D241" s="345"/>
      <c r="E241" s="145">
        <f>'Unit Data from Audit Worksheet'!F297</f>
        <v>0</v>
      </c>
      <c r="F241" s="339"/>
      <c r="G241" s="341"/>
      <c r="H241" s="338">
        <f>'Unit Data from Audit Worksheet'!I297</f>
        <v>0</v>
      </c>
      <c r="I241" s="37"/>
      <c r="J241" s="103">
        <v>545</v>
      </c>
      <c r="K241" s="57" t="s">
        <v>54</v>
      </c>
      <c r="L241" s="602">
        <f t="shared" si="25"/>
        <v>0</v>
      </c>
      <c r="N241" s="59" t="s">
        <v>319</v>
      </c>
      <c r="O241" s="570"/>
      <c r="P241" s="309"/>
      <c r="W241" s="3" t="b">
        <f t="shared" si="24"/>
        <v>1</v>
      </c>
      <c r="X241" s="558">
        <f t="shared" si="21"/>
        <v>0</v>
      </c>
      <c r="Y241" s="558">
        <f t="shared" si="22"/>
        <v>0</v>
      </c>
    </row>
    <row r="242" spans="1:25" ht="72.75" customHeight="1" x14ac:dyDescent="0.3">
      <c r="A242" s="326">
        <f>'Unit Data from Audit Worksheet'!A298</f>
        <v>624</v>
      </c>
      <c r="B242" s="340"/>
      <c r="C242" s="325" t="str">
        <f>'Unit Data from Audit Worksheet'!D298</f>
        <v>Does the County collect real estate property taxes on your behalf? Select "1" for "yes and "2" for "No"</v>
      </c>
      <c r="D242" s="345"/>
      <c r="E242" s="153">
        <f>'Unit Data from Audit Worksheet'!F298</f>
        <v>0</v>
      </c>
      <c r="F242" s="339"/>
      <c r="G242" s="341"/>
      <c r="H242" s="338"/>
      <c r="I242" s="37"/>
      <c r="J242" s="103">
        <v>624</v>
      </c>
      <c r="K242" s="57" t="s">
        <v>407</v>
      </c>
      <c r="L242" s="561">
        <f t="shared" ref="L242:L258" si="26">IF(D242="",E242,D242)</f>
        <v>0</v>
      </c>
      <c r="P242" s="309"/>
      <c r="W242" s="3" t="b">
        <f t="shared" si="24"/>
        <v>1</v>
      </c>
      <c r="X242" s="558">
        <f t="shared" si="21"/>
        <v>0</v>
      </c>
      <c r="Y242" s="558">
        <f t="shared" si="22"/>
        <v>0</v>
      </c>
    </row>
    <row r="243" spans="1:25" ht="72.75" customHeight="1" x14ac:dyDescent="0.3">
      <c r="A243" s="326">
        <f>'Unit Data from Audit Worksheet'!A299</f>
        <v>648</v>
      </c>
      <c r="B243" s="340"/>
      <c r="C243" s="325" t="str">
        <f>'Unit Data from Audit Worksheet'!D299</f>
        <v>Please enter your tax rate for ad valorem in effect for fiscal year audited.  Example 60 cents per 100 would be entered as .60</v>
      </c>
      <c r="D243" s="345"/>
      <c r="E243" s="153">
        <f>'Unit Data from Audit Worksheet'!F299</f>
        <v>0</v>
      </c>
      <c r="F243" s="339"/>
      <c r="G243" s="341"/>
      <c r="H243" s="338"/>
      <c r="I243" s="37"/>
      <c r="J243" s="103">
        <v>648</v>
      </c>
      <c r="K243" s="603" t="s">
        <v>802</v>
      </c>
      <c r="L243" s="604">
        <f t="shared" si="26"/>
        <v>0</v>
      </c>
      <c r="P243" s="309"/>
      <c r="W243" s="3" t="b">
        <f t="shared" si="24"/>
        <v>1</v>
      </c>
      <c r="X243" s="558"/>
      <c r="Y243" s="558"/>
    </row>
    <row r="244" spans="1:25" ht="161.25" customHeight="1" x14ac:dyDescent="0.3">
      <c r="A244" s="577">
        <f>'Unit Data from Audit Worksheet'!A300</f>
        <v>991</v>
      </c>
      <c r="B244" s="344"/>
      <c r="C244" s="578" t="str">
        <f>'Unit Data from Audit Worksheet'!D300</f>
        <v>The Counties listed in cell H256 are scheduled to revalue property listing by 1/1/2022 according to the Dept. of Revenue records.  Please indicate if you expect your revaluation to: 
Enter  "20" for increase, 
            "21" for decrease, 
            "22" for no change,
            "23" if this question is not applicable</v>
      </c>
      <c r="D244" s="345"/>
      <c r="E244" s="153">
        <f>'Unit Data from Audit Worksheet'!F300</f>
        <v>0</v>
      </c>
      <c r="F244" s="339"/>
      <c r="G244" s="341"/>
      <c r="H244" s="338" t="str">
        <f>'Unit Data from Audit Worksheet'!H300</f>
        <v>Avery, Bladen, Chowan, Craven, Duplin, Guilford, Harnett, Hoke, Jones, Mitchell, Onslow, Pasquotank, Watauga</v>
      </c>
      <c r="I244" s="37"/>
      <c r="J244" s="323">
        <v>991</v>
      </c>
      <c r="K244" s="588" t="s">
        <v>1439</v>
      </c>
      <c r="L244" s="561">
        <f t="shared" si="26"/>
        <v>0</v>
      </c>
      <c r="P244" s="309"/>
      <c r="W244" s="3" t="b">
        <f t="shared" si="24"/>
        <v>1</v>
      </c>
      <c r="X244" s="558"/>
      <c r="Y244" s="558"/>
    </row>
    <row r="245" spans="1:25" ht="87.75" customHeight="1" x14ac:dyDescent="0.3">
      <c r="A245" s="326">
        <f>'Unit Data from Audit Worksheet'!A302</f>
        <v>620</v>
      </c>
      <c r="B245" s="340"/>
      <c r="C245" s="325" t="str">
        <f>'Unit Data from Audit Worksheet'!D302</f>
        <v>Do you expect to issue debt requiring LGC approval within 12 months from the date that the audit is submitted - select "1" for yes and "2" for no</v>
      </c>
      <c r="D245" s="345"/>
      <c r="E245" s="153">
        <f>'Unit Data from Audit Worksheet'!F302</f>
        <v>0</v>
      </c>
      <c r="F245" s="339"/>
      <c r="G245" s="341"/>
      <c r="H245" s="338">
        <f>'Unit Data from Audit Worksheet'!I302</f>
        <v>0</v>
      </c>
      <c r="I245" s="37"/>
      <c r="J245" s="103">
        <v>620</v>
      </c>
      <c r="K245" s="57" t="s">
        <v>792</v>
      </c>
      <c r="L245" s="561">
        <f t="shared" si="26"/>
        <v>0</v>
      </c>
      <c r="N245" s="135"/>
      <c r="P245" s="309"/>
      <c r="W245" s="3" t="b">
        <f t="shared" si="24"/>
        <v>1</v>
      </c>
      <c r="X245" s="558">
        <f t="shared" si="21"/>
        <v>0</v>
      </c>
      <c r="Y245" s="558">
        <f t="shared" si="22"/>
        <v>0</v>
      </c>
    </row>
    <row r="246" spans="1:25" ht="87.75" customHeight="1" x14ac:dyDescent="0.3">
      <c r="A246" s="577">
        <f>+'TD Info Completed by Auditor'!D41</f>
        <v>906</v>
      </c>
      <c r="B246" s="322" t="s">
        <v>789</v>
      </c>
      <c r="C246" s="577" t="str">
        <f>+'TD Info Completed by Auditor'!E41</f>
        <v>Is the Independent Auditor's Report Opinion Unmodified?</v>
      </c>
      <c r="D246" s="345"/>
      <c r="E246" s="328">
        <f>IF(+'TD Info Completed by Auditor'!G41="Yes",1,IF(+'TD Info Completed by Auditor'!G41="No",2,IF(+'TD Info Completed by Auditor'!G41="N/A",3,0)))</f>
        <v>0</v>
      </c>
      <c r="F246" s="339"/>
      <c r="G246" s="341"/>
      <c r="H246" s="338"/>
      <c r="I246" s="37"/>
      <c r="J246" s="124">
        <v>906</v>
      </c>
      <c r="K246" s="588" t="s">
        <v>590</v>
      </c>
      <c r="L246" s="561">
        <f t="shared" si="26"/>
        <v>0</v>
      </c>
      <c r="N246" s="135" t="s">
        <v>995</v>
      </c>
      <c r="P246" s="311"/>
      <c r="W246" s="3" t="b">
        <f t="shared" si="24"/>
        <v>1</v>
      </c>
      <c r="X246" s="558"/>
      <c r="Y246" s="558"/>
    </row>
    <row r="247" spans="1:25" ht="87.75" customHeight="1" x14ac:dyDescent="0.3">
      <c r="A247" s="577">
        <f>+'TD Info Completed by Auditor'!D43</f>
        <v>907</v>
      </c>
      <c r="B247" s="322" t="s">
        <v>789</v>
      </c>
      <c r="C247" s="577" t="str">
        <f>+'TD Info Completed by Auditor'!E43</f>
        <v xml:space="preserve">Is there a finding for lack of segregation of duties at this unit? </v>
      </c>
      <c r="D247" s="345"/>
      <c r="E247" s="328">
        <f>IF(+'TD Info Completed by Auditor'!G43="Yes",1,IF(+'TD Info Completed by Auditor'!G43="No",2,IF(+'TD Info Completed by Auditor'!G43="N/A",3,0)))</f>
        <v>0</v>
      </c>
      <c r="F247" s="339"/>
      <c r="G247" s="341"/>
      <c r="H247" s="338"/>
      <c r="I247" s="37"/>
      <c r="J247" s="124">
        <v>907</v>
      </c>
      <c r="K247" s="588" t="s">
        <v>591</v>
      </c>
      <c r="L247" s="561">
        <f t="shared" si="26"/>
        <v>0</v>
      </c>
      <c r="N247" s="135" t="s">
        <v>995</v>
      </c>
      <c r="P247" s="311"/>
      <c r="W247" s="3" t="b">
        <f t="shared" si="24"/>
        <v>1</v>
      </c>
      <c r="X247" s="558"/>
      <c r="Y247" s="558"/>
    </row>
    <row r="248" spans="1:25" ht="87.75" customHeight="1" x14ac:dyDescent="0.3">
      <c r="A248" s="577">
        <f>+'TD Info Completed by Auditor'!D45</f>
        <v>951</v>
      </c>
      <c r="B248" s="322" t="s">
        <v>789</v>
      </c>
      <c r="C248" s="578" t="str">
        <f>+'TD Info Completed by Auditor'!E45</f>
        <v>Is there a finding for lack of technical skills, knowledge and experience (SKE) at this unit?</v>
      </c>
      <c r="D248" s="345"/>
      <c r="E248" s="328">
        <f>IF(+'TD Info Completed by Auditor'!G45="Yes",1,IF(+'TD Info Completed by Auditor'!G45="No",2,IF(+'TD Info Completed by Auditor'!G45="N/A",3,0)))</f>
        <v>0</v>
      </c>
      <c r="F248" s="339"/>
      <c r="G248" s="341"/>
      <c r="H248" s="338"/>
      <c r="I248" s="37"/>
      <c r="J248" s="124">
        <v>951</v>
      </c>
      <c r="K248" s="588" t="s">
        <v>592</v>
      </c>
      <c r="L248" s="561">
        <f t="shared" si="26"/>
        <v>0</v>
      </c>
      <c r="N248" s="135" t="s">
        <v>995</v>
      </c>
      <c r="P248" s="311"/>
      <c r="W248" s="3" t="b">
        <f t="shared" si="24"/>
        <v>1</v>
      </c>
      <c r="X248" s="558"/>
      <c r="Y248" s="558"/>
    </row>
    <row r="249" spans="1:25" ht="87.75" customHeight="1" x14ac:dyDescent="0.3">
      <c r="A249" s="577">
        <f>+'TD Info Completed by Auditor'!D47</f>
        <v>953</v>
      </c>
      <c r="B249" s="322" t="s">
        <v>789</v>
      </c>
      <c r="C249" s="578" t="str">
        <f>+'TD Info Completed by Auditor'!E47</f>
        <v xml:space="preserve">Is there is a going concern finding noted in the audit report? </v>
      </c>
      <c r="D249" s="345"/>
      <c r="E249" s="328">
        <f>IF(+'TD Info Completed by Auditor'!G47="Yes",1,IF(+'TD Info Completed by Auditor'!G47="No",2,IF(+'TD Info Completed by Auditor'!G47="N/A",3,0)))</f>
        <v>0</v>
      </c>
      <c r="F249" s="339"/>
      <c r="G249" s="341"/>
      <c r="H249" s="338"/>
      <c r="I249" s="37"/>
      <c r="J249" s="124">
        <v>953</v>
      </c>
      <c r="K249" s="588" t="s">
        <v>1183</v>
      </c>
      <c r="L249" s="561">
        <f t="shared" si="26"/>
        <v>0</v>
      </c>
      <c r="N249" s="135" t="s">
        <v>995</v>
      </c>
      <c r="P249" s="311"/>
      <c r="W249" s="3" t="b">
        <f t="shared" si="24"/>
        <v>1</v>
      </c>
      <c r="X249" s="558"/>
      <c r="Y249" s="558"/>
    </row>
    <row r="250" spans="1:25" ht="87.75" customHeight="1" x14ac:dyDescent="0.3">
      <c r="A250" s="577">
        <f>+'TD Info Completed by Auditor'!D49</f>
        <v>955</v>
      </c>
      <c r="B250" s="322" t="s">
        <v>789</v>
      </c>
      <c r="C250" s="578" t="str">
        <f>+'TD Info Completed by Auditor'!E49</f>
        <v>Number of significant deficiency findings (other than in Questions 15-18 )</v>
      </c>
      <c r="D250" s="345"/>
      <c r="E250" s="1128" t="str">
        <f>IF(ISBLANK('TD Info Completed by Auditor'!G49),"",'TD Info Completed by Auditor'!G49)</f>
        <v/>
      </c>
      <c r="F250" s="339"/>
      <c r="G250" s="341"/>
      <c r="H250" s="1127" t="s">
        <v>1472</v>
      </c>
      <c r="I250" s="37"/>
      <c r="J250" s="124">
        <v>955</v>
      </c>
      <c r="K250" s="588" t="s">
        <v>793</v>
      </c>
      <c r="L250" s="561" t="str">
        <f t="shared" si="26"/>
        <v/>
      </c>
      <c r="N250" s="135" t="s">
        <v>995</v>
      </c>
      <c r="P250" s="311"/>
      <c r="W250" s="3" t="b">
        <f t="shared" si="24"/>
        <v>1</v>
      </c>
      <c r="X250" s="558"/>
      <c r="Y250" s="558"/>
    </row>
    <row r="251" spans="1:25" ht="87.75" customHeight="1" x14ac:dyDescent="0.3">
      <c r="A251" s="577">
        <f>+'TD Info Completed by Auditor'!D51</f>
        <v>957</v>
      </c>
      <c r="B251" s="322" t="s">
        <v>789</v>
      </c>
      <c r="C251" s="578" t="str">
        <f>+'TD Info Completed by Auditor'!E51</f>
        <v>Number of material weaknesses findings (other than in Questions 15-18)</v>
      </c>
      <c r="D251" s="345"/>
      <c r="E251" s="1128" t="str">
        <f>IF(ISBLANK('TD Info Completed by Auditor'!G51),"",'TD Info Completed by Auditor'!G51)</f>
        <v/>
      </c>
      <c r="F251" s="339"/>
      <c r="G251" s="341"/>
      <c r="H251" s="1127" t="s">
        <v>1473</v>
      </c>
      <c r="I251" s="37"/>
      <c r="J251" s="124">
        <v>957</v>
      </c>
      <c r="K251" s="588" t="s">
        <v>794</v>
      </c>
      <c r="L251" s="561" t="str">
        <f t="shared" si="26"/>
        <v/>
      </c>
      <c r="N251" s="135" t="s">
        <v>995</v>
      </c>
      <c r="P251" s="311"/>
      <c r="W251" s="3" t="b">
        <f t="shared" si="24"/>
        <v>1</v>
      </c>
      <c r="X251" s="558"/>
      <c r="Y251" s="558"/>
    </row>
    <row r="252" spans="1:25" ht="87.75" customHeight="1" x14ac:dyDescent="0.3">
      <c r="A252" s="577">
        <f>+'TD Info Completed by Auditor'!D53</f>
        <v>959</v>
      </c>
      <c r="B252" s="322" t="s">
        <v>789</v>
      </c>
      <c r="C252" s="578" t="str">
        <f>+'TD Info Completed by Auditor'!E53</f>
        <v>Did the Unit have debt service payments deferred or restructured in this fiscal year? (does not include refinancings designed to take advantage of lower interest rates)  Select Yes, No, or NA</v>
      </c>
      <c r="D252" s="345"/>
      <c r="E252" s="328">
        <f>IF(+'TD Info Completed by Auditor'!G53="Yes",1,IF(+'TD Info Completed by Auditor'!G53="No",2,IF(+'TD Info Completed by Auditor'!G53="N/A",3,0)))</f>
        <v>0</v>
      </c>
      <c r="F252" s="339"/>
      <c r="G252" s="341"/>
      <c r="H252" s="338"/>
      <c r="I252" s="37"/>
      <c r="J252" s="124">
        <v>959</v>
      </c>
      <c r="K252" s="588" t="s">
        <v>997</v>
      </c>
      <c r="L252" s="561">
        <f t="shared" si="26"/>
        <v>0</v>
      </c>
      <c r="N252" s="135" t="s">
        <v>995</v>
      </c>
      <c r="P252" s="311"/>
      <c r="W252" s="3" t="b">
        <f t="shared" si="24"/>
        <v>1</v>
      </c>
      <c r="X252" s="558"/>
      <c r="Y252" s="558"/>
    </row>
    <row r="253" spans="1:25" ht="222" customHeight="1" x14ac:dyDescent="0.3">
      <c r="A253" s="577">
        <f>+'TD Info Completed by Auditor'!D58</f>
        <v>974</v>
      </c>
      <c r="B253" s="322" t="s">
        <v>789</v>
      </c>
      <c r="C253" s="578" t="str">
        <f>+'TD Info Completed by Auditor'!E58</f>
        <v>Did the Unit have any of the following occur:
1.  Bond covenants were not met
2.  Debt service payments made late?  Deferred payments authorized by LGC or other state
     agencies should not be counted as late for purposes of this question.</v>
      </c>
      <c r="D253" s="345"/>
      <c r="E253" s="328">
        <f>IF(+'TD Info Completed by Auditor'!G58="Yes",1,IF(+'TD Info Completed by Auditor'!G58="No",2,IF(+'TD Info Completed by Auditor'!G58="N/A",3,0)))</f>
        <v>0</v>
      </c>
      <c r="F253" s="339"/>
      <c r="G253" s="341"/>
      <c r="H253" s="338"/>
      <c r="I253" s="37"/>
      <c r="J253" s="124">
        <v>974</v>
      </c>
      <c r="K253" s="588" t="s">
        <v>1184</v>
      </c>
      <c r="L253" s="561">
        <f t="shared" si="26"/>
        <v>0</v>
      </c>
      <c r="N253" s="135" t="s">
        <v>995</v>
      </c>
      <c r="P253" s="311"/>
      <c r="W253" s="3" t="b">
        <f t="shared" si="24"/>
        <v>1</v>
      </c>
      <c r="X253" s="558"/>
      <c r="Y253" s="558"/>
    </row>
    <row r="254" spans="1:25" ht="177.75" customHeight="1" x14ac:dyDescent="0.3">
      <c r="A254" s="577">
        <f>+'TD Info Completed by Auditor'!D55</f>
        <v>973</v>
      </c>
      <c r="B254" s="322" t="s">
        <v>789</v>
      </c>
      <c r="C254" s="321" t="str">
        <f>+'TD Info Completed by Auditor'!E55</f>
        <v>The above questions account for significant and material findings.  Were there any issues or other matters presented to the Governing Board regarding internal controls (additional issues or other matters that were not listed as a material weakness or significant deficiency), that the Governing Board was instructed to include in the unit's "Response to the Auditor's Findings, Recommendations, and Fiscal Matters" Please indicate the number of other issues presented to the board.</v>
      </c>
      <c r="D254" s="345"/>
      <c r="E254" s="328">
        <f>+'TD Info Completed by Auditor'!G55</f>
        <v>0</v>
      </c>
      <c r="F254" s="339"/>
      <c r="G254" s="341"/>
      <c r="H254" s="338"/>
      <c r="I254" s="37"/>
      <c r="J254" s="124">
        <v>973</v>
      </c>
      <c r="K254" s="588" t="s">
        <v>952</v>
      </c>
      <c r="L254" s="561">
        <f t="shared" si="26"/>
        <v>0</v>
      </c>
      <c r="N254" s="135" t="s">
        <v>995</v>
      </c>
      <c r="P254" s="311"/>
      <c r="W254" s="3" t="b">
        <f t="shared" si="24"/>
        <v>1</v>
      </c>
      <c r="X254" s="558"/>
      <c r="Y254" s="558"/>
    </row>
    <row r="255" spans="1:25" ht="87.75" customHeight="1" x14ac:dyDescent="0.3">
      <c r="A255" s="577">
        <f>+'TD Info Completed by Auditor'!D60</f>
        <v>965</v>
      </c>
      <c r="B255" s="322" t="s">
        <v>789</v>
      </c>
      <c r="C255" s="578" t="str">
        <f>+'TD Info Completed by Auditor'!E60</f>
        <v xml:space="preserve">Is the Finance Officer bonded for at least $50,000? (GS 159-42(h) </v>
      </c>
      <c r="D255" s="345"/>
      <c r="E255" s="328">
        <f>IF(+'TD Info Completed by Auditor'!G60="Yes",1,IF(+'TD Info Completed by Auditor'!G60="No",2,IF(+'TD Info Completed by Auditor'!G60="N/A",3,0)))</f>
        <v>0</v>
      </c>
      <c r="F255" s="339"/>
      <c r="G255" s="341"/>
      <c r="H255" s="338"/>
      <c r="I255" s="37"/>
      <c r="J255" s="124">
        <v>965</v>
      </c>
      <c r="K255" s="588" t="s">
        <v>597</v>
      </c>
      <c r="L255" s="561">
        <f t="shared" ref="L255:L256" si="27">IF(D255="",E255,D255)</f>
        <v>0</v>
      </c>
      <c r="M255" s="701"/>
      <c r="N255" s="135" t="s">
        <v>995</v>
      </c>
      <c r="P255" s="311"/>
      <c r="W255" s="3" t="b">
        <f t="shared" si="24"/>
        <v>1</v>
      </c>
      <c r="X255" s="558"/>
      <c r="Y255" s="558"/>
    </row>
    <row r="256" spans="1:25" ht="87.75" customHeight="1" x14ac:dyDescent="0.3">
      <c r="A256" s="577">
        <f>+'TD Info Completed by Auditor'!D68</f>
        <v>977</v>
      </c>
      <c r="B256" s="322" t="s">
        <v>789</v>
      </c>
      <c r="C256" s="578" t="str">
        <f>+'TD Info Completed by Auditor'!E68</f>
        <v>Does the entity have an  effective pre-audit process to ensure that pervasive budgetary over- expenditures do not occur at the budget ordinance level? Select Yes or No</v>
      </c>
      <c r="D256" s="345"/>
      <c r="E256" s="328">
        <f>IF(+'TD Info Completed by Auditor'!G68="Yes",1,IF(+'TD Info Completed by Auditor'!G68="No",2,))</f>
        <v>0</v>
      </c>
      <c r="F256" s="339"/>
      <c r="G256" s="341"/>
      <c r="H256" s="338"/>
      <c r="I256" s="37"/>
      <c r="J256" s="124">
        <v>977</v>
      </c>
      <c r="K256" s="588" t="s">
        <v>1186</v>
      </c>
      <c r="L256" s="561">
        <f t="shared" si="27"/>
        <v>0</v>
      </c>
      <c r="M256" s="701"/>
      <c r="N256" s="135" t="s">
        <v>995</v>
      </c>
      <c r="P256" s="311"/>
      <c r="W256" s="3" t="b">
        <f t="shared" si="24"/>
        <v>1</v>
      </c>
      <c r="X256" s="558"/>
      <c r="Y256" s="558"/>
    </row>
    <row r="257" spans="1:25" ht="87.75" customHeight="1" x14ac:dyDescent="0.3">
      <c r="A257" s="577">
        <f>+'TD Info Completed by Auditor'!D70</f>
        <v>978</v>
      </c>
      <c r="B257" s="322" t="s">
        <v>789</v>
      </c>
      <c r="C257" s="578" t="str">
        <f>+'TD Info Completed by Auditor'!E70</f>
        <v>Did the audit disclose any statutory violations in the notes that were not covered by findings?  Select Yes or No</v>
      </c>
      <c r="D257" s="345"/>
      <c r="E257" s="328" t="str">
        <f>IF(+'TD Info Completed by Auditor'!G70="Yes",1,IF(+'TD Info Completed by Auditor'!G70="No",2,IF(+'TD Info Completed by Auditor'!G70="","0")))</f>
        <v>0</v>
      </c>
      <c r="F257" s="339"/>
      <c r="G257" s="341"/>
      <c r="H257" s="338"/>
      <c r="I257" s="37"/>
      <c r="J257" s="124">
        <v>978</v>
      </c>
      <c r="K257" s="588" t="s">
        <v>1185</v>
      </c>
      <c r="L257" s="561" t="str">
        <f t="shared" si="26"/>
        <v>0</v>
      </c>
      <c r="N257" s="135" t="s">
        <v>995</v>
      </c>
      <c r="P257" s="311"/>
      <c r="W257" s="3" t="b">
        <f t="shared" si="24"/>
        <v>1</v>
      </c>
      <c r="X257" s="558"/>
      <c r="Y257" s="558"/>
    </row>
    <row r="258" spans="1:25" ht="87.75" customHeight="1" x14ac:dyDescent="0.3">
      <c r="A258" s="577">
        <f>+'TD Info Completed by Auditor'!D72</f>
        <v>979</v>
      </c>
      <c r="B258" s="322" t="s">
        <v>789</v>
      </c>
      <c r="C258" s="578" t="str">
        <f>+'TD Info Completed by Auditor'!E72</f>
        <v>The Auditor will submit the Audit Report to the LGC within five months plus one day after the fiscal year end.  (for units with a June 30th fiscal year-end this would be December 1)   Select Yes or No</v>
      </c>
      <c r="D258" s="345"/>
      <c r="E258" s="328">
        <f>IF(+'TD Info Completed by Auditor'!G72="Yes",1,IF(+'TD Info Completed by Auditor'!G72="No",2,IF(+'TD Info Completed by Auditor'!G72="N/A",3,0)))</f>
        <v>0</v>
      </c>
      <c r="F258" s="339"/>
      <c r="G258" s="341"/>
      <c r="H258" s="338"/>
      <c r="I258" s="37"/>
      <c r="J258" s="124">
        <v>979</v>
      </c>
      <c r="K258" s="588" t="s">
        <v>752</v>
      </c>
      <c r="L258" s="561">
        <f t="shared" si="26"/>
        <v>0</v>
      </c>
      <c r="N258" s="135" t="s">
        <v>995</v>
      </c>
      <c r="P258" s="311"/>
      <c r="W258" s="3" t="b">
        <f t="shared" si="24"/>
        <v>1</v>
      </c>
      <c r="X258" s="558"/>
      <c r="Y258" s="558"/>
    </row>
    <row r="259" spans="1:25" s="701" customFormat="1" ht="87.75" customHeight="1" x14ac:dyDescent="0.3">
      <c r="A259" s="577">
        <v>975</v>
      </c>
      <c r="B259" s="322" t="s">
        <v>789</v>
      </c>
      <c r="C259" s="578" t="str">
        <f>'TD Info Completed by Auditor'!E76</f>
        <v>The Performance Indicator Tab in this worksheet has at least one performance indicator of concern (indicated by a red shaded cell)</v>
      </c>
      <c r="D259" s="345"/>
      <c r="E259" s="328">
        <f>IF(+'TD Info Completed by Auditor'!G76="Yes",1,IF(+'TD Info Completed by Auditor'!G76="No",2,IF(+'TD Info Completed by Auditor'!G76="N/A",3,0)))</f>
        <v>0</v>
      </c>
      <c r="F259" s="339"/>
      <c r="G259" s="341"/>
      <c r="H259" s="338"/>
      <c r="I259" s="37"/>
      <c r="J259" s="124">
        <v>975</v>
      </c>
      <c r="K259" s="588" t="s">
        <v>795</v>
      </c>
      <c r="L259" s="561">
        <f>IF(D259="",E259,D259)</f>
        <v>0</v>
      </c>
      <c r="M259" s="3"/>
      <c r="N259" s="135" t="s">
        <v>995</v>
      </c>
      <c r="P259" s="311"/>
      <c r="Q259" s="551"/>
      <c r="X259" s="558"/>
      <c r="Y259" s="558"/>
    </row>
    <row r="260" spans="1:25" ht="112.5" customHeight="1" x14ac:dyDescent="0.3">
      <c r="A260" s="577">
        <f>+'TD Info Completed by Auditor'!D78</f>
        <v>976</v>
      </c>
      <c r="B260" s="322" t="s">
        <v>789</v>
      </c>
      <c r="C260" s="321" t="str">
        <f>+'TD Info Completed by Auditor'!E78</f>
        <v>If the answer to Question "975" above is “yes” did the auditor present or plan to present these issues to the governing body in an open meeting and inform the Local Gov. that they are required to submit a " Response to the Auditor's Findings, Recommendations, and Fiscal Matters" within 60 days, to the LGC.   Select Yes, No or N/A.</v>
      </c>
      <c r="D260" s="345"/>
      <c r="E260" s="328">
        <f>IF(+'TD Info Completed by Auditor'!G78="Yes",1,IF(+'TD Info Completed by Auditor'!G78="No",2,IF(+'TD Info Completed by Auditor'!G78="N/A",3,0)))</f>
        <v>0</v>
      </c>
      <c r="F260" s="339"/>
      <c r="G260" s="341"/>
      <c r="H260" s="338"/>
      <c r="I260" s="37"/>
      <c r="J260" s="124">
        <v>976</v>
      </c>
      <c r="K260" s="588" t="s">
        <v>954</v>
      </c>
      <c r="L260" s="561">
        <f>IF(D260="",E260,D260)</f>
        <v>0</v>
      </c>
      <c r="N260" s="135" t="s">
        <v>995</v>
      </c>
      <c r="P260" s="311"/>
      <c r="W260" s="3" t="b">
        <f>EXACT(A260,J260)</f>
        <v>1</v>
      </c>
      <c r="X260" s="558"/>
      <c r="Y260" s="558"/>
    </row>
    <row r="261" spans="1:25" ht="109.95" customHeight="1" x14ac:dyDescent="0.3">
      <c r="A261" s="605">
        <v>336</v>
      </c>
      <c r="B261" s="358"/>
      <c r="C261" s="606" t="s">
        <v>1050</v>
      </c>
      <c r="D261" s="607" t="s">
        <v>965</v>
      </c>
      <c r="E261" s="608" t="s">
        <v>966</v>
      </c>
      <c r="F261" s="359" t="s">
        <v>964</v>
      </c>
      <c r="G261" s="341"/>
      <c r="H261" s="338"/>
      <c r="I261" s="37"/>
      <c r="J261" s="360">
        <v>336</v>
      </c>
      <c r="K261" s="609" t="s">
        <v>969</v>
      </c>
      <c r="L261" s="610">
        <f>L10-L11-L12-L13-L14-L15-L16</f>
        <v>0</v>
      </c>
      <c r="M261" s="611"/>
      <c r="N261" s="372" t="s">
        <v>967</v>
      </c>
      <c r="P261" s="311"/>
      <c r="X261" s="558"/>
      <c r="Y261" s="558"/>
    </row>
    <row r="262" spans="1:25" ht="129" customHeight="1" x14ac:dyDescent="0.3">
      <c r="A262" s="605">
        <v>44</v>
      </c>
      <c r="B262" s="358"/>
      <c r="C262" s="612" t="s">
        <v>1051</v>
      </c>
      <c r="D262" s="607" t="s">
        <v>956</v>
      </c>
      <c r="E262" s="613" t="s">
        <v>957</v>
      </c>
      <c r="F262" s="359" t="s">
        <v>964</v>
      </c>
      <c r="G262" s="341"/>
      <c r="H262" s="338"/>
      <c r="I262" s="37"/>
      <c r="J262" s="360">
        <v>44</v>
      </c>
      <c r="K262" s="609" t="s">
        <v>970</v>
      </c>
      <c r="L262" s="610">
        <f>L120-L121-L118</f>
        <v>0</v>
      </c>
      <c r="M262" s="611"/>
      <c r="N262" s="372" t="s">
        <v>968</v>
      </c>
      <c r="P262" s="311"/>
      <c r="X262" s="558"/>
      <c r="Y262" s="558"/>
    </row>
    <row r="263" spans="1:25" ht="169.5" customHeight="1" x14ac:dyDescent="0.3">
      <c r="A263" s="605">
        <v>45</v>
      </c>
      <c r="B263" s="358"/>
      <c r="C263" s="614" t="s">
        <v>1052</v>
      </c>
      <c r="D263" s="607" t="s">
        <v>958</v>
      </c>
      <c r="E263" s="608" t="s">
        <v>959</v>
      </c>
      <c r="F263" s="359" t="s">
        <v>964</v>
      </c>
      <c r="G263" s="341"/>
      <c r="H263" s="338"/>
      <c r="I263" s="37"/>
      <c r="J263" s="360">
        <v>45</v>
      </c>
      <c r="K263" s="609" t="s">
        <v>971</v>
      </c>
      <c r="L263" s="610">
        <f>L124-L125-L126-L127-L128-L129-L123</f>
        <v>0</v>
      </c>
      <c r="M263" s="611"/>
      <c r="N263" s="372" t="s">
        <v>986</v>
      </c>
      <c r="P263" s="311"/>
      <c r="X263" s="558"/>
      <c r="Y263" s="558"/>
    </row>
    <row r="264" spans="1:25" ht="87.75" customHeight="1" x14ac:dyDescent="0.3">
      <c r="A264" s="605">
        <v>47</v>
      </c>
      <c r="B264" s="358"/>
      <c r="C264" s="359" t="s">
        <v>973</v>
      </c>
      <c r="D264" s="607" t="s">
        <v>960</v>
      </c>
      <c r="E264" s="608" t="s">
        <v>962</v>
      </c>
      <c r="F264" s="359" t="s">
        <v>964</v>
      </c>
      <c r="G264" s="341"/>
      <c r="H264" s="338"/>
      <c r="I264" s="37"/>
      <c r="J264" s="360">
        <v>47</v>
      </c>
      <c r="K264" s="609" t="s">
        <v>972</v>
      </c>
      <c r="L264" s="610">
        <f>L138-L139-L137</f>
        <v>0</v>
      </c>
      <c r="M264" s="611"/>
      <c r="N264" s="372" t="s">
        <v>987</v>
      </c>
      <c r="P264" s="311"/>
      <c r="X264" s="558"/>
      <c r="Y264" s="558"/>
    </row>
    <row r="265" spans="1:25" ht="152.25" customHeight="1" x14ac:dyDescent="0.3">
      <c r="A265" s="605">
        <v>48</v>
      </c>
      <c r="B265" s="358"/>
      <c r="C265" s="359" t="s">
        <v>974</v>
      </c>
      <c r="D265" s="607" t="s">
        <v>961</v>
      </c>
      <c r="E265" s="608" t="s">
        <v>963</v>
      </c>
      <c r="F265" s="359" t="s">
        <v>964</v>
      </c>
      <c r="G265" s="341"/>
      <c r="H265" s="338"/>
      <c r="I265" s="37"/>
      <c r="J265" s="360">
        <v>48</v>
      </c>
      <c r="K265" s="609" t="s">
        <v>123</v>
      </c>
      <c r="L265" s="610">
        <f>L143-L144-L145-L146-L147-L148-L142</f>
        <v>0</v>
      </c>
      <c r="M265" s="611"/>
      <c r="N265" s="372" t="s">
        <v>988</v>
      </c>
      <c r="P265" s="311"/>
      <c r="X265" s="558"/>
      <c r="Y265" s="558"/>
    </row>
    <row r="266" spans="1:25" ht="113.4" customHeight="1" x14ac:dyDescent="0.3">
      <c r="A266" s="615"/>
      <c r="B266" s="95"/>
      <c r="C266" s="616"/>
      <c r="D266" s="136"/>
      <c r="E266" s="144"/>
      <c r="F266" s="64"/>
      <c r="G266" s="138"/>
      <c r="H266" s="139"/>
      <c r="I266" s="37"/>
      <c r="J266" s="361">
        <v>998</v>
      </c>
      <c r="K266" s="362" t="s">
        <v>288</v>
      </c>
      <c r="L266" s="617" t="e">
        <f>HLOOKUP('Unit Data from Audit Worksheet'!$D$2,'2020 Data(H)'!A1:AI400,247,FALSE)</f>
        <v>#N/A</v>
      </c>
      <c r="M266" s="611"/>
      <c r="N266" s="372" t="s">
        <v>975</v>
      </c>
      <c r="P266" s="307"/>
      <c r="W266" s="3" t="b">
        <f>EXACT(A266,J266)</f>
        <v>0</v>
      </c>
      <c r="X266" s="558" t="e">
        <f t="shared" si="21"/>
        <v>#N/A</v>
      </c>
      <c r="Y266" s="558" t="e">
        <f t="shared" si="22"/>
        <v>#N/A</v>
      </c>
    </row>
    <row r="267" spans="1:25" ht="119.4" customHeight="1" x14ac:dyDescent="0.3">
      <c r="A267" s="615"/>
      <c r="B267" s="95"/>
      <c r="C267" s="616"/>
      <c r="D267" s="618"/>
      <c r="E267" s="619"/>
      <c r="F267" s="620"/>
      <c r="G267" s="621"/>
      <c r="H267" s="622"/>
      <c r="I267" s="37"/>
      <c r="J267" s="363">
        <v>995</v>
      </c>
      <c r="K267" s="364" t="s">
        <v>286</v>
      </c>
      <c r="L267" s="623" t="e">
        <f>HLOOKUP('Unit Data from Audit Worksheet'!$D$2,'2020 Data(H)'!A1:AI400,244,FALSE)</f>
        <v>#N/A</v>
      </c>
      <c r="M267" s="611"/>
      <c r="N267" s="372" t="s">
        <v>989</v>
      </c>
      <c r="P267" s="308"/>
      <c r="W267" s="3" t="b">
        <f>EXACT(A267,J267)</f>
        <v>0</v>
      </c>
      <c r="X267" s="624" t="e">
        <f t="shared" si="21"/>
        <v>#N/A</v>
      </c>
      <c r="Y267" s="558" t="e">
        <f t="shared" si="22"/>
        <v>#N/A</v>
      </c>
    </row>
    <row r="268" spans="1:25" ht="104.4" customHeight="1" x14ac:dyDescent="0.3">
      <c r="A268" s="615"/>
      <c r="B268" s="95"/>
      <c r="C268" s="616"/>
      <c r="D268" s="618"/>
      <c r="E268" s="619"/>
      <c r="F268" s="620"/>
      <c r="G268" s="621"/>
      <c r="H268" s="622"/>
      <c r="I268" s="37"/>
      <c r="J268" s="363">
        <v>996</v>
      </c>
      <c r="K268" s="364" t="s">
        <v>287</v>
      </c>
      <c r="L268" s="623" t="e">
        <f>HLOOKUP('Unit Data from Audit Worksheet'!$D$2,'2020 Data(H)'!A1:AI400,245,FALSE)</f>
        <v>#N/A</v>
      </c>
      <c r="M268" s="611"/>
      <c r="N268" s="372" t="s">
        <v>990</v>
      </c>
      <c r="P268" s="308"/>
      <c r="W268" s="3" t="b">
        <f>EXACT(A268,J268)</f>
        <v>0</v>
      </c>
      <c r="X268" s="624" t="e">
        <f t="shared" si="21"/>
        <v>#N/A</v>
      </c>
      <c r="Y268" s="558" t="e">
        <f t="shared" si="22"/>
        <v>#N/A</v>
      </c>
    </row>
    <row r="269" spans="1:25" ht="43.2" x14ac:dyDescent="0.3">
      <c r="A269" s="615"/>
      <c r="B269" s="95"/>
      <c r="C269" s="616"/>
      <c r="D269" s="618"/>
      <c r="E269" s="619"/>
      <c r="F269" s="620"/>
      <c r="G269" s="621"/>
      <c r="H269" s="625"/>
      <c r="I269" s="37"/>
      <c r="J269" s="169">
        <v>554</v>
      </c>
      <c r="K269" s="626" t="s">
        <v>341</v>
      </c>
      <c r="L269" s="587"/>
      <c r="N269" s="627"/>
      <c r="P269" s="309"/>
      <c r="X269" s="624"/>
      <c r="Y269" s="558"/>
    </row>
    <row r="270" spans="1:25" ht="43.2" x14ac:dyDescent="0.3">
      <c r="A270" s="615"/>
      <c r="B270" s="95"/>
      <c r="C270" s="616"/>
      <c r="D270" s="618"/>
      <c r="E270" s="619"/>
      <c r="F270" s="620"/>
      <c r="G270" s="621"/>
      <c r="H270" s="625"/>
      <c r="I270" s="37"/>
      <c r="J270" s="169">
        <v>555</v>
      </c>
      <c r="K270" s="626" t="s">
        <v>342</v>
      </c>
      <c r="L270" s="587"/>
      <c r="N270" s="627"/>
      <c r="P270" s="309"/>
      <c r="X270" s="624"/>
      <c r="Y270" s="558"/>
    </row>
    <row r="271" spans="1:25" ht="43.2" x14ac:dyDescent="0.3">
      <c r="A271" s="615"/>
      <c r="B271" s="95"/>
      <c r="C271" s="616"/>
      <c r="D271" s="618"/>
      <c r="E271" s="619"/>
      <c r="F271" s="620"/>
      <c r="G271" s="621"/>
      <c r="H271" s="625"/>
      <c r="I271" s="37"/>
      <c r="J271" s="169">
        <v>556</v>
      </c>
      <c r="K271" s="626" t="s">
        <v>343</v>
      </c>
      <c r="L271" s="587"/>
      <c r="N271" s="627"/>
      <c r="P271" s="309"/>
      <c r="X271" s="624"/>
      <c r="Y271" s="558"/>
    </row>
    <row r="272" spans="1:25" ht="43.2" x14ac:dyDescent="0.3">
      <c r="A272" s="615"/>
      <c r="B272" s="95"/>
      <c r="C272" s="616"/>
      <c r="D272" s="618"/>
      <c r="E272" s="619"/>
      <c r="F272" s="620"/>
      <c r="G272" s="621"/>
      <c r="H272" s="625"/>
      <c r="I272" s="37"/>
      <c r="J272" s="169">
        <v>557</v>
      </c>
      <c r="K272" s="626" t="s">
        <v>344</v>
      </c>
      <c r="L272" s="587"/>
      <c r="N272" s="627"/>
      <c r="P272" s="309"/>
      <c r="X272" s="624"/>
      <c r="Y272" s="558"/>
    </row>
    <row r="273" spans="1:25" ht="43.2" x14ac:dyDescent="0.3">
      <c r="A273" s="615"/>
      <c r="B273" s="95"/>
      <c r="C273" s="616"/>
      <c r="D273" s="618"/>
      <c r="E273" s="619"/>
      <c r="F273" s="620"/>
      <c r="G273" s="621"/>
      <c r="H273" s="625"/>
      <c r="I273" s="37"/>
      <c r="J273" s="169">
        <v>606</v>
      </c>
      <c r="K273" s="626" t="s">
        <v>538</v>
      </c>
      <c r="L273" s="587"/>
      <c r="N273" s="627"/>
      <c r="P273" s="309"/>
      <c r="X273" s="624"/>
      <c r="Y273" s="558"/>
    </row>
    <row r="274" spans="1:25" ht="39.75" customHeight="1" x14ac:dyDescent="0.3">
      <c r="A274" s="615"/>
      <c r="B274" s="95"/>
      <c r="C274" s="616"/>
      <c r="D274" s="618"/>
      <c r="E274" s="619"/>
      <c r="F274" s="620"/>
      <c r="G274" s="621"/>
      <c r="H274" s="625"/>
      <c r="I274" s="37"/>
      <c r="J274" s="315">
        <v>662</v>
      </c>
      <c r="K274" s="628" t="s">
        <v>539</v>
      </c>
      <c r="L274" s="629"/>
      <c r="N274" s="627"/>
      <c r="P274" s="315"/>
      <c r="X274" s="624"/>
      <c r="Y274" s="558"/>
    </row>
    <row r="275" spans="1:25" ht="39" customHeight="1" x14ac:dyDescent="0.3">
      <c r="A275" s="615"/>
      <c r="B275" s="95"/>
      <c r="C275" s="616"/>
      <c r="D275" s="618"/>
      <c r="E275" s="619"/>
      <c r="F275" s="620"/>
      <c r="G275" s="621"/>
      <c r="H275" s="625"/>
      <c r="I275" s="37"/>
      <c r="J275" s="315">
        <v>663</v>
      </c>
      <c r="K275" s="630" t="s">
        <v>540</v>
      </c>
      <c r="L275" s="629"/>
      <c r="N275" s="627"/>
      <c r="P275" s="315"/>
      <c r="X275" s="624"/>
      <c r="Y275" s="558"/>
    </row>
    <row r="276" spans="1:25" s="18" customFormat="1" ht="22.5" customHeight="1" x14ac:dyDescent="0.3">
      <c r="A276" s="615"/>
      <c r="B276" s="95"/>
      <c r="C276" s="616"/>
      <c r="D276" s="136"/>
      <c r="E276" s="137"/>
      <c r="F276" s="64"/>
      <c r="G276" s="138"/>
      <c r="H276" s="139"/>
      <c r="I276" s="37"/>
      <c r="J276" s="140"/>
      <c r="K276" s="631"/>
      <c r="L276" s="632"/>
      <c r="N276" s="370"/>
      <c r="P276" s="309"/>
      <c r="Q276" s="551"/>
      <c r="W276" s="18" t="b">
        <f t="shared" ref="W276:W284" si="28">EXACT(A276,J276)</f>
        <v>1</v>
      </c>
      <c r="X276" s="567">
        <f t="shared" si="21"/>
        <v>0</v>
      </c>
      <c r="Y276" s="567">
        <f t="shared" si="22"/>
        <v>0</v>
      </c>
    </row>
    <row r="277" spans="1:25" ht="99" customHeight="1" x14ac:dyDescent="0.3">
      <c r="A277" s="326">
        <f>'Unit Data from Audit Worksheet'!A304</f>
        <v>947</v>
      </c>
      <c r="B277" s="129"/>
      <c r="C277" s="325" t="str">
        <f>'Unit Data from Audit Worksheet'!D304</f>
        <v>First name of finance officer or interim finance officer (please enter “vacant” for first name if the position is currently vacant)</v>
      </c>
      <c r="D277" s="348"/>
      <c r="E277" s="183">
        <f>'Unit Data from Audit Worksheet'!F304</f>
        <v>0</v>
      </c>
      <c r="F277" s="339" t="str">
        <f>'Unit Data from Audit Worksheet'!G304</f>
        <v>Please do not leave blank</v>
      </c>
      <c r="G277" s="341"/>
      <c r="H277" s="338"/>
      <c r="I277" s="37"/>
      <c r="J277" s="173">
        <v>947</v>
      </c>
      <c r="K277" s="633" t="s">
        <v>485</v>
      </c>
      <c r="L277" s="634">
        <f t="shared" ref="L277:L290" si="29">IF(D277="",E277,D277)</f>
        <v>0</v>
      </c>
      <c r="N277" s="627"/>
      <c r="P277" s="315"/>
      <c r="Q277" s="593">
        <f t="shared" ref="Q277:Q284" si="30">IF(L277=0,1,0)</f>
        <v>1</v>
      </c>
      <c r="W277" s="3" t="b">
        <f t="shared" si="28"/>
        <v>1</v>
      </c>
      <c r="X277" s="558">
        <f t="shared" ref="X277:X291" si="31">E277-L277</f>
        <v>0</v>
      </c>
      <c r="Y277" s="558">
        <f t="shared" ref="Y277:Y291" si="32">D277-L277</f>
        <v>0</v>
      </c>
    </row>
    <row r="278" spans="1:25" ht="128.25" customHeight="1" x14ac:dyDescent="0.3">
      <c r="A278" s="326">
        <f>'Unit Data from Audit Worksheet'!A305</f>
        <v>948</v>
      </c>
      <c r="B278" s="129"/>
      <c r="C278" s="325" t="str">
        <f>'Unit Data from Audit Worksheet'!D305</f>
        <v>Last name of finance officer or interim finance officer (please enter “vacant” for last name if the position is currently vacant)</v>
      </c>
      <c r="D278" s="348"/>
      <c r="E278" s="635">
        <f>'Unit Data from Audit Worksheet'!F305</f>
        <v>0</v>
      </c>
      <c r="F278" s="339" t="str">
        <f>'Unit Data from Audit Worksheet'!G305</f>
        <v>Please do not leave blank</v>
      </c>
      <c r="G278" s="341"/>
      <c r="H278" s="338"/>
      <c r="I278" s="37"/>
      <c r="J278" s="173">
        <v>948</v>
      </c>
      <c r="K278" s="633" t="s">
        <v>486</v>
      </c>
      <c r="L278" s="634">
        <f t="shared" si="29"/>
        <v>0</v>
      </c>
      <c r="N278" s="627"/>
      <c r="P278" s="315"/>
      <c r="Q278" s="593">
        <f t="shared" si="30"/>
        <v>1</v>
      </c>
      <c r="W278" s="3" t="b">
        <f t="shared" si="28"/>
        <v>1</v>
      </c>
      <c r="X278" s="558">
        <f t="shared" si="31"/>
        <v>0</v>
      </c>
      <c r="Y278" s="558">
        <f t="shared" si="32"/>
        <v>0</v>
      </c>
    </row>
    <row r="279" spans="1:25" ht="61.5" customHeight="1" x14ac:dyDescent="0.3">
      <c r="A279" s="326">
        <f>'Unit Data from Audit Worksheet'!A306</f>
        <v>949</v>
      </c>
      <c r="B279" s="129"/>
      <c r="C279" s="325" t="str">
        <f>'Unit Data from Audit Worksheet'!D306</f>
        <v>Is the finance officer serving in a permanent role or an interim role? (select permanent/interim/vacant)</v>
      </c>
      <c r="D279" s="348"/>
      <c r="E279" s="183">
        <f>'Unit Data from Audit Worksheet'!F306</f>
        <v>0</v>
      </c>
      <c r="F279" s="339" t="str">
        <f>'Unit Data from Audit Worksheet'!G306</f>
        <v>Please do not leave blank</v>
      </c>
      <c r="G279" s="341"/>
      <c r="H279" s="338"/>
      <c r="I279" s="37"/>
      <c r="J279" s="173">
        <v>949</v>
      </c>
      <c r="K279" s="633" t="s">
        <v>514</v>
      </c>
      <c r="L279" s="634">
        <f t="shared" si="29"/>
        <v>0</v>
      </c>
      <c r="N279" s="627"/>
      <c r="P279" s="315"/>
      <c r="Q279" s="593">
        <f t="shared" si="30"/>
        <v>1</v>
      </c>
      <c r="W279" s="3" t="b">
        <f t="shared" si="28"/>
        <v>1</v>
      </c>
      <c r="X279" s="558">
        <f t="shared" si="31"/>
        <v>0</v>
      </c>
      <c r="Y279" s="558">
        <f t="shared" si="32"/>
        <v>0</v>
      </c>
    </row>
    <row r="280" spans="1:25" ht="93.75" customHeight="1" x14ac:dyDescent="0.3">
      <c r="A280" s="326">
        <f>'Unit Data from Audit Worksheet'!A307</f>
        <v>950</v>
      </c>
      <c r="B280" s="129"/>
      <c r="C280" s="325" t="str">
        <f>'Unit Data from Audit Worksheet'!D307</f>
        <v>Has the finance officer been formally appointed by the local government, public authority, or designated official?  (Y/N)</v>
      </c>
      <c r="D280" s="348"/>
      <c r="E280" s="183">
        <f>'Unit Data from Audit Worksheet'!F307</f>
        <v>0</v>
      </c>
      <c r="F280" s="339" t="str">
        <f>'Unit Data from Audit Worksheet'!G307</f>
        <v>Please do not leave blank</v>
      </c>
      <c r="G280" s="341"/>
      <c r="H280" s="338"/>
      <c r="I280" s="37"/>
      <c r="J280" s="173">
        <v>950</v>
      </c>
      <c r="K280" s="633" t="s">
        <v>515</v>
      </c>
      <c r="L280" s="634">
        <f t="shared" si="29"/>
        <v>0</v>
      </c>
      <c r="N280" s="627"/>
      <c r="P280" s="315"/>
      <c r="Q280" s="593">
        <f t="shared" si="30"/>
        <v>1</v>
      </c>
      <c r="W280" s="3" t="b">
        <f t="shared" si="28"/>
        <v>1</v>
      </c>
      <c r="X280" s="558">
        <f t="shared" si="31"/>
        <v>0</v>
      </c>
      <c r="Y280" s="558">
        <f t="shared" si="32"/>
        <v>0</v>
      </c>
    </row>
    <row r="281" spans="1:25" ht="153.75" customHeight="1" x14ac:dyDescent="0.3">
      <c r="A281" s="326">
        <f>'Unit Data from Audit Worksheet'!A308</f>
        <v>952</v>
      </c>
      <c r="B281" s="129"/>
      <c r="C281" s="325" t="str">
        <f>'Unit Data from Audit Worksheet'!D308</f>
        <v>Date on which the local government, public authority, or designated official appointed the finance officer? (If the date of appointment by the board is difficult to find you may enter January 1 and the year)      Date Format  MM/DD/YYYY</v>
      </c>
      <c r="D281" s="348"/>
      <c r="E281" s="133" t="str">
        <f>IF('Unit Data from Audit Worksheet'!F308&gt;0,'Unit Data from Audit Worksheet'!F308," ")</f>
        <v xml:space="preserve"> </v>
      </c>
      <c r="F281" s="339" t="str">
        <f>'Unit Data from Audit Worksheet'!G308</f>
        <v>Leave blank if data not available</v>
      </c>
      <c r="G281" s="341"/>
      <c r="H281" s="338"/>
      <c r="I281" s="37"/>
      <c r="J281" s="173">
        <v>952</v>
      </c>
      <c r="K281" s="633" t="s">
        <v>516</v>
      </c>
      <c r="L281" s="636" t="str">
        <f t="shared" si="29"/>
        <v xml:space="preserve"> </v>
      </c>
      <c r="N281" s="627"/>
      <c r="P281" s="315"/>
      <c r="Q281" s="593">
        <f t="shared" si="30"/>
        <v>0</v>
      </c>
      <c r="W281" s="3" t="b">
        <f t="shared" si="28"/>
        <v>1</v>
      </c>
      <c r="X281" s="558" t="e">
        <f t="shared" si="31"/>
        <v>#VALUE!</v>
      </c>
      <c r="Y281" s="558" t="e">
        <f t="shared" si="32"/>
        <v>#VALUE!</v>
      </c>
    </row>
    <row r="282" spans="1:25" ht="153.75" customHeight="1" x14ac:dyDescent="0.3">
      <c r="A282" s="326">
        <f>'Unit Data from Audit Worksheet'!A309</f>
        <v>954</v>
      </c>
      <c r="B282" s="129"/>
      <c r="C282" s="325" t="str">
        <f>'Unit Data from Audit Worksheet'!D309</f>
        <v>Has the finance officer or interim finance officer read, understand, and is in compliance with the requirements of N.C.G.S. 159, as applicable based on unit type and circumstances? (Y/N)</v>
      </c>
      <c r="D282" s="348"/>
      <c r="E282" s="183">
        <f>'Unit Data from Audit Worksheet'!F309</f>
        <v>0</v>
      </c>
      <c r="F282" s="339" t="str">
        <f>'Unit Data from Audit Worksheet'!G309</f>
        <v>Please do not leave blank</v>
      </c>
      <c r="G282" s="341"/>
      <c r="H282" s="338"/>
      <c r="I282" s="37"/>
      <c r="J282" s="173">
        <v>954</v>
      </c>
      <c r="K282" s="633" t="s">
        <v>517</v>
      </c>
      <c r="L282" s="634">
        <f t="shared" si="29"/>
        <v>0</v>
      </c>
      <c r="N282" s="627"/>
      <c r="P282" s="315"/>
      <c r="Q282" s="593">
        <f t="shared" si="30"/>
        <v>1</v>
      </c>
      <c r="W282" s="3" t="b">
        <f t="shared" si="28"/>
        <v>1</v>
      </c>
      <c r="X282" s="558">
        <f t="shared" si="31"/>
        <v>0</v>
      </c>
      <c r="Y282" s="558">
        <f t="shared" si="32"/>
        <v>0</v>
      </c>
    </row>
    <row r="283" spans="1:25" ht="153.75" customHeight="1" x14ac:dyDescent="0.3">
      <c r="A283" s="326">
        <f>'Unit Data from Audit Worksheet'!A310</f>
        <v>956</v>
      </c>
      <c r="B283" s="129"/>
      <c r="C283" s="325" t="str">
        <f>'Unit Data from Audit Worksheet'!D310</f>
        <v>Does the finance officer or interim finance officer maintain and update (or ensures the maintenance and update of)  financial records monthly, including reconciliation of bank accounts to the general ledger? (Y/N)</v>
      </c>
      <c r="D283" s="348"/>
      <c r="E283" s="183">
        <f>'Unit Data from Audit Worksheet'!F310</f>
        <v>0</v>
      </c>
      <c r="F283" s="339" t="str">
        <f>'Unit Data from Audit Worksheet'!G310</f>
        <v>Please do not leave blank</v>
      </c>
      <c r="G283" s="341"/>
      <c r="H283" s="338"/>
      <c r="I283" s="37"/>
      <c r="J283" s="173">
        <v>956</v>
      </c>
      <c r="K283" s="633" t="s">
        <v>518</v>
      </c>
      <c r="L283" s="634">
        <f t="shared" si="29"/>
        <v>0</v>
      </c>
      <c r="N283" s="627"/>
      <c r="P283" s="315"/>
      <c r="Q283" s="593">
        <f t="shared" si="30"/>
        <v>1</v>
      </c>
      <c r="W283" s="3" t="b">
        <f t="shared" si="28"/>
        <v>1</v>
      </c>
      <c r="X283" s="558">
        <f t="shared" si="31"/>
        <v>0</v>
      </c>
      <c r="Y283" s="558">
        <f t="shared" si="32"/>
        <v>0</v>
      </c>
    </row>
    <row r="284" spans="1:25" ht="201.6" x14ac:dyDescent="0.3">
      <c r="A284" s="326">
        <f>'Unit Data from Audit Worksheet'!A311</f>
        <v>958</v>
      </c>
      <c r="B284" s="129"/>
      <c r="C284" s="325" t="str">
        <f>'Unit Data from Audit Worksheet'!D311</f>
        <v>Has the finance officer or interim finance officer submitted (or ensured or confirmed submission of) all required and applicable reports including but not limited to  the FY2020 annual audit report (N.C.G.S. 159-34), the semi-annual report on cash and investments (LGC-203) due July 25, 2020 and January 25, 2020 (N.C.G.S. 159-33), and the annual financial information report (AFIR) due by counites and municipalities October 31, 2020 (N.C.G.S. 159-33.1), and any other reports due  during the fiscal year corresponding to the audit report being submitted? (Y/N)</v>
      </c>
      <c r="D284" s="348"/>
      <c r="E284" s="183">
        <f>'Unit Data from Audit Worksheet'!F311</f>
        <v>0</v>
      </c>
      <c r="F284" s="339" t="str">
        <f>'Unit Data from Audit Worksheet'!G311</f>
        <v>Please do not leave blank</v>
      </c>
      <c r="G284" s="341"/>
      <c r="H284" s="338"/>
      <c r="I284" s="37"/>
      <c r="J284" s="173">
        <v>958</v>
      </c>
      <c r="K284" s="633" t="s">
        <v>519</v>
      </c>
      <c r="L284" s="637">
        <f t="shared" si="29"/>
        <v>0</v>
      </c>
      <c r="N284" s="627"/>
      <c r="P284" s="315"/>
      <c r="Q284" s="593">
        <f t="shared" si="30"/>
        <v>1</v>
      </c>
      <c r="W284" s="3" t="b">
        <f t="shared" si="28"/>
        <v>1</v>
      </c>
      <c r="X284" s="558">
        <f t="shared" si="31"/>
        <v>0</v>
      </c>
      <c r="Y284" s="558">
        <f t="shared" si="32"/>
        <v>0</v>
      </c>
    </row>
    <row r="285" spans="1:25" ht="30.75" customHeight="1" x14ac:dyDescent="0.3">
      <c r="A285" s="638">
        <f>'Unit Data from Audit Worksheet'!A319</f>
        <v>960</v>
      </c>
      <c r="B285" s="179"/>
      <c r="C285" s="180" t="str">
        <f>'Unit Data from Audit Worksheet'!B319</f>
        <v>Name of Finance Officer</v>
      </c>
      <c r="D285" s="348"/>
      <c r="E285" s="639">
        <f>'Unit Data from Audit Worksheet'!D319</f>
        <v>0</v>
      </c>
      <c r="F285" s="640" t="str">
        <f>'Unit Data from Audit Worksheet'!F319</f>
        <v>Required</v>
      </c>
      <c r="G285" s="341"/>
      <c r="H285" s="338"/>
      <c r="I285" s="37"/>
      <c r="J285" s="182">
        <v>960</v>
      </c>
      <c r="K285" s="641" t="s">
        <v>510</v>
      </c>
      <c r="L285" s="642">
        <f t="shared" si="29"/>
        <v>0</v>
      </c>
      <c r="N285" s="585"/>
      <c r="P285" s="315"/>
      <c r="Q285" s="593">
        <f>IF(L285=0,1,0)</f>
        <v>1</v>
      </c>
      <c r="X285" s="558"/>
      <c r="Y285" s="558"/>
    </row>
    <row r="286" spans="1:25" ht="30.75" customHeight="1" x14ac:dyDescent="0.3">
      <c r="A286" s="638">
        <f>'Unit Data from Audit Worksheet'!A320</f>
        <v>962</v>
      </c>
      <c r="B286" s="179"/>
      <c r="C286" s="180" t="str">
        <f>'Unit Data from Audit Worksheet'!B320</f>
        <v>Title of Official</v>
      </c>
      <c r="D286" s="348"/>
      <c r="E286" s="639">
        <f>'Unit Data from Audit Worksheet'!D320</f>
        <v>0</v>
      </c>
      <c r="F286" s="640" t="str">
        <f>'Unit Data from Audit Worksheet'!F320</f>
        <v>Required</v>
      </c>
      <c r="G286" s="341"/>
      <c r="H286" s="338"/>
      <c r="I286" s="37"/>
      <c r="J286" s="182">
        <v>962</v>
      </c>
      <c r="K286" s="641" t="s">
        <v>471</v>
      </c>
      <c r="L286" s="642">
        <f t="shared" si="29"/>
        <v>0</v>
      </c>
      <c r="N286" s="585"/>
      <c r="P286" s="315"/>
      <c r="Q286" s="593">
        <f>IF(L286=0,1,0)</f>
        <v>1</v>
      </c>
      <c r="X286" s="558"/>
      <c r="Y286" s="558"/>
    </row>
    <row r="287" spans="1:25" ht="30.75" customHeight="1" x14ac:dyDescent="0.3">
      <c r="A287" s="638">
        <f>'Unit Data from Audit Worksheet'!A321</f>
        <v>964</v>
      </c>
      <c r="B287" s="179"/>
      <c r="C287" s="181" t="str">
        <f>'Unit Data from Audit Worksheet'!B321</f>
        <v>Date                        (Enter as "MM/DD/YYYY")</v>
      </c>
      <c r="D287" s="348"/>
      <c r="E287" s="643" t="str">
        <f>IF('Unit Data from Audit Worksheet'!D321&gt;0,'Unit Data from Audit Worksheet'!D321," ")</f>
        <v xml:space="preserve"> </v>
      </c>
      <c r="F287" s="640" t="str">
        <f>'Unit Data from Audit Worksheet'!F321</f>
        <v>Required</v>
      </c>
      <c r="G287" s="341"/>
      <c r="H287" s="338"/>
      <c r="I287" s="37"/>
      <c r="J287" s="182">
        <v>964</v>
      </c>
      <c r="K287" s="641" t="s">
        <v>550</v>
      </c>
      <c r="L287" s="644" t="str">
        <f t="shared" si="29"/>
        <v xml:space="preserve"> </v>
      </c>
      <c r="N287" s="585"/>
      <c r="P287" s="315"/>
      <c r="Q287" s="593">
        <f>IF(L287=0,1,0)</f>
        <v>0</v>
      </c>
      <c r="X287" s="558"/>
      <c r="Y287" s="558"/>
    </row>
    <row r="288" spans="1:25" ht="30.75" customHeight="1" x14ac:dyDescent="0.3">
      <c r="A288" s="638">
        <f>'Unit Data from Audit Worksheet'!A322</f>
        <v>966</v>
      </c>
      <c r="B288" s="179"/>
      <c r="C288" s="180" t="str">
        <f>'Unit Data from Audit Worksheet'!B322</f>
        <v>Telephone number</v>
      </c>
      <c r="D288" s="348"/>
      <c r="E288" s="639">
        <f>'Unit Data from Audit Worksheet'!D322</f>
        <v>0</v>
      </c>
      <c r="F288" s="640" t="str">
        <f>'Unit Data from Audit Worksheet'!F322</f>
        <v>Required</v>
      </c>
      <c r="G288" s="341"/>
      <c r="H288" s="338"/>
      <c r="I288" s="37"/>
      <c r="J288" s="182">
        <v>966</v>
      </c>
      <c r="K288" s="641" t="s">
        <v>473</v>
      </c>
      <c r="L288" s="642">
        <f t="shared" si="29"/>
        <v>0</v>
      </c>
      <c r="N288" s="585"/>
      <c r="P288" s="315"/>
      <c r="Q288" s="593">
        <f>IF(L288=0,1,0)</f>
        <v>1</v>
      </c>
      <c r="X288" s="558"/>
      <c r="Y288" s="558"/>
    </row>
    <row r="289" spans="1:25" ht="30.75" customHeight="1" x14ac:dyDescent="0.3">
      <c r="A289" s="638">
        <f>'Unit Data from Audit Worksheet'!A323</f>
        <v>968</v>
      </c>
      <c r="B289" s="179"/>
      <c r="C289" s="180" t="str">
        <f>'Unit Data from Audit Worksheet'!B323</f>
        <v>E-mail address</v>
      </c>
      <c r="D289" s="348"/>
      <c r="E289" s="639">
        <f>'Unit Data from Audit Worksheet'!D323</f>
        <v>0</v>
      </c>
      <c r="F289" s="640" t="str">
        <f>'Unit Data from Audit Worksheet'!F323</f>
        <v>Required</v>
      </c>
      <c r="G289" s="341"/>
      <c r="H289" s="338"/>
      <c r="I289" s="37"/>
      <c r="J289" s="182">
        <v>968</v>
      </c>
      <c r="K289" s="641" t="s">
        <v>474</v>
      </c>
      <c r="L289" s="642">
        <f t="shared" si="29"/>
        <v>0</v>
      </c>
      <c r="N289" s="585"/>
      <c r="P289" s="315"/>
      <c r="Q289" s="593">
        <f>IF(L289=0,1,0)</f>
        <v>1</v>
      </c>
      <c r="X289" s="558"/>
      <c r="Y289" s="558"/>
    </row>
    <row r="290" spans="1:25" ht="75.599999999999994" customHeight="1" x14ac:dyDescent="0.3">
      <c r="A290" s="645">
        <f>+'TD Info Completed by Auditor'!D74</f>
        <v>980</v>
      </c>
      <c r="B290" s="358" t="s">
        <v>789</v>
      </c>
      <c r="C290" s="373" t="str">
        <f>+'TD Info Completed by Auditor'!E74</f>
        <v>Date the Auditor presented or plans to present the Audit to the Governing Board</v>
      </c>
      <c r="D290" s="348"/>
      <c r="E290" s="646" t="str">
        <f>IF('TD Info Completed by Auditor'!G74&gt;0,'TD Info Completed by Auditor'!G74," ")</f>
        <v xml:space="preserve"> </v>
      </c>
      <c r="F290" s="647" t="s">
        <v>993</v>
      </c>
      <c r="G290" s="341"/>
      <c r="H290" s="338"/>
      <c r="I290" s="37"/>
      <c r="J290" s="374">
        <v>980</v>
      </c>
      <c r="K290" s="375" t="s">
        <v>750</v>
      </c>
      <c r="L290" s="648" t="str">
        <f t="shared" si="29"/>
        <v xml:space="preserve"> </v>
      </c>
      <c r="N290" s="585"/>
      <c r="P290" s="315"/>
      <c r="Q290" s="593"/>
      <c r="X290" s="558"/>
      <c r="Y290" s="558"/>
    </row>
    <row r="291" spans="1:25" ht="83.4" customHeight="1" x14ac:dyDescent="0.3">
      <c r="A291" s="615"/>
      <c r="B291" s="95"/>
      <c r="C291" s="616"/>
      <c r="D291" s="618"/>
      <c r="E291" s="619"/>
      <c r="F291" s="620"/>
      <c r="G291" s="621"/>
      <c r="H291" s="622"/>
      <c r="I291" s="37"/>
      <c r="J291" s="173">
        <v>999</v>
      </c>
      <c r="K291" s="633" t="s">
        <v>289</v>
      </c>
      <c r="L291" s="649" t="e">
        <f>'Unit Data from Audit Worksheet'!D3</f>
        <v>#N/A</v>
      </c>
      <c r="M291" s="611"/>
      <c r="N291" s="650" t="s">
        <v>992</v>
      </c>
      <c r="O291" s="650" t="s">
        <v>991</v>
      </c>
      <c r="P291" s="315"/>
      <c r="W291" s="3" t="b">
        <f>EXACT(A291,J291)</f>
        <v>0</v>
      </c>
      <c r="X291" s="558" t="e">
        <f t="shared" si="31"/>
        <v>#N/A</v>
      </c>
      <c r="Y291" s="558" t="e">
        <f t="shared" si="32"/>
        <v>#N/A</v>
      </c>
    </row>
    <row r="292" spans="1:25" x14ac:dyDescent="0.3">
      <c r="A292" s="288"/>
      <c r="B292" s="288"/>
      <c r="C292" s="288"/>
      <c r="D292" s="288"/>
      <c r="E292" s="288"/>
      <c r="F292" s="288"/>
      <c r="G292" s="288"/>
      <c r="H292" s="288"/>
      <c r="I292" s="288"/>
      <c r="J292" s="3"/>
      <c r="K292" s="3"/>
      <c r="L292" s="3"/>
      <c r="N292" s="4"/>
      <c r="P292" s="316"/>
    </row>
    <row r="293" spans="1:25" x14ac:dyDescent="0.3">
      <c r="D293" s="652"/>
      <c r="E293" s="653"/>
      <c r="F293" s="653"/>
      <c r="G293" s="654"/>
      <c r="H293" s="653"/>
      <c r="I293" s="655"/>
      <c r="K293" s="10"/>
      <c r="L293" s="656"/>
      <c r="N293" s="4"/>
      <c r="P293" s="316"/>
    </row>
    <row r="294" spans="1:25" ht="18" x14ac:dyDescent="0.35">
      <c r="A294" s="162" t="s">
        <v>406</v>
      </c>
      <c r="B294" s="163"/>
      <c r="C294" s="164"/>
      <c r="D294" s="165"/>
      <c r="E294" s="166"/>
      <c r="F294" s="653"/>
      <c r="G294" s="654"/>
      <c r="H294" s="653"/>
      <c r="I294" s="655"/>
      <c r="L294" s="656"/>
      <c r="N294" s="4"/>
      <c r="P294" s="316"/>
    </row>
    <row r="295" spans="1:25" ht="117" customHeight="1" x14ac:dyDescent="0.7">
      <c r="A295" s="326">
        <f>'Unit Data from Audit Worksheet'!A88</f>
        <v>590</v>
      </c>
      <c r="B295" s="326" t="str">
        <f>'Unit Data from Audit Worksheet'!B88</f>
        <v>Fiscal Review</v>
      </c>
      <c r="C295" s="79" t="str">
        <f>'Unit Data from Audit Worksheet'!D88</f>
        <v>If you appropriated General Fund Balance in your 2021 budget and your "change in fund balance": (account # 9 above) is negative, please select from the drop down box in column F either "operations" or "capital", whichever best describes what the fund balance was used for.  If you select "Capital" please briefly describe in column G to the right the capital items.</v>
      </c>
      <c r="D295" s="78"/>
      <c r="E295" s="102">
        <f>'Unit Data from Audit Worksheet'!F88</f>
        <v>0</v>
      </c>
      <c r="F295" s="78">
        <f>'Unit Data from Audit Worksheet'!G88</f>
        <v>0</v>
      </c>
      <c r="G295" s="654"/>
      <c r="H295" s="653"/>
      <c r="I295" s="655"/>
      <c r="J295" s="155" t="e">
        <f>SUM(Q5:Q295)</f>
        <v>#N/A</v>
      </c>
      <c r="K295" s="154" t="s">
        <v>507</v>
      </c>
      <c r="L295" s="656" t="e">
        <f>SUM(G5:G245)</f>
        <v>#N/A</v>
      </c>
      <c r="N295" s="4"/>
      <c r="P295" s="316"/>
    </row>
    <row r="296" spans="1:25" ht="14.25" customHeight="1" x14ac:dyDescent="0.3">
      <c r="A296" s="288"/>
      <c r="B296" s="288"/>
      <c r="C296" s="288"/>
      <c r="D296" s="288"/>
      <c r="E296" s="288"/>
      <c r="F296" s="653"/>
      <c r="G296" s="654"/>
      <c r="H296" s="653"/>
      <c r="I296" s="655"/>
      <c r="K296" s="10"/>
      <c r="L296" s="657"/>
      <c r="P296" s="316"/>
      <c r="Q296" s="83"/>
    </row>
    <row r="297" spans="1:25" x14ac:dyDescent="0.3">
      <c r="A297" s="288"/>
      <c r="B297" s="288"/>
      <c r="C297" s="288"/>
      <c r="D297" s="288"/>
      <c r="E297" s="288"/>
      <c r="F297" s="653"/>
      <c r="G297" s="654"/>
      <c r="H297" s="653"/>
      <c r="I297" s="655"/>
      <c r="K297" s="10"/>
      <c r="L297" s="657"/>
      <c r="P297" s="316"/>
    </row>
    <row r="298" spans="1:25" ht="18.75" customHeight="1" x14ac:dyDescent="0.3">
      <c r="A298" s="288"/>
      <c r="B298" s="288"/>
      <c r="C298" s="288"/>
      <c r="D298" s="288"/>
      <c r="E298" s="288"/>
      <c r="F298" s="653"/>
      <c r="G298" s="654"/>
      <c r="H298" s="653"/>
      <c r="I298" s="655"/>
      <c r="J298" s="5">
        <f>SUM(J5:J245)</f>
        <v>98821</v>
      </c>
      <c r="K298" s="10"/>
      <c r="L298" s="657"/>
      <c r="P298" s="316"/>
    </row>
    <row r="299" spans="1:25" ht="30.75" customHeight="1" x14ac:dyDescent="0.3">
      <c r="A299" s="288"/>
      <c r="B299" s="288"/>
      <c r="C299" s="288"/>
      <c r="D299" s="288"/>
      <c r="E299" s="288"/>
      <c r="F299" s="653"/>
      <c r="G299" s="654"/>
      <c r="H299" s="653"/>
      <c r="I299" s="655"/>
      <c r="J299" s="5">
        <f>SUM(J261:J265)+SUM(J277:J290)</f>
        <v>13934</v>
      </c>
      <c r="K299" s="10"/>
      <c r="L299" s="657"/>
      <c r="P299" s="316"/>
    </row>
    <row r="300" spans="1:25" ht="30.75" customHeight="1" x14ac:dyDescent="0.3">
      <c r="A300" s="288"/>
      <c r="B300" s="288"/>
      <c r="C300" s="288"/>
      <c r="D300" s="288"/>
      <c r="E300" s="288"/>
      <c r="F300" s="653"/>
      <c r="G300" s="654"/>
      <c r="H300" s="653"/>
      <c r="I300" s="655"/>
      <c r="J300" s="5">
        <f>+J298+J299</f>
        <v>112755</v>
      </c>
      <c r="K300" s="10"/>
      <c r="L300" s="657"/>
      <c r="P300" s="316"/>
    </row>
    <row r="301" spans="1:25" ht="30.75" customHeight="1" x14ac:dyDescent="0.3">
      <c r="A301" s="288"/>
      <c r="B301" s="288"/>
      <c r="C301" s="288"/>
      <c r="D301" s="288"/>
      <c r="E301" s="288"/>
      <c r="F301" s="653"/>
      <c r="G301" s="654"/>
      <c r="H301" s="653"/>
      <c r="I301" s="655"/>
      <c r="J301" s="5">
        <f>+'Unit Data from Audit Worksheet'!A327</f>
        <v>36693</v>
      </c>
      <c r="K301" s="10"/>
      <c r="L301" s="657"/>
      <c r="P301" s="316"/>
    </row>
    <row r="302" spans="1:25" ht="30.75" customHeight="1" x14ac:dyDescent="0.3">
      <c r="A302" s="288"/>
      <c r="B302" s="288"/>
      <c r="C302" s="288"/>
      <c r="D302" s="288"/>
      <c r="E302" s="288"/>
      <c r="F302" s="653"/>
      <c r="G302" s="654"/>
      <c r="H302" s="653"/>
      <c r="I302" s="655"/>
      <c r="J302" s="5">
        <f>+J300-J301</f>
        <v>76062</v>
      </c>
      <c r="K302" s="10"/>
      <c r="L302" s="657"/>
      <c r="P302" s="316"/>
    </row>
    <row r="303" spans="1:25" ht="30.75" customHeight="1" x14ac:dyDescent="0.3">
      <c r="A303" s="288"/>
      <c r="B303" s="288"/>
      <c r="C303" s="288"/>
      <c r="D303" s="288"/>
      <c r="E303" s="288"/>
      <c r="F303" s="653"/>
      <c r="G303" s="654"/>
      <c r="H303" s="653"/>
      <c r="I303" s="655"/>
      <c r="K303" s="10"/>
      <c r="L303" s="657"/>
      <c r="P303" s="316"/>
    </row>
    <row r="304" spans="1:25" x14ac:dyDescent="0.3">
      <c r="A304" s="288"/>
      <c r="B304" s="288"/>
      <c r="C304" s="288"/>
      <c r="D304" s="288"/>
      <c r="E304" s="288"/>
      <c r="I304" s="655"/>
      <c r="K304" s="10"/>
      <c r="L304" s="657"/>
      <c r="P304" s="316"/>
    </row>
    <row r="305" spans="1:16" x14ac:dyDescent="0.3">
      <c r="A305" s="288"/>
      <c r="B305" s="288"/>
      <c r="C305" s="288"/>
      <c r="D305" s="288"/>
      <c r="E305" s="288"/>
      <c r="I305" s="655"/>
      <c r="L305" s="657"/>
      <c r="P305" s="316"/>
    </row>
    <row r="306" spans="1:16" x14ac:dyDescent="0.3">
      <c r="A306" s="5"/>
      <c r="B306" s="658"/>
      <c r="C306" s="25"/>
      <c r="D306" s="77"/>
      <c r="I306" s="655"/>
      <c r="L306" s="657"/>
      <c r="P306" s="316"/>
    </row>
    <row r="307" spans="1:16" x14ac:dyDescent="0.3">
      <c r="A307" s="5"/>
      <c r="B307" s="658"/>
      <c r="C307" s="25"/>
      <c r="D307" s="77"/>
      <c r="L307" s="657"/>
      <c r="P307" s="316"/>
    </row>
    <row r="308" spans="1:16" x14ac:dyDescent="0.3">
      <c r="D308" s="77"/>
      <c r="P308" s="316"/>
    </row>
    <row r="309" spans="1:16" x14ac:dyDescent="0.3">
      <c r="D309" s="77"/>
      <c r="P309" s="316"/>
    </row>
    <row r="310" spans="1:16" x14ac:dyDescent="0.3">
      <c r="D310" s="77"/>
      <c r="P310" s="316"/>
    </row>
    <row r="311" spans="1:16" x14ac:dyDescent="0.3">
      <c r="D311" s="77"/>
      <c r="P311" s="316"/>
    </row>
    <row r="312" spans="1:16" x14ac:dyDescent="0.3">
      <c r="A312" s="5"/>
      <c r="B312" s="658"/>
      <c r="C312" s="25"/>
      <c r="D312" s="77"/>
      <c r="P312" s="316"/>
    </row>
    <row r="313" spans="1:16" x14ac:dyDescent="0.3">
      <c r="A313" s="5"/>
      <c r="B313" s="658"/>
      <c r="C313" s="25"/>
      <c r="D313" s="77"/>
      <c r="P313" s="316"/>
    </row>
    <row r="314" spans="1:16" x14ac:dyDescent="0.3">
      <c r="D314" s="77"/>
      <c r="P314" s="316"/>
    </row>
    <row r="315" spans="1:16" x14ac:dyDescent="0.3">
      <c r="D315" s="77"/>
      <c r="P315" s="316"/>
    </row>
    <row r="316" spans="1:16" x14ac:dyDescent="0.3">
      <c r="D316" s="77"/>
      <c r="P316" s="316"/>
    </row>
    <row r="317" spans="1:16" x14ac:dyDescent="0.3">
      <c r="D317" s="77"/>
      <c r="P317" s="316"/>
    </row>
    <row r="318" spans="1:16" x14ac:dyDescent="0.3">
      <c r="A318" s="5"/>
      <c r="B318" s="658"/>
      <c r="C318" s="25"/>
      <c r="D318" s="77"/>
      <c r="P318" s="316"/>
    </row>
    <row r="319" spans="1:16" x14ac:dyDescent="0.3">
      <c r="A319" s="5"/>
      <c r="B319" s="658"/>
      <c r="C319" s="25"/>
      <c r="D319" s="77"/>
      <c r="P319" s="316"/>
    </row>
    <row r="320" spans="1:16" x14ac:dyDescent="0.3">
      <c r="D320" s="77"/>
      <c r="P320" s="316"/>
    </row>
    <row r="321" spans="1:16" x14ac:dyDescent="0.3">
      <c r="D321" s="77"/>
      <c r="P321" s="316"/>
    </row>
    <row r="322" spans="1:16" x14ac:dyDescent="0.3">
      <c r="D322" s="77"/>
      <c r="P322" s="316"/>
    </row>
    <row r="323" spans="1:16" x14ac:dyDescent="0.3">
      <c r="D323" s="77"/>
      <c r="P323" s="316"/>
    </row>
    <row r="324" spans="1:16" x14ac:dyDescent="0.3">
      <c r="A324" s="5"/>
      <c r="B324" s="658"/>
      <c r="C324" s="25"/>
      <c r="D324" s="77"/>
      <c r="P324" s="316"/>
    </row>
    <row r="325" spans="1:16" x14ac:dyDescent="0.3">
      <c r="A325" s="5"/>
      <c r="B325" s="658"/>
      <c r="C325" s="25"/>
      <c r="D325" s="77"/>
      <c r="P325" s="316"/>
    </row>
    <row r="326" spans="1:16" x14ac:dyDescent="0.3">
      <c r="A326" s="5"/>
      <c r="B326" s="658"/>
      <c r="C326" s="25"/>
      <c r="D326" s="77"/>
      <c r="P326" s="316"/>
    </row>
    <row r="327" spans="1:16" x14ac:dyDescent="0.3">
      <c r="A327" s="5"/>
      <c r="B327" s="658"/>
      <c r="C327" s="25"/>
      <c r="D327" s="77"/>
      <c r="P327" s="316"/>
    </row>
    <row r="328" spans="1:16" x14ac:dyDescent="0.3">
      <c r="D328" s="77"/>
      <c r="P328" s="316"/>
    </row>
    <row r="329" spans="1:16" x14ac:dyDescent="0.3">
      <c r="D329" s="77"/>
      <c r="P329" s="316"/>
    </row>
    <row r="330" spans="1:16" x14ac:dyDescent="0.3">
      <c r="D330" s="77"/>
      <c r="P330" s="316"/>
    </row>
    <row r="331" spans="1:16" x14ac:dyDescent="0.3">
      <c r="A331" s="5"/>
      <c r="B331" s="658"/>
      <c r="C331" s="25"/>
      <c r="D331" s="77"/>
      <c r="P331" s="316"/>
    </row>
    <row r="332" spans="1:16" x14ac:dyDescent="0.3">
      <c r="A332" s="5"/>
      <c r="B332" s="658"/>
      <c r="C332" s="25"/>
      <c r="D332" s="77"/>
      <c r="P332" s="316"/>
    </row>
    <row r="333" spans="1:16" x14ac:dyDescent="0.3">
      <c r="A333" s="5"/>
      <c r="B333" s="658"/>
      <c r="C333" s="25"/>
      <c r="D333" s="77"/>
      <c r="P333" s="316"/>
    </row>
    <row r="334" spans="1:16" x14ac:dyDescent="0.3">
      <c r="A334" s="5"/>
      <c r="B334" s="658"/>
      <c r="C334" s="25"/>
      <c r="D334" s="77"/>
      <c r="P334" s="316"/>
    </row>
    <row r="335" spans="1:16" x14ac:dyDescent="0.3">
      <c r="A335" s="5"/>
      <c r="B335" s="658"/>
      <c r="C335" s="25"/>
      <c r="D335" s="77"/>
      <c r="P335" s="316"/>
    </row>
    <row r="336" spans="1:16" x14ac:dyDescent="0.3">
      <c r="A336" s="5"/>
      <c r="B336" s="658"/>
      <c r="C336" s="25"/>
      <c r="D336" s="77"/>
      <c r="P336" s="316"/>
    </row>
    <row r="337" spans="1:16" x14ac:dyDescent="0.3">
      <c r="A337" s="5"/>
      <c r="B337" s="658"/>
      <c r="C337" s="25"/>
      <c r="D337" s="77"/>
      <c r="P337" s="316"/>
    </row>
    <row r="338" spans="1:16" x14ac:dyDescent="0.3">
      <c r="A338" s="5"/>
      <c r="B338" s="658"/>
      <c r="C338" s="25"/>
      <c r="D338" s="77"/>
      <c r="P338" s="316"/>
    </row>
    <row r="339" spans="1:16" x14ac:dyDescent="0.3">
      <c r="A339" s="5"/>
      <c r="B339" s="658"/>
      <c r="C339" s="25"/>
      <c r="D339" s="77"/>
      <c r="P339" s="316"/>
    </row>
    <row r="340" spans="1:16" x14ac:dyDescent="0.3">
      <c r="A340" s="5"/>
      <c r="B340" s="658"/>
      <c r="C340" s="25"/>
      <c r="D340" s="77"/>
      <c r="P340" s="316"/>
    </row>
    <row r="341" spans="1:16" x14ac:dyDescent="0.3">
      <c r="A341" s="5"/>
      <c r="B341" s="658"/>
      <c r="C341" s="25"/>
      <c r="D341" s="77"/>
      <c r="P341" s="316"/>
    </row>
    <row r="342" spans="1:16" x14ac:dyDescent="0.3">
      <c r="A342" s="5"/>
      <c r="B342" s="658"/>
      <c r="C342" s="25"/>
      <c r="D342" s="77"/>
      <c r="P342" s="316"/>
    </row>
    <row r="343" spans="1:16" x14ac:dyDescent="0.3">
      <c r="A343" s="5"/>
      <c r="B343" s="658"/>
      <c r="C343" s="25"/>
      <c r="D343" s="77"/>
      <c r="P343" s="316"/>
    </row>
    <row r="344" spans="1:16" x14ac:dyDescent="0.3">
      <c r="A344" s="5"/>
      <c r="B344" s="658"/>
      <c r="C344" s="25"/>
      <c r="D344" s="77"/>
      <c r="P344" s="316"/>
    </row>
    <row r="345" spans="1:16" x14ac:dyDescent="0.3">
      <c r="A345" s="5"/>
      <c r="B345" s="658"/>
      <c r="C345" s="25"/>
      <c r="D345" s="77"/>
      <c r="P345" s="316"/>
    </row>
    <row r="346" spans="1:16" x14ac:dyDescent="0.3">
      <c r="A346" s="5"/>
      <c r="B346" s="658"/>
      <c r="C346" s="25"/>
      <c r="D346" s="77"/>
      <c r="P346" s="316"/>
    </row>
    <row r="347" spans="1:16" x14ac:dyDescent="0.3">
      <c r="A347" s="5"/>
      <c r="B347" s="658"/>
      <c r="C347" s="25"/>
      <c r="D347" s="77"/>
      <c r="P347" s="316"/>
    </row>
    <row r="348" spans="1:16" x14ac:dyDescent="0.3">
      <c r="A348" s="5"/>
      <c r="B348" s="658"/>
      <c r="C348" s="25"/>
      <c r="D348" s="77"/>
      <c r="P348" s="316"/>
    </row>
    <row r="349" spans="1:16" x14ac:dyDescent="0.3">
      <c r="A349" s="5"/>
      <c r="B349" s="658"/>
      <c r="C349" s="25"/>
      <c r="D349" s="77"/>
      <c r="P349" s="316"/>
    </row>
    <row r="350" spans="1:16" x14ac:dyDescent="0.3">
      <c r="A350" s="5"/>
      <c r="B350" s="658"/>
      <c r="C350" s="25"/>
      <c r="D350" s="77"/>
      <c r="P350" s="316"/>
    </row>
    <row r="351" spans="1:16" x14ac:dyDescent="0.3">
      <c r="A351" s="5"/>
      <c r="B351" s="658"/>
      <c r="C351" s="25"/>
      <c r="D351" s="77"/>
      <c r="P351" s="316"/>
    </row>
    <row r="352" spans="1:16" x14ac:dyDescent="0.3">
      <c r="A352" s="5"/>
      <c r="B352" s="658"/>
      <c r="C352" s="25"/>
      <c r="D352" s="77"/>
      <c r="P352" s="316"/>
    </row>
    <row r="353" spans="1:16" x14ac:dyDescent="0.3">
      <c r="A353" s="5"/>
      <c r="B353" s="658"/>
      <c r="C353" s="25"/>
      <c r="D353" s="77"/>
      <c r="P353" s="316"/>
    </row>
    <row r="354" spans="1:16" x14ac:dyDescent="0.3">
      <c r="A354" s="5"/>
      <c r="B354" s="658"/>
      <c r="C354" s="25"/>
      <c r="D354" s="77"/>
      <c r="P354" s="316"/>
    </row>
    <row r="355" spans="1:16" x14ac:dyDescent="0.3">
      <c r="A355" s="5"/>
      <c r="B355" s="658"/>
      <c r="C355" s="25"/>
      <c r="D355" s="77"/>
      <c r="P355" s="316"/>
    </row>
    <row r="356" spans="1:16" x14ac:dyDescent="0.3">
      <c r="A356" s="5"/>
      <c r="B356" s="658"/>
      <c r="C356" s="25"/>
      <c r="D356" s="77"/>
      <c r="P356" s="316"/>
    </row>
    <row r="357" spans="1:16" x14ac:dyDescent="0.3">
      <c r="A357" s="5"/>
      <c r="B357" s="658"/>
      <c r="C357" s="25"/>
      <c r="D357" s="77"/>
      <c r="P357" s="316"/>
    </row>
    <row r="358" spans="1:16" x14ac:dyDescent="0.3">
      <c r="A358" s="5"/>
      <c r="B358" s="658"/>
      <c r="C358" s="25"/>
      <c r="D358" s="77"/>
      <c r="P358" s="316"/>
    </row>
    <row r="359" spans="1:16" x14ac:dyDescent="0.3">
      <c r="A359" s="5"/>
      <c r="B359" s="658"/>
      <c r="C359" s="25"/>
      <c r="D359" s="77"/>
      <c r="P359" s="316"/>
    </row>
    <row r="360" spans="1:16" x14ac:dyDescent="0.3">
      <c r="A360" s="5"/>
      <c r="B360" s="658"/>
      <c r="C360" s="25"/>
      <c r="D360" s="77"/>
      <c r="P360" s="316"/>
    </row>
    <row r="361" spans="1:16" x14ac:dyDescent="0.3">
      <c r="A361" s="5"/>
      <c r="B361" s="658"/>
      <c r="C361" s="25"/>
      <c r="D361" s="77"/>
      <c r="P361" s="316"/>
    </row>
    <row r="362" spans="1:16" x14ac:dyDescent="0.3">
      <c r="A362" s="5"/>
      <c r="B362" s="658"/>
      <c r="C362" s="25"/>
      <c r="D362" s="77"/>
      <c r="P362" s="316"/>
    </row>
    <row r="363" spans="1:16" x14ac:dyDescent="0.3">
      <c r="A363" s="5"/>
      <c r="B363" s="658"/>
      <c r="C363" s="25"/>
      <c r="D363" s="77"/>
      <c r="P363" s="316"/>
    </row>
    <row r="364" spans="1:16" x14ac:dyDescent="0.3">
      <c r="A364" s="5"/>
      <c r="B364" s="658"/>
      <c r="C364" s="25"/>
      <c r="D364" s="77"/>
      <c r="P364" s="316"/>
    </row>
    <row r="365" spans="1:16" x14ac:dyDescent="0.3">
      <c r="A365" s="5"/>
      <c r="B365" s="658"/>
      <c r="C365" s="25"/>
      <c r="D365" s="77"/>
      <c r="P365" s="316"/>
    </row>
    <row r="366" spans="1:16" x14ac:dyDescent="0.3">
      <c r="A366" s="5"/>
      <c r="B366" s="658"/>
      <c r="C366" s="25"/>
      <c r="D366" s="77"/>
      <c r="P366" s="316"/>
    </row>
    <row r="367" spans="1:16" x14ac:dyDescent="0.3">
      <c r="A367" s="5"/>
      <c r="B367" s="658"/>
      <c r="C367" s="25"/>
      <c r="D367" s="77"/>
      <c r="P367" s="316"/>
    </row>
    <row r="368" spans="1:16" x14ac:dyDescent="0.3">
      <c r="A368" s="5"/>
      <c r="B368" s="658"/>
      <c r="C368" s="25"/>
      <c r="D368" s="77"/>
      <c r="P368" s="316"/>
    </row>
    <row r="369" spans="1:16" x14ac:dyDescent="0.3">
      <c r="A369" s="5"/>
      <c r="B369" s="658"/>
      <c r="C369" s="25"/>
      <c r="D369" s="77"/>
      <c r="P369" s="316"/>
    </row>
    <row r="370" spans="1:16" x14ac:dyDescent="0.3">
      <c r="A370" s="5"/>
      <c r="B370" s="658"/>
      <c r="C370" s="25"/>
      <c r="D370" s="77"/>
      <c r="P370" s="316"/>
    </row>
    <row r="371" spans="1:16" x14ac:dyDescent="0.3">
      <c r="A371" s="5"/>
      <c r="B371" s="658"/>
      <c r="C371" s="25"/>
      <c r="D371" s="77"/>
      <c r="P371" s="316"/>
    </row>
    <row r="372" spans="1:16" x14ac:dyDescent="0.3">
      <c r="A372" s="5"/>
      <c r="B372" s="658"/>
      <c r="C372" s="25"/>
      <c r="D372" s="77"/>
      <c r="P372" s="316"/>
    </row>
    <row r="373" spans="1:16" x14ac:dyDescent="0.3">
      <c r="A373" s="5"/>
      <c r="B373" s="658"/>
      <c r="C373" s="25"/>
      <c r="D373" s="77"/>
      <c r="P373" s="316"/>
    </row>
    <row r="374" spans="1:16" x14ac:dyDescent="0.3">
      <c r="A374" s="5"/>
      <c r="B374" s="658"/>
      <c r="C374" s="25"/>
      <c r="D374" s="77"/>
      <c r="P374" s="316"/>
    </row>
    <row r="375" spans="1:16" x14ac:dyDescent="0.3">
      <c r="A375" s="5"/>
      <c r="B375" s="658"/>
      <c r="C375" s="25"/>
      <c r="D375" s="77"/>
      <c r="P375" s="316"/>
    </row>
    <row r="376" spans="1:16" x14ac:dyDescent="0.3">
      <c r="A376" s="5"/>
      <c r="B376" s="658"/>
      <c r="C376" s="25"/>
      <c r="D376" s="77"/>
      <c r="P376" s="316"/>
    </row>
    <row r="377" spans="1:16" x14ac:dyDescent="0.3">
      <c r="A377" s="5"/>
      <c r="B377" s="658"/>
      <c r="C377" s="25"/>
      <c r="D377" s="77"/>
      <c r="P377" s="316"/>
    </row>
    <row r="378" spans="1:16" x14ac:dyDescent="0.3">
      <c r="A378" s="5"/>
      <c r="B378" s="658"/>
      <c r="C378" s="25"/>
      <c r="D378" s="77"/>
      <c r="P378" s="316"/>
    </row>
    <row r="379" spans="1:16" x14ac:dyDescent="0.3">
      <c r="A379" s="5"/>
      <c r="B379" s="658"/>
      <c r="C379" s="25"/>
      <c r="D379" s="77"/>
      <c r="P379" s="316"/>
    </row>
    <row r="380" spans="1:16" x14ac:dyDescent="0.3">
      <c r="A380" s="5"/>
      <c r="B380" s="658"/>
      <c r="C380" s="25"/>
      <c r="D380" s="77"/>
      <c r="P380" s="316"/>
    </row>
    <row r="381" spans="1:16" x14ac:dyDescent="0.3">
      <c r="A381" s="5"/>
      <c r="B381" s="658"/>
      <c r="C381" s="25"/>
      <c r="D381" s="77"/>
      <c r="P381" s="316"/>
    </row>
    <row r="382" spans="1:16" x14ac:dyDescent="0.3">
      <c r="A382" s="5"/>
      <c r="B382" s="658"/>
      <c r="C382" s="25"/>
      <c r="D382" s="77"/>
      <c r="P382" s="316"/>
    </row>
    <row r="383" spans="1:16" x14ac:dyDescent="0.3">
      <c r="A383" s="5"/>
      <c r="B383" s="658"/>
      <c r="C383" s="25"/>
      <c r="D383" s="77"/>
      <c r="P383" s="316"/>
    </row>
    <row r="384" spans="1:16" x14ac:dyDescent="0.3">
      <c r="A384" s="5"/>
      <c r="B384" s="658"/>
      <c r="C384" s="25"/>
      <c r="D384" s="77"/>
      <c r="P384" s="316"/>
    </row>
    <row r="385" spans="1:16" x14ac:dyDescent="0.3">
      <c r="A385" s="5"/>
      <c r="B385" s="658"/>
      <c r="C385" s="25"/>
      <c r="D385" s="77"/>
      <c r="P385" s="316"/>
    </row>
    <row r="386" spans="1:16" x14ac:dyDescent="0.3">
      <c r="A386" s="5"/>
      <c r="B386" s="658"/>
      <c r="C386" s="25"/>
      <c r="D386" s="77"/>
      <c r="P386" s="316"/>
    </row>
    <row r="387" spans="1:16" x14ac:dyDescent="0.3">
      <c r="A387" s="5"/>
      <c r="B387" s="658"/>
      <c r="C387" s="25"/>
      <c r="D387" s="77"/>
      <c r="P387" s="316"/>
    </row>
    <row r="388" spans="1:16" x14ac:dyDescent="0.3">
      <c r="A388" s="5"/>
      <c r="B388" s="658"/>
      <c r="C388" s="25"/>
      <c r="D388" s="77"/>
      <c r="P388" s="316"/>
    </row>
    <row r="389" spans="1:16" x14ac:dyDescent="0.3">
      <c r="A389" s="5"/>
      <c r="B389" s="658"/>
      <c r="C389" s="25"/>
      <c r="D389" s="77"/>
      <c r="P389" s="316"/>
    </row>
    <row r="390" spans="1:16" x14ac:dyDescent="0.3">
      <c r="A390" s="5"/>
      <c r="B390" s="658"/>
      <c r="C390" s="25"/>
      <c r="D390" s="77"/>
      <c r="P390" s="316"/>
    </row>
    <row r="391" spans="1:16" x14ac:dyDescent="0.3">
      <c r="A391" s="5"/>
      <c r="B391" s="658"/>
      <c r="C391" s="25"/>
      <c r="D391" s="77"/>
      <c r="P391" s="316"/>
    </row>
    <row r="392" spans="1:16" x14ac:dyDescent="0.3">
      <c r="A392" s="5"/>
      <c r="B392" s="658"/>
      <c r="C392" s="25"/>
      <c r="D392" s="77"/>
      <c r="P392" s="316"/>
    </row>
    <row r="393" spans="1:16" x14ac:dyDescent="0.3">
      <c r="A393" s="5"/>
      <c r="B393" s="658"/>
      <c r="C393" s="25"/>
      <c r="D393" s="77"/>
      <c r="P393" s="316"/>
    </row>
    <row r="394" spans="1:16" x14ac:dyDescent="0.3">
      <c r="A394" s="5"/>
      <c r="B394" s="658"/>
      <c r="C394" s="25"/>
      <c r="D394" s="77"/>
      <c r="P394" s="316"/>
    </row>
    <row r="395" spans="1:16" x14ac:dyDescent="0.3">
      <c r="A395" s="5"/>
      <c r="B395" s="658"/>
      <c r="C395" s="25"/>
      <c r="D395" s="77"/>
      <c r="P395" s="316"/>
    </row>
    <row r="396" spans="1:16" x14ac:dyDescent="0.3">
      <c r="A396" s="5"/>
      <c r="B396" s="658"/>
      <c r="C396" s="25"/>
      <c r="D396" s="77"/>
      <c r="P396" s="316"/>
    </row>
    <row r="397" spans="1:16" x14ac:dyDescent="0.3">
      <c r="A397" s="5"/>
      <c r="B397" s="658"/>
      <c r="C397" s="25"/>
      <c r="D397" s="77"/>
      <c r="P397" s="316"/>
    </row>
    <row r="398" spans="1:16" x14ac:dyDescent="0.3">
      <c r="A398" s="5"/>
      <c r="B398" s="658"/>
      <c r="C398" s="25"/>
      <c r="D398" s="77"/>
      <c r="P398" s="316"/>
    </row>
    <row r="399" spans="1:16" x14ac:dyDescent="0.3">
      <c r="A399" s="5"/>
      <c r="B399" s="658"/>
      <c r="C399" s="25"/>
      <c r="D399" s="77"/>
      <c r="P399" s="316"/>
    </row>
    <row r="400" spans="1:16" x14ac:dyDescent="0.3">
      <c r="A400" s="5"/>
      <c r="B400" s="658"/>
      <c r="C400" s="25"/>
      <c r="D400" s="77"/>
      <c r="P400" s="316"/>
    </row>
    <row r="401" spans="1:16" x14ac:dyDescent="0.3">
      <c r="A401" s="5"/>
      <c r="B401" s="658"/>
      <c r="C401" s="25"/>
      <c r="D401" s="77"/>
      <c r="P401" s="316"/>
    </row>
    <row r="402" spans="1:16" x14ac:dyDescent="0.3">
      <c r="A402" s="5"/>
      <c r="B402" s="658"/>
      <c r="C402" s="25"/>
      <c r="D402" s="77"/>
      <c r="P402" s="316"/>
    </row>
    <row r="403" spans="1:16" x14ac:dyDescent="0.3">
      <c r="A403" s="5"/>
      <c r="B403" s="658"/>
      <c r="C403" s="25"/>
      <c r="D403" s="77"/>
      <c r="P403" s="316"/>
    </row>
    <row r="404" spans="1:16" x14ac:dyDescent="0.3">
      <c r="A404" s="5"/>
      <c r="B404" s="658"/>
      <c r="C404" s="25"/>
      <c r="D404" s="77"/>
      <c r="P404" s="316"/>
    </row>
    <row r="405" spans="1:16" x14ac:dyDescent="0.3">
      <c r="A405" s="5"/>
      <c r="B405" s="658"/>
      <c r="C405" s="25"/>
      <c r="D405" s="77"/>
      <c r="P405" s="316"/>
    </row>
    <row r="406" spans="1:16" x14ac:dyDescent="0.3">
      <c r="A406" s="5"/>
      <c r="B406" s="658"/>
      <c r="C406" s="25"/>
      <c r="D406" s="77"/>
      <c r="P406" s="316"/>
    </row>
    <row r="407" spans="1:16" x14ac:dyDescent="0.3">
      <c r="A407" s="5"/>
      <c r="B407" s="658"/>
      <c r="C407" s="25"/>
      <c r="D407" s="77"/>
      <c r="P407" s="316"/>
    </row>
    <row r="408" spans="1:16" x14ac:dyDescent="0.3">
      <c r="A408" s="5"/>
      <c r="B408" s="658"/>
      <c r="C408" s="25"/>
      <c r="D408" s="77"/>
      <c r="P408" s="316"/>
    </row>
    <row r="409" spans="1:16" x14ac:dyDescent="0.3">
      <c r="A409" s="5"/>
      <c r="B409" s="658"/>
      <c r="C409" s="25"/>
      <c r="D409" s="77"/>
      <c r="P409" s="316"/>
    </row>
    <row r="410" spans="1:16" x14ac:dyDescent="0.3">
      <c r="A410" s="5"/>
      <c r="B410" s="658"/>
      <c r="C410" s="25"/>
      <c r="D410" s="77"/>
      <c r="P410" s="316"/>
    </row>
    <row r="411" spans="1:16" x14ac:dyDescent="0.3">
      <c r="A411" s="5"/>
      <c r="B411" s="658"/>
      <c r="C411" s="25"/>
      <c r="D411" s="77"/>
      <c r="P411" s="316"/>
    </row>
    <row r="412" spans="1:16" x14ac:dyDescent="0.3">
      <c r="A412" s="5"/>
      <c r="B412" s="658"/>
      <c r="C412" s="25"/>
      <c r="D412" s="77"/>
      <c r="P412" s="316"/>
    </row>
    <row r="413" spans="1:16" x14ac:dyDescent="0.3">
      <c r="A413" s="5"/>
      <c r="B413" s="658"/>
      <c r="C413" s="25"/>
      <c r="D413" s="77"/>
      <c r="P413" s="316"/>
    </row>
    <row r="414" spans="1:16" x14ac:dyDescent="0.3">
      <c r="A414" s="5"/>
      <c r="B414" s="658"/>
      <c r="C414" s="25"/>
      <c r="D414" s="77"/>
      <c r="P414" s="316"/>
    </row>
    <row r="415" spans="1:16" x14ac:dyDescent="0.3">
      <c r="A415" s="5"/>
      <c r="B415" s="658"/>
      <c r="C415" s="25"/>
      <c r="D415" s="77"/>
      <c r="P415" s="316"/>
    </row>
    <row r="416" spans="1:16" x14ac:dyDescent="0.3">
      <c r="A416" s="5"/>
      <c r="B416" s="658"/>
      <c r="C416" s="25"/>
      <c r="D416" s="77"/>
      <c r="P416" s="316"/>
    </row>
    <row r="417" spans="1:16" x14ac:dyDescent="0.3">
      <c r="A417" s="5"/>
      <c r="B417" s="658"/>
      <c r="C417" s="25"/>
      <c r="D417" s="77"/>
      <c r="P417" s="316"/>
    </row>
    <row r="418" spans="1:16" x14ac:dyDescent="0.3">
      <c r="A418" s="5"/>
      <c r="B418" s="658"/>
      <c r="C418" s="25"/>
      <c r="D418" s="77"/>
      <c r="P418" s="316"/>
    </row>
    <row r="419" spans="1:16" x14ac:dyDescent="0.3">
      <c r="A419" s="5"/>
      <c r="B419" s="658"/>
      <c r="C419" s="25"/>
      <c r="D419" s="77"/>
      <c r="P419" s="316"/>
    </row>
    <row r="420" spans="1:16" x14ac:dyDescent="0.3">
      <c r="A420" s="5"/>
      <c r="B420" s="658"/>
      <c r="C420" s="25"/>
      <c r="D420" s="77"/>
      <c r="P420" s="316"/>
    </row>
    <row r="421" spans="1:16" x14ac:dyDescent="0.3">
      <c r="A421" s="5"/>
      <c r="B421" s="658"/>
      <c r="C421" s="25"/>
      <c r="D421" s="77"/>
      <c r="P421" s="316"/>
    </row>
    <row r="422" spans="1:16" x14ac:dyDescent="0.3">
      <c r="A422" s="5"/>
      <c r="B422" s="658"/>
      <c r="C422" s="25"/>
      <c r="D422" s="77"/>
      <c r="P422" s="316"/>
    </row>
    <row r="423" spans="1:16" x14ac:dyDescent="0.3">
      <c r="A423" s="5"/>
      <c r="B423" s="658"/>
      <c r="C423" s="25"/>
      <c r="D423" s="77"/>
      <c r="P423" s="316"/>
    </row>
    <row r="424" spans="1:16" x14ac:dyDescent="0.3">
      <c r="A424" s="5"/>
      <c r="B424" s="658"/>
      <c r="C424" s="25"/>
      <c r="D424" s="77"/>
      <c r="P424" s="316"/>
    </row>
    <row r="425" spans="1:16" x14ac:dyDescent="0.3">
      <c r="A425" s="5"/>
      <c r="B425" s="658"/>
      <c r="C425" s="25"/>
      <c r="D425" s="77"/>
      <c r="P425" s="316"/>
    </row>
    <row r="426" spans="1:16" x14ac:dyDescent="0.3">
      <c r="A426" s="5"/>
      <c r="B426" s="658"/>
      <c r="C426" s="25"/>
      <c r="D426" s="77"/>
      <c r="P426" s="316"/>
    </row>
    <row r="427" spans="1:16" x14ac:dyDescent="0.3">
      <c r="A427" s="5"/>
      <c r="B427" s="658"/>
      <c r="C427" s="25"/>
      <c r="D427" s="77"/>
      <c r="P427" s="316"/>
    </row>
    <row r="428" spans="1:16" x14ac:dyDescent="0.3">
      <c r="A428" s="5"/>
      <c r="B428" s="658"/>
      <c r="C428" s="25"/>
      <c r="D428" s="77"/>
      <c r="P428" s="316"/>
    </row>
    <row r="429" spans="1:16" x14ac:dyDescent="0.3">
      <c r="A429" s="5"/>
      <c r="B429" s="658"/>
      <c r="C429" s="25"/>
      <c r="D429" s="77"/>
    </row>
    <row r="430" spans="1:16" x14ac:dyDescent="0.3">
      <c r="A430" s="5"/>
      <c r="B430" s="658"/>
      <c r="C430" s="25"/>
      <c r="D430" s="77"/>
      <c r="P430" s="316"/>
    </row>
    <row r="431" spans="1:16" x14ac:dyDescent="0.3">
      <c r="A431" s="5"/>
      <c r="B431" s="658"/>
      <c r="C431" s="25"/>
      <c r="D431" s="77"/>
    </row>
    <row r="432" spans="1:16" x14ac:dyDescent="0.3">
      <c r="A432" s="5"/>
      <c r="B432" s="658"/>
      <c r="C432" s="25"/>
      <c r="D432" s="77"/>
    </row>
    <row r="433" spans="1:4" x14ac:dyDescent="0.3">
      <c r="A433" s="5"/>
      <c r="B433" s="658"/>
      <c r="C433" s="25"/>
      <c r="D433" s="77"/>
    </row>
    <row r="434" spans="1:4" x14ac:dyDescent="0.3">
      <c r="A434" s="5"/>
      <c r="B434" s="658"/>
      <c r="C434" s="25"/>
      <c r="D434" s="77"/>
    </row>
    <row r="435" spans="1:4" x14ac:dyDescent="0.3">
      <c r="A435" s="5"/>
      <c r="B435" s="658"/>
      <c r="C435" s="25"/>
      <c r="D435" s="77"/>
    </row>
    <row r="436" spans="1:4" x14ac:dyDescent="0.3">
      <c r="A436" s="5"/>
      <c r="B436" s="658"/>
      <c r="C436" s="25"/>
      <c r="D436" s="77"/>
    </row>
    <row r="437" spans="1:4" x14ac:dyDescent="0.3">
      <c r="A437" s="5"/>
      <c r="B437" s="658"/>
      <c r="C437" s="25"/>
      <c r="D437" s="77"/>
    </row>
    <row r="438" spans="1:4" x14ac:dyDescent="0.3">
      <c r="A438" s="5"/>
      <c r="B438" s="658"/>
      <c r="C438" s="25"/>
      <c r="D438" s="77"/>
    </row>
    <row r="439" spans="1:4" x14ac:dyDescent="0.3">
      <c r="A439" s="5"/>
      <c r="B439" s="658"/>
      <c r="C439" s="25"/>
      <c r="D439" s="77"/>
    </row>
    <row r="440" spans="1:4" x14ac:dyDescent="0.3">
      <c r="A440" s="5"/>
      <c r="B440" s="658"/>
      <c r="C440" s="25"/>
      <c r="D440" s="77"/>
    </row>
    <row r="441" spans="1:4" x14ac:dyDescent="0.3">
      <c r="A441" s="5"/>
      <c r="B441" s="658"/>
      <c r="C441" s="25"/>
      <c r="D441" s="77"/>
    </row>
    <row r="442" spans="1:4" x14ac:dyDescent="0.3">
      <c r="A442" s="5"/>
      <c r="B442" s="658"/>
      <c r="C442" s="25"/>
      <c r="D442" s="77"/>
    </row>
    <row r="443" spans="1:4" x14ac:dyDescent="0.3">
      <c r="D443" s="77"/>
    </row>
    <row r="444" spans="1:4" x14ac:dyDescent="0.3">
      <c r="D444" s="77"/>
    </row>
    <row r="445" spans="1:4" x14ac:dyDescent="0.3">
      <c r="D445" s="77"/>
    </row>
    <row r="446" spans="1:4" x14ac:dyDescent="0.3">
      <c r="D446" s="77"/>
    </row>
    <row r="447" spans="1:4" x14ac:dyDescent="0.3">
      <c r="D447" s="77"/>
    </row>
    <row r="448" spans="1:4" x14ac:dyDescent="0.3">
      <c r="D448" s="77"/>
    </row>
    <row r="449" spans="4:4" x14ac:dyDescent="0.3">
      <c r="D449" s="77"/>
    </row>
    <row r="450" spans="4:4" x14ac:dyDescent="0.3">
      <c r="D450" s="77"/>
    </row>
    <row r="451" spans="4:4" x14ac:dyDescent="0.3">
      <c r="D451" s="77"/>
    </row>
    <row r="452" spans="4:4" x14ac:dyDescent="0.3">
      <c r="D452" s="77"/>
    </row>
    <row r="453" spans="4:4" x14ac:dyDescent="0.3">
      <c r="D453" s="77"/>
    </row>
    <row r="454" spans="4:4" x14ac:dyDescent="0.3">
      <c r="D454" s="77"/>
    </row>
    <row r="455" spans="4:4" x14ac:dyDescent="0.3">
      <c r="D455" s="77"/>
    </row>
    <row r="456" spans="4:4" x14ac:dyDescent="0.3">
      <c r="D456" s="77"/>
    </row>
    <row r="457" spans="4:4" x14ac:dyDescent="0.3">
      <c r="D457" s="77"/>
    </row>
    <row r="458" spans="4:4" x14ac:dyDescent="0.3">
      <c r="D458" s="77"/>
    </row>
    <row r="459" spans="4:4" x14ac:dyDescent="0.3">
      <c r="D459" s="77"/>
    </row>
    <row r="460" spans="4:4" x14ac:dyDescent="0.3">
      <c r="D460" s="77"/>
    </row>
    <row r="461" spans="4:4" x14ac:dyDescent="0.3">
      <c r="D461" s="77"/>
    </row>
    <row r="462" spans="4:4" x14ac:dyDescent="0.3">
      <c r="D462" s="77"/>
    </row>
    <row r="463" spans="4:4" x14ac:dyDescent="0.3">
      <c r="D463" s="77"/>
    </row>
    <row r="464" spans="4:4" x14ac:dyDescent="0.3">
      <c r="D464" s="77"/>
    </row>
    <row r="465" spans="4:4" x14ac:dyDescent="0.3">
      <c r="D465" s="77"/>
    </row>
    <row r="466" spans="4:4" x14ac:dyDescent="0.3">
      <c r="D466" s="77"/>
    </row>
    <row r="467" spans="4:4" x14ac:dyDescent="0.3">
      <c r="D467" s="77"/>
    </row>
    <row r="468" spans="4:4" x14ac:dyDescent="0.3">
      <c r="D468" s="77"/>
    </row>
    <row r="469" spans="4:4" x14ac:dyDescent="0.3">
      <c r="D469" s="77"/>
    </row>
    <row r="470" spans="4:4" x14ac:dyDescent="0.3">
      <c r="D470" s="77"/>
    </row>
    <row r="471" spans="4:4" x14ac:dyDescent="0.3">
      <c r="D471" s="77"/>
    </row>
    <row r="472" spans="4:4" x14ac:dyDescent="0.3">
      <c r="D472" s="77"/>
    </row>
    <row r="473" spans="4:4" x14ac:dyDescent="0.3">
      <c r="D473" s="77"/>
    </row>
    <row r="474" spans="4:4" x14ac:dyDescent="0.3">
      <c r="D474" s="77"/>
    </row>
    <row r="475" spans="4:4" x14ac:dyDescent="0.3">
      <c r="D475" s="77"/>
    </row>
    <row r="476" spans="4:4" x14ac:dyDescent="0.3">
      <c r="D476" s="77"/>
    </row>
    <row r="477" spans="4:4" x14ac:dyDescent="0.3">
      <c r="D477" s="77"/>
    </row>
    <row r="478" spans="4:4" x14ac:dyDescent="0.3">
      <c r="D478" s="77"/>
    </row>
    <row r="479" spans="4:4" x14ac:dyDescent="0.3">
      <c r="D479" s="77"/>
    </row>
    <row r="480" spans="4:4" x14ac:dyDescent="0.3">
      <c r="D480" s="77"/>
    </row>
    <row r="481" spans="4:4" x14ac:dyDescent="0.3">
      <c r="D481" s="77"/>
    </row>
    <row r="482" spans="4:4" x14ac:dyDescent="0.3">
      <c r="D482" s="77"/>
    </row>
    <row r="483" spans="4:4" x14ac:dyDescent="0.3">
      <c r="D483" s="77"/>
    </row>
    <row r="484" spans="4:4" x14ac:dyDescent="0.3">
      <c r="D484" s="77"/>
    </row>
    <row r="485" spans="4:4" x14ac:dyDescent="0.3">
      <c r="D485" s="77"/>
    </row>
    <row r="486" spans="4:4" x14ac:dyDescent="0.3">
      <c r="D486" s="77"/>
    </row>
    <row r="487" spans="4:4" x14ac:dyDescent="0.3">
      <c r="D487" s="77"/>
    </row>
    <row r="488" spans="4:4" x14ac:dyDescent="0.3">
      <c r="D488" s="77"/>
    </row>
    <row r="489" spans="4:4" x14ac:dyDescent="0.3">
      <c r="D489" s="77"/>
    </row>
    <row r="490" spans="4:4" x14ac:dyDescent="0.3">
      <c r="D490" s="77"/>
    </row>
    <row r="491" spans="4:4" x14ac:dyDescent="0.3">
      <c r="D491" s="77"/>
    </row>
    <row r="492" spans="4:4" x14ac:dyDescent="0.3">
      <c r="D492" s="77"/>
    </row>
    <row r="493" spans="4:4" x14ac:dyDescent="0.3">
      <c r="D493" s="77"/>
    </row>
    <row r="494" spans="4:4" x14ac:dyDescent="0.3">
      <c r="D494" s="77"/>
    </row>
    <row r="495" spans="4:4" x14ac:dyDescent="0.3">
      <c r="D495" s="77"/>
    </row>
    <row r="496" spans="4:4" x14ac:dyDescent="0.3">
      <c r="D496" s="77"/>
    </row>
    <row r="497" spans="4:4" x14ac:dyDescent="0.3">
      <c r="D497" s="77"/>
    </row>
    <row r="498" spans="4:4" x14ac:dyDescent="0.3">
      <c r="D498" s="77"/>
    </row>
    <row r="499" spans="4:4" x14ac:dyDescent="0.3">
      <c r="D499" s="77"/>
    </row>
    <row r="500" spans="4:4" x14ac:dyDescent="0.3">
      <c r="D500" s="77"/>
    </row>
    <row r="501" spans="4:4" x14ac:dyDescent="0.3">
      <c r="D501" s="77"/>
    </row>
    <row r="502" spans="4:4" x14ac:dyDescent="0.3">
      <c r="D502" s="77"/>
    </row>
    <row r="503" spans="4:4" x14ac:dyDescent="0.3">
      <c r="D503" s="77"/>
    </row>
    <row r="504" spans="4:4" x14ac:dyDescent="0.3">
      <c r="D504" s="77"/>
    </row>
    <row r="505" spans="4:4" x14ac:dyDescent="0.3">
      <c r="D505" s="77"/>
    </row>
    <row r="506" spans="4:4" x14ac:dyDescent="0.3">
      <c r="D506" s="77"/>
    </row>
    <row r="507" spans="4:4" x14ac:dyDescent="0.3">
      <c r="D507" s="77"/>
    </row>
    <row r="508" spans="4:4" x14ac:dyDescent="0.3">
      <c r="D508" s="77"/>
    </row>
    <row r="509" spans="4:4" x14ac:dyDescent="0.3">
      <c r="D509" s="77"/>
    </row>
    <row r="510" spans="4:4" x14ac:dyDescent="0.3">
      <c r="D510" s="77"/>
    </row>
    <row r="511" spans="4:4" x14ac:dyDescent="0.3">
      <c r="D511" s="77"/>
    </row>
    <row r="512" spans="4:4" x14ac:dyDescent="0.3">
      <c r="D512" s="77"/>
    </row>
    <row r="513" spans="4:4" x14ac:dyDescent="0.3">
      <c r="D513" s="77"/>
    </row>
    <row r="514" spans="4:4" x14ac:dyDescent="0.3">
      <c r="D514" s="77"/>
    </row>
    <row r="515" spans="4:4" x14ac:dyDescent="0.3">
      <c r="D515" s="77"/>
    </row>
    <row r="516" spans="4:4" x14ac:dyDescent="0.3">
      <c r="D516" s="77"/>
    </row>
    <row r="517" spans="4:4" x14ac:dyDescent="0.3">
      <c r="D517" s="77"/>
    </row>
    <row r="518" spans="4:4" x14ac:dyDescent="0.3">
      <c r="D518" s="77"/>
    </row>
    <row r="519" spans="4:4" x14ac:dyDescent="0.3">
      <c r="D519" s="77"/>
    </row>
    <row r="520" spans="4:4" x14ac:dyDescent="0.3">
      <c r="D520" s="77"/>
    </row>
    <row r="521" spans="4:4" x14ac:dyDescent="0.3">
      <c r="D521" s="77"/>
    </row>
    <row r="522" spans="4:4" x14ac:dyDescent="0.3">
      <c r="D522" s="77"/>
    </row>
    <row r="523" spans="4:4" x14ac:dyDescent="0.3">
      <c r="D523" s="77"/>
    </row>
    <row r="524" spans="4:4" x14ac:dyDescent="0.3">
      <c r="D524" s="77"/>
    </row>
    <row r="525" spans="4:4" x14ac:dyDescent="0.3">
      <c r="D525" s="77"/>
    </row>
    <row r="526" spans="4:4" x14ac:dyDescent="0.3">
      <c r="D526" s="77"/>
    </row>
    <row r="527" spans="4:4" x14ac:dyDescent="0.3">
      <c r="D527" s="77"/>
    </row>
    <row r="528" spans="4:4" x14ac:dyDescent="0.3">
      <c r="D528" s="77"/>
    </row>
    <row r="529" spans="4:4" x14ac:dyDescent="0.3">
      <c r="D529" s="77"/>
    </row>
    <row r="530" spans="4:4" x14ac:dyDescent="0.3">
      <c r="D530" s="77"/>
    </row>
    <row r="531" spans="4:4" x14ac:dyDescent="0.3">
      <c r="D531" s="77"/>
    </row>
    <row r="532" spans="4:4" x14ac:dyDescent="0.3">
      <c r="D532" s="77"/>
    </row>
    <row r="533" spans="4:4" x14ac:dyDescent="0.3">
      <c r="D533" s="77"/>
    </row>
    <row r="534" spans="4:4" x14ac:dyDescent="0.3">
      <c r="D534" s="77"/>
    </row>
    <row r="535" spans="4:4" x14ac:dyDescent="0.3">
      <c r="D535" s="77"/>
    </row>
    <row r="536" spans="4:4" x14ac:dyDescent="0.3">
      <c r="D536" s="77"/>
    </row>
    <row r="537" spans="4:4" x14ac:dyDescent="0.3">
      <c r="D537" s="77"/>
    </row>
    <row r="538" spans="4:4" x14ac:dyDescent="0.3">
      <c r="D538" s="77"/>
    </row>
    <row r="539" spans="4:4" x14ac:dyDescent="0.3">
      <c r="D539" s="77"/>
    </row>
    <row r="540" spans="4:4" x14ac:dyDescent="0.3">
      <c r="D540" s="77"/>
    </row>
    <row r="541" spans="4:4" x14ac:dyDescent="0.3">
      <c r="D541" s="77"/>
    </row>
    <row r="542" spans="4:4" x14ac:dyDescent="0.3">
      <c r="D542" s="77"/>
    </row>
    <row r="543" spans="4:4" x14ac:dyDescent="0.3">
      <c r="D543" s="77"/>
    </row>
    <row r="544" spans="4:4" x14ac:dyDescent="0.3">
      <c r="D544" s="77"/>
    </row>
    <row r="545" spans="4:4" x14ac:dyDescent="0.3">
      <c r="D545" s="77"/>
    </row>
    <row r="546" spans="4:4" x14ac:dyDescent="0.3">
      <c r="D546" s="77"/>
    </row>
    <row r="547" spans="4:4" x14ac:dyDescent="0.3">
      <c r="D547" s="77"/>
    </row>
    <row r="548" spans="4:4" x14ac:dyDescent="0.3">
      <c r="D548" s="77"/>
    </row>
    <row r="549" spans="4:4" x14ac:dyDescent="0.3">
      <c r="D549" s="77"/>
    </row>
    <row r="550" spans="4:4" x14ac:dyDescent="0.3">
      <c r="D550" s="77"/>
    </row>
    <row r="551" spans="4:4" x14ac:dyDescent="0.3">
      <c r="D551" s="77"/>
    </row>
    <row r="552" spans="4:4" x14ac:dyDescent="0.3">
      <c r="D552" s="77"/>
    </row>
    <row r="553" spans="4:4" x14ac:dyDescent="0.3">
      <c r="D553" s="77"/>
    </row>
    <row r="554" spans="4:4" x14ac:dyDescent="0.3">
      <c r="D554" s="77"/>
    </row>
    <row r="555" spans="4:4" x14ac:dyDescent="0.3">
      <c r="D555" s="77"/>
    </row>
    <row r="556" spans="4:4" x14ac:dyDescent="0.3">
      <c r="D556" s="77"/>
    </row>
    <row r="557" spans="4:4" x14ac:dyDescent="0.3">
      <c r="D557" s="77"/>
    </row>
    <row r="558" spans="4:4" x14ac:dyDescent="0.3">
      <c r="D558" s="77"/>
    </row>
    <row r="559" spans="4:4" x14ac:dyDescent="0.3">
      <c r="D559" s="77"/>
    </row>
    <row r="560" spans="4:4" x14ac:dyDescent="0.3">
      <c r="D560" s="77"/>
    </row>
    <row r="561" spans="4:4" x14ac:dyDescent="0.3">
      <c r="D561" s="77"/>
    </row>
    <row r="562" spans="4:4" x14ac:dyDescent="0.3">
      <c r="D562" s="77"/>
    </row>
    <row r="563" spans="4:4" x14ac:dyDescent="0.3">
      <c r="D563" s="77"/>
    </row>
    <row r="564" spans="4:4" x14ac:dyDescent="0.3">
      <c r="D564" s="77"/>
    </row>
    <row r="565" spans="4:4" x14ac:dyDescent="0.3">
      <c r="D565" s="77"/>
    </row>
    <row r="566" spans="4:4" x14ac:dyDescent="0.3">
      <c r="D566" s="77"/>
    </row>
    <row r="567" spans="4:4" x14ac:dyDescent="0.3">
      <c r="D567" s="77"/>
    </row>
    <row r="568" spans="4:4" x14ac:dyDescent="0.3">
      <c r="D568" s="77"/>
    </row>
    <row r="569" spans="4:4" x14ac:dyDescent="0.3">
      <c r="D569" s="77"/>
    </row>
    <row r="570" spans="4:4" x14ac:dyDescent="0.3">
      <c r="D570" s="77"/>
    </row>
    <row r="571" spans="4:4" x14ac:dyDescent="0.3">
      <c r="D571" s="77"/>
    </row>
    <row r="572" spans="4:4" x14ac:dyDescent="0.3">
      <c r="D572" s="77"/>
    </row>
    <row r="573" spans="4:4" x14ac:dyDescent="0.3">
      <c r="D573" s="77"/>
    </row>
    <row r="574" spans="4:4" x14ac:dyDescent="0.3">
      <c r="D574" s="77"/>
    </row>
    <row r="575" spans="4:4" x14ac:dyDescent="0.3">
      <c r="D575" s="77"/>
    </row>
    <row r="576" spans="4:4" x14ac:dyDescent="0.3">
      <c r="D576" s="77"/>
    </row>
    <row r="577" spans="4:4" x14ac:dyDescent="0.3">
      <c r="D577" s="77"/>
    </row>
    <row r="578" spans="4:4" x14ac:dyDescent="0.3">
      <c r="D578" s="77"/>
    </row>
    <row r="579" spans="4:4" x14ac:dyDescent="0.3">
      <c r="D579" s="77"/>
    </row>
    <row r="580" spans="4:4" x14ac:dyDescent="0.3">
      <c r="D580" s="77"/>
    </row>
    <row r="581" spans="4:4" x14ac:dyDescent="0.3">
      <c r="D581" s="77"/>
    </row>
    <row r="582" spans="4:4" x14ac:dyDescent="0.3">
      <c r="D582" s="77"/>
    </row>
    <row r="583" spans="4:4" x14ac:dyDescent="0.3">
      <c r="D583" s="77"/>
    </row>
    <row r="584" spans="4:4" x14ac:dyDescent="0.3">
      <c r="D584" s="77"/>
    </row>
    <row r="585" spans="4:4" x14ac:dyDescent="0.3">
      <c r="D585" s="77"/>
    </row>
    <row r="586" spans="4:4" x14ac:dyDescent="0.3">
      <c r="D586" s="77"/>
    </row>
    <row r="587" spans="4:4" x14ac:dyDescent="0.3">
      <c r="D587" s="77"/>
    </row>
    <row r="588" spans="4:4" x14ac:dyDescent="0.3">
      <c r="D588" s="77"/>
    </row>
    <row r="589" spans="4:4" x14ac:dyDescent="0.3">
      <c r="D589" s="77"/>
    </row>
    <row r="590" spans="4:4" x14ac:dyDescent="0.3">
      <c r="D590" s="77"/>
    </row>
    <row r="591" spans="4:4" x14ac:dyDescent="0.3">
      <c r="D591" s="77"/>
    </row>
    <row r="592" spans="4:4" x14ac:dyDescent="0.3">
      <c r="D592" s="77"/>
    </row>
    <row r="593" spans="4:4" x14ac:dyDescent="0.3">
      <c r="D593" s="77"/>
    </row>
    <row r="594" spans="4:4" x14ac:dyDescent="0.3">
      <c r="D594" s="77"/>
    </row>
    <row r="595" spans="4:4" x14ac:dyDescent="0.3">
      <c r="D595" s="77"/>
    </row>
    <row r="596" spans="4:4" x14ac:dyDescent="0.3">
      <c r="D596" s="77"/>
    </row>
    <row r="597" spans="4:4" x14ac:dyDescent="0.3">
      <c r="D597" s="77"/>
    </row>
    <row r="598" spans="4:4" x14ac:dyDescent="0.3">
      <c r="D598" s="77"/>
    </row>
    <row r="599" spans="4:4" x14ac:dyDescent="0.3">
      <c r="D599" s="77"/>
    </row>
    <row r="600" spans="4:4" x14ac:dyDescent="0.3">
      <c r="D600" s="77"/>
    </row>
    <row r="601" spans="4:4" x14ac:dyDescent="0.3">
      <c r="D601" s="77"/>
    </row>
    <row r="602" spans="4:4" x14ac:dyDescent="0.3">
      <c r="D602" s="77"/>
    </row>
    <row r="603" spans="4:4" x14ac:dyDescent="0.3">
      <c r="D603" s="77"/>
    </row>
    <row r="604" spans="4:4" x14ac:dyDescent="0.3">
      <c r="D604" s="77"/>
    </row>
    <row r="605" spans="4:4" x14ac:dyDescent="0.3">
      <c r="D605" s="77"/>
    </row>
    <row r="606" spans="4:4" x14ac:dyDescent="0.3">
      <c r="D606" s="77"/>
    </row>
    <row r="607" spans="4:4" x14ac:dyDescent="0.3">
      <c r="D607" s="77"/>
    </row>
    <row r="608" spans="4:4" x14ac:dyDescent="0.3">
      <c r="D608" s="77"/>
    </row>
    <row r="609" spans="4:4" x14ac:dyDescent="0.3">
      <c r="D609" s="77"/>
    </row>
    <row r="610" spans="4:4" x14ac:dyDescent="0.3">
      <c r="D610" s="77"/>
    </row>
    <row r="611" spans="4:4" x14ac:dyDescent="0.3">
      <c r="D611" s="77"/>
    </row>
    <row r="612" spans="4:4" x14ac:dyDescent="0.3">
      <c r="D612" s="77"/>
    </row>
    <row r="613" spans="4:4" x14ac:dyDescent="0.3">
      <c r="D613" s="77"/>
    </row>
    <row r="614" spans="4:4" x14ac:dyDescent="0.3">
      <c r="D614" s="77"/>
    </row>
    <row r="615" spans="4:4" x14ac:dyDescent="0.3">
      <c r="D615" s="77"/>
    </row>
    <row r="616" spans="4:4" x14ac:dyDescent="0.3">
      <c r="D616" s="77"/>
    </row>
    <row r="617" spans="4:4" x14ac:dyDescent="0.3">
      <c r="D617" s="77"/>
    </row>
    <row r="618" spans="4:4" x14ac:dyDescent="0.3">
      <c r="D618" s="77"/>
    </row>
    <row r="619" spans="4:4" x14ac:dyDescent="0.3">
      <c r="D619" s="77"/>
    </row>
    <row r="620" spans="4:4" x14ac:dyDescent="0.3">
      <c r="D620" s="77"/>
    </row>
    <row r="621" spans="4:4" x14ac:dyDescent="0.3">
      <c r="D621" s="77"/>
    </row>
    <row r="622" spans="4:4" x14ac:dyDescent="0.3">
      <c r="D622" s="77"/>
    </row>
    <row r="623" spans="4:4" x14ac:dyDescent="0.3">
      <c r="D623" s="77"/>
    </row>
    <row r="624" spans="4:4" x14ac:dyDescent="0.3">
      <c r="D624" s="77"/>
    </row>
    <row r="625" spans="4:4" x14ac:dyDescent="0.3">
      <c r="D625" s="77"/>
    </row>
    <row r="626" spans="4:4" x14ac:dyDescent="0.3">
      <c r="D626" s="77"/>
    </row>
    <row r="627" spans="4:4" x14ac:dyDescent="0.3">
      <c r="D627" s="77"/>
    </row>
    <row r="628" spans="4:4" x14ac:dyDescent="0.3">
      <c r="D628" s="77"/>
    </row>
    <row r="629" spans="4:4" x14ac:dyDescent="0.3">
      <c r="D629" s="77"/>
    </row>
    <row r="630" spans="4:4" x14ac:dyDescent="0.3">
      <c r="D630" s="77"/>
    </row>
    <row r="631" spans="4:4" x14ac:dyDescent="0.3">
      <c r="D631" s="77"/>
    </row>
    <row r="632" spans="4:4" x14ac:dyDescent="0.3">
      <c r="D632" s="77"/>
    </row>
    <row r="633" spans="4:4" x14ac:dyDescent="0.3">
      <c r="D633" s="77"/>
    </row>
    <row r="634" spans="4:4" x14ac:dyDescent="0.3">
      <c r="D634" s="77"/>
    </row>
    <row r="635" spans="4:4" x14ac:dyDescent="0.3">
      <c r="D635" s="77"/>
    </row>
    <row r="636" spans="4:4" x14ac:dyDescent="0.3">
      <c r="D636" s="77"/>
    </row>
    <row r="637" spans="4:4" x14ac:dyDescent="0.3">
      <c r="D637" s="77"/>
    </row>
    <row r="638" spans="4:4" x14ac:dyDescent="0.3">
      <c r="D638" s="77"/>
    </row>
    <row r="639" spans="4:4" x14ac:dyDescent="0.3">
      <c r="D639" s="77"/>
    </row>
    <row r="640" spans="4:4" x14ac:dyDescent="0.3">
      <c r="D640" s="77"/>
    </row>
    <row r="641" spans="4:4" x14ac:dyDescent="0.3">
      <c r="D641" s="77"/>
    </row>
    <row r="642" spans="4:4" x14ac:dyDescent="0.3">
      <c r="D642" s="77"/>
    </row>
    <row r="643" spans="4:4" x14ac:dyDescent="0.3">
      <c r="D643" s="77"/>
    </row>
    <row r="644" spans="4:4" x14ac:dyDescent="0.3">
      <c r="D644" s="77"/>
    </row>
    <row r="645" spans="4:4" x14ac:dyDescent="0.3">
      <c r="D645" s="77"/>
    </row>
    <row r="646" spans="4:4" x14ac:dyDescent="0.3">
      <c r="D646" s="77"/>
    </row>
    <row r="647" spans="4:4" x14ac:dyDescent="0.3">
      <c r="D647" s="77"/>
    </row>
    <row r="648" spans="4:4" x14ac:dyDescent="0.3">
      <c r="D648" s="77"/>
    </row>
    <row r="649" spans="4:4" x14ac:dyDescent="0.3">
      <c r="D649" s="77"/>
    </row>
    <row r="650" spans="4:4" x14ac:dyDescent="0.3">
      <c r="D650" s="77"/>
    </row>
    <row r="651" spans="4:4" x14ac:dyDescent="0.3">
      <c r="D651" s="77"/>
    </row>
    <row r="652" spans="4:4" x14ac:dyDescent="0.3">
      <c r="D652" s="77"/>
    </row>
    <row r="653" spans="4:4" x14ac:dyDescent="0.3">
      <c r="D653" s="77"/>
    </row>
    <row r="654" spans="4:4" x14ac:dyDescent="0.3">
      <c r="D654" s="77"/>
    </row>
    <row r="655" spans="4:4" x14ac:dyDescent="0.3">
      <c r="D655" s="77"/>
    </row>
    <row r="656" spans="4:4" x14ac:dyDescent="0.3">
      <c r="D656" s="77"/>
    </row>
    <row r="657" spans="4:4" x14ac:dyDescent="0.3">
      <c r="D657" s="77"/>
    </row>
    <row r="658" spans="4:4" x14ac:dyDescent="0.3">
      <c r="D658" s="77"/>
    </row>
    <row r="659" spans="4:4" x14ac:dyDescent="0.3">
      <c r="D659" s="77"/>
    </row>
    <row r="660" spans="4:4" x14ac:dyDescent="0.3">
      <c r="D660" s="77"/>
    </row>
    <row r="661" spans="4:4" x14ac:dyDescent="0.3">
      <c r="D661" s="77"/>
    </row>
    <row r="662" spans="4:4" x14ac:dyDescent="0.3">
      <c r="D662" s="77"/>
    </row>
    <row r="663" spans="4:4" x14ac:dyDescent="0.3">
      <c r="D663" s="77"/>
    </row>
    <row r="664" spans="4:4" x14ac:dyDescent="0.3">
      <c r="D664" s="77"/>
    </row>
    <row r="665" spans="4:4" x14ac:dyDescent="0.3">
      <c r="D665" s="77"/>
    </row>
    <row r="666" spans="4:4" x14ac:dyDescent="0.3">
      <c r="D666" s="77"/>
    </row>
    <row r="667" spans="4:4" x14ac:dyDescent="0.3">
      <c r="D667" s="77"/>
    </row>
    <row r="668" spans="4:4" x14ac:dyDescent="0.3">
      <c r="D668" s="77"/>
    </row>
    <row r="669" spans="4:4" x14ac:dyDescent="0.3">
      <c r="D669" s="77"/>
    </row>
    <row r="670" spans="4:4" x14ac:dyDescent="0.3">
      <c r="D670" s="77"/>
    </row>
    <row r="671" spans="4:4" x14ac:dyDescent="0.3">
      <c r="D671" s="77"/>
    </row>
    <row r="672" spans="4:4" x14ac:dyDescent="0.3">
      <c r="D672" s="77"/>
    </row>
    <row r="673" spans="4:4" x14ac:dyDescent="0.3">
      <c r="D673" s="77"/>
    </row>
    <row r="674" spans="4:4" x14ac:dyDescent="0.3">
      <c r="D674" s="77"/>
    </row>
    <row r="675" spans="4:4" x14ac:dyDescent="0.3">
      <c r="D675" s="77"/>
    </row>
    <row r="676" spans="4:4" x14ac:dyDescent="0.3">
      <c r="D676" s="77"/>
    </row>
    <row r="677" spans="4:4" x14ac:dyDescent="0.3">
      <c r="D677" s="77"/>
    </row>
    <row r="678" spans="4:4" x14ac:dyDescent="0.3">
      <c r="D678" s="77"/>
    </row>
    <row r="679" spans="4:4" x14ac:dyDescent="0.3">
      <c r="D679" s="77"/>
    </row>
    <row r="680" spans="4:4" x14ac:dyDescent="0.3">
      <c r="D680" s="77"/>
    </row>
    <row r="681" spans="4:4" x14ac:dyDescent="0.3">
      <c r="D681" s="77"/>
    </row>
    <row r="682" spans="4:4" x14ac:dyDescent="0.3">
      <c r="D682" s="77"/>
    </row>
    <row r="683" spans="4:4" x14ac:dyDescent="0.3">
      <c r="D683" s="77"/>
    </row>
    <row r="684" spans="4:4" x14ac:dyDescent="0.3">
      <c r="D684" s="77"/>
    </row>
    <row r="685" spans="4:4" x14ac:dyDescent="0.3">
      <c r="D685" s="77"/>
    </row>
    <row r="686" spans="4:4" x14ac:dyDescent="0.3">
      <c r="D686" s="77"/>
    </row>
    <row r="687" spans="4:4" x14ac:dyDescent="0.3">
      <c r="D687" s="77"/>
    </row>
    <row r="688" spans="4:4" x14ac:dyDescent="0.3">
      <c r="D688" s="77"/>
    </row>
    <row r="689" spans="4:4" x14ac:dyDescent="0.3">
      <c r="D689" s="77"/>
    </row>
    <row r="690" spans="4:4" x14ac:dyDescent="0.3">
      <c r="D690" s="77"/>
    </row>
    <row r="691" spans="4:4" x14ac:dyDescent="0.3">
      <c r="D691" s="77"/>
    </row>
    <row r="692" spans="4:4" x14ac:dyDescent="0.3">
      <c r="D692" s="77"/>
    </row>
    <row r="693" spans="4:4" x14ac:dyDescent="0.3">
      <c r="D693" s="77"/>
    </row>
    <row r="694" spans="4:4" x14ac:dyDescent="0.3">
      <c r="D694" s="77"/>
    </row>
    <row r="695" spans="4:4" x14ac:dyDescent="0.3">
      <c r="D695" s="77"/>
    </row>
    <row r="696" spans="4:4" x14ac:dyDescent="0.3">
      <c r="D696" s="77"/>
    </row>
    <row r="697" spans="4:4" x14ac:dyDescent="0.3">
      <c r="D697" s="77"/>
    </row>
    <row r="698" spans="4:4" x14ac:dyDescent="0.3">
      <c r="D698" s="77"/>
    </row>
    <row r="699" spans="4:4" x14ac:dyDescent="0.3">
      <c r="D699" s="77"/>
    </row>
    <row r="700" spans="4:4" x14ac:dyDescent="0.3">
      <c r="D700" s="77"/>
    </row>
    <row r="701" spans="4:4" x14ac:dyDescent="0.3">
      <c r="D701" s="77"/>
    </row>
    <row r="702" spans="4:4" x14ac:dyDescent="0.3">
      <c r="D702" s="77"/>
    </row>
    <row r="703" spans="4:4" x14ac:dyDescent="0.3">
      <c r="D703" s="77"/>
    </row>
    <row r="704" spans="4:4" x14ac:dyDescent="0.3">
      <c r="D704" s="77"/>
    </row>
    <row r="705" spans="4:4" x14ac:dyDescent="0.3">
      <c r="D705" s="77"/>
    </row>
    <row r="706" spans="4:4" x14ac:dyDescent="0.3">
      <c r="D706" s="77"/>
    </row>
    <row r="707" spans="4:4" x14ac:dyDescent="0.3">
      <c r="D707" s="77"/>
    </row>
    <row r="708" spans="4:4" x14ac:dyDescent="0.3">
      <c r="D708" s="77"/>
    </row>
    <row r="709" spans="4:4" x14ac:dyDescent="0.3">
      <c r="D709" s="77"/>
    </row>
    <row r="710" spans="4:4" x14ac:dyDescent="0.3">
      <c r="D710" s="77"/>
    </row>
    <row r="711" spans="4:4" x14ac:dyDescent="0.3">
      <c r="D711" s="77"/>
    </row>
    <row r="712" spans="4:4" x14ac:dyDescent="0.3">
      <c r="D712" s="77"/>
    </row>
    <row r="713" spans="4:4" x14ac:dyDescent="0.3">
      <c r="D713" s="77"/>
    </row>
    <row r="714" spans="4:4" x14ac:dyDescent="0.3">
      <c r="D714" s="77"/>
    </row>
    <row r="715" spans="4:4" x14ac:dyDescent="0.3">
      <c r="D715" s="77"/>
    </row>
    <row r="716" spans="4:4" x14ac:dyDescent="0.3">
      <c r="D716" s="77"/>
    </row>
    <row r="717" spans="4:4" x14ac:dyDescent="0.3">
      <c r="D717" s="77"/>
    </row>
    <row r="718" spans="4:4" x14ac:dyDescent="0.3">
      <c r="D718" s="77"/>
    </row>
    <row r="719" spans="4:4" x14ac:dyDescent="0.3">
      <c r="D719" s="77"/>
    </row>
    <row r="720" spans="4:4" x14ac:dyDescent="0.3">
      <c r="D720" s="77"/>
    </row>
    <row r="721" spans="4:4" x14ac:dyDescent="0.3">
      <c r="D721" s="77"/>
    </row>
    <row r="722" spans="4:4" x14ac:dyDescent="0.3">
      <c r="D722" s="77"/>
    </row>
    <row r="723" spans="4:4" x14ac:dyDescent="0.3">
      <c r="D723" s="77"/>
    </row>
    <row r="724" spans="4:4" x14ac:dyDescent="0.3">
      <c r="D724" s="77"/>
    </row>
    <row r="725" spans="4:4" x14ac:dyDescent="0.3">
      <c r="D725" s="77"/>
    </row>
    <row r="726" spans="4:4" x14ac:dyDescent="0.3">
      <c r="D726" s="77"/>
    </row>
    <row r="727" spans="4:4" x14ac:dyDescent="0.3">
      <c r="D727" s="77"/>
    </row>
    <row r="728" spans="4:4" x14ac:dyDescent="0.3">
      <c r="D728" s="77"/>
    </row>
    <row r="729" spans="4:4" x14ac:dyDescent="0.3">
      <c r="D729" s="77"/>
    </row>
    <row r="730" spans="4:4" x14ac:dyDescent="0.3">
      <c r="D730" s="77"/>
    </row>
    <row r="731" spans="4:4" x14ac:dyDescent="0.3">
      <c r="D731" s="77"/>
    </row>
    <row r="732" spans="4:4" x14ac:dyDescent="0.3">
      <c r="D732" s="77"/>
    </row>
    <row r="733" spans="4:4" x14ac:dyDescent="0.3">
      <c r="D733" s="77"/>
    </row>
    <row r="734" spans="4:4" x14ac:dyDescent="0.3">
      <c r="D734" s="77"/>
    </row>
    <row r="735" spans="4:4" x14ac:dyDescent="0.3">
      <c r="D735" s="77"/>
    </row>
    <row r="736" spans="4:4" x14ac:dyDescent="0.3">
      <c r="D736" s="77"/>
    </row>
    <row r="737" spans="4:4" x14ac:dyDescent="0.3">
      <c r="D737" s="77"/>
    </row>
    <row r="738" spans="4:4" x14ac:dyDescent="0.3">
      <c r="D738" s="77"/>
    </row>
    <row r="739" spans="4:4" x14ac:dyDescent="0.3">
      <c r="D739" s="77"/>
    </row>
    <row r="740" spans="4:4" x14ac:dyDescent="0.3">
      <c r="D740" s="77"/>
    </row>
    <row r="741" spans="4:4" x14ac:dyDescent="0.3">
      <c r="D741" s="77"/>
    </row>
    <row r="742" spans="4:4" x14ac:dyDescent="0.3">
      <c r="D742" s="77"/>
    </row>
    <row r="743" spans="4:4" x14ac:dyDescent="0.3">
      <c r="D743" s="77"/>
    </row>
    <row r="744" spans="4:4" x14ac:dyDescent="0.3">
      <c r="D744" s="77"/>
    </row>
  </sheetData>
  <sheetProtection formatCells="0" formatColumns="0" formatRows="0"/>
  <conditionalFormatting sqref="G33">
    <cfRule type="cellIs" dxfId="60" priority="93" stopIfTrue="1" operator="notEqual">
      <formula>0</formula>
    </cfRule>
  </conditionalFormatting>
  <conditionalFormatting sqref="G34">
    <cfRule type="cellIs" dxfId="59" priority="92" stopIfTrue="1" operator="notEqual">
      <formula>0</formula>
    </cfRule>
  </conditionalFormatting>
  <conditionalFormatting sqref="G65">
    <cfRule type="cellIs" dxfId="58" priority="91" stopIfTrue="1" operator="notEqual">
      <formula>0</formula>
    </cfRule>
  </conditionalFormatting>
  <conditionalFormatting sqref="G79">
    <cfRule type="cellIs" dxfId="57" priority="90" stopIfTrue="1" operator="notEqual">
      <formula>0</formula>
    </cfRule>
  </conditionalFormatting>
  <conditionalFormatting sqref="G80:G90">
    <cfRule type="cellIs" dxfId="56" priority="89" stopIfTrue="1" operator="notEqual">
      <formula>0</formula>
    </cfRule>
  </conditionalFormatting>
  <conditionalFormatting sqref="G133">
    <cfRule type="cellIs" dxfId="55" priority="88" stopIfTrue="1" operator="notEqual">
      <formula>0</formula>
    </cfRule>
  </conditionalFormatting>
  <conditionalFormatting sqref="G151">
    <cfRule type="cellIs" dxfId="54" priority="87" stopIfTrue="1" operator="notEqual">
      <formula>0</formula>
    </cfRule>
  </conditionalFormatting>
  <conditionalFormatting sqref="G163">
    <cfRule type="cellIs" dxfId="53" priority="86" stopIfTrue="1" operator="notEqual">
      <formula>0</formula>
    </cfRule>
  </conditionalFormatting>
  <conditionalFormatting sqref="G164">
    <cfRule type="cellIs" dxfId="52" priority="85" stopIfTrue="1" operator="notEqual">
      <formula>0</formula>
    </cfRule>
  </conditionalFormatting>
  <conditionalFormatting sqref="G178">
    <cfRule type="cellIs" dxfId="51" priority="84" stopIfTrue="1" operator="notEqual">
      <formula>0</formula>
    </cfRule>
  </conditionalFormatting>
  <conditionalFormatting sqref="G179">
    <cfRule type="cellIs" dxfId="50" priority="83" stopIfTrue="1" operator="notEqual">
      <formula>0</formula>
    </cfRule>
  </conditionalFormatting>
  <conditionalFormatting sqref="H237:H239">
    <cfRule type="cellIs" priority="79" stopIfTrue="1" operator="equal">
      <formula>";;;"</formula>
    </cfRule>
  </conditionalFormatting>
  <conditionalFormatting sqref="H237">
    <cfRule type="cellIs" dxfId="49" priority="78" stopIfTrue="1" operator="equal">
      <formula>0</formula>
    </cfRule>
  </conditionalFormatting>
  <conditionalFormatting sqref="H238">
    <cfRule type="cellIs" dxfId="48" priority="77" stopIfTrue="1" operator="equal">
      <formula>0</formula>
    </cfRule>
  </conditionalFormatting>
  <conditionalFormatting sqref="H239">
    <cfRule type="cellIs" dxfId="47" priority="76" stopIfTrue="1" operator="equal">
      <formula>0</formula>
    </cfRule>
  </conditionalFormatting>
  <conditionalFormatting sqref="H239">
    <cfRule type="cellIs" dxfId="46" priority="75" stopIfTrue="1" operator="equal">
      <formula>0</formula>
    </cfRule>
  </conditionalFormatting>
  <conditionalFormatting sqref="H237">
    <cfRule type="cellIs" dxfId="45" priority="74" stopIfTrue="1" operator="equal">
      <formula>0</formula>
    </cfRule>
  </conditionalFormatting>
  <conditionalFormatting sqref="G21">
    <cfRule type="cellIs" dxfId="44" priority="73" stopIfTrue="1" operator="notEqual">
      <formula>0</formula>
    </cfRule>
  </conditionalFormatting>
  <conditionalFormatting sqref="G7">
    <cfRule type="containsText" dxfId="43" priority="71" stopIfTrue="1" operator="containsText" text="Included in error count">
      <formula>NOT(ISERROR(SEARCH("Included in error count",G7)))</formula>
    </cfRule>
    <cfRule type="cellIs" dxfId="42" priority="72" stopIfTrue="1" operator="equal">
      <formula>1</formula>
    </cfRule>
  </conditionalFormatting>
  <conditionalFormatting sqref="G55">
    <cfRule type="containsText" dxfId="41" priority="69" stopIfTrue="1" operator="containsText" text="Included in error count">
      <formula>NOT(ISERROR(SEARCH("Included in error count",G55)))</formula>
    </cfRule>
    <cfRule type="cellIs" dxfId="40" priority="70" stopIfTrue="1" operator="equal">
      <formula>1</formula>
    </cfRule>
  </conditionalFormatting>
  <conditionalFormatting sqref="G120:G121">
    <cfRule type="containsText" dxfId="39" priority="67" stopIfTrue="1" operator="containsText" text="Included in error count">
      <formula>NOT(ISERROR(SEARCH("Included in error count",G120)))</formula>
    </cfRule>
    <cfRule type="cellIs" dxfId="38" priority="68" stopIfTrue="1" operator="equal">
      <formula>1</formula>
    </cfRule>
  </conditionalFormatting>
  <conditionalFormatting sqref="G122">
    <cfRule type="containsText" dxfId="37" priority="65" stopIfTrue="1" operator="containsText" text="Included in error count">
      <formula>NOT(ISERROR(SEARCH("Included in error count",G122)))</formula>
    </cfRule>
    <cfRule type="cellIs" dxfId="36" priority="66" stopIfTrue="1" operator="equal">
      <formula>1</formula>
    </cfRule>
  </conditionalFormatting>
  <conditionalFormatting sqref="G131">
    <cfRule type="containsText" dxfId="35" priority="61" stopIfTrue="1" operator="containsText" text="Included in error count">
      <formula>NOT(ISERROR(SEARCH("Included in error count",G131)))</formula>
    </cfRule>
    <cfRule type="cellIs" dxfId="34" priority="62" stopIfTrue="1" operator="equal">
      <formula>1</formula>
    </cfRule>
  </conditionalFormatting>
  <conditionalFormatting sqref="G153">
    <cfRule type="containsText" dxfId="33" priority="57" stopIfTrue="1" operator="containsText" text="Included in error count">
      <formula>NOT(ISERROR(SEARCH("Included in error count",G153)))</formula>
    </cfRule>
    <cfRule type="cellIs" dxfId="32" priority="58" stopIfTrue="1" operator="equal">
      <formula>1</formula>
    </cfRule>
  </conditionalFormatting>
  <conditionalFormatting sqref="G237">
    <cfRule type="containsText" dxfId="31" priority="46" stopIfTrue="1" operator="containsText" text="Included in error count">
      <formula>NOT(ISERROR(SEARCH("Included in error count",G237)))</formula>
    </cfRule>
    <cfRule type="cellIs" dxfId="30" priority="47" stopIfTrue="1" operator="equal">
      <formula>1</formula>
    </cfRule>
  </conditionalFormatting>
  <conditionalFormatting sqref="G238">
    <cfRule type="containsText" dxfId="29" priority="44" stopIfTrue="1" operator="containsText" text="Included in error count">
      <formula>NOT(ISERROR(SEARCH("Included in error count",G238)))</formula>
    </cfRule>
    <cfRule type="cellIs" dxfId="28" priority="45" stopIfTrue="1" operator="equal">
      <formula>1</formula>
    </cfRule>
  </conditionalFormatting>
  <conditionalFormatting sqref="G239">
    <cfRule type="containsText" dxfId="27" priority="42" stopIfTrue="1" operator="containsText" text="Included in error count">
      <formula>NOT(ISERROR(SEARCH("Included in error count",G239)))</formula>
    </cfRule>
    <cfRule type="cellIs" dxfId="26" priority="43" stopIfTrue="1" operator="equal">
      <formula>1</formula>
    </cfRule>
  </conditionalFormatting>
  <conditionalFormatting sqref="G168">
    <cfRule type="containsText" dxfId="25" priority="40" stopIfTrue="1" operator="containsText" text="Included in error count">
      <formula>NOT(ISERROR(SEARCH("Included in error count",G168)))</formula>
    </cfRule>
    <cfRule type="cellIs" dxfId="24" priority="41" stopIfTrue="1" operator="equal">
      <formula>1</formula>
    </cfRule>
  </conditionalFormatting>
  <pageMargins left="0.7" right="0.7" top="0.75" bottom="0.75" header="0.3" footer="0.3"/>
  <pageSetup scale="46" fitToHeight="0" orientation="landscape" r:id="rId1"/>
  <ignoredErrors>
    <ignoredError sqref="F7" 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F78EA5-77E1-4814-8728-4098B30437CB}">
  <sheetPr>
    <tabColor theme="3" tint="0.79998168889431442"/>
    <pageSetUpPr fitToPage="1"/>
  </sheetPr>
  <dimension ref="A1:CC26"/>
  <sheetViews>
    <sheetView showGridLines="0" zoomScale="70" zoomScaleNormal="70" workbookViewId="0">
      <selection activeCell="H4" sqref="H4:H5"/>
    </sheetView>
  </sheetViews>
  <sheetFormatPr defaultColWidth="9.109375" defaultRowHeight="14.4" x14ac:dyDescent="0.3"/>
  <cols>
    <col min="1" max="1" width="44.5546875" style="928" customWidth="1"/>
    <col min="2" max="2" width="17.109375" style="928" customWidth="1"/>
    <col min="3" max="3" width="19" style="928" customWidth="1"/>
    <col min="4" max="4" width="19.109375" style="928" customWidth="1"/>
    <col min="5" max="5" width="15.109375" style="928" customWidth="1"/>
    <col min="6" max="6" width="12.88671875" style="928" customWidth="1"/>
    <col min="7" max="7" width="43.88671875" style="975" hidden="1" customWidth="1"/>
    <col min="8" max="8" width="77.5546875" style="928" customWidth="1"/>
    <col min="9" max="9" width="91" style="929" customWidth="1"/>
    <col min="10" max="10" width="46.109375" style="929" customWidth="1"/>
    <col min="11" max="11" width="9.109375" style="929" hidden="1" customWidth="1"/>
    <col min="12" max="12" width="36.88671875" style="262" hidden="1" customWidth="1"/>
    <col min="13" max="14" width="15.6640625" style="262" hidden="1" customWidth="1"/>
    <col min="15" max="15" width="56.33203125" style="262" customWidth="1"/>
    <col min="16" max="16" width="11.109375" style="927" customWidth="1"/>
    <col min="17" max="18" width="9.109375" style="928" customWidth="1"/>
    <col min="19" max="16384" width="9.109375" style="928"/>
  </cols>
  <sheetData>
    <row r="1" spans="1:81" ht="40.5" customHeight="1" thickBot="1" x14ac:dyDescent="0.35">
      <c r="A1" s="1237" t="s">
        <v>1256</v>
      </c>
      <c r="B1" s="1238"/>
      <c r="C1" s="1238"/>
      <c r="D1" s="1238"/>
      <c r="E1" s="1238"/>
      <c r="F1" s="1238"/>
      <c r="G1" s="1238"/>
      <c r="H1" s="1239"/>
      <c r="I1" s="1208" t="s">
        <v>1277</v>
      </c>
      <c r="J1" s="1209"/>
      <c r="K1" s="965"/>
    </row>
    <row r="2" spans="1:81" ht="72" customHeight="1" thickBot="1" x14ac:dyDescent="0.35">
      <c r="A2" s="1240" t="s">
        <v>1257</v>
      </c>
      <c r="B2" s="1241"/>
      <c r="C2" s="1241"/>
      <c r="D2" s="1241"/>
      <c r="E2" s="1241"/>
      <c r="F2" s="1241"/>
      <c r="G2" s="1241"/>
      <c r="H2" s="1242"/>
      <c r="I2" s="1210" t="s">
        <v>1276</v>
      </c>
      <c r="J2" s="1214" t="s">
        <v>1049</v>
      </c>
      <c r="K2" s="979"/>
    </row>
    <row r="3" spans="1:81" ht="15" customHeight="1" x14ac:dyDescent="0.3">
      <c r="A3" s="1123" t="s">
        <v>730</v>
      </c>
      <c r="B3" s="956"/>
      <c r="C3" s="956"/>
      <c r="D3" s="956"/>
      <c r="E3" s="1124"/>
      <c r="F3" s="1124"/>
      <c r="G3" s="1194"/>
      <c r="H3" s="1195"/>
      <c r="I3" s="1211"/>
      <c r="J3" s="1215"/>
      <c r="K3" s="979"/>
    </row>
    <row r="4" spans="1:81" ht="21.75" customHeight="1" x14ac:dyDescent="0.3">
      <c r="A4" s="930" t="s">
        <v>806</v>
      </c>
      <c r="B4" s="1196" t="str">
        <f>'Unit Data from Audit Worksheet'!D2</f>
        <v>Select Unit Name from Drop Down List</v>
      </c>
      <c r="C4" s="1196"/>
      <c r="D4" s="1196"/>
      <c r="E4" s="1197" t="s">
        <v>1258</v>
      </c>
      <c r="F4" s="1198"/>
      <c r="G4" s="931"/>
      <c r="H4" s="1199" t="s">
        <v>733</v>
      </c>
      <c r="I4" s="1212"/>
      <c r="J4" s="1215"/>
      <c r="K4" s="980"/>
      <c r="L4" s="932"/>
    </row>
    <row r="5" spans="1:81" ht="21.6" thickBot="1" x14ac:dyDescent="0.35">
      <c r="A5" s="933" t="s">
        <v>732</v>
      </c>
      <c r="B5" s="1201" t="e">
        <f>'Unit Data from Audit Worksheet'!D3</f>
        <v>#N/A</v>
      </c>
      <c r="C5" s="1201"/>
      <c r="D5" s="1201"/>
      <c r="E5" s="1197"/>
      <c r="F5" s="1198"/>
      <c r="G5" s="934"/>
      <c r="H5" s="1200"/>
      <c r="I5" s="1213"/>
      <c r="J5" s="1216"/>
      <c r="K5" s="926"/>
      <c r="L5" s="167" t="s">
        <v>770</v>
      </c>
    </row>
    <row r="6" spans="1:81" ht="185.1" hidden="1" customHeight="1" thickBot="1" x14ac:dyDescent="0.35">
      <c r="A6" s="1221"/>
      <c r="B6" s="1222"/>
      <c r="C6" s="1222"/>
      <c r="D6" s="1222"/>
      <c r="E6" s="1222"/>
      <c r="F6" s="1223"/>
      <c r="G6" s="960"/>
      <c r="H6" s="1227" t="s">
        <v>1259</v>
      </c>
      <c r="I6" s="977"/>
      <c r="J6" s="1217"/>
      <c r="K6" s="926"/>
      <c r="L6" s="935"/>
    </row>
    <row r="7" spans="1:81" ht="132" hidden="1" customHeight="1" thickBot="1" x14ac:dyDescent="0.35">
      <c r="A7" s="1224"/>
      <c r="B7" s="1225"/>
      <c r="C7" s="1225"/>
      <c r="D7" s="1225"/>
      <c r="E7" s="1225"/>
      <c r="F7" s="1226"/>
      <c r="G7" s="960"/>
      <c r="H7" s="1228"/>
      <c r="I7" s="936"/>
      <c r="J7" s="1218"/>
      <c r="K7" s="926"/>
      <c r="L7" s="935">
        <f>+(Import!$L$72+Import!$L$77+Import!$L$74-Import!$L$75-Import!$L$76)</f>
        <v>0</v>
      </c>
    </row>
    <row r="8" spans="1:81" ht="27.75" hidden="1" customHeight="1" thickBot="1" x14ac:dyDescent="0.35">
      <c r="A8" s="1230" t="s">
        <v>1260</v>
      </c>
      <c r="B8" s="1230"/>
      <c r="C8" s="1230"/>
      <c r="D8" s="1230"/>
      <c r="E8" s="937" t="s">
        <v>1008</v>
      </c>
      <c r="F8" s="937" t="s">
        <v>1261</v>
      </c>
      <c r="G8" s="938" t="s">
        <v>738</v>
      </c>
      <c r="H8" s="1229"/>
      <c r="I8" s="939"/>
      <c r="J8" s="1219"/>
      <c r="K8" s="926"/>
      <c r="L8" s="934" t="b">
        <f>IF($L$7&gt;10000000,"25%",IF($L$7&gt;999999,"34%",IF($L$7&gt;99999,"71%",IF($L$7&gt;1,"100%"))))</f>
        <v>0</v>
      </c>
      <c r="M8" s="940"/>
      <c r="O8" s="941"/>
      <c r="P8" s="942"/>
    </row>
    <row r="9" spans="1:81" ht="202.5" hidden="1" customHeight="1" thickBot="1" x14ac:dyDescent="0.35">
      <c r="A9" s="1231"/>
      <c r="B9" s="1232"/>
      <c r="C9" s="1232"/>
      <c r="D9" s="1233"/>
      <c r="E9" s="943" t="b">
        <f>IF($L$7&gt;10000000,"25% -- Average of similar units is 46%",IF($L$7&gt;999999,"34% -- Average of similar units is 63%",IF($L$7&gt;99999,"71% -- Average of similar units is 132%",IF($L$7&gt;1,"100 %-- Average of similar units is 260%"))))</f>
        <v>0</v>
      </c>
      <c r="F9" s="944"/>
      <c r="G9" s="945"/>
      <c r="H9" s="978" t="s">
        <v>1262</v>
      </c>
      <c r="I9" s="984" t="s">
        <v>1163</v>
      </c>
      <c r="J9" s="985"/>
      <c r="K9" s="926"/>
      <c r="L9" s="995" t="e">
        <f>+'PI series #'!L6</f>
        <v>#VALUE!</v>
      </c>
      <c r="M9" s="940"/>
      <c r="O9" s="941"/>
      <c r="P9" s="942"/>
    </row>
    <row r="10" spans="1:81" ht="202.5" hidden="1" customHeight="1" thickBot="1" x14ac:dyDescent="0.35">
      <c r="A10" s="1231"/>
      <c r="B10" s="1232"/>
      <c r="C10" s="1232"/>
      <c r="D10" s="1233"/>
      <c r="E10" s="943" t="str">
        <f>IF($K$5&gt;99999999,"16%--Median of simiar units is 32%","20%--Median of similar units is 39%")</f>
        <v>20%--Median of similar units is 39%</v>
      </c>
      <c r="F10" s="944"/>
      <c r="G10" s="945"/>
      <c r="H10" s="978" t="s">
        <v>1278</v>
      </c>
      <c r="I10" s="984" t="s">
        <v>1163</v>
      </c>
      <c r="J10" s="985"/>
      <c r="K10" s="996">
        <f>IF($K$5&gt;99999999,16%,20%)</f>
        <v>0.2</v>
      </c>
      <c r="L10" s="995" t="e">
        <f>+'PI series #'!L8</f>
        <v>#VALUE!</v>
      </c>
      <c r="M10" s="940"/>
      <c r="O10" s="941"/>
      <c r="P10" s="942"/>
    </row>
    <row r="11" spans="1:81" ht="202.5" customHeight="1" thickBot="1" x14ac:dyDescent="0.35">
      <c r="A11" s="1231"/>
      <c r="B11" s="1232"/>
      <c r="C11" s="1232"/>
      <c r="D11" s="1233"/>
      <c r="E11" s="944">
        <v>0.08</v>
      </c>
      <c r="F11" s="944" t="str">
        <f>'PI series #'!D9</f>
        <v/>
      </c>
      <c r="G11" s="945"/>
      <c r="H11" s="978" t="s">
        <v>1443</v>
      </c>
      <c r="I11" s="984" t="s">
        <v>1163</v>
      </c>
      <c r="J11" s="985"/>
      <c r="K11" s="926"/>
      <c r="L11" s="994" t="str">
        <f>++'PI series #'!D9</f>
        <v/>
      </c>
      <c r="M11" s="940"/>
      <c r="O11" s="941"/>
      <c r="P11" s="942"/>
    </row>
    <row r="12" spans="1:81" s="262" customFormat="1" ht="18.600000000000001" thickBot="1" x14ac:dyDescent="0.35">
      <c r="A12" s="952"/>
      <c r="B12" s="953"/>
      <c r="C12" s="953"/>
      <c r="D12" s="953"/>
      <c r="E12" s="954"/>
      <c r="F12" s="953"/>
      <c r="G12" s="955"/>
      <c r="H12" s="953"/>
      <c r="I12" s="987"/>
      <c r="J12" s="976"/>
      <c r="K12" s="929"/>
      <c r="N12" s="941"/>
      <c r="P12" s="927"/>
      <c r="Q12" s="928"/>
      <c r="R12" s="928"/>
      <c r="S12" s="928"/>
      <c r="T12" s="928"/>
      <c r="U12" s="928"/>
      <c r="V12" s="928"/>
      <c r="W12" s="928"/>
      <c r="X12" s="928"/>
      <c r="Y12" s="928"/>
      <c r="Z12" s="928"/>
      <c r="AA12" s="928"/>
      <c r="AB12" s="928"/>
      <c r="AC12" s="928"/>
      <c r="AD12" s="928"/>
      <c r="AE12" s="928"/>
      <c r="AF12" s="928"/>
      <c r="AG12" s="928"/>
      <c r="AH12" s="928"/>
      <c r="AI12" s="928"/>
      <c r="AJ12" s="928"/>
      <c r="AK12" s="928"/>
      <c r="AL12" s="928"/>
      <c r="AM12" s="928"/>
      <c r="AN12" s="928"/>
      <c r="AO12" s="928"/>
      <c r="AP12" s="928"/>
      <c r="AQ12" s="928"/>
      <c r="AR12" s="928"/>
      <c r="AS12" s="928"/>
      <c r="AT12" s="928"/>
      <c r="AU12" s="928"/>
      <c r="AV12" s="928"/>
      <c r="AW12" s="928"/>
      <c r="AX12" s="928"/>
      <c r="AY12" s="928"/>
      <c r="AZ12" s="928"/>
      <c r="BA12" s="928"/>
      <c r="BB12" s="928"/>
      <c r="BC12" s="928"/>
      <c r="BD12" s="928"/>
      <c r="BE12" s="928"/>
      <c r="BF12" s="928"/>
      <c r="BG12" s="928"/>
      <c r="BH12" s="928"/>
      <c r="BI12" s="928"/>
      <c r="BJ12" s="928"/>
      <c r="BK12" s="928"/>
      <c r="BL12" s="928"/>
      <c r="BM12" s="928"/>
      <c r="BN12" s="928"/>
      <c r="BO12" s="928"/>
      <c r="BP12" s="928"/>
      <c r="BQ12" s="928"/>
      <c r="BR12" s="928"/>
      <c r="BS12" s="928"/>
      <c r="BT12" s="928"/>
      <c r="BU12" s="928"/>
      <c r="BV12" s="928"/>
      <c r="BW12" s="928"/>
      <c r="BX12" s="928"/>
      <c r="BY12" s="928"/>
      <c r="BZ12" s="928"/>
      <c r="CA12" s="928"/>
      <c r="CB12" s="928"/>
      <c r="CC12" s="928"/>
    </row>
    <row r="13" spans="1:81" s="262" customFormat="1" ht="18.600000000000001" thickBot="1" x14ac:dyDescent="0.35">
      <c r="A13" s="1234" t="s">
        <v>1264</v>
      </c>
      <c r="B13" s="1235"/>
      <c r="C13" s="1236"/>
      <c r="D13" s="275" t="s">
        <v>1263</v>
      </c>
      <c r="E13" s="276" t="s">
        <v>1265</v>
      </c>
      <c r="F13" s="956"/>
      <c r="G13" s="957"/>
      <c r="H13" s="958"/>
      <c r="I13" s="989"/>
      <c r="J13" s="958"/>
      <c r="K13" s="926"/>
      <c r="P13" s="927"/>
      <c r="Q13" s="928"/>
      <c r="R13" s="928"/>
      <c r="S13" s="928"/>
      <c r="T13" s="928"/>
      <c r="U13" s="928"/>
      <c r="V13" s="928"/>
      <c r="W13" s="928"/>
      <c r="X13" s="928"/>
      <c r="Y13" s="928"/>
      <c r="Z13" s="928"/>
      <c r="AA13" s="928"/>
      <c r="AB13" s="928"/>
      <c r="AC13" s="928"/>
      <c r="AD13" s="928"/>
      <c r="AE13" s="928"/>
      <c r="AF13" s="928"/>
      <c r="AG13" s="928"/>
      <c r="AH13" s="928"/>
      <c r="AI13" s="928"/>
      <c r="AJ13" s="928"/>
      <c r="AK13" s="928"/>
      <c r="AL13" s="928"/>
      <c r="AM13" s="928"/>
      <c r="AN13" s="928"/>
      <c r="AO13" s="928"/>
      <c r="AP13" s="928"/>
      <c r="AQ13" s="928"/>
      <c r="AR13" s="928"/>
      <c r="AS13" s="928"/>
      <c r="AT13" s="928"/>
      <c r="AU13" s="928"/>
      <c r="AV13" s="928"/>
      <c r="AW13" s="928"/>
      <c r="AX13" s="928"/>
      <c r="AY13" s="928"/>
      <c r="AZ13" s="928"/>
      <c r="BA13" s="928"/>
      <c r="BB13" s="928"/>
      <c r="BC13" s="928"/>
      <c r="BD13" s="928"/>
      <c r="BE13" s="928"/>
      <c r="BF13" s="928"/>
      <c r="BG13" s="928"/>
      <c r="BH13" s="928"/>
      <c r="BI13" s="928"/>
      <c r="BJ13" s="928"/>
      <c r="BK13" s="928"/>
      <c r="BL13" s="928"/>
      <c r="BM13" s="928"/>
      <c r="BN13" s="928"/>
      <c r="BO13" s="928"/>
      <c r="BP13" s="928"/>
      <c r="BQ13" s="928"/>
      <c r="BR13" s="928"/>
      <c r="BS13" s="928"/>
      <c r="BT13" s="928"/>
      <c r="BU13" s="928"/>
      <c r="BV13" s="928"/>
      <c r="BW13" s="928"/>
      <c r="BX13" s="928"/>
      <c r="BY13" s="928"/>
      <c r="BZ13" s="928"/>
      <c r="CA13" s="928"/>
      <c r="CB13" s="928"/>
      <c r="CC13" s="928"/>
    </row>
    <row r="14" spans="1:81" s="262" customFormat="1" ht="92.25" customHeight="1" thickBot="1" x14ac:dyDescent="0.35">
      <c r="A14" s="1220" t="s">
        <v>1376</v>
      </c>
      <c r="B14" s="1220"/>
      <c r="C14" s="1220"/>
      <c r="D14" s="959" t="b">
        <f>IF(Import!L258=1,"Yes",IF(Import!L258=2,"No"))</f>
        <v>0</v>
      </c>
      <c r="E14" s="948" t="s">
        <v>1378</v>
      </c>
      <c r="F14" s="959" t="b">
        <f>D14</f>
        <v>0</v>
      </c>
      <c r="G14" s="949"/>
      <c r="H14" s="983" t="s">
        <v>1266</v>
      </c>
      <c r="I14" s="986" t="s">
        <v>754</v>
      </c>
      <c r="J14" s="988"/>
      <c r="K14" s="926"/>
      <c r="P14" s="927"/>
      <c r="Q14" s="928"/>
      <c r="R14" s="928"/>
      <c r="S14" s="928"/>
      <c r="T14" s="928"/>
      <c r="U14" s="928"/>
      <c r="V14" s="928"/>
      <c r="W14" s="928"/>
      <c r="X14" s="928"/>
      <c r="Y14" s="928"/>
      <c r="Z14" s="928"/>
      <c r="AA14" s="928"/>
      <c r="AB14" s="928"/>
      <c r="AC14" s="928"/>
      <c r="AD14" s="928"/>
      <c r="AE14" s="928"/>
      <c r="AF14" s="928"/>
      <c r="AG14" s="928"/>
      <c r="AH14" s="928"/>
      <c r="AI14" s="928"/>
      <c r="AJ14" s="928"/>
      <c r="AK14" s="928"/>
      <c r="AL14" s="928"/>
      <c r="AM14" s="928"/>
      <c r="AN14" s="928"/>
      <c r="AO14" s="928"/>
      <c r="AP14" s="928"/>
      <c r="AQ14" s="928"/>
      <c r="AR14" s="928"/>
      <c r="AS14" s="928"/>
      <c r="AT14" s="928"/>
      <c r="AU14" s="928"/>
      <c r="AV14" s="928"/>
      <c r="AW14" s="928"/>
      <c r="AX14" s="928"/>
      <c r="AY14" s="928"/>
      <c r="AZ14" s="928"/>
      <c r="BA14" s="928"/>
      <c r="BB14" s="928"/>
      <c r="BC14" s="928"/>
      <c r="BD14" s="928"/>
      <c r="BE14" s="928"/>
      <c r="BF14" s="928"/>
      <c r="BG14" s="928"/>
      <c r="BH14" s="928"/>
      <c r="BI14" s="928"/>
      <c r="BJ14" s="928"/>
      <c r="BK14" s="928"/>
      <c r="BL14" s="928"/>
      <c r="BM14" s="928"/>
      <c r="BN14" s="928"/>
      <c r="BO14" s="928"/>
      <c r="BP14" s="928"/>
      <c r="BQ14" s="928"/>
      <c r="BR14" s="928"/>
      <c r="BS14" s="928"/>
      <c r="BT14" s="928"/>
      <c r="BU14" s="928"/>
      <c r="BV14" s="928"/>
      <c r="BW14" s="928"/>
      <c r="BX14" s="928"/>
      <c r="BY14" s="928"/>
      <c r="BZ14" s="928"/>
      <c r="CA14" s="928"/>
      <c r="CB14" s="928"/>
      <c r="CC14" s="928"/>
    </row>
    <row r="15" spans="1:81" s="262" customFormat="1" ht="69.75" hidden="1" customHeight="1" thickBot="1" x14ac:dyDescent="0.35">
      <c r="A15" s="1220" t="s">
        <v>934</v>
      </c>
      <c r="B15" s="1220"/>
      <c r="C15" s="1220"/>
      <c r="D15" s="963" t="str">
        <f>IFERROR((Import!L67-Import!L68)/Import!L68,"")</f>
        <v/>
      </c>
      <c r="E15" s="948" t="s">
        <v>736</v>
      </c>
      <c r="F15" s="964" t="str">
        <f>+D15</f>
        <v/>
      </c>
      <c r="G15" s="949"/>
      <c r="H15" s="978" t="s">
        <v>1267</v>
      </c>
      <c r="I15" s="986" t="s">
        <v>759</v>
      </c>
      <c r="J15" s="988"/>
      <c r="K15" s="926"/>
      <c r="P15" s="927"/>
      <c r="Q15" s="928"/>
      <c r="R15" s="928"/>
      <c r="S15" s="928"/>
      <c r="T15" s="928"/>
      <c r="U15" s="928"/>
      <c r="V15" s="928"/>
      <c r="W15" s="928"/>
      <c r="X15" s="928"/>
      <c r="Y15" s="928"/>
      <c r="Z15" s="928"/>
      <c r="AA15" s="928"/>
      <c r="AB15" s="928"/>
      <c r="AC15" s="928"/>
      <c r="AD15" s="928"/>
      <c r="AE15" s="928"/>
      <c r="AF15" s="928"/>
      <c r="AG15" s="928"/>
      <c r="AH15" s="928"/>
      <c r="AI15" s="928"/>
      <c r="AJ15" s="928"/>
      <c r="AK15" s="928"/>
      <c r="AL15" s="928"/>
      <c r="AM15" s="928"/>
      <c r="AN15" s="928"/>
      <c r="AO15" s="928"/>
      <c r="AP15" s="928"/>
      <c r="AQ15" s="928"/>
      <c r="AR15" s="928"/>
      <c r="AS15" s="928"/>
      <c r="AT15" s="928"/>
      <c r="AU15" s="928"/>
      <c r="AV15" s="928"/>
      <c r="AW15" s="928"/>
      <c r="AX15" s="928"/>
      <c r="AY15" s="928"/>
      <c r="AZ15" s="928"/>
      <c r="BA15" s="928"/>
      <c r="BB15" s="928"/>
      <c r="BC15" s="928"/>
      <c r="BD15" s="928"/>
      <c r="BE15" s="928"/>
      <c r="BF15" s="928"/>
      <c r="BG15" s="928"/>
      <c r="BH15" s="928"/>
      <c r="BI15" s="928"/>
      <c r="BJ15" s="928"/>
      <c r="BK15" s="928"/>
      <c r="BL15" s="928"/>
      <c r="BM15" s="928"/>
      <c r="BN15" s="928"/>
      <c r="BO15" s="928"/>
      <c r="BP15" s="928"/>
      <c r="BQ15" s="928"/>
      <c r="BR15" s="928"/>
      <c r="BS15" s="928"/>
      <c r="BT15" s="928"/>
      <c r="BU15" s="928"/>
      <c r="BV15" s="928"/>
      <c r="BW15" s="928"/>
      <c r="BX15" s="928"/>
      <c r="BY15" s="928"/>
      <c r="BZ15" s="928"/>
      <c r="CA15" s="928"/>
      <c r="CB15" s="928"/>
      <c r="CC15" s="928"/>
    </row>
    <row r="16" spans="1:81" s="262" customFormat="1" ht="18" hidden="1" customHeight="1" thickBot="1" x14ac:dyDescent="0.35">
      <c r="A16" s="1202"/>
      <c r="B16" s="1203"/>
      <c r="C16" s="1204"/>
      <c r="D16" s="961" t="s">
        <v>1263</v>
      </c>
      <c r="E16" s="276" t="s">
        <v>1265</v>
      </c>
      <c r="F16" s="962"/>
      <c r="G16" s="949"/>
      <c r="H16" s="962"/>
      <c r="I16" s="990"/>
      <c r="J16" s="993"/>
      <c r="K16" s="965"/>
      <c r="P16" s="927"/>
      <c r="Q16" s="928"/>
      <c r="R16" s="928"/>
      <c r="S16" s="928"/>
      <c r="T16" s="928"/>
      <c r="U16" s="928"/>
      <c r="V16" s="928"/>
      <c r="W16" s="928"/>
      <c r="X16" s="928"/>
      <c r="Y16" s="928"/>
      <c r="Z16" s="928"/>
      <c r="AA16" s="928"/>
      <c r="AB16" s="928"/>
      <c r="AC16" s="928"/>
      <c r="AD16" s="928"/>
      <c r="AE16" s="928"/>
      <c r="AF16" s="928"/>
      <c r="AG16" s="928"/>
      <c r="AH16" s="928"/>
      <c r="AI16" s="928"/>
      <c r="AJ16" s="928"/>
      <c r="AK16" s="928"/>
      <c r="AL16" s="928"/>
      <c r="AM16" s="928"/>
      <c r="AN16" s="928"/>
      <c r="AO16" s="928"/>
      <c r="AP16" s="928"/>
      <c r="AQ16" s="928"/>
      <c r="AR16" s="928"/>
      <c r="AS16" s="928"/>
      <c r="AT16" s="928"/>
      <c r="AU16" s="928"/>
      <c r="AV16" s="928"/>
      <c r="AW16" s="928"/>
      <c r="AX16" s="928"/>
      <c r="AY16" s="928"/>
      <c r="AZ16" s="928"/>
      <c r="BA16" s="928"/>
      <c r="BB16" s="928"/>
      <c r="BC16" s="928"/>
      <c r="BD16" s="928"/>
      <c r="BE16" s="928"/>
      <c r="BF16" s="928"/>
      <c r="BG16" s="928"/>
      <c r="BH16" s="928"/>
      <c r="BI16" s="928"/>
      <c r="BJ16" s="928"/>
      <c r="BK16" s="928"/>
      <c r="BL16" s="928"/>
      <c r="BM16" s="928"/>
      <c r="BN16" s="928"/>
      <c r="BO16" s="928"/>
      <c r="BP16" s="928"/>
      <c r="BQ16" s="928"/>
      <c r="BR16" s="928"/>
      <c r="BS16" s="928"/>
      <c r="BT16" s="928"/>
      <c r="BU16" s="928"/>
      <c r="BV16" s="928"/>
      <c r="BW16" s="928"/>
      <c r="BX16" s="928"/>
      <c r="BY16" s="928"/>
      <c r="BZ16" s="928"/>
      <c r="CA16" s="928"/>
      <c r="CB16" s="928"/>
      <c r="CC16" s="928"/>
    </row>
    <row r="17" spans="1:81" s="262" customFormat="1" ht="74.25" hidden="1" customHeight="1" thickBot="1" x14ac:dyDescent="0.35">
      <c r="A17" s="1220" t="s">
        <v>1268</v>
      </c>
      <c r="B17" s="1220"/>
      <c r="C17" s="1220"/>
      <c r="D17" s="959" t="b">
        <f>IF(Import!L244=20,"Increase",IF(Import!L244=21,"Decrease",IF(Import!L244=22,"No Change",IF(Import!L244=23,"N/A"))))</f>
        <v>0</v>
      </c>
      <c r="E17" s="948" t="s">
        <v>1269</v>
      </c>
      <c r="F17" s="959" t="b">
        <f>D17</f>
        <v>0</v>
      </c>
      <c r="G17" s="949"/>
      <c r="H17" s="978" t="s">
        <v>1270</v>
      </c>
      <c r="I17" s="986" t="s">
        <v>760</v>
      </c>
      <c r="J17" s="988"/>
      <c r="K17" s="966"/>
      <c r="P17" s="927"/>
      <c r="Q17" s="928"/>
      <c r="R17" s="928"/>
      <c r="S17" s="928"/>
      <c r="T17" s="928"/>
      <c r="U17" s="928"/>
      <c r="V17" s="928"/>
      <c r="W17" s="928"/>
      <c r="X17" s="928"/>
      <c r="Y17" s="928"/>
      <c r="Z17" s="928"/>
      <c r="AA17" s="928"/>
      <c r="AB17" s="928"/>
      <c r="AC17" s="928"/>
      <c r="AD17" s="928"/>
      <c r="AE17" s="928"/>
      <c r="AF17" s="928"/>
      <c r="AG17" s="928"/>
      <c r="AH17" s="928"/>
      <c r="AI17" s="928"/>
      <c r="AJ17" s="928"/>
      <c r="AK17" s="928"/>
      <c r="AL17" s="928"/>
      <c r="AM17" s="928"/>
      <c r="AN17" s="928"/>
      <c r="AO17" s="928"/>
      <c r="AP17" s="928"/>
      <c r="AQ17" s="928"/>
      <c r="AR17" s="928"/>
      <c r="AS17" s="928"/>
      <c r="AT17" s="928"/>
      <c r="AU17" s="928"/>
      <c r="AV17" s="928"/>
      <c r="AW17" s="928"/>
      <c r="AX17" s="928"/>
      <c r="AY17" s="928"/>
      <c r="AZ17" s="928"/>
      <c r="BA17" s="928"/>
      <c r="BB17" s="928"/>
      <c r="BC17" s="928"/>
      <c r="BD17" s="928"/>
      <c r="BE17" s="928"/>
      <c r="BF17" s="928"/>
      <c r="BG17" s="928"/>
      <c r="BH17" s="928"/>
      <c r="BI17" s="928"/>
      <c r="BJ17" s="928"/>
      <c r="BK17" s="928"/>
      <c r="BL17" s="928"/>
      <c r="BM17" s="928"/>
      <c r="BN17" s="928"/>
      <c r="BO17" s="928"/>
      <c r="BP17" s="928"/>
      <c r="BQ17" s="928"/>
      <c r="BR17" s="928"/>
      <c r="BS17" s="928"/>
      <c r="BT17" s="928"/>
      <c r="BU17" s="928"/>
      <c r="BV17" s="928"/>
      <c r="BW17" s="928"/>
      <c r="BX17" s="928"/>
      <c r="BY17" s="928"/>
      <c r="BZ17" s="928"/>
      <c r="CA17" s="928"/>
      <c r="CB17" s="928"/>
      <c r="CC17" s="928"/>
    </row>
    <row r="18" spans="1:81" s="262" customFormat="1" ht="18" hidden="1" customHeight="1" thickBot="1" x14ac:dyDescent="0.35">
      <c r="A18" s="1202"/>
      <c r="B18" s="1203"/>
      <c r="C18" s="1204"/>
      <c r="D18" s="961" t="s">
        <v>1263</v>
      </c>
      <c r="E18" s="276" t="s">
        <v>1265</v>
      </c>
      <c r="F18" s="962"/>
      <c r="G18" s="949"/>
      <c r="H18" s="981"/>
      <c r="I18" s="990"/>
      <c r="J18" s="993"/>
      <c r="K18" s="967"/>
      <c r="P18" s="927"/>
      <c r="Q18" s="928"/>
      <c r="R18" s="928"/>
      <c r="S18" s="928"/>
      <c r="T18" s="928"/>
      <c r="U18" s="928"/>
      <c r="V18" s="928"/>
      <c r="W18" s="928"/>
      <c r="X18" s="928"/>
      <c r="Y18" s="928"/>
      <c r="Z18" s="928"/>
      <c r="AA18" s="928"/>
      <c r="AB18" s="928"/>
      <c r="AC18" s="928"/>
      <c r="AD18" s="928"/>
      <c r="AE18" s="928"/>
      <c r="AF18" s="928"/>
      <c r="AG18" s="928"/>
      <c r="AH18" s="928"/>
      <c r="AI18" s="928"/>
      <c r="AJ18" s="928"/>
      <c r="AK18" s="928"/>
      <c r="AL18" s="928"/>
      <c r="AM18" s="928"/>
      <c r="AN18" s="928"/>
      <c r="AO18" s="928"/>
      <c r="AP18" s="928"/>
      <c r="AQ18" s="928"/>
      <c r="AR18" s="928"/>
      <c r="AS18" s="928"/>
      <c r="AT18" s="928"/>
      <c r="AU18" s="928"/>
      <c r="AV18" s="928"/>
      <c r="AW18" s="928"/>
      <c r="AX18" s="928"/>
      <c r="AY18" s="928"/>
      <c r="AZ18" s="928"/>
      <c r="BA18" s="928"/>
      <c r="BB18" s="928"/>
      <c r="BC18" s="928"/>
      <c r="BD18" s="928"/>
      <c r="BE18" s="928"/>
      <c r="BF18" s="928"/>
      <c r="BG18" s="928"/>
      <c r="BH18" s="928"/>
      <c r="BI18" s="928"/>
      <c r="BJ18" s="928"/>
      <c r="BK18" s="928"/>
      <c r="BL18" s="928"/>
      <c r="BM18" s="928"/>
      <c r="BN18" s="928"/>
      <c r="BO18" s="928"/>
      <c r="BP18" s="928"/>
      <c r="BQ18" s="928"/>
      <c r="BR18" s="928"/>
      <c r="BS18" s="928"/>
      <c r="BT18" s="928"/>
      <c r="BU18" s="928"/>
      <c r="BV18" s="928"/>
      <c r="BW18" s="928"/>
      <c r="BX18" s="928"/>
      <c r="BY18" s="928"/>
      <c r="BZ18" s="928"/>
      <c r="CA18" s="928"/>
      <c r="CB18" s="928"/>
      <c r="CC18" s="928"/>
    </row>
    <row r="19" spans="1:81" s="262" customFormat="1" ht="71.25" hidden="1" customHeight="1" thickBot="1" x14ac:dyDescent="0.35">
      <c r="A19" s="1205" t="s">
        <v>982</v>
      </c>
      <c r="B19" s="1206"/>
      <c r="C19" s="1207"/>
      <c r="D19" s="968" t="str">
        <f>IF(Import!L256=1,"Yes",IF(Import!L256=2,"No",IF(Import!L256=0,"Question required to be answered")))</f>
        <v>Question required to be answered</v>
      </c>
      <c r="E19" s="948" t="s">
        <v>763</v>
      </c>
      <c r="F19" s="969" t="str">
        <f>+D19</f>
        <v>Question required to be answered</v>
      </c>
      <c r="G19" s="949"/>
      <c r="H19" s="978" t="s">
        <v>1271</v>
      </c>
      <c r="I19" s="986" t="s">
        <v>755</v>
      </c>
      <c r="J19" s="988"/>
      <c r="K19" s="926"/>
      <c r="P19" s="927"/>
      <c r="Q19" s="928"/>
      <c r="R19" s="928"/>
      <c r="S19" s="928"/>
      <c r="T19" s="928"/>
      <c r="U19" s="928"/>
      <c r="V19" s="928"/>
      <c r="W19" s="928"/>
      <c r="X19" s="928"/>
      <c r="Y19" s="928"/>
      <c r="Z19" s="928"/>
      <c r="AA19" s="928"/>
      <c r="AB19" s="928"/>
      <c r="AC19" s="928"/>
      <c r="AD19" s="928"/>
      <c r="AE19" s="928"/>
      <c r="AF19" s="928"/>
      <c r="AG19" s="928"/>
      <c r="AH19" s="928"/>
      <c r="AI19" s="928"/>
      <c r="AJ19" s="928"/>
      <c r="AK19" s="928"/>
      <c r="AL19" s="928"/>
      <c r="AM19" s="928"/>
      <c r="AN19" s="928"/>
      <c r="AO19" s="928"/>
      <c r="AP19" s="928"/>
      <c r="AQ19" s="928"/>
      <c r="AR19" s="928"/>
      <c r="AS19" s="928"/>
      <c r="AT19" s="928"/>
      <c r="AU19" s="928"/>
      <c r="AV19" s="928"/>
      <c r="AW19" s="928"/>
      <c r="AX19" s="928"/>
      <c r="AY19" s="928"/>
      <c r="AZ19" s="928"/>
      <c r="BA19" s="928"/>
      <c r="BB19" s="928"/>
      <c r="BC19" s="928"/>
      <c r="BD19" s="928"/>
      <c r="BE19" s="928"/>
      <c r="BF19" s="928"/>
      <c r="BG19" s="928"/>
      <c r="BH19" s="928"/>
      <c r="BI19" s="928"/>
      <c r="BJ19" s="928"/>
      <c r="BK19" s="928"/>
      <c r="BL19" s="928"/>
      <c r="BM19" s="928"/>
      <c r="BN19" s="928"/>
      <c r="BO19" s="928"/>
      <c r="BP19" s="928"/>
      <c r="BQ19" s="928"/>
      <c r="BR19" s="928"/>
      <c r="BS19" s="928"/>
      <c r="BT19" s="928"/>
      <c r="BU19" s="928"/>
      <c r="BV19" s="928"/>
      <c r="BW19" s="928"/>
      <c r="BX19" s="928"/>
      <c r="BY19" s="928"/>
      <c r="BZ19" s="928"/>
      <c r="CA19" s="928"/>
      <c r="CB19" s="928"/>
      <c r="CC19" s="928"/>
    </row>
    <row r="20" spans="1:81" s="262" customFormat="1" ht="18" hidden="1" customHeight="1" thickBot="1" x14ac:dyDescent="0.35">
      <c r="A20" s="1202"/>
      <c r="B20" s="1203"/>
      <c r="C20" s="1204"/>
      <c r="D20" s="961" t="s">
        <v>1263</v>
      </c>
      <c r="E20" s="276" t="s">
        <v>1265</v>
      </c>
      <c r="F20" s="970"/>
      <c r="G20" s="949"/>
      <c r="H20" s="981"/>
      <c r="I20" s="990"/>
      <c r="J20" s="993"/>
      <c r="K20" s="926"/>
      <c r="P20" s="927"/>
      <c r="Q20" s="928"/>
      <c r="R20" s="928"/>
      <c r="S20" s="928"/>
      <c r="T20" s="928"/>
      <c r="U20" s="928"/>
      <c r="V20" s="928"/>
      <c r="W20" s="928"/>
      <c r="X20" s="928"/>
      <c r="Y20" s="928"/>
      <c r="Z20" s="928"/>
      <c r="AA20" s="928"/>
      <c r="AB20" s="928"/>
      <c r="AC20" s="928"/>
      <c r="AD20" s="928"/>
      <c r="AE20" s="928"/>
      <c r="AF20" s="928"/>
      <c r="AG20" s="928"/>
      <c r="AH20" s="928"/>
      <c r="AI20" s="928"/>
      <c r="AJ20" s="928"/>
      <c r="AK20" s="928"/>
      <c r="AL20" s="928"/>
      <c r="AM20" s="928"/>
      <c r="AN20" s="928"/>
      <c r="AO20" s="928"/>
      <c r="AP20" s="928"/>
      <c r="AQ20" s="928"/>
      <c r="AR20" s="928"/>
      <c r="AS20" s="928"/>
      <c r="AT20" s="928"/>
      <c r="AU20" s="928"/>
      <c r="AV20" s="928"/>
      <c r="AW20" s="928"/>
      <c r="AX20" s="928"/>
      <c r="AY20" s="928"/>
      <c r="AZ20" s="928"/>
      <c r="BA20" s="928"/>
      <c r="BB20" s="928"/>
      <c r="BC20" s="928"/>
      <c r="BD20" s="928"/>
      <c r="BE20" s="928"/>
      <c r="BF20" s="928"/>
      <c r="BG20" s="928"/>
      <c r="BH20" s="928"/>
      <c r="BI20" s="928"/>
      <c r="BJ20" s="928"/>
      <c r="BK20" s="928"/>
      <c r="BL20" s="928"/>
      <c r="BM20" s="928"/>
      <c r="BN20" s="928"/>
      <c r="BO20" s="928"/>
      <c r="BP20" s="928"/>
      <c r="BQ20" s="928"/>
      <c r="BR20" s="928"/>
      <c r="BS20" s="928"/>
      <c r="BT20" s="928"/>
      <c r="BU20" s="928"/>
      <c r="BV20" s="928"/>
      <c r="BW20" s="928"/>
      <c r="BX20" s="928"/>
      <c r="BY20" s="928"/>
      <c r="BZ20" s="928"/>
      <c r="CA20" s="928"/>
      <c r="CB20" s="928"/>
      <c r="CC20" s="928"/>
    </row>
    <row r="21" spans="1:81" s="262" customFormat="1" ht="81" hidden="1" customHeight="1" thickBot="1" x14ac:dyDescent="0.35">
      <c r="A21" s="1205" t="s">
        <v>935</v>
      </c>
      <c r="B21" s="1206"/>
      <c r="C21" s="1207"/>
      <c r="D21" s="963" t="str">
        <f>IF(Import!L191&gt;(Import!L155+Import!L158)*0.03,"Yes","No")</f>
        <v>No</v>
      </c>
      <c r="E21" s="971"/>
      <c r="F21" s="963" t="str">
        <f>+D21</f>
        <v>No</v>
      </c>
      <c r="G21" s="949"/>
      <c r="H21" s="946" t="s">
        <v>1272</v>
      </c>
      <c r="I21" s="986" t="s">
        <v>761</v>
      </c>
      <c r="J21" s="988"/>
      <c r="K21" s="926"/>
      <c r="P21" s="927"/>
      <c r="Q21" s="928"/>
      <c r="R21" s="928"/>
      <c r="S21" s="928"/>
      <c r="T21" s="928"/>
      <c r="U21" s="928"/>
      <c r="V21" s="928"/>
      <c r="W21" s="928"/>
      <c r="X21" s="928"/>
      <c r="Y21" s="928"/>
      <c r="Z21" s="928"/>
      <c r="AA21" s="928"/>
      <c r="AB21" s="928"/>
      <c r="AC21" s="928"/>
      <c r="AD21" s="928"/>
      <c r="AE21" s="928"/>
      <c r="AF21" s="928"/>
      <c r="AG21" s="928"/>
      <c r="AH21" s="928"/>
      <c r="AI21" s="928"/>
      <c r="AJ21" s="928"/>
      <c r="AK21" s="928"/>
      <c r="AL21" s="928"/>
      <c r="AM21" s="928"/>
      <c r="AN21" s="928"/>
      <c r="AO21" s="928"/>
      <c r="AP21" s="928"/>
      <c r="AQ21" s="928"/>
      <c r="AR21" s="928"/>
      <c r="AS21" s="928"/>
      <c r="AT21" s="928"/>
      <c r="AU21" s="928"/>
      <c r="AV21" s="928"/>
      <c r="AW21" s="928"/>
      <c r="AX21" s="928"/>
      <c r="AY21" s="928"/>
      <c r="AZ21" s="928"/>
      <c r="BA21" s="928"/>
      <c r="BB21" s="928"/>
      <c r="BC21" s="928"/>
      <c r="BD21" s="928"/>
      <c r="BE21" s="928"/>
      <c r="BF21" s="928"/>
      <c r="BG21" s="928"/>
      <c r="BH21" s="928"/>
      <c r="BI21" s="928"/>
      <c r="BJ21" s="928"/>
      <c r="BK21" s="928"/>
      <c r="BL21" s="928"/>
      <c r="BM21" s="928"/>
      <c r="BN21" s="928"/>
      <c r="BO21" s="928"/>
      <c r="BP21" s="928"/>
      <c r="BQ21" s="928"/>
      <c r="BR21" s="928"/>
      <c r="BS21" s="928"/>
      <c r="BT21" s="928"/>
      <c r="BU21" s="928"/>
      <c r="BV21" s="928"/>
      <c r="BW21" s="928"/>
      <c r="BX21" s="928"/>
      <c r="BY21" s="928"/>
      <c r="BZ21" s="928"/>
      <c r="CA21" s="928"/>
      <c r="CB21" s="928"/>
      <c r="CC21" s="928"/>
    </row>
    <row r="22" spans="1:81" s="262" customFormat="1" ht="18" hidden="1" customHeight="1" thickBot="1" x14ac:dyDescent="0.35">
      <c r="A22" s="1202"/>
      <c r="B22" s="1203"/>
      <c r="C22" s="1204"/>
      <c r="D22" s="961" t="s">
        <v>1263</v>
      </c>
      <c r="E22" s="276" t="s">
        <v>1265</v>
      </c>
      <c r="F22" s="962"/>
      <c r="G22" s="949"/>
      <c r="H22" s="962"/>
      <c r="I22" s="990"/>
      <c r="J22" s="993"/>
      <c r="K22" s="926"/>
      <c r="P22" s="927"/>
      <c r="Q22" s="928"/>
      <c r="R22" s="928"/>
      <c r="S22" s="928"/>
      <c r="T22" s="928"/>
      <c r="U22" s="928"/>
      <c r="V22" s="928"/>
      <c r="W22" s="928"/>
      <c r="X22" s="928"/>
      <c r="Y22" s="928"/>
      <c r="Z22" s="928"/>
      <c r="AA22" s="928"/>
      <c r="AB22" s="928"/>
      <c r="AC22" s="928"/>
      <c r="AD22" s="928"/>
      <c r="AE22" s="928"/>
      <c r="AF22" s="928"/>
      <c r="AG22" s="928"/>
      <c r="AH22" s="928"/>
      <c r="AI22" s="928"/>
      <c r="AJ22" s="928"/>
      <c r="AK22" s="928"/>
      <c r="AL22" s="928"/>
      <c r="AM22" s="928"/>
      <c r="AN22" s="928"/>
      <c r="AO22" s="928"/>
      <c r="AP22" s="928"/>
      <c r="AQ22" s="928"/>
      <c r="AR22" s="928"/>
      <c r="AS22" s="928"/>
      <c r="AT22" s="928"/>
      <c r="AU22" s="928"/>
      <c r="AV22" s="928"/>
      <c r="AW22" s="928"/>
      <c r="AX22" s="928"/>
      <c r="AY22" s="928"/>
      <c r="AZ22" s="928"/>
      <c r="BA22" s="928"/>
      <c r="BB22" s="928"/>
      <c r="BC22" s="928"/>
      <c r="BD22" s="928"/>
      <c r="BE22" s="928"/>
      <c r="BF22" s="928"/>
      <c r="BG22" s="928"/>
      <c r="BH22" s="928"/>
      <c r="BI22" s="928"/>
      <c r="BJ22" s="928"/>
      <c r="BK22" s="928"/>
      <c r="BL22" s="928"/>
      <c r="BM22" s="928"/>
      <c r="BN22" s="928"/>
      <c r="BO22" s="928"/>
      <c r="BP22" s="928"/>
      <c r="BQ22" s="928"/>
      <c r="BR22" s="928"/>
      <c r="BS22" s="928"/>
      <c r="BT22" s="928"/>
      <c r="BU22" s="928"/>
      <c r="BV22" s="928"/>
      <c r="BW22" s="928"/>
      <c r="BX22" s="928"/>
      <c r="BY22" s="928"/>
      <c r="BZ22" s="928"/>
      <c r="CA22" s="928"/>
      <c r="CB22" s="928"/>
      <c r="CC22" s="928"/>
    </row>
    <row r="23" spans="1:81" s="262" customFormat="1" ht="128.25" hidden="1" customHeight="1" thickBot="1" x14ac:dyDescent="0.35">
      <c r="A23" s="1243" t="s">
        <v>1273</v>
      </c>
      <c r="B23" s="1243"/>
      <c r="C23" s="1243"/>
      <c r="D23" s="948" t="str">
        <f>IFERROR(VLOOKUP(B5,UAL!A3:D141,4,FALSE),"Unit is not on the Unit Assistance List at this time")</f>
        <v>Unit is not on the Unit Assistance List at this time</v>
      </c>
      <c r="E23" s="948" t="s">
        <v>1193</v>
      </c>
      <c r="F23" s="948" t="str">
        <f>D23</f>
        <v>Unit is not on the Unit Assistance List at this time</v>
      </c>
      <c r="G23" s="951"/>
      <c r="H23" s="982" t="str">
        <f>IF(D23="Unit is not on the Unit Assistance List at this time","N/A-Unit is not on the Unit Assistance List.",L23)</f>
        <v>N/A-Unit is not on the Unit Assistance List.</v>
      </c>
      <c r="I23" s="991"/>
      <c r="J23" s="988"/>
      <c r="K23" s="926"/>
      <c r="L23" s="262" t="s">
        <v>1007</v>
      </c>
      <c r="P23" s="927"/>
      <c r="Q23" s="928"/>
      <c r="R23" s="928"/>
      <c r="S23" s="928"/>
      <c r="T23" s="928"/>
      <c r="U23" s="928"/>
      <c r="V23" s="928"/>
      <c r="W23" s="928"/>
      <c r="X23" s="928"/>
      <c r="Y23" s="928"/>
      <c r="Z23" s="928"/>
      <c r="AA23" s="928"/>
      <c r="AB23" s="928"/>
      <c r="AC23" s="928"/>
      <c r="AD23" s="928"/>
      <c r="AE23" s="928"/>
      <c r="AF23" s="928"/>
      <c r="AG23" s="928"/>
      <c r="AH23" s="928"/>
      <c r="AI23" s="928"/>
      <c r="AJ23" s="928"/>
      <c r="AK23" s="928"/>
      <c r="AL23" s="928"/>
      <c r="AM23" s="928"/>
      <c r="AN23" s="928"/>
      <c r="AO23" s="928"/>
      <c r="AP23" s="928"/>
      <c r="AQ23" s="928"/>
      <c r="AR23" s="928"/>
      <c r="AS23" s="928"/>
      <c r="AT23" s="928"/>
      <c r="AU23" s="928"/>
      <c r="AV23" s="928"/>
      <c r="AW23" s="928"/>
      <c r="AX23" s="928"/>
      <c r="AY23" s="928"/>
      <c r="AZ23" s="928"/>
      <c r="BA23" s="928"/>
      <c r="BB23" s="928"/>
      <c r="BC23" s="928"/>
      <c r="BD23" s="928"/>
      <c r="BE23" s="928"/>
      <c r="BF23" s="928"/>
      <c r="BG23" s="928"/>
      <c r="BH23" s="928"/>
      <c r="BI23" s="928"/>
      <c r="BJ23" s="928"/>
      <c r="BK23" s="928"/>
      <c r="BL23" s="928"/>
      <c r="BM23" s="928"/>
      <c r="BN23" s="928"/>
      <c r="BO23" s="928"/>
      <c r="BP23" s="928"/>
      <c r="BQ23" s="928"/>
      <c r="BR23" s="928"/>
      <c r="BS23" s="928"/>
      <c r="BT23" s="928"/>
      <c r="BU23" s="928"/>
      <c r="BV23" s="928"/>
      <c r="BW23" s="928"/>
      <c r="BX23" s="928"/>
      <c r="BY23" s="928"/>
      <c r="BZ23" s="928"/>
      <c r="CA23" s="928"/>
      <c r="CB23" s="928"/>
      <c r="CC23" s="928"/>
    </row>
    <row r="24" spans="1:81" s="262" customFormat="1" ht="18" hidden="1" customHeight="1" thickBot="1" x14ac:dyDescent="0.35">
      <c r="A24" s="1202"/>
      <c r="B24" s="1203"/>
      <c r="C24" s="1204"/>
      <c r="D24" s="961" t="s">
        <v>1263</v>
      </c>
      <c r="E24" s="276" t="s">
        <v>1265</v>
      </c>
      <c r="F24" s="962"/>
      <c r="G24" s="949"/>
      <c r="H24" s="981"/>
      <c r="I24" s="990"/>
      <c r="J24" s="993"/>
      <c r="K24" s="926"/>
      <c r="P24" s="927"/>
      <c r="Q24" s="928"/>
      <c r="R24" s="928"/>
      <c r="S24" s="928"/>
      <c r="T24" s="928"/>
      <c r="U24" s="928"/>
      <c r="V24" s="928"/>
      <c r="W24" s="928"/>
      <c r="X24" s="928"/>
      <c r="Y24" s="928"/>
      <c r="Z24" s="928"/>
      <c r="AA24" s="928"/>
      <c r="AB24" s="928"/>
      <c r="AC24" s="928"/>
      <c r="AD24" s="928"/>
      <c r="AE24" s="928"/>
      <c r="AF24" s="928"/>
      <c r="AG24" s="928"/>
      <c r="AH24" s="928"/>
      <c r="AI24" s="928"/>
      <c r="AJ24" s="928"/>
      <c r="AK24" s="928"/>
      <c r="AL24" s="928"/>
      <c r="AM24" s="928"/>
      <c r="AN24" s="928"/>
      <c r="AO24" s="928"/>
      <c r="AP24" s="928"/>
      <c r="AQ24" s="928"/>
      <c r="AR24" s="928"/>
      <c r="AS24" s="928"/>
      <c r="AT24" s="928"/>
      <c r="AU24" s="928"/>
      <c r="AV24" s="928"/>
      <c r="AW24" s="928"/>
      <c r="AX24" s="928"/>
      <c r="AY24" s="928"/>
      <c r="AZ24" s="928"/>
      <c r="BA24" s="928"/>
      <c r="BB24" s="928"/>
      <c r="BC24" s="928"/>
      <c r="BD24" s="928"/>
      <c r="BE24" s="928"/>
      <c r="BF24" s="928"/>
      <c r="BG24" s="928"/>
      <c r="BH24" s="928"/>
      <c r="BI24" s="928"/>
      <c r="BJ24" s="928"/>
      <c r="BK24" s="928"/>
      <c r="BL24" s="928"/>
      <c r="BM24" s="928"/>
      <c r="BN24" s="928"/>
      <c r="BO24" s="928"/>
      <c r="BP24" s="928"/>
      <c r="BQ24" s="928"/>
      <c r="BR24" s="928"/>
      <c r="BS24" s="928"/>
      <c r="BT24" s="928"/>
      <c r="BU24" s="928"/>
      <c r="BV24" s="928"/>
      <c r="BW24" s="928"/>
      <c r="BX24" s="928"/>
      <c r="BY24" s="928"/>
      <c r="BZ24" s="928"/>
      <c r="CA24" s="928"/>
      <c r="CB24" s="928"/>
      <c r="CC24" s="928"/>
    </row>
    <row r="25" spans="1:81" s="262" customFormat="1" ht="63.75" customHeight="1" thickBot="1" x14ac:dyDescent="0.35">
      <c r="A25" s="1234" t="s">
        <v>984</v>
      </c>
      <c r="B25" s="1235"/>
      <c r="C25" s="1244"/>
      <c r="D25" s="950" t="str">
        <f>IF(Import!L257=1,"Yes",IF(Import!L257=2,"No",IF(Import!L257="0","This question must be answered")))</f>
        <v>This question must be answered</v>
      </c>
      <c r="E25" s="972"/>
      <c r="F25" s="950" t="str">
        <f>+D25</f>
        <v>This question must be answered</v>
      </c>
      <c r="G25" s="949"/>
      <c r="H25" s="978" t="s">
        <v>1274</v>
      </c>
      <c r="I25" s="992" t="s">
        <v>762</v>
      </c>
      <c r="J25" s="988"/>
      <c r="K25" s="926"/>
      <c r="P25" s="927"/>
      <c r="Q25" s="928"/>
      <c r="R25" s="928"/>
      <c r="S25" s="928"/>
      <c r="T25" s="928"/>
      <c r="U25" s="928"/>
      <c r="V25" s="928"/>
      <c r="W25" s="928"/>
      <c r="X25" s="928"/>
      <c r="Y25" s="928"/>
      <c r="Z25" s="928"/>
      <c r="AA25" s="928"/>
      <c r="AB25" s="928"/>
      <c r="AC25" s="928"/>
      <c r="AD25" s="928"/>
      <c r="AE25" s="928"/>
      <c r="AF25" s="928"/>
      <c r="AG25" s="928"/>
      <c r="AH25" s="928"/>
      <c r="AI25" s="928"/>
      <c r="AJ25" s="928"/>
      <c r="AK25" s="928"/>
      <c r="AL25" s="928"/>
      <c r="AM25" s="928"/>
      <c r="AN25" s="928"/>
      <c r="AO25" s="928"/>
      <c r="AP25" s="928"/>
      <c r="AQ25" s="928"/>
      <c r="AR25" s="928"/>
      <c r="AS25" s="928"/>
      <c r="AT25" s="928"/>
      <c r="AU25" s="928"/>
      <c r="AV25" s="928"/>
      <c r="AW25" s="928"/>
      <c r="AX25" s="928"/>
      <c r="AY25" s="928"/>
      <c r="AZ25" s="928"/>
      <c r="BA25" s="928"/>
      <c r="BB25" s="928"/>
      <c r="BC25" s="928"/>
      <c r="BD25" s="928"/>
      <c r="BE25" s="928"/>
      <c r="BF25" s="928"/>
      <c r="BG25" s="928"/>
      <c r="BH25" s="928"/>
      <c r="BI25" s="928"/>
      <c r="BJ25" s="928"/>
      <c r="BK25" s="928"/>
      <c r="BL25" s="928"/>
      <c r="BM25" s="928"/>
      <c r="BN25" s="928"/>
      <c r="BO25" s="928"/>
      <c r="BP25" s="928"/>
      <c r="BQ25" s="928"/>
      <c r="BR25" s="928"/>
      <c r="BS25" s="928"/>
      <c r="BT25" s="928"/>
      <c r="BU25" s="928"/>
      <c r="BV25" s="928"/>
      <c r="BW25" s="928"/>
      <c r="BX25" s="928"/>
      <c r="BY25" s="928"/>
      <c r="BZ25" s="928"/>
      <c r="CA25" s="928"/>
      <c r="CB25" s="928"/>
      <c r="CC25" s="928"/>
    </row>
    <row r="26" spans="1:81" s="262" customFormat="1" ht="68.25" customHeight="1" thickBot="1" x14ac:dyDescent="0.35">
      <c r="A26" s="1205" t="s">
        <v>735</v>
      </c>
      <c r="B26" s="1206"/>
      <c r="C26" s="1207"/>
      <c r="D26" s="973" t="e">
        <f>+M26+N26+L26+Import!L250+Import!L251+Import!L254</f>
        <v>#VALUE!</v>
      </c>
      <c r="E26" s="972"/>
      <c r="F26" s="974"/>
      <c r="G26" s="949"/>
      <c r="H26" s="978" t="s">
        <v>1275</v>
      </c>
      <c r="I26" s="986" t="s">
        <v>756</v>
      </c>
      <c r="J26" s="988"/>
      <c r="K26" s="926"/>
      <c r="L26" s="947">
        <f>IF(Import!L247=1,1,0)</f>
        <v>0</v>
      </c>
      <c r="M26" s="947">
        <f>IF(Import!L248=1,1,0)</f>
        <v>0</v>
      </c>
      <c r="N26" s="947">
        <f>IF(Import!L249=1,1,0)</f>
        <v>0</v>
      </c>
      <c r="P26" s="927"/>
      <c r="Q26" s="928"/>
      <c r="R26" s="928"/>
      <c r="S26" s="928"/>
      <c r="T26" s="928"/>
      <c r="U26" s="928"/>
      <c r="V26" s="928"/>
      <c r="W26" s="928"/>
      <c r="X26" s="928"/>
      <c r="Y26" s="928"/>
      <c r="Z26" s="928"/>
      <c r="AA26" s="928"/>
      <c r="AB26" s="928"/>
      <c r="AC26" s="928"/>
      <c r="AD26" s="928"/>
      <c r="AE26" s="928"/>
      <c r="AF26" s="928"/>
      <c r="AG26" s="928"/>
      <c r="AH26" s="928"/>
      <c r="AI26" s="928"/>
      <c r="AJ26" s="928"/>
      <c r="AK26" s="928"/>
      <c r="AL26" s="928"/>
      <c r="AM26" s="928"/>
      <c r="AN26" s="928"/>
      <c r="AO26" s="928"/>
      <c r="AP26" s="928"/>
      <c r="AQ26" s="928"/>
      <c r="AR26" s="928"/>
      <c r="AS26" s="928"/>
      <c r="AT26" s="928"/>
      <c r="AU26" s="928"/>
      <c r="AV26" s="928"/>
      <c r="AW26" s="928"/>
      <c r="AX26" s="928"/>
      <c r="AY26" s="928"/>
      <c r="AZ26" s="928"/>
      <c r="BA26" s="928"/>
      <c r="BB26" s="928"/>
      <c r="BC26" s="928"/>
      <c r="BD26" s="928"/>
      <c r="BE26" s="928"/>
      <c r="BF26" s="928"/>
      <c r="BG26" s="928"/>
      <c r="BH26" s="928"/>
      <c r="BI26" s="928"/>
      <c r="BJ26" s="928"/>
      <c r="BK26" s="928"/>
      <c r="BL26" s="928"/>
      <c r="BM26" s="928"/>
      <c r="BN26" s="928"/>
      <c r="BO26" s="928"/>
      <c r="BP26" s="928"/>
      <c r="BQ26" s="928"/>
      <c r="BR26" s="928"/>
      <c r="BS26" s="928"/>
      <c r="BT26" s="928"/>
      <c r="BU26" s="928"/>
      <c r="BV26" s="928"/>
      <c r="BW26" s="928"/>
      <c r="BX26" s="928"/>
      <c r="BY26" s="928"/>
      <c r="BZ26" s="928"/>
      <c r="CA26" s="928"/>
      <c r="CB26" s="928"/>
      <c r="CC26" s="928"/>
    </row>
  </sheetData>
  <mergeCells count="31">
    <mergeCell ref="A26:C26"/>
    <mergeCell ref="A23:C23"/>
    <mergeCell ref="A24:C24"/>
    <mergeCell ref="A25:C25"/>
    <mergeCell ref="A22:C22"/>
    <mergeCell ref="I1:J1"/>
    <mergeCell ref="I2:I5"/>
    <mergeCell ref="J2:J5"/>
    <mergeCell ref="J6:J8"/>
    <mergeCell ref="A17:C17"/>
    <mergeCell ref="A6:F7"/>
    <mergeCell ref="H6:H8"/>
    <mergeCell ref="A8:D8"/>
    <mergeCell ref="A9:D9"/>
    <mergeCell ref="A10:D10"/>
    <mergeCell ref="A11:D11"/>
    <mergeCell ref="A13:C13"/>
    <mergeCell ref="A14:C14"/>
    <mergeCell ref="A15:C15"/>
    <mergeCell ref="A1:H1"/>
    <mergeCell ref="A2:H2"/>
    <mergeCell ref="A18:C18"/>
    <mergeCell ref="A19:C19"/>
    <mergeCell ref="A20:C20"/>
    <mergeCell ref="A21:C21"/>
    <mergeCell ref="A16:C16"/>
    <mergeCell ref="G3:H3"/>
    <mergeCell ref="B4:D4"/>
    <mergeCell ref="E4:F5"/>
    <mergeCell ref="H4:H5"/>
    <mergeCell ref="B5:D5"/>
  </mergeCells>
  <conditionalFormatting sqref="F14">
    <cfRule type="cellIs" dxfId="23" priority="21" operator="equal">
      <formula>"No"</formula>
    </cfRule>
  </conditionalFormatting>
  <conditionalFormatting sqref="F15">
    <cfRule type="cellIs" dxfId="22" priority="20" operator="lessThan">
      <formula>-0.03</formula>
    </cfRule>
  </conditionalFormatting>
  <conditionalFormatting sqref="F21">
    <cfRule type="cellIs" dxfId="21" priority="12" operator="equal">
      <formula>"Yes"</formula>
    </cfRule>
  </conditionalFormatting>
  <conditionalFormatting sqref="F23">
    <cfRule type="cellIs" dxfId="20" priority="19" operator="equal">
      <formula>"Yes"</formula>
    </cfRule>
  </conditionalFormatting>
  <conditionalFormatting sqref="F25">
    <cfRule type="cellIs" dxfId="19" priority="18" operator="equal">
      <formula>"Yes"</formula>
    </cfRule>
  </conditionalFormatting>
  <conditionalFormatting sqref="F19">
    <cfRule type="cellIs" dxfId="18" priority="16" operator="equal">
      <formula>"No"</formula>
    </cfRule>
  </conditionalFormatting>
  <conditionalFormatting sqref="F17">
    <cfRule type="cellIs" dxfId="17" priority="10" operator="equal">
      <formula>"Decrease"</formula>
    </cfRule>
  </conditionalFormatting>
  <conditionalFormatting sqref="F26">
    <cfRule type="expression" dxfId="16" priority="9">
      <formula>$D$26&gt;0</formula>
    </cfRule>
  </conditionalFormatting>
  <conditionalFormatting sqref="F9">
    <cfRule type="cellIs" dxfId="15" priority="2" operator="lessThan">
      <formula>$L$9&lt;0%</formula>
    </cfRule>
    <cfRule type="expression" dxfId="14" priority="117">
      <formula>"$L$9&lt;0%"</formula>
    </cfRule>
  </conditionalFormatting>
  <conditionalFormatting sqref="F10">
    <cfRule type="expression" dxfId="13" priority="6">
      <formula>$L$10&lt;0%</formula>
    </cfRule>
  </conditionalFormatting>
  <conditionalFormatting sqref="F11">
    <cfRule type="expression" dxfId="12" priority="4">
      <formula>$L$11&lt;8%</formula>
    </cfRule>
  </conditionalFormatting>
  <pageMargins left="0.25" right="0.25" top="0.05" bottom="0.05" header="0.3" footer="0.3"/>
  <pageSetup scale="65" fitToHeight="0" orientation="landscape" r:id="rId1"/>
  <rowBreaks count="1" manualBreakCount="1">
    <brk id="11" max="7"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4ED8F8-0789-47C5-8DBB-AB7B88D9B55C}">
  <sheetPr codeName="Sheet6">
    <tabColor theme="3" tint="0.79998168889431442"/>
    <pageSetUpPr fitToPage="1"/>
  </sheetPr>
  <dimension ref="A1:BZ24"/>
  <sheetViews>
    <sheetView showGridLines="0" zoomScale="80" zoomScaleNormal="80" workbookViewId="0">
      <pane ySplit="4" topLeftCell="A5" activePane="bottomLeft" state="frozen"/>
      <selection activeCell="A2" sqref="A2:H2"/>
      <selection pane="bottomLeft" activeCell="A2" sqref="A2:H2"/>
    </sheetView>
  </sheetViews>
  <sheetFormatPr defaultColWidth="9.109375" defaultRowHeight="14.4" x14ac:dyDescent="0.3"/>
  <cols>
    <col min="1" max="1" width="44.5546875" style="479" customWidth="1"/>
    <col min="2" max="2" width="17.33203125" style="479" customWidth="1"/>
    <col min="3" max="3" width="17.88671875" style="479" customWidth="1"/>
    <col min="4" max="4" width="20.88671875" style="479" customWidth="1"/>
    <col min="5" max="5" width="16.109375" style="479" customWidth="1"/>
    <col min="6" max="6" width="14.88671875" style="479" customWidth="1"/>
    <col min="7" max="7" width="46.109375" style="486" customWidth="1"/>
    <col min="8" max="8" width="77.5546875" style="479" customWidth="1"/>
    <col min="9" max="9" width="34" style="479" customWidth="1"/>
    <col min="10" max="10" width="9.109375" style="479" customWidth="1"/>
    <col min="11" max="11" width="36.88671875" style="479" customWidth="1"/>
    <col min="12" max="12" width="15" style="479" customWidth="1"/>
    <col min="13" max="13" width="11.88671875" style="479" customWidth="1"/>
    <col min="14" max="24" width="9.109375" style="479" customWidth="1"/>
    <col min="25" max="25" width="9.109375" style="288" customWidth="1"/>
    <col min="26" max="26" width="36.88671875" style="537" hidden="1" customWidth="1"/>
    <col min="27" max="16384" width="9.109375" style="479"/>
  </cols>
  <sheetData>
    <row r="1" spans="1:78" x14ac:dyDescent="0.3">
      <c r="A1" s="480" t="s">
        <v>730</v>
      </c>
      <c r="B1" s="481"/>
      <c r="C1" s="481"/>
      <c r="D1" s="481"/>
      <c r="E1" s="482" t="s">
        <v>731</v>
      </c>
      <c r="F1" s="482">
        <v>2021</v>
      </c>
      <c r="G1" s="1247"/>
      <c r="H1" s="1248"/>
      <c r="I1" s="483"/>
      <c r="Z1" s="530" t="s">
        <v>1003</v>
      </c>
    </row>
    <row r="2" spans="1:78" ht="98.25" customHeight="1" x14ac:dyDescent="0.3">
      <c r="A2" s="484" t="s">
        <v>806</v>
      </c>
      <c r="B2" s="1249" t="str">
        <f>'Unit Data from Audit Worksheet'!D2</f>
        <v>Select Unit Name from Drop Down List</v>
      </c>
      <c r="C2" s="1249"/>
      <c r="D2" s="1249"/>
      <c r="E2" s="1253" t="s">
        <v>1191</v>
      </c>
      <c r="F2" s="1253"/>
      <c r="G2" s="1253"/>
      <c r="H2" s="1250" t="s">
        <v>1010</v>
      </c>
      <c r="I2" s="485"/>
      <c r="J2" s="486"/>
      <c r="K2" s="487"/>
      <c r="Z2" s="159"/>
    </row>
    <row r="3" spans="1:78" ht="38.25" customHeight="1" x14ac:dyDescent="0.3">
      <c r="A3" s="488" t="s">
        <v>732</v>
      </c>
      <c r="B3" s="1252" t="e">
        <f>'Unit Data from Audit Worksheet'!D3</f>
        <v>#N/A</v>
      </c>
      <c r="C3" s="1252"/>
      <c r="D3" s="1252"/>
      <c r="E3" s="1254"/>
      <c r="F3" s="1254"/>
      <c r="G3" s="1254"/>
      <c r="H3" s="1251"/>
      <c r="I3" s="483"/>
      <c r="K3" s="489" t="s">
        <v>770</v>
      </c>
      <c r="Z3" s="159"/>
    </row>
    <row r="4" spans="1:78" ht="106.5" customHeight="1" x14ac:dyDescent="0.3">
      <c r="A4" s="544"/>
      <c r="B4" s="545">
        <v>2019</v>
      </c>
      <c r="C4" s="545">
        <v>2020</v>
      </c>
      <c r="D4" s="545">
        <v>2021</v>
      </c>
      <c r="E4" s="546" t="s">
        <v>1008</v>
      </c>
      <c r="F4" s="545" t="s">
        <v>737</v>
      </c>
      <c r="G4" s="547"/>
      <c r="H4" s="545" t="s">
        <v>733</v>
      </c>
      <c r="I4" s="546" t="s">
        <v>1049</v>
      </c>
      <c r="J4" s="490"/>
      <c r="Z4" s="159"/>
    </row>
    <row r="5" spans="1:78" x14ac:dyDescent="0.3">
      <c r="A5" s="540" t="s">
        <v>416</v>
      </c>
      <c r="B5" s="541"/>
      <c r="C5" s="541"/>
      <c r="D5" s="541"/>
      <c r="E5" s="542"/>
      <c r="F5" s="539"/>
      <c r="G5" s="542"/>
      <c r="H5" s="541"/>
      <c r="I5" s="543"/>
      <c r="J5" s="490"/>
      <c r="K5" s="492">
        <f>+(Import!$L$72+Import!$L$77+Import!$L$74-Import!$L$75-Import!$L$76)</f>
        <v>0</v>
      </c>
      <c r="L5" s="479" t="s">
        <v>815</v>
      </c>
      <c r="Z5" s="532"/>
    </row>
    <row r="6" spans="1:78" ht="143.25" customHeight="1" x14ac:dyDescent="0.3">
      <c r="A6" s="384" t="s">
        <v>558</v>
      </c>
      <c r="B6" s="380" t="e">
        <f>HLOOKUP($B$2,'2019 Data(H)'!$E$1:$AJ$426,291,FALSE)</f>
        <v>#N/A</v>
      </c>
      <c r="C6" s="380" t="e">
        <f>HLOOKUP($B$2,'2020 Data(H)'!$E$1:$AI$426,339,FALSE)</f>
        <v>#N/A</v>
      </c>
      <c r="D6" s="380" t="str">
        <f>IFERROR((Import!$L$52+Import!$L$53-Import!$L$57-Import!$L$58-Import!$L$230-Import!$L$62+Import!$L$89)/(Import!$L$72+Import!$L$77+Import!$L$74-Import!$L$75-Import!$L$76),"")</f>
        <v/>
      </c>
      <c r="E6" s="517" t="b">
        <f>IF(K5&gt;10000000,"25% -- Average of similar units is 46%",IF(K5&gt;999999,"34% -- Average of similar units is 63%",IF(K5&gt;99999,"71% -- Average of similar units is 132%",IF(K5&gt;1,"100 %-- Average of similar units is 260%"))))</f>
        <v>0</v>
      </c>
      <c r="F6" s="900"/>
      <c r="G6" s="909" t="s">
        <v>1163</v>
      </c>
      <c r="H6" s="889" t="s">
        <v>1192</v>
      </c>
      <c r="I6" s="516"/>
      <c r="J6" s="490"/>
      <c r="K6" s="493" t="b">
        <f>IF($K$5&gt;10000000,"25%",IF($K$5&gt;999999,"34%",IF($K$5&gt;99999,"71%",IF($K$5&gt;1,"100%"))))</f>
        <v>0</v>
      </c>
      <c r="L6" s="494" t="e">
        <f>+D6-K6</f>
        <v>#VALUE!</v>
      </c>
      <c r="Z6" s="159" t="s">
        <v>1004</v>
      </c>
    </row>
    <row r="7" spans="1:78" ht="22.5" customHeight="1" x14ac:dyDescent="0.3">
      <c r="A7" s="384"/>
      <c r="B7" s="382"/>
      <c r="C7" s="382"/>
      <c r="D7" s="382"/>
      <c r="E7" s="517"/>
      <c r="F7" s="383"/>
      <c r="G7" s="515"/>
      <c r="H7" s="513"/>
      <c r="I7" s="918"/>
      <c r="J7" s="490"/>
      <c r="K7" s="518"/>
      <c r="L7" s="494"/>
      <c r="Z7" s="159"/>
    </row>
    <row r="8" spans="1:78" ht="137.25" customHeight="1" x14ac:dyDescent="0.3">
      <c r="A8" s="898" t="s">
        <v>1196</v>
      </c>
      <c r="B8" s="899" t="e">
        <f>HLOOKUP($B$3,'2019 Data(H)'!$F$2:$DA$299,290,FALSE)</f>
        <v>#N/A</v>
      </c>
      <c r="C8" s="899" t="e">
        <f>HLOOKUP($B$2,'2020 Data(H)'!$E$1:$AI$426,339,FALSE)</f>
        <v>#N/A</v>
      </c>
      <c r="D8" s="899" t="str">
        <f>IFERROR((Import!$L$52+Import!$L$53-Import!$L$57-Import!$L$58-Import!$L$230-Import!$L$62+Import!$L$89)/(Import!$L$72+Import!$L$77+Import!$L$74-Import!$L$75-Import!$L$76),"")</f>
        <v/>
      </c>
      <c r="E8" s="915" t="str">
        <f>IF($K$5&gt;99999999,"16%--Median of simiar units is 32%","20%--Median of similar units is 39%")</f>
        <v>20%--Median of similar units is 39%</v>
      </c>
      <c r="F8" s="900"/>
      <c r="G8" s="910" t="s">
        <v>738</v>
      </c>
      <c r="H8" s="911" t="s">
        <v>977</v>
      </c>
      <c r="I8" s="901"/>
      <c r="J8" s="490"/>
      <c r="K8" s="533">
        <f>IF($K$5&gt;99999999,16%,20%)</f>
        <v>0.2</v>
      </c>
      <c r="L8" s="494" t="e">
        <f>+D8-K8</f>
        <v>#VALUE!</v>
      </c>
      <c r="Z8" s="159" t="s">
        <v>1164</v>
      </c>
    </row>
    <row r="9" spans="1:78" ht="120" customHeight="1" x14ac:dyDescent="0.3">
      <c r="A9" s="897" t="s">
        <v>1198</v>
      </c>
      <c r="B9" s="1047" t="e">
        <f>HLOOKUP($B$3,'2019 Data(H)'!$F$2:$DA$299,290,FALSE)</f>
        <v>#N/A</v>
      </c>
      <c r="C9" s="899" t="e">
        <f>HLOOKUP($B$2,'2020 Data(H)'!$E$1:$AI$426,339,FALSE)</f>
        <v>#N/A</v>
      </c>
      <c r="D9" s="899" t="str">
        <f>IFERROR((Import!$L$52+Import!$L$53-Import!$L$57-Import!$L$58-Import!$L$230-Import!$L$62+Import!$L$89)/(Import!$L$72+Import!$L$77+Import!$L$74-Import!$L$75-Import!$L$76),"")</f>
        <v/>
      </c>
      <c r="E9" s="915">
        <v>0.08</v>
      </c>
      <c r="F9" s="900" t="str">
        <f>+K9</f>
        <v/>
      </c>
      <c r="G9" s="910" t="s">
        <v>738</v>
      </c>
      <c r="H9" s="911" t="s">
        <v>1194</v>
      </c>
      <c r="I9" s="512"/>
      <c r="J9" s="490"/>
      <c r="K9" s="899" t="str">
        <f>+IF(D9&gt;7.9999%,D9,"Less than 8%")</f>
        <v/>
      </c>
      <c r="L9" s="494"/>
      <c r="Z9" s="159"/>
    </row>
    <row r="10" spans="1:78" ht="152.25" customHeight="1" thickBot="1" x14ac:dyDescent="0.35">
      <c r="A10" s="897" t="s">
        <v>764</v>
      </c>
      <c r="B10" s="544"/>
      <c r="C10" s="544"/>
      <c r="D10" s="902">
        <f>+Import!L65</f>
        <v>0</v>
      </c>
      <c r="E10" s="903"/>
      <c r="F10" s="902">
        <f>+D10</f>
        <v>0</v>
      </c>
      <c r="G10" s="523" t="s">
        <v>765</v>
      </c>
      <c r="H10" s="523" t="s">
        <v>979</v>
      </c>
      <c r="I10" s="511"/>
      <c r="J10" s="490"/>
      <c r="Z10" s="159" t="s">
        <v>1165</v>
      </c>
    </row>
    <row r="11" spans="1:78" ht="78" customHeight="1" x14ac:dyDescent="0.3">
      <c r="A11" s="531" t="s">
        <v>418</v>
      </c>
      <c r="B11" s="281">
        <f>+B4</f>
        <v>2019</v>
      </c>
      <c r="C11" s="281">
        <f>+C4</f>
        <v>2020</v>
      </c>
      <c r="D11" s="281">
        <f>+D4</f>
        <v>2021</v>
      </c>
      <c r="E11" s="498"/>
      <c r="F11" s="499"/>
      <c r="G11" s="1255" t="s">
        <v>1009</v>
      </c>
      <c r="H11" s="1256"/>
      <c r="I11" s="514"/>
      <c r="J11" s="490"/>
      <c r="K11" s="500" t="e">
        <f>HLOOKUP($B$3,'2019 Data(H)'!$F$2:$DA$305,244,FALSE)</f>
        <v>#N/A</v>
      </c>
      <c r="L11" s="500" t="e">
        <f>HLOOKUP(B3,'2020 Data(H)'!E2:AI350,244,FALSE)</f>
        <v>#N/A</v>
      </c>
      <c r="M11" s="500" t="e">
        <f>Import!L268</f>
        <v>#N/A</v>
      </c>
      <c r="N11" s="501"/>
      <c r="O11" s="501"/>
      <c r="P11" s="501"/>
      <c r="Q11" s="501"/>
      <c r="R11" s="501"/>
      <c r="S11" s="501"/>
      <c r="T11" s="501"/>
      <c r="U11" s="501"/>
      <c r="V11" s="501"/>
      <c r="W11" s="501"/>
      <c r="X11" s="501"/>
      <c r="Z11" s="159"/>
      <c r="AA11" s="501"/>
      <c r="AB11" s="501"/>
      <c r="AC11" s="501"/>
      <c r="AD11" s="501"/>
      <c r="AE11" s="501"/>
      <c r="AF11" s="501"/>
      <c r="AG11" s="501"/>
      <c r="AH11" s="501"/>
      <c r="AI11" s="501"/>
      <c r="AJ11" s="501"/>
      <c r="AK11" s="501"/>
      <c r="AL11" s="501"/>
      <c r="AM11" s="501"/>
      <c r="AN11" s="501"/>
      <c r="AO11" s="501"/>
      <c r="AP11" s="501"/>
      <c r="AQ11" s="501"/>
      <c r="AR11" s="501"/>
      <c r="AS11" s="501"/>
      <c r="AT11" s="501"/>
      <c r="AU11" s="501"/>
      <c r="AV11" s="501"/>
      <c r="AW11" s="501"/>
      <c r="AX11" s="501"/>
      <c r="AY11" s="501"/>
      <c r="AZ11" s="501"/>
      <c r="BA11" s="501"/>
      <c r="BB11" s="501"/>
      <c r="BC11" s="501"/>
      <c r="BD11" s="501"/>
      <c r="BE11" s="501"/>
      <c r="BF11" s="501"/>
      <c r="BG11" s="501"/>
      <c r="BH11" s="501"/>
      <c r="BI11" s="501"/>
      <c r="BJ11" s="501"/>
      <c r="BK11" s="501"/>
      <c r="BL11" s="501"/>
      <c r="BM11" s="501"/>
      <c r="BN11" s="501"/>
      <c r="BO11" s="501"/>
      <c r="BP11" s="501"/>
      <c r="BQ11" s="501"/>
      <c r="BR11" s="501"/>
      <c r="BS11" s="501"/>
      <c r="BT11" s="501"/>
      <c r="BU11" s="501"/>
      <c r="BV11" s="501"/>
      <c r="BW11" s="501"/>
      <c r="BX11" s="501"/>
      <c r="BY11" s="501"/>
      <c r="BZ11" s="501"/>
    </row>
    <row r="12" spans="1:78" ht="119.4" customHeight="1" x14ac:dyDescent="0.3">
      <c r="A12" s="388" t="s">
        <v>415</v>
      </c>
      <c r="B12" s="521" t="e">
        <f>IF(K11=0,"Not Applicable",(K12))</f>
        <v>#N/A</v>
      </c>
      <c r="C12" s="521" t="e">
        <f>IF(L11=0,"Not Applicable",(L12))</f>
        <v>#N/A</v>
      </c>
      <c r="D12" s="521" t="e">
        <f>IF(M11=0,"Not Applicable",M12)</f>
        <v>#N/A</v>
      </c>
      <c r="E12" s="522" t="s">
        <v>734</v>
      </c>
      <c r="F12" s="892" t="str">
        <f>M12</f>
        <v/>
      </c>
      <c r="G12" s="522" t="s">
        <v>739</v>
      </c>
      <c r="H12" s="523" t="s">
        <v>767</v>
      </c>
      <c r="I12" s="516"/>
      <c r="J12" s="490"/>
      <c r="K12" s="500" t="e">
        <f>HLOOKUP($B$3,'2019 Data(H)'!$F$2:$DA$305,299,FALSE)</f>
        <v>#N/A</v>
      </c>
      <c r="L12" s="500" t="e">
        <f>HLOOKUP(B2,'2020 Data(H)'!E1:K426,347,FALSE)</f>
        <v>#N/A</v>
      </c>
      <c r="M12" s="502" t="str">
        <f>IFERROR((Import!$L$120-Import!$L$121-Import!$L$118-Import!$L$119)/(Import!$L$124-Import!$L$125-Import!$L$126-Import!$L$127-Import!$L$128-Import!$L$129-Import!$L$123),"")</f>
        <v/>
      </c>
      <c r="Z12" s="159" t="s">
        <v>1005</v>
      </c>
    </row>
    <row r="13" spans="1:78" ht="69.599999999999994" customHeight="1" x14ac:dyDescent="0.3">
      <c r="A13" s="388" t="s">
        <v>775</v>
      </c>
      <c r="B13" s="524" t="e">
        <f>IF(K11=0,"Not Applicable",K13)</f>
        <v>#N/A</v>
      </c>
      <c r="C13" s="386" t="e">
        <f>IF(L11=0,"Not Applicable",L13)</f>
        <v>#N/A</v>
      </c>
      <c r="D13" s="525" t="e">
        <f>IF(M11=0,"Not Applicable",M13)</f>
        <v>#N/A</v>
      </c>
      <c r="E13" s="522" t="s">
        <v>1013</v>
      </c>
      <c r="F13" s="893" t="e">
        <f>D13</f>
        <v>#N/A</v>
      </c>
      <c r="G13" s="522" t="s">
        <v>776</v>
      </c>
      <c r="H13" s="523" t="s">
        <v>768</v>
      </c>
      <c r="I13" s="516"/>
      <c r="J13" s="490"/>
      <c r="K13" s="260" t="e">
        <f>HLOOKUP(B3,'2019 Data(H)'!F2:CC305,300,FALSE)</f>
        <v>#N/A</v>
      </c>
      <c r="L13" s="260" t="e">
        <f>HLOOKUP(B2,'2020 Data(H)'!F1:AI426,348,FALSE)</f>
        <v>#N/A</v>
      </c>
      <c r="M13" s="885">
        <f>+Import!$L$153-Import!$L$155+Import!$L$154-Import!$L$182</f>
        <v>0</v>
      </c>
      <c r="Z13" s="159" t="s">
        <v>1005</v>
      </c>
    </row>
    <row r="14" spans="1:78" ht="109.95" customHeight="1" x14ac:dyDescent="0.3">
      <c r="A14" s="388" t="s">
        <v>798</v>
      </c>
      <c r="B14" s="387" t="e">
        <f>IF(K11=0,"Not Applicable",K14)</f>
        <v>#N/A</v>
      </c>
      <c r="C14" s="387" t="e">
        <f>IF(L11=0,"Not Applicable",L14)</f>
        <v>#N/A</v>
      </c>
      <c r="D14" s="387" t="e">
        <f>IF(M11=0,"Not Applicable",M14)</f>
        <v>#N/A</v>
      </c>
      <c r="E14" s="522" t="s">
        <v>1188</v>
      </c>
      <c r="F14" s="381" t="e">
        <f>D14</f>
        <v>#N/A</v>
      </c>
      <c r="G14" s="522" t="s">
        <v>777</v>
      </c>
      <c r="H14" s="523" t="s">
        <v>978</v>
      </c>
      <c r="I14" s="516"/>
      <c r="J14" s="490"/>
      <c r="K14" s="261" t="e">
        <f>HLOOKUP(B3,'2019 Data(H)'!F2:DA305,301,FALSE)</f>
        <v>#N/A</v>
      </c>
      <c r="L14" s="261" t="e">
        <f>HLOOKUP(B2,'2020 Data(H)'!F1:AI426,349,FALSE)</f>
        <v>#N/A</v>
      </c>
      <c r="M14" s="261" t="str">
        <f>IFERROR(Import!L116/(Import!L155+Import!L158-Import!L154+Import!L182),"")</f>
        <v/>
      </c>
      <c r="Z14" s="159" t="s">
        <v>1005</v>
      </c>
    </row>
    <row r="15" spans="1:78" ht="99.75" customHeight="1" thickBot="1" x14ac:dyDescent="0.35">
      <c r="A15" s="1245" t="s">
        <v>1189</v>
      </c>
      <c r="B15" s="1246"/>
      <c r="C15" s="1246"/>
      <c r="D15" s="886" t="str">
        <f>IF(K15&lt;0,"Yes","No")</f>
        <v>No</v>
      </c>
      <c r="E15" s="917"/>
      <c r="F15" s="887" t="str">
        <f>D15</f>
        <v>No</v>
      </c>
      <c r="G15" s="519" t="s">
        <v>1190</v>
      </c>
      <c r="H15" s="526" t="s">
        <v>769</v>
      </c>
      <c r="I15" s="520"/>
      <c r="J15" s="490"/>
      <c r="K15" s="280">
        <f>((Import!L158+Import!L155)*0.03)-Import!L161</f>
        <v>0</v>
      </c>
      <c r="Z15" s="159" t="s">
        <v>1005</v>
      </c>
    </row>
    <row r="16" spans="1:78" ht="37.5" customHeight="1" thickBot="1" x14ac:dyDescent="0.35">
      <c r="A16" s="279"/>
      <c r="B16" s="495"/>
      <c r="C16" s="495"/>
      <c r="D16" s="495"/>
      <c r="E16" s="496"/>
      <c r="F16" s="495"/>
      <c r="G16" s="497"/>
      <c r="H16" s="495"/>
      <c r="I16" s="495"/>
      <c r="Z16" s="534"/>
    </row>
    <row r="17" spans="1:26" ht="116.25" customHeight="1" thickBot="1" x14ac:dyDescent="0.35">
      <c r="A17" s="491" t="s">
        <v>417</v>
      </c>
      <c r="B17" s="282">
        <f>+B4</f>
        <v>2019</v>
      </c>
      <c r="C17" s="282">
        <f>+C4</f>
        <v>2020</v>
      </c>
      <c r="D17" s="282">
        <f>+D4</f>
        <v>2021</v>
      </c>
      <c r="E17" s="503"/>
      <c r="F17" s="504"/>
      <c r="G17" s="538" t="s">
        <v>797</v>
      </c>
      <c r="H17" s="890" t="s">
        <v>766</v>
      </c>
      <c r="I17" s="505"/>
      <c r="J17" s="490"/>
      <c r="K17" s="500" t="e">
        <f>HLOOKUP(B3,'2019 Data(H)'!F2:DA310,243,FALSE)</f>
        <v>#N/A</v>
      </c>
      <c r="L17" s="263" t="e">
        <f>HLOOKUP(B3,'2020 Data(H)'!E2:AI350,243,FALSE)</f>
        <v>#N/A</v>
      </c>
      <c r="M17" s="506" t="e">
        <f>+Import!L267</f>
        <v>#N/A</v>
      </c>
      <c r="Z17" s="532"/>
    </row>
    <row r="18" spans="1:26" ht="78" customHeight="1" x14ac:dyDescent="0.3">
      <c r="A18" s="283" t="s">
        <v>415</v>
      </c>
      <c r="B18" s="507" t="e">
        <f>IF(K17=0,"Not Applicable",K18)</f>
        <v>#N/A</v>
      </c>
      <c r="C18" s="507" t="e">
        <f>IF(L17=0,"Not Applicable",L18)</f>
        <v>#N/A</v>
      </c>
      <c r="D18" s="507" t="e">
        <f>IF(M17=0,"Not Applicable",M18)</f>
        <v>#N/A</v>
      </c>
      <c r="E18" s="522" t="s">
        <v>734</v>
      </c>
      <c r="F18" s="894" t="str">
        <f>+M18</f>
        <v/>
      </c>
      <c r="G18" s="905" t="s">
        <v>784</v>
      </c>
      <c r="H18" s="906" t="s">
        <v>767</v>
      </c>
      <c r="I18" s="516"/>
      <c r="J18" s="490"/>
      <c r="K18" s="263" t="e">
        <f>HLOOKUP(B3,'2019 Data(H)'!F2:DA310,302,FALSE)</f>
        <v>#N/A</v>
      </c>
      <c r="L18" s="500" t="e">
        <f>HLOOKUP(B2,'2020 Data(H)'!F1:AI426,350,FALSE)</f>
        <v>#N/A</v>
      </c>
      <c r="M18" s="500" t="str">
        <f>IFERROR((Import!L138-Import!L139-Import!L137-Import!L136)/(Import!L143-Import!L144-Import!L145-Import!L146-Import!L147-Import!L148-Import!L142),"")</f>
        <v/>
      </c>
      <c r="Z18" s="535" t="s">
        <v>1006</v>
      </c>
    </row>
    <row r="19" spans="1:26" ht="60.75" customHeight="1" x14ac:dyDescent="0.3">
      <c r="A19" s="277" t="s">
        <v>775</v>
      </c>
      <c r="B19" s="368" t="e">
        <f>IF(K17=0,"Not Applicable",K19)</f>
        <v>#N/A</v>
      </c>
      <c r="C19" s="368" t="e">
        <f>IF(L17=0,"Not Applicable",L19)</f>
        <v>#N/A</v>
      </c>
      <c r="D19" s="368" t="e">
        <f>IF(M17=0,"Not Applicable",M19)</f>
        <v>#N/A</v>
      </c>
      <c r="E19" s="522" t="s">
        <v>1013</v>
      </c>
      <c r="F19" s="895" t="e">
        <f>D19</f>
        <v>#N/A</v>
      </c>
      <c r="G19" s="905" t="s">
        <v>778</v>
      </c>
      <c r="H19" s="906" t="s">
        <v>768</v>
      </c>
      <c r="I19" s="516"/>
      <c r="J19" s="490"/>
      <c r="K19" s="260" t="e">
        <f>HLOOKUP(B3,'2019 Data(H)'!F2:DA310,303,FALSE)</f>
        <v>#N/A</v>
      </c>
      <c r="L19" s="260" t="e">
        <f>HLOOKUP(B2,'2020 Data(H)'!F1:AI426,351,FALSE)</f>
        <v>#N/A</v>
      </c>
      <c r="M19" s="260">
        <f>+Import!L168-Import!L171+Import!L170-Import!L185</f>
        <v>0</v>
      </c>
      <c r="Z19" s="535" t="s">
        <v>1006</v>
      </c>
    </row>
    <row r="20" spans="1:26" ht="88.5" customHeight="1" thickBot="1" x14ac:dyDescent="0.35">
      <c r="A20" s="284" t="s">
        <v>798</v>
      </c>
      <c r="B20" s="369" t="e">
        <f>IF(K17=0,"Not Applicable",K20)</f>
        <v>#N/A</v>
      </c>
      <c r="C20" s="369" t="e">
        <f>IF(L17=0,"Not Applicable",L20)</f>
        <v>#N/A</v>
      </c>
      <c r="D20" s="369" t="e">
        <f>IF(M17=0,"Not Applicable",M20)</f>
        <v>#N/A</v>
      </c>
      <c r="E20" s="916" t="s">
        <v>1188</v>
      </c>
      <c r="F20" s="896" t="str">
        <f>+M20</f>
        <v/>
      </c>
      <c r="G20" s="908" t="s">
        <v>788</v>
      </c>
      <c r="H20" s="907" t="s">
        <v>978</v>
      </c>
      <c r="I20" s="520"/>
      <c r="J20" s="490"/>
      <c r="K20" s="261" t="e">
        <f>HLOOKUP(B3,'2019 Data(H)'!F2:DA310,304,FALSE)</f>
        <v>#N/A</v>
      </c>
      <c r="L20" s="261" t="e">
        <f>HLOOKUP(B2,'2020 Data(H)'!F1:AI426,352,FALSE)</f>
        <v>#N/A</v>
      </c>
      <c r="M20" s="261" t="str">
        <f>IFERROR(Import!L134/(Import!L174+Import!L171-Import!L170+Import!L185),"")</f>
        <v/>
      </c>
      <c r="Z20" s="535" t="s">
        <v>1006</v>
      </c>
    </row>
    <row r="21" spans="1:26" ht="15.75" customHeight="1" x14ac:dyDescent="0.3">
      <c r="A21" s="389"/>
      <c r="B21" s="390"/>
      <c r="C21" s="390"/>
      <c r="D21" s="390"/>
      <c r="E21" s="527"/>
      <c r="F21" s="528"/>
      <c r="G21" s="529"/>
      <c r="H21" s="529"/>
      <c r="I21" s="913"/>
      <c r="J21" s="490"/>
      <c r="K21" s="261"/>
      <c r="L21" s="261"/>
      <c r="M21" s="261"/>
      <c r="Z21" s="535"/>
    </row>
    <row r="22" spans="1:26" ht="50.25" customHeight="1" x14ac:dyDescent="0.3">
      <c r="A22" s="914" t="s">
        <v>1011</v>
      </c>
      <c r="B22" s="390"/>
      <c r="C22" s="390"/>
      <c r="D22" s="390"/>
      <c r="E22" s="527"/>
      <c r="F22" s="528"/>
      <c r="G22" s="529"/>
      <c r="H22" s="529"/>
      <c r="I22" s="913"/>
      <c r="J22" s="490"/>
      <c r="K22" s="261"/>
      <c r="L22" s="261"/>
      <c r="M22" s="261"/>
      <c r="Z22" s="535"/>
    </row>
    <row r="23" spans="1:26" ht="88.5" customHeight="1" x14ac:dyDescent="0.3">
      <c r="A23" s="385" t="s">
        <v>415</v>
      </c>
      <c r="B23" s="391"/>
      <c r="C23" s="391"/>
      <c r="D23" s="920" t="str">
        <f>+M23</f>
        <v/>
      </c>
      <c r="E23" s="522" t="s">
        <v>734</v>
      </c>
      <c r="F23" s="919" t="str">
        <f>+M23</f>
        <v/>
      </c>
      <c r="G23" s="523" t="s">
        <v>1195</v>
      </c>
      <c r="H23" s="523" t="s">
        <v>767</v>
      </c>
      <c r="I23" s="512"/>
      <c r="J23" s="490"/>
      <c r="K23" s="261">
        <v>1000</v>
      </c>
      <c r="L23" s="261"/>
      <c r="M23" s="912" t="str">
        <f>IFERROR((+Import!L94-Import!L93)/Import!L95,"")</f>
        <v/>
      </c>
      <c r="Z23" s="535" t="s">
        <v>1012</v>
      </c>
    </row>
    <row r="24" spans="1:26" x14ac:dyDescent="0.3">
      <c r="A24" s="278"/>
      <c r="B24" s="508"/>
      <c r="C24" s="508"/>
      <c r="D24" s="508"/>
      <c r="E24" s="509"/>
      <c r="F24" s="508"/>
      <c r="G24" s="510"/>
      <c r="H24" s="508"/>
      <c r="I24" s="508"/>
      <c r="M24" s="267"/>
      <c r="Z24" s="536"/>
    </row>
  </sheetData>
  <mergeCells count="7">
    <mergeCell ref="A15:C15"/>
    <mergeCell ref="G1:H1"/>
    <mergeCell ref="B2:D2"/>
    <mergeCell ref="H2:H3"/>
    <mergeCell ref="B3:D3"/>
    <mergeCell ref="E2:G3"/>
    <mergeCell ref="G11:H11"/>
  </mergeCells>
  <conditionalFormatting sqref="F12">
    <cfRule type="cellIs" dxfId="11" priority="50" operator="lessThan">
      <formula>1</formula>
    </cfRule>
  </conditionalFormatting>
  <conditionalFormatting sqref="F13">
    <cfRule type="cellIs" dxfId="10" priority="49" operator="lessThan">
      <formula>0</formula>
    </cfRule>
  </conditionalFormatting>
  <conditionalFormatting sqref="F14">
    <cfRule type="cellIs" dxfId="9" priority="48" operator="lessThan">
      <formula>0.16</formula>
    </cfRule>
  </conditionalFormatting>
  <conditionalFormatting sqref="F18">
    <cfRule type="cellIs" dxfId="8" priority="43" operator="lessThan">
      <formula>1</formula>
    </cfRule>
  </conditionalFormatting>
  <conditionalFormatting sqref="F19">
    <cfRule type="cellIs" dxfId="7" priority="42" operator="lessThan">
      <formula>0</formula>
    </cfRule>
  </conditionalFormatting>
  <conditionalFormatting sqref="F20">
    <cfRule type="cellIs" dxfId="6" priority="41" operator="lessThan">
      <formula>0.16</formula>
    </cfRule>
  </conditionalFormatting>
  <conditionalFormatting sqref="F10">
    <cfRule type="cellIs" dxfId="5" priority="30" operator="lessThan">
      <formula>0</formula>
    </cfRule>
  </conditionalFormatting>
  <conditionalFormatting sqref="F15">
    <cfRule type="cellIs" dxfId="4" priority="8" operator="equal">
      <formula>"Yes"</formula>
    </cfRule>
  </conditionalFormatting>
  <conditionalFormatting sqref="F9">
    <cfRule type="cellIs" dxfId="3" priority="6" operator="equal">
      <formula>"Less than 8%"</formula>
    </cfRule>
  </conditionalFormatting>
  <conditionalFormatting sqref="F23">
    <cfRule type="cellIs" dxfId="2" priority="5" operator="lessThan">
      <formula>1</formula>
    </cfRule>
  </conditionalFormatting>
  <conditionalFormatting sqref="F8">
    <cfRule type="cellIs" dxfId="1" priority="3" operator="lessThan">
      <formula>$L$8&lt;0%</formula>
    </cfRule>
  </conditionalFormatting>
  <conditionalFormatting sqref="F6">
    <cfRule type="cellIs" dxfId="0" priority="1" operator="lessThan">
      <formula>$L$8&lt;0%</formula>
    </cfRule>
  </conditionalFormatting>
  <pageMargins left="0.25" right="0.25" top="0.75" bottom="0.75" header="0.3" footer="0.3"/>
  <pageSetup scale="47"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8">
    <tabColor theme="3" tint="0.79998168889431442"/>
  </sheetPr>
  <dimension ref="A2:H41"/>
  <sheetViews>
    <sheetView showGridLines="0" workbookViewId="0">
      <selection activeCell="A2" sqref="A2:H2"/>
    </sheetView>
  </sheetViews>
  <sheetFormatPr defaultColWidth="9.109375" defaultRowHeight="14.4" x14ac:dyDescent="0.3"/>
  <cols>
    <col min="1" max="1" width="9.109375" style="288"/>
    <col min="2" max="2" width="10.44140625" style="288" bestFit="1" customWidth="1"/>
    <col min="3" max="3" width="29.88671875" style="288" customWidth="1"/>
    <col min="4" max="4" width="40.5546875" style="288" customWidth="1"/>
    <col min="5" max="5" width="3.6640625" style="288" customWidth="1"/>
    <col min="6" max="6" width="13.44140625" style="288" customWidth="1"/>
    <col min="7" max="7" width="3.5546875" style="288" customWidth="1"/>
    <col min="8" max="8" width="14.109375" style="288" customWidth="1"/>
    <col min="9" max="16384" width="9.109375" style="288"/>
  </cols>
  <sheetData>
    <row r="2" spans="1:8" ht="54.75" customHeight="1" x14ac:dyDescent="0.3">
      <c r="A2" s="1260" t="s">
        <v>112</v>
      </c>
      <c r="B2" s="1260"/>
      <c r="C2" s="1260"/>
      <c r="D2" s="1260"/>
      <c r="E2" s="1260"/>
      <c r="F2" s="440"/>
      <c r="G2" s="440"/>
      <c r="H2" s="441"/>
    </row>
    <row r="4" spans="1:8" ht="15.6" x14ac:dyDescent="0.3">
      <c r="A4" s="441"/>
      <c r="B4" s="442" t="str">
        <f>'Unit Data from Audit Worksheet'!D2</f>
        <v>Select Unit Name from Drop Down List</v>
      </c>
      <c r="C4" s="443"/>
      <c r="D4" s="19"/>
      <c r="E4" s="20"/>
      <c r="F4" s="444">
        <f>'Unit Data from Audit Worksheet'!F5</f>
        <v>2021</v>
      </c>
      <c r="G4" s="441"/>
      <c r="H4" s="444">
        <f>'Unit Data from Audit Worksheet'!F5</f>
        <v>2021</v>
      </c>
    </row>
    <row r="5" spans="1:8" ht="41.4" x14ac:dyDescent="0.4">
      <c r="A5" s="445"/>
      <c r="B5" s="446" t="s">
        <v>72</v>
      </c>
      <c r="C5" s="445"/>
      <c r="D5" s="445"/>
      <c r="E5" s="445"/>
      <c r="F5" s="444" t="s">
        <v>73</v>
      </c>
      <c r="G5" s="445"/>
      <c r="H5" s="447" t="s">
        <v>74</v>
      </c>
    </row>
    <row r="6" spans="1:8" x14ac:dyDescent="0.3">
      <c r="A6" s="441"/>
      <c r="B6" s="448" t="s">
        <v>75</v>
      </c>
      <c r="C6" s="441"/>
      <c r="D6" s="449"/>
      <c r="E6" s="449"/>
      <c r="F6" s="449"/>
      <c r="G6" s="449"/>
      <c r="H6" s="449"/>
    </row>
    <row r="7" spans="1:8" x14ac:dyDescent="0.3">
      <c r="A7" s="441"/>
      <c r="B7" s="449" t="s">
        <v>76</v>
      </c>
      <c r="C7" s="441"/>
      <c r="D7" s="449"/>
      <c r="E7" s="449" t="s">
        <v>31</v>
      </c>
      <c r="F7" s="450">
        <f>Import!L52</f>
        <v>0</v>
      </c>
      <c r="G7" s="451"/>
      <c r="H7" s="450">
        <f>F7</f>
        <v>0</v>
      </c>
    </row>
    <row r="8" spans="1:8" ht="44.25" customHeight="1" x14ac:dyDescent="0.3">
      <c r="A8" s="441"/>
      <c r="B8" s="1257" t="s">
        <v>77</v>
      </c>
      <c r="C8" s="1257"/>
      <c r="D8" s="1257"/>
      <c r="E8" s="449" t="s">
        <v>31</v>
      </c>
      <c r="F8" s="452">
        <f>Import!L53</f>
        <v>0</v>
      </c>
      <c r="G8" s="453"/>
      <c r="H8" s="453"/>
    </row>
    <row r="9" spans="1:8" x14ac:dyDescent="0.3">
      <c r="A9" s="441"/>
      <c r="B9" s="441"/>
      <c r="C9" s="449" t="s">
        <v>181</v>
      </c>
      <c r="D9" s="441"/>
      <c r="E9" s="449" t="s">
        <v>31</v>
      </c>
      <c r="F9" s="454">
        <f>Import!L57</f>
        <v>0</v>
      </c>
      <c r="G9" s="453"/>
      <c r="H9" s="439">
        <f>F9</f>
        <v>0</v>
      </c>
    </row>
    <row r="10" spans="1:8" x14ac:dyDescent="0.3">
      <c r="A10" s="441"/>
      <c r="B10" s="441"/>
      <c r="C10" s="449" t="s">
        <v>78</v>
      </c>
      <c r="D10" s="441"/>
      <c r="E10" s="449" t="s">
        <v>31</v>
      </c>
      <c r="F10" s="439">
        <f>Import!L230</f>
        <v>0</v>
      </c>
      <c r="G10" s="453"/>
      <c r="H10" s="439">
        <f>F10</f>
        <v>0</v>
      </c>
    </row>
    <row r="11" spans="1:8" x14ac:dyDescent="0.3">
      <c r="A11" s="441"/>
      <c r="B11" s="441"/>
      <c r="C11" s="449" t="s">
        <v>79</v>
      </c>
      <c r="D11" s="441"/>
      <c r="E11" s="449" t="s">
        <v>31</v>
      </c>
      <c r="F11" s="455">
        <f>Import!L58</f>
        <v>0</v>
      </c>
      <c r="G11" s="456"/>
      <c r="H11" s="455">
        <f>F11</f>
        <v>0</v>
      </c>
    </row>
    <row r="12" spans="1:8" x14ac:dyDescent="0.3">
      <c r="A12" s="441"/>
      <c r="B12" s="21" t="s">
        <v>80</v>
      </c>
      <c r="C12" s="457" t="s">
        <v>81</v>
      </c>
      <c r="D12" s="458"/>
      <c r="E12" s="459" t="s">
        <v>31</v>
      </c>
      <c r="F12" s="460">
        <f>F7+F8-SUM(F9:F11)</f>
        <v>0</v>
      </c>
      <c r="G12" s="461"/>
      <c r="H12" s="460">
        <f>H7+H8-SUM(H9:H11)</f>
        <v>0</v>
      </c>
    </row>
    <row r="13" spans="1:8" x14ac:dyDescent="0.3">
      <c r="A13" s="441"/>
      <c r="B13" s="441"/>
      <c r="C13" s="449"/>
      <c r="D13" s="449"/>
      <c r="E13" s="449" t="s">
        <v>31</v>
      </c>
      <c r="F13" s="449"/>
      <c r="G13" s="449"/>
      <c r="H13" s="449"/>
    </row>
    <row r="14" spans="1:8" x14ac:dyDescent="0.3">
      <c r="A14" s="441"/>
      <c r="B14" s="449" t="s">
        <v>82</v>
      </c>
      <c r="C14" s="441"/>
      <c r="D14" s="449"/>
      <c r="E14" s="449" t="s">
        <v>31</v>
      </c>
      <c r="F14" s="462">
        <f>Import!L65</f>
        <v>0</v>
      </c>
      <c r="G14" s="449"/>
      <c r="H14" s="449"/>
    </row>
    <row r="15" spans="1:8" x14ac:dyDescent="0.3">
      <c r="A15" s="441"/>
      <c r="B15" s="449" t="s">
        <v>83</v>
      </c>
      <c r="C15" s="441"/>
      <c r="D15" s="449"/>
      <c r="E15" s="449" t="s">
        <v>31</v>
      </c>
      <c r="F15" s="463">
        <f>F14-F12</f>
        <v>0</v>
      </c>
      <c r="G15" s="449"/>
      <c r="H15" s="449"/>
    </row>
    <row r="16" spans="1:8" x14ac:dyDescent="0.3">
      <c r="A16" s="441"/>
      <c r="B16" s="464" t="s">
        <v>84</v>
      </c>
      <c r="C16" s="441"/>
      <c r="D16" s="449"/>
      <c r="E16" s="449"/>
      <c r="F16" s="449"/>
      <c r="G16" s="449"/>
      <c r="H16" s="449"/>
    </row>
    <row r="17" spans="2:8" x14ac:dyDescent="0.3">
      <c r="B17" s="465" t="s">
        <v>85</v>
      </c>
      <c r="C17" s="449" t="s">
        <v>86</v>
      </c>
      <c r="D17" s="441"/>
      <c r="E17" s="449" t="s">
        <v>31</v>
      </c>
      <c r="F17" s="466">
        <f>Import!L61</f>
        <v>0</v>
      </c>
      <c r="G17" s="449"/>
      <c r="H17" s="449"/>
    </row>
    <row r="18" spans="2:8" ht="15" thickBot="1" x14ac:dyDescent="0.35">
      <c r="B18" s="21" t="s">
        <v>80</v>
      </c>
      <c r="C18" s="457" t="s">
        <v>87</v>
      </c>
      <c r="D18" s="458"/>
      <c r="E18" s="459" t="s">
        <v>31</v>
      </c>
      <c r="F18" s="467">
        <f>(F15-SUM(F17:F17))</f>
        <v>0</v>
      </c>
      <c r="G18" s="449"/>
      <c r="H18" s="449"/>
    </row>
    <row r="19" spans="2:8" ht="15" thickTop="1" x14ac:dyDescent="0.3">
      <c r="B19" s="441"/>
      <c r="C19" s="449"/>
      <c r="D19" s="449"/>
      <c r="E19" s="449"/>
      <c r="F19" s="449"/>
      <c r="G19" s="449"/>
      <c r="H19" s="449"/>
    </row>
    <row r="20" spans="2:8" ht="15" thickBot="1" x14ac:dyDescent="0.35">
      <c r="B20" s="449" t="s">
        <v>88</v>
      </c>
      <c r="C20" s="441"/>
      <c r="D20" s="449"/>
      <c r="E20" s="449" t="s">
        <v>31</v>
      </c>
      <c r="F20" s="468">
        <f>Import!L60</f>
        <v>0</v>
      </c>
      <c r="G20" s="449"/>
      <c r="H20" s="449"/>
    </row>
    <row r="21" spans="2:8" ht="15.6" thickTop="1" thickBot="1" x14ac:dyDescent="0.35">
      <c r="B21" s="441"/>
      <c r="C21" s="469" t="str">
        <f>IF(F18&gt;F20, "Restricted-Stabilization by State Statute understated by ",IF(F20&gt;F18, "Restricted-Stabilization by State Statute overstated by ","Restricted-Stabilization by State Statutue Reportedly Correctly. "))</f>
        <v xml:space="preserve">Restricted-Stabilization by State Statutue Reportedly Correctly. </v>
      </c>
      <c r="D21" s="441"/>
      <c r="E21" s="449" t="s">
        <v>31</v>
      </c>
      <c r="F21" s="470">
        <f>ABS(F18-F20)</f>
        <v>0</v>
      </c>
      <c r="G21" s="449"/>
      <c r="H21" s="449"/>
    </row>
    <row r="22" spans="2:8" ht="50.25" customHeight="1" thickTop="1" x14ac:dyDescent="0.3">
      <c r="B22" s="441"/>
      <c r="C22" s="1258" t="str">
        <f>IF(F18&gt;F20,"Since Restricted-Stabilization by State Statute was understated, verfiy that the unit did not appropriate fund balance in excess of legal amount available in row 12 above.","")</f>
        <v/>
      </c>
      <c r="D22" s="1258"/>
      <c r="E22" s="1258"/>
      <c r="F22" s="1258"/>
      <c r="G22" s="449"/>
      <c r="H22" s="449"/>
    </row>
    <row r="23" spans="2:8" x14ac:dyDescent="0.3">
      <c r="B23" s="441"/>
      <c r="C23" s="1259" t="s">
        <v>89</v>
      </c>
      <c r="D23" s="449"/>
      <c r="E23" s="449"/>
      <c r="F23" s="449"/>
      <c r="G23" s="449"/>
      <c r="H23" s="471" t="s">
        <v>90</v>
      </c>
    </row>
    <row r="24" spans="2:8" x14ac:dyDescent="0.3">
      <c r="B24" s="441"/>
      <c r="C24" s="1259"/>
      <c r="D24" s="449"/>
      <c r="E24" s="449"/>
      <c r="F24" s="444" t="s">
        <v>91</v>
      </c>
      <c r="G24" s="449"/>
      <c r="H24" s="444" t="s">
        <v>99</v>
      </c>
    </row>
    <row r="25" spans="2:8" x14ac:dyDescent="0.3">
      <c r="B25" s="441"/>
      <c r="C25" s="448" t="s">
        <v>92</v>
      </c>
      <c r="D25" s="449"/>
      <c r="E25" s="449"/>
      <c r="F25" s="449"/>
      <c r="G25" s="449"/>
      <c r="H25" s="449"/>
    </row>
    <row r="26" spans="2:8" ht="25.2" customHeight="1" x14ac:dyDescent="0.3">
      <c r="B26" s="441"/>
      <c r="C26" s="449" t="s">
        <v>93</v>
      </c>
      <c r="D26" s="449"/>
      <c r="E26" s="449" t="s">
        <v>31</v>
      </c>
      <c r="F26" s="450">
        <f>Import!L72</f>
        <v>0</v>
      </c>
      <c r="G26" s="451"/>
      <c r="H26" s="472">
        <f>F26</f>
        <v>0</v>
      </c>
    </row>
    <row r="27" spans="2:8" x14ac:dyDescent="0.3">
      <c r="B27" s="441"/>
      <c r="C27" s="465" t="s">
        <v>94</v>
      </c>
      <c r="D27" s="449"/>
      <c r="E27" s="449"/>
      <c r="F27" s="449"/>
      <c r="G27" s="449"/>
      <c r="H27" s="449"/>
    </row>
    <row r="28" spans="2:8" x14ac:dyDescent="0.3">
      <c r="B28" s="441"/>
      <c r="C28" s="449" t="s">
        <v>95</v>
      </c>
      <c r="D28" s="441"/>
      <c r="E28" s="449" t="s">
        <v>31</v>
      </c>
      <c r="F28" s="473">
        <f>Import!L74</f>
        <v>0</v>
      </c>
      <c r="G28" s="453"/>
      <c r="H28" s="474">
        <f>F28</f>
        <v>0</v>
      </c>
    </row>
    <row r="29" spans="2:8" x14ac:dyDescent="0.3">
      <c r="B29" s="441"/>
      <c r="C29" s="449" t="s">
        <v>96</v>
      </c>
      <c r="D29" s="441"/>
      <c r="E29" s="449" t="s">
        <v>31</v>
      </c>
      <c r="F29" s="475">
        <f>Import!L75+Import!L76</f>
        <v>0</v>
      </c>
      <c r="G29" s="453"/>
      <c r="H29" s="476">
        <f>F29</f>
        <v>0</v>
      </c>
    </row>
    <row r="30" spans="2:8" ht="15" thickBot="1" x14ac:dyDescent="0.35">
      <c r="B30" s="441"/>
      <c r="C30" s="449" t="s">
        <v>97</v>
      </c>
      <c r="D30" s="449"/>
      <c r="E30" s="449" t="s">
        <v>31</v>
      </c>
      <c r="F30" s="477">
        <f>SUM(F26:F28)-F29</f>
        <v>0</v>
      </c>
      <c r="G30" s="451"/>
      <c r="H30" s="477">
        <f>SUM(H26:H28)-H29</f>
        <v>0</v>
      </c>
    </row>
    <row r="31" spans="2:8" ht="15" thickTop="1" x14ac:dyDescent="0.3">
      <c r="B31" s="441"/>
      <c r="C31" s="449"/>
      <c r="D31" s="449"/>
      <c r="E31" s="449"/>
      <c r="F31" s="449"/>
      <c r="G31" s="449"/>
      <c r="H31" s="449"/>
    </row>
    <row r="32" spans="2:8" ht="15" thickBot="1" x14ac:dyDescent="0.35">
      <c r="B32" s="21" t="s">
        <v>80</v>
      </c>
      <c r="C32" s="469" t="s">
        <v>98</v>
      </c>
      <c r="D32" s="21"/>
      <c r="E32" s="469" t="s">
        <v>31</v>
      </c>
      <c r="F32" s="478" t="e">
        <f>F12/F30</f>
        <v>#DIV/0!</v>
      </c>
      <c r="G32" s="449"/>
      <c r="H32" s="478" t="e">
        <f>H12/H30</f>
        <v>#DIV/0!</v>
      </c>
    </row>
    <row r="33" spans="1:8" ht="15" thickTop="1" x14ac:dyDescent="0.3">
      <c r="C33" s="449"/>
      <c r="D33" s="449"/>
      <c r="E33" s="449"/>
      <c r="F33" s="449"/>
      <c r="G33" s="449"/>
      <c r="H33" s="449"/>
    </row>
    <row r="34" spans="1:8" ht="15.6" x14ac:dyDescent="0.3">
      <c r="A34" s="23"/>
      <c r="C34" s="22"/>
    </row>
    <row r="36" spans="1:8" x14ac:dyDescent="0.3">
      <c r="F36" s="289"/>
    </row>
    <row r="37" spans="1:8" x14ac:dyDescent="0.3">
      <c r="F37" s="127"/>
    </row>
    <row r="38" spans="1:8" x14ac:dyDescent="0.3">
      <c r="F38" s="127"/>
    </row>
    <row r="39" spans="1:8" x14ac:dyDescent="0.3">
      <c r="F39" s="127"/>
    </row>
    <row r="40" spans="1:8" x14ac:dyDescent="0.3">
      <c r="F40" s="127"/>
    </row>
    <row r="41" spans="1:8" x14ac:dyDescent="0.3">
      <c r="F41" s="127"/>
    </row>
  </sheetData>
  <sheetProtection algorithmName="SHA-512" hashValue="uhfBl+lZAygvVgXMHQ2BmtW2G+cSdFryzwsr8mDm0R9N2tN20xM8R0A2xrbk2WbBBHPu0aJ8CDqkxYYTc95/AA==" saltValue="4BX0DA0NDQFR1osMfFRNtQ==" spinCount="100000" sheet="1" formatCells="0" formatColumns="0" formatRows="0"/>
  <mergeCells count="4">
    <mergeCell ref="B8:D8"/>
    <mergeCell ref="C22:F22"/>
    <mergeCell ref="C23:C24"/>
    <mergeCell ref="A2:E2"/>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34CC87-E13B-4F65-8BC5-C28CE910D5ED}">
  <sheetPr codeName="Sheet9"/>
  <dimension ref="A3:M27"/>
  <sheetViews>
    <sheetView workbookViewId="0">
      <pane xSplit="2" ySplit="4" topLeftCell="C5" activePane="bottomRight" state="frozen"/>
      <selection activeCell="A2" sqref="A2:H2"/>
      <selection pane="topRight" activeCell="A2" sqref="A2:H2"/>
      <selection pane="bottomLeft" activeCell="A2" sqref="A2:H2"/>
      <selection pane="bottomRight" activeCell="A2" sqref="A2:H2"/>
    </sheetView>
  </sheetViews>
  <sheetFormatPr defaultColWidth="9.109375" defaultRowHeight="14.4" x14ac:dyDescent="0.3"/>
  <cols>
    <col min="1" max="3" width="22.6640625" style="288" customWidth="1"/>
    <col min="4" max="4" width="18.6640625" style="678" customWidth="1"/>
    <col min="5" max="10" width="18.6640625" style="288" customWidth="1"/>
    <col min="11" max="16384" width="9.109375" style="288"/>
  </cols>
  <sheetData>
    <row r="3" spans="1:13" x14ac:dyDescent="0.3">
      <c r="D3" s="682">
        <v>2019</v>
      </c>
      <c r="E3" s="682">
        <v>2018</v>
      </c>
      <c r="F3" s="682">
        <v>2017</v>
      </c>
      <c r="G3" s="682">
        <v>2016</v>
      </c>
      <c r="H3" s="682">
        <v>2015</v>
      </c>
      <c r="I3" s="682">
        <v>2014</v>
      </c>
      <c r="J3" s="682">
        <v>2013</v>
      </c>
      <c r="K3" s="678"/>
      <c r="L3" s="678"/>
      <c r="M3" s="678"/>
    </row>
    <row r="4" spans="1:13" x14ac:dyDescent="0.3">
      <c r="A4" s="291" t="s">
        <v>467</v>
      </c>
      <c r="B4" s="291"/>
      <c r="C4" s="291" t="s">
        <v>468</v>
      </c>
      <c r="D4" s="681" t="s">
        <v>414</v>
      </c>
      <c r="E4" s="681" t="s">
        <v>414</v>
      </c>
      <c r="F4" s="681" t="s">
        <v>414</v>
      </c>
      <c r="G4" s="681" t="s">
        <v>414</v>
      </c>
      <c r="H4" s="681" t="s">
        <v>414</v>
      </c>
      <c r="I4" s="681" t="s">
        <v>414</v>
      </c>
      <c r="J4" s="681" t="s">
        <v>414</v>
      </c>
      <c r="K4" s="694"/>
    </row>
    <row r="5" spans="1:13" x14ac:dyDescent="0.3">
      <c r="A5" s="291">
        <v>5119</v>
      </c>
      <c r="B5" s="291" t="s">
        <v>444</v>
      </c>
      <c r="C5" s="291">
        <v>647</v>
      </c>
      <c r="D5" s="678">
        <v>20578691</v>
      </c>
      <c r="E5" s="678">
        <v>3249248</v>
      </c>
      <c r="F5" s="678">
        <v>2957570</v>
      </c>
      <c r="G5" s="678">
        <v>5709008</v>
      </c>
      <c r="H5" s="678">
        <v>5114434</v>
      </c>
      <c r="I5" s="678">
        <v>4562229</v>
      </c>
      <c r="J5" s="678">
        <v>4029652</v>
      </c>
    </row>
    <row r="6" spans="1:13" x14ac:dyDescent="0.3">
      <c r="A6" s="291">
        <v>5120</v>
      </c>
      <c r="B6" s="291" t="s">
        <v>445</v>
      </c>
      <c r="C6" s="291">
        <v>647</v>
      </c>
      <c r="D6" s="678">
        <v>0</v>
      </c>
      <c r="E6" s="678">
        <v>0</v>
      </c>
      <c r="F6" s="678">
        <v>0</v>
      </c>
      <c r="G6" s="678">
        <v>0</v>
      </c>
      <c r="H6" s="678">
        <v>0</v>
      </c>
      <c r="I6" s="678">
        <v>0</v>
      </c>
      <c r="J6" s="678">
        <v>0</v>
      </c>
    </row>
    <row r="7" spans="1:13" x14ac:dyDescent="0.3">
      <c r="A7" s="291">
        <v>5131</v>
      </c>
      <c r="B7" s="291" t="s">
        <v>446</v>
      </c>
      <c r="C7" s="291">
        <v>647</v>
      </c>
      <c r="D7" s="678">
        <v>37089245</v>
      </c>
      <c r="E7" s="678">
        <v>20299814</v>
      </c>
      <c r="F7" s="678">
        <v>8051571</v>
      </c>
      <c r="G7" s="678">
        <v>7371500</v>
      </c>
      <c r="H7" s="678">
        <v>5966665</v>
      </c>
      <c r="I7" s="678">
        <v>8207298</v>
      </c>
      <c r="J7" s="678">
        <v>7347048</v>
      </c>
    </row>
    <row r="8" spans="1:13" x14ac:dyDescent="0.3">
      <c r="A8" s="291">
        <v>5135</v>
      </c>
      <c r="B8" s="291" t="s">
        <v>447</v>
      </c>
      <c r="C8" s="291">
        <v>647</v>
      </c>
      <c r="D8" s="678">
        <v>0</v>
      </c>
      <c r="E8" s="678">
        <v>0</v>
      </c>
      <c r="F8" s="678">
        <v>4056482</v>
      </c>
      <c r="G8" s="678">
        <v>3922669</v>
      </c>
      <c r="H8" s="678">
        <v>3148233</v>
      </c>
      <c r="I8" s="678">
        <v>2755127</v>
      </c>
      <c r="J8" s="678">
        <v>2755127</v>
      </c>
    </row>
    <row r="9" spans="1:13" x14ac:dyDescent="0.3">
      <c r="A9" s="291">
        <v>5144</v>
      </c>
      <c r="B9" s="291" t="s">
        <v>448</v>
      </c>
      <c r="C9" s="291">
        <v>647</v>
      </c>
      <c r="D9" s="678">
        <v>7441890</v>
      </c>
      <c r="E9" s="678">
        <v>7441890</v>
      </c>
      <c r="F9" s="678">
        <v>4932241</v>
      </c>
      <c r="G9" s="678">
        <v>590997</v>
      </c>
      <c r="H9" s="678">
        <v>0</v>
      </c>
      <c r="I9" s="678">
        <v>3000000</v>
      </c>
      <c r="J9" s="678">
        <v>2390166</v>
      </c>
    </row>
    <row r="10" spans="1:13" x14ac:dyDescent="0.3">
      <c r="A10" s="291">
        <v>5155</v>
      </c>
      <c r="B10" s="291" t="s">
        <v>449</v>
      </c>
      <c r="C10" s="291">
        <v>647</v>
      </c>
      <c r="D10" s="678">
        <v>1008755</v>
      </c>
      <c r="E10" s="678">
        <v>781534</v>
      </c>
      <c r="F10" s="678">
        <v>663572</v>
      </c>
      <c r="G10" s="678">
        <v>6557774</v>
      </c>
      <c r="H10" s="678">
        <v>611355</v>
      </c>
      <c r="I10" s="678">
        <v>784361</v>
      </c>
      <c r="J10" s="678">
        <v>1022379</v>
      </c>
    </row>
    <row r="11" spans="1:13" x14ac:dyDescent="0.3">
      <c r="A11" s="291">
        <v>5158</v>
      </c>
      <c r="B11" s="291" t="s">
        <v>450</v>
      </c>
      <c r="C11" s="291">
        <v>647</v>
      </c>
      <c r="D11" s="678">
        <v>9</v>
      </c>
      <c r="E11" s="678">
        <v>9</v>
      </c>
      <c r="F11" s="678">
        <v>9</v>
      </c>
      <c r="G11" s="678">
        <v>9</v>
      </c>
      <c r="H11" s="678">
        <v>9</v>
      </c>
      <c r="I11" s="678">
        <v>9</v>
      </c>
      <c r="J11" s="678">
        <v>9</v>
      </c>
    </row>
    <row r="12" spans="1:13" x14ac:dyDescent="0.3">
      <c r="A12" s="291">
        <v>5159</v>
      </c>
      <c r="B12" s="291" t="s">
        <v>451</v>
      </c>
      <c r="C12" s="291">
        <v>647</v>
      </c>
      <c r="D12" s="678">
        <v>225639888</v>
      </c>
      <c r="E12" s="678">
        <v>219009306</v>
      </c>
      <c r="F12" s="678">
        <v>181812071</v>
      </c>
      <c r="G12" s="678">
        <v>193933610</v>
      </c>
      <c r="H12" s="678">
        <v>181583886</v>
      </c>
      <c r="I12" s="678">
        <v>0</v>
      </c>
      <c r="J12" s="678">
        <v>0</v>
      </c>
    </row>
    <row r="13" spans="1:13" x14ac:dyDescent="0.3">
      <c r="A13" s="291">
        <v>5164</v>
      </c>
      <c r="B13" s="291" t="s">
        <v>452</v>
      </c>
      <c r="C13" s="291">
        <v>647</v>
      </c>
      <c r="D13" s="678">
        <v>7132135</v>
      </c>
      <c r="E13" s="678">
        <v>5438631</v>
      </c>
      <c r="F13" s="678">
        <v>2427428</v>
      </c>
      <c r="G13" s="678">
        <v>157674</v>
      </c>
      <c r="H13" s="678">
        <v>0</v>
      </c>
      <c r="I13" s="678">
        <v>0</v>
      </c>
      <c r="J13" s="678">
        <v>0</v>
      </c>
    </row>
    <row r="14" spans="1:13" x14ac:dyDescent="0.3">
      <c r="A14" s="291">
        <v>5173</v>
      </c>
      <c r="B14" s="291" t="s">
        <v>453</v>
      </c>
      <c r="C14" s="291">
        <v>647</v>
      </c>
      <c r="D14" s="678">
        <v>422216</v>
      </c>
      <c r="E14" s="678">
        <v>2615544</v>
      </c>
      <c r="F14" s="678">
        <v>880554</v>
      </c>
      <c r="G14" s="678">
        <v>154942</v>
      </c>
      <c r="H14" s="678">
        <v>107456</v>
      </c>
      <c r="I14" s="678">
        <v>46240</v>
      </c>
      <c r="J14" s="678">
        <v>23390</v>
      </c>
    </row>
    <row r="15" spans="1:13" x14ac:dyDescent="0.3">
      <c r="A15" s="291">
        <v>5178</v>
      </c>
      <c r="B15" s="291" t="s">
        <v>454</v>
      </c>
      <c r="C15" s="291">
        <v>647</v>
      </c>
      <c r="D15" s="678">
        <v>75835</v>
      </c>
      <c r="E15" s="678">
        <v>66039</v>
      </c>
      <c r="F15" s="678">
        <v>57100</v>
      </c>
      <c r="G15" s="678">
        <v>52316</v>
      </c>
      <c r="H15" s="678">
        <v>23715</v>
      </c>
      <c r="I15" s="678">
        <v>899285</v>
      </c>
      <c r="J15" s="678">
        <v>1169608</v>
      </c>
    </row>
    <row r="16" spans="1:13" x14ac:dyDescent="0.3">
      <c r="A16" s="291">
        <v>5180</v>
      </c>
      <c r="B16" s="291" t="s">
        <v>455</v>
      </c>
      <c r="C16" s="291">
        <v>647</v>
      </c>
      <c r="D16" s="678">
        <v>4586780</v>
      </c>
      <c r="E16" s="678">
        <v>5165281</v>
      </c>
      <c r="F16" s="678">
        <v>4432068</v>
      </c>
      <c r="G16" s="678">
        <v>3558985</v>
      </c>
      <c r="H16" s="678">
        <v>2657915</v>
      </c>
      <c r="I16" s="678">
        <v>2071596</v>
      </c>
      <c r="J16" s="678">
        <v>1986034</v>
      </c>
    </row>
    <row r="17" spans="1:10" x14ac:dyDescent="0.3">
      <c r="A17" s="291">
        <v>5191</v>
      </c>
      <c r="B17" s="291" t="s">
        <v>456</v>
      </c>
      <c r="C17" s="291">
        <v>647</v>
      </c>
      <c r="D17" s="678">
        <v>111303046</v>
      </c>
      <c r="E17" s="678">
        <v>108974619</v>
      </c>
      <c r="F17" s="678">
        <v>120290900</v>
      </c>
      <c r="G17" s="678">
        <v>127448981</v>
      </c>
      <c r="H17" s="678">
        <v>153873846</v>
      </c>
      <c r="I17" s="678">
        <v>135252125</v>
      </c>
      <c r="J17" s="678">
        <v>169055200</v>
      </c>
    </row>
    <row r="18" spans="1:10" x14ac:dyDescent="0.3">
      <c r="A18" s="291">
        <v>50074</v>
      </c>
      <c r="B18" s="291" t="s">
        <v>457</v>
      </c>
      <c r="C18" s="291">
        <v>647</v>
      </c>
      <c r="D18" s="678">
        <v>7494829</v>
      </c>
      <c r="E18" s="678">
        <v>7189658</v>
      </c>
      <c r="F18" s="678">
        <v>7048523</v>
      </c>
      <c r="G18" s="678">
        <v>6615510</v>
      </c>
      <c r="H18" s="678">
        <v>5452410</v>
      </c>
      <c r="I18" s="678">
        <v>4803926</v>
      </c>
      <c r="J18" s="678">
        <v>5340180</v>
      </c>
    </row>
    <row r="19" spans="1:10" x14ac:dyDescent="0.3">
      <c r="A19" s="291">
        <v>50075</v>
      </c>
      <c r="B19" s="291" t="s">
        <v>458</v>
      </c>
      <c r="C19" s="291">
        <v>647</v>
      </c>
      <c r="D19" s="678">
        <v>266214000</v>
      </c>
      <c r="E19" s="678">
        <v>265541000</v>
      </c>
      <c r="F19" s="678">
        <v>274532000</v>
      </c>
      <c r="G19" s="678">
        <v>286138000</v>
      </c>
      <c r="H19" s="678">
        <v>295124000</v>
      </c>
      <c r="I19" s="678">
        <v>264645000</v>
      </c>
      <c r="J19" s="678">
        <v>231434000</v>
      </c>
    </row>
    <row r="20" spans="1:10" x14ac:dyDescent="0.3">
      <c r="A20" s="291">
        <v>50110</v>
      </c>
      <c r="B20" s="291" t="s">
        <v>459</v>
      </c>
      <c r="C20" s="291">
        <v>647</v>
      </c>
      <c r="D20" s="678">
        <v>46833536</v>
      </c>
      <c r="E20" s="678">
        <v>45660075</v>
      </c>
      <c r="F20" s="678">
        <v>8463820</v>
      </c>
      <c r="G20" s="678">
        <v>2663591</v>
      </c>
      <c r="H20" s="678">
        <v>2371109</v>
      </c>
      <c r="I20" s="678">
        <v>2878268</v>
      </c>
      <c r="J20" s="678">
        <v>4203755</v>
      </c>
    </row>
    <row r="21" spans="1:10" x14ac:dyDescent="0.3">
      <c r="A21" s="291">
        <v>50144</v>
      </c>
      <c r="B21" s="291" t="s">
        <v>460</v>
      </c>
      <c r="C21" s="291">
        <v>647</v>
      </c>
      <c r="D21" s="678">
        <v>4258932</v>
      </c>
      <c r="E21" s="678">
        <v>853434</v>
      </c>
      <c r="F21" s="678">
        <v>1622119</v>
      </c>
      <c r="G21" s="678">
        <v>1743258</v>
      </c>
      <c r="H21" s="678">
        <v>1740179</v>
      </c>
      <c r="I21" s="678">
        <v>1739958</v>
      </c>
      <c r="J21" s="678">
        <v>1739695</v>
      </c>
    </row>
    <row r="22" spans="1:10" x14ac:dyDescent="0.3">
      <c r="A22" s="291">
        <v>50159</v>
      </c>
      <c r="B22" s="291" t="s">
        <v>461</v>
      </c>
      <c r="C22" s="291">
        <v>647</v>
      </c>
      <c r="D22" s="678">
        <v>28636370</v>
      </c>
      <c r="E22" s="678">
        <v>23180822</v>
      </c>
      <c r="F22" s="678">
        <v>16487675</v>
      </c>
      <c r="G22" s="678">
        <v>10909425</v>
      </c>
      <c r="H22" s="678">
        <v>7878571</v>
      </c>
      <c r="I22" s="678">
        <v>5300679</v>
      </c>
      <c r="J22" s="678">
        <v>4801051</v>
      </c>
    </row>
    <row r="23" spans="1:10" x14ac:dyDescent="0.3">
      <c r="A23" s="291">
        <v>50160</v>
      </c>
      <c r="B23" s="291" t="s">
        <v>462</v>
      </c>
      <c r="C23" s="291">
        <v>647</v>
      </c>
      <c r="D23" s="678">
        <v>1134799</v>
      </c>
      <c r="E23" s="678">
        <v>894858</v>
      </c>
      <c r="F23" s="678">
        <v>1002425</v>
      </c>
      <c r="G23" s="678">
        <v>354061</v>
      </c>
      <c r="H23" s="678">
        <v>392698</v>
      </c>
      <c r="I23" s="678">
        <v>442800</v>
      </c>
      <c r="J23" s="678">
        <v>942821</v>
      </c>
    </row>
    <row r="24" spans="1:10" x14ac:dyDescent="0.3">
      <c r="A24" s="291">
        <v>50180</v>
      </c>
      <c r="B24" s="291" t="s">
        <v>463</v>
      </c>
      <c r="C24" s="291">
        <v>647</v>
      </c>
      <c r="D24" s="678">
        <v>13193040</v>
      </c>
      <c r="E24" s="678">
        <v>17058564</v>
      </c>
      <c r="F24" s="678">
        <v>16187505</v>
      </c>
      <c r="G24" s="678">
        <v>16428100</v>
      </c>
      <c r="H24" s="678">
        <v>16688416</v>
      </c>
      <c r="I24" s="678">
        <v>17840940</v>
      </c>
      <c r="J24" s="678">
        <v>18042019</v>
      </c>
    </row>
    <row r="25" spans="1:10" x14ac:dyDescent="0.3">
      <c r="A25" s="291">
        <v>50405</v>
      </c>
      <c r="B25" s="291" t="s">
        <v>464</v>
      </c>
      <c r="C25" s="291">
        <v>647</v>
      </c>
      <c r="D25" s="678">
        <v>302046</v>
      </c>
      <c r="E25" s="678">
        <v>1055143</v>
      </c>
      <c r="F25" s="678">
        <v>0</v>
      </c>
      <c r="G25" s="678">
        <v>0</v>
      </c>
      <c r="H25" s="678">
        <v>0</v>
      </c>
      <c r="I25" s="678">
        <v>0</v>
      </c>
      <c r="J25" s="678">
        <v>0</v>
      </c>
    </row>
    <row r="26" spans="1:10" x14ac:dyDescent="0.3">
      <c r="A26" s="291">
        <v>50425</v>
      </c>
      <c r="B26" s="291" t="s">
        <v>465</v>
      </c>
      <c r="C26" s="291">
        <v>647</v>
      </c>
      <c r="D26" s="678">
        <v>20836222</v>
      </c>
      <c r="E26" s="678">
        <v>16328642</v>
      </c>
      <c r="F26" s="678">
        <v>15202516</v>
      </c>
      <c r="G26" s="678">
        <v>12384500</v>
      </c>
      <c r="H26" s="678">
        <v>9788553</v>
      </c>
      <c r="I26" s="678">
        <v>7967199</v>
      </c>
      <c r="J26" s="678">
        <v>6398918</v>
      </c>
    </row>
    <row r="27" spans="1:10" x14ac:dyDescent="0.3">
      <c r="A27" s="291">
        <v>50431</v>
      </c>
      <c r="B27" s="291" t="s">
        <v>466</v>
      </c>
      <c r="C27" s="291">
        <v>647</v>
      </c>
      <c r="D27" s="678">
        <v>25542629</v>
      </c>
      <c r="E27" s="678">
        <v>24964077</v>
      </c>
      <c r="F27" s="678">
        <v>23618105</v>
      </c>
      <c r="G27" s="678">
        <v>22744716</v>
      </c>
      <c r="H27" s="678">
        <v>16714796</v>
      </c>
      <c r="I27" s="678">
        <v>13788676</v>
      </c>
      <c r="J27" s="678">
        <v>10895689</v>
      </c>
    </row>
  </sheetData>
  <sheetProtection algorithmName="SHA-512" hashValue="zOJPBrBVacUhgC9ekTj45SG0iQCVqB0xg4zl4NXbCuUm+YsFjQ4emom1W6XDJ2q3oZ95XoQFIfIcoGM1GhHieA==" saltValue="qzrC+Ng8WmGKQcPPNBdYiA==" spinCount="100000" sheet="1" objects="1" scenarios="1"/>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9313B3-4389-4319-BFF6-0DABAB34D46A}">
  <sheetPr codeName="Sheet10"/>
  <dimension ref="A1:K160"/>
  <sheetViews>
    <sheetView workbookViewId="0">
      <selection activeCell="A2" sqref="A2:H2"/>
    </sheetView>
  </sheetViews>
  <sheetFormatPr defaultColWidth="9.109375" defaultRowHeight="14.4" x14ac:dyDescent="0.3"/>
  <cols>
    <col min="1" max="1" width="9.109375" style="262"/>
    <col min="2" max="2" width="54.109375" style="262" customWidth="1"/>
    <col min="3" max="3" width="23.6640625" style="262" customWidth="1"/>
    <col min="4" max="4" width="19.6640625" style="262" customWidth="1"/>
    <col min="5" max="10" width="9.109375" style="262"/>
    <col min="11" max="11" width="54.109375" style="262" customWidth="1"/>
    <col min="12" max="16384" width="9.109375" style="262"/>
  </cols>
  <sheetData>
    <row r="1" spans="1:11" ht="43.2" x14ac:dyDescent="0.3">
      <c r="A1" s="262" t="s">
        <v>467</v>
      </c>
      <c r="B1" s="262" t="s">
        <v>605</v>
      </c>
      <c r="C1" s="270" t="s">
        <v>570</v>
      </c>
      <c r="D1" s="271" t="s">
        <v>796</v>
      </c>
      <c r="E1" s="262" t="s">
        <v>1201</v>
      </c>
    </row>
    <row r="3" spans="1:11" ht="23.4" x14ac:dyDescent="0.45">
      <c r="A3" s="262">
        <v>50001</v>
      </c>
      <c r="B3" s="262" t="s">
        <v>606</v>
      </c>
      <c r="C3" s="262">
        <v>50</v>
      </c>
      <c r="D3" s="167" t="s">
        <v>51</v>
      </c>
      <c r="E3" s="296" t="s">
        <v>936</v>
      </c>
    </row>
    <row r="4" spans="1:11" x14ac:dyDescent="0.3">
      <c r="A4" s="262">
        <v>50006</v>
      </c>
      <c r="B4" s="262" t="s">
        <v>607</v>
      </c>
      <c r="C4" s="262">
        <v>50</v>
      </c>
      <c r="D4" s="167" t="s">
        <v>51</v>
      </c>
    </row>
    <row r="5" spans="1:11" x14ac:dyDescent="0.3">
      <c r="A5" s="262">
        <v>50013</v>
      </c>
      <c r="B5" s="262" t="s">
        <v>609</v>
      </c>
      <c r="C5" s="262">
        <v>50</v>
      </c>
      <c r="D5" s="167" t="s">
        <v>51</v>
      </c>
    </row>
    <row r="6" spans="1:11" x14ac:dyDescent="0.3">
      <c r="A6" s="262">
        <v>50016</v>
      </c>
      <c r="B6" s="924" t="s">
        <v>1202</v>
      </c>
      <c r="C6" s="262">
        <v>50</v>
      </c>
      <c r="D6" s="167" t="s">
        <v>51</v>
      </c>
      <c r="K6" s="924"/>
    </row>
    <row r="7" spans="1:11" x14ac:dyDescent="0.3">
      <c r="A7" s="262">
        <v>50019</v>
      </c>
      <c r="B7" s="924" t="s">
        <v>1203</v>
      </c>
      <c r="C7" s="262">
        <v>50</v>
      </c>
      <c r="D7" s="167" t="s">
        <v>51</v>
      </c>
      <c r="K7" s="924"/>
    </row>
    <row r="8" spans="1:11" x14ac:dyDescent="0.3">
      <c r="A8" s="262">
        <v>50504</v>
      </c>
      <c r="B8" s="262" t="s">
        <v>610</v>
      </c>
      <c r="C8" s="262">
        <v>50</v>
      </c>
      <c r="D8" s="167" t="s">
        <v>51</v>
      </c>
    </row>
    <row r="9" spans="1:11" x14ac:dyDescent="0.3">
      <c r="A9" s="262">
        <v>50021</v>
      </c>
      <c r="B9" s="924" t="s">
        <v>1204</v>
      </c>
      <c r="C9" s="262">
        <v>50</v>
      </c>
      <c r="D9" s="167" t="s">
        <v>51</v>
      </c>
      <c r="K9" s="924"/>
    </row>
    <row r="10" spans="1:11" x14ac:dyDescent="0.3">
      <c r="A10" s="262">
        <v>50024</v>
      </c>
      <c r="B10" s="262" t="s">
        <v>611</v>
      </c>
      <c r="C10" s="262">
        <v>50</v>
      </c>
      <c r="D10" s="167" t="s">
        <v>51</v>
      </c>
    </row>
    <row r="11" spans="1:11" x14ac:dyDescent="0.3">
      <c r="A11" s="262">
        <v>50029</v>
      </c>
      <c r="B11" s="262" t="s">
        <v>612</v>
      </c>
      <c r="C11" s="262">
        <v>50</v>
      </c>
      <c r="D11" s="167" t="s">
        <v>51</v>
      </c>
    </row>
    <row r="12" spans="1:11" x14ac:dyDescent="0.3">
      <c r="A12" s="262">
        <v>50031</v>
      </c>
      <c r="B12" s="924" t="s">
        <v>1205</v>
      </c>
      <c r="C12" s="262">
        <v>50</v>
      </c>
      <c r="D12" s="167" t="s">
        <v>51</v>
      </c>
      <c r="K12" s="924"/>
    </row>
    <row r="13" spans="1:11" x14ac:dyDescent="0.3">
      <c r="A13" s="262">
        <v>50469</v>
      </c>
      <c r="B13" s="262" t="s">
        <v>613</v>
      </c>
      <c r="C13" s="262">
        <v>50</v>
      </c>
      <c r="D13" s="167" t="s">
        <v>51</v>
      </c>
    </row>
    <row r="14" spans="1:11" x14ac:dyDescent="0.3">
      <c r="A14" s="262">
        <v>50034</v>
      </c>
      <c r="B14" s="262" t="s">
        <v>615</v>
      </c>
      <c r="C14" s="262">
        <v>50</v>
      </c>
      <c r="D14" s="167" t="s">
        <v>51</v>
      </c>
    </row>
    <row r="15" spans="1:11" x14ac:dyDescent="0.3">
      <c r="A15" s="262">
        <v>50038</v>
      </c>
      <c r="B15" s="262" t="s">
        <v>616</v>
      </c>
      <c r="C15" s="262">
        <v>50</v>
      </c>
      <c r="D15" s="167" t="s">
        <v>51</v>
      </c>
    </row>
    <row r="16" spans="1:11" x14ac:dyDescent="0.3">
      <c r="A16" s="262">
        <v>50506</v>
      </c>
      <c r="B16" s="262" t="s">
        <v>617</v>
      </c>
      <c r="C16" s="262">
        <v>50</v>
      </c>
      <c r="D16" s="167" t="s">
        <v>51</v>
      </c>
    </row>
    <row r="17" spans="1:11" x14ac:dyDescent="0.3">
      <c r="A17" s="262">
        <v>50045</v>
      </c>
      <c r="B17" s="262" t="s">
        <v>618</v>
      </c>
      <c r="C17" s="262">
        <v>50</v>
      </c>
      <c r="D17" s="167" t="s">
        <v>51</v>
      </c>
    </row>
    <row r="18" spans="1:11" x14ac:dyDescent="0.3">
      <c r="A18" s="262">
        <v>50049</v>
      </c>
      <c r="B18" s="262" t="s">
        <v>619</v>
      </c>
      <c r="C18" s="262">
        <v>50</v>
      </c>
      <c r="D18" s="167" t="s">
        <v>51</v>
      </c>
    </row>
    <row r="19" spans="1:11" x14ac:dyDescent="0.3">
      <c r="A19" s="262">
        <v>50055</v>
      </c>
      <c r="B19" s="924" t="s">
        <v>1206</v>
      </c>
      <c r="C19" s="262">
        <v>50</v>
      </c>
      <c r="D19" s="167" t="s">
        <v>51</v>
      </c>
      <c r="K19" s="924"/>
    </row>
    <row r="20" spans="1:11" x14ac:dyDescent="0.3">
      <c r="A20" s="262">
        <v>50466</v>
      </c>
      <c r="B20" s="262" t="s">
        <v>1207</v>
      </c>
      <c r="C20" s="262">
        <v>50</v>
      </c>
      <c r="D20" s="167" t="s">
        <v>51</v>
      </c>
    </row>
    <row r="21" spans="1:11" x14ac:dyDescent="0.3">
      <c r="A21" s="262">
        <v>50069</v>
      </c>
      <c r="B21" s="262" t="s">
        <v>620</v>
      </c>
      <c r="C21" s="262">
        <v>50</v>
      </c>
      <c r="D21" s="167" t="s">
        <v>51</v>
      </c>
    </row>
    <row r="22" spans="1:11" x14ac:dyDescent="0.3">
      <c r="A22" s="262">
        <v>50467</v>
      </c>
      <c r="B22" s="262" t="s">
        <v>621</v>
      </c>
      <c r="C22" s="262">
        <v>50</v>
      </c>
      <c r="D22" s="167" t="s">
        <v>51</v>
      </c>
    </row>
    <row r="23" spans="1:11" x14ac:dyDescent="0.3">
      <c r="A23" s="262">
        <v>50510</v>
      </c>
      <c r="B23" s="262" t="s">
        <v>622</v>
      </c>
      <c r="C23" s="262">
        <v>50</v>
      </c>
      <c r="D23" s="167" t="s">
        <v>51</v>
      </c>
    </row>
    <row r="24" spans="1:11" x14ac:dyDescent="0.3">
      <c r="A24" s="262">
        <v>50078</v>
      </c>
      <c r="B24" s="262" t="s">
        <v>1208</v>
      </c>
      <c r="C24" s="262">
        <v>50</v>
      </c>
      <c r="D24" s="167" t="s">
        <v>51</v>
      </c>
    </row>
    <row r="25" spans="1:11" x14ac:dyDescent="0.3">
      <c r="A25" s="262">
        <v>50080</v>
      </c>
      <c r="B25" s="262" t="s">
        <v>1209</v>
      </c>
      <c r="C25" s="262">
        <v>50</v>
      </c>
      <c r="D25" s="167" t="s">
        <v>51</v>
      </c>
    </row>
    <row r="26" spans="1:11" x14ac:dyDescent="0.3">
      <c r="A26" s="262">
        <v>50468</v>
      </c>
      <c r="B26" s="924" t="s">
        <v>1210</v>
      </c>
      <c r="C26" s="262">
        <v>50</v>
      </c>
      <c r="D26" s="167" t="s">
        <v>51</v>
      </c>
      <c r="K26" s="924"/>
    </row>
    <row r="27" spans="1:11" x14ac:dyDescent="0.3">
      <c r="A27" s="262">
        <v>50086</v>
      </c>
      <c r="B27" s="262" t="s">
        <v>624</v>
      </c>
      <c r="C27" s="262">
        <v>50</v>
      </c>
      <c r="D27" s="167" t="s">
        <v>51</v>
      </c>
    </row>
    <row r="28" spans="1:11" x14ac:dyDescent="0.3">
      <c r="A28" s="262">
        <v>50087</v>
      </c>
      <c r="B28" s="262" t="s">
        <v>625</v>
      </c>
      <c r="C28" s="262">
        <v>50</v>
      </c>
      <c r="D28" s="167" t="s">
        <v>51</v>
      </c>
    </row>
    <row r="29" spans="1:11" x14ac:dyDescent="0.3">
      <c r="A29" s="262">
        <v>50091</v>
      </c>
      <c r="B29" s="924" t="s">
        <v>1211</v>
      </c>
      <c r="C29" s="262">
        <v>50</v>
      </c>
      <c r="D29" s="167" t="s">
        <v>51</v>
      </c>
      <c r="K29" s="924"/>
    </row>
    <row r="30" spans="1:11" x14ac:dyDescent="0.3">
      <c r="A30" s="262">
        <v>50098</v>
      </c>
      <c r="B30" s="262" t="s">
        <v>1212</v>
      </c>
      <c r="C30" s="262">
        <v>50</v>
      </c>
      <c r="D30" s="167" t="s">
        <v>51</v>
      </c>
    </row>
    <row r="31" spans="1:11" x14ac:dyDescent="0.3">
      <c r="A31" s="262">
        <v>50100</v>
      </c>
      <c r="B31" s="262" t="s">
        <v>1213</v>
      </c>
      <c r="C31" s="262">
        <v>50</v>
      </c>
      <c r="D31" s="167" t="s">
        <v>51</v>
      </c>
    </row>
    <row r="32" spans="1:11" x14ac:dyDescent="0.3">
      <c r="A32" s="262">
        <v>50513</v>
      </c>
      <c r="B32" s="262" t="s">
        <v>626</v>
      </c>
      <c r="C32" s="262">
        <v>50</v>
      </c>
      <c r="D32" s="167" t="s">
        <v>51</v>
      </c>
    </row>
    <row r="33" spans="1:11" x14ac:dyDescent="0.3">
      <c r="A33" s="262">
        <v>50106</v>
      </c>
      <c r="B33" s="262" t="s">
        <v>627</v>
      </c>
      <c r="C33" s="262">
        <v>50</v>
      </c>
      <c r="D33" s="167" t="s">
        <v>51</v>
      </c>
    </row>
    <row r="34" spans="1:11" x14ac:dyDescent="0.3">
      <c r="A34" s="262">
        <v>50472</v>
      </c>
      <c r="B34" s="262" t="s">
        <v>628</v>
      </c>
      <c r="C34" s="262">
        <v>50</v>
      </c>
      <c r="D34" s="167" t="s">
        <v>51</v>
      </c>
    </row>
    <row r="35" spans="1:11" x14ac:dyDescent="0.3">
      <c r="A35" s="262">
        <v>50112</v>
      </c>
      <c r="B35" s="262" t="s">
        <v>629</v>
      </c>
      <c r="C35" s="262">
        <v>50</v>
      </c>
      <c r="D35" s="167" t="s">
        <v>51</v>
      </c>
    </row>
    <row r="36" spans="1:11" x14ac:dyDescent="0.3">
      <c r="A36" s="262">
        <v>50113</v>
      </c>
      <c r="B36" s="262" t="s">
        <v>630</v>
      </c>
      <c r="C36" s="262">
        <v>50</v>
      </c>
      <c r="D36" s="167" t="s">
        <v>51</v>
      </c>
    </row>
    <row r="37" spans="1:11" x14ac:dyDescent="0.3">
      <c r="A37" s="262">
        <v>50116</v>
      </c>
      <c r="B37" s="924" t="s">
        <v>1214</v>
      </c>
      <c r="C37" s="262">
        <v>50</v>
      </c>
      <c r="D37" s="167" t="s">
        <v>51</v>
      </c>
      <c r="K37" s="924"/>
    </row>
    <row r="38" spans="1:11" x14ac:dyDescent="0.3">
      <c r="A38" s="262">
        <v>50121</v>
      </c>
      <c r="B38" s="262" t="s">
        <v>632</v>
      </c>
      <c r="C38" s="262">
        <v>50</v>
      </c>
      <c r="D38" s="167" t="s">
        <v>51</v>
      </c>
    </row>
    <row r="39" spans="1:11" x14ac:dyDescent="0.3">
      <c r="A39" s="262">
        <v>50122</v>
      </c>
      <c r="B39" s="262" t="s">
        <v>633</v>
      </c>
      <c r="C39" s="262">
        <v>50</v>
      </c>
      <c r="D39" s="167" t="s">
        <v>51</v>
      </c>
    </row>
    <row r="40" spans="1:11" x14ac:dyDescent="0.3">
      <c r="A40" s="262">
        <v>50125</v>
      </c>
      <c r="B40" s="262" t="s">
        <v>634</v>
      </c>
      <c r="C40" s="262">
        <v>50</v>
      </c>
      <c r="D40" s="167" t="s">
        <v>51</v>
      </c>
    </row>
    <row r="41" spans="1:11" x14ac:dyDescent="0.3">
      <c r="A41" s="262">
        <v>50126</v>
      </c>
      <c r="B41" s="924" t="s">
        <v>1215</v>
      </c>
      <c r="C41" s="262">
        <v>50</v>
      </c>
      <c r="D41" s="167" t="s">
        <v>51</v>
      </c>
      <c r="K41" s="924"/>
    </row>
    <row r="42" spans="1:11" x14ac:dyDescent="0.3">
      <c r="A42" s="262">
        <v>50127</v>
      </c>
      <c r="B42" s="262" t="s">
        <v>1216</v>
      </c>
      <c r="C42" s="262">
        <v>50</v>
      </c>
      <c r="D42" s="167" t="s">
        <v>51</v>
      </c>
    </row>
    <row r="43" spans="1:11" x14ac:dyDescent="0.3">
      <c r="A43" s="262">
        <v>50128</v>
      </c>
      <c r="B43" s="262" t="s">
        <v>636</v>
      </c>
      <c r="C43" s="262">
        <v>50</v>
      </c>
      <c r="D43" s="167" t="s">
        <v>51</v>
      </c>
    </row>
    <row r="44" spans="1:11" x14ac:dyDescent="0.3">
      <c r="A44" s="262">
        <v>50129</v>
      </c>
      <c r="B44" s="262" t="s">
        <v>637</v>
      </c>
      <c r="C44" s="262">
        <v>50</v>
      </c>
      <c r="D44" s="167" t="s">
        <v>51</v>
      </c>
    </row>
    <row r="45" spans="1:11" x14ac:dyDescent="0.3">
      <c r="A45" s="262">
        <v>50130</v>
      </c>
      <c r="B45" s="262" t="s">
        <v>638</v>
      </c>
      <c r="C45" s="262">
        <v>50</v>
      </c>
      <c r="D45" s="167" t="s">
        <v>51</v>
      </c>
    </row>
    <row r="46" spans="1:11" x14ac:dyDescent="0.3">
      <c r="A46" s="262">
        <v>50570</v>
      </c>
      <c r="B46" s="262" t="s">
        <v>639</v>
      </c>
      <c r="C46" s="262">
        <v>50</v>
      </c>
      <c r="D46" s="167" t="s">
        <v>51</v>
      </c>
    </row>
    <row r="47" spans="1:11" x14ac:dyDescent="0.3">
      <c r="A47" s="262">
        <v>50139</v>
      </c>
      <c r="B47" s="262" t="s">
        <v>641</v>
      </c>
      <c r="C47" s="262">
        <v>50</v>
      </c>
      <c r="D47" s="167" t="s">
        <v>51</v>
      </c>
    </row>
    <row r="48" spans="1:11" x14ac:dyDescent="0.3">
      <c r="A48" s="262">
        <v>50142</v>
      </c>
      <c r="B48" s="262" t="s">
        <v>642</v>
      </c>
      <c r="C48" s="262">
        <v>50</v>
      </c>
      <c r="D48" s="167" t="s">
        <v>51</v>
      </c>
    </row>
    <row r="49" spans="1:11" x14ac:dyDescent="0.3">
      <c r="A49" s="262">
        <v>50143</v>
      </c>
      <c r="B49" s="262" t="s">
        <v>643</v>
      </c>
      <c r="C49" s="262">
        <v>50</v>
      </c>
      <c r="D49" s="167" t="s">
        <v>51</v>
      </c>
    </row>
    <row r="50" spans="1:11" x14ac:dyDescent="0.3">
      <c r="A50" s="262">
        <v>50148</v>
      </c>
      <c r="B50" s="262" t="s">
        <v>447</v>
      </c>
      <c r="C50" s="262">
        <v>50</v>
      </c>
      <c r="D50" s="167" t="s">
        <v>51</v>
      </c>
    </row>
    <row r="51" spans="1:11" x14ac:dyDescent="0.3">
      <c r="A51" s="262">
        <v>50151</v>
      </c>
      <c r="B51" s="262" t="s">
        <v>1217</v>
      </c>
      <c r="C51" s="262">
        <v>50</v>
      </c>
      <c r="D51" s="167" t="s">
        <v>51</v>
      </c>
    </row>
    <row r="52" spans="1:11" x14ac:dyDescent="0.3">
      <c r="A52" s="262">
        <v>50153</v>
      </c>
      <c r="B52" s="262" t="s">
        <v>644</v>
      </c>
      <c r="C52" s="262">
        <v>50</v>
      </c>
      <c r="D52" s="167" t="s">
        <v>51</v>
      </c>
    </row>
    <row r="53" spans="1:11" x14ac:dyDescent="0.3">
      <c r="A53" s="262">
        <v>50154</v>
      </c>
      <c r="B53" s="262" t="s">
        <v>645</v>
      </c>
      <c r="C53" s="262">
        <v>50</v>
      </c>
      <c r="D53" s="167" t="s">
        <v>51</v>
      </c>
    </row>
    <row r="54" spans="1:11" x14ac:dyDescent="0.3">
      <c r="A54" s="262">
        <v>50517</v>
      </c>
      <c r="B54" s="924" t="s">
        <v>1218</v>
      </c>
      <c r="C54" s="262">
        <v>50</v>
      </c>
      <c r="D54" s="167" t="s">
        <v>51</v>
      </c>
      <c r="K54" s="924"/>
    </row>
    <row r="55" spans="1:11" x14ac:dyDescent="0.3">
      <c r="A55" s="262">
        <v>50448</v>
      </c>
      <c r="B55" s="262" t="s">
        <v>646</v>
      </c>
      <c r="C55" s="262">
        <v>50</v>
      </c>
      <c r="D55" s="167" t="s">
        <v>51</v>
      </c>
    </row>
    <row r="56" spans="1:11" x14ac:dyDescent="0.3">
      <c r="A56" s="262">
        <v>50163</v>
      </c>
      <c r="B56" s="262" t="s">
        <v>647</v>
      </c>
      <c r="C56" s="262">
        <v>50</v>
      </c>
      <c r="D56" s="167" t="s">
        <v>51</v>
      </c>
    </row>
    <row r="57" spans="1:11" x14ac:dyDescent="0.3">
      <c r="A57" s="262">
        <v>50165</v>
      </c>
      <c r="B57" s="262" t="s">
        <v>648</v>
      </c>
      <c r="C57" s="262">
        <v>50</v>
      </c>
      <c r="D57" s="167" t="s">
        <v>51</v>
      </c>
    </row>
    <row r="58" spans="1:11" x14ac:dyDescent="0.3">
      <c r="A58" s="262">
        <v>50166</v>
      </c>
      <c r="B58" s="262" t="s">
        <v>649</v>
      </c>
      <c r="C58" s="262">
        <v>50</v>
      </c>
      <c r="D58" s="167" t="s">
        <v>51</v>
      </c>
    </row>
    <row r="59" spans="1:11" x14ac:dyDescent="0.3">
      <c r="A59" s="262">
        <v>50167</v>
      </c>
      <c r="B59" s="262" t="s">
        <v>650</v>
      </c>
      <c r="C59" s="262">
        <v>50</v>
      </c>
      <c r="D59" s="167" t="s">
        <v>51</v>
      </c>
    </row>
    <row r="60" spans="1:11" x14ac:dyDescent="0.3">
      <c r="A60" s="262">
        <v>50171</v>
      </c>
      <c r="B60" s="924" t="s">
        <v>1219</v>
      </c>
      <c r="C60" s="262">
        <v>50</v>
      </c>
      <c r="D60" s="167" t="s">
        <v>51</v>
      </c>
      <c r="K60" s="924"/>
    </row>
    <row r="61" spans="1:11" x14ac:dyDescent="0.3">
      <c r="A61" s="262">
        <v>50440</v>
      </c>
      <c r="B61" s="262" t="s">
        <v>1220</v>
      </c>
      <c r="C61" s="262">
        <v>50</v>
      </c>
      <c r="D61" s="167" t="s">
        <v>51</v>
      </c>
    </row>
    <row r="62" spans="1:11" x14ac:dyDescent="0.3">
      <c r="A62" s="262">
        <v>50175</v>
      </c>
      <c r="B62" s="924" t="s">
        <v>448</v>
      </c>
      <c r="C62" s="262">
        <v>50</v>
      </c>
      <c r="D62" s="167" t="s">
        <v>51</v>
      </c>
      <c r="K62" s="924"/>
    </row>
    <row r="63" spans="1:11" x14ac:dyDescent="0.3">
      <c r="A63" s="262">
        <v>50177</v>
      </c>
      <c r="B63" s="924" t="s">
        <v>1221</v>
      </c>
      <c r="C63" s="262">
        <v>50</v>
      </c>
      <c r="D63" s="167" t="s">
        <v>51</v>
      </c>
      <c r="K63" s="924"/>
    </row>
    <row r="64" spans="1:11" x14ac:dyDescent="0.3">
      <c r="A64" s="262">
        <v>50183</v>
      </c>
      <c r="B64" s="262" t="s">
        <v>651</v>
      </c>
      <c r="C64" s="262">
        <v>50</v>
      </c>
      <c r="D64" s="167" t="s">
        <v>51</v>
      </c>
    </row>
    <row r="65" spans="1:11" x14ac:dyDescent="0.3">
      <c r="A65" s="262">
        <v>50184</v>
      </c>
      <c r="B65" s="262" t="s">
        <v>652</v>
      </c>
      <c r="C65" s="262">
        <v>50</v>
      </c>
      <c r="D65" s="167" t="s">
        <v>51</v>
      </c>
    </row>
    <row r="66" spans="1:11" x14ac:dyDescent="0.3">
      <c r="A66" s="262">
        <v>50186</v>
      </c>
      <c r="B66" s="262" t="s">
        <v>653</v>
      </c>
      <c r="C66" s="262">
        <v>50</v>
      </c>
      <c r="D66" s="167" t="s">
        <v>51</v>
      </c>
    </row>
    <row r="67" spans="1:11" x14ac:dyDescent="0.3">
      <c r="A67" s="262">
        <v>50476</v>
      </c>
      <c r="B67" s="262" t="s">
        <v>520</v>
      </c>
      <c r="C67" s="262">
        <v>50</v>
      </c>
      <c r="D67" s="167" t="s">
        <v>51</v>
      </c>
    </row>
    <row r="68" spans="1:11" x14ac:dyDescent="0.3">
      <c r="A68" s="262">
        <v>50192</v>
      </c>
      <c r="B68" s="262" t="s">
        <v>521</v>
      </c>
      <c r="C68" s="262">
        <v>50</v>
      </c>
      <c r="D68" s="167" t="s">
        <v>51</v>
      </c>
    </row>
    <row r="69" spans="1:11" x14ac:dyDescent="0.3">
      <c r="A69" s="262">
        <v>50518</v>
      </c>
      <c r="B69" s="262" t="s">
        <v>522</v>
      </c>
      <c r="C69" s="262">
        <v>50</v>
      </c>
      <c r="D69" s="167" t="s">
        <v>51</v>
      </c>
    </row>
    <row r="70" spans="1:11" x14ac:dyDescent="0.3">
      <c r="A70" s="262">
        <v>50231</v>
      </c>
      <c r="B70" s="262" t="s">
        <v>523</v>
      </c>
      <c r="C70" s="262">
        <v>50</v>
      </c>
      <c r="D70" s="167" t="s">
        <v>51</v>
      </c>
    </row>
    <row r="71" spans="1:11" x14ac:dyDescent="0.3">
      <c r="A71" s="262">
        <v>50235</v>
      </c>
      <c r="B71" s="262" t="s">
        <v>525</v>
      </c>
      <c r="C71" s="262">
        <v>50</v>
      </c>
      <c r="D71" s="167" t="s">
        <v>51</v>
      </c>
    </row>
    <row r="72" spans="1:11" x14ac:dyDescent="0.3">
      <c r="A72" s="262">
        <v>50233</v>
      </c>
      <c r="B72" s="262" t="s">
        <v>524</v>
      </c>
      <c r="C72" s="262">
        <v>50</v>
      </c>
      <c r="D72" s="167" t="s">
        <v>51</v>
      </c>
    </row>
    <row r="73" spans="1:11" x14ac:dyDescent="0.3">
      <c r="A73" s="262">
        <v>50236</v>
      </c>
      <c r="B73" s="262" t="s">
        <v>526</v>
      </c>
      <c r="C73" s="262">
        <v>50</v>
      </c>
      <c r="D73" s="167" t="s">
        <v>51</v>
      </c>
    </row>
    <row r="74" spans="1:11" x14ac:dyDescent="0.3">
      <c r="A74" s="262">
        <v>50239</v>
      </c>
      <c r="B74" s="262" t="s">
        <v>527</v>
      </c>
      <c r="C74" s="262">
        <v>50</v>
      </c>
      <c r="D74" s="167" t="s">
        <v>51</v>
      </c>
    </row>
    <row r="75" spans="1:11" x14ac:dyDescent="0.3">
      <c r="A75" s="262">
        <v>50249</v>
      </c>
      <c r="B75" s="262" t="s">
        <v>528</v>
      </c>
      <c r="C75" s="262">
        <v>50</v>
      </c>
      <c r="D75" s="167" t="s">
        <v>51</v>
      </c>
    </row>
    <row r="76" spans="1:11" x14ac:dyDescent="0.3">
      <c r="A76" s="262">
        <v>50254</v>
      </c>
      <c r="B76" s="262" t="s">
        <v>1222</v>
      </c>
      <c r="C76" s="262">
        <v>50</v>
      </c>
      <c r="D76" s="167" t="s">
        <v>51</v>
      </c>
    </row>
    <row r="77" spans="1:11" x14ac:dyDescent="0.3">
      <c r="A77" s="262">
        <v>50255</v>
      </c>
      <c r="B77" s="924" t="s">
        <v>1223</v>
      </c>
      <c r="C77" s="262">
        <v>50</v>
      </c>
      <c r="D77" s="167" t="s">
        <v>51</v>
      </c>
      <c r="K77" s="924"/>
    </row>
    <row r="78" spans="1:11" x14ac:dyDescent="0.3">
      <c r="A78" s="262">
        <v>50257</v>
      </c>
      <c r="B78" s="262" t="s">
        <v>656</v>
      </c>
      <c r="C78" s="262">
        <v>50</v>
      </c>
      <c r="D78" s="167" t="s">
        <v>51</v>
      </c>
    </row>
    <row r="79" spans="1:11" x14ac:dyDescent="0.3">
      <c r="A79" s="262">
        <v>50452</v>
      </c>
      <c r="B79" s="924" t="s">
        <v>1224</v>
      </c>
      <c r="C79" s="262">
        <v>50</v>
      </c>
      <c r="D79" s="167" t="s">
        <v>51</v>
      </c>
      <c r="K79" s="924"/>
    </row>
    <row r="80" spans="1:11" x14ac:dyDescent="0.3">
      <c r="A80" s="262">
        <v>50260</v>
      </c>
      <c r="B80" s="262" t="s">
        <v>657</v>
      </c>
      <c r="C80" s="262">
        <v>50</v>
      </c>
      <c r="D80" s="167" t="s">
        <v>51</v>
      </c>
    </row>
    <row r="81" spans="1:11" x14ac:dyDescent="0.3">
      <c r="A81" s="262">
        <v>50268</v>
      </c>
      <c r="B81" s="924" t="s">
        <v>1225</v>
      </c>
      <c r="C81" s="262">
        <v>50</v>
      </c>
      <c r="D81" s="167" t="s">
        <v>51</v>
      </c>
      <c r="K81" s="924"/>
    </row>
    <row r="82" spans="1:11" x14ac:dyDescent="0.3">
      <c r="A82" s="262">
        <v>50269</v>
      </c>
      <c r="B82" s="262" t="s">
        <v>658</v>
      </c>
      <c r="C82" s="262">
        <v>50</v>
      </c>
      <c r="D82" s="167" t="s">
        <v>51</v>
      </c>
    </row>
    <row r="83" spans="1:11" x14ac:dyDescent="0.3">
      <c r="A83" s="262">
        <v>50480</v>
      </c>
      <c r="B83" s="262" t="s">
        <v>659</v>
      </c>
      <c r="C83" s="262">
        <v>50</v>
      </c>
      <c r="D83" s="167" t="s">
        <v>51</v>
      </c>
    </row>
    <row r="84" spans="1:11" x14ac:dyDescent="0.3">
      <c r="A84" s="262">
        <v>50278</v>
      </c>
      <c r="B84" s="262" t="s">
        <v>660</v>
      </c>
      <c r="C84" s="262">
        <v>50</v>
      </c>
      <c r="D84" s="167" t="s">
        <v>51</v>
      </c>
    </row>
    <row r="85" spans="1:11" x14ac:dyDescent="0.3">
      <c r="A85" s="262">
        <v>50280</v>
      </c>
      <c r="B85" s="262" t="s">
        <v>661</v>
      </c>
      <c r="C85" s="262">
        <v>50</v>
      </c>
      <c r="D85" s="167" t="s">
        <v>51</v>
      </c>
    </row>
    <row r="86" spans="1:11" x14ac:dyDescent="0.3">
      <c r="A86" s="262">
        <v>50281</v>
      </c>
      <c r="B86" s="262" t="s">
        <v>662</v>
      </c>
      <c r="C86" s="262">
        <v>50</v>
      </c>
      <c r="D86" s="167" t="s">
        <v>51</v>
      </c>
    </row>
    <row r="87" spans="1:11" x14ac:dyDescent="0.3">
      <c r="A87" s="262">
        <v>50478</v>
      </c>
      <c r="B87" s="262" t="s">
        <v>663</v>
      </c>
      <c r="C87" s="262">
        <v>50</v>
      </c>
      <c r="D87" s="167" t="s">
        <v>51</v>
      </c>
    </row>
    <row r="88" spans="1:11" x14ac:dyDescent="0.3">
      <c r="A88" s="262">
        <v>50283</v>
      </c>
      <c r="B88" s="262" t="s">
        <v>665</v>
      </c>
      <c r="C88" s="262">
        <v>50</v>
      </c>
      <c r="D88" s="167" t="s">
        <v>51</v>
      </c>
    </row>
    <row r="89" spans="1:11" x14ac:dyDescent="0.3">
      <c r="A89" s="262">
        <v>50285</v>
      </c>
      <c r="B89" s="262" t="s">
        <v>666</v>
      </c>
      <c r="C89" s="262">
        <v>50</v>
      </c>
      <c r="D89" s="167" t="s">
        <v>51</v>
      </c>
    </row>
    <row r="90" spans="1:11" x14ac:dyDescent="0.3">
      <c r="A90" s="262">
        <v>50296</v>
      </c>
      <c r="B90" s="262" t="s">
        <v>669</v>
      </c>
      <c r="C90" s="262">
        <v>50</v>
      </c>
      <c r="D90" s="167" t="s">
        <v>51</v>
      </c>
    </row>
    <row r="91" spans="1:11" x14ac:dyDescent="0.3">
      <c r="A91" s="262">
        <v>50297</v>
      </c>
      <c r="B91" s="262" t="s">
        <v>670</v>
      </c>
      <c r="C91" s="262">
        <v>50</v>
      </c>
      <c r="D91" s="167" t="s">
        <v>51</v>
      </c>
    </row>
    <row r="92" spans="1:11" x14ac:dyDescent="0.3">
      <c r="A92" s="262">
        <v>50305</v>
      </c>
      <c r="B92" s="924" t="s">
        <v>1226</v>
      </c>
      <c r="C92" s="262">
        <v>50</v>
      </c>
      <c r="D92" s="167" t="s">
        <v>51</v>
      </c>
      <c r="K92" s="924"/>
    </row>
    <row r="93" spans="1:11" x14ac:dyDescent="0.3">
      <c r="A93" s="262">
        <v>50479</v>
      </c>
      <c r="B93" s="262" t="s">
        <v>671</v>
      </c>
      <c r="C93" s="262">
        <v>50</v>
      </c>
      <c r="D93" s="167" t="s">
        <v>51</v>
      </c>
    </row>
    <row r="94" spans="1:11" x14ac:dyDescent="0.3">
      <c r="A94" s="262">
        <v>50307</v>
      </c>
      <c r="B94" s="262" t="s">
        <v>672</v>
      </c>
      <c r="C94" s="262">
        <v>50</v>
      </c>
      <c r="D94" s="167" t="s">
        <v>51</v>
      </c>
    </row>
    <row r="95" spans="1:11" x14ac:dyDescent="0.3">
      <c r="A95" s="262">
        <v>50310</v>
      </c>
      <c r="B95" s="262" t="s">
        <v>673</v>
      </c>
      <c r="C95" s="262">
        <v>50</v>
      </c>
      <c r="D95" s="167" t="s">
        <v>51</v>
      </c>
    </row>
    <row r="96" spans="1:11" x14ac:dyDescent="0.3">
      <c r="A96" s="262">
        <v>50311</v>
      </c>
      <c r="B96" s="262" t="s">
        <v>674</v>
      </c>
      <c r="C96" s="262">
        <v>50</v>
      </c>
      <c r="D96" s="167" t="s">
        <v>51</v>
      </c>
    </row>
    <row r="97" spans="1:11" x14ac:dyDescent="0.3">
      <c r="A97" s="262">
        <v>50314</v>
      </c>
      <c r="B97" s="262" t="s">
        <v>675</v>
      </c>
      <c r="C97" s="262">
        <v>50</v>
      </c>
      <c r="D97" s="167" t="s">
        <v>51</v>
      </c>
    </row>
    <row r="98" spans="1:11" x14ac:dyDescent="0.3">
      <c r="A98" s="262">
        <v>50316</v>
      </c>
      <c r="B98" s="262" t="s">
        <v>676</v>
      </c>
      <c r="C98" s="262">
        <v>50</v>
      </c>
      <c r="D98" s="167" t="s">
        <v>51</v>
      </c>
    </row>
    <row r="99" spans="1:11" x14ac:dyDescent="0.3">
      <c r="A99" s="262">
        <v>50318</v>
      </c>
      <c r="B99" s="262" t="s">
        <v>677</v>
      </c>
      <c r="C99" s="262">
        <v>50</v>
      </c>
      <c r="D99" s="167" t="s">
        <v>51</v>
      </c>
    </row>
    <row r="100" spans="1:11" x14ac:dyDescent="0.3">
      <c r="A100" s="262">
        <v>50323</v>
      </c>
      <c r="B100" s="262" t="s">
        <v>678</v>
      </c>
      <c r="C100" s="262">
        <v>50</v>
      </c>
      <c r="D100" s="167" t="s">
        <v>51</v>
      </c>
    </row>
    <row r="101" spans="1:11" x14ac:dyDescent="0.3">
      <c r="A101" s="262">
        <v>50321</v>
      </c>
      <c r="B101" s="262" t="s">
        <v>1227</v>
      </c>
      <c r="C101" s="262">
        <v>50</v>
      </c>
      <c r="D101" s="167" t="s">
        <v>51</v>
      </c>
    </row>
    <row r="102" spans="1:11" x14ac:dyDescent="0.3">
      <c r="A102" s="262">
        <v>50325</v>
      </c>
      <c r="B102" s="262" t="s">
        <v>679</v>
      </c>
      <c r="C102" s="262">
        <v>50</v>
      </c>
      <c r="D102" s="167" t="s">
        <v>51</v>
      </c>
    </row>
    <row r="103" spans="1:11" x14ac:dyDescent="0.3">
      <c r="A103" s="262">
        <v>50327</v>
      </c>
      <c r="B103" s="262" t="s">
        <v>680</v>
      </c>
      <c r="C103" s="262">
        <v>50</v>
      </c>
      <c r="D103" s="167" t="s">
        <v>51</v>
      </c>
    </row>
    <row r="104" spans="1:11" x14ac:dyDescent="0.3">
      <c r="A104" s="262">
        <v>50328</v>
      </c>
      <c r="B104" s="262" t="s">
        <v>454</v>
      </c>
      <c r="C104" s="262">
        <v>50</v>
      </c>
      <c r="D104" s="167" t="s">
        <v>51</v>
      </c>
    </row>
    <row r="105" spans="1:11" x14ac:dyDescent="0.3">
      <c r="A105" s="262">
        <v>50332</v>
      </c>
      <c r="B105" s="262" t="s">
        <v>681</v>
      </c>
      <c r="C105" s="262">
        <v>50</v>
      </c>
      <c r="D105" s="167" t="s">
        <v>51</v>
      </c>
    </row>
    <row r="106" spans="1:11" x14ac:dyDescent="0.3">
      <c r="A106" s="262">
        <v>50334</v>
      </c>
      <c r="B106" s="924" t="s">
        <v>1228</v>
      </c>
      <c r="C106" s="262">
        <v>50</v>
      </c>
      <c r="D106" s="167" t="s">
        <v>51</v>
      </c>
      <c r="K106" s="924"/>
    </row>
    <row r="107" spans="1:11" x14ac:dyDescent="0.3">
      <c r="A107" s="262">
        <v>50336</v>
      </c>
      <c r="B107" s="262" t="s">
        <v>1229</v>
      </c>
      <c r="C107" s="262">
        <v>50</v>
      </c>
      <c r="D107" s="167" t="s">
        <v>51</v>
      </c>
    </row>
    <row r="108" spans="1:11" x14ac:dyDescent="0.3">
      <c r="A108" s="262">
        <v>50337</v>
      </c>
      <c r="B108" s="924" t="s">
        <v>1230</v>
      </c>
      <c r="C108" s="262">
        <v>50</v>
      </c>
      <c r="D108" s="167" t="s">
        <v>51</v>
      </c>
      <c r="K108" s="924"/>
    </row>
    <row r="109" spans="1:11" x14ac:dyDescent="0.3">
      <c r="A109" s="262">
        <v>50338</v>
      </c>
      <c r="B109" s="924" t="s">
        <v>1231</v>
      </c>
      <c r="C109" s="262">
        <v>50</v>
      </c>
      <c r="D109" s="167" t="s">
        <v>51</v>
      </c>
      <c r="K109" s="924"/>
    </row>
    <row r="110" spans="1:11" x14ac:dyDescent="0.3">
      <c r="A110" s="262">
        <v>50340</v>
      </c>
      <c r="B110" s="262" t="s">
        <v>1232</v>
      </c>
      <c r="C110" s="262">
        <v>50</v>
      </c>
      <c r="D110" s="167" t="s">
        <v>51</v>
      </c>
    </row>
    <row r="111" spans="1:11" x14ac:dyDescent="0.3">
      <c r="A111" s="262">
        <v>50343</v>
      </c>
      <c r="B111" s="262" t="s">
        <v>682</v>
      </c>
      <c r="C111" s="262">
        <v>50</v>
      </c>
      <c r="D111" s="167" t="s">
        <v>51</v>
      </c>
    </row>
    <row r="112" spans="1:11" x14ac:dyDescent="0.3">
      <c r="A112" s="262">
        <v>50348</v>
      </c>
      <c r="B112" s="262" t="s">
        <v>684</v>
      </c>
      <c r="C112" s="262">
        <v>50</v>
      </c>
      <c r="D112" s="167" t="s">
        <v>51</v>
      </c>
    </row>
    <row r="113" spans="1:11" x14ac:dyDescent="0.3">
      <c r="A113" s="262">
        <v>50541</v>
      </c>
      <c r="B113" s="262" t="s">
        <v>685</v>
      </c>
      <c r="C113" s="262">
        <v>50</v>
      </c>
      <c r="D113" s="167" t="s">
        <v>51</v>
      </c>
    </row>
    <row r="114" spans="1:11" x14ac:dyDescent="0.3">
      <c r="A114" s="262">
        <v>50355</v>
      </c>
      <c r="B114" s="262" t="s">
        <v>686</v>
      </c>
      <c r="C114" s="262">
        <v>50</v>
      </c>
      <c r="D114" s="167" t="s">
        <v>51</v>
      </c>
    </row>
    <row r="115" spans="1:11" x14ac:dyDescent="0.3">
      <c r="A115" s="262">
        <v>50357</v>
      </c>
      <c r="B115" s="924" t="s">
        <v>1233</v>
      </c>
      <c r="C115" s="262">
        <v>50</v>
      </c>
      <c r="D115" s="167" t="s">
        <v>51</v>
      </c>
      <c r="K115" s="924"/>
    </row>
    <row r="116" spans="1:11" x14ac:dyDescent="0.3">
      <c r="A116" s="262">
        <v>50360</v>
      </c>
      <c r="B116" s="262" t="s">
        <v>687</v>
      </c>
      <c r="C116" s="262">
        <v>50</v>
      </c>
      <c r="D116" s="167" t="s">
        <v>51</v>
      </c>
    </row>
    <row r="117" spans="1:11" x14ac:dyDescent="0.3">
      <c r="A117" s="262">
        <v>50370</v>
      </c>
      <c r="B117" s="262" t="s">
        <v>688</v>
      </c>
      <c r="C117" s="262">
        <v>50</v>
      </c>
      <c r="D117" s="167" t="s">
        <v>51</v>
      </c>
    </row>
    <row r="118" spans="1:11" x14ac:dyDescent="0.3">
      <c r="A118" s="262">
        <v>50374</v>
      </c>
      <c r="B118" s="262" t="s">
        <v>1234</v>
      </c>
      <c r="C118" s="262">
        <v>50</v>
      </c>
      <c r="D118" s="167" t="s">
        <v>51</v>
      </c>
    </row>
    <row r="119" spans="1:11" x14ac:dyDescent="0.3">
      <c r="A119" s="262">
        <v>50483</v>
      </c>
      <c r="B119" s="262" t="s">
        <v>1235</v>
      </c>
      <c r="C119" s="262">
        <v>50</v>
      </c>
      <c r="D119" s="167" t="s">
        <v>51</v>
      </c>
    </row>
    <row r="120" spans="1:11" x14ac:dyDescent="0.3">
      <c r="A120" s="262">
        <v>50386</v>
      </c>
      <c r="B120" s="262" t="s">
        <v>1236</v>
      </c>
      <c r="C120" s="262">
        <v>50</v>
      </c>
      <c r="D120" s="167" t="s">
        <v>51</v>
      </c>
    </row>
    <row r="121" spans="1:11" x14ac:dyDescent="0.3">
      <c r="A121" s="262">
        <v>50389</v>
      </c>
      <c r="B121" s="262" t="s">
        <v>690</v>
      </c>
      <c r="C121" s="262">
        <v>50</v>
      </c>
      <c r="D121" s="167" t="s">
        <v>51</v>
      </c>
    </row>
    <row r="122" spans="1:11" x14ac:dyDescent="0.3">
      <c r="A122" s="262">
        <v>50500</v>
      </c>
      <c r="B122" s="262" t="s">
        <v>691</v>
      </c>
      <c r="C122" s="262">
        <v>50</v>
      </c>
      <c r="D122" s="167" t="s">
        <v>51</v>
      </c>
    </row>
    <row r="123" spans="1:11" x14ac:dyDescent="0.3">
      <c r="A123" s="262">
        <v>50390</v>
      </c>
      <c r="B123" s="924" t="s">
        <v>1237</v>
      </c>
      <c r="C123" s="262">
        <v>50</v>
      </c>
      <c r="D123" s="167" t="s">
        <v>51</v>
      </c>
      <c r="K123" s="924"/>
    </row>
    <row r="124" spans="1:11" x14ac:dyDescent="0.3">
      <c r="A124" s="262">
        <v>50396</v>
      </c>
      <c r="B124" s="262" t="s">
        <v>692</v>
      </c>
      <c r="C124" s="262">
        <v>50</v>
      </c>
      <c r="D124" s="167" t="s">
        <v>51</v>
      </c>
    </row>
    <row r="125" spans="1:11" x14ac:dyDescent="0.3">
      <c r="A125" s="262">
        <v>50399</v>
      </c>
      <c r="B125" s="262" t="s">
        <v>694</v>
      </c>
      <c r="C125" s="262">
        <v>50</v>
      </c>
      <c r="D125" s="167" t="s">
        <v>51</v>
      </c>
    </row>
    <row r="126" spans="1:11" x14ac:dyDescent="0.3">
      <c r="A126" s="262">
        <v>50401</v>
      </c>
      <c r="B126" s="262" t="s">
        <v>695</v>
      </c>
      <c r="C126" s="262">
        <v>50</v>
      </c>
      <c r="D126" s="167" t="s">
        <v>51</v>
      </c>
    </row>
    <row r="127" spans="1:11" x14ac:dyDescent="0.3">
      <c r="A127" s="262">
        <v>50402</v>
      </c>
      <c r="B127" s="924" t="s">
        <v>1238</v>
      </c>
      <c r="C127" s="262">
        <v>50</v>
      </c>
      <c r="D127" s="167" t="s">
        <v>51</v>
      </c>
      <c r="K127" s="924"/>
    </row>
    <row r="128" spans="1:11" x14ac:dyDescent="0.3">
      <c r="A128" s="262">
        <v>50486</v>
      </c>
      <c r="B128" s="262" t="s">
        <v>1239</v>
      </c>
      <c r="C128" s="262">
        <v>50</v>
      </c>
      <c r="D128" s="167" t="s">
        <v>51</v>
      </c>
    </row>
    <row r="129" spans="1:11" x14ac:dyDescent="0.3">
      <c r="A129" s="262">
        <v>50409</v>
      </c>
      <c r="B129" s="262" t="s">
        <v>1240</v>
      </c>
      <c r="C129" s="262">
        <v>50</v>
      </c>
      <c r="D129" s="167" t="s">
        <v>51</v>
      </c>
    </row>
    <row r="130" spans="1:11" x14ac:dyDescent="0.3">
      <c r="A130" s="262">
        <v>50420</v>
      </c>
      <c r="B130" s="262" t="s">
        <v>696</v>
      </c>
      <c r="C130" s="262">
        <v>50</v>
      </c>
      <c r="D130" s="167" t="s">
        <v>51</v>
      </c>
    </row>
    <row r="131" spans="1:11" x14ac:dyDescent="0.3">
      <c r="A131" s="262">
        <v>50421</v>
      </c>
      <c r="B131" s="924" t="s">
        <v>1241</v>
      </c>
      <c r="C131" s="262">
        <v>50</v>
      </c>
      <c r="D131" s="167" t="s">
        <v>51</v>
      </c>
      <c r="K131" s="924"/>
    </row>
    <row r="132" spans="1:11" x14ac:dyDescent="0.3">
      <c r="A132" s="262">
        <v>50423</v>
      </c>
      <c r="B132" s="262" t="s">
        <v>697</v>
      </c>
      <c r="C132" s="262">
        <v>50</v>
      </c>
      <c r="D132" s="167" t="s">
        <v>51</v>
      </c>
    </row>
    <row r="133" spans="1:11" x14ac:dyDescent="0.3">
      <c r="A133" s="262">
        <v>50432</v>
      </c>
      <c r="B133" s="924" t="s">
        <v>1242</v>
      </c>
      <c r="C133" s="262">
        <v>50</v>
      </c>
      <c r="D133" s="167" t="s">
        <v>51</v>
      </c>
      <c r="K133" s="924"/>
    </row>
    <row r="134" spans="1:11" x14ac:dyDescent="0.3">
      <c r="A134" s="262">
        <v>50499</v>
      </c>
      <c r="B134" s="924" t="s">
        <v>1243</v>
      </c>
      <c r="C134" s="262">
        <v>50</v>
      </c>
      <c r="D134" s="167" t="s">
        <v>51</v>
      </c>
      <c r="K134" s="924"/>
    </row>
    <row r="135" spans="1:11" x14ac:dyDescent="0.3">
      <c r="A135" s="262">
        <v>5103</v>
      </c>
      <c r="B135" s="262" t="s">
        <v>608</v>
      </c>
      <c r="C135" s="262">
        <v>51</v>
      </c>
      <c r="D135" s="167" t="s">
        <v>51</v>
      </c>
    </row>
    <row r="136" spans="1:11" x14ac:dyDescent="0.3">
      <c r="A136" s="262">
        <v>5107</v>
      </c>
      <c r="B136" s="262" t="s">
        <v>614</v>
      </c>
      <c r="C136" s="262">
        <v>51</v>
      </c>
      <c r="D136" s="167" t="s">
        <v>51</v>
      </c>
    </row>
    <row r="137" spans="1:11" x14ac:dyDescent="0.3">
      <c r="A137" s="262">
        <v>5116</v>
      </c>
      <c r="B137" s="924" t="s">
        <v>1244</v>
      </c>
      <c r="C137" s="262">
        <v>51</v>
      </c>
      <c r="D137" s="167" t="s">
        <v>51</v>
      </c>
      <c r="K137" s="924"/>
    </row>
    <row r="138" spans="1:11" x14ac:dyDescent="0.3">
      <c r="A138" s="262">
        <v>5119</v>
      </c>
      <c r="B138" s="924" t="s">
        <v>1245</v>
      </c>
      <c r="C138" s="262">
        <v>51</v>
      </c>
      <c r="D138" s="167" t="s">
        <v>51</v>
      </c>
      <c r="K138" s="924"/>
    </row>
    <row r="139" spans="1:11" x14ac:dyDescent="0.3">
      <c r="A139" s="262">
        <v>5123</v>
      </c>
      <c r="B139" s="262" t="s">
        <v>1246</v>
      </c>
      <c r="C139" s="262">
        <v>51</v>
      </c>
      <c r="D139" s="167" t="s">
        <v>51</v>
      </c>
    </row>
    <row r="140" spans="1:11" x14ac:dyDescent="0.3">
      <c r="A140" s="262">
        <v>5129</v>
      </c>
      <c r="B140" s="924" t="s">
        <v>1247</v>
      </c>
      <c r="C140" s="262">
        <v>51</v>
      </c>
      <c r="D140" s="167" t="s">
        <v>51</v>
      </c>
      <c r="K140" s="924"/>
    </row>
    <row r="141" spans="1:11" x14ac:dyDescent="0.3">
      <c r="A141" s="262">
        <v>5132</v>
      </c>
      <c r="B141" s="262" t="s">
        <v>631</v>
      </c>
      <c r="C141" s="262">
        <v>51</v>
      </c>
      <c r="D141" s="167" t="s">
        <v>51</v>
      </c>
    </row>
    <row r="142" spans="1:11" x14ac:dyDescent="0.3">
      <c r="A142" s="262">
        <v>5137</v>
      </c>
      <c r="B142" s="262" t="s">
        <v>1248</v>
      </c>
      <c r="C142" s="262">
        <v>51</v>
      </c>
      <c r="D142" s="167" t="s">
        <v>51</v>
      </c>
    </row>
    <row r="143" spans="1:11" x14ac:dyDescent="0.3">
      <c r="A143" s="262">
        <v>5147</v>
      </c>
      <c r="B143" s="262" t="s">
        <v>654</v>
      </c>
      <c r="C143" s="262">
        <v>51</v>
      </c>
      <c r="D143" s="167" t="s">
        <v>51</v>
      </c>
    </row>
    <row r="144" spans="1:11" x14ac:dyDescent="0.3">
      <c r="A144" s="262">
        <v>5156</v>
      </c>
      <c r="B144" s="262" t="s">
        <v>655</v>
      </c>
      <c r="C144" s="262">
        <v>51</v>
      </c>
      <c r="D144" s="167" t="s">
        <v>51</v>
      </c>
    </row>
    <row r="145" spans="1:11" x14ac:dyDescent="0.3">
      <c r="A145" s="262">
        <v>5157</v>
      </c>
      <c r="B145" s="262" t="s">
        <v>1249</v>
      </c>
      <c r="C145" s="262">
        <v>51</v>
      </c>
      <c r="D145" s="167" t="s">
        <v>51</v>
      </c>
    </row>
    <row r="146" spans="1:11" x14ac:dyDescent="0.3">
      <c r="A146" s="262">
        <v>5165</v>
      </c>
      <c r="B146" s="262" t="s">
        <v>664</v>
      </c>
      <c r="C146" s="262">
        <v>51</v>
      </c>
      <c r="D146" s="167" t="s">
        <v>51</v>
      </c>
    </row>
    <row r="147" spans="1:11" x14ac:dyDescent="0.3">
      <c r="A147" s="262">
        <v>5167</v>
      </c>
      <c r="B147" s="262" t="s">
        <v>667</v>
      </c>
      <c r="C147" s="262">
        <v>51</v>
      </c>
      <c r="D147" s="167" t="s">
        <v>51</v>
      </c>
    </row>
    <row r="148" spans="1:11" x14ac:dyDescent="0.3">
      <c r="A148" s="262">
        <v>5170</v>
      </c>
      <c r="B148" s="262" t="s">
        <v>668</v>
      </c>
      <c r="C148" s="262">
        <v>51</v>
      </c>
      <c r="D148" s="167" t="s">
        <v>51</v>
      </c>
    </row>
    <row r="149" spans="1:11" x14ac:dyDescent="0.3">
      <c r="A149" s="262">
        <v>5172</v>
      </c>
      <c r="B149" s="262" t="s">
        <v>1250</v>
      </c>
      <c r="C149" s="262">
        <v>51</v>
      </c>
      <c r="D149" s="167" t="s">
        <v>51</v>
      </c>
    </row>
    <row r="150" spans="1:11" x14ac:dyDescent="0.3">
      <c r="A150" s="262">
        <v>5182</v>
      </c>
      <c r="B150" s="262" t="s">
        <v>683</v>
      </c>
      <c r="C150" s="262">
        <v>51</v>
      </c>
      <c r="D150" s="167" t="s">
        <v>51</v>
      </c>
    </row>
    <row r="151" spans="1:11" x14ac:dyDescent="0.3">
      <c r="A151" s="262">
        <v>5188</v>
      </c>
      <c r="B151" s="262" t="s">
        <v>693</v>
      </c>
      <c r="C151" s="262">
        <v>51</v>
      </c>
      <c r="D151" s="167" t="s">
        <v>51</v>
      </c>
    </row>
    <row r="152" spans="1:11" x14ac:dyDescent="0.3">
      <c r="A152" s="262">
        <v>591706</v>
      </c>
      <c r="B152" s="925" t="s">
        <v>1251</v>
      </c>
      <c r="C152" s="262">
        <v>59</v>
      </c>
      <c r="D152" s="167" t="s">
        <v>51</v>
      </c>
      <c r="K152" s="925"/>
    </row>
    <row r="153" spans="1:11" x14ac:dyDescent="0.3">
      <c r="A153" s="262">
        <v>591612</v>
      </c>
      <c r="B153" s="925" t="s">
        <v>1252</v>
      </c>
      <c r="C153" s="262">
        <v>59</v>
      </c>
      <c r="D153" s="167" t="s">
        <v>51</v>
      </c>
      <c r="K153" s="925"/>
    </row>
    <row r="154" spans="1:11" x14ac:dyDescent="0.3">
      <c r="A154" s="262">
        <v>591604</v>
      </c>
      <c r="B154" s="262" t="s">
        <v>623</v>
      </c>
      <c r="C154" s="262">
        <v>59</v>
      </c>
      <c r="D154" s="167" t="s">
        <v>51</v>
      </c>
    </row>
    <row r="155" spans="1:11" x14ac:dyDescent="0.3">
      <c r="A155" s="262">
        <v>591632</v>
      </c>
      <c r="B155" s="924" t="s">
        <v>635</v>
      </c>
      <c r="C155" s="262">
        <v>59</v>
      </c>
      <c r="D155" s="167" t="s">
        <v>51</v>
      </c>
      <c r="K155" s="924"/>
    </row>
    <row r="156" spans="1:11" x14ac:dyDescent="0.3">
      <c r="A156" s="262">
        <v>591607</v>
      </c>
      <c r="B156" s="262" t="s">
        <v>640</v>
      </c>
      <c r="C156" s="262">
        <v>59</v>
      </c>
      <c r="D156" s="167" t="s">
        <v>51</v>
      </c>
    </row>
    <row r="157" spans="1:11" x14ac:dyDescent="0.3">
      <c r="A157" s="262">
        <v>591613</v>
      </c>
      <c r="B157" s="262" t="s">
        <v>1253</v>
      </c>
      <c r="C157" s="262">
        <v>59</v>
      </c>
      <c r="D157" s="167" t="s">
        <v>51</v>
      </c>
    </row>
    <row r="158" spans="1:11" x14ac:dyDescent="0.3">
      <c r="A158" s="262">
        <v>591616</v>
      </c>
      <c r="B158" s="924" t="s">
        <v>1254</v>
      </c>
      <c r="C158" s="262">
        <v>59</v>
      </c>
      <c r="D158" s="167" t="s">
        <v>51</v>
      </c>
      <c r="K158" s="924"/>
    </row>
    <row r="159" spans="1:11" x14ac:dyDescent="0.3">
      <c r="A159" s="262">
        <v>592368</v>
      </c>
      <c r="B159" s="262" t="s">
        <v>689</v>
      </c>
      <c r="C159" s="262">
        <v>59</v>
      </c>
      <c r="D159" s="167" t="s">
        <v>51</v>
      </c>
    </row>
    <row r="160" spans="1:11" x14ac:dyDescent="0.3">
      <c r="A160" s="262">
        <v>591633</v>
      </c>
      <c r="B160" s="924" t="s">
        <v>1255</v>
      </c>
      <c r="C160" s="262">
        <v>59</v>
      </c>
      <c r="D160" s="167" t="s">
        <v>51</v>
      </c>
      <c r="K160" s="924"/>
    </row>
  </sheetData>
  <sheetProtection algorithmName="SHA-512" hashValue="953c6w7VAQSVJPJWO0tw0CXdFpLsXIRWH9f+h+7abmq+99CMwS74asNKuJ0QcT8sKL2596mK57em/p0GvGRpZg==" saltValue="1ir2S+D0SzDiKiJwfBFh4A==" spinCount="100000" sheet="1" objects="1" scenarios="1"/>
  <pageMargins left="0.7" right="0.7" top="0.75" bottom="0.75" header="0.3" footer="0.3"/>
  <pageSetup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727CB9B4DB0E24A99138E109A82D4B1" ma:contentTypeVersion="2" ma:contentTypeDescription="Create a new document." ma:contentTypeScope="" ma:versionID="7d65c62a0737bf523943f34b8e21b1c2">
  <xsd:schema xmlns:xsd="http://www.w3.org/2001/XMLSchema" xmlns:xs="http://www.w3.org/2001/XMLSchema" xmlns:p="http://schemas.microsoft.com/office/2006/metadata/properties" xmlns:ns3="427a2e50-c707-4c43-a106-c992efc9b0d3" targetNamespace="http://schemas.microsoft.com/office/2006/metadata/properties" ma:root="true" ma:fieldsID="ebed6594823f4076ed1a650c00a5a27e" ns3:_="">
    <xsd:import namespace="427a2e50-c707-4c43-a106-c992efc9b0d3"/>
    <xsd:element name="properties">
      <xsd:complexType>
        <xsd:sequence>
          <xsd:element name="documentManagement">
            <xsd:complexType>
              <xsd:all>
                <xsd:element ref="ns3:MediaServiceMetadata" minOccurs="0"/>
                <xsd:element ref="ns3: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27a2e50-c707-4c43-a106-c992efc9b0d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48ED7BE-98F7-46AD-806A-4A5AD2D2AFDC}">
  <ds:schemaRefs>
    <ds:schemaRef ds:uri="http://schemas.microsoft.com/sharepoint/v3/contenttype/forms"/>
  </ds:schemaRefs>
</ds:datastoreItem>
</file>

<file path=customXml/itemProps2.xml><?xml version="1.0" encoding="utf-8"?>
<ds:datastoreItem xmlns:ds="http://schemas.openxmlformats.org/officeDocument/2006/customXml" ds:itemID="{839034BF-83BA-418E-9F38-D22D387E3B6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27a2e50-c707-4c43-a106-c992efc9b0d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843076E-D01F-4418-A018-8509E507A11D}">
  <ds:schemaRefs>
    <ds:schemaRef ds:uri="http://www.w3.org/XML/1998/namespace"/>
    <ds:schemaRef ds:uri="http://schemas.microsoft.com/office/2006/documentManagement/types"/>
    <ds:schemaRef ds:uri="http://purl.org/dc/elements/1.1/"/>
    <ds:schemaRef ds:uri="http://schemas.microsoft.com/office/2006/metadata/properties"/>
    <ds:schemaRef ds:uri="http://purl.org/dc/dcmitype/"/>
    <ds:schemaRef ds:uri="http://purl.org/dc/terms/"/>
    <ds:schemaRef ds:uri="http://schemas.microsoft.com/office/infopath/2007/PartnerControls"/>
    <ds:schemaRef ds:uri="http://schemas.openxmlformats.org/package/2006/metadata/core-properties"/>
    <ds:schemaRef ds:uri="427a2e50-c707-4c43-a106-c992efc9b0d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11</vt:i4>
      </vt:variant>
    </vt:vector>
  </HeadingPairs>
  <TitlesOfParts>
    <vt:vector size="25" baseType="lpstr">
      <vt:lpstr>Instructions</vt:lpstr>
      <vt:lpstr>Unit Data from Audit Worksheet</vt:lpstr>
      <vt:lpstr>TD Info Completed by Auditor</vt:lpstr>
      <vt:lpstr>Import</vt:lpstr>
      <vt:lpstr>Performance  Indicators Print</vt:lpstr>
      <vt:lpstr>PI series #</vt:lpstr>
      <vt:lpstr>RSS</vt:lpstr>
      <vt:lpstr>Debt Service Funds (H)</vt:lpstr>
      <vt:lpstr>UAL</vt:lpstr>
      <vt:lpstr>2020 Data(H)</vt:lpstr>
      <vt:lpstr>2019 Data(H)</vt:lpstr>
      <vt:lpstr>Tax Reval Rate</vt:lpstr>
      <vt:lpstr>Unit Names(H)</vt:lpstr>
      <vt:lpstr>Electric trans</vt:lpstr>
      <vt:lpstr>errorCount</vt:lpstr>
      <vt:lpstr>'2020 Data(H)'!Print_Area</vt:lpstr>
      <vt:lpstr>Instructions!Print_Area</vt:lpstr>
      <vt:lpstr>'Performance  Indicators Print'!Print_Area</vt:lpstr>
      <vt:lpstr>'PI series #'!Print_Area</vt:lpstr>
      <vt:lpstr>'Unit Data from Audit Worksheet'!Print_Area</vt:lpstr>
      <vt:lpstr>Print_Selection_Auditor</vt:lpstr>
      <vt:lpstr>'Performance  Indicators Print'!Print_Titles</vt:lpstr>
      <vt:lpstr>'PI series #'!Print_Titles</vt:lpstr>
      <vt:lpstr>'Unit Data from Audit Worksheet'!Print_Titles</vt:lpstr>
      <vt:lpstr>showError</vt:lpstr>
    </vt:vector>
  </TitlesOfParts>
  <Company>NCDST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Melinda Canady</dc:creator>
  <cp:lastModifiedBy>Rita Baker</cp:lastModifiedBy>
  <cp:lastPrinted>2021-07-30T17:09:35Z</cp:lastPrinted>
  <dcterms:created xsi:type="dcterms:W3CDTF">2011-03-11T21:05:05Z</dcterms:created>
  <dcterms:modified xsi:type="dcterms:W3CDTF">2022-09-16T16:57:28Z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Refresh">
    <vt:bool>true</vt:bool>
  </property>
  <property fmtid="{D5CDD505-2E9C-101B-9397-08002B2CF9AE}" pid="3" name="Refresh97">
    <vt:bool>false</vt:bool>
  </property>
  <property fmtid="{D5CDD505-2E9C-101B-9397-08002B2CF9AE}" pid="4" name="tabName">
    <vt:lpwstr>2015 Review Year</vt:lpwstr>
  </property>
  <property fmtid="{D5CDD505-2E9C-101B-9397-08002B2CF9AE}" pid="5" name="tabIndex">
    <vt:lpwstr/>
  </property>
  <property fmtid="{D5CDD505-2E9C-101B-9397-08002B2CF9AE}" pid="6" name="workpaperIndex">
    <vt:lpwstr/>
  </property>
  <property fmtid="{D5CDD505-2E9C-101B-9397-08002B2CF9AE}" pid="7" name="Version">
    <vt:i4>20</vt:i4>
  </property>
  <property fmtid="{D5CDD505-2E9C-101B-9397-08002B2CF9AE}" pid="8" name="ContentTypeId">
    <vt:lpwstr>0x010100C727CB9B4DB0E24A99138E109A82D4B1</vt:lpwstr>
  </property>
</Properties>
</file>